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720" tabRatio="856" firstSheet="0" activeTab="5" autoFilterDateGrouping="1"/>
  </bookViews>
  <sheets>
    <sheet name="TAB_Unificada" sheetId="1" state="visible" r:id="rId1"/>
    <sheet name="TAB_EvolRazSoc" sheetId="2" state="visible" r:id="rId2"/>
    <sheet name="GRA_EvolAdicMun" sheetId="3" state="visible" r:id="rId3"/>
    <sheet name="VariacaoARE" sheetId="4" state="visible" r:id="rId4"/>
    <sheet name="VariacaoITG" sheetId="5" state="visible" r:id="rId5"/>
    <sheet name="VariacaoPOR" sheetId="6" state="visible" r:id="rId6"/>
    <sheet name="AnaliseARE" sheetId="7" state="visible" r:id="rId7"/>
    <sheet name="AnaliseITG" sheetId="8" state="visible" r:id="rId8"/>
    <sheet name="AnalisePOR" sheetId="9" state="visible" r:id="rId9"/>
  </sheets>
  <definedNames>
    <definedName name="SegmentaçãodeDados_CPF_CNPJ">#N/A</definedName>
    <definedName name="SegmentaçãodeDados_InscEst">#N/A</definedName>
    <definedName name="SegmentaçãodeDados_InscEst1">#N/A</definedName>
    <definedName name="SegmentaçãodeDados_RazSoc">#N/A</definedName>
    <definedName name="_xlnm.Print_Titles" localSheetId="0">'TAB_Unificada'!$1:$6</definedName>
    <definedName name="_xlnm.Print_Titles" localSheetId="1">'TAB_EvolRazSoc'!$1:$6</definedName>
    <definedName name="_xlnm.Print_Titles" localSheetId="2">'GRA_EvolAdicMun'!$1:$6</definedName>
    <definedName name="_xlnm.Print_Titles" localSheetId="3">'VariacaoARE'!$1:$6</definedName>
    <definedName name="_xlnm.Print_Titles" localSheetId="4">'VariacaoITG'!$1:$6</definedName>
    <definedName name="_xlnm.Print_Titles" localSheetId="5">'VariacaoPOR'!$1:$6</definedName>
    <definedName name="_xlnm.Print_Titles" localSheetId="6">'AnaliseARE'!$1:$4</definedName>
    <definedName name="_xlnm.Print_Area" localSheetId="6">'AnaliseARE'!$A$1:$F$235</definedName>
    <definedName name="_xlnm.Print_Titles" localSheetId="7">'AnaliseITG'!$1:$4</definedName>
    <definedName name="_xlnm.Print_Area" localSheetId="7">'AnaliseITG'!$A$1:$F$581</definedName>
    <definedName name="_xlnm.Print_Titles" localSheetId="8">'AnalisePOR'!$1:$4</definedName>
    <definedName name="_xlnm.Print_Area" localSheetId="8">'AnalisePOR'!$A$1:$F$307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.00_-;[Red]\-* #,##0.00_-;_-* &quot;-&quot;_-;_-@_-"/>
    <numFmt numFmtId="166" formatCode="_-* #,##0.00_-;[Red]\-* #,##0.00_-;_-* &quot;-&quot;??_-;_-@_-"/>
    <numFmt numFmtId="167" formatCode="#,##0.000%;[Red]\-#,##0.000%;&quot;-&quot;"/>
  </numFmts>
  <fonts count="16">
    <font>
      <name val="Calibri"/>
      <family val="2"/>
      <color theme="1"/>
      <sz val="11"/>
      <scheme val="minor"/>
    </font>
    <font>
      <name val="Arial"/>
      <family val="2"/>
      <color theme="1"/>
      <sz val="9"/>
    </font>
    <font>
      <name val="Arial"/>
      <family val="2"/>
      <color theme="1"/>
      <sz val="8"/>
    </font>
    <font>
      <name val="Arial"/>
      <family val="2"/>
      <b val="1"/>
      <sz val="9"/>
    </font>
    <font>
      <name val="Arial"/>
      <family val="2"/>
      <b val="1"/>
      <sz val="8"/>
    </font>
    <font>
      <name val="Calibri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10"/>
    </font>
    <font>
      <name val="Arial"/>
      <sz val="8"/>
    </font>
    <font>
      <name val="Arial"/>
      <family val="2"/>
      <b val="1"/>
      <color theme="1"/>
      <sz val="12"/>
    </font>
    <font>
      <name val="Arial"/>
      <family val="2"/>
      <sz val="8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b val="1"/>
      <sz val="13"/>
    </font>
    <font>
      <name val="Arial"/>
      <b val="1"/>
      <sz val="11"/>
    </font>
    <font>
      <name val="Arial"/>
      <b val="1"/>
      <sz val="9"/>
    </font>
  </fonts>
  <fills count="5">
    <fill>
      <patternFill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7CE"/>
        <bgColor rgb="FFFFC7CE"/>
      </patternFill>
    </fill>
  </fills>
  <borders count="4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/>
      <right/>
      <top/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3">
    <xf numFmtId="0" fontId="0" fillId="0" borderId="2"/>
    <xf numFmtId="166" fontId="5" fillId="0" borderId="2"/>
    <xf numFmtId="167" fontId="5" fillId="0" borderId="2"/>
  </cellStyleXfs>
  <cellXfs count="60">
    <xf numFmtId="0" fontId="0" fillId="0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49" fontId="3" fillId="2" borderId="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shrinkToFit="1"/>
    </xf>
    <xf numFmtId="49" fontId="4" fillId="2" borderId="1" applyAlignment="1" pivotButton="0" quotePrefix="0" xfId="0">
      <alignment horizontal="center" vertical="center" shrinkToFit="1"/>
    </xf>
    <xf numFmtId="49" fontId="4" fillId="2" borderId="0" applyAlignment="1" pivotButton="0" quotePrefix="0" xfId="0">
      <alignment horizontal="center" vertical="center" wrapText="1"/>
    </xf>
    <xf numFmtId="0" fontId="2" fillId="0" borderId="2" pivotButton="0" quotePrefix="0" xfId="0"/>
    <xf numFmtId="164" fontId="2" fillId="0" borderId="2" pivotButton="0" quotePrefix="0" xfId="0"/>
    <xf numFmtId="0" fontId="7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 wrapText="1"/>
    </xf>
    <xf numFmtId="164" fontId="7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shrinkToFit="1"/>
    </xf>
    <xf numFmtId="49" fontId="8" fillId="2" borderId="1" applyAlignment="1" pivotButton="0" quotePrefix="0" xfId="0">
      <alignment horizontal="center" vertical="center" shrinkToFit="1"/>
    </xf>
    <xf numFmtId="49" fontId="10" fillId="0" borderId="0" applyAlignment="1" pivotButton="0" quotePrefix="0" xfId="0">
      <alignment horizontal="center" vertical="center" wrapText="1"/>
    </xf>
    <xf numFmtId="49" fontId="10" fillId="2" borderId="3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shrinkToFit="1"/>
    </xf>
    <xf numFmtId="0" fontId="4" fillId="2" borderId="1" applyAlignment="1" pivotButton="0" quotePrefix="0" xfId="0">
      <alignment horizontal="center" vertical="center" shrinkToFit="1"/>
    </xf>
    <xf numFmtId="0" fontId="4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shrinkToFit="1"/>
    </xf>
    <xf numFmtId="0" fontId="10" fillId="2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2" fillId="0" borderId="2" applyAlignment="1" pivotButton="0" quotePrefix="0" xfId="0">
      <alignment shrinkToFit="1"/>
    </xf>
    <xf numFmtId="0" fontId="4" fillId="2" borderId="0" applyAlignment="1" pivotButton="0" quotePrefix="0" xfId="0">
      <alignment horizontal="center" vertical="center" shrinkToFit="1"/>
    </xf>
    <xf numFmtId="0" fontId="8" fillId="0" borderId="0" applyAlignment="1" pivotButton="0" quotePrefix="0" xfId="0">
      <alignment horizontal="left"/>
    </xf>
    <xf numFmtId="165" fontId="8" fillId="0" borderId="0" applyAlignment="1" pivotButton="0" quotePrefix="0" xfId="0">
      <alignment horizontal="right"/>
    </xf>
    <xf numFmtId="165" fontId="2" fillId="0" borderId="2" pivotButton="0" quotePrefix="0" xfId="0"/>
    <xf numFmtId="0" fontId="11" fillId="0" borderId="0" pivotButton="0" quotePrefix="0" xfId="0"/>
    <xf numFmtId="0" fontId="12" fillId="0" borderId="0" pivotButton="0" quotePrefix="0" xfId="0"/>
    <xf numFmtId="166" fontId="8" fillId="0" borderId="0" applyAlignment="1" pivotButton="0" quotePrefix="0" xfId="0">
      <alignment horizontal="right"/>
    </xf>
    <xf numFmtId="0" fontId="8" fillId="0" borderId="2" applyAlignment="1" pivotButton="0" quotePrefix="0" xfId="0">
      <alignment horizontal="left"/>
    </xf>
    <xf numFmtId="166" fontId="8" fillId="0" borderId="2" applyAlignment="1" pivotButton="0" quotePrefix="0" xfId="0">
      <alignment horizontal="right"/>
    </xf>
    <xf numFmtId="166" fontId="8" fillId="4" borderId="0" applyAlignment="1" pivotButton="0" quotePrefix="0" xfId="0">
      <alignment horizontal="right"/>
    </xf>
    <xf numFmtId="166" fontId="8" fillId="4" borderId="2" applyAlignment="1" pivotButton="0" quotePrefix="0" xfId="0">
      <alignment horizontal="right"/>
    </xf>
    <xf numFmtId="166" fontId="8" fillId="0" borderId="0" applyAlignment="1" pivotButton="0" quotePrefix="0" xfId="0">
      <alignment horizontal="right"/>
    </xf>
    <xf numFmtId="165" fontId="2" fillId="0" borderId="2" pivotButton="0" quotePrefix="0" xfId="0"/>
    <xf numFmtId="164" fontId="2" fillId="0" borderId="0" pivotButton="0" quotePrefix="0" xfId="0"/>
    <xf numFmtId="164" fontId="2" fillId="0" borderId="2" pivotButton="0" quotePrefix="0" xfId="0"/>
    <xf numFmtId="164" fontId="7" fillId="3" borderId="0" applyAlignment="1" pivotButton="0" quotePrefix="0" xfId="0">
      <alignment horizontal="center" vertical="center" wrapText="1"/>
    </xf>
    <xf numFmtId="164" fontId="6" fillId="0" borderId="0" pivotButton="0" quotePrefix="0" xfId="0"/>
    <xf numFmtId="166" fontId="8" fillId="4" borderId="0" applyAlignment="1" pivotButton="0" quotePrefix="0" xfId="0">
      <alignment horizontal="right"/>
    </xf>
    <xf numFmtId="165" fontId="8" fillId="0" borderId="0" applyAlignment="1" pivotButton="0" quotePrefix="0" xfId="0">
      <alignment horizontal="right"/>
    </xf>
    <xf numFmtId="166" fontId="8" fillId="0" borderId="2" applyAlignment="1" pivotButton="0" quotePrefix="0" xfId="0">
      <alignment horizontal="right"/>
    </xf>
    <xf numFmtId="166" fontId="8" fillId="4" borderId="2" applyAlignment="1" pivotButton="0" quotePrefix="0" xfId="0">
      <alignment horizontal="right"/>
    </xf>
    <xf numFmtId="0" fontId="13" fillId="0" borderId="0" applyAlignment="1" pivotButton="0" quotePrefix="0" xfId="0">
      <alignment horizontal="left" vertical="center" shrinkToFit="1"/>
    </xf>
    <xf numFmtId="0" fontId="14" fillId="0" borderId="0" applyAlignment="1" pivotButton="0" quotePrefix="0" xfId="0">
      <alignment horizontal="left" vertical="center" shrinkToFit="1"/>
    </xf>
    <xf numFmtId="0" fontId="15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horizontal="left" vertical="center" shrinkToFit="1"/>
    </xf>
    <xf numFmtId="166" fontId="8" fillId="0" borderId="2" pivotButton="0" quotePrefix="0" xfId="1"/>
    <xf numFmtId="1" fontId="8" fillId="0" borderId="0" pivotButton="0" quotePrefix="0" xfId="0"/>
    <xf numFmtId="0" fontId="15" fillId="0" borderId="0" applyAlignment="1" pivotButton="0" quotePrefix="0" xfId="0">
      <alignment horizontal="center" vertical="center"/>
    </xf>
    <xf numFmtId="166" fontId="8" fillId="0" borderId="2" applyAlignment="1" pivotButton="0" quotePrefix="0" xfId="1">
      <alignment horizontal="left" vertical="center" shrinkToFit="1"/>
    </xf>
    <xf numFmtId="0" fontId="8" fillId="0" borderId="0" applyAlignment="1" pivotButton="0" quotePrefix="0" xfId="0">
      <alignment horizontal="left" vertical="center" shrinkToFit="1"/>
    </xf>
    <xf numFmtId="167" fontId="8" fillId="0" borderId="2" pivotButton="0" quotePrefix="0" xfId="2"/>
  </cellXfs>
  <cellStyles count="3">
    <cellStyle name="Normal" xfId="0" builtinId="0"/>
    <cellStyle name="accounting_style" xfId="1"/>
    <cellStyle name="percent_style" xfId="2"/>
  </cellStyles>
  <dxfs count="154"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general" vertical="bottom" shrinkToFit="1"/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0" formatCode="General"/>
      <fill>
        <patternFill>
          <fgColor indexed="64"/>
          <bgColor auto="1"/>
        </patternFill>
      </fill>
      <alignment horizontal="lef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strike val="0"/>
        <outline val="0"/>
        <shadow val="0"/>
        <color auto="1"/>
        <sz val="8"/>
        <vertAlign val="baseline"/>
      </font>
      <numFmt numFmtId="0" formatCode="General"/>
      <fill>
        <patternFill>
          <fgColor indexed="64"/>
          <bgColor auto="1"/>
        </patternFill>
      </fill>
      <alignment horizontal="lef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0" formatCode="General"/>
      <fill>
        <patternFill>
          <fgColor indexed="64"/>
          <bgColor auto="1"/>
        </patternFill>
      </fill>
      <alignment horizontal="lef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0" formatCode="General"/>
      <fill>
        <patternFill>
          <fgColor indexed="64"/>
          <bgColor auto="1"/>
        </patternFill>
      </fill>
      <alignment horizontal="left" vertical="bottom"/>
    </dxf>
    <dxf>
      <numFmt numFmtId="0" formatCode="General"/>
    </dxf>
    <dxf>
      <font>
        <name val="Arial"/>
        <strike val="0"/>
        <outline val="0"/>
        <shadow val="0"/>
        <color auto="1"/>
        <sz val="8"/>
        <vertAlign val="baseline"/>
      </font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8"/>
        <vertAlign val="baseline"/>
      </font>
      <fill>
        <patternFill patternType="solid">
          <fgColor theme="9"/>
          <bgColor theme="9"/>
        </patternFill>
      </fill>
      <alignment horizontal="center" vertical="center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general" vertical="bottom" shrinkToFit="1"/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0" formatCode="General"/>
      <fill>
        <patternFill>
          <fgColor indexed="64"/>
          <bgColor auto="1"/>
        </patternFill>
      </fill>
      <alignment horizontal="lef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strike val="0"/>
        <outline val="0"/>
        <shadow val="0"/>
        <color auto="1"/>
        <sz val="8"/>
        <vertAlign val="baseline"/>
      </font>
      <numFmt numFmtId="0" formatCode="General"/>
      <fill>
        <patternFill>
          <fgColor indexed="64"/>
          <bgColor auto="1"/>
        </patternFill>
      </fill>
      <alignment horizontal="lef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0" formatCode="General"/>
      <fill>
        <patternFill>
          <fgColor indexed="64"/>
          <bgColor auto="1"/>
        </patternFill>
      </fill>
      <alignment horizontal="lef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strike val="0"/>
        <outline val="0"/>
        <shadow val="0"/>
        <color auto="1"/>
        <sz val="8"/>
        <vertAlign val="baseline"/>
      </font>
      <numFmt numFmtId="0" formatCode="General"/>
      <fill>
        <patternFill>
          <fgColor indexed="64"/>
          <bgColor auto="1"/>
        </patternFill>
      </fill>
      <alignment horizontal="left" vertical="bottom"/>
    </dxf>
    <dxf>
      <numFmt numFmtId="0" formatCode="General"/>
    </dxf>
    <dxf>
      <font>
        <name val="Arial"/>
        <strike val="0"/>
        <outline val="0"/>
        <shadow val="0"/>
        <color auto="1"/>
        <sz val="8"/>
        <vertAlign val="baseline"/>
      </font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8"/>
        <vertAlign val="baseline"/>
      </font>
      <fill>
        <patternFill patternType="solid">
          <fgColor theme="9"/>
          <bgColor theme="9"/>
        </patternFill>
      </fill>
      <alignment horizontal="center" vertical="center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strike val="0"/>
        <outline val="0"/>
        <shadow val="0"/>
        <color auto="1"/>
        <sz val="8"/>
        <vertAlign val="baseline"/>
      </font>
      <numFmt numFmtId="164" formatCode="_-* #,##0.00_-;[Red]\-* #,##0.00_-;_-* &quot;-&quot;_-;_-@_-"/>
      <fill>
        <patternFill>
          <fgColor indexed="64"/>
          <bgColor auto="1"/>
        </patternFill>
      </fill>
      <alignment horizontal="right" vertical="bottom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general" vertical="bottom" shrinkToFit="1"/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  <alignment horizontal="general" vertical="bottom" shrinkToFit="1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numFmt numFmtId="0" formatCode="General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0" formatCode="General"/>
      <fill>
        <patternFill>
          <bgColor auto="1"/>
        </patternFill>
      </fill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8"/>
        <vertAlign val="baseline"/>
      </font>
      <numFmt numFmtId="0" formatCode="General"/>
      <fill>
        <patternFill patternType="solid">
          <fgColor theme="9"/>
          <bgColor theme="9"/>
        </patternFill>
      </fill>
      <alignment horizontal="center" vertical="center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35" formatCode="_-* #,##0.00_-;\-* #,##0.00_-;_-* &quot;-&quot;??_-;_-@_-"/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lor theme="1"/>
        <sz val="8"/>
        <vertAlign val="baseline"/>
      </font>
      <numFmt numFmtId="35" formatCode="_-* #,##0.00_-;\-* #,##0.00_-;_-* &quot;-&quot;??_-;_-@_-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alignment horizontal="general" vertical="bottom" shrinkToFit="1"/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lor theme="1"/>
        <sz val="8"/>
        <vertAlign val="baseline"/>
      </font>
      <alignment horizontal="general" vertical="bottom" shrinkToFit="1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lor theme="1"/>
        <sz val="8"/>
        <vertAlign val="baseline"/>
      </font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family val="2"/>
        <strike val="0"/>
        <outline val="0"/>
        <shadow val="0"/>
        <color theme="1"/>
        <sz val="8"/>
        <vertAlign val="baseline"/>
      </font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family val="2"/>
        <strike val="0"/>
        <outline val="0"/>
        <shadow val="0"/>
        <color theme="1"/>
        <sz val="8"/>
        <vertAlign val="baseline"/>
      </font>
      <alignment horizontal="general" vertical="bottom" shrinkToFit="1"/>
    </dxf>
    <dxf>
      <font>
        <name val="Arial"/>
        <family val="2"/>
        <strike val="0"/>
        <outline val="0"/>
        <shadow val="0"/>
        <color theme="1"/>
        <sz val="8"/>
        <vertAlign val="baseline"/>
      </font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9"/>
        <vertAlign val="baseline"/>
      </font>
      <numFmt numFmtId="35" formatCode="_-* #,##0.00_-;\-* #,##0.00_-;_-* &quot;-&quot;??_-;_-@_-"/>
      <alignment horizontal="center" vertical="center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164" formatCode="_-* #,##0.00_-;[Red]\-* #,##0.00_-;_-* &quot;-&quot;_-;_-@_-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alignment horizontal="center" vertical="center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alignment horizontal="right" vertical="center" shrinkToFit="1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border outline="0">
        <left/>
        <right/>
        <top/>
        <bottom/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  <alignment shrinkToFit="1"/>
    </dxf>
    <dxf>
      <font>
        <name val="Arial"/>
        <family val="2"/>
        <strike val="0"/>
        <outline val="0"/>
        <shadow val="0"/>
        <sz val="8"/>
        <vertAlign val="baseline"/>
      </font>
      <numFmt numFmtId="0" formatCode="General"/>
    </dxf>
    <dxf>
      <font>
        <name val="Arial"/>
        <family val="2"/>
        <strike val="0"/>
        <outline val="0"/>
        <shadow val="0"/>
        <condense val="0"/>
        <color theme="1"/>
        <extend val="0"/>
        <sz val="8"/>
        <vertAlign val="baseline"/>
      </font>
      <numFmt numFmtId="0" formatCode="General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8"/>
        <vertAlign val="baseline"/>
      </font>
      <numFmt numFmtId="0" formatCode="General"/>
      <alignment horizontal="center" vertical="center" wrapText="1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Evolução</a:t>
            </a:r>
            <a:r>
              <a:rPr lang="en-US" sz="1200" b="1" baseline="0">
                <a:latin typeface="Arial" panose="020B0604020202020204" pitchFamily="34" charset="0"/>
                <a:cs typeface="Arial" panose="020B0604020202020204" pitchFamily="34" charset="0"/>
              </a:rPr>
              <a:t xml:space="preserve"> Anual</a:t>
            </a:r>
            <a:endParaRPr lang="en-US" sz="1200" b="1">
              <a:latin typeface="Arial" panose="020B0604020202020204" pitchFamily="34" charset="0"/>
              <a:cs typeface="Arial" panose="020B0604020202020204" pitchFamily="34" charset="0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GRA_EvolAdicMun!$B$7</f>
              <strCache>
                <ptCount val="1"/>
                <pt idx="0">
                  <v>VALOR TOTAL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GRA_EvolAdicMun!$C$6:$I$6</f>
              <strCache>
                <ptCount val="7"/>
                <pt idx="0">
                  <v xml:space="preserve"> 2017 </v>
                </pt>
                <pt idx="1">
                  <v xml:space="preserve"> 2018 </v>
                </pt>
                <pt idx="2">
                  <v xml:space="preserve"> 2019 </v>
                </pt>
                <pt idx="3">
                  <v xml:space="preserve"> 2020 </v>
                </pt>
                <pt idx="4">
                  <v xml:space="preserve"> 2021 </v>
                </pt>
                <pt idx="5">
                  <v xml:space="preserve"> 2022 </v>
                </pt>
                <pt idx="6">
                  <v xml:space="preserve"> 2023 </v>
                </pt>
              </strCache>
            </strRef>
          </cat>
          <val>
            <numRef>
              <f>GRA_EvolAdicMun!$C$7:$I$7</f>
              <numCache>
                <formatCode>_(* #,##0.00_);_(* \(#,##0.00\);_(* "-"??_);_(@_)</formatCode>
                <ptCount val="7"/>
                <pt idx="0">
                  <v>5484445129.880001</v>
                </pt>
                <pt idx="1">
                  <v>6336715895.11</v>
                </pt>
                <pt idx="2">
                  <v>6835061198.890004</v>
                </pt>
                <pt idx="3">
                  <v>8084417743.029994</v>
                </pt>
                <pt idx="4">
                  <v>10674720282.17999</v>
                </pt>
                <pt idx="5">
                  <v>13223046115.41</v>
                </pt>
                <pt idx="6">
                  <v>11534902039.95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841151"/>
        <axId val="85838271"/>
      </lineChart>
      <catAx>
        <axId val="858411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/>
            </a:r>
            <a:endParaRPr lang="pt-BR"/>
          </a:p>
        </txPr>
        <crossAx val="85838271"/>
        <crosses val="autoZero"/>
        <auto val="1"/>
        <lblAlgn val="ctr"/>
        <lblOffset val="100"/>
        <noMultiLvlLbl val="0"/>
      </catAx>
      <valAx>
        <axId val="8583827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841151"/>
        <crosses val="autoZero"/>
        <crossBetween val="between"/>
        <dispUnits>
          <builtInUnit val="millions"/>
          <dispUnitsLbl>
            <layout>
              <manualLayout>
                <xMode val="edge"/>
                <yMode val="edge"/>
                <wMode val="factor"/>
                <hMode val="factor"/>
                <x val="0.008111534234426853"/>
                <y val="0.3865434601613632"/>
              </manualLayout>
            </layout>
            <tx>
              <rich>
                <a:bodyPr rot="-5400000" spcFirstLastPara="1" vertOverflow="ellipsis" vert="horz" wrap="square" anchor="ctr" anchorCtr="1"/>
                <a:lstStyle/>
                <a:p>
                  <a:pPr algn="ctr">
                    <a:defRPr sz="10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pt-BR" sz="1200">
                      <a:latin typeface="Arial" panose="020B0604020202020204" pitchFamily="34" charset="0"/>
                      <a:cs typeface="Arial" panose="020B0604020202020204" pitchFamily="34" charset="0"/>
                    </a:rPr>
                    <a:t>Milhões</a:t>
                  </a:r>
                </a:p>
              </rich>
            </tx>
            <spPr>
              <a:noFill/>
              <a:ln>
                <a:noFill/>
                <a:prstDash val="solid"/>
              </a:ln>
            </spPr>
          </dispUnitsLbl>
        </dispUnits>
      </valAx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95250</colOff>
      <row>11</row>
      <rowOff>47625</rowOff>
    </from>
    <to>
      <col>10</col>
      <colOff>942974</colOff>
      <row>58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ela1" displayName="Tabela1" ref="A6:G12653" headerRowCount="1" totalsRowCount="1" headerRowDxfId="153" dataDxfId="152" totalsRowDxfId="151">
  <autoFilter ref="A6:G12652"/>
  <tableColumns count="7">
    <tableColumn id="7" name="SigMun" dataDxfId="150" totalsRowDxfId="149"/>
    <tableColumn id="2" name="MUNICIPIO" dataDxfId="148" totalsRowDxfId="147"/>
    <tableColumn id="1" name="InscEst" dataDxfId="146" totalsRowDxfId="145"/>
    <tableColumn id="4" name="CPF_CNPJ" totalsRowFunction="count" dataDxfId="144" totalsRowDxfId="143"/>
    <tableColumn id="3" name="RazSoc" dataDxfId="142" totalsRowDxfId="141"/>
    <tableColumn id="6" name="ANO" dataDxfId="140" totalsRowDxfId="139"/>
    <tableColumn id="5" name="VALOR" totalsRowFunction="sum" dataDxfId="138" totalsRowDxfId="137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B_EvolRazSoc" displayName="TB_EvolRazSoc" ref="A6:L2382" headerRowCount="1" totalsRowCount="1" headerRowDxfId="136" dataDxfId="135">
  <autoFilter ref="A6:L2381"/>
  <tableColumns count="12">
    <tableColumn id="1" name="SigMun" dataDxfId="134" totalsRowDxfId="133"/>
    <tableColumn id="2" name="MUNICIPIO" dataDxfId="132" totalsRowDxfId="131"/>
    <tableColumn id="3" name="InscEst" dataDxfId="130" totalsRowDxfId="129"/>
    <tableColumn id="4" name="CPF_CNPJ" totalsRowFunction="count" dataDxfId="128" totalsRowDxfId="127"/>
    <tableColumn id="5" name="RazSoc" dataDxfId="126" totalsRowDxfId="125"/>
    <tableColumn id="6" name="2017" totalsRowFunction="sum" dataDxfId="124" totalsRowDxfId="123"/>
    <tableColumn id="7" name="2018" totalsRowFunction="sum" dataDxfId="122" totalsRowDxfId="121"/>
    <tableColumn id="8" name="2019" totalsRowFunction="sum" dataDxfId="120" totalsRowDxfId="119"/>
    <tableColumn id="9" name="2020" totalsRowFunction="sum" dataDxfId="118" totalsRowDxfId="117"/>
    <tableColumn id="10" name="2021" totalsRowFunction="sum" dataDxfId="116" totalsRowDxfId="115"/>
    <tableColumn id="11" name="2022" totalsRowFunction="sum" dataDxfId="114" totalsRowDxfId="113"/>
    <tableColumn id="12" name="2023" totalsRowFunction="sum" dataDxfId="112" totalsRowDxfId="11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B_Var_ARE" displayName="TB_Var_ARE" ref="A6:Q369" headerRowCount="1" totalsRowCount="1" headerRowDxfId="110" dataDxfId="109" totalsRowDxfId="108">
  <autoFilter ref="A6:Q368"/>
  <tableColumns count="17">
    <tableColumn id="1" name="MUNICIPIO" dataDxfId="107" totalsRowDxfId="106"/>
    <tableColumn id="2" name="InscEst" dataDxfId="105" totalsRowDxfId="104"/>
    <tableColumn id="3" name="CPF_CNPJ" totalsRowFunction="count" dataDxfId="103" totalsRowDxfId="102"/>
    <tableColumn id="4" name="RazSoc" dataDxfId="101" totalsRowDxfId="100"/>
    <tableColumn id="5" name="2017 R$" totalsRowFunction="sum" dataDxfId="99" totalsRowDxfId="98"/>
    <tableColumn id="6" name="2018 R$" totalsRowFunction="sum" dataDxfId="97" totalsRowDxfId="96"/>
    <tableColumn id="7" name="17/18 %" dataDxfId="95" totalsRowDxfId="94"/>
    <tableColumn id="8" name="2019 R$" totalsRowFunction="sum" dataDxfId="93" totalsRowDxfId="92"/>
    <tableColumn id="9" name="18/19 %" dataDxfId="91" totalsRowDxfId="90"/>
    <tableColumn id="10" name="2020 R$" totalsRowFunction="sum" dataDxfId="89" totalsRowDxfId="88"/>
    <tableColumn id="11" name="19/20 %" dataDxfId="87" totalsRowDxfId="86"/>
    <tableColumn id="12" name="2021 R$" totalsRowFunction="sum" dataDxfId="85" totalsRowDxfId="84"/>
    <tableColumn id="13" name="20/21 %" dataDxfId="83" totalsRowDxfId="82"/>
    <tableColumn id="14" name="2022 R$" totalsRowFunction="sum" dataDxfId="81" totalsRowDxfId="80"/>
    <tableColumn id="15" name="21/22 %" dataDxfId="79" totalsRowDxfId="78"/>
    <tableColumn id="16" name="2023 R$" totalsRowFunction="sum" dataDxfId="77" totalsRowDxfId="76"/>
    <tableColumn id="17" name="22/23 %" dataDxfId="75" totalsRowDxfId="7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4" name="TB_Var_ITG" displayName="TB_Var_ITG" ref="A6:Q1394" headerRowCount="1" totalsRowCount="1" headerRowDxfId="73" dataDxfId="72" totalsRowDxfId="71">
  <tableColumns count="17">
    <tableColumn id="1" name="MUNICIPIO" dataDxfId="70" totalsRowDxfId="69"/>
    <tableColumn id="2" name="InscEst" dataDxfId="68" totalsRowDxfId="67"/>
    <tableColumn id="3" name="CPF_CNPJ" totalsRowFunction="count" dataDxfId="66" totalsRowDxfId="65"/>
    <tableColumn id="4" name="RazSoc" dataDxfId="64" totalsRowDxfId="63"/>
    <tableColumn id="5" name="2017 R$" totalsRowFunction="sum" dataDxfId="62" totalsRowDxfId="61"/>
    <tableColumn id="6" name="2018 R$" totalsRowFunction="sum" dataDxfId="60" totalsRowDxfId="59"/>
    <tableColumn id="7" name="17/18 %" dataDxfId="58" totalsRowDxfId="57"/>
    <tableColumn id="8" name="2019 R$" totalsRowFunction="sum" dataDxfId="56" totalsRowDxfId="55"/>
    <tableColumn id="9" name="18/19 %" dataDxfId="54" totalsRowDxfId="53"/>
    <tableColumn id="10" name="2020 R$" totalsRowFunction="sum" dataDxfId="52" totalsRowDxfId="51"/>
    <tableColumn id="11" name="19/20 %" dataDxfId="50" totalsRowDxfId="49"/>
    <tableColumn id="12" name="2021 R$" totalsRowFunction="sum" dataDxfId="48" totalsRowDxfId="47"/>
    <tableColumn id="13" name="20/21 %" dataDxfId="46" totalsRowDxfId="45"/>
    <tableColumn id="14" name="2022 R$" totalsRowFunction="sum" dataDxfId="44" totalsRowDxfId="43"/>
    <tableColumn id="15" name="21/22 %" dataDxfId="42" totalsRowDxfId="41"/>
    <tableColumn id="16" name="2023 R$" totalsRowFunction="sum" dataDxfId="40" totalsRowDxfId="39"/>
    <tableColumn id="17" name="22/23 %" dataDxfId="38" totalsRowDxfId="37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5" name="TB_Var_POR" displayName="TB_Var_POR" ref="A6:Q633" headerRowCount="1" totalsRowCount="1" headerRowDxfId="36" dataDxfId="35" totalsRowDxfId="34">
  <tableColumns count="17">
    <tableColumn id="1" name="MUNICIPIO" dataDxfId="33" totalsRowDxfId="32"/>
    <tableColumn id="2" name="InscEst" dataDxfId="31" totalsRowDxfId="30"/>
    <tableColumn id="3" name="CPF_CNPJ" totalsRowFunction="count" dataDxfId="29" totalsRowDxfId="28"/>
    <tableColumn id="4" name="RazSoc" dataDxfId="27" totalsRowDxfId="26"/>
    <tableColumn id="5" name="2017 R$" totalsRowFunction="sum" dataDxfId="25" totalsRowDxfId="24"/>
    <tableColumn id="6" name="2018 R$" totalsRowFunction="sum" dataDxfId="23" totalsRowDxfId="22"/>
    <tableColumn id="7" name="17/18 %" dataDxfId="21" totalsRowDxfId="20"/>
    <tableColumn id="8" name="2019 R$" totalsRowFunction="sum" dataDxfId="19" totalsRowDxfId="18"/>
    <tableColumn id="9" name="18/19 %" dataDxfId="17" totalsRowDxfId="16"/>
    <tableColumn id="10" name="2020 R$" totalsRowFunction="sum" dataDxfId="15" totalsRowDxfId="14"/>
    <tableColumn id="11" name="19/20 %" dataDxfId="13" totalsRowDxfId="12"/>
    <tableColumn id="12" name="2021 R$" totalsRowFunction="sum" dataDxfId="11" totalsRowDxfId="10"/>
    <tableColumn id="13" name="20/21 %" dataDxfId="9" totalsRowDxfId="8"/>
    <tableColumn id="14" name="2022 R$" totalsRowFunction="sum" dataDxfId="7" totalsRowDxfId="6"/>
    <tableColumn id="15" name="21/22 %" dataDxfId="5" totalsRowDxfId="4"/>
    <tableColumn id="16" name="2023 R$" totalsRowFunction="sum" dataDxfId="3" totalsRowDxfId="2"/>
    <tableColumn id="17" name="22/23 %" dataDxfId="1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653"/>
  <sheetViews>
    <sheetView zoomScaleNormal="100" workbookViewId="0">
      <pane xSplit="2" ySplit="6" topLeftCell="C12630" activePane="bottomRight" state="frozen"/>
      <selection pane="topRight" activeCell="C1" sqref="C1"/>
      <selection pane="bottomLeft" activeCell="A7" sqref="A7"/>
      <selection pane="bottomRight" activeCell="A7" sqref="A7:G12652"/>
    </sheetView>
  </sheetViews>
  <sheetFormatPr baseColWidth="8" defaultRowHeight="12" customHeight="1"/>
  <cols>
    <col width="9.7109375" customWidth="1" style="1" min="1" max="2"/>
    <col width="15.7109375" customWidth="1" style="1" min="3" max="3"/>
    <col width="15.7109375" customWidth="1" style="5" min="4" max="4"/>
    <col width="51.7109375" customWidth="1" style="1" min="5" max="5"/>
    <col width="12.7109375" customWidth="1" style="5" min="6" max="6"/>
    <col width="21.7109375" customWidth="1" style="1" min="7" max="7"/>
    <col width="9.140625" customWidth="1" style="1" min="8" max="85"/>
    <col width="9.140625" customWidth="1" style="1" min="86" max="16384"/>
  </cols>
  <sheetData>
    <row r="1" ht="15" customFormat="1" customHeight="1" s="16">
      <c r="A1" s="33" t="inlineStr">
        <is>
          <t>ANÁLISE DO VALOR ADICIONADO POR MUNICÍPIO</t>
        </is>
      </c>
      <c r="B1" s="33" t="n"/>
      <c r="C1" s="33" t="n"/>
      <c r="D1" s="33" t="n"/>
      <c r="E1" s="33" t="n"/>
      <c r="F1" s="33" t="n"/>
      <c r="G1" s="33" t="n"/>
    </row>
    <row r="2" ht="15" customFormat="1" customHeight="1" s="10">
      <c r="A2" s="34" t="inlineStr">
        <is>
          <t>Relatório - Município / Contribuinte / Exercício / Valor</t>
        </is>
      </c>
      <c r="B2" s="34" t="n"/>
      <c r="C2" s="34" t="n"/>
      <c r="D2" s="34" t="n"/>
      <c r="E2" s="34" t="n"/>
      <c r="F2" s="34" t="n"/>
      <c r="G2" s="34" t="n"/>
    </row>
    <row r="3" ht="15" customHeight="1">
      <c r="A3" s="17" t="n"/>
      <c r="B3" s="15" t="n"/>
      <c r="C3" s="15" t="n"/>
      <c r="D3" s="15" t="n"/>
      <c r="E3" s="15" t="n"/>
      <c r="F3" s="15" t="n"/>
      <c r="G3" s="15" t="n"/>
    </row>
    <row r="4" ht="15" customHeight="1">
      <c r="A4" s="17" t="n"/>
      <c r="B4" s="15" t="n"/>
      <c r="C4" s="15" t="n"/>
      <c r="D4" s="15" t="n"/>
      <c r="E4" s="15" t="n"/>
      <c r="F4" s="15" t="n"/>
      <c r="G4" s="15" t="n"/>
    </row>
    <row r="5" ht="15" customHeight="1">
      <c r="A5" s="17" t="n"/>
      <c r="B5" s="15" t="n"/>
      <c r="C5" s="15" t="n"/>
      <c r="D5" s="15" t="n"/>
      <c r="E5" s="15" t="n"/>
      <c r="F5" s="15" t="n"/>
      <c r="G5" s="15" t="n"/>
    </row>
    <row r="6" ht="24" customFormat="1" customHeight="1" s="27">
      <c r="A6" s="21" t="inlineStr">
        <is>
          <t>SigMun</t>
        </is>
      </c>
      <c r="B6" s="22" t="inlineStr">
        <is>
          <t>MUNICIPIO</t>
        </is>
      </c>
      <c r="C6" s="23" t="inlineStr">
        <is>
          <t>InscEst</t>
        </is>
      </c>
      <c r="D6" s="23" t="inlineStr">
        <is>
          <t>CPF_CNPJ</t>
        </is>
      </c>
      <c r="E6" s="24" t="inlineStr">
        <is>
          <t>RazSoc</t>
        </is>
      </c>
      <c r="F6" s="25" t="inlineStr">
        <is>
          <t>ANO</t>
        </is>
      </c>
      <c r="G6" s="26" t="inlineStr">
        <is>
          <t>VALOR</t>
        </is>
      </c>
    </row>
    <row r="7" ht="12" customHeight="1">
      <c r="A7" s="30" t="inlineStr">
        <is>
          <t>ARE</t>
        </is>
      </c>
      <c r="B7" s="30" t="inlineStr">
        <is>
          <t>Areal</t>
        </is>
      </c>
      <c r="C7" s="30" t="n">
        <v>11025641</v>
      </c>
      <c r="D7" s="30">
        <f>"22883593001196"</f>
        <v/>
      </c>
      <c r="E7" s="30" t="inlineStr">
        <is>
          <t>EFFICAX TRANSPORTES LTDA</t>
        </is>
      </c>
      <c r="F7" s="30" t="inlineStr">
        <is>
          <t>2017</t>
        </is>
      </c>
      <c r="G7" s="40" t="n">
        <v>0</v>
      </c>
    </row>
    <row r="8" ht="12" customHeight="1">
      <c r="A8" s="30" t="inlineStr">
        <is>
          <t>ARE</t>
        </is>
      </c>
      <c r="B8" s="30" t="inlineStr">
        <is>
          <t>Areal</t>
        </is>
      </c>
      <c r="C8" s="30" t="n">
        <v>11025641</v>
      </c>
      <c r="D8" s="30">
        <f>"22883593001196"</f>
        <v/>
      </c>
      <c r="E8" s="30" t="inlineStr">
        <is>
          <t>EFFICAX TRANSPORTES LTDA</t>
        </is>
      </c>
      <c r="F8" s="30" t="inlineStr">
        <is>
          <t>2018</t>
        </is>
      </c>
      <c r="G8" s="40" t="n">
        <v>2051.21</v>
      </c>
    </row>
    <row r="9" ht="12" customHeight="1">
      <c r="A9" s="30" t="inlineStr">
        <is>
          <t>ARE</t>
        </is>
      </c>
      <c r="B9" s="30" t="inlineStr">
        <is>
          <t>Areal</t>
        </is>
      </c>
      <c r="C9" s="30" t="n">
        <v>11025641</v>
      </c>
      <c r="D9" s="30">
        <f>"22883593001196"</f>
        <v/>
      </c>
      <c r="E9" s="30" t="inlineStr">
        <is>
          <t>EFFICAX TRANSPORTES LTDA</t>
        </is>
      </c>
      <c r="F9" s="30" t="inlineStr">
        <is>
          <t>2019</t>
        </is>
      </c>
      <c r="G9" s="40" t="n">
        <v>0</v>
      </c>
    </row>
    <row r="10" ht="12" customHeight="1">
      <c r="A10" s="30" t="inlineStr">
        <is>
          <t>ARE</t>
        </is>
      </c>
      <c r="B10" s="30" t="inlineStr">
        <is>
          <t>Areal</t>
        </is>
      </c>
      <c r="C10" s="30" t="n">
        <v>11025641</v>
      </c>
      <c r="D10" s="30">
        <f>"22883593001196"</f>
        <v/>
      </c>
      <c r="E10" s="30" t="inlineStr">
        <is>
          <t>EFFICAX TRANSPORTES LTDA</t>
        </is>
      </c>
      <c r="F10" s="30" t="inlineStr">
        <is>
          <t>2020</t>
        </is>
      </c>
      <c r="G10" s="40" t="n">
        <v>0</v>
      </c>
    </row>
    <row r="11" ht="12" customHeight="1">
      <c r="A11" s="30" t="inlineStr">
        <is>
          <t>ARE</t>
        </is>
      </c>
      <c r="B11" s="30" t="inlineStr">
        <is>
          <t>Areal</t>
        </is>
      </c>
      <c r="C11" s="30" t="n">
        <v>11052517</v>
      </c>
      <c r="D11" s="30">
        <f>"29457434000105"</f>
        <v/>
      </c>
      <c r="E11" s="30" t="inlineStr">
        <is>
          <t>ZR AUTOMOVEIS EIRELI ME</t>
        </is>
      </c>
      <c r="F11" s="30" t="inlineStr">
        <is>
          <t>2017</t>
        </is>
      </c>
      <c r="G11" s="40" t="n">
        <v>0</v>
      </c>
    </row>
    <row r="12" ht="12" customHeight="1">
      <c r="A12" s="30" t="inlineStr">
        <is>
          <t>ARE</t>
        </is>
      </c>
      <c r="B12" s="30" t="inlineStr">
        <is>
          <t>Areal</t>
        </is>
      </c>
      <c r="C12" s="30" t="n">
        <v>11052517</v>
      </c>
      <c r="D12" s="30">
        <f>"29457434000105"</f>
        <v/>
      </c>
      <c r="E12" s="30" t="inlineStr">
        <is>
          <t>ZR AUTOMOVEIS EIRELI ME</t>
        </is>
      </c>
      <c r="F12" s="30" t="inlineStr">
        <is>
          <t>2018</t>
        </is>
      </c>
      <c r="G12" s="40" t="n">
        <v>109072.18</v>
      </c>
    </row>
    <row r="13" ht="12" customHeight="1">
      <c r="A13" s="30" t="inlineStr">
        <is>
          <t>ARE</t>
        </is>
      </c>
      <c r="B13" s="30" t="inlineStr">
        <is>
          <t>Areal</t>
        </is>
      </c>
      <c r="C13" s="30" t="n">
        <v>11052517</v>
      </c>
      <c r="D13" s="30">
        <f>"29457434000105"</f>
        <v/>
      </c>
      <c r="E13" s="30" t="inlineStr">
        <is>
          <t>ZR AUTOMOVEIS EIRELI ME</t>
        </is>
      </c>
      <c r="F13" s="30" t="inlineStr">
        <is>
          <t>2019</t>
        </is>
      </c>
      <c r="G13" s="40" t="n">
        <v>8961.709999999999</v>
      </c>
    </row>
    <row r="14" ht="12" customHeight="1">
      <c r="A14" s="30" t="inlineStr">
        <is>
          <t>ARE</t>
        </is>
      </c>
      <c r="B14" s="30" t="inlineStr">
        <is>
          <t>Areal</t>
        </is>
      </c>
      <c r="C14" s="30" t="n">
        <v>11052517</v>
      </c>
      <c r="D14" s="30">
        <f>"29457434000105"</f>
        <v/>
      </c>
      <c r="E14" s="30" t="inlineStr">
        <is>
          <t>ZR AUTOMOVEIS EIRELI ME</t>
        </is>
      </c>
      <c r="F14" s="30" t="inlineStr">
        <is>
          <t>2020</t>
        </is>
      </c>
      <c r="G14" s="40" t="n">
        <v>0</v>
      </c>
    </row>
    <row r="15" ht="12" customHeight="1">
      <c r="A15" s="30" t="inlineStr">
        <is>
          <t>ARE</t>
        </is>
      </c>
      <c r="B15" s="30" t="inlineStr">
        <is>
          <t>Areal</t>
        </is>
      </c>
      <c r="C15" s="30" t="n">
        <v>11052517</v>
      </c>
      <c r="D15" s="30">
        <f>"29457434000105"</f>
        <v/>
      </c>
      <c r="E15" s="30" t="inlineStr">
        <is>
          <t>ZR AUTOMOVEIS EIRELI ME</t>
        </is>
      </c>
      <c r="F15" s="30" t="inlineStr">
        <is>
          <t>2021</t>
        </is>
      </c>
      <c r="G15" s="40" t="n">
        <v>0</v>
      </c>
    </row>
    <row r="16" ht="12" customHeight="1">
      <c r="A16" s="30" t="inlineStr">
        <is>
          <t>ARE</t>
        </is>
      </c>
      <c r="B16" s="30" t="inlineStr">
        <is>
          <t>Areal</t>
        </is>
      </c>
      <c r="C16" s="30" t="n">
        <v>11052517</v>
      </c>
      <c r="D16" s="30">
        <f>"29457434000105"</f>
        <v/>
      </c>
      <c r="E16" s="30" t="inlineStr">
        <is>
          <t>ZR AUTOMOVEIS EIRELI ME</t>
        </is>
      </c>
      <c r="F16" s="30" t="inlineStr">
        <is>
          <t>2022</t>
        </is>
      </c>
      <c r="G16" s="40" t="n">
        <v>0</v>
      </c>
    </row>
    <row r="17" ht="12" customHeight="1">
      <c r="A17" s="30" t="inlineStr">
        <is>
          <t>ARE</t>
        </is>
      </c>
      <c r="B17" s="30" t="inlineStr">
        <is>
          <t>Areal</t>
        </is>
      </c>
      <c r="C17" s="30" t="n">
        <v>11052517</v>
      </c>
      <c r="D17" s="30">
        <f>"29457434000105"</f>
        <v/>
      </c>
      <c r="E17" s="30" t="inlineStr">
        <is>
          <t>ZR AUTOMOVEIS EIRELI ME</t>
        </is>
      </c>
      <c r="F17" s="30" t="inlineStr">
        <is>
          <t>2023</t>
        </is>
      </c>
      <c r="G17" s="40" t="n">
        <v>0</v>
      </c>
    </row>
    <row r="18" ht="12" customHeight="1">
      <c r="A18" s="30" t="inlineStr">
        <is>
          <t>ARE</t>
        </is>
      </c>
      <c r="B18" s="30" t="inlineStr">
        <is>
          <t>Areal</t>
        </is>
      </c>
      <c r="C18" s="30" t="n">
        <v>11080553</v>
      </c>
      <c r="D18" s="30">
        <f>"74570986749"</f>
        <v/>
      </c>
      <c r="E18" s="30" t="inlineStr">
        <is>
          <t>TERESA DA GAMA PASSOS</t>
        </is>
      </c>
      <c r="F18" s="30" t="inlineStr">
        <is>
          <t>2019</t>
        </is>
      </c>
      <c r="G18" s="40" t="n">
        <v>0</v>
      </c>
    </row>
    <row r="19" ht="12" customHeight="1">
      <c r="A19" s="30" t="inlineStr">
        <is>
          <t>ARE</t>
        </is>
      </c>
      <c r="B19" s="30" t="inlineStr">
        <is>
          <t>Areal</t>
        </is>
      </c>
      <c r="C19" s="30" t="n">
        <v>11080553</v>
      </c>
      <c r="D19" s="30">
        <f>"74570986749"</f>
        <v/>
      </c>
      <c r="E19" s="30" t="inlineStr">
        <is>
          <t>TERESA DA GAMA PASSOS</t>
        </is>
      </c>
      <c r="F19" s="30" t="inlineStr">
        <is>
          <t>2020</t>
        </is>
      </c>
      <c r="G19" s="40" t="n">
        <v>0</v>
      </c>
    </row>
    <row r="20" ht="12" customHeight="1">
      <c r="A20" s="30" t="inlineStr">
        <is>
          <t>ARE</t>
        </is>
      </c>
      <c r="B20" s="30" t="inlineStr">
        <is>
          <t>Areal</t>
        </is>
      </c>
      <c r="C20" s="30" t="n">
        <v>11080553</v>
      </c>
      <c r="D20" s="30">
        <f>"74570986749"</f>
        <v/>
      </c>
      <c r="E20" s="30" t="inlineStr">
        <is>
          <t>TERESA DA GAMA PASSOS</t>
        </is>
      </c>
      <c r="F20" s="30" t="inlineStr">
        <is>
          <t>2021</t>
        </is>
      </c>
      <c r="G20" s="40" t="n">
        <v>0</v>
      </c>
    </row>
    <row r="21" ht="12" customHeight="1">
      <c r="A21" s="30" t="inlineStr">
        <is>
          <t>ARE</t>
        </is>
      </c>
      <c r="B21" s="30" t="inlineStr">
        <is>
          <t>Areal</t>
        </is>
      </c>
      <c r="C21" s="30" t="n">
        <v>11080553</v>
      </c>
      <c r="D21" s="30">
        <f>"74570986749"</f>
        <v/>
      </c>
      <c r="E21" s="30" t="inlineStr">
        <is>
          <t>TERESA DA GAMA PASSOS</t>
        </is>
      </c>
      <c r="F21" s="30" t="inlineStr">
        <is>
          <t>2022</t>
        </is>
      </c>
      <c r="G21" s="40" t="n">
        <v>75763.42</v>
      </c>
    </row>
    <row r="22" ht="12" customHeight="1">
      <c r="A22" s="30" t="inlineStr">
        <is>
          <t>ARE</t>
        </is>
      </c>
      <c r="B22" s="30" t="inlineStr">
        <is>
          <t>Areal</t>
        </is>
      </c>
      <c r="C22" s="30" t="n">
        <v>11080553</v>
      </c>
      <c r="D22" s="30">
        <f>"74570986749"</f>
        <v/>
      </c>
      <c r="E22" s="30" t="inlineStr">
        <is>
          <t>TERESA DA GAMA PASSOS</t>
        </is>
      </c>
      <c r="F22" s="30" t="inlineStr">
        <is>
          <t>2023</t>
        </is>
      </c>
      <c r="G22" s="40" t="n">
        <v>0</v>
      </c>
    </row>
    <row r="23" ht="12" customHeight="1">
      <c r="A23" s="30" t="inlineStr">
        <is>
          <t>ARE</t>
        </is>
      </c>
      <c r="B23" s="30" t="inlineStr">
        <is>
          <t>Areal</t>
        </is>
      </c>
      <c r="C23" s="30" t="n">
        <v>11117562</v>
      </c>
      <c r="D23" s="30">
        <f>"14268258701"</f>
        <v/>
      </c>
      <c r="E23" s="30" t="inlineStr">
        <is>
          <t>JESSICA DA SILVA CARVALHO</t>
        </is>
      </c>
      <c r="F23" s="30" t="inlineStr">
        <is>
          <t>2018</t>
        </is>
      </c>
      <c r="G23" s="40" t="n">
        <v>0</v>
      </c>
    </row>
    <row r="24" ht="12" customHeight="1">
      <c r="A24" s="30" t="inlineStr">
        <is>
          <t>ARE</t>
        </is>
      </c>
      <c r="B24" s="30" t="inlineStr">
        <is>
          <t>Areal</t>
        </is>
      </c>
      <c r="C24" s="30" t="n">
        <v>11117562</v>
      </c>
      <c r="D24" s="30">
        <f>"14268258701"</f>
        <v/>
      </c>
      <c r="E24" s="30" t="inlineStr">
        <is>
          <t>JESSICA DA SILVA CARVALHO</t>
        </is>
      </c>
      <c r="F24" s="30" t="inlineStr">
        <is>
          <t>2019</t>
        </is>
      </c>
      <c r="G24" s="40" t="n">
        <v>0</v>
      </c>
    </row>
    <row r="25" ht="12" customHeight="1">
      <c r="A25" s="30" t="inlineStr">
        <is>
          <t>ARE</t>
        </is>
      </c>
      <c r="B25" s="30" t="inlineStr">
        <is>
          <t>Areal</t>
        </is>
      </c>
      <c r="C25" s="30" t="n">
        <v>11117562</v>
      </c>
      <c r="D25" s="30">
        <f>"14268258701"</f>
        <v/>
      </c>
      <c r="E25" s="30" t="inlineStr">
        <is>
          <t>JESSICA DA SILVA CARVALHO</t>
        </is>
      </c>
      <c r="F25" s="30" t="inlineStr">
        <is>
          <t>2020</t>
        </is>
      </c>
      <c r="G25" s="40" t="n">
        <v>4198</v>
      </c>
    </row>
    <row r="26" ht="12" customHeight="1">
      <c r="A26" s="30" t="inlineStr">
        <is>
          <t>ARE</t>
        </is>
      </c>
      <c r="B26" s="30" t="inlineStr">
        <is>
          <t>Areal</t>
        </is>
      </c>
      <c r="C26" s="30" t="n">
        <v>11117562</v>
      </c>
      <c r="D26" s="30">
        <f>"14268258701"</f>
        <v/>
      </c>
      <c r="E26" s="30" t="inlineStr">
        <is>
          <t>JESSICA DA SILVA CARVALHO</t>
        </is>
      </c>
      <c r="F26" s="30" t="inlineStr">
        <is>
          <t>2021</t>
        </is>
      </c>
      <c r="G26" s="40" t="n">
        <v>0</v>
      </c>
    </row>
    <row r="27" ht="12" customHeight="1">
      <c r="A27" s="30" t="inlineStr">
        <is>
          <t>ARE</t>
        </is>
      </c>
      <c r="B27" s="30" t="inlineStr">
        <is>
          <t>Areal</t>
        </is>
      </c>
      <c r="C27" s="30" t="n">
        <v>11117562</v>
      </c>
      <c r="D27" s="30">
        <f>"14268258701"</f>
        <v/>
      </c>
      <c r="E27" s="30" t="inlineStr">
        <is>
          <t>JESSICA DA SILVA CARVALHO</t>
        </is>
      </c>
      <c r="F27" s="30" t="inlineStr">
        <is>
          <t>2022</t>
        </is>
      </c>
      <c r="G27" s="40" t="n">
        <v>0</v>
      </c>
    </row>
    <row r="28" ht="12" customHeight="1">
      <c r="A28" s="30" t="inlineStr">
        <is>
          <t>ARE</t>
        </is>
      </c>
      <c r="B28" s="30" t="inlineStr">
        <is>
          <t>Areal</t>
        </is>
      </c>
      <c r="C28" s="30" t="n">
        <v>11123961</v>
      </c>
      <c r="D28" s="30">
        <f>"00233065003879"</f>
        <v/>
      </c>
      <c r="E28" s="30" t="inlineStr">
        <is>
          <t>UNIDOCK"S ASSESSORIA E LOGISTICA DE MATERIAIS LTDA</t>
        </is>
      </c>
      <c r="F28" s="30" t="inlineStr">
        <is>
          <t>2019</t>
        </is>
      </c>
      <c r="G28" s="40" t="n">
        <v>0</v>
      </c>
    </row>
    <row r="29" ht="12" customHeight="1">
      <c r="A29" s="30" t="inlineStr">
        <is>
          <t>ARE</t>
        </is>
      </c>
      <c r="B29" s="30" t="inlineStr">
        <is>
          <t>Areal</t>
        </is>
      </c>
      <c r="C29" s="30" t="n">
        <v>11123961</v>
      </c>
      <c r="D29" s="30">
        <f>"00233065003879"</f>
        <v/>
      </c>
      <c r="E29" s="30" t="inlineStr">
        <is>
          <t>UNIDOCK"S ASSESSORIA E LOGISTICA DE MATERIAIS LTDA</t>
        </is>
      </c>
      <c r="F29" s="30" t="inlineStr">
        <is>
          <t>2020</t>
        </is>
      </c>
      <c r="G29" s="40" t="n">
        <v>0</v>
      </c>
    </row>
    <row r="30" ht="12" customHeight="1">
      <c r="A30" s="30" t="inlineStr">
        <is>
          <t>ARE</t>
        </is>
      </c>
      <c r="B30" s="30" t="inlineStr">
        <is>
          <t>Areal</t>
        </is>
      </c>
      <c r="C30" s="30" t="n">
        <v>11123961</v>
      </c>
      <c r="D30" s="30">
        <f>"00233065003879"</f>
        <v/>
      </c>
      <c r="E30" s="30" t="inlineStr">
        <is>
          <t>UNIDOCK"S ASSESSORIA E LOGISTICA DE MATERIAIS LTDA</t>
        </is>
      </c>
      <c r="F30" s="30" t="inlineStr">
        <is>
          <t>2021</t>
        </is>
      </c>
      <c r="G30" s="40" t="n">
        <v>3689.52</v>
      </c>
    </row>
    <row r="31" ht="12" customHeight="1">
      <c r="A31" s="30" t="inlineStr">
        <is>
          <t>ARE</t>
        </is>
      </c>
      <c r="B31" s="30" t="inlineStr">
        <is>
          <t>Areal</t>
        </is>
      </c>
      <c r="C31" s="30" t="n">
        <v>11123961</v>
      </c>
      <c r="D31" s="30">
        <f>"00233065003879"</f>
        <v/>
      </c>
      <c r="E31" s="30" t="inlineStr">
        <is>
          <t>UNIDOCK"S ASSESSORIA E LOGISTICA DE MATERIAIS LTDA</t>
        </is>
      </c>
      <c r="F31" s="30" t="inlineStr">
        <is>
          <t>2022</t>
        </is>
      </c>
      <c r="G31" s="40" t="n">
        <v>21206.36</v>
      </c>
    </row>
    <row r="32" ht="12" customHeight="1">
      <c r="A32" s="30" t="inlineStr">
        <is>
          <t>ARE</t>
        </is>
      </c>
      <c r="B32" s="30" t="inlineStr">
        <is>
          <t>Areal</t>
        </is>
      </c>
      <c r="C32" s="30" t="n">
        <v>11123961</v>
      </c>
      <c r="D32" s="30">
        <f>"00233065003879"</f>
        <v/>
      </c>
      <c r="E32" s="30" t="inlineStr">
        <is>
          <t>UNIDOCK"S ASSESSORIA E LOGISTICA DE MATERIAIS LTDA</t>
        </is>
      </c>
      <c r="F32" s="30" t="inlineStr">
        <is>
          <t>2023</t>
        </is>
      </c>
      <c r="G32" s="40" t="n">
        <v>7374.62</v>
      </c>
    </row>
    <row r="33" ht="12" customHeight="1">
      <c r="A33" s="30" t="inlineStr">
        <is>
          <t>ARE</t>
        </is>
      </c>
      <c r="B33" s="30" t="inlineStr">
        <is>
          <t>Areal</t>
        </is>
      </c>
      <c r="C33" s="30" t="n">
        <v>11132219</v>
      </c>
      <c r="D33" s="30">
        <f>"30308329000185"</f>
        <v/>
      </c>
      <c r="E33" s="30" t="inlineStr">
        <is>
          <t>TLOG RJ TRANSPORTADORA DE CARGAS LTDA</t>
        </is>
      </c>
      <c r="F33" s="30" t="inlineStr">
        <is>
          <t>2018</t>
        </is>
      </c>
      <c r="G33" s="40" t="n">
        <v>0</v>
      </c>
    </row>
    <row r="34" ht="12" customHeight="1">
      <c r="A34" s="30" t="inlineStr">
        <is>
          <t>ARE</t>
        </is>
      </c>
      <c r="B34" s="30" t="inlineStr">
        <is>
          <t>Areal</t>
        </is>
      </c>
      <c r="C34" s="30" t="n">
        <v>11132219</v>
      </c>
      <c r="D34" s="30">
        <f>"30308329000185"</f>
        <v/>
      </c>
      <c r="E34" s="30" t="inlineStr">
        <is>
          <t>TLOG RJ TRANSPORTADORA DE CARGAS LTDA</t>
        </is>
      </c>
      <c r="F34" s="30" t="inlineStr">
        <is>
          <t>2019</t>
        </is>
      </c>
      <c r="G34" s="40" t="n">
        <v>0</v>
      </c>
    </row>
    <row r="35" ht="12" customHeight="1">
      <c r="A35" s="30" t="inlineStr">
        <is>
          <t>ARE</t>
        </is>
      </c>
      <c r="B35" s="30" t="inlineStr">
        <is>
          <t>Areal</t>
        </is>
      </c>
      <c r="C35" s="30" t="n">
        <v>11132219</v>
      </c>
      <c r="D35" s="30">
        <f>"30308329000185"</f>
        <v/>
      </c>
      <c r="E35" s="30" t="inlineStr">
        <is>
          <t>TLOG RJ TRANSPORTADORA DE CARGAS LTDA</t>
        </is>
      </c>
      <c r="F35" s="30" t="inlineStr">
        <is>
          <t>2020</t>
        </is>
      </c>
      <c r="G35" s="40" t="n">
        <v>2490.34</v>
      </c>
    </row>
    <row r="36" ht="12" customHeight="1">
      <c r="A36" s="30" t="inlineStr">
        <is>
          <t>ARE</t>
        </is>
      </c>
      <c r="B36" s="30" t="inlineStr">
        <is>
          <t>Areal</t>
        </is>
      </c>
      <c r="C36" s="30" t="n">
        <v>11132219</v>
      </c>
      <c r="D36" s="30">
        <f>"30308329000185"</f>
        <v/>
      </c>
      <c r="E36" s="30" t="inlineStr">
        <is>
          <t>TLOG RJ TRANSPORTADORA DE CARGAS LTDA</t>
        </is>
      </c>
      <c r="F36" s="30" t="inlineStr">
        <is>
          <t>2021</t>
        </is>
      </c>
      <c r="G36" s="40" t="n">
        <v>0</v>
      </c>
    </row>
    <row r="37" ht="12" customHeight="1">
      <c r="A37" s="30" t="inlineStr">
        <is>
          <t>ARE</t>
        </is>
      </c>
      <c r="B37" s="30" t="inlineStr">
        <is>
          <t>Areal</t>
        </is>
      </c>
      <c r="C37" s="30" t="n">
        <v>11132219</v>
      </c>
      <c r="D37" s="30">
        <f>"30308329000185"</f>
        <v/>
      </c>
      <c r="E37" s="30" t="inlineStr">
        <is>
          <t>TLOG RJ TRANSPORTADORA DE CARGAS LTDA</t>
        </is>
      </c>
      <c r="F37" s="30" t="inlineStr">
        <is>
          <t>2022</t>
        </is>
      </c>
      <c r="G37" s="40" t="n">
        <v>0</v>
      </c>
    </row>
    <row r="38" ht="12" customHeight="1">
      <c r="A38" s="30" t="inlineStr">
        <is>
          <t>ARE</t>
        </is>
      </c>
      <c r="B38" s="30" t="inlineStr">
        <is>
          <t>Areal</t>
        </is>
      </c>
      <c r="C38" s="30" t="n">
        <v>11136397</v>
      </c>
      <c r="D38" s="30">
        <f>"15055734752"</f>
        <v/>
      </c>
      <c r="E38" s="30" t="inlineStr">
        <is>
          <t>JENIFER SOARES MEDEIROS</t>
        </is>
      </c>
      <c r="F38" s="30" t="inlineStr">
        <is>
          <t>2017</t>
        </is>
      </c>
      <c r="G38" s="40" t="n">
        <v>0</v>
      </c>
    </row>
    <row r="39" ht="12" customHeight="1">
      <c r="A39" s="30" t="inlineStr">
        <is>
          <t>ARE</t>
        </is>
      </c>
      <c r="B39" s="30" t="inlineStr">
        <is>
          <t>Areal</t>
        </is>
      </c>
      <c r="C39" s="30" t="n">
        <v>11136397</v>
      </c>
      <c r="D39" s="30">
        <f>"15055734752"</f>
        <v/>
      </c>
      <c r="E39" s="30" t="inlineStr">
        <is>
          <t>JENIFER SOARES MEDEIROS</t>
        </is>
      </c>
      <c r="F39" s="30" t="inlineStr">
        <is>
          <t>2018</t>
        </is>
      </c>
      <c r="G39" s="40" t="n">
        <v>0</v>
      </c>
    </row>
    <row r="40" ht="12" customHeight="1">
      <c r="A40" s="30" t="inlineStr">
        <is>
          <t>ARE</t>
        </is>
      </c>
      <c r="B40" s="30" t="inlineStr">
        <is>
          <t>Areal</t>
        </is>
      </c>
      <c r="C40" s="30" t="n">
        <v>11136397</v>
      </c>
      <c r="D40" s="30">
        <f>"15055734752"</f>
        <v/>
      </c>
      <c r="E40" s="30" t="inlineStr">
        <is>
          <t>JENIFER SOARES MEDEIROS</t>
        </is>
      </c>
      <c r="F40" s="30" t="inlineStr">
        <is>
          <t>2019</t>
        </is>
      </c>
      <c r="G40" s="40" t="n">
        <v>0</v>
      </c>
    </row>
    <row r="41" ht="12" customHeight="1">
      <c r="A41" s="30" t="inlineStr">
        <is>
          <t>ARE</t>
        </is>
      </c>
      <c r="B41" s="30" t="inlineStr">
        <is>
          <t>Areal</t>
        </is>
      </c>
      <c r="C41" s="30" t="n">
        <v>11136397</v>
      </c>
      <c r="D41" s="30">
        <f>"15055734752"</f>
        <v/>
      </c>
      <c r="E41" s="30" t="inlineStr">
        <is>
          <t>JENIFER SOARES MEDEIROS</t>
        </is>
      </c>
      <c r="F41" s="30" t="inlineStr">
        <is>
          <t>2020</t>
        </is>
      </c>
      <c r="G41" s="40" t="n">
        <v>21434.34</v>
      </c>
    </row>
    <row r="42" ht="12" customHeight="1">
      <c r="A42" s="30" t="inlineStr">
        <is>
          <t>ARE</t>
        </is>
      </c>
      <c r="B42" s="30" t="inlineStr">
        <is>
          <t>Areal</t>
        </is>
      </c>
      <c r="C42" s="30" t="n">
        <v>11136397</v>
      </c>
      <c r="D42" s="30">
        <f>"15055734752"</f>
        <v/>
      </c>
      <c r="E42" s="30" t="inlineStr">
        <is>
          <t>JENIFER SOARES MEDEIROS</t>
        </is>
      </c>
      <c r="F42" s="30" t="inlineStr">
        <is>
          <t>2021</t>
        </is>
      </c>
      <c r="G42" s="40" t="n">
        <v>0</v>
      </c>
    </row>
    <row r="43" ht="12" customHeight="1">
      <c r="A43" s="30" t="inlineStr">
        <is>
          <t>ARE</t>
        </is>
      </c>
      <c r="B43" s="30" t="inlineStr">
        <is>
          <t>Areal</t>
        </is>
      </c>
      <c r="C43" s="30" t="n">
        <v>11136397</v>
      </c>
      <c r="D43" s="30">
        <f>"15055734752"</f>
        <v/>
      </c>
      <c r="E43" s="30" t="inlineStr">
        <is>
          <t>JENIFER SOARES MEDEIROS</t>
        </is>
      </c>
      <c r="F43" s="30" t="inlineStr">
        <is>
          <t>2022</t>
        </is>
      </c>
      <c r="G43" s="40" t="n">
        <v>0</v>
      </c>
    </row>
    <row r="44" ht="12" customHeight="1">
      <c r="A44" s="30" t="inlineStr">
        <is>
          <t>ARE</t>
        </is>
      </c>
      <c r="B44" s="30" t="inlineStr">
        <is>
          <t>Areal</t>
        </is>
      </c>
      <c r="C44" s="30" t="n">
        <v>11175791</v>
      </c>
      <c r="D44" s="30">
        <f>"29106584000166"</f>
        <v/>
      </c>
      <c r="E44" s="30" t="inlineStr">
        <is>
          <t>DO SEU LAR COMERCIO VAREJISTA EIRELI ME</t>
        </is>
      </c>
      <c r="F44" s="30" t="inlineStr">
        <is>
          <t>2018</t>
        </is>
      </c>
      <c r="G44" s="40" t="n">
        <v>0</v>
      </c>
    </row>
    <row r="45" ht="12" customHeight="1">
      <c r="A45" s="30" t="inlineStr">
        <is>
          <t>ARE</t>
        </is>
      </c>
      <c r="B45" s="30" t="inlineStr">
        <is>
          <t>Areal</t>
        </is>
      </c>
      <c r="C45" s="30" t="n">
        <v>11175791</v>
      </c>
      <c r="D45" s="30">
        <f>"29106584000166"</f>
        <v/>
      </c>
      <c r="E45" s="30" t="inlineStr">
        <is>
          <t>DO SEU LAR COMERCIO VAREJISTA EIRELI ME</t>
        </is>
      </c>
      <c r="F45" s="30" t="inlineStr">
        <is>
          <t>2019</t>
        </is>
      </c>
      <c r="G45" s="40" t="n">
        <v>0</v>
      </c>
    </row>
    <row r="46" ht="12" customHeight="1">
      <c r="A46" s="30" t="inlineStr">
        <is>
          <t>ARE</t>
        </is>
      </c>
      <c r="B46" s="30" t="inlineStr">
        <is>
          <t>Areal</t>
        </is>
      </c>
      <c r="C46" s="30" t="n">
        <v>11175791</v>
      </c>
      <c r="D46" s="30">
        <f>"29106584000166"</f>
        <v/>
      </c>
      <c r="E46" s="30" t="inlineStr">
        <is>
          <t>DO SEU LAR COMERCIO VAREJISTA EIRELI ME</t>
        </is>
      </c>
      <c r="F46" s="30" t="inlineStr">
        <is>
          <t>2020</t>
        </is>
      </c>
      <c r="G46" s="40" t="n">
        <v>85269.64</v>
      </c>
    </row>
    <row r="47" ht="12" customHeight="1">
      <c r="A47" s="30" t="inlineStr">
        <is>
          <t>ARE</t>
        </is>
      </c>
      <c r="B47" s="30" t="inlineStr">
        <is>
          <t>Areal</t>
        </is>
      </c>
      <c r="C47" s="30" t="n">
        <v>11175791</v>
      </c>
      <c r="D47" s="30">
        <f>"29106584000166"</f>
        <v/>
      </c>
      <c r="E47" s="30" t="inlineStr">
        <is>
          <t>DO SEU LAR COMERCIO VAREJISTA EIRELI ME</t>
        </is>
      </c>
      <c r="F47" s="30" t="inlineStr">
        <is>
          <t>2021</t>
        </is>
      </c>
      <c r="G47" s="40" t="n">
        <v>0</v>
      </c>
    </row>
    <row r="48" ht="12" customHeight="1">
      <c r="A48" s="30" t="inlineStr">
        <is>
          <t>ARE</t>
        </is>
      </c>
      <c r="B48" s="30" t="inlineStr">
        <is>
          <t>Areal</t>
        </is>
      </c>
      <c r="C48" s="30" t="n">
        <v>11175791</v>
      </c>
      <c r="D48" s="30">
        <f>"29106584000166"</f>
        <v/>
      </c>
      <c r="E48" s="30" t="inlineStr">
        <is>
          <t>DO SEU LAR COMERCIO VAREJISTA EIRELI ME</t>
        </is>
      </c>
      <c r="F48" s="30" t="inlineStr">
        <is>
          <t>2022</t>
        </is>
      </c>
      <c r="G48" s="40" t="n">
        <v>380544.43</v>
      </c>
    </row>
    <row r="49" ht="12" customHeight="1">
      <c r="A49" s="30" t="inlineStr">
        <is>
          <t>ARE</t>
        </is>
      </c>
      <c r="B49" s="30" t="inlineStr">
        <is>
          <t>Areal</t>
        </is>
      </c>
      <c r="C49" s="30" t="n">
        <v>11175791</v>
      </c>
      <c r="D49" s="30">
        <f>"29106584000166"</f>
        <v/>
      </c>
      <c r="E49" s="30" t="inlineStr">
        <is>
          <t>DO SEU LAR COMERCIO VAREJISTA EIRELI ME</t>
        </is>
      </c>
      <c r="F49" s="30" t="inlineStr">
        <is>
          <t>2023</t>
        </is>
      </c>
      <c r="G49" s="40" t="n">
        <v>0</v>
      </c>
    </row>
    <row r="50" ht="12" customHeight="1">
      <c r="A50" s="30" t="inlineStr">
        <is>
          <t>ARE</t>
        </is>
      </c>
      <c r="B50" s="30" t="inlineStr">
        <is>
          <t>Areal</t>
        </is>
      </c>
      <c r="C50" s="30" t="n">
        <v>11179991</v>
      </c>
      <c r="D50" s="30">
        <f>"14780646766"</f>
        <v/>
      </c>
      <c r="E50" s="30" t="inlineStr">
        <is>
          <t>SAULO DA SILVA RAMOS MOREIRA</t>
        </is>
      </c>
      <c r="F50" s="30" t="inlineStr">
        <is>
          <t>2017</t>
        </is>
      </c>
      <c r="G50" s="40" t="n">
        <v>0</v>
      </c>
    </row>
    <row r="51" ht="12" customHeight="1">
      <c r="A51" s="30" t="inlineStr">
        <is>
          <t>ARE</t>
        </is>
      </c>
      <c r="B51" s="30" t="inlineStr">
        <is>
          <t>Areal</t>
        </is>
      </c>
      <c r="C51" s="30" t="n">
        <v>11179991</v>
      </c>
      <c r="D51" s="30">
        <f>"14780646766"</f>
        <v/>
      </c>
      <c r="E51" s="30" t="inlineStr">
        <is>
          <t>SAULO DA SILVA RAMOS MOREIRA</t>
        </is>
      </c>
      <c r="F51" s="30" t="inlineStr">
        <is>
          <t>2018</t>
        </is>
      </c>
      <c r="G51" s="40" t="n">
        <v>3800</v>
      </c>
    </row>
    <row r="52" ht="12" customHeight="1">
      <c r="A52" s="30" t="inlineStr">
        <is>
          <t>ARE</t>
        </is>
      </c>
      <c r="B52" s="30" t="inlineStr">
        <is>
          <t>Areal</t>
        </is>
      </c>
      <c r="C52" s="30" t="n">
        <v>11179991</v>
      </c>
      <c r="D52" s="30">
        <f>"14780646766"</f>
        <v/>
      </c>
      <c r="E52" s="30" t="inlineStr">
        <is>
          <t>SAULO DA SILVA RAMOS MOREIRA</t>
        </is>
      </c>
      <c r="F52" s="30" t="inlineStr">
        <is>
          <t>2019</t>
        </is>
      </c>
      <c r="G52" s="40" t="n">
        <v>0</v>
      </c>
    </row>
    <row r="53" ht="12" customHeight="1">
      <c r="A53" s="30" t="inlineStr">
        <is>
          <t>ARE</t>
        </is>
      </c>
      <c r="B53" s="30" t="inlineStr">
        <is>
          <t>Areal</t>
        </is>
      </c>
      <c r="C53" s="30" t="n">
        <v>11179991</v>
      </c>
      <c r="D53" s="30">
        <f>"14780646766"</f>
        <v/>
      </c>
      <c r="E53" s="30" t="inlineStr">
        <is>
          <t>SAULO DA SILVA RAMOS MOREIRA</t>
        </is>
      </c>
      <c r="F53" s="30" t="inlineStr">
        <is>
          <t>2020</t>
        </is>
      </c>
      <c r="G53" s="40" t="n">
        <v>0</v>
      </c>
    </row>
    <row r="54" ht="12" customHeight="1">
      <c r="A54" s="30" t="inlineStr">
        <is>
          <t>ARE</t>
        </is>
      </c>
      <c r="B54" s="30" t="inlineStr">
        <is>
          <t>Areal</t>
        </is>
      </c>
      <c r="C54" s="30" t="n">
        <v>11179991</v>
      </c>
      <c r="D54" s="30">
        <f>"14780646766"</f>
        <v/>
      </c>
      <c r="E54" s="30" t="inlineStr">
        <is>
          <t>SAULO DA SILVA RAMOS MOREIRA</t>
        </is>
      </c>
      <c r="F54" s="30" t="inlineStr">
        <is>
          <t>2021</t>
        </is>
      </c>
      <c r="G54" s="40" t="n">
        <v>0</v>
      </c>
    </row>
    <row r="55" ht="12" customHeight="1">
      <c r="A55" s="30" t="inlineStr">
        <is>
          <t>ARE</t>
        </is>
      </c>
      <c r="B55" s="30" t="inlineStr">
        <is>
          <t>Areal</t>
        </is>
      </c>
      <c r="C55" s="30" t="n">
        <v>11179991</v>
      </c>
      <c r="D55" s="30">
        <f>"14780646766"</f>
        <v/>
      </c>
      <c r="E55" s="30" t="inlineStr">
        <is>
          <t>SAULO DA SILVA RAMOS MOREIRA</t>
        </is>
      </c>
      <c r="F55" s="30" t="inlineStr">
        <is>
          <t>2022</t>
        </is>
      </c>
      <c r="G55" s="40" t="n">
        <v>0</v>
      </c>
    </row>
    <row r="56" ht="12" customHeight="1">
      <c r="A56" s="30" t="inlineStr">
        <is>
          <t>ARE</t>
        </is>
      </c>
      <c r="B56" s="30" t="inlineStr">
        <is>
          <t>Areal</t>
        </is>
      </c>
      <c r="C56" s="30" t="n">
        <v>11179991</v>
      </c>
      <c r="D56" s="30">
        <f>"14780646766"</f>
        <v/>
      </c>
      <c r="E56" s="30" t="inlineStr">
        <is>
          <t>SAULO DA SILVA RAMOS MOREIRA</t>
        </is>
      </c>
      <c r="F56" s="30" t="inlineStr">
        <is>
          <t>2023</t>
        </is>
      </c>
      <c r="G56" s="40" t="n">
        <v>0</v>
      </c>
    </row>
    <row r="57" ht="12" customHeight="1">
      <c r="A57" s="30" t="inlineStr">
        <is>
          <t>ARE</t>
        </is>
      </c>
      <c r="B57" s="30" t="inlineStr">
        <is>
          <t>Areal</t>
        </is>
      </c>
      <c r="C57" s="30" t="n">
        <v>11211615</v>
      </c>
      <c r="D57" s="30">
        <f>"54631793791"</f>
        <v/>
      </c>
      <c r="E57" s="30" t="inlineStr">
        <is>
          <t>MAURICIO CARDOSO AROUCA</t>
        </is>
      </c>
      <c r="F57" s="30" t="inlineStr">
        <is>
          <t>2017</t>
        </is>
      </c>
      <c r="G57" s="40" t="n">
        <v>0</v>
      </c>
    </row>
    <row r="58" ht="12" customHeight="1">
      <c r="A58" s="30" t="inlineStr">
        <is>
          <t>ARE</t>
        </is>
      </c>
      <c r="B58" s="30" t="inlineStr">
        <is>
          <t>Areal</t>
        </is>
      </c>
      <c r="C58" s="30" t="n">
        <v>11211615</v>
      </c>
      <c r="D58" s="30">
        <f>"54631793791"</f>
        <v/>
      </c>
      <c r="E58" s="30" t="inlineStr">
        <is>
          <t>MAURICIO CARDOSO AROUCA</t>
        </is>
      </c>
      <c r="F58" s="30" t="inlineStr">
        <is>
          <t>2018</t>
        </is>
      </c>
      <c r="G58" s="40" t="n">
        <v>0</v>
      </c>
    </row>
    <row r="59" ht="12" customHeight="1">
      <c r="A59" s="30" t="inlineStr">
        <is>
          <t>ARE</t>
        </is>
      </c>
      <c r="B59" s="30" t="inlineStr">
        <is>
          <t>Areal</t>
        </is>
      </c>
      <c r="C59" s="30" t="n">
        <v>11211615</v>
      </c>
      <c r="D59" s="30">
        <f>"54631793791"</f>
        <v/>
      </c>
      <c r="E59" s="30" t="inlineStr">
        <is>
          <t>MAURICIO CARDOSO AROUCA</t>
        </is>
      </c>
      <c r="F59" s="30" t="inlineStr">
        <is>
          <t>2019</t>
        </is>
      </c>
      <c r="G59" s="40" t="n">
        <v>0</v>
      </c>
    </row>
    <row r="60" ht="12" customHeight="1">
      <c r="A60" s="30" t="inlineStr">
        <is>
          <t>ARE</t>
        </is>
      </c>
      <c r="B60" s="30" t="inlineStr">
        <is>
          <t>Areal</t>
        </is>
      </c>
      <c r="C60" s="30" t="n">
        <v>11211615</v>
      </c>
      <c r="D60" s="30">
        <f>"54631793791"</f>
        <v/>
      </c>
      <c r="E60" s="30" t="inlineStr">
        <is>
          <t>MAURICIO CARDOSO AROUCA</t>
        </is>
      </c>
      <c r="F60" s="30" t="inlineStr">
        <is>
          <t>2020</t>
        </is>
      </c>
      <c r="G60" s="40" t="n">
        <v>0</v>
      </c>
    </row>
    <row r="61" ht="12" customHeight="1">
      <c r="A61" s="30" t="inlineStr">
        <is>
          <t>ARE</t>
        </is>
      </c>
      <c r="B61" s="30" t="inlineStr">
        <is>
          <t>Areal</t>
        </is>
      </c>
      <c r="C61" s="30" t="n">
        <v>11211615</v>
      </c>
      <c r="D61" s="30">
        <f>"54631793791"</f>
        <v/>
      </c>
      <c r="E61" s="30" t="inlineStr">
        <is>
          <t>MAURICIO CARDOSO AROUCA</t>
        </is>
      </c>
      <c r="F61" s="30" t="inlineStr">
        <is>
          <t>2021</t>
        </is>
      </c>
      <c r="G61" s="40" t="n">
        <v>0</v>
      </c>
    </row>
    <row r="62" ht="12" customHeight="1">
      <c r="A62" s="30" t="inlineStr">
        <is>
          <t>ARE</t>
        </is>
      </c>
      <c r="B62" s="30" t="inlineStr">
        <is>
          <t>Areal</t>
        </is>
      </c>
      <c r="C62" s="30" t="n">
        <v>11211615</v>
      </c>
      <c r="D62" s="30">
        <f>"54631793791"</f>
        <v/>
      </c>
      <c r="E62" s="30" t="inlineStr">
        <is>
          <t>MAURICIO CARDOSO AROUCA</t>
        </is>
      </c>
      <c r="F62" s="30" t="inlineStr">
        <is>
          <t>2022</t>
        </is>
      </c>
      <c r="G62" s="40" t="n">
        <v>0</v>
      </c>
    </row>
    <row r="63" ht="12" customHeight="1">
      <c r="A63" s="30" t="inlineStr">
        <is>
          <t>ARE</t>
        </is>
      </c>
      <c r="B63" s="30" t="inlineStr">
        <is>
          <t>Areal</t>
        </is>
      </c>
      <c r="C63" s="30" t="n">
        <v>11211615</v>
      </c>
      <c r="D63" s="30">
        <f>"54631793791"</f>
        <v/>
      </c>
      <c r="E63" s="30" t="inlineStr">
        <is>
          <t>MAURICIO CARDOSO AROUCA</t>
        </is>
      </c>
      <c r="F63" s="30" t="inlineStr">
        <is>
          <t>2023</t>
        </is>
      </c>
      <c r="G63" s="40" t="n">
        <v>0</v>
      </c>
    </row>
    <row r="64" ht="12" customHeight="1">
      <c r="A64" s="30" t="inlineStr">
        <is>
          <t>ARE</t>
        </is>
      </c>
      <c r="B64" s="30" t="inlineStr">
        <is>
          <t>Areal</t>
        </is>
      </c>
      <c r="C64" s="30" t="n">
        <v>11226043</v>
      </c>
      <c r="D64" s="30">
        <f>"31318831000130"</f>
        <v/>
      </c>
      <c r="E64" s="30" t="inlineStr">
        <is>
          <t>R.S.COMÉRCIO DE GAS LTDA</t>
        </is>
      </c>
      <c r="F64" s="30" t="inlineStr">
        <is>
          <t>2017</t>
        </is>
      </c>
      <c r="G64" s="40" t="n">
        <v>0</v>
      </c>
    </row>
    <row r="65" ht="12" customHeight="1">
      <c r="A65" s="30" t="inlineStr">
        <is>
          <t>ARE</t>
        </is>
      </c>
      <c r="B65" s="30" t="inlineStr">
        <is>
          <t>Areal</t>
        </is>
      </c>
      <c r="C65" s="30" t="n">
        <v>11226043</v>
      </c>
      <c r="D65" s="30">
        <f>"31318831000130"</f>
        <v/>
      </c>
      <c r="E65" s="30" t="inlineStr">
        <is>
          <t>R.S.COMÉRCIO DE GAS LTDA</t>
        </is>
      </c>
      <c r="F65" s="30" t="inlineStr">
        <is>
          <t>2018</t>
        </is>
      </c>
      <c r="G65" s="40" t="n">
        <v>0</v>
      </c>
    </row>
    <row r="66" ht="12" customHeight="1">
      <c r="A66" s="30" t="inlineStr">
        <is>
          <t>ARE</t>
        </is>
      </c>
      <c r="B66" s="30" t="inlineStr">
        <is>
          <t>Areal</t>
        </is>
      </c>
      <c r="C66" s="30" t="n">
        <v>11226043</v>
      </c>
      <c r="D66" s="30">
        <f>"31318831000130"</f>
        <v/>
      </c>
      <c r="E66" s="30" t="inlineStr">
        <is>
          <t>R.S.COMÉRCIO DE GAS LTDA</t>
        </is>
      </c>
      <c r="F66" s="30" t="inlineStr">
        <is>
          <t>2019</t>
        </is>
      </c>
      <c r="G66" s="40" t="n">
        <v>0</v>
      </c>
    </row>
    <row r="67" ht="12" customHeight="1">
      <c r="A67" s="30" t="inlineStr">
        <is>
          <t>ARE</t>
        </is>
      </c>
      <c r="B67" s="30" t="inlineStr">
        <is>
          <t>Areal</t>
        </is>
      </c>
      <c r="C67" s="30" t="n">
        <v>11226043</v>
      </c>
      <c r="D67" s="30">
        <f>"31318831000130"</f>
        <v/>
      </c>
      <c r="E67" s="30" t="inlineStr">
        <is>
          <t>R.S.COMÉRCIO DE GAS LTDA</t>
        </is>
      </c>
      <c r="F67" s="30" t="inlineStr">
        <is>
          <t>2020</t>
        </is>
      </c>
      <c r="G67" s="40" t="n">
        <v>0</v>
      </c>
    </row>
    <row r="68" ht="12" customHeight="1">
      <c r="A68" s="30" t="inlineStr">
        <is>
          <t>ARE</t>
        </is>
      </c>
      <c r="B68" s="30" t="inlineStr">
        <is>
          <t>Areal</t>
        </is>
      </c>
      <c r="C68" s="30" t="n">
        <v>11226043</v>
      </c>
      <c r="D68" s="30">
        <f>"31318831000130"</f>
        <v/>
      </c>
      <c r="E68" s="30" t="inlineStr">
        <is>
          <t>R.S.COMÉRCIO DE GAS LTDA</t>
        </is>
      </c>
      <c r="F68" s="30" t="inlineStr">
        <is>
          <t>2021</t>
        </is>
      </c>
      <c r="G68" s="40" t="n">
        <v>0</v>
      </c>
    </row>
    <row r="69" ht="12" customHeight="1">
      <c r="A69" s="30" t="inlineStr">
        <is>
          <t>ARE</t>
        </is>
      </c>
      <c r="B69" s="30" t="inlineStr">
        <is>
          <t>Areal</t>
        </is>
      </c>
      <c r="C69" s="30" t="n">
        <v>11227392</v>
      </c>
      <c r="D69" s="30">
        <f>"21160941000324"</f>
        <v/>
      </c>
      <c r="E69" s="30" t="inlineStr">
        <is>
          <t>ARC TRANSPORTE &amp; LOGISTICA DO TRANSPORTE - EIRELI</t>
        </is>
      </c>
      <c r="F69" s="30" t="inlineStr">
        <is>
          <t>2020</t>
        </is>
      </c>
      <c r="G69" s="40" t="n">
        <v>0</v>
      </c>
    </row>
    <row r="70" ht="12" customHeight="1">
      <c r="A70" s="30" t="inlineStr">
        <is>
          <t>ARE</t>
        </is>
      </c>
      <c r="B70" s="30" t="inlineStr">
        <is>
          <t>Areal</t>
        </is>
      </c>
      <c r="C70" s="30" t="n">
        <v>11227392</v>
      </c>
      <c r="D70" s="30">
        <f>"21160941000324"</f>
        <v/>
      </c>
      <c r="E70" s="30" t="inlineStr">
        <is>
          <t>ARC TRANSPORTE &amp; LOGISTICA DO TRANSPORTE - EIRELI</t>
        </is>
      </c>
      <c r="F70" s="30" t="inlineStr">
        <is>
          <t>2021</t>
        </is>
      </c>
      <c r="G70" s="40" t="n">
        <v>0</v>
      </c>
    </row>
    <row r="71" ht="12" customHeight="1">
      <c r="A71" s="30" t="inlineStr">
        <is>
          <t>ARE</t>
        </is>
      </c>
      <c r="B71" s="30" t="inlineStr">
        <is>
          <t>Areal</t>
        </is>
      </c>
      <c r="C71" s="30" t="n">
        <v>11227392</v>
      </c>
      <c r="D71" s="30">
        <f>"21160941000324"</f>
        <v/>
      </c>
      <c r="E71" s="30" t="inlineStr">
        <is>
          <t>ARC TRANSPORTE &amp; LOGISTICA DO TRANSPORTE - EIRELI</t>
        </is>
      </c>
      <c r="F71" s="30" t="inlineStr">
        <is>
          <t>2022</t>
        </is>
      </c>
      <c r="G71" s="40" t="n">
        <v>454.56</v>
      </c>
    </row>
    <row r="72" ht="12" customHeight="1">
      <c r="A72" s="30" t="inlineStr">
        <is>
          <t>ARE</t>
        </is>
      </c>
      <c r="B72" s="30" t="inlineStr">
        <is>
          <t>Areal</t>
        </is>
      </c>
      <c r="C72" s="30" t="n">
        <v>11227392</v>
      </c>
      <c r="D72" s="30">
        <f>"21160941000324"</f>
        <v/>
      </c>
      <c r="E72" s="30" t="inlineStr">
        <is>
          <t>ARC TRANSPORTE &amp; LOGISTICA DO TRANSPORTE - EIRELI</t>
        </is>
      </c>
      <c r="F72" s="30" t="inlineStr">
        <is>
          <t>2023</t>
        </is>
      </c>
      <c r="G72" s="40" t="n">
        <v>0</v>
      </c>
    </row>
    <row r="73" ht="12" customHeight="1">
      <c r="A73" s="30" t="inlineStr">
        <is>
          <t>ARE</t>
        </is>
      </c>
      <c r="B73" s="30" t="inlineStr">
        <is>
          <t>Areal</t>
        </is>
      </c>
      <c r="C73" s="30" t="n">
        <v>11233945</v>
      </c>
      <c r="D73" s="30">
        <f>"00941293000454"</f>
        <v/>
      </c>
      <c r="E73" s="30" t="inlineStr">
        <is>
          <t>SAO JOAQUIM TRANSPORTES LTDA</t>
        </is>
      </c>
      <c r="F73" s="30" t="inlineStr">
        <is>
          <t>2021</t>
        </is>
      </c>
      <c r="G73" s="40" t="n">
        <v>0</v>
      </c>
    </row>
    <row r="74" ht="12" customHeight="1">
      <c r="A74" s="30" t="inlineStr">
        <is>
          <t>ARE</t>
        </is>
      </c>
      <c r="B74" s="30" t="inlineStr">
        <is>
          <t>Areal</t>
        </is>
      </c>
      <c r="C74" s="30" t="n">
        <v>11233945</v>
      </c>
      <c r="D74" s="30">
        <f>"00941293000454"</f>
        <v/>
      </c>
      <c r="E74" s="30" t="inlineStr">
        <is>
          <t>SAO JOAQUIM TRANSPORTES LTDA</t>
        </is>
      </c>
      <c r="F74" s="30" t="inlineStr">
        <is>
          <t>2022</t>
        </is>
      </c>
      <c r="G74" s="40" t="n">
        <v>0</v>
      </c>
    </row>
    <row r="75" ht="12" customHeight="1">
      <c r="A75" s="30" t="inlineStr">
        <is>
          <t>ARE</t>
        </is>
      </c>
      <c r="B75" s="30" t="inlineStr">
        <is>
          <t>Areal</t>
        </is>
      </c>
      <c r="C75" s="30" t="n">
        <v>11233945</v>
      </c>
      <c r="D75" s="30">
        <f>"00941293000454"</f>
        <v/>
      </c>
      <c r="E75" s="30" t="inlineStr">
        <is>
          <t>SAO JOAQUIM TRANSPORTES LTDA</t>
        </is>
      </c>
      <c r="F75" s="30" t="inlineStr">
        <is>
          <t>2023</t>
        </is>
      </c>
      <c r="G75" s="40" t="n">
        <v>2159.38</v>
      </c>
    </row>
    <row r="76" ht="12" customHeight="1">
      <c r="A76" s="30" t="inlineStr">
        <is>
          <t>ARE</t>
        </is>
      </c>
      <c r="B76" s="30" t="inlineStr">
        <is>
          <t>Areal</t>
        </is>
      </c>
      <c r="C76" s="30" t="n">
        <v>11256589</v>
      </c>
      <c r="D76" s="30">
        <f>"54336600791"</f>
        <v/>
      </c>
      <c r="E76" s="30" t="inlineStr">
        <is>
          <t>MAX SALLES</t>
        </is>
      </c>
      <c r="F76" s="30" t="inlineStr">
        <is>
          <t>2017</t>
        </is>
      </c>
      <c r="G76" s="40" t="n">
        <v>0</v>
      </c>
    </row>
    <row r="77" ht="12" customHeight="1">
      <c r="A77" s="30" t="inlineStr">
        <is>
          <t>ARE</t>
        </is>
      </c>
      <c r="B77" s="30" t="inlineStr">
        <is>
          <t>Areal</t>
        </is>
      </c>
      <c r="C77" s="30" t="n">
        <v>11256589</v>
      </c>
      <c r="D77" s="30">
        <f>"54336600791"</f>
        <v/>
      </c>
      <c r="E77" s="30" t="inlineStr">
        <is>
          <t>MAX SALLES</t>
        </is>
      </c>
      <c r="F77" s="30" t="inlineStr">
        <is>
          <t>2018</t>
        </is>
      </c>
      <c r="G77" s="40" t="n">
        <v>0</v>
      </c>
    </row>
    <row r="78" ht="12" customHeight="1">
      <c r="A78" s="30" t="inlineStr">
        <is>
          <t>ARE</t>
        </is>
      </c>
      <c r="B78" s="30" t="inlineStr">
        <is>
          <t>Areal</t>
        </is>
      </c>
      <c r="C78" s="30" t="n">
        <v>11256589</v>
      </c>
      <c r="D78" s="30">
        <f>"54336600791"</f>
        <v/>
      </c>
      <c r="E78" s="30" t="inlineStr">
        <is>
          <t>MAX SALLES</t>
        </is>
      </c>
      <c r="F78" s="30" t="inlineStr">
        <is>
          <t>2019</t>
        </is>
      </c>
      <c r="G78" s="40" t="n">
        <v>0</v>
      </c>
    </row>
    <row r="79" ht="12" customHeight="1">
      <c r="A79" s="30" t="inlineStr">
        <is>
          <t>ARE</t>
        </is>
      </c>
      <c r="B79" s="30" t="inlineStr">
        <is>
          <t>Areal</t>
        </is>
      </c>
      <c r="C79" s="30" t="n">
        <v>11256589</v>
      </c>
      <c r="D79" s="30">
        <f>"54336600791"</f>
        <v/>
      </c>
      <c r="E79" s="30" t="inlineStr">
        <is>
          <t>MAX SALLES</t>
        </is>
      </c>
      <c r="F79" s="30" t="inlineStr">
        <is>
          <t>2020</t>
        </is>
      </c>
      <c r="G79" s="40" t="n">
        <v>0</v>
      </c>
    </row>
    <row r="80" ht="12" customHeight="1">
      <c r="A80" s="30" t="inlineStr">
        <is>
          <t>ARE</t>
        </is>
      </c>
      <c r="B80" s="30" t="inlineStr">
        <is>
          <t>Areal</t>
        </is>
      </c>
      <c r="C80" s="30" t="n">
        <v>11256589</v>
      </c>
      <c r="D80" s="30">
        <f>"54336600791"</f>
        <v/>
      </c>
      <c r="E80" s="30" t="inlineStr">
        <is>
          <t>MAX SALLES</t>
        </is>
      </c>
      <c r="F80" s="30" t="inlineStr">
        <is>
          <t>2021</t>
        </is>
      </c>
      <c r="G80" s="40" t="n">
        <v>0</v>
      </c>
    </row>
    <row r="81" ht="12" customHeight="1">
      <c r="A81" s="30" t="inlineStr">
        <is>
          <t>ARE</t>
        </is>
      </c>
      <c r="B81" s="30" t="inlineStr">
        <is>
          <t>Areal</t>
        </is>
      </c>
      <c r="C81" s="30" t="n">
        <v>11256589</v>
      </c>
      <c r="D81" s="30">
        <f>"54336600791"</f>
        <v/>
      </c>
      <c r="E81" s="30" t="inlineStr">
        <is>
          <t>MAX SALLES</t>
        </is>
      </c>
      <c r="F81" s="30" t="inlineStr">
        <is>
          <t>2022</t>
        </is>
      </c>
      <c r="G81" s="40" t="n">
        <v>0</v>
      </c>
    </row>
    <row r="82" ht="12" customHeight="1">
      <c r="A82" s="30" t="inlineStr">
        <is>
          <t>ARE</t>
        </is>
      </c>
      <c r="B82" s="30" t="inlineStr">
        <is>
          <t>Areal</t>
        </is>
      </c>
      <c r="C82" s="30" t="n">
        <v>11256589</v>
      </c>
      <c r="D82" s="30">
        <f>"54336600791"</f>
        <v/>
      </c>
      <c r="E82" s="30" t="inlineStr">
        <is>
          <t>MAX SALLES</t>
        </is>
      </c>
      <c r="F82" s="30" t="inlineStr">
        <is>
          <t>2023</t>
        </is>
      </c>
      <c r="G82" s="40" t="n">
        <v>0</v>
      </c>
    </row>
    <row r="83" ht="12" customHeight="1">
      <c r="A83" s="30" t="inlineStr">
        <is>
          <t>ARE</t>
        </is>
      </c>
      <c r="B83" s="30" t="inlineStr">
        <is>
          <t>Areal</t>
        </is>
      </c>
      <c r="C83" s="30" t="n">
        <v>11270557</v>
      </c>
      <c r="D83" s="30">
        <f>"30566256000121"</f>
        <v/>
      </c>
      <c r="E83" s="30" t="inlineStr">
        <is>
          <t>AUTO POSTO DFR LTDA</t>
        </is>
      </c>
      <c r="F83" s="30" t="inlineStr">
        <is>
          <t>2017</t>
        </is>
      </c>
      <c r="G83" s="40" t="n">
        <v>0</v>
      </c>
    </row>
    <row r="84" ht="12" customHeight="1">
      <c r="A84" s="30" t="inlineStr">
        <is>
          <t>ARE</t>
        </is>
      </c>
      <c r="B84" s="30" t="inlineStr">
        <is>
          <t>Areal</t>
        </is>
      </c>
      <c r="C84" s="30" t="n">
        <v>11270557</v>
      </c>
      <c r="D84" s="30">
        <f>"30566256000121"</f>
        <v/>
      </c>
      <c r="E84" s="30" t="inlineStr">
        <is>
          <t>AUTO POSTO DFR LTDA</t>
        </is>
      </c>
      <c r="F84" s="30" t="inlineStr">
        <is>
          <t>2018</t>
        </is>
      </c>
      <c r="G84" s="40" t="n">
        <v>0</v>
      </c>
    </row>
    <row r="85" ht="12" customHeight="1">
      <c r="A85" s="30" t="inlineStr">
        <is>
          <t>ARE</t>
        </is>
      </c>
      <c r="B85" s="30" t="inlineStr">
        <is>
          <t>Areal</t>
        </is>
      </c>
      <c r="C85" s="30" t="n">
        <v>11270557</v>
      </c>
      <c r="D85" s="30">
        <f>"30566256000121"</f>
        <v/>
      </c>
      <c r="E85" s="30" t="inlineStr">
        <is>
          <t>AUTO POSTO DFR LTDA</t>
        </is>
      </c>
      <c r="F85" s="30" t="inlineStr">
        <is>
          <t>2019</t>
        </is>
      </c>
      <c r="G85" s="40" t="n">
        <v>887917.99</v>
      </c>
    </row>
    <row r="86" ht="12" customHeight="1">
      <c r="A86" s="30" t="inlineStr">
        <is>
          <t>ARE</t>
        </is>
      </c>
      <c r="B86" s="30" t="inlineStr">
        <is>
          <t>Areal</t>
        </is>
      </c>
      <c r="C86" s="30" t="n">
        <v>11270557</v>
      </c>
      <c r="D86" s="30">
        <f>"30566256000121"</f>
        <v/>
      </c>
      <c r="E86" s="30" t="inlineStr">
        <is>
          <t>AUTO POSTO DFR LTDA</t>
        </is>
      </c>
      <c r="F86" s="30" t="inlineStr">
        <is>
          <t>2020</t>
        </is>
      </c>
      <c r="G86" s="40" t="n">
        <v>805767.01</v>
      </c>
    </row>
    <row r="87" ht="12" customHeight="1">
      <c r="A87" s="30" t="inlineStr">
        <is>
          <t>ARE</t>
        </is>
      </c>
      <c r="B87" s="30" t="inlineStr">
        <is>
          <t>Areal</t>
        </is>
      </c>
      <c r="C87" s="30" t="n">
        <v>11270557</v>
      </c>
      <c r="D87" s="30">
        <f>"30566256000121"</f>
        <v/>
      </c>
      <c r="E87" s="30" t="inlineStr">
        <is>
          <t>AUTO POSTO DFR LTDA</t>
        </is>
      </c>
      <c r="F87" s="30" t="inlineStr">
        <is>
          <t>2021</t>
        </is>
      </c>
      <c r="G87" s="40" t="n">
        <v>815676.6899999999</v>
      </c>
    </row>
    <row r="88" ht="12" customHeight="1">
      <c r="A88" s="30" t="inlineStr">
        <is>
          <t>ARE</t>
        </is>
      </c>
      <c r="B88" s="30" t="inlineStr">
        <is>
          <t>Areal</t>
        </is>
      </c>
      <c r="C88" s="30" t="n">
        <v>11270557</v>
      </c>
      <c r="D88" s="30">
        <f>"30566256000121"</f>
        <v/>
      </c>
      <c r="E88" s="30" t="inlineStr">
        <is>
          <t>AUTO POSTO DFR LTDA</t>
        </is>
      </c>
      <c r="F88" s="30" t="inlineStr">
        <is>
          <t>2022</t>
        </is>
      </c>
      <c r="G88" s="40" t="n">
        <v>1172896.87</v>
      </c>
    </row>
    <row r="89" ht="12" customHeight="1">
      <c r="A89" s="30" t="inlineStr">
        <is>
          <t>ARE</t>
        </is>
      </c>
      <c r="B89" s="30" t="inlineStr">
        <is>
          <t>Areal</t>
        </is>
      </c>
      <c r="C89" s="30" t="n">
        <v>11270557</v>
      </c>
      <c r="D89" s="30">
        <f>"30566256000121"</f>
        <v/>
      </c>
      <c r="E89" s="30" t="inlineStr">
        <is>
          <t>AUTO POSTO DFR LTDA</t>
        </is>
      </c>
      <c r="F89" s="30" t="inlineStr">
        <is>
          <t>2023</t>
        </is>
      </c>
      <c r="G89" s="40" t="n">
        <v>1392752</v>
      </c>
    </row>
    <row r="90" ht="12" customHeight="1">
      <c r="A90" s="30" t="inlineStr">
        <is>
          <t>ARE</t>
        </is>
      </c>
      <c r="B90" s="30" t="inlineStr">
        <is>
          <t>Areal</t>
        </is>
      </c>
      <c r="C90" s="30" t="n">
        <v>11278892</v>
      </c>
      <c r="D90" s="30">
        <f>"05112286000544"</f>
        <v/>
      </c>
      <c r="E90" s="30" t="inlineStr">
        <is>
          <t>BINHO TRANSPORTES E LOGISTICA EIRELI</t>
        </is>
      </c>
      <c r="F90" s="30" t="inlineStr">
        <is>
          <t>2017</t>
        </is>
      </c>
      <c r="G90" s="40" t="n">
        <v>0</v>
      </c>
    </row>
    <row r="91" ht="12" customHeight="1">
      <c r="A91" s="30" t="inlineStr">
        <is>
          <t>ARE</t>
        </is>
      </c>
      <c r="B91" s="30" t="inlineStr">
        <is>
          <t>Areal</t>
        </is>
      </c>
      <c r="C91" s="30" t="n">
        <v>11278892</v>
      </c>
      <c r="D91" s="30">
        <f>"05112286000544"</f>
        <v/>
      </c>
      <c r="E91" s="30" t="inlineStr">
        <is>
          <t>BINHO TRANSPORTES E LOGISTICA EIRELI</t>
        </is>
      </c>
      <c r="F91" s="30" t="inlineStr">
        <is>
          <t>2018</t>
        </is>
      </c>
      <c r="G91" s="40" t="n">
        <v>0</v>
      </c>
    </row>
    <row r="92" ht="12" customHeight="1">
      <c r="A92" s="30" t="inlineStr">
        <is>
          <t>ARE</t>
        </is>
      </c>
      <c r="B92" s="30" t="inlineStr">
        <is>
          <t>Areal</t>
        </is>
      </c>
      <c r="C92" s="30" t="n">
        <v>11278892</v>
      </c>
      <c r="D92" s="30">
        <f>"05112286000544"</f>
        <v/>
      </c>
      <c r="E92" s="30" t="inlineStr">
        <is>
          <t>BINHO TRANSPORTES E LOGISTICA EIRELI</t>
        </is>
      </c>
      <c r="F92" s="30" t="inlineStr">
        <is>
          <t>2019</t>
        </is>
      </c>
      <c r="G92" s="40" t="n">
        <v>36421.33</v>
      </c>
    </row>
    <row r="93" ht="12" customHeight="1">
      <c r="A93" s="30" t="inlineStr">
        <is>
          <t>ARE</t>
        </is>
      </c>
      <c r="B93" s="30" t="inlineStr">
        <is>
          <t>Areal</t>
        </is>
      </c>
      <c r="C93" s="30" t="n">
        <v>11278892</v>
      </c>
      <c r="D93" s="30">
        <f>"05112286000544"</f>
        <v/>
      </c>
      <c r="E93" s="30" t="inlineStr">
        <is>
          <t>BINHO TRANSPORTES E LOGISTICA EIRELI</t>
        </is>
      </c>
      <c r="F93" s="30" t="inlineStr">
        <is>
          <t>2020</t>
        </is>
      </c>
      <c r="G93" s="40" t="n">
        <v>22381.75</v>
      </c>
    </row>
    <row r="94" ht="12" customHeight="1">
      <c r="A94" s="30" t="inlineStr">
        <is>
          <t>ARE</t>
        </is>
      </c>
      <c r="B94" s="30" t="inlineStr">
        <is>
          <t>Areal</t>
        </is>
      </c>
      <c r="C94" s="30" t="n">
        <v>11278892</v>
      </c>
      <c r="D94" s="30">
        <f>"05112286000544"</f>
        <v/>
      </c>
      <c r="E94" s="30" t="inlineStr">
        <is>
          <t>BINHO TRANSPORTES E LOGISTICA EIRELI</t>
        </is>
      </c>
      <c r="F94" s="30" t="inlineStr">
        <is>
          <t>2021</t>
        </is>
      </c>
      <c r="G94" s="40" t="n">
        <v>0</v>
      </c>
    </row>
    <row r="95" ht="12" customHeight="1">
      <c r="A95" s="30" t="inlineStr">
        <is>
          <t>ARE</t>
        </is>
      </c>
      <c r="B95" s="30" t="inlineStr">
        <is>
          <t>Areal</t>
        </is>
      </c>
      <c r="C95" s="30" t="n">
        <v>11278892</v>
      </c>
      <c r="D95" s="30">
        <f>"05112286000544"</f>
        <v/>
      </c>
      <c r="E95" s="30" t="inlineStr">
        <is>
          <t>BINHO TRANSPORTES E LOGISTICA EIRELI</t>
        </is>
      </c>
      <c r="F95" s="30" t="inlineStr">
        <is>
          <t>2022</t>
        </is>
      </c>
      <c r="G95" s="40" t="n">
        <v>0</v>
      </c>
    </row>
    <row r="96" ht="12" customHeight="1">
      <c r="A96" s="30" t="inlineStr">
        <is>
          <t>ARE</t>
        </is>
      </c>
      <c r="B96" s="30" t="inlineStr">
        <is>
          <t>Areal</t>
        </is>
      </c>
      <c r="C96" s="30" t="n">
        <v>11284671</v>
      </c>
      <c r="D96" s="30">
        <f>"77799526734"</f>
        <v/>
      </c>
      <c r="E96" s="30" t="inlineStr">
        <is>
          <t>ADILSON PAULO ALVES DA COSTA</t>
        </is>
      </c>
      <c r="F96" s="30" t="inlineStr">
        <is>
          <t>2017</t>
        </is>
      </c>
      <c r="G96" s="40" t="n">
        <v>0</v>
      </c>
    </row>
    <row r="97" ht="12" customHeight="1">
      <c r="A97" s="30" t="inlineStr">
        <is>
          <t>ARE</t>
        </is>
      </c>
      <c r="B97" s="30" t="inlineStr">
        <is>
          <t>Areal</t>
        </is>
      </c>
      <c r="C97" s="30" t="n">
        <v>11284671</v>
      </c>
      <c r="D97" s="30">
        <f>"77799526734"</f>
        <v/>
      </c>
      <c r="E97" s="30" t="inlineStr">
        <is>
          <t>ADILSON PAULO ALVES DA COSTA</t>
        </is>
      </c>
      <c r="F97" s="30" t="inlineStr">
        <is>
          <t>2018</t>
        </is>
      </c>
      <c r="G97" s="40" t="n">
        <v>0</v>
      </c>
    </row>
    <row r="98" ht="12" customHeight="1">
      <c r="A98" s="30" t="inlineStr">
        <is>
          <t>ARE</t>
        </is>
      </c>
      <c r="B98" s="30" t="inlineStr">
        <is>
          <t>Areal</t>
        </is>
      </c>
      <c r="C98" s="30" t="n">
        <v>11284671</v>
      </c>
      <c r="D98" s="30">
        <f>"77799526734"</f>
        <v/>
      </c>
      <c r="E98" s="30" t="inlineStr">
        <is>
          <t>ADILSON PAULO ALVES DA COSTA</t>
        </is>
      </c>
      <c r="F98" s="30" t="inlineStr">
        <is>
          <t>2019</t>
        </is>
      </c>
      <c r="G98" s="40" t="n">
        <v>2250</v>
      </c>
    </row>
    <row r="99" ht="12" customHeight="1">
      <c r="A99" s="30" t="inlineStr">
        <is>
          <t>ARE</t>
        </is>
      </c>
      <c r="B99" s="30" t="inlineStr">
        <is>
          <t>Areal</t>
        </is>
      </c>
      <c r="C99" s="30" t="n">
        <v>11284671</v>
      </c>
      <c r="D99" s="30">
        <f>"77799526734"</f>
        <v/>
      </c>
      <c r="E99" s="30" t="inlineStr">
        <is>
          <t>ADILSON PAULO ALVES DA COSTA</t>
        </is>
      </c>
      <c r="F99" s="30" t="inlineStr">
        <is>
          <t>2020</t>
        </is>
      </c>
      <c r="G99" s="40" t="n">
        <v>0</v>
      </c>
    </row>
    <row r="100" ht="12" customHeight="1">
      <c r="A100" s="30" t="inlineStr">
        <is>
          <t>ARE</t>
        </is>
      </c>
      <c r="B100" s="30" t="inlineStr">
        <is>
          <t>Areal</t>
        </is>
      </c>
      <c r="C100" s="30" t="n">
        <v>11284671</v>
      </c>
      <c r="D100" s="30">
        <f>"77799526734"</f>
        <v/>
      </c>
      <c r="E100" s="30" t="inlineStr">
        <is>
          <t>ADILSON PAULO ALVES DA COSTA</t>
        </is>
      </c>
      <c r="F100" s="30" t="inlineStr">
        <is>
          <t>2021</t>
        </is>
      </c>
      <c r="G100" s="40" t="n">
        <v>9813.5</v>
      </c>
    </row>
    <row r="101" ht="12" customHeight="1">
      <c r="A101" s="30" t="inlineStr">
        <is>
          <t>ARE</t>
        </is>
      </c>
      <c r="B101" s="30" t="inlineStr">
        <is>
          <t>Areal</t>
        </is>
      </c>
      <c r="C101" s="30" t="n">
        <v>11284671</v>
      </c>
      <c r="D101" s="30">
        <f>"77799526734"</f>
        <v/>
      </c>
      <c r="E101" s="30" t="inlineStr">
        <is>
          <t>ADILSON PAULO ALVES DA COSTA</t>
        </is>
      </c>
      <c r="F101" s="30" t="inlineStr">
        <is>
          <t>2022</t>
        </is>
      </c>
      <c r="G101" s="40" t="n">
        <v>0</v>
      </c>
    </row>
    <row r="102" ht="12" customHeight="1">
      <c r="A102" s="30" t="inlineStr">
        <is>
          <t>ARE</t>
        </is>
      </c>
      <c r="B102" s="30" t="inlineStr">
        <is>
          <t>Areal</t>
        </is>
      </c>
      <c r="C102" s="30" t="n">
        <v>11284671</v>
      </c>
      <c r="D102" s="30">
        <f>"77799526734"</f>
        <v/>
      </c>
      <c r="E102" s="30" t="inlineStr">
        <is>
          <t>ADILSON PAULO ALVES DA COSTA</t>
        </is>
      </c>
      <c r="F102" s="30" t="inlineStr">
        <is>
          <t>2023</t>
        </is>
      </c>
      <c r="G102" s="40" t="n">
        <v>17245</v>
      </c>
    </row>
    <row r="103" ht="12" customHeight="1">
      <c r="A103" s="30" t="inlineStr">
        <is>
          <t>ARE</t>
        </is>
      </c>
      <c r="B103" s="30" t="inlineStr">
        <is>
          <t>Areal</t>
        </is>
      </c>
      <c r="C103" s="30" t="n">
        <v>11286810</v>
      </c>
      <c r="D103" s="30">
        <f>"28570101000117"</f>
        <v/>
      </c>
      <c r="E103" s="30" t="inlineStr">
        <is>
          <t>BUBLIM ACESSORIOS EIRELI</t>
        </is>
      </c>
      <c r="F103" s="30" t="inlineStr">
        <is>
          <t>2017</t>
        </is>
      </c>
      <c r="G103" s="40" t="n">
        <v>0</v>
      </c>
    </row>
    <row r="104" ht="12" customHeight="1">
      <c r="A104" s="30" t="inlineStr">
        <is>
          <t>ARE</t>
        </is>
      </c>
      <c r="B104" s="30" t="inlineStr">
        <is>
          <t>Areal</t>
        </is>
      </c>
      <c r="C104" s="30" t="n">
        <v>11286810</v>
      </c>
      <c r="D104" s="30">
        <f>"28570101000117"</f>
        <v/>
      </c>
      <c r="E104" s="30" t="inlineStr">
        <is>
          <t>BUBLIM ACESSORIOS EIRELI</t>
        </is>
      </c>
      <c r="F104" s="30" t="inlineStr">
        <is>
          <t>2018</t>
        </is>
      </c>
      <c r="G104" s="40" t="n">
        <v>0</v>
      </c>
    </row>
    <row r="105" ht="12" customHeight="1">
      <c r="A105" s="30" t="inlineStr">
        <is>
          <t>ARE</t>
        </is>
      </c>
      <c r="B105" s="30" t="inlineStr">
        <is>
          <t>Areal</t>
        </is>
      </c>
      <c r="C105" s="30" t="n">
        <v>11286810</v>
      </c>
      <c r="D105" s="30">
        <f>"28570101000117"</f>
        <v/>
      </c>
      <c r="E105" s="30" t="inlineStr">
        <is>
          <t>BUBLIM ACESSORIOS EIRELI</t>
        </is>
      </c>
      <c r="F105" s="30" t="inlineStr">
        <is>
          <t>2019</t>
        </is>
      </c>
      <c r="G105" s="40" t="n">
        <v>0</v>
      </c>
    </row>
    <row r="106" ht="12" customHeight="1">
      <c r="A106" s="30" t="inlineStr">
        <is>
          <t>ARE</t>
        </is>
      </c>
      <c r="B106" s="30" t="inlineStr">
        <is>
          <t>Areal</t>
        </is>
      </c>
      <c r="C106" s="30" t="n">
        <v>11286810</v>
      </c>
      <c r="D106" s="30">
        <f>"28570101000117"</f>
        <v/>
      </c>
      <c r="E106" s="30" t="inlineStr">
        <is>
          <t>BUBLIM ACESSORIOS EIRELI</t>
        </is>
      </c>
      <c r="F106" s="30" t="inlineStr">
        <is>
          <t>2020</t>
        </is>
      </c>
      <c r="G106" s="40" t="n">
        <v>0</v>
      </c>
    </row>
    <row r="107" ht="12" customHeight="1">
      <c r="A107" s="30" t="inlineStr">
        <is>
          <t>ARE</t>
        </is>
      </c>
      <c r="B107" s="30" t="inlineStr">
        <is>
          <t>Areal</t>
        </is>
      </c>
      <c r="C107" s="30" t="n">
        <v>11286810</v>
      </c>
      <c r="D107" s="30">
        <f>"28570101000117"</f>
        <v/>
      </c>
      <c r="E107" s="30" t="inlineStr">
        <is>
          <t>BUBLIM ACESSORIOS EIRELI</t>
        </is>
      </c>
      <c r="F107" s="30" t="inlineStr">
        <is>
          <t>2021</t>
        </is>
      </c>
      <c r="G107" s="40" t="n">
        <v>0</v>
      </c>
    </row>
    <row r="108" ht="12" customHeight="1">
      <c r="A108" s="30" t="inlineStr">
        <is>
          <t>ARE</t>
        </is>
      </c>
      <c r="B108" s="30" t="inlineStr">
        <is>
          <t>Areal</t>
        </is>
      </c>
      <c r="C108" s="30" t="n">
        <v>11286810</v>
      </c>
      <c r="D108" s="30">
        <f>"28570101000117"</f>
        <v/>
      </c>
      <c r="E108" s="30" t="inlineStr">
        <is>
          <t>BUBLIM ACESSORIOS EIRELI</t>
        </is>
      </c>
      <c r="F108" s="30" t="inlineStr">
        <is>
          <t>2022</t>
        </is>
      </c>
      <c r="G108" s="40" t="n">
        <v>110933.75</v>
      </c>
    </row>
    <row r="109" ht="12" customHeight="1">
      <c r="A109" s="30" t="inlineStr">
        <is>
          <t>ARE</t>
        </is>
      </c>
      <c r="B109" s="30" t="inlineStr">
        <is>
          <t>Areal</t>
        </is>
      </c>
      <c r="C109" s="30" t="n">
        <v>11286810</v>
      </c>
      <c r="D109" s="30">
        <f>"28570101000117"</f>
        <v/>
      </c>
      <c r="E109" s="30" t="inlineStr">
        <is>
          <t>BUBLIM ACESSORIOS EIRELI</t>
        </is>
      </c>
      <c r="F109" s="30" t="inlineStr">
        <is>
          <t>2023</t>
        </is>
      </c>
      <c r="G109" s="40" t="n">
        <v>0</v>
      </c>
    </row>
    <row r="110" ht="12" customHeight="1">
      <c r="A110" s="30" t="inlineStr">
        <is>
          <t>ARE</t>
        </is>
      </c>
      <c r="B110" s="30" t="inlineStr">
        <is>
          <t>Areal</t>
        </is>
      </c>
      <c r="C110" s="30" t="n">
        <v>11298109</v>
      </c>
      <c r="D110" s="30">
        <f>"04178652796"</f>
        <v/>
      </c>
      <c r="E110" s="30" t="inlineStr">
        <is>
          <t>ROBERTA APARECIDA OLIVEIRA RIBEIRO</t>
        </is>
      </c>
      <c r="F110" s="30" t="inlineStr">
        <is>
          <t>2017</t>
        </is>
      </c>
      <c r="G110" s="40" t="n">
        <v>0</v>
      </c>
    </row>
    <row r="111" ht="12" customHeight="1">
      <c r="A111" s="30" t="inlineStr">
        <is>
          <t>ARE</t>
        </is>
      </c>
      <c r="B111" s="30" t="inlineStr">
        <is>
          <t>Areal</t>
        </is>
      </c>
      <c r="C111" s="30" t="n">
        <v>11298109</v>
      </c>
      <c r="D111" s="30">
        <f>"04178652796"</f>
        <v/>
      </c>
      <c r="E111" s="30" t="inlineStr">
        <is>
          <t>ROBERTA APARECIDA OLIVEIRA RIBEIRO</t>
        </is>
      </c>
      <c r="F111" s="30" t="inlineStr">
        <is>
          <t>2018</t>
        </is>
      </c>
      <c r="G111" s="40" t="n">
        <v>0</v>
      </c>
    </row>
    <row r="112" ht="12" customHeight="1">
      <c r="A112" s="30" t="inlineStr">
        <is>
          <t>ARE</t>
        </is>
      </c>
      <c r="B112" s="30" t="inlineStr">
        <is>
          <t>Areal</t>
        </is>
      </c>
      <c r="C112" s="30" t="n">
        <v>11298109</v>
      </c>
      <c r="D112" s="30">
        <f>"04178652796"</f>
        <v/>
      </c>
      <c r="E112" s="30" t="inlineStr">
        <is>
          <t>ROBERTA APARECIDA OLIVEIRA RIBEIRO</t>
        </is>
      </c>
      <c r="F112" s="30" t="inlineStr">
        <is>
          <t>2019</t>
        </is>
      </c>
      <c r="G112" s="40" t="n">
        <v>0</v>
      </c>
    </row>
    <row r="113" ht="12" customHeight="1">
      <c r="A113" s="30" t="inlineStr">
        <is>
          <t>ARE</t>
        </is>
      </c>
      <c r="B113" s="30" t="inlineStr">
        <is>
          <t>Areal</t>
        </is>
      </c>
      <c r="C113" s="30" t="n">
        <v>11298109</v>
      </c>
      <c r="D113" s="30">
        <f>"04178652796"</f>
        <v/>
      </c>
      <c r="E113" s="30" t="inlineStr">
        <is>
          <t>ROBERTA APARECIDA OLIVEIRA RIBEIRO</t>
        </is>
      </c>
      <c r="F113" s="30" t="inlineStr">
        <is>
          <t>2020</t>
        </is>
      </c>
      <c r="G113" s="40" t="n">
        <v>14519</v>
      </c>
    </row>
    <row r="114" ht="12" customHeight="1">
      <c r="A114" s="30" t="inlineStr">
        <is>
          <t>ARE</t>
        </is>
      </c>
      <c r="B114" s="30" t="inlineStr">
        <is>
          <t>Areal</t>
        </is>
      </c>
      <c r="C114" s="30" t="n">
        <v>11298109</v>
      </c>
      <c r="D114" s="30">
        <f>"04178652796"</f>
        <v/>
      </c>
      <c r="E114" s="30" t="inlineStr">
        <is>
          <t>ROBERTA APARECIDA OLIVEIRA RIBEIRO</t>
        </is>
      </c>
      <c r="F114" s="30" t="inlineStr">
        <is>
          <t>2021</t>
        </is>
      </c>
      <c r="G114" s="40" t="n">
        <v>0</v>
      </c>
    </row>
    <row r="115" ht="12" customHeight="1">
      <c r="A115" s="30" t="inlineStr">
        <is>
          <t>ARE</t>
        </is>
      </c>
      <c r="B115" s="30" t="inlineStr">
        <is>
          <t>Areal</t>
        </is>
      </c>
      <c r="C115" s="30" t="n">
        <v>11298109</v>
      </c>
      <c r="D115" s="30">
        <f>"04178652796"</f>
        <v/>
      </c>
      <c r="E115" s="30" t="inlineStr">
        <is>
          <t>ROBERTA APARECIDA OLIVEIRA RIBEIRO</t>
        </is>
      </c>
      <c r="F115" s="30" t="inlineStr">
        <is>
          <t>2022</t>
        </is>
      </c>
      <c r="G115" s="40" t="n">
        <v>0</v>
      </c>
    </row>
    <row r="116" ht="12" customHeight="1">
      <c r="A116" s="30" t="inlineStr">
        <is>
          <t>ARE</t>
        </is>
      </c>
      <c r="B116" s="30" t="inlineStr">
        <is>
          <t>Areal</t>
        </is>
      </c>
      <c r="C116" s="30" t="n">
        <v>11298109</v>
      </c>
      <c r="D116" s="30">
        <f>"04178652796"</f>
        <v/>
      </c>
      <c r="E116" s="30" t="inlineStr">
        <is>
          <t>ROBERTA APARECIDA OLIVEIRA RIBEIRO</t>
        </is>
      </c>
      <c r="F116" s="30" t="inlineStr">
        <is>
          <t>2023</t>
        </is>
      </c>
      <c r="G116" s="40" t="n">
        <v>0</v>
      </c>
    </row>
    <row r="117" ht="12" customHeight="1">
      <c r="A117" s="30" t="inlineStr">
        <is>
          <t>ARE</t>
        </is>
      </c>
      <c r="B117" s="30" t="inlineStr">
        <is>
          <t>Areal</t>
        </is>
      </c>
      <c r="C117" s="30" t="n">
        <v>11302165</v>
      </c>
      <c r="D117" s="30">
        <f>"71471324753"</f>
        <v/>
      </c>
      <c r="E117" s="30" t="inlineStr">
        <is>
          <t>LUIZ RONALDO ESTEVES DE ABREU</t>
        </is>
      </c>
      <c r="F117" s="30" t="inlineStr">
        <is>
          <t>2017</t>
        </is>
      </c>
      <c r="G117" s="40" t="n">
        <v>0</v>
      </c>
    </row>
    <row r="118" ht="12" customHeight="1">
      <c r="A118" s="30" t="inlineStr">
        <is>
          <t>ARE</t>
        </is>
      </c>
      <c r="B118" s="30" t="inlineStr">
        <is>
          <t>Areal</t>
        </is>
      </c>
      <c r="C118" s="30" t="n">
        <v>11302165</v>
      </c>
      <c r="D118" s="30">
        <f>"71471324753"</f>
        <v/>
      </c>
      <c r="E118" s="30" t="inlineStr">
        <is>
          <t>LUIZ RONALDO ESTEVES DE ABREU</t>
        </is>
      </c>
      <c r="F118" s="30" t="inlineStr">
        <is>
          <t>2018</t>
        </is>
      </c>
      <c r="G118" s="40" t="n">
        <v>0</v>
      </c>
    </row>
    <row r="119" ht="12" customHeight="1">
      <c r="A119" s="30" t="inlineStr">
        <is>
          <t>ARE</t>
        </is>
      </c>
      <c r="B119" s="30" t="inlineStr">
        <is>
          <t>Areal</t>
        </is>
      </c>
      <c r="C119" s="30" t="n">
        <v>11302165</v>
      </c>
      <c r="D119" s="30">
        <f>"71471324753"</f>
        <v/>
      </c>
      <c r="E119" s="30" t="inlineStr">
        <is>
          <t>LUIZ RONALDO ESTEVES DE ABREU</t>
        </is>
      </c>
      <c r="F119" s="30" t="inlineStr">
        <is>
          <t>2019</t>
        </is>
      </c>
      <c r="G119" s="40" t="n">
        <v>0</v>
      </c>
    </row>
    <row r="120" ht="12" customHeight="1">
      <c r="A120" s="30" t="inlineStr">
        <is>
          <t>ARE</t>
        </is>
      </c>
      <c r="B120" s="30" t="inlineStr">
        <is>
          <t>Areal</t>
        </is>
      </c>
      <c r="C120" s="30" t="n">
        <v>11302165</v>
      </c>
      <c r="D120" s="30">
        <f>"71471324753"</f>
        <v/>
      </c>
      <c r="E120" s="30" t="inlineStr">
        <is>
          <t>LUIZ RONALDO ESTEVES DE ABREU</t>
        </is>
      </c>
      <c r="F120" s="30" t="inlineStr">
        <is>
          <t>2020</t>
        </is>
      </c>
      <c r="G120" s="40" t="n">
        <v>0</v>
      </c>
    </row>
    <row r="121" ht="12" customHeight="1">
      <c r="A121" s="30" t="inlineStr">
        <is>
          <t>ARE</t>
        </is>
      </c>
      <c r="B121" s="30" t="inlineStr">
        <is>
          <t>Areal</t>
        </is>
      </c>
      <c r="C121" s="30" t="n">
        <v>11302165</v>
      </c>
      <c r="D121" s="30">
        <f>"71471324753"</f>
        <v/>
      </c>
      <c r="E121" s="30" t="inlineStr">
        <is>
          <t>LUIZ RONALDO ESTEVES DE ABREU</t>
        </is>
      </c>
      <c r="F121" s="30" t="inlineStr">
        <is>
          <t>2021</t>
        </is>
      </c>
      <c r="G121" s="40" t="n">
        <v>0</v>
      </c>
    </row>
    <row r="122" ht="12" customHeight="1">
      <c r="A122" s="30" t="inlineStr">
        <is>
          <t>ARE</t>
        </is>
      </c>
      <c r="B122" s="30" t="inlineStr">
        <is>
          <t>Areal</t>
        </is>
      </c>
      <c r="C122" s="30" t="n">
        <v>11302165</v>
      </c>
      <c r="D122" s="30">
        <f>"71471324753"</f>
        <v/>
      </c>
      <c r="E122" s="30" t="inlineStr">
        <is>
          <t>LUIZ RONALDO ESTEVES DE ABREU</t>
        </is>
      </c>
      <c r="F122" s="30" t="inlineStr">
        <is>
          <t>2022</t>
        </is>
      </c>
      <c r="G122" s="40" t="n">
        <v>0</v>
      </c>
    </row>
    <row r="123" ht="12" customHeight="1">
      <c r="A123" s="30" t="inlineStr">
        <is>
          <t>ARE</t>
        </is>
      </c>
      <c r="B123" s="30" t="inlineStr">
        <is>
          <t>Areal</t>
        </is>
      </c>
      <c r="C123" s="30" t="n">
        <v>11302165</v>
      </c>
      <c r="D123" s="30">
        <f>"71471324753"</f>
        <v/>
      </c>
      <c r="E123" s="30" t="inlineStr">
        <is>
          <t>LUIZ RONALDO ESTEVES DE ABREU</t>
        </is>
      </c>
      <c r="F123" s="30" t="inlineStr">
        <is>
          <t>2023</t>
        </is>
      </c>
      <c r="G123" s="40" t="n">
        <v>0</v>
      </c>
    </row>
    <row r="124" ht="12" customHeight="1">
      <c r="A124" s="30" t="inlineStr">
        <is>
          <t>ARE</t>
        </is>
      </c>
      <c r="B124" s="30" t="inlineStr">
        <is>
          <t>Areal</t>
        </is>
      </c>
      <c r="C124" s="30" t="n">
        <v>11306870</v>
      </c>
      <c r="D124" s="30">
        <f>"26607430000321"</f>
        <v/>
      </c>
      <c r="E124" s="30" t="inlineStr">
        <is>
          <t>EXPRESSO JA LTDA</t>
        </is>
      </c>
      <c r="F124" s="30" t="inlineStr">
        <is>
          <t>2019</t>
        </is>
      </c>
      <c r="G124" s="40" t="n">
        <v>0</v>
      </c>
    </row>
    <row r="125" ht="12" customHeight="1">
      <c r="A125" s="30" t="inlineStr">
        <is>
          <t>ARE</t>
        </is>
      </c>
      <c r="B125" s="30" t="inlineStr">
        <is>
          <t>Areal</t>
        </is>
      </c>
      <c r="C125" s="30" t="n">
        <v>11306870</v>
      </c>
      <c r="D125" s="30">
        <f>"26607430000321"</f>
        <v/>
      </c>
      <c r="E125" s="30" t="inlineStr">
        <is>
          <t>EXPRESSO JA LTDA</t>
        </is>
      </c>
      <c r="F125" s="30" t="inlineStr">
        <is>
          <t>2020</t>
        </is>
      </c>
      <c r="G125" s="40" t="n">
        <v>0</v>
      </c>
    </row>
    <row r="126" ht="12" customHeight="1">
      <c r="A126" s="30" t="inlineStr">
        <is>
          <t>ARE</t>
        </is>
      </c>
      <c r="B126" s="30" t="inlineStr">
        <is>
          <t>Areal</t>
        </is>
      </c>
      <c r="C126" s="30" t="n">
        <v>11306870</v>
      </c>
      <c r="D126" s="30">
        <f>"26607430000321"</f>
        <v/>
      </c>
      <c r="E126" s="30" t="inlineStr">
        <is>
          <t>EXPRESSO JA LTDA</t>
        </is>
      </c>
      <c r="F126" s="30" t="inlineStr">
        <is>
          <t>2021</t>
        </is>
      </c>
      <c r="G126" s="40" t="n">
        <v>36.5</v>
      </c>
    </row>
    <row r="127" ht="12" customHeight="1">
      <c r="A127" s="30" t="inlineStr">
        <is>
          <t>ARE</t>
        </is>
      </c>
      <c r="B127" s="30" t="inlineStr">
        <is>
          <t>Areal</t>
        </is>
      </c>
      <c r="C127" s="30" t="n">
        <v>11306870</v>
      </c>
      <c r="D127" s="30">
        <f>"26607430000321"</f>
        <v/>
      </c>
      <c r="E127" s="30" t="inlineStr">
        <is>
          <t>EXPRESSO JA LTDA</t>
        </is>
      </c>
      <c r="F127" s="30" t="inlineStr">
        <is>
          <t>2022</t>
        </is>
      </c>
      <c r="G127" s="40" t="n">
        <v>0</v>
      </c>
    </row>
    <row r="128" ht="12" customHeight="1">
      <c r="A128" s="30" t="inlineStr">
        <is>
          <t>ARE</t>
        </is>
      </c>
      <c r="B128" s="30" t="inlineStr">
        <is>
          <t>Areal</t>
        </is>
      </c>
      <c r="C128" s="30" t="n">
        <v>11306870</v>
      </c>
      <c r="D128" s="30">
        <f>"26607430000321"</f>
        <v/>
      </c>
      <c r="E128" s="30" t="inlineStr">
        <is>
          <t>EXPRESSO JA LTDA</t>
        </is>
      </c>
      <c r="F128" s="30" t="inlineStr">
        <is>
          <t>2023</t>
        </is>
      </c>
      <c r="G128" s="40" t="n">
        <v>0</v>
      </c>
    </row>
    <row r="129" ht="12" customHeight="1">
      <c r="A129" s="30" t="inlineStr">
        <is>
          <t>ARE</t>
        </is>
      </c>
      <c r="B129" s="30" t="inlineStr">
        <is>
          <t>Areal</t>
        </is>
      </c>
      <c r="C129" s="30" t="n">
        <v>11317030</v>
      </c>
      <c r="D129" s="30">
        <f>"32201646000123"</f>
        <v/>
      </c>
      <c r="E129" s="30" t="inlineStr">
        <is>
          <t>SIM ADMINISTRA??O E SERVI?OS DE GEST?O DE DOCUMENTOS LTDA</t>
        </is>
      </c>
      <c r="F129" s="30" t="inlineStr">
        <is>
          <t>2018</t>
        </is>
      </c>
      <c r="G129" s="40" t="n">
        <v>0</v>
      </c>
    </row>
    <row r="130" ht="12" customHeight="1">
      <c r="A130" s="30" t="inlineStr">
        <is>
          <t>ARE</t>
        </is>
      </c>
      <c r="B130" s="30" t="inlineStr">
        <is>
          <t>Areal</t>
        </is>
      </c>
      <c r="C130" s="30" t="n">
        <v>11317030</v>
      </c>
      <c r="D130" s="30">
        <f>"32201646000123"</f>
        <v/>
      </c>
      <c r="E130" s="30" t="inlineStr">
        <is>
          <t>SIM ADMINISTRA??O E SERVI?OS DE GEST?O DE DOCUMENTOS LTDA</t>
        </is>
      </c>
      <c r="F130" s="30" t="inlineStr">
        <is>
          <t>2019</t>
        </is>
      </c>
      <c r="G130" s="40" t="n">
        <v>0</v>
      </c>
    </row>
    <row r="131" ht="12" customHeight="1">
      <c r="A131" s="30" t="inlineStr">
        <is>
          <t>ARE</t>
        </is>
      </c>
      <c r="B131" s="30" t="inlineStr">
        <is>
          <t>Areal</t>
        </is>
      </c>
      <c r="C131" s="30" t="n">
        <v>11317030</v>
      </c>
      <c r="D131" s="30">
        <f>"32201646000123"</f>
        <v/>
      </c>
      <c r="E131" s="30" t="inlineStr">
        <is>
          <t>SIM ADMINISTRA??O E SERVI?OS DE GEST?O DE DOCUMENTOS LTDA</t>
        </is>
      </c>
      <c r="F131" s="30" t="inlineStr">
        <is>
          <t>2020</t>
        </is>
      </c>
      <c r="G131" s="40" t="n">
        <v>0</v>
      </c>
    </row>
    <row r="132" ht="12" customHeight="1">
      <c r="A132" s="30" t="inlineStr">
        <is>
          <t>ARE</t>
        </is>
      </c>
      <c r="B132" s="30" t="inlineStr">
        <is>
          <t>Areal</t>
        </is>
      </c>
      <c r="C132" s="30" t="n">
        <v>11317030</v>
      </c>
      <c r="D132" s="30">
        <f>"32201646000123"</f>
        <v/>
      </c>
      <c r="E132" s="30" t="inlineStr">
        <is>
          <t>SIM ADMINISTRA??O E SERVI?OS DE GEST?O DE DOCUMENTOS LTDA</t>
        </is>
      </c>
      <c r="F132" s="30" t="inlineStr">
        <is>
          <t>2021</t>
        </is>
      </c>
      <c r="G132" s="40" t="n">
        <v>0</v>
      </c>
    </row>
    <row r="133" ht="12" customHeight="1">
      <c r="A133" s="30" t="inlineStr">
        <is>
          <t>ARE</t>
        </is>
      </c>
      <c r="B133" s="30" t="inlineStr">
        <is>
          <t>Areal</t>
        </is>
      </c>
      <c r="C133" s="30" t="n">
        <v>11317030</v>
      </c>
      <c r="D133" s="30">
        <f>"32201646000123"</f>
        <v/>
      </c>
      <c r="E133" s="30" t="inlineStr">
        <is>
          <t>SIM ADMINISTRA??O E SERVI?OS DE GEST?O DE DOCUMENTOS LTDA</t>
        </is>
      </c>
      <c r="F133" s="30" t="inlineStr">
        <is>
          <t>2022</t>
        </is>
      </c>
      <c r="G133" s="40" t="n">
        <v>0</v>
      </c>
    </row>
    <row r="134" ht="12" customHeight="1">
      <c r="A134" s="30" t="inlineStr">
        <is>
          <t>ARE</t>
        </is>
      </c>
      <c r="B134" s="30" t="inlineStr">
        <is>
          <t>Areal</t>
        </is>
      </c>
      <c r="C134" s="30" t="n">
        <v>11366660</v>
      </c>
      <c r="D134" s="30">
        <f>"05530576001075"</f>
        <v/>
      </c>
      <c r="E134" s="30" t="inlineStr">
        <is>
          <t>LOGFAR LOGISTICA LTDA</t>
        </is>
      </c>
      <c r="F134" s="30" t="inlineStr">
        <is>
          <t>2020</t>
        </is>
      </c>
      <c r="G134" s="40" t="n">
        <v>0</v>
      </c>
    </row>
    <row r="135" ht="12" customHeight="1">
      <c r="A135" s="30" t="inlineStr">
        <is>
          <t>ARE</t>
        </is>
      </c>
      <c r="B135" s="30" t="inlineStr">
        <is>
          <t>Areal</t>
        </is>
      </c>
      <c r="C135" s="30" t="n">
        <v>11366660</v>
      </c>
      <c r="D135" s="30">
        <f>"05530576001075"</f>
        <v/>
      </c>
      <c r="E135" s="30" t="inlineStr">
        <is>
          <t>LOGFAR LOGISTICA LTDA</t>
        </is>
      </c>
      <c r="F135" s="30" t="inlineStr">
        <is>
          <t>2021</t>
        </is>
      </c>
      <c r="G135" s="40" t="n">
        <v>0</v>
      </c>
    </row>
    <row r="136" ht="12" customHeight="1">
      <c r="A136" s="30" t="inlineStr">
        <is>
          <t>ARE</t>
        </is>
      </c>
      <c r="B136" s="30" t="inlineStr">
        <is>
          <t>Areal</t>
        </is>
      </c>
      <c r="C136" s="30" t="n">
        <v>11366660</v>
      </c>
      <c r="D136" s="30">
        <f>"05530576001075"</f>
        <v/>
      </c>
      <c r="E136" s="30" t="inlineStr">
        <is>
          <t>LOGFAR LOGISTICA LTDA</t>
        </is>
      </c>
      <c r="F136" s="30" t="inlineStr">
        <is>
          <t>2022</t>
        </is>
      </c>
      <c r="G136" s="40" t="n">
        <v>4611.73</v>
      </c>
    </row>
    <row r="137" ht="12" customHeight="1">
      <c r="A137" s="30" t="inlineStr">
        <is>
          <t>ARE</t>
        </is>
      </c>
      <c r="B137" s="30" t="inlineStr">
        <is>
          <t>Areal</t>
        </is>
      </c>
      <c r="C137" s="30" t="n">
        <v>11366660</v>
      </c>
      <c r="D137" s="30">
        <f>"05530576001075"</f>
        <v/>
      </c>
      <c r="E137" s="30" t="inlineStr">
        <is>
          <t>LOGFAR LOGISTICA LTDA</t>
        </is>
      </c>
      <c r="F137" s="30" t="inlineStr">
        <is>
          <t>2023</t>
        </is>
      </c>
      <c r="G137" s="40" t="n">
        <v>73791.83</v>
      </c>
    </row>
    <row r="138" ht="12" customHeight="1">
      <c r="A138" s="30" t="inlineStr">
        <is>
          <t>ARE</t>
        </is>
      </c>
      <c r="B138" s="30" t="inlineStr">
        <is>
          <t>Areal</t>
        </is>
      </c>
      <c r="C138" s="30" t="n">
        <v>11386431</v>
      </c>
      <c r="D138" s="30">
        <f>"29080308000338"</f>
        <v/>
      </c>
      <c r="E138" s="30" t="inlineStr">
        <is>
          <t>R&amp;D CARGO TRANSPORTES LTDA</t>
        </is>
      </c>
      <c r="F138" s="30" t="inlineStr">
        <is>
          <t>2020</t>
        </is>
      </c>
      <c r="G138" s="40" t="n">
        <v>0</v>
      </c>
    </row>
    <row r="139" ht="12" customHeight="1">
      <c r="A139" s="30" t="inlineStr">
        <is>
          <t>ARE</t>
        </is>
      </c>
      <c r="B139" s="30" t="inlineStr">
        <is>
          <t>Areal</t>
        </is>
      </c>
      <c r="C139" s="30" t="n">
        <v>11386431</v>
      </c>
      <c r="D139" s="30">
        <f>"29080308000338"</f>
        <v/>
      </c>
      <c r="E139" s="30" t="inlineStr">
        <is>
          <t>R&amp;D CARGO TRANSPORTES LTDA</t>
        </is>
      </c>
      <c r="F139" s="30" t="inlineStr">
        <is>
          <t>2021</t>
        </is>
      </c>
      <c r="G139" s="40" t="n">
        <v>0</v>
      </c>
    </row>
    <row r="140" ht="12" customHeight="1">
      <c r="A140" s="30" t="inlineStr">
        <is>
          <t>ARE</t>
        </is>
      </c>
      <c r="B140" s="30" t="inlineStr">
        <is>
          <t>Areal</t>
        </is>
      </c>
      <c r="C140" s="30" t="n">
        <v>11386431</v>
      </c>
      <c r="D140" s="30">
        <f>"29080308000338"</f>
        <v/>
      </c>
      <c r="E140" s="30" t="inlineStr">
        <is>
          <t>R&amp;D CARGO TRANSPORTES LTDA</t>
        </is>
      </c>
      <c r="F140" s="30" t="inlineStr">
        <is>
          <t>2022</t>
        </is>
      </c>
      <c r="G140" s="40" t="n">
        <v>662.23</v>
      </c>
    </row>
    <row r="141" ht="12" customHeight="1">
      <c r="A141" s="30" t="inlineStr">
        <is>
          <t>ARE</t>
        </is>
      </c>
      <c r="B141" s="30" t="inlineStr">
        <is>
          <t>Areal</t>
        </is>
      </c>
      <c r="C141" s="30" t="n">
        <v>11386431</v>
      </c>
      <c r="D141" s="30">
        <f>"29080308000338"</f>
        <v/>
      </c>
      <c r="E141" s="30" t="inlineStr">
        <is>
          <t>R&amp;D CARGO TRANSPORTES LTDA</t>
        </is>
      </c>
      <c r="F141" s="30" t="inlineStr">
        <is>
          <t>2023</t>
        </is>
      </c>
      <c r="G141" s="40" t="n">
        <v>0</v>
      </c>
    </row>
    <row r="142" ht="12" customHeight="1">
      <c r="A142" s="30" t="inlineStr">
        <is>
          <t>ARE</t>
        </is>
      </c>
      <c r="B142" s="30" t="inlineStr">
        <is>
          <t>Areal</t>
        </is>
      </c>
      <c r="C142" s="30" t="n">
        <v>11461484</v>
      </c>
      <c r="D142" s="30">
        <f>"11679511742"</f>
        <v/>
      </c>
      <c r="E142" s="30" t="inlineStr">
        <is>
          <t>VALTAIR AMORIM FERNANDES</t>
        </is>
      </c>
      <c r="F142" s="30" t="inlineStr">
        <is>
          <t>2017</t>
        </is>
      </c>
      <c r="G142" s="40" t="n">
        <v>0</v>
      </c>
    </row>
    <row r="143" ht="12" customHeight="1">
      <c r="A143" s="30" t="inlineStr">
        <is>
          <t>ARE</t>
        </is>
      </c>
      <c r="B143" s="30" t="inlineStr">
        <is>
          <t>Areal</t>
        </is>
      </c>
      <c r="C143" s="30" t="n">
        <v>11461484</v>
      </c>
      <c r="D143" s="30">
        <f>"11679511742"</f>
        <v/>
      </c>
      <c r="E143" s="30" t="inlineStr">
        <is>
          <t>VALTAIR AMORIM FERNANDES</t>
        </is>
      </c>
      <c r="F143" s="30" t="inlineStr">
        <is>
          <t>2018</t>
        </is>
      </c>
      <c r="G143" s="40" t="n">
        <v>0</v>
      </c>
    </row>
    <row r="144" ht="12" customHeight="1">
      <c r="A144" s="30" t="inlineStr">
        <is>
          <t>ARE</t>
        </is>
      </c>
      <c r="B144" s="30" t="inlineStr">
        <is>
          <t>Areal</t>
        </is>
      </c>
      <c r="C144" s="30" t="n">
        <v>11461484</v>
      </c>
      <c r="D144" s="30">
        <f>"11679511742"</f>
        <v/>
      </c>
      <c r="E144" s="30" t="inlineStr">
        <is>
          <t>VALTAIR AMORIM FERNANDES</t>
        </is>
      </c>
      <c r="F144" s="30" t="inlineStr">
        <is>
          <t>2019</t>
        </is>
      </c>
      <c r="G144" s="40" t="n">
        <v>1847.82</v>
      </c>
    </row>
    <row r="145" ht="12" customHeight="1">
      <c r="A145" s="30" t="inlineStr">
        <is>
          <t>ARE</t>
        </is>
      </c>
      <c r="B145" s="30" t="inlineStr">
        <is>
          <t>Areal</t>
        </is>
      </c>
      <c r="C145" s="30" t="n">
        <v>11461484</v>
      </c>
      <c r="D145" s="30">
        <f>"11679511742"</f>
        <v/>
      </c>
      <c r="E145" s="30" t="inlineStr">
        <is>
          <t>VALTAIR AMORIM FERNANDES</t>
        </is>
      </c>
      <c r="F145" s="30" t="inlineStr">
        <is>
          <t>2020</t>
        </is>
      </c>
      <c r="G145" s="40" t="n">
        <v>1847.82</v>
      </c>
    </row>
    <row r="146" ht="12" customHeight="1">
      <c r="A146" s="30" t="inlineStr">
        <is>
          <t>ARE</t>
        </is>
      </c>
      <c r="B146" s="30" t="inlineStr">
        <is>
          <t>Areal</t>
        </is>
      </c>
      <c r="C146" s="30" t="n">
        <v>11461484</v>
      </c>
      <c r="D146" s="30">
        <f>"11679511742"</f>
        <v/>
      </c>
      <c r="E146" s="30" t="inlineStr">
        <is>
          <t>VALTAIR AMORIM FERNANDES</t>
        </is>
      </c>
      <c r="F146" s="30" t="inlineStr">
        <is>
          <t>2021</t>
        </is>
      </c>
      <c r="G146" s="40" t="n">
        <v>15761.8</v>
      </c>
    </row>
    <row r="147" ht="12" customHeight="1">
      <c r="A147" s="30" t="inlineStr">
        <is>
          <t>ARE</t>
        </is>
      </c>
      <c r="B147" s="30" t="inlineStr">
        <is>
          <t>Areal</t>
        </is>
      </c>
      <c r="C147" s="30" t="n">
        <v>11461484</v>
      </c>
      <c r="D147" s="30">
        <f>"11679511742"</f>
        <v/>
      </c>
      <c r="E147" s="30" t="inlineStr">
        <is>
          <t>VALTAIR AMORIM FERNANDES</t>
        </is>
      </c>
      <c r="F147" s="30" t="inlineStr">
        <is>
          <t>2022</t>
        </is>
      </c>
      <c r="G147" s="40" t="n">
        <v>0</v>
      </c>
    </row>
    <row r="148" ht="12" customHeight="1">
      <c r="A148" s="30" t="inlineStr">
        <is>
          <t>ARE</t>
        </is>
      </c>
      <c r="B148" s="30" t="inlineStr">
        <is>
          <t>Areal</t>
        </is>
      </c>
      <c r="C148" s="30" t="n">
        <v>11461484</v>
      </c>
      <c r="D148" s="30">
        <f>"11679511742"</f>
        <v/>
      </c>
      <c r="E148" s="30" t="inlineStr">
        <is>
          <t>VALTAIR AMORIM FERNANDES</t>
        </is>
      </c>
      <c r="F148" s="30" t="inlineStr">
        <is>
          <t>2023</t>
        </is>
      </c>
      <c r="G148" s="40" t="n">
        <v>0</v>
      </c>
    </row>
    <row r="149" ht="12" customHeight="1">
      <c r="A149" s="30" t="inlineStr">
        <is>
          <t>ARE</t>
        </is>
      </c>
      <c r="B149" s="30" t="inlineStr">
        <is>
          <t>Areal</t>
        </is>
      </c>
      <c r="C149" s="30" t="n">
        <v>11517943</v>
      </c>
      <c r="D149" s="30">
        <f>"03789519715"</f>
        <v/>
      </c>
      <c r="E149" s="30" t="inlineStr">
        <is>
          <t>ZACHAROULA LAGOS SIMOES</t>
        </is>
      </c>
      <c r="F149" s="30" t="inlineStr">
        <is>
          <t>2017</t>
        </is>
      </c>
      <c r="G149" s="40" t="n">
        <v>0</v>
      </c>
    </row>
    <row r="150" ht="12" customHeight="1">
      <c r="A150" s="30" t="inlineStr">
        <is>
          <t>ARE</t>
        </is>
      </c>
      <c r="B150" s="30" t="inlineStr">
        <is>
          <t>Areal</t>
        </is>
      </c>
      <c r="C150" s="30" t="n">
        <v>11517943</v>
      </c>
      <c r="D150" s="30">
        <f>"03789519715"</f>
        <v/>
      </c>
      <c r="E150" s="30" t="inlineStr">
        <is>
          <t>ZACHAROULA LAGOS SIMOES</t>
        </is>
      </c>
      <c r="F150" s="30" t="inlineStr">
        <is>
          <t>2018</t>
        </is>
      </c>
      <c r="G150" s="40" t="n">
        <v>0</v>
      </c>
    </row>
    <row r="151" ht="12" customHeight="1">
      <c r="A151" s="30" t="inlineStr">
        <is>
          <t>ARE</t>
        </is>
      </c>
      <c r="B151" s="30" t="inlineStr">
        <is>
          <t>Areal</t>
        </is>
      </c>
      <c r="C151" s="30" t="n">
        <v>11517943</v>
      </c>
      <c r="D151" s="30">
        <f>"03789519715"</f>
        <v/>
      </c>
      <c r="E151" s="30" t="inlineStr">
        <is>
          <t>ZACHAROULA LAGOS SIMOES</t>
        </is>
      </c>
      <c r="F151" s="30" t="inlineStr">
        <is>
          <t>2019</t>
        </is>
      </c>
      <c r="G151" s="40" t="n">
        <v>0</v>
      </c>
    </row>
    <row r="152" ht="12" customHeight="1">
      <c r="A152" s="30" t="inlineStr">
        <is>
          <t>ARE</t>
        </is>
      </c>
      <c r="B152" s="30" t="inlineStr">
        <is>
          <t>Areal</t>
        </is>
      </c>
      <c r="C152" s="30" t="n">
        <v>11517943</v>
      </c>
      <c r="D152" s="30">
        <f>"03789519715"</f>
        <v/>
      </c>
      <c r="E152" s="30" t="inlineStr">
        <is>
          <t>ZACHAROULA LAGOS SIMOES</t>
        </is>
      </c>
      <c r="F152" s="30" t="inlineStr">
        <is>
          <t>2020</t>
        </is>
      </c>
      <c r="G152" s="40" t="n">
        <v>1920</v>
      </c>
    </row>
    <row r="153" ht="12" customHeight="1">
      <c r="A153" s="30" t="inlineStr">
        <is>
          <t>ARE</t>
        </is>
      </c>
      <c r="B153" s="30" t="inlineStr">
        <is>
          <t>Areal</t>
        </is>
      </c>
      <c r="C153" s="30" t="n">
        <v>11517943</v>
      </c>
      <c r="D153" s="30">
        <f>"03789519715"</f>
        <v/>
      </c>
      <c r="E153" s="30" t="inlineStr">
        <is>
          <t>ZACHAROULA LAGOS SIMOES</t>
        </is>
      </c>
      <c r="F153" s="30" t="inlineStr">
        <is>
          <t>2021</t>
        </is>
      </c>
      <c r="G153" s="40" t="n">
        <v>2790</v>
      </c>
    </row>
    <row r="154" ht="12" customHeight="1">
      <c r="A154" s="30" t="inlineStr">
        <is>
          <t>ARE</t>
        </is>
      </c>
      <c r="B154" s="30" t="inlineStr">
        <is>
          <t>Areal</t>
        </is>
      </c>
      <c r="C154" s="30" t="n">
        <v>11517943</v>
      </c>
      <c r="D154" s="30">
        <f>"03789519715"</f>
        <v/>
      </c>
      <c r="E154" s="30" t="inlineStr">
        <is>
          <t>ZACHAROULA LAGOS SIMOES</t>
        </is>
      </c>
      <c r="F154" s="30" t="inlineStr">
        <is>
          <t>2022</t>
        </is>
      </c>
      <c r="G154" s="40" t="n">
        <v>525</v>
      </c>
    </row>
    <row r="155" ht="12" customHeight="1">
      <c r="A155" s="30" t="inlineStr">
        <is>
          <t>ARE</t>
        </is>
      </c>
      <c r="B155" s="30" t="inlineStr">
        <is>
          <t>Areal</t>
        </is>
      </c>
      <c r="C155" s="30" t="n">
        <v>11517943</v>
      </c>
      <c r="D155" s="30">
        <f>"03789519715"</f>
        <v/>
      </c>
      <c r="E155" s="30" t="inlineStr">
        <is>
          <t>ZACHAROULA LAGOS SIMOES</t>
        </is>
      </c>
      <c r="F155" s="30" t="inlineStr">
        <is>
          <t>2023</t>
        </is>
      </c>
      <c r="G155" s="40" t="n">
        <v>0</v>
      </c>
    </row>
    <row r="156" ht="12" customHeight="1">
      <c r="A156" s="30" t="inlineStr">
        <is>
          <t>ARE</t>
        </is>
      </c>
      <c r="B156" s="30" t="inlineStr">
        <is>
          <t>Areal</t>
        </is>
      </c>
      <c r="C156" s="30" t="n">
        <v>11545220</v>
      </c>
      <c r="D156" s="30">
        <f>"02089969003393"</f>
        <v/>
      </c>
      <c r="E156" s="30" t="inlineStr">
        <is>
          <t>LATICINIOS BELA VISTA LTDA</t>
        </is>
      </c>
      <c r="F156" s="30" t="inlineStr">
        <is>
          <t>2017</t>
        </is>
      </c>
      <c r="G156" s="40" t="n">
        <v>0</v>
      </c>
    </row>
    <row r="157" ht="12" customHeight="1">
      <c r="A157" s="30" t="inlineStr">
        <is>
          <t>ARE</t>
        </is>
      </c>
      <c r="B157" s="30" t="inlineStr">
        <is>
          <t>Areal</t>
        </is>
      </c>
      <c r="C157" s="30" t="n">
        <v>11545220</v>
      </c>
      <c r="D157" s="30">
        <f>"02089969003393"</f>
        <v/>
      </c>
      <c r="E157" s="30" t="inlineStr">
        <is>
          <t>LATICINIOS BELA VISTA LTDA</t>
        </is>
      </c>
      <c r="F157" s="30" t="inlineStr">
        <is>
          <t>2018</t>
        </is>
      </c>
      <c r="G157" s="40" t="n">
        <v>0</v>
      </c>
    </row>
    <row r="158" ht="12" customHeight="1">
      <c r="A158" s="30" t="inlineStr">
        <is>
          <t>ARE</t>
        </is>
      </c>
      <c r="B158" s="30" t="inlineStr">
        <is>
          <t>Areal</t>
        </is>
      </c>
      <c r="C158" s="30" t="n">
        <v>11545220</v>
      </c>
      <c r="D158" s="30">
        <f>"02089969003393"</f>
        <v/>
      </c>
      <c r="E158" s="30" t="inlineStr">
        <is>
          <t>LATICINIOS BELA VISTA LTDA</t>
        </is>
      </c>
      <c r="F158" s="30" t="inlineStr">
        <is>
          <t>2019</t>
        </is>
      </c>
      <c r="G158" s="40" t="n">
        <v>1150.63</v>
      </c>
    </row>
    <row r="159" ht="12" customHeight="1">
      <c r="A159" s="30" t="inlineStr">
        <is>
          <t>ARE</t>
        </is>
      </c>
      <c r="B159" s="30" t="inlineStr">
        <is>
          <t>Areal</t>
        </is>
      </c>
      <c r="C159" s="30" t="n">
        <v>11545220</v>
      </c>
      <c r="D159" s="30">
        <f>"02089969003393"</f>
        <v/>
      </c>
      <c r="E159" s="30" t="inlineStr">
        <is>
          <t>LATICINIOS BELA VISTA LTDA</t>
        </is>
      </c>
      <c r="F159" s="30" t="inlineStr">
        <is>
          <t>2020</t>
        </is>
      </c>
      <c r="G159" s="40" t="n">
        <v>52978.13</v>
      </c>
    </row>
    <row r="160" ht="12" customHeight="1">
      <c r="A160" s="30" t="inlineStr">
        <is>
          <t>ARE</t>
        </is>
      </c>
      <c r="B160" s="30" t="inlineStr">
        <is>
          <t>Areal</t>
        </is>
      </c>
      <c r="C160" s="30" t="n">
        <v>11545220</v>
      </c>
      <c r="D160" s="30">
        <f>"02089969003393"</f>
        <v/>
      </c>
      <c r="E160" s="30" t="inlineStr">
        <is>
          <t>LATICINIOS BELA VISTA LTDA</t>
        </is>
      </c>
      <c r="F160" s="30" t="inlineStr">
        <is>
          <t>2021</t>
        </is>
      </c>
      <c r="G160" s="40" t="n">
        <v>38433.26</v>
      </c>
    </row>
    <row r="161" ht="12" customHeight="1">
      <c r="A161" s="30" t="inlineStr">
        <is>
          <t>ARE</t>
        </is>
      </c>
      <c r="B161" s="30" t="inlineStr">
        <is>
          <t>Areal</t>
        </is>
      </c>
      <c r="C161" s="30" t="n">
        <v>11545220</v>
      </c>
      <c r="D161" s="30">
        <f>"02089969003393"</f>
        <v/>
      </c>
      <c r="E161" s="30" t="inlineStr">
        <is>
          <t>LATICINIOS BELA VISTA LTDA</t>
        </is>
      </c>
      <c r="F161" s="30" t="inlineStr">
        <is>
          <t>2022</t>
        </is>
      </c>
      <c r="G161" s="40" t="n">
        <v>0</v>
      </c>
    </row>
    <row r="162" ht="12" customHeight="1">
      <c r="A162" s="30" t="inlineStr">
        <is>
          <t>ARE</t>
        </is>
      </c>
      <c r="B162" s="30" t="inlineStr">
        <is>
          <t>Areal</t>
        </is>
      </c>
      <c r="C162" s="30" t="n">
        <v>11545220</v>
      </c>
      <c r="D162" s="30">
        <f>"02089969003393"</f>
        <v/>
      </c>
      <c r="E162" s="30" t="inlineStr">
        <is>
          <t>LATICINIOS BELA VISTA LTDA</t>
        </is>
      </c>
      <c r="F162" s="30" t="inlineStr">
        <is>
          <t>2023</t>
        </is>
      </c>
      <c r="G162" s="40" t="n">
        <v>0</v>
      </c>
    </row>
    <row r="163" ht="12" customHeight="1">
      <c r="A163" s="30" t="inlineStr">
        <is>
          <t>ARE</t>
        </is>
      </c>
      <c r="B163" s="30" t="inlineStr">
        <is>
          <t>Areal</t>
        </is>
      </c>
      <c r="C163" s="30" t="n">
        <v>11549276</v>
      </c>
      <c r="D163" s="30">
        <f>"34891172000114"</f>
        <v/>
      </c>
      <c r="E163" s="30" t="inlineStr">
        <is>
          <t>MAVEN COMÉRCIO ATACADISTA EM GERAL, CONSTRUTORA, SERVIÇOS E SOLUÇÕES ADMINISTRATIVAS EIRELI</t>
        </is>
      </c>
      <c r="F163" s="30" t="inlineStr">
        <is>
          <t>2021</t>
        </is>
      </c>
      <c r="G163" s="40" t="n">
        <v>0</v>
      </c>
    </row>
    <row r="164" ht="12" customHeight="1">
      <c r="A164" s="30" t="inlineStr">
        <is>
          <t>ARE</t>
        </is>
      </c>
      <c r="B164" s="30" t="inlineStr">
        <is>
          <t>Areal</t>
        </is>
      </c>
      <c r="C164" s="30" t="n">
        <v>11549276</v>
      </c>
      <c r="D164" s="30">
        <f>"34891172000114"</f>
        <v/>
      </c>
      <c r="E164" s="30" t="inlineStr">
        <is>
          <t>MAVEN COMÉRCIO ATACADISTA EM GERAL, CONSTRUTORA, SERVIÇOS E SOLUÇÕES ADMINISTRATIVAS EIRELI</t>
        </is>
      </c>
      <c r="F164" s="30" t="inlineStr">
        <is>
          <t>2022</t>
        </is>
      </c>
      <c r="G164" s="40" t="n">
        <v>0</v>
      </c>
    </row>
    <row r="165" ht="12" customHeight="1">
      <c r="A165" s="30" t="inlineStr">
        <is>
          <t>ARE</t>
        </is>
      </c>
      <c r="B165" s="30" t="inlineStr">
        <is>
          <t>Areal</t>
        </is>
      </c>
      <c r="C165" s="30" t="n">
        <v>11549276</v>
      </c>
      <c r="D165" s="30">
        <f>"34891172000114"</f>
        <v/>
      </c>
      <c r="E165" s="30" t="inlineStr">
        <is>
          <t>MAVEN COMÉRCIO ATACADISTA EM GERAL, CONSTRUTORA, SERVIÇOS E SOLUÇÕES ADMINISTRATIVAS EIRELI</t>
        </is>
      </c>
      <c r="F165" s="30" t="inlineStr">
        <is>
          <t>2023</t>
        </is>
      </c>
      <c r="G165" s="40" t="n">
        <v>0</v>
      </c>
    </row>
    <row r="166" ht="12" customHeight="1">
      <c r="A166" s="30" t="inlineStr">
        <is>
          <t>ARE</t>
        </is>
      </c>
      <c r="B166" s="30" t="inlineStr">
        <is>
          <t>Areal</t>
        </is>
      </c>
      <c r="C166" s="30" t="n">
        <v>11632610</v>
      </c>
      <c r="D166" s="30">
        <f>"11165614000140"</f>
        <v/>
      </c>
      <c r="E166" s="30" t="inlineStr">
        <is>
          <t>STEFANELLY MODAS LTDA ME</t>
        </is>
      </c>
      <c r="F166" s="30" t="inlineStr">
        <is>
          <t>2017</t>
        </is>
      </c>
      <c r="G166" s="40" t="n">
        <v>0</v>
      </c>
    </row>
    <row r="167" ht="12" customHeight="1">
      <c r="A167" s="30" t="inlineStr">
        <is>
          <t>ARE</t>
        </is>
      </c>
      <c r="B167" s="30" t="inlineStr">
        <is>
          <t>Areal</t>
        </is>
      </c>
      <c r="C167" s="30" t="n">
        <v>11632610</v>
      </c>
      <c r="D167" s="30">
        <f>"11165614000140"</f>
        <v/>
      </c>
      <c r="E167" s="30" t="inlineStr">
        <is>
          <t>STEFANELLY MODAS LTDA ME</t>
        </is>
      </c>
      <c r="F167" s="30" t="inlineStr">
        <is>
          <t>2018</t>
        </is>
      </c>
      <c r="G167" s="40" t="n">
        <v>0</v>
      </c>
    </row>
    <row r="168" ht="12" customHeight="1">
      <c r="A168" s="30" t="inlineStr">
        <is>
          <t>ARE</t>
        </is>
      </c>
      <c r="B168" s="30" t="inlineStr">
        <is>
          <t>Areal</t>
        </is>
      </c>
      <c r="C168" s="30" t="n">
        <v>11632610</v>
      </c>
      <c r="D168" s="30">
        <f>"11165614000140"</f>
        <v/>
      </c>
      <c r="E168" s="30" t="inlineStr">
        <is>
          <t>STEFANELLY MODAS LTDA ME</t>
        </is>
      </c>
      <c r="F168" s="30" t="inlineStr">
        <is>
          <t>2019</t>
        </is>
      </c>
      <c r="G168" s="40" t="n">
        <v>0</v>
      </c>
    </row>
    <row r="169" ht="12" customHeight="1">
      <c r="A169" s="30" t="inlineStr">
        <is>
          <t>ARE</t>
        </is>
      </c>
      <c r="B169" s="30" t="inlineStr">
        <is>
          <t>Areal</t>
        </is>
      </c>
      <c r="C169" s="30" t="n">
        <v>11632610</v>
      </c>
      <c r="D169" s="30">
        <f>"11165614000140"</f>
        <v/>
      </c>
      <c r="E169" s="30" t="inlineStr">
        <is>
          <t>STEFANELLY MODAS LTDA ME</t>
        </is>
      </c>
      <c r="F169" s="30" t="inlineStr">
        <is>
          <t>2020</t>
        </is>
      </c>
      <c r="G169" s="40" t="n">
        <v>0</v>
      </c>
    </row>
    <row r="170" ht="12" customHeight="1">
      <c r="A170" s="30" t="inlineStr">
        <is>
          <t>ARE</t>
        </is>
      </c>
      <c r="B170" s="30" t="inlineStr">
        <is>
          <t>Areal</t>
        </is>
      </c>
      <c r="C170" s="30" t="n">
        <v>11632610</v>
      </c>
      <c r="D170" s="30">
        <f>"11165614000140"</f>
        <v/>
      </c>
      <c r="E170" s="30" t="inlineStr">
        <is>
          <t>STEFANELLY MODAS LTDA ME</t>
        </is>
      </c>
      <c r="F170" s="30" t="inlineStr">
        <is>
          <t>2021</t>
        </is>
      </c>
      <c r="G170" s="40" t="n">
        <v>0</v>
      </c>
    </row>
    <row r="171" ht="12" customHeight="1">
      <c r="A171" s="30" t="inlineStr">
        <is>
          <t>ARE</t>
        </is>
      </c>
      <c r="B171" s="30" t="inlineStr">
        <is>
          <t>Areal</t>
        </is>
      </c>
      <c r="C171" s="30" t="n">
        <v>11639623</v>
      </c>
      <c r="D171" s="30">
        <f>"35839942000142"</f>
        <v/>
      </c>
      <c r="E171" s="30" t="inlineStr">
        <is>
          <t>TMA SUDESTE TRANSPORTE E LOG?STICA LTDA</t>
        </is>
      </c>
      <c r="F171" s="30" t="inlineStr">
        <is>
          <t>2018</t>
        </is>
      </c>
      <c r="G171" s="40" t="n">
        <v>0</v>
      </c>
    </row>
    <row r="172" ht="12" customHeight="1">
      <c r="A172" s="30" t="inlineStr">
        <is>
          <t>ARE</t>
        </is>
      </c>
      <c r="B172" s="30" t="inlineStr">
        <is>
          <t>Areal</t>
        </is>
      </c>
      <c r="C172" s="30" t="n">
        <v>11639623</v>
      </c>
      <c r="D172" s="30">
        <f>"35839942000142"</f>
        <v/>
      </c>
      <c r="E172" s="30" t="inlineStr">
        <is>
          <t>TMA SUDESTE TRANSPORTE E LOG?STICA LTDA</t>
        </is>
      </c>
      <c r="F172" s="30" t="inlineStr">
        <is>
          <t>2019</t>
        </is>
      </c>
      <c r="G172" s="40" t="n">
        <v>0</v>
      </c>
    </row>
    <row r="173" ht="12" customHeight="1">
      <c r="A173" s="30" t="inlineStr">
        <is>
          <t>ARE</t>
        </is>
      </c>
      <c r="B173" s="30" t="inlineStr">
        <is>
          <t>Areal</t>
        </is>
      </c>
      <c r="C173" s="30" t="n">
        <v>11639623</v>
      </c>
      <c r="D173" s="30">
        <f>"35839942000142"</f>
        <v/>
      </c>
      <c r="E173" s="30" t="inlineStr">
        <is>
          <t>TMA SUDESTE TRANSPORTE E LOG?STICA LTDA</t>
        </is>
      </c>
      <c r="F173" s="30" t="inlineStr">
        <is>
          <t>2020</t>
        </is>
      </c>
      <c r="G173" s="40" t="n">
        <v>633.26</v>
      </c>
    </row>
    <row r="174" ht="12" customHeight="1">
      <c r="A174" s="30" t="inlineStr">
        <is>
          <t>ARE</t>
        </is>
      </c>
      <c r="B174" s="30" t="inlineStr">
        <is>
          <t>Areal</t>
        </is>
      </c>
      <c r="C174" s="30" t="n">
        <v>11639623</v>
      </c>
      <c r="D174" s="30">
        <f>"35839942000142"</f>
        <v/>
      </c>
      <c r="E174" s="30" t="inlineStr">
        <is>
          <t>TMA SUDESTE TRANSPORTE E LOG?STICA LTDA</t>
        </is>
      </c>
      <c r="F174" s="30" t="inlineStr">
        <is>
          <t>2021</t>
        </is>
      </c>
      <c r="G174" s="40" t="n">
        <v>746.49</v>
      </c>
    </row>
    <row r="175" ht="12" customHeight="1">
      <c r="A175" s="30" t="inlineStr">
        <is>
          <t>ARE</t>
        </is>
      </c>
      <c r="B175" s="30" t="inlineStr">
        <is>
          <t>Areal</t>
        </is>
      </c>
      <c r="C175" s="30" t="n">
        <v>11639623</v>
      </c>
      <c r="D175" s="30">
        <f>"35839942000142"</f>
        <v/>
      </c>
      <c r="E175" s="30" t="inlineStr">
        <is>
          <t>TMA SUDESTE TRANSPORTE E LOG?STICA LTDA</t>
        </is>
      </c>
      <c r="F175" s="30" t="inlineStr">
        <is>
          <t>2022</t>
        </is>
      </c>
      <c r="G175" s="40" t="n">
        <v>0</v>
      </c>
    </row>
    <row r="176" ht="12" customHeight="1">
      <c r="A176" s="30" t="inlineStr">
        <is>
          <t>ARE</t>
        </is>
      </c>
      <c r="B176" s="30" t="inlineStr">
        <is>
          <t>Areal</t>
        </is>
      </c>
      <c r="C176" s="30" t="n">
        <v>11639623</v>
      </c>
      <c r="D176" s="30">
        <f>"35839942000142"</f>
        <v/>
      </c>
      <c r="E176" s="30" t="inlineStr">
        <is>
          <t>TMA SUDESTE TRANSPORTE E LOG?STICA LTDA</t>
        </is>
      </c>
      <c r="F176" s="30" t="inlineStr">
        <is>
          <t>2023</t>
        </is>
      </c>
      <c r="G176" s="40" t="n">
        <v>0</v>
      </c>
    </row>
    <row r="177" ht="12" customHeight="1">
      <c r="A177" s="30" t="inlineStr">
        <is>
          <t>ARE</t>
        </is>
      </c>
      <c r="B177" s="30" t="inlineStr">
        <is>
          <t>Areal</t>
        </is>
      </c>
      <c r="C177" s="30" t="n">
        <v>11669689</v>
      </c>
      <c r="D177" s="30">
        <f>"33050071024502"</f>
        <v/>
      </c>
      <c r="E177" s="30" t="inlineStr">
        <is>
          <t>AMPLA ENERGIA E SERVICOS S.A.</t>
        </is>
      </c>
      <c r="F177" s="30" t="inlineStr">
        <is>
          <t>2018</t>
        </is>
      </c>
      <c r="G177" s="40" t="n">
        <v>0</v>
      </c>
    </row>
    <row r="178" ht="12" customHeight="1">
      <c r="A178" s="30" t="inlineStr">
        <is>
          <t>ARE</t>
        </is>
      </c>
      <c r="B178" s="30" t="inlineStr">
        <is>
          <t>Areal</t>
        </is>
      </c>
      <c r="C178" s="30" t="n">
        <v>11669689</v>
      </c>
      <c r="D178" s="30">
        <f>"33050071024502"</f>
        <v/>
      </c>
      <c r="E178" s="30" t="inlineStr">
        <is>
          <t>AMPLA ENERGIA E SERVICOS S.A.</t>
        </is>
      </c>
      <c r="F178" s="30" t="inlineStr">
        <is>
          <t>2019</t>
        </is>
      </c>
      <c r="G178" s="40" t="n">
        <v>0</v>
      </c>
    </row>
    <row r="179" ht="12" customHeight="1">
      <c r="A179" s="30" t="inlineStr">
        <is>
          <t>ARE</t>
        </is>
      </c>
      <c r="B179" s="30" t="inlineStr">
        <is>
          <t>Areal</t>
        </is>
      </c>
      <c r="C179" s="30" t="n">
        <v>11669689</v>
      </c>
      <c r="D179" s="30">
        <f>"33050071024502"</f>
        <v/>
      </c>
      <c r="E179" s="30" t="inlineStr">
        <is>
          <t>AMPLA ENERGIA E SERVICOS S.A.</t>
        </is>
      </c>
      <c r="F179" s="30" t="inlineStr">
        <is>
          <t>2020</t>
        </is>
      </c>
      <c r="G179" s="40" t="n">
        <v>0</v>
      </c>
    </row>
    <row r="180" ht="12" customHeight="1">
      <c r="A180" s="30" t="inlineStr">
        <is>
          <t>ARE</t>
        </is>
      </c>
      <c r="B180" s="30" t="inlineStr">
        <is>
          <t>Areal</t>
        </is>
      </c>
      <c r="C180" s="30" t="n">
        <v>11669689</v>
      </c>
      <c r="D180" s="30">
        <f>"33050071024502"</f>
        <v/>
      </c>
      <c r="E180" s="30" t="inlineStr">
        <is>
          <t>AMPLA ENERGIA E SERVICOS S.A.</t>
        </is>
      </c>
      <c r="F180" s="30" t="inlineStr">
        <is>
          <t>2021</t>
        </is>
      </c>
      <c r="G180" s="40" t="n">
        <v>0</v>
      </c>
    </row>
    <row r="181" ht="12" customHeight="1">
      <c r="A181" s="30" t="inlineStr">
        <is>
          <t>ARE</t>
        </is>
      </c>
      <c r="B181" s="30" t="inlineStr">
        <is>
          <t>Areal</t>
        </is>
      </c>
      <c r="C181" s="30" t="n">
        <v>11669689</v>
      </c>
      <c r="D181" s="30">
        <f>"33050071024502"</f>
        <v/>
      </c>
      <c r="E181" s="30" t="inlineStr">
        <is>
          <t>AMPLA ENERGIA E SERVICOS S.A.</t>
        </is>
      </c>
      <c r="F181" s="30" t="inlineStr">
        <is>
          <t>2022</t>
        </is>
      </c>
      <c r="G181" s="40" t="n">
        <v>0</v>
      </c>
    </row>
    <row r="182" ht="12" customHeight="1">
      <c r="A182" s="30" t="inlineStr">
        <is>
          <t>ARE</t>
        </is>
      </c>
      <c r="B182" s="30" t="inlineStr">
        <is>
          <t>Areal</t>
        </is>
      </c>
      <c r="C182" s="30" t="n">
        <v>11682510</v>
      </c>
      <c r="D182" s="30">
        <f>"00088358160763"</f>
        <v/>
      </c>
      <c r="E182" s="30" t="inlineStr">
        <is>
          <t>PAULO JOSE ALVES DA COSTA</t>
        </is>
      </c>
      <c r="F182" s="30" t="inlineStr">
        <is>
          <t>2018</t>
        </is>
      </c>
      <c r="G182" s="40" t="n">
        <v>0</v>
      </c>
    </row>
    <row r="183" ht="12" customHeight="1">
      <c r="A183" s="30" t="inlineStr">
        <is>
          <t>ARE</t>
        </is>
      </c>
      <c r="B183" s="30" t="inlineStr">
        <is>
          <t>Areal</t>
        </is>
      </c>
      <c r="C183" s="30" t="n">
        <v>11682510</v>
      </c>
      <c r="D183" s="30">
        <f>"00088358160763"</f>
        <v/>
      </c>
      <c r="E183" s="30" t="inlineStr">
        <is>
          <t>PAULO JOSE ALVES DA COSTA</t>
        </is>
      </c>
      <c r="F183" s="30" t="inlineStr">
        <is>
          <t>2019</t>
        </is>
      </c>
      <c r="G183" s="40" t="n">
        <v>0</v>
      </c>
    </row>
    <row r="184" ht="12" customHeight="1">
      <c r="A184" s="30" t="inlineStr">
        <is>
          <t>ARE</t>
        </is>
      </c>
      <c r="B184" s="30" t="inlineStr">
        <is>
          <t>Areal</t>
        </is>
      </c>
      <c r="C184" s="30" t="n">
        <v>11682510</v>
      </c>
      <c r="D184" s="30">
        <f>"00088358160763"</f>
        <v/>
      </c>
      <c r="E184" s="30" t="inlineStr">
        <is>
          <t>PAULO JOSE ALVES DA COSTA</t>
        </is>
      </c>
      <c r="F184" s="30" t="inlineStr">
        <is>
          <t>2020</t>
        </is>
      </c>
      <c r="G184" s="40" t="n">
        <v>0</v>
      </c>
    </row>
    <row r="185" ht="12" customHeight="1">
      <c r="A185" s="30" t="inlineStr">
        <is>
          <t>ARE</t>
        </is>
      </c>
      <c r="B185" s="30" t="inlineStr">
        <is>
          <t>Areal</t>
        </is>
      </c>
      <c r="C185" s="30" t="n">
        <v>11682510</v>
      </c>
      <c r="D185" s="30">
        <f>"00088358160763"</f>
        <v/>
      </c>
      <c r="E185" s="30" t="inlineStr">
        <is>
          <t>PAULO JOSE ALVES DA COSTA</t>
        </is>
      </c>
      <c r="F185" s="30" t="inlineStr">
        <is>
          <t>2021</t>
        </is>
      </c>
      <c r="G185" s="40" t="n">
        <v>0</v>
      </c>
    </row>
    <row r="186" ht="12" customHeight="1">
      <c r="A186" s="30" t="inlineStr">
        <is>
          <t>ARE</t>
        </is>
      </c>
      <c r="B186" s="30" t="inlineStr">
        <is>
          <t>Areal</t>
        </is>
      </c>
      <c r="C186" s="30" t="n">
        <v>11682510</v>
      </c>
      <c r="D186" s="30">
        <f>"00088358160763"</f>
        <v/>
      </c>
      <c r="E186" s="30" t="inlineStr">
        <is>
          <t>PAULO JOSE ALVES DA COSTA</t>
        </is>
      </c>
      <c r="F186" s="30" t="inlineStr">
        <is>
          <t>2022</t>
        </is>
      </c>
      <c r="G186" s="40" t="n">
        <v>0</v>
      </c>
    </row>
    <row r="187" ht="12" customHeight="1">
      <c r="A187" s="30" t="inlineStr">
        <is>
          <t>ARE</t>
        </is>
      </c>
      <c r="B187" s="30" t="inlineStr">
        <is>
          <t>Areal</t>
        </is>
      </c>
      <c r="C187" s="30" t="n">
        <v>11682510</v>
      </c>
      <c r="D187" s="30">
        <f>"00088358160763"</f>
        <v/>
      </c>
      <c r="E187" s="30" t="inlineStr">
        <is>
          <t>PAULO JOSE ALVES DA COSTA</t>
        </is>
      </c>
      <c r="F187" s="30" t="inlineStr">
        <is>
          <t>2023</t>
        </is>
      </c>
      <c r="G187" s="40" t="n">
        <v>0</v>
      </c>
    </row>
    <row r="188" ht="12" customHeight="1">
      <c r="A188" s="30" t="inlineStr">
        <is>
          <t>ARE</t>
        </is>
      </c>
      <c r="B188" s="30" t="inlineStr">
        <is>
          <t>Areal</t>
        </is>
      </c>
      <c r="C188" s="30" t="n">
        <v>11699375</v>
      </c>
      <c r="D188" s="30">
        <f>"20121850002107"</f>
        <v/>
      </c>
      <c r="E188" s="30" t="inlineStr">
        <is>
          <t>MERCADO ENVIOS SERVICOS DE LOGISTICA LTDA</t>
        </is>
      </c>
      <c r="F188" s="30" t="inlineStr">
        <is>
          <t>2020</t>
        </is>
      </c>
      <c r="G188" s="40" t="n">
        <v>0</v>
      </c>
    </row>
    <row r="189" ht="12" customHeight="1">
      <c r="A189" s="30" t="inlineStr">
        <is>
          <t>ARE</t>
        </is>
      </c>
      <c r="B189" s="30" t="inlineStr">
        <is>
          <t>Areal</t>
        </is>
      </c>
      <c r="C189" s="30" t="n">
        <v>11699375</v>
      </c>
      <c r="D189" s="30">
        <f>"20121850002107"</f>
        <v/>
      </c>
      <c r="E189" s="30" t="inlineStr">
        <is>
          <t>MERCADO ENVIOS SERVICOS DE LOGISTICA LTDA</t>
        </is>
      </c>
      <c r="F189" s="30" t="inlineStr">
        <is>
          <t>2021</t>
        </is>
      </c>
      <c r="G189" s="40" t="n">
        <v>0</v>
      </c>
    </row>
    <row r="190" ht="12" customHeight="1">
      <c r="A190" s="30" t="inlineStr">
        <is>
          <t>ARE</t>
        </is>
      </c>
      <c r="B190" s="30" t="inlineStr">
        <is>
          <t>Areal</t>
        </is>
      </c>
      <c r="C190" s="30" t="n">
        <v>11699375</v>
      </c>
      <c r="D190" s="30">
        <f>"20121850002107"</f>
        <v/>
      </c>
      <c r="E190" s="30" t="inlineStr">
        <is>
          <t>MERCADO ENVIOS SERVICOS DE LOGISTICA LTDA</t>
        </is>
      </c>
      <c r="F190" s="30" t="inlineStr">
        <is>
          <t>2022</t>
        </is>
      </c>
      <c r="G190" s="40" t="n">
        <v>122073.85</v>
      </c>
    </row>
    <row r="191" ht="12" customHeight="1">
      <c r="A191" s="30" t="inlineStr">
        <is>
          <t>ARE</t>
        </is>
      </c>
      <c r="B191" s="30" t="inlineStr">
        <is>
          <t>Areal</t>
        </is>
      </c>
      <c r="C191" s="30" t="n">
        <v>11699375</v>
      </c>
      <c r="D191" s="30">
        <f>"20121850002107"</f>
        <v/>
      </c>
      <c r="E191" s="30" t="inlineStr">
        <is>
          <t>MERCADO ENVIOS SERVICOS DE LOGISTICA LTDA</t>
        </is>
      </c>
      <c r="F191" s="30" t="inlineStr">
        <is>
          <t>2023</t>
        </is>
      </c>
      <c r="G191" s="40" t="n">
        <v>0</v>
      </c>
    </row>
    <row r="192" ht="12" customHeight="1">
      <c r="A192" s="30" t="inlineStr">
        <is>
          <t>ARE</t>
        </is>
      </c>
      <c r="B192" s="30" t="inlineStr">
        <is>
          <t>Areal</t>
        </is>
      </c>
      <c r="C192" s="30" t="n">
        <v>11712908</v>
      </c>
      <c r="D192" s="30">
        <f>"36012579000150"</f>
        <v/>
      </c>
      <c r="E192" s="30" t="inlineStr">
        <is>
          <t>COZANI RJ INFRAESTRUTURA E REDES DE TELECOMUNICA??ES S.A</t>
        </is>
      </c>
      <c r="F192" s="30" t="inlineStr">
        <is>
          <t>2020</t>
        </is>
      </c>
      <c r="G192" s="40" t="n">
        <v>0</v>
      </c>
    </row>
    <row r="193" ht="12" customHeight="1">
      <c r="A193" s="30" t="inlineStr">
        <is>
          <t>ARE</t>
        </is>
      </c>
      <c r="B193" s="30" t="inlineStr">
        <is>
          <t>Areal</t>
        </is>
      </c>
      <c r="C193" s="30" t="n">
        <v>11712908</v>
      </c>
      <c r="D193" s="30">
        <f>"36012579000150"</f>
        <v/>
      </c>
      <c r="E193" s="30" t="inlineStr">
        <is>
          <t>COZANI RJ INFRAESTRUTURA E REDES DE TELECOMUNICA??ES S.A</t>
        </is>
      </c>
      <c r="F193" s="30" t="inlineStr">
        <is>
          <t>2021</t>
        </is>
      </c>
      <c r="G193" s="40" t="n">
        <v>0</v>
      </c>
    </row>
    <row r="194" ht="12" customHeight="1">
      <c r="A194" s="30" t="inlineStr">
        <is>
          <t>ARE</t>
        </is>
      </c>
      <c r="B194" s="30" t="inlineStr">
        <is>
          <t>Areal</t>
        </is>
      </c>
      <c r="C194" s="30" t="n">
        <v>11712908</v>
      </c>
      <c r="D194" s="30">
        <f>"36012579000150"</f>
        <v/>
      </c>
      <c r="E194" s="30" t="inlineStr">
        <is>
          <t>COZANI RJ INFRAESTRUTURA E REDES DE TELECOMUNICA??ES S.A</t>
        </is>
      </c>
      <c r="F194" s="30" t="inlineStr">
        <is>
          <t>2022</t>
        </is>
      </c>
      <c r="G194" s="40" t="n">
        <v>133514.36</v>
      </c>
    </row>
    <row r="195" ht="12" customHeight="1">
      <c r="A195" s="30" t="inlineStr">
        <is>
          <t>ARE</t>
        </is>
      </c>
      <c r="B195" s="30" t="inlineStr">
        <is>
          <t>Areal</t>
        </is>
      </c>
      <c r="C195" s="30" t="n">
        <v>11712908</v>
      </c>
      <c r="D195" s="30">
        <f>"36012579000150"</f>
        <v/>
      </c>
      <c r="E195" s="30" t="inlineStr">
        <is>
          <t>COZANI RJ INFRAESTRUTURA E REDES DE TELECOMUNICA??ES S.A</t>
        </is>
      </c>
      <c r="F195" s="30" t="inlineStr">
        <is>
          <t>2023</t>
        </is>
      </c>
      <c r="G195" s="40" t="n">
        <v>0</v>
      </c>
    </row>
    <row r="196" ht="12" customHeight="1">
      <c r="A196" s="30" t="inlineStr">
        <is>
          <t>ARE</t>
        </is>
      </c>
      <c r="B196" s="30" t="inlineStr">
        <is>
          <t>Areal</t>
        </is>
      </c>
      <c r="C196" s="30" t="n">
        <v>11719376</v>
      </c>
      <c r="D196" s="30">
        <f>"37299947000155"</f>
        <v/>
      </c>
      <c r="E196" s="30" t="inlineStr">
        <is>
          <t>RAROS DE MINAS COM?RCIO DE PRODUTOS ALIMENT?CIOS LTDA</t>
        </is>
      </c>
      <c r="F196" s="30" t="inlineStr">
        <is>
          <t>2021</t>
        </is>
      </c>
      <c r="G196" s="40" t="n">
        <v>0</v>
      </c>
    </row>
    <row r="197" ht="12" customHeight="1">
      <c r="A197" s="30" t="inlineStr">
        <is>
          <t>ARE</t>
        </is>
      </c>
      <c r="B197" s="30" t="inlineStr">
        <is>
          <t>Areal</t>
        </is>
      </c>
      <c r="C197" s="30" t="n">
        <v>11719376</v>
      </c>
      <c r="D197" s="30">
        <f>"37299947000155"</f>
        <v/>
      </c>
      <c r="E197" s="30" t="inlineStr">
        <is>
          <t>RAROS DE MINAS COM?RCIO DE PRODUTOS ALIMENT?CIOS LTDA</t>
        </is>
      </c>
      <c r="F197" s="30" t="inlineStr">
        <is>
          <t>2022</t>
        </is>
      </c>
      <c r="G197" s="40" t="n">
        <v>0</v>
      </c>
    </row>
    <row r="198" ht="12" customHeight="1">
      <c r="A198" s="30" t="inlineStr">
        <is>
          <t>ARE</t>
        </is>
      </c>
      <c r="B198" s="30" t="inlineStr">
        <is>
          <t>Areal</t>
        </is>
      </c>
      <c r="C198" s="30" t="n">
        <v>11719376</v>
      </c>
      <c r="D198" s="30">
        <f>"37299947000155"</f>
        <v/>
      </c>
      <c r="E198" s="30" t="inlineStr">
        <is>
          <t>RAROS DE MINAS COM?RCIO DE PRODUTOS ALIMENT?CIOS LTDA</t>
        </is>
      </c>
      <c r="F198" s="30" t="inlineStr">
        <is>
          <t>2023</t>
        </is>
      </c>
      <c r="G198" s="40" t="n">
        <v>203397.01</v>
      </c>
    </row>
    <row r="199" ht="12" customHeight="1">
      <c r="A199" s="30" t="inlineStr">
        <is>
          <t>ARE</t>
        </is>
      </c>
      <c r="B199" s="30" t="inlineStr">
        <is>
          <t>Areal</t>
        </is>
      </c>
      <c r="C199" s="30" t="n">
        <v>11743501</v>
      </c>
      <c r="D199" s="30">
        <f>"18247063001770"</f>
        <v/>
      </c>
      <c r="E199" s="30" t="inlineStr">
        <is>
          <t>DOMINALOG EXPRESS LOGISTICA INTEGRADA LTDA</t>
        </is>
      </c>
      <c r="F199" s="30" t="inlineStr">
        <is>
          <t>2021</t>
        </is>
      </c>
      <c r="G199" s="40" t="n">
        <v>0</v>
      </c>
    </row>
    <row r="200" ht="12" customHeight="1">
      <c r="A200" s="30" t="inlineStr">
        <is>
          <t>ARE</t>
        </is>
      </c>
      <c r="B200" s="30" t="inlineStr">
        <is>
          <t>Areal</t>
        </is>
      </c>
      <c r="C200" s="30" t="n">
        <v>11743501</v>
      </c>
      <c r="D200" s="30">
        <f>"18247063001770"</f>
        <v/>
      </c>
      <c r="E200" s="30" t="inlineStr">
        <is>
          <t>DOMINALOG EXPRESS LOGISTICA INTEGRADA LTDA</t>
        </is>
      </c>
      <c r="F200" s="30" t="inlineStr">
        <is>
          <t>2022</t>
        </is>
      </c>
      <c r="G200" s="40" t="n">
        <v>0</v>
      </c>
    </row>
    <row r="201" ht="12" customHeight="1">
      <c r="A201" s="30" t="inlineStr">
        <is>
          <t>ARE</t>
        </is>
      </c>
      <c r="B201" s="30" t="inlineStr">
        <is>
          <t>Areal</t>
        </is>
      </c>
      <c r="C201" s="30" t="n">
        <v>11743501</v>
      </c>
      <c r="D201" s="30">
        <f>"18247063001770"</f>
        <v/>
      </c>
      <c r="E201" s="30" t="inlineStr">
        <is>
          <t>DOMINALOG EXPRESS LOGISTICA INTEGRADA LTDA</t>
        </is>
      </c>
      <c r="F201" s="30" t="inlineStr">
        <is>
          <t>2023</t>
        </is>
      </c>
      <c r="G201" s="40" t="n">
        <v>123.73</v>
      </c>
    </row>
    <row r="202" ht="12" customHeight="1">
      <c r="A202" s="30" t="inlineStr">
        <is>
          <t>ARE</t>
        </is>
      </c>
      <c r="B202" s="30" t="inlineStr">
        <is>
          <t>Areal</t>
        </is>
      </c>
      <c r="C202" s="30" t="n">
        <v>11774504</v>
      </c>
      <c r="D202" s="30">
        <f>"00972696001351"</f>
        <v/>
      </c>
      <c r="E202" s="30" t="inlineStr">
        <is>
          <t>V.M.RAMOS &amp; CIA LTDA</t>
        </is>
      </c>
      <c r="F202" s="30" t="inlineStr">
        <is>
          <t>2018</t>
        </is>
      </c>
      <c r="G202" s="40" t="n">
        <v>0</v>
      </c>
    </row>
    <row r="203" ht="12" customHeight="1">
      <c r="A203" s="30" t="inlineStr">
        <is>
          <t>ARE</t>
        </is>
      </c>
      <c r="B203" s="30" t="inlineStr">
        <is>
          <t>Areal</t>
        </is>
      </c>
      <c r="C203" s="30" t="n">
        <v>11774504</v>
      </c>
      <c r="D203" s="30">
        <f>"00972696001351"</f>
        <v/>
      </c>
      <c r="E203" s="30" t="inlineStr">
        <is>
          <t>V.M.RAMOS &amp; CIA LTDA</t>
        </is>
      </c>
      <c r="F203" s="30" t="inlineStr">
        <is>
          <t>2019</t>
        </is>
      </c>
      <c r="G203" s="40" t="n">
        <v>0</v>
      </c>
    </row>
    <row r="204" ht="12" customHeight="1">
      <c r="A204" s="30" t="inlineStr">
        <is>
          <t>ARE</t>
        </is>
      </c>
      <c r="B204" s="30" t="inlineStr">
        <is>
          <t>Areal</t>
        </is>
      </c>
      <c r="C204" s="30" t="n">
        <v>11774504</v>
      </c>
      <c r="D204" s="30">
        <f>"00972696001351"</f>
        <v/>
      </c>
      <c r="E204" s="30" t="inlineStr">
        <is>
          <t>V.M.RAMOS &amp; CIA LTDA</t>
        </is>
      </c>
      <c r="F204" s="30" t="inlineStr">
        <is>
          <t>2020</t>
        </is>
      </c>
      <c r="G204" s="40" t="n">
        <v>5000.61</v>
      </c>
    </row>
    <row r="205" ht="12" customHeight="1">
      <c r="A205" s="30" t="inlineStr">
        <is>
          <t>ARE</t>
        </is>
      </c>
      <c r="B205" s="30" t="inlineStr">
        <is>
          <t>Areal</t>
        </is>
      </c>
      <c r="C205" s="30" t="n">
        <v>11774504</v>
      </c>
      <c r="D205" s="30">
        <f>"00972696001351"</f>
        <v/>
      </c>
      <c r="E205" s="30" t="inlineStr">
        <is>
          <t>V.M.RAMOS &amp; CIA LTDA</t>
        </is>
      </c>
      <c r="F205" s="30" t="inlineStr">
        <is>
          <t>2021</t>
        </is>
      </c>
      <c r="G205" s="40" t="n">
        <v>15781.29</v>
      </c>
    </row>
    <row r="206" ht="12" customHeight="1">
      <c r="A206" s="30" t="inlineStr">
        <is>
          <t>ARE</t>
        </is>
      </c>
      <c r="B206" s="30" t="inlineStr">
        <is>
          <t>Areal</t>
        </is>
      </c>
      <c r="C206" s="30" t="n">
        <v>11774504</v>
      </c>
      <c r="D206" s="30">
        <f>"00972696001351"</f>
        <v/>
      </c>
      <c r="E206" s="30" t="inlineStr">
        <is>
          <t>V.M.RAMOS &amp; CIA LTDA</t>
        </is>
      </c>
      <c r="F206" s="30" t="inlineStr">
        <is>
          <t>2022</t>
        </is>
      </c>
      <c r="G206" s="40" t="n">
        <v>12983.63</v>
      </c>
    </row>
    <row r="207" ht="12" customHeight="1">
      <c r="A207" s="30" t="inlineStr">
        <is>
          <t>ARE</t>
        </is>
      </c>
      <c r="B207" s="30" t="inlineStr">
        <is>
          <t>Areal</t>
        </is>
      </c>
      <c r="C207" s="30" t="n">
        <v>11774504</v>
      </c>
      <c r="D207" s="30">
        <f>"00972696001351"</f>
        <v/>
      </c>
      <c r="E207" s="30" t="inlineStr">
        <is>
          <t>V.M.RAMOS &amp; CIA LTDA</t>
        </is>
      </c>
      <c r="F207" s="30" t="inlineStr">
        <is>
          <t>2023</t>
        </is>
      </c>
      <c r="G207" s="40" t="n">
        <v>5582.37</v>
      </c>
    </row>
    <row r="208" ht="12" customHeight="1">
      <c r="A208" s="30" t="inlineStr">
        <is>
          <t>ARE</t>
        </is>
      </c>
      <c r="B208" s="30" t="inlineStr">
        <is>
          <t>Areal</t>
        </is>
      </c>
      <c r="C208" s="30" t="n">
        <v>11774997</v>
      </c>
      <c r="D208" s="30">
        <f>"37982963000148"</f>
        <v/>
      </c>
      <c r="E208" s="30" t="inlineStr">
        <is>
          <t>EKO PLASTO RECICLAGEM LTDA</t>
        </is>
      </c>
      <c r="F208" s="30" t="inlineStr">
        <is>
          <t>2018</t>
        </is>
      </c>
      <c r="G208" s="40" t="n">
        <v>0</v>
      </c>
    </row>
    <row r="209" ht="12" customHeight="1">
      <c r="A209" s="30" t="inlineStr">
        <is>
          <t>ARE</t>
        </is>
      </c>
      <c r="B209" s="30" t="inlineStr">
        <is>
          <t>Areal</t>
        </is>
      </c>
      <c r="C209" s="30" t="n">
        <v>11774997</v>
      </c>
      <c r="D209" s="30">
        <f>"37982963000148"</f>
        <v/>
      </c>
      <c r="E209" s="30" t="inlineStr">
        <is>
          <t>EKO PLASTO RECICLAGEM LTDA</t>
        </is>
      </c>
      <c r="F209" s="30" t="inlineStr">
        <is>
          <t>2019</t>
        </is>
      </c>
      <c r="G209" s="40" t="n">
        <v>0</v>
      </c>
    </row>
    <row r="210" ht="12" customHeight="1">
      <c r="A210" s="30" t="inlineStr">
        <is>
          <t>ARE</t>
        </is>
      </c>
      <c r="B210" s="30" t="inlineStr">
        <is>
          <t>Areal</t>
        </is>
      </c>
      <c r="C210" s="30" t="n">
        <v>11774997</v>
      </c>
      <c r="D210" s="30">
        <f>"37982963000148"</f>
        <v/>
      </c>
      <c r="E210" s="30" t="inlineStr">
        <is>
          <t>EKO PLASTO RECICLAGEM LTDA</t>
        </is>
      </c>
      <c r="F210" s="30" t="inlineStr">
        <is>
          <t>2020</t>
        </is>
      </c>
      <c r="G210" s="40" t="n">
        <v>0</v>
      </c>
    </row>
    <row r="211" ht="12" customHeight="1">
      <c r="A211" s="30" t="inlineStr">
        <is>
          <t>ARE</t>
        </is>
      </c>
      <c r="B211" s="30" t="inlineStr">
        <is>
          <t>Areal</t>
        </is>
      </c>
      <c r="C211" s="30" t="n">
        <v>11774997</v>
      </c>
      <c r="D211" s="30">
        <f>"37982963000148"</f>
        <v/>
      </c>
      <c r="E211" s="30" t="inlineStr">
        <is>
          <t>EKO PLASTO RECICLAGEM LTDA</t>
        </is>
      </c>
      <c r="F211" s="30" t="inlineStr">
        <is>
          <t>2021</t>
        </is>
      </c>
      <c r="G211" s="40" t="n">
        <v>0</v>
      </c>
    </row>
    <row r="212" ht="12" customHeight="1">
      <c r="A212" s="30" t="inlineStr">
        <is>
          <t>ARE</t>
        </is>
      </c>
      <c r="B212" s="30" t="inlineStr">
        <is>
          <t>Areal</t>
        </is>
      </c>
      <c r="C212" s="30" t="n">
        <v>11774997</v>
      </c>
      <c r="D212" s="30">
        <f>"37982963000148"</f>
        <v/>
      </c>
      <c r="E212" s="30" t="inlineStr">
        <is>
          <t>EKO PLASTO RECICLAGEM LTDA</t>
        </is>
      </c>
      <c r="F212" s="30" t="inlineStr">
        <is>
          <t>2022</t>
        </is>
      </c>
      <c r="G212" s="40" t="n">
        <v>0</v>
      </c>
    </row>
    <row r="213" ht="12" customHeight="1">
      <c r="A213" s="30" t="inlineStr">
        <is>
          <t>ARE</t>
        </is>
      </c>
      <c r="B213" s="30" t="inlineStr">
        <is>
          <t>Areal</t>
        </is>
      </c>
      <c r="C213" s="30" t="n">
        <v>11774997</v>
      </c>
      <c r="D213" s="30">
        <f>"37982963000148"</f>
        <v/>
      </c>
      <c r="E213" s="30" t="inlineStr">
        <is>
          <t>EKO PLASTO RECICLAGEM LTDA</t>
        </is>
      </c>
      <c r="F213" s="30" t="inlineStr">
        <is>
          <t>2023</t>
        </is>
      </c>
      <c r="G213" s="40" t="n">
        <v>0</v>
      </c>
    </row>
    <row r="214" ht="12" customHeight="1">
      <c r="A214" s="30" t="inlineStr">
        <is>
          <t>ARE</t>
        </is>
      </c>
      <c r="B214" s="30" t="inlineStr">
        <is>
          <t>Areal</t>
        </is>
      </c>
      <c r="C214" s="30" t="n">
        <v>11810381</v>
      </c>
      <c r="D214" s="30">
        <f>"05206385004400"</f>
        <v/>
      </c>
      <c r="E214" s="30" t="inlineStr">
        <is>
          <t>HUGHES TELECOMUNICACOES DO BRASIL LTDA</t>
        </is>
      </c>
      <c r="F214" s="30" t="inlineStr">
        <is>
          <t>2018</t>
        </is>
      </c>
      <c r="G214" s="40" t="n">
        <v>0</v>
      </c>
    </row>
    <row r="215" ht="12" customHeight="1">
      <c r="A215" s="30" t="inlineStr">
        <is>
          <t>ARE</t>
        </is>
      </c>
      <c r="B215" s="30" t="inlineStr">
        <is>
          <t>Areal</t>
        </is>
      </c>
      <c r="C215" s="30" t="n">
        <v>11810381</v>
      </c>
      <c r="D215" s="30">
        <f>"05206385004400"</f>
        <v/>
      </c>
      <c r="E215" s="30" t="inlineStr">
        <is>
          <t>HUGHES TELECOMUNICACOES DO BRASIL LTDA</t>
        </is>
      </c>
      <c r="F215" s="30" t="inlineStr">
        <is>
          <t>2019</t>
        </is>
      </c>
      <c r="G215" s="40" t="n">
        <v>0</v>
      </c>
    </row>
    <row r="216" ht="12" customHeight="1">
      <c r="A216" s="30" t="inlineStr">
        <is>
          <t>ARE</t>
        </is>
      </c>
      <c r="B216" s="30" t="inlineStr">
        <is>
          <t>Areal</t>
        </is>
      </c>
      <c r="C216" s="30" t="n">
        <v>11810381</v>
      </c>
      <c r="D216" s="30">
        <f>"05206385004400"</f>
        <v/>
      </c>
      <c r="E216" s="30" t="inlineStr">
        <is>
          <t>HUGHES TELECOMUNICACOES DO BRASIL LTDA</t>
        </is>
      </c>
      <c r="F216" s="30" t="inlineStr">
        <is>
          <t>2020</t>
        </is>
      </c>
      <c r="G216" s="40" t="n">
        <v>24950.27</v>
      </c>
    </row>
    <row r="217" ht="12" customHeight="1">
      <c r="A217" s="30" t="inlineStr">
        <is>
          <t>ARE</t>
        </is>
      </c>
      <c r="B217" s="30" t="inlineStr">
        <is>
          <t>Areal</t>
        </is>
      </c>
      <c r="C217" s="30" t="n">
        <v>11810381</v>
      </c>
      <c r="D217" s="30">
        <f>"05206385004400"</f>
        <v/>
      </c>
      <c r="E217" s="30" t="inlineStr">
        <is>
          <t>HUGHES TELECOMUNICACOES DO BRASIL LTDA</t>
        </is>
      </c>
      <c r="F217" s="30" t="inlineStr">
        <is>
          <t>2021</t>
        </is>
      </c>
      <c r="G217" s="40" t="n">
        <v>92404.7</v>
      </c>
    </row>
    <row r="218" ht="12" customHeight="1">
      <c r="A218" s="30" t="inlineStr">
        <is>
          <t>ARE</t>
        </is>
      </c>
      <c r="B218" s="30" t="inlineStr">
        <is>
          <t>Areal</t>
        </is>
      </c>
      <c r="C218" s="30" t="n">
        <v>11810381</v>
      </c>
      <c r="D218" s="30">
        <f>"05206385004400"</f>
        <v/>
      </c>
      <c r="E218" s="30" t="inlineStr">
        <is>
          <t>HUGHES TELECOMUNICACOES DO BRASIL LTDA</t>
        </is>
      </c>
      <c r="F218" s="30" t="inlineStr">
        <is>
          <t>2022</t>
        </is>
      </c>
      <c r="G218" s="40" t="n">
        <v>44408.78</v>
      </c>
    </row>
    <row r="219" ht="12" customHeight="1">
      <c r="A219" s="30" t="inlineStr">
        <is>
          <t>ARE</t>
        </is>
      </c>
      <c r="B219" s="30" t="inlineStr">
        <is>
          <t>Areal</t>
        </is>
      </c>
      <c r="C219" s="30" t="n">
        <v>11810381</v>
      </c>
      <c r="D219" s="30">
        <f>"05206385004400"</f>
        <v/>
      </c>
      <c r="E219" s="30" t="inlineStr">
        <is>
          <t>HUGHES TELECOMUNICACOES DO BRASIL LTDA</t>
        </is>
      </c>
      <c r="F219" s="30" t="inlineStr">
        <is>
          <t>2023</t>
        </is>
      </c>
      <c r="G219" s="40" t="n">
        <v>23963.89</v>
      </c>
    </row>
    <row r="220" ht="12" customHeight="1">
      <c r="A220" s="30" t="inlineStr">
        <is>
          <t>ARE</t>
        </is>
      </c>
      <c r="B220" s="30" t="inlineStr">
        <is>
          <t>Areal</t>
        </is>
      </c>
      <c r="C220" s="30" t="n">
        <v>11813801</v>
      </c>
      <c r="D220" s="30">
        <f>"08848231003772"</f>
        <v/>
      </c>
      <c r="E220" s="30" t="inlineStr">
        <is>
          <t>ATUAL CARGAS TRANSPORTES LTDA</t>
        </is>
      </c>
      <c r="F220" s="30" t="inlineStr">
        <is>
          <t>2020</t>
        </is>
      </c>
      <c r="G220" s="40" t="n">
        <v>0</v>
      </c>
    </row>
    <row r="221" ht="12" customHeight="1">
      <c r="A221" s="30" t="inlineStr">
        <is>
          <t>ARE</t>
        </is>
      </c>
      <c r="B221" s="30" t="inlineStr">
        <is>
          <t>Areal</t>
        </is>
      </c>
      <c r="C221" s="30" t="n">
        <v>11813801</v>
      </c>
      <c r="D221" s="30">
        <f>"08848231003772"</f>
        <v/>
      </c>
      <c r="E221" s="30" t="inlineStr">
        <is>
          <t>ATUAL CARGAS TRANSPORTES LTDA</t>
        </is>
      </c>
      <c r="F221" s="30" t="inlineStr">
        <is>
          <t>2021</t>
        </is>
      </c>
      <c r="G221" s="40" t="n">
        <v>0</v>
      </c>
    </row>
    <row r="222" ht="12" customHeight="1">
      <c r="A222" s="30" t="inlineStr">
        <is>
          <t>ARE</t>
        </is>
      </c>
      <c r="B222" s="30" t="inlineStr">
        <is>
          <t>Areal</t>
        </is>
      </c>
      <c r="C222" s="30" t="n">
        <v>11813801</v>
      </c>
      <c r="D222" s="30">
        <f>"08848231003772"</f>
        <v/>
      </c>
      <c r="E222" s="30" t="inlineStr">
        <is>
          <t>ATUAL CARGAS TRANSPORTES LTDA</t>
        </is>
      </c>
      <c r="F222" s="30" t="inlineStr">
        <is>
          <t>2022</t>
        </is>
      </c>
      <c r="G222" s="40" t="n">
        <v>190.16</v>
      </c>
    </row>
    <row r="223" ht="12" customHeight="1">
      <c r="A223" s="30" t="inlineStr">
        <is>
          <t>ARE</t>
        </is>
      </c>
      <c r="B223" s="30" t="inlineStr">
        <is>
          <t>Areal</t>
        </is>
      </c>
      <c r="C223" s="30" t="n">
        <v>11813801</v>
      </c>
      <c r="D223" s="30">
        <f>"08848231003772"</f>
        <v/>
      </c>
      <c r="E223" s="30" t="inlineStr">
        <is>
          <t>ATUAL CARGAS TRANSPORTES LTDA</t>
        </is>
      </c>
      <c r="F223" s="30" t="inlineStr">
        <is>
          <t>2023</t>
        </is>
      </c>
      <c r="G223" s="40" t="n">
        <v>262.67</v>
      </c>
    </row>
    <row r="224" ht="12" customHeight="1">
      <c r="A224" s="30" t="inlineStr">
        <is>
          <t>ARE</t>
        </is>
      </c>
      <c r="B224" s="30" t="inlineStr">
        <is>
          <t>Areal</t>
        </is>
      </c>
      <c r="C224" s="30" t="n">
        <v>11814077</v>
      </c>
      <c r="D224" s="30">
        <f>"38346448000134"</f>
        <v/>
      </c>
      <c r="E224" s="30" t="inlineStr">
        <is>
          <t>STN COMERCIO DE MATERIAL ELETRICO LTDA</t>
        </is>
      </c>
      <c r="F224" s="30" t="inlineStr">
        <is>
          <t>2018</t>
        </is>
      </c>
      <c r="G224" s="40" t="n">
        <v>0</v>
      </c>
    </row>
    <row r="225" ht="12" customHeight="1">
      <c r="A225" s="30" t="inlineStr">
        <is>
          <t>ARE</t>
        </is>
      </c>
      <c r="B225" s="30" t="inlineStr">
        <is>
          <t>Areal</t>
        </is>
      </c>
      <c r="C225" s="30" t="n">
        <v>11814077</v>
      </c>
      <c r="D225" s="30">
        <f>"38346448000134"</f>
        <v/>
      </c>
      <c r="E225" s="30" t="inlineStr">
        <is>
          <t>STN COMERCIO DE MATERIAL ELETRICO LTDA</t>
        </is>
      </c>
      <c r="F225" s="30" t="inlineStr">
        <is>
          <t>2019</t>
        </is>
      </c>
      <c r="G225" s="40" t="n">
        <v>0</v>
      </c>
    </row>
    <row r="226" ht="12" customHeight="1">
      <c r="A226" s="30" t="inlineStr">
        <is>
          <t>ARE</t>
        </is>
      </c>
      <c r="B226" s="30" t="inlineStr">
        <is>
          <t>Areal</t>
        </is>
      </c>
      <c r="C226" s="30" t="n">
        <v>11814077</v>
      </c>
      <c r="D226" s="30">
        <f>"38346448000134"</f>
        <v/>
      </c>
      <c r="E226" s="30" t="inlineStr">
        <is>
          <t>STN COMERCIO DE MATERIAL ELETRICO LTDA</t>
        </is>
      </c>
      <c r="F226" s="30" t="inlineStr">
        <is>
          <t>2020</t>
        </is>
      </c>
      <c r="G226" s="40" t="n">
        <v>207979.33</v>
      </c>
    </row>
    <row r="227" ht="12" customHeight="1">
      <c r="A227" s="30" t="inlineStr">
        <is>
          <t>ARE</t>
        </is>
      </c>
      <c r="B227" s="30" t="inlineStr">
        <is>
          <t>Areal</t>
        </is>
      </c>
      <c r="C227" s="30" t="n">
        <v>11814077</v>
      </c>
      <c r="D227" s="30">
        <f>"38346448000134"</f>
        <v/>
      </c>
      <c r="E227" s="30" t="inlineStr">
        <is>
          <t>STN COMERCIO DE MATERIAL ELETRICO LTDA</t>
        </is>
      </c>
      <c r="F227" s="30" t="inlineStr">
        <is>
          <t>2021</t>
        </is>
      </c>
      <c r="G227" s="40" t="n">
        <v>7492585.71</v>
      </c>
    </row>
    <row r="228" ht="12" customHeight="1">
      <c r="A228" s="30" t="inlineStr">
        <is>
          <t>ARE</t>
        </is>
      </c>
      <c r="B228" s="30" t="inlineStr">
        <is>
          <t>Areal</t>
        </is>
      </c>
      <c r="C228" s="30" t="n">
        <v>11814077</v>
      </c>
      <c r="D228" s="30">
        <f>"38346448000134"</f>
        <v/>
      </c>
      <c r="E228" s="30" t="inlineStr">
        <is>
          <t>STN COMERCIO DE MATERIAL ELETRICO LTDA</t>
        </is>
      </c>
      <c r="F228" s="30" t="inlineStr">
        <is>
          <t>2022</t>
        </is>
      </c>
      <c r="G228" s="40" t="n">
        <v>43600.31</v>
      </c>
    </row>
    <row r="229" ht="12" customHeight="1">
      <c r="A229" s="30" t="inlineStr">
        <is>
          <t>ARE</t>
        </is>
      </c>
      <c r="B229" s="30" t="inlineStr">
        <is>
          <t>Areal</t>
        </is>
      </c>
      <c r="C229" s="30" t="n">
        <v>11814077</v>
      </c>
      <c r="D229" s="30">
        <f>"38346448000134"</f>
        <v/>
      </c>
      <c r="E229" s="30" t="inlineStr">
        <is>
          <t>STN COMERCIO DE MATERIAL ELETRICO LTDA</t>
        </is>
      </c>
      <c r="F229" s="30" t="inlineStr">
        <is>
          <t>2023</t>
        </is>
      </c>
      <c r="G229" s="40" t="n">
        <v>292630.17</v>
      </c>
    </row>
    <row r="230" ht="12" customHeight="1">
      <c r="A230" s="30" t="inlineStr">
        <is>
          <t>ARE</t>
        </is>
      </c>
      <c r="B230" s="30" t="inlineStr">
        <is>
          <t>Areal</t>
        </is>
      </c>
      <c r="C230" s="30" t="n">
        <v>11823033</v>
      </c>
      <c r="D230" s="30">
        <f>"37185266000166"</f>
        <v/>
      </c>
      <c r="E230" s="30" t="inlineStr">
        <is>
          <t>JONAVA RJ INFRAESTRUTURA E REDES DE TELECOMUNICACOES S.A.</t>
        </is>
      </c>
      <c r="F230" s="30" t="inlineStr">
        <is>
          <t>2020</t>
        </is>
      </c>
      <c r="G230" s="40" t="n">
        <v>0</v>
      </c>
    </row>
    <row r="231" ht="12" customHeight="1">
      <c r="A231" s="30" t="inlineStr">
        <is>
          <t>ARE</t>
        </is>
      </c>
      <c r="B231" s="30" t="inlineStr">
        <is>
          <t>Areal</t>
        </is>
      </c>
      <c r="C231" s="30" t="n">
        <v>11823033</v>
      </c>
      <c r="D231" s="30">
        <f>"37185266000166"</f>
        <v/>
      </c>
      <c r="E231" s="30" t="inlineStr">
        <is>
          <t>JONAVA RJ INFRAESTRUTURA E REDES DE TELECOMUNICACOES S.A.</t>
        </is>
      </c>
      <c r="F231" s="30" t="inlineStr">
        <is>
          <t>2021</t>
        </is>
      </c>
      <c r="G231" s="40" t="n">
        <v>0</v>
      </c>
    </row>
    <row r="232" ht="12" customHeight="1">
      <c r="A232" s="30" t="inlineStr">
        <is>
          <t>ARE</t>
        </is>
      </c>
      <c r="B232" s="30" t="inlineStr">
        <is>
          <t>Areal</t>
        </is>
      </c>
      <c r="C232" s="30" t="n">
        <v>11823033</v>
      </c>
      <c r="D232" s="30">
        <f>"37185266000166"</f>
        <v/>
      </c>
      <c r="E232" s="30" t="inlineStr">
        <is>
          <t>JONAVA RJ INFRAESTRUTURA E REDES DE TELECOMUNICACOES S.A.</t>
        </is>
      </c>
      <c r="F232" s="30" t="inlineStr">
        <is>
          <t>2022</t>
        </is>
      </c>
      <c r="G232" s="40" t="n">
        <v>189.23</v>
      </c>
    </row>
    <row r="233" ht="12" customHeight="1">
      <c r="A233" s="30" t="inlineStr">
        <is>
          <t>ARE</t>
        </is>
      </c>
      <c r="B233" s="30" t="inlineStr">
        <is>
          <t>Areal</t>
        </is>
      </c>
      <c r="C233" s="30" t="n">
        <v>11823033</v>
      </c>
      <c r="D233" s="30">
        <f>"37185266000166"</f>
        <v/>
      </c>
      <c r="E233" s="30" t="inlineStr">
        <is>
          <t>JONAVA RJ INFRAESTRUTURA E REDES DE TELECOMUNICACOES S.A.</t>
        </is>
      </c>
      <c r="F233" s="30" t="inlineStr">
        <is>
          <t>2023</t>
        </is>
      </c>
      <c r="G233" s="40" t="n">
        <v>0</v>
      </c>
    </row>
    <row r="234" ht="12" customHeight="1">
      <c r="A234" s="30" t="inlineStr">
        <is>
          <t>ARE</t>
        </is>
      </c>
      <c r="B234" s="30" t="inlineStr">
        <is>
          <t>Areal</t>
        </is>
      </c>
      <c r="C234" s="30" t="n">
        <v>11853137</v>
      </c>
      <c r="D234" s="30">
        <f>"48740351014972"</f>
        <v/>
      </c>
      <c r="E234" s="30" t="inlineStr">
        <is>
          <t>BRASPRESS TRANSPORTES URGENTES LTDA</t>
        </is>
      </c>
      <c r="F234" s="30" t="inlineStr">
        <is>
          <t>2020</t>
        </is>
      </c>
      <c r="G234" s="40" t="n">
        <v>0</v>
      </c>
    </row>
    <row r="235" ht="12" customHeight="1">
      <c r="A235" s="30" t="inlineStr">
        <is>
          <t>ARE</t>
        </is>
      </c>
      <c r="B235" s="30" t="inlineStr">
        <is>
          <t>Areal</t>
        </is>
      </c>
      <c r="C235" s="30" t="n">
        <v>11853137</v>
      </c>
      <c r="D235" s="30">
        <f>"48740351014972"</f>
        <v/>
      </c>
      <c r="E235" s="30" t="inlineStr">
        <is>
          <t>BRASPRESS TRANSPORTES URGENTES LTDA</t>
        </is>
      </c>
      <c r="F235" s="30" t="inlineStr">
        <is>
          <t>2021</t>
        </is>
      </c>
      <c r="G235" s="40" t="n">
        <v>0</v>
      </c>
    </row>
    <row r="236" ht="12" customHeight="1">
      <c r="A236" s="30" t="inlineStr">
        <is>
          <t>ARE</t>
        </is>
      </c>
      <c r="B236" s="30" t="inlineStr">
        <is>
          <t>Areal</t>
        </is>
      </c>
      <c r="C236" s="30" t="n">
        <v>11853137</v>
      </c>
      <c r="D236" s="30">
        <f>"48740351014972"</f>
        <v/>
      </c>
      <c r="E236" s="30" t="inlineStr">
        <is>
          <t>BRASPRESS TRANSPORTES URGENTES LTDA</t>
        </is>
      </c>
      <c r="F236" s="30" t="inlineStr">
        <is>
          <t>2022</t>
        </is>
      </c>
      <c r="G236" s="40" t="n">
        <v>34.17</v>
      </c>
    </row>
    <row r="237" ht="12" customHeight="1">
      <c r="A237" s="30" t="inlineStr">
        <is>
          <t>ARE</t>
        </is>
      </c>
      <c r="B237" s="30" t="inlineStr">
        <is>
          <t>Areal</t>
        </is>
      </c>
      <c r="C237" s="30" t="n">
        <v>11853137</v>
      </c>
      <c r="D237" s="30">
        <f>"48740351014972"</f>
        <v/>
      </c>
      <c r="E237" s="30" t="inlineStr">
        <is>
          <t>BRASPRESS TRANSPORTES URGENTES LTDA</t>
        </is>
      </c>
      <c r="F237" s="30" t="inlineStr">
        <is>
          <t>2023</t>
        </is>
      </c>
      <c r="G237" s="40" t="n">
        <v>28.78</v>
      </c>
    </row>
    <row r="238" ht="12" customHeight="1">
      <c r="A238" s="30" t="inlineStr">
        <is>
          <t>ARE</t>
        </is>
      </c>
      <c r="B238" s="30" t="inlineStr">
        <is>
          <t>Areal</t>
        </is>
      </c>
      <c r="C238" s="30" t="n">
        <v>11894909</v>
      </c>
      <c r="D238" s="30">
        <f>"19507906000206"</f>
        <v/>
      </c>
      <c r="E238" s="30" t="inlineStr">
        <is>
          <t>AUTO TRUCK PNEUS, PECAS, ACESSORIOS E SERVICOS LTDA</t>
        </is>
      </c>
      <c r="F238" s="30" t="inlineStr">
        <is>
          <t>2018</t>
        </is>
      </c>
      <c r="G238" s="40" t="n">
        <v>0</v>
      </c>
    </row>
    <row r="239" ht="12" customHeight="1">
      <c r="A239" s="30" t="inlineStr">
        <is>
          <t>ARE</t>
        </is>
      </c>
      <c r="B239" s="30" t="inlineStr">
        <is>
          <t>Areal</t>
        </is>
      </c>
      <c r="C239" s="30" t="n">
        <v>11894909</v>
      </c>
      <c r="D239" s="30">
        <f>"19507906000206"</f>
        <v/>
      </c>
      <c r="E239" s="30" t="inlineStr">
        <is>
          <t>AUTO TRUCK PNEUS, PECAS, ACESSORIOS E SERVICOS LTDA</t>
        </is>
      </c>
      <c r="F239" s="30" t="inlineStr">
        <is>
          <t>2019</t>
        </is>
      </c>
      <c r="G239" s="40" t="n">
        <v>0</v>
      </c>
    </row>
    <row r="240" ht="12" customHeight="1">
      <c r="A240" s="30" t="inlineStr">
        <is>
          <t>ARE</t>
        </is>
      </c>
      <c r="B240" s="30" t="inlineStr">
        <is>
          <t>Areal</t>
        </is>
      </c>
      <c r="C240" s="30" t="n">
        <v>11894909</v>
      </c>
      <c r="D240" s="30">
        <f>"19507906000206"</f>
        <v/>
      </c>
      <c r="E240" s="30" t="inlineStr">
        <is>
          <t>AUTO TRUCK PNEUS, PECAS, ACESSORIOS E SERVICOS LTDA</t>
        </is>
      </c>
      <c r="F240" s="30" t="inlineStr">
        <is>
          <t>2020</t>
        </is>
      </c>
      <c r="G240" s="40" t="n">
        <v>0</v>
      </c>
    </row>
    <row r="241" ht="12" customHeight="1">
      <c r="A241" s="30" t="inlineStr">
        <is>
          <t>ARE</t>
        </is>
      </c>
      <c r="B241" s="30" t="inlineStr">
        <is>
          <t>Areal</t>
        </is>
      </c>
      <c r="C241" s="30" t="n">
        <v>11894909</v>
      </c>
      <c r="D241" s="30">
        <f>"19507906000206"</f>
        <v/>
      </c>
      <c r="E241" s="30" t="inlineStr">
        <is>
          <t>AUTO TRUCK PNEUS, PECAS, ACESSORIOS E SERVICOS LTDA</t>
        </is>
      </c>
      <c r="F241" s="30" t="inlineStr">
        <is>
          <t>2021</t>
        </is>
      </c>
      <c r="G241" s="40" t="n">
        <v>0</v>
      </c>
    </row>
    <row r="242" ht="12" customHeight="1">
      <c r="A242" s="30" t="inlineStr">
        <is>
          <t>ARE</t>
        </is>
      </c>
      <c r="B242" s="30" t="inlineStr">
        <is>
          <t>Areal</t>
        </is>
      </c>
      <c r="C242" s="30" t="n">
        <v>11894909</v>
      </c>
      <c r="D242" s="30">
        <f>"19507906000206"</f>
        <v/>
      </c>
      <c r="E242" s="30" t="inlineStr">
        <is>
          <t>AUTO TRUCK PNEUS, PECAS, ACESSORIOS E SERVICOS LTDA</t>
        </is>
      </c>
      <c r="F242" s="30" t="inlineStr">
        <is>
          <t>2022</t>
        </is>
      </c>
      <c r="G242" s="40" t="n">
        <v>0</v>
      </c>
    </row>
    <row r="243" ht="12" customHeight="1">
      <c r="A243" s="30" t="inlineStr">
        <is>
          <t>ARE</t>
        </is>
      </c>
      <c r="B243" s="30" t="inlineStr">
        <is>
          <t>Areal</t>
        </is>
      </c>
      <c r="C243" s="30" t="n">
        <v>11894909</v>
      </c>
      <c r="D243" s="30">
        <f>"19507906000206"</f>
        <v/>
      </c>
      <c r="E243" s="30" t="inlineStr">
        <is>
          <t>AUTO TRUCK PNEUS, PECAS, ACESSORIOS E SERVICOS LTDA</t>
        </is>
      </c>
      <c r="F243" s="30" t="inlineStr">
        <is>
          <t>2023</t>
        </is>
      </c>
      <c r="G243" s="40" t="n">
        <v>0</v>
      </c>
    </row>
    <row r="244" ht="12" customHeight="1">
      <c r="A244" s="30" t="inlineStr">
        <is>
          <t>ARE</t>
        </is>
      </c>
      <c r="B244" s="30" t="inlineStr">
        <is>
          <t>Areal</t>
        </is>
      </c>
      <c r="C244" s="30" t="n">
        <v>11920985</v>
      </c>
      <c r="D244" s="30">
        <f>"82110818002841"</f>
        <v/>
      </c>
      <c r="E244" s="30" t="inlineStr">
        <is>
          <t>ALFA TRANSPORTES LTDA</t>
        </is>
      </c>
      <c r="F244" s="30" t="inlineStr">
        <is>
          <t>2019</t>
        </is>
      </c>
      <c r="G244" s="40" t="n">
        <v>0</v>
      </c>
    </row>
    <row r="245" ht="12" customHeight="1">
      <c r="A245" s="30" t="inlineStr">
        <is>
          <t>ARE</t>
        </is>
      </c>
      <c r="B245" s="30" t="inlineStr">
        <is>
          <t>Areal</t>
        </is>
      </c>
      <c r="C245" s="30" t="n">
        <v>11920985</v>
      </c>
      <c r="D245" s="30">
        <f>"82110818002841"</f>
        <v/>
      </c>
      <c r="E245" s="30" t="inlineStr">
        <is>
          <t>ALFA TRANSPORTES LTDA</t>
        </is>
      </c>
      <c r="F245" s="30" t="inlineStr">
        <is>
          <t>2020</t>
        </is>
      </c>
      <c r="G245" s="40" t="n">
        <v>0</v>
      </c>
    </row>
    <row r="246" ht="12" customHeight="1">
      <c r="A246" s="30" t="inlineStr">
        <is>
          <t>ARE</t>
        </is>
      </c>
      <c r="B246" s="30" t="inlineStr">
        <is>
          <t>Areal</t>
        </is>
      </c>
      <c r="C246" s="30" t="n">
        <v>11920985</v>
      </c>
      <c r="D246" s="30">
        <f>"82110818002841"</f>
        <v/>
      </c>
      <c r="E246" s="30" t="inlineStr">
        <is>
          <t>ALFA TRANSPORTES LTDA</t>
        </is>
      </c>
      <c r="F246" s="30" t="inlineStr">
        <is>
          <t>2021</t>
        </is>
      </c>
      <c r="G246" s="40" t="n">
        <v>1446.06</v>
      </c>
    </row>
    <row r="247" ht="12" customHeight="1">
      <c r="A247" s="30" t="inlineStr">
        <is>
          <t>ARE</t>
        </is>
      </c>
      <c r="B247" s="30" t="inlineStr">
        <is>
          <t>Areal</t>
        </is>
      </c>
      <c r="C247" s="30" t="n">
        <v>11920985</v>
      </c>
      <c r="D247" s="30">
        <f>"82110818002841"</f>
        <v/>
      </c>
      <c r="E247" s="30" t="inlineStr">
        <is>
          <t>ALFA TRANSPORTES LTDA</t>
        </is>
      </c>
      <c r="F247" s="30" t="inlineStr">
        <is>
          <t>2022</t>
        </is>
      </c>
      <c r="G247" s="40" t="n">
        <v>3683.32</v>
      </c>
    </row>
    <row r="248" ht="12" customHeight="1">
      <c r="A248" s="30" t="inlineStr">
        <is>
          <t>ARE</t>
        </is>
      </c>
      <c r="B248" s="30" t="inlineStr">
        <is>
          <t>Areal</t>
        </is>
      </c>
      <c r="C248" s="30" t="n">
        <v>11920985</v>
      </c>
      <c r="D248" s="30">
        <f>"82110818002841"</f>
        <v/>
      </c>
      <c r="E248" s="30" t="inlineStr">
        <is>
          <t>ALFA TRANSPORTES LTDA</t>
        </is>
      </c>
      <c r="F248" s="30" t="inlineStr">
        <is>
          <t>2023</t>
        </is>
      </c>
      <c r="G248" s="40" t="n">
        <v>0</v>
      </c>
    </row>
    <row r="249" ht="12" customHeight="1">
      <c r="A249" s="30" t="inlineStr">
        <is>
          <t>ARE</t>
        </is>
      </c>
      <c r="B249" s="30" t="inlineStr">
        <is>
          <t>Areal</t>
        </is>
      </c>
      <c r="C249" s="30" t="n">
        <v>11933424</v>
      </c>
      <c r="D249" s="30">
        <f>"40172797000129"</f>
        <v/>
      </c>
      <c r="E249" s="30" t="inlineStr">
        <is>
          <t>LESTE GROUP TELECOMUNICA??ES DO BRASIL LTDA</t>
        </is>
      </c>
      <c r="F249" s="30" t="inlineStr">
        <is>
          <t>2021</t>
        </is>
      </c>
      <c r="G249" s="40" t="n">
        <v>0</v>
      </c>
    </row>
    <row r="250" ht="12" customHeight="1">
      <c r="A250" s="30" t="inlineStr">
        <is>
          <t>ARE</t>
        </is>
      </c>
      <c r="B250" s="30" t="inlineStr">
        <is>
          <t>Areal</t>
        </is>
      </c>
      <c r="C250" s="30" t="n">
        <v>11933424</v>
      </c>
      <c r="D250" s="30">
        <f>"40172797000129"</f>
        <v/>
      </c>
      <c r="E250" s="30" t="inlineStr">
        <is>
          <t>LESTE GROUP TELECOMUNICA??ES DO BRASIL LTDA</t>
        </is>
      </c>
      <c r="F250" s="30" t="inlineStr">
        <is>
          <t>2022</t>
        </is>
      </c>
      <c r="G250" s="40" t="n">
        <v>0</v>
      </c>
    </row>
    <row r="251" ht="12" customHeight="1">
      <c r="A251" s="30" t="inlineStr">
        <is>
          <t>ARE</t>
        </is>
      </c>
      <c r="B251" s="30" t="inlineStr">
        <is>
          <t>Areal</t>
        </is>
      </c>
      <c r="C251" s="30" t="n">
        <v>11933424</v>
      </c>
      <c r="D251" s="30">
        <f>"40172797000129"</f>
        <v/>
      </c>
      <c r="E251" s="30" t="inlineStr">
        <is>
          <t>LESTE GROUP TELECOMUNICA??ES DO BRASIL LTDA</t>
        </is>
      </c>
      <c r="F251" s="30" t="inlineStr">
        <is>
          <t>2023</t>
        </is>
      </c>
      <c r="G251" s="40" t="n">
        <v>46.76</v>
      </c>
    </row>
    <row r="252" ht="12" customHeight="1">
      <c r="A252" s="30" t="inlineStr">
        <is>
          <t>ARE</t>
        </is>
      </c>
      <c r="B252" s="30" t="inlineStr">
        <is>
          <t>Areal</t>
        </is>
      </c>
      <c r="C252" s="30" t="n">
        <v>11972977</v>
      </c>
      <c r="D252" s="30">
        <f>"01125797002593"</f>
        <v/>
      </c>
      <c r="E252" s="30" t="inlineStr">
        <is>
          <t>ATIVA DISTRIBUICAO E LOGISTICA LTDA</t>
        </is>
      </c>
      <c r="F252" s="30" t="inlineStr">
        <is>
          <t>2019</t>
        </is>
      </c>
      <c r="G252" s="40" t="n">
        <v>0</v>
      </c>
    </row>
    <row r="253" ht="12" customHeight="1">
      <c r="A253" s="30" t="inlineStr">
        <is>
          <t>ARE</t>
        </is>
      </c>
      <c r="B253" s="30" t="inlineStr">
        <is>
          <t>Areal</t>
        </is>
      </c>
      <c r="C253" s="30" t="n">
        <v>11972977</v>
      </c>
      <c r="D253" s="30">
        <f>"01125797002593"</f>
        <v/>
      </c>
      <c r="E253" s="30" t="inlineStr">
        <is>
          <t>ATIVA DISTRIBUICAO E LOGISTICA LTDA</t>
        </is>
      </c>
      <c r="F253" s="30" t="inlineStr">
        <is>
          <t>2020</t>
        </is>
      </c>
      <c r="G253" s="40" t="n">
        <v>0</v>
      </c>
    </row>
    <row r="254" ht="12" customHeight="1">
      <c r="A254" s="30" t="inlineStr">
        <is>
          <t>ARE</t>
        </is>
      </c>
      <c r="B254" s="30" t="inlineStr">
        <is>
          <t>Areal</t>
        </is>
      </c>
      <c r="C254" s="30" t="n">
        <v>11972977</v>
      </c>
      <c r="D254" s="30">
        <f>"01125797002593"</f>
        <v/>
      </c>
      <c r="E254" s="30" t="inlineStr">
        <is>
          <t>ATIVA DISTRIBUICAO E LOGISTICA LTDA</t>
        </is>
      </c>
      <c r="F254" s="30" t="inlineStr">
        <is>
          <t>2021</t>
        </is>
      </c>
      <c r="G254" s="40" t="n">
        <v>71872.89</v>
      </c>
    </row>
    <row r="255" ht="12" customHeight="1">
      <c r="A255" s="30" t="inlineStr">
        <is>
          <t>ARE</t>
        </is>
      </c>
      <c r="B255" s="30" t="inlineStr">
        <is>
          <t>Areal</t>
        </is>
      </c>
      <c r="C255" s="30" t="n">
        <v>11972977</v>
      </c>
      <c r="D255" s="30">
        <f>"01125797002593"</f>
        <v/>
      </c>
      <c r="E255" s="30" t="inlineStr">
        <is>
          <t>ATIVA DISTRIBUICAO E LOGISTICA LTDA</t>
        </is>
      </c>
      <c r="F255" s="30" t="inlineStr">
        <is>
          <t>2022</t>
        </is>
      </c>
      <c r="G255" s="40" t="n">
        <v>95980.22</v>
      </c>
    </row>
    <row r="256" ht="12" customHeight="1">
      <c r="A256" s="30" t="inlineStr">
        <is>
          <t>ARE</t>
        </is>
      </c>
      <c r="B256" s="30" t="inlineStr">
        <is>
          <t>Areal</t>
        </is>
      </c>
      <c r="C256" s="30" t="n">
        <v>11972977</v>
      </c>
      <c r="D256" s="30">
        <f>"01125797002593"</f>
        <v/>
      </c>
      <c r="E256" s="30" t="inlineStr">
        <is>
          <t>ATIVA DISTRIBUICAO E LOGISTICA LTDA</t>
        </is>
      </c>
      <c r="F256" s="30" t="inlineStr">
        <is>
          <t>2023</t>
        </is>
      </c>
      <c r="G256" s="40" t="n">
        <v>160412.74</v>
      </c>
    </row>
    <row r="257" ht="12" customHeight="1">
      <c r="A257" s="30" t="inlineStr">
        <is>
          <t>ARE</t>
        </is>
      </c>
      <c r="B257" s="30" t="inlineStr">
        <is>
          <t>Areal</t>
        </is>
      </c>
      <c r="C257" s="30" t="n">
        <v>11981011</v>
      </c>
      <c r="D257" s="30">
        <f>"37188703000790"</f>
        <v/>
      </c>
      <c r="E257" s="30" t="inlineStr">
        <is>
          <t>T &amp; M TRANSPORTE DE CARGAS LTDA</t>
        </is>
      </c>
      <c r="F257" s="30" t="inlineStr">
        <is>
          <t>2020</t>
        </is>
      </c>
      <c r="G257" s="40" t="n">
        <v>0</v>
      </c>
    </row>
    <row r="258" ht="12" customHeight="1">
      <c r="A258" s="30" t="inlineStr">
        <is>
          <t>ARE</t>
        </is>
      </c>
      <c r="B258" s="30" t="inlineStr">
        <is>
          <t>Areal</t>
        </is>
      </c>
      <c r="C258" s="30" t="n">
        <v>11981011</v>
      </c>
      <c r="D258" s="30">
        <f>"37188703000790"</f>
        <v/>
      </c>
      <c r="E258" s="30" t="inlineStr">
        <is>
          <t>T &amp; M TRANSPORTE DE CARGAS LTDA</t>
        </is>
      </c>
      <c r="F258" s="30" t="inlineStr">
        <is>
          <t>2021</t>
        </is>
      </c>
      <c r="G258" s="40" t="n">
        <v>0</v>
      </c>
    </row>
    <row r="259" ht="12" customHeight="1">
      <c r="A259" s="30" t="inlineStr">
        <is>
          <t>ARE</t>
        </is>
      </c>
      <c r="B259" s="30" t="inlineStr">
        <is>
          <t>Areal</t>
        </is>
      </c>
      <c r="C259" s="30" t="n">
        <v>11981011</v>
      </c>
      <c r="D259" s="30">
        <f>"37188703000790"</f>
        <v/>
      </c>
      <c r="E259" s="30" t="inlineStr">
        <is>
          <t>T &amp; M TRANSPORTE DE CARGAS LTDA</t>
        </is>
      </c>
      <c r="F259" s="30" t="inlineStr">
        <is>
          <t>2022</t>
        </is>
      </c>
      <c r="G259" s="40" t="n">
        <v>10</v>
      </c>
    </row>
    <row r="260" ht="12" customHeight="1">
      <c r="A260" s="30" t="inlineStr">
        <is>
          <t>ARE</t>
        </is>
      </c>
      <c r="B260" s="30" t="inlineStr">
        <is>
          <t>Areal</t>
        </is>
      </c>
      <c r="C260" s="30" t="n">
        <v>11981011</v>
      </c>
      <c r="D260" s="30">
        <f>"37188703000790"</f>
        <v/>
      </c>
      <c r="E260" s="30" t="inlineStr">
        <is>
          <t>T &amp; M TRANSPORTE DE CARGAS LTDA</t>
        </is>
      </c>
      <c r="F260" s="30" t="inlineStr">
        <is>
          <t>2023</t>
        </is>
      </c>
      <c r="G260" s="40" t="n">
        <v>0</v>
      </c>
    </row>
    <row r="261" ht="12" customHeight="1">
      <c r="A261" s="30" t="inlineStr">
        <is>
          <t>ARE</t>
        </is>
      </c>
      <c r="B261" s="30" t="inlineStr">
        <is>
          <t>Areal</t>
        </is>
      </c>
      <c r="C261" s="30" t="n">
        <v>11985432</v>
      </c>
      <c r="D261" s="30">
        <f>"01172831000103"</f>
        <v/>
      </c>
      <c r="E261" s="30" t="inlineStr">
        <is>
          <t>EMPREITEIRA MARCIO JUNIOR LTDA</t>
        </is>
      </c>
      <c r="F261" s="30" t="inlineStr">
        <is>
          <t>2019</t>
        </is>
      </c>
      <c r="G261" s="40" t="n">
        <v>0</v>
      </c>
    </row>
    <row r="262" ht="12" customHeight="1">
      <c r="A262" s="30" t="inlineStr">
        <is>
          <t>ARE</t>
        </is>
      </c>
      <c r="B262" s="30" t="inlineStr">
        <is>
          <t>Areal</t>
        </is>
      </c>
      <c r="C262" s="30" t="n">
        <v>11985432</v>
      </c>
      <c r="D262" s="30">
        <f>"01172831000103"</f>
        <v/>
      </c>
      <c r="E262" s="30" t="inlineStr">
        <is>
          <t>EMPREITEIRA MARCIO JUNIOR LTDA</t>
        </is>
      </c>
      <c r="F262" s="30" t="inlineStr">
        <is>
          <t>2020</t>
        </is>
      </c>
      <c r="G262" s="40" t="n">
        <v>0</v>
      </c>
    </row>
    <row r="263" ht="12" customHeight="1">
      <c r="A263" s="30" t="inlineStr">
        <is>
          <t>ARE</t>
        </is>
      </c>
      <c r="B263" s="30" t="inlineStr">
        <is>
          <t>Areal</t>
        </is>
      </c>
      <c r="C263" s="30" t="n">
        <v>11985432</v>
      </c>
      <c r="D263" s="30">
        <f>"01172831000103"</f>
        <v/>
      </c>
      <c r="E263" s="30" t="inlineStr">
        <is>
          <t>EMPREITEIRA MARCIO JUNIOR LTDA</t>
        </is>
      </c>
      <c r="F263" s="30" t="inlineStr">
        <is>
          <t>2021</t>
        </is>
      </c>
      <c r="G263" s="40" t="n">
        <v>0</v>
      </c>
    </row>
    <row r="264" ht="12" customHeight="1">
      <c r="A264" s="30" t="inlineStr">
        <is>
          <t>ARE</t>
        </is>
      </c>
      <c r="B264" s="30" t="inlineStr">
        <is>
          <t>Areal</t>
        </is>
      </c>
      <c r="C264" s="30" t="n">
        <v>11985432</v>
      </c>
      <c r="D264" s="30">
        <f>"01172831000103"</f>
        <v/>
      </c>
      <c r="E264" s="30" t="inlineStr">
        <is>
          <t>EMPREITEIRA MARCIO JUNIOR LTDA</t>
        </is>
      </c>
      <c r="F264" s="30" t="inlineStr">
        <is>
          <t>2022</t>
        </is>
      </c>
      <c r="G264" s="40" t="n">
        <v>0</v>
      </c>
    </row>
    <row r="265" ht="12" customHeight="1">
      <c r="A265" s="30" t="inlineStr">
        <is>
          <t>ARE</t>
        </is>
      </c>
      <c r="B265" s="30" t="inlineStr">
        <is>
          <t>Areal</t>
        </is>
      </c>
      <c r="C265" s="30" t="n">
        <v>11985432</v>
      </c>
      <c r="D265" s="30">
        <f>"01172831000103"</f>
        <v/>
      </c>
      <c r="E265" s="30" t="inlineStr">
        <is>
          <t>EMPREITEIRA MARCIO JUNIOR LTDA</t>
        </is>
      </c>
      <c r="F265" s="30" t="inlineStr">
        <is>
          <t>2023</t>
        </is>
      </c>
      <c r="G265" s="40" t="n">
        <v>0</v>
      </c>
    </row>
    <row r="266" ht="12" customHeight="1">
      <c r="A266" s="30" t="inlineStr">
        <is>
          <t>ARE</t>
        </is>
      </c>
      <c r="B266" s="30" t="inlineStr">
        <is>
          <t>Areal</t>
        </is>
      </c>
      <c r="C266" s="30" t="n">
        <v>12085290</v>
      </c>
      <c r="D266" s="30">
        <f>"43244631005985"</f>
        <v/>
      </c>
      <c r="E266" s="30" t="inlineStr">
        <is>
          <t>TRANSPORTADORA AMERICANA LTDA</t>
        </is>
      </c>
      <c r="F266" s="30" t="inlineStr">
        <is>
          <t>2021</t>
        </is>
      </c>
      <c r="G266" s="40" t="n">
        <v>0</v>
      </c>
    </row>
    <row r="267" ht="12" customHeight="1">
      <c r="A267" s="30" t="inlineStr">
        <is>
          <t>ARE</t>
        </is>
      </c>
      <c r="B267" s="30" t="inlineStr">
        <is>
          <t>Areal</t>
        </is>
      </c>
      <c r="C267" s="30" t="n">
        <v>12085290</v>
      </c>
      <c r="D267" s="30">
        <f>"43244631005985"</f>
        <v/>
      </c>
      <c r="E267" s="30" t="inlineStr">
        <is>
          <t>TRANSPORTADORA AMERICANA LTDA</t>
        </is>
      </c>
      <c r="F267" s="30" t="inlineStr">
        <is>
          <t>2022</t>
        </is>
      </c>
      <c r="G267" s="40" t="n">
        <v>0</v>
      </c>
    </row>
    <row r="268" ht="12" customHeight="1">
      <c r="A268" s="30" t="inlineStr">
        <is>
          <t>ARE</t>
        </is>
      </c>
      <c r="B268" s="30" t="inlineStr">
        <is>
          <t>Areal</t>
        </is>
      </c>
      <c r="C268" s="30" t="n">
        <v>12085290</v>
      </c>
      <c r="D268" s="30">
        <f>"43244631005985"</f>
        <v/>
      </c>
      <c r="E268" s="30" t="inlineStr">
        <is>
          <t>TRANSPORTADORA AMERICANA LTDA</t>
        </is>
      </c>
      <c r="F268" s="30" t="inlineStr">
        <is>
          <t>2023</t>
        </is>
      </c>
      <c r="G268" s="40" t="n">
        <v>6.26</v>
      </c>
    </row>
    <row r="269" ht="12" customHeight="1">
      <c r="A269" s="30" t="inlineStr">
        <is>
          <t>ARE</t>
        </is>
      </c>
      <c r="B269" s="30" t="inlineStr">
        <is>
          <t>Areal</t>
        </is>
      </c>
      <c r="C269" s="30" t="n">
        <v>12087810</v>
      </c>
      <c r="D269" s="30">
        <f>"29453826000511"</f>
        <v/>
      </c>
      <c r="E269" s="30" t="inlineStr">
        <is>
          <t>TRANSPORTE GENEROSO LTDA</t>
        </is>
      </c>
      <c r="F269" s="30" t="inlineStr">
        <is>
          <t>2021</t>
        </is>
      </c>
      <c r="G269" s="40" t="n">
        <v>0</v>
      </c>
    </row>
    <row r="270" ht="12" customHeight="1">
      <c r="A270" s="30" t="inlineStr">
        <is>
          <t>ARE</t>
        </is>
      </c>
      <c r="B270" s="30" t="inlineStr">
        <is>
          <t>Areal</t>
        </is>
      </c>
      <c r="C270" s="30" t="n">
        <v>12087810</v>
      </c>
      <c r="D270" s="30">
        <f>"29453826000511"</f>
        <v/>
      </c>
      <c r="E270" s="30" t="inlineStr">
        <is>
          <t>TRANSPORTE GENEROSO LTDA</t>
        </is>
      </c>
      <c r="F270" s="30" t="inlineStr">
        <is>
          <t>2022</t>
        </is>
      </c>
      <c r="G270" s="40" t="n">
        <v>0</v>
      </c>
    </row>
    <row r="271" ht="12" customHeight="1">
      <c r="A271" s="30" t="inlineStr">
        <is>
          <t>ARE</t>
        </is>
      </c>
      <c r="B271" s="30" t="inlineStr">
        <is>
          <t>Areal</t>
        </is>
      </c>
      <c r="C271" s="30" t="n">
        <v>12087810</v>
      </c>
      <c r="D271" s="30">
        <f>"29453826000511"</f>
        <v/>
      </c>
      <c r="E271" s="30" t="inlineStr">
        <is>
          <t>TRANSPORTE GENEROSO LTDA</t>
        </is>
      </c>
      <c r="F271" s="30" t="inlineStr">
        <is>
          <t>2023</t>
        </is>
      </c>
      <c r="G271" s="40" t="n">
        <v>525.42</v>
      </c>
    </row>
    <row r="272" ht="12" customHeight="1">
      <c r="A272" s="30" t="inlineStr">
        <is>
          <t>ARE</t>
        </is>
      </c>
      <c r="B272" s="30" t="inlineStr">
        <is>
          <t>Areal</t>
        </is>
      </c>
      <c r="C272" s="30" t="n">
        <v>12122675</v>
      </c>
      <c r="D272" s="30">
        <f>"42476615000139"</f>
        <v/>
      </c>
      <c r="E272" s="30" t="inlineStr">
        <is>
          <t>JUSAN LOGISTICA E TRANSPORTES LTDA</t>
        </is>
      </c>
      <c r="F272" s="30" t="inlineStr">
        <is>
          <t>2021</t>
        </is>
      </c>
      <c r="G272" s="40" t="n">
        <v>0</v>
      </c>
    </row>
    <row r="273" ht="12" customHeight="1">
      <c r="A273" s="30" t="inlineStr">
        <is>
          <t>ARE</t>
        </is>
      </c>
      <c r="B273" s="30" t="inlineStr">
        <is>
          <t>Areal</t>
        </is>
      </c>
      <c r="C273" s="30" t="n">
        <v>12122675</v>
      </c>
      <c r="D273" s="30">
        <f>"42476615000139"</f>
        <v/>
      </c>
      <c r="E273" s="30" t="inlineStr">
        <is>
          <t>JUSAN LOGISTICA E TRANSPORTES LTDA</t>
        </is>
      </c>
      <c r="F273" s="30" t="inlineStr">
        <is>
          <t>2022</t>
        </is>
      </c>
      <c r="G273" s="40" t="n">
        <v>0</v>
      </c>
    </row>
    <row r="274" ht="12" customHeight="1">
      <c r="A274" s="30" t="inlineStr">
        <is>
          <t>ARE</t>
        </is>
      </c>
      <c r="B274" s="30" t="inlineStr">
        <is>
          <t>Areal</t>
        </is>
      </c>
      <c r="C274" s="30" t="n">
        <v>12122675</v>
      </c>
      <c r="D274" s="30">
        <f>"42476615000139"</f>
        <v/>
      </c>
      <c r="E274" s="30" t="inlineStr">
        <is>
          <t>JUSAN LOGISTICA E TRANSPORTES LTDA</t>
        </is>
      </c>
      <c r="F274" s="30" t="inlineStr">
        <is>
          <t>2023</t>
        </is>
      </c>
      <c r="G274" s="40" t="n">
        <v>41.48</v>
      </c>
    </row>
    <row r="275" ht="12" customHeight="1">
      <c r="A275" s="30" t="inlineStr">
        <is>
          <t>ARE</t>
        </is>
      </c>
      <c r="B275" s="30" t="inlineStr">
        <is>
          <t>Areal</t>
        </is>
      </c>
      <c r="C275" s="30" t="n">
        <v>12143559</v>
      </c>
      <c r="D275" s="30">
        <f>"00043224334649"</f>
        <v/>
      </c>
      <c r="E275" s="30" t="inlineStr">
        <is>
          <t>CARLOS HENRIQUE GOMES COELHO</t>
        </is>
      </c>
      <c r="F275" s="30" t="inlineStr">
        <is>
          <t>2020</t>
        </is>
      </c>
      <c r="G275" s="40" t="n">
        <v>0</v>
      </c>
    </row>
    <row r="276" ht="12" customHeight="1">
      <c r="A276" s="30" t="inlineStr">
        <is>
          <t>ARE</t>
        </is>
      </c>
      <c r="B276" s="30" t="inlineStr">
        <is>
          <t>Areal</t>
        </is>
      </c>
      <c r="C276" s="30" t="n">
        <v>12143559</v>
      </c>
      <c r="D276" s="30">
        <f>"00043224334649"</f>
        <v/>
      </c>
      <c r="E276" s="30" t="inlineStr">
        <is>
          <t>CARLOS HENRIQUE GOMES COELHO</t>
        </is>
      </c>
      <c r="F276" s="30" t="inlineStr">
        <is>
          <t>2021</t>
        </is>
      </c>
      <c r="G276" s="40" t="n">
        <v>0</v>
      </c>
    </row>
    <row r="277" ht="12" customHeight="1">
      <c r="A277" s="30" t="inlineStr">
        <is>
          <t>ARE</t>
        </is>
      </c>
      <c r="B277" s="30" t="inlineStr">
        <is>
          <t>Areal</t>
        </is>
      </c>
      <c r="C277" s="30" t="n">
        <v>12143559</v>
      </c>
      <c r="D277" s="30">
        <f>"00043224334649"</f>
        <v/>
      </c>
      <c r="E277" s="30" t="inlineStr">
        <is>
          <t>CARLOS HENRIQUE GOMES COELHO</t>
        </is>
      </c>
      <c r="F277" s="30" t="inlineStr">
        <is>
          <t>2022</t>
        </is>
      </c>
      <c r="G277" s="40" t="n">
        <v>0</v>
      </c>
    </row>
    <row r="278" ht="12" customHeight="1">
      <c r="A278" s="30" t="inlineStr">
        <is>
          <t>ARE</t>
        </is>
      </c>
      <c r="B278" s="30" t="inlineStr">
        <is>
          <t>Areal</t>
        </is>
      </c>
      <c r="C278" s="30" t="n">
        <v>12143559</v>
      </c>
      <c r="D278" s="30">
        <f>"00043224334649"</f>
        <v/>
      </c>
      <c r="E278" s="30" t="inlineStr">
        <is>
          <t>CARLOS HENRIQUE GOMES COELHO</t>
        </is>
      </c>
      <c r="F278" s="30" t="inlineStr">
        <is>
          <t>2023</t>
        </is>
      </c>
      <c r="G278" s="40" t="n">
        <v>0</v>
      </c>
    </row>
    <row r="279" ht="12" customHeight="1">
      <c r="A279" s="30" t="inlineStr">
        <is>
          <t>ARE</t>
        </is>
      </c>
      <c r="B279" s="30" t="inlineStr">
        <is>
          <t>Areal</t>
        </is>
      </c>
      <c r="C279" s="30" t="n">
        <v>12144750</v>
      </c>
      <c r="D279" s="30">
        <f>"42715061000185"</f>
        <v/>
      </c>
      <c r="E279" s="30" t="inlineStr">
        <is>
          <t>IRON LOG TRANSPORTES LTDA</t>
        </is>
      </c>
      <c r="F279" s="30" t="inlineStr">
        <is>
          <t>2019</t>
        </is>
      </c>
      <c r="G279" s="40" t="n">
        <v>0</v>
      </c>
    </row>
    <row r="280" ht="12" customHeight="1">
      <c r="A280" s="30" t="inlineStr">
        <is>
          <t>ARE</t>
        </is>
      </c>
      <c r="B280" s="30" t="inlineStr">
        <is>
          <t>Areal</t>
        </is>
      </c>
      <c r="C280" s="30" t="n">
        <v>12144750</v>
      </c>
      <c r="D280" s="30">
        <f>"42715061000185"</f>
        <v/>
      </c>
      <c r="E280" s="30" t="inlineStr">
        <is>
          <t>IRON LOG TRANSPORTES LTDA</t>
        </is>
      </c>
      <c r="F280" s="30" t="inlineStr">
        <is>
          <t>2020</t>
        </is>
      </c>
      <c r="G280" s="40" t="n">
        <v>0</v>
      </c>
    </row>
    <row r="281" ht="12" customHeight="1">
      <c r="A281" s="30" t="inlineStr">
        <is>
          <t>ARE</t>
        </is>
      </c>
      <c r="B281" s="30" t="inlineStr">
        <is>
          <t>Areal</t>
        </is>
      </c>
      <c r="C281" s="30" t="n">
        <v>12144750</v>
      </c>
      <c r="D281" s="30">
        <f>"42715061000185"</f>
        <v/>
      </c>
      <c r="E281" s="30" t="inlineStr">
        <is>
          <t>IRON LOG TRANSPORTES LTDA</t>
        </is>
      </c>
      <c r="F281" s="30" t="inlineStr">
        <is>
          <t>2021</t>
        </is>
      </c>
      <c r="G281" s="40" t="n">
        <v>6818.18</v>
      </c>
    </row>
    <row r="282" ht="12" customHeight="1">
      <c r="A282" s="30" t="inlineStr">
        <is>
          <t>ARE</t>
        </is>
      </c>
      <c r="B282" s="30" t="inlineStr">
        <is>
          <t>Areal</t>
        </is>
      </c>
      <c r="C282" s="30" t="n">
        <v>12144750</v>
      </c>
      <c r="D282" s="30">
        <f>"42715061000185"</f>
        <v/>
      </c>
      <c r="E282" s="30" t="inlineStr">
        <is>
          <t>IRON LOG TRANSPORTES LTDA</t>
        </is>
      </c>
      <c r="F282" s="30" t="inlineStr">
        <is>
          <t>2022</t>
        </is>
      </c>
      <c r="G282" s="40" t="n">
        <v>0</v>
      </c>
    </row>
    <row r="283" ht="12" customHeight="1">
      <c r="A283" s="30" t="inlineStr">
        <is>
          <t>ARE</t>
        </is>
      </c>
      <c r="B283" s="30" t="inlineStr">
        <is>
          <t>Areal</t>
        </is>
      </c>
      <c r="C283" s="30" t="n">
        <v>12144750</v>
      </c>
      <c r="D283" s="30">
        <f>"42715061000185"</f>
        <v/>
      </c>
      <c r="E283" s="30" t="inlineStr">
        <is>
          <t>IRON LOG TRANSPORTES LTDA</t>
        </is>
      </c>
      <c r="F283" s="30" t="inlineStr">
        <is>
          <t>2023</t>
        </is>
      </c>
      <c r="G283" s="40" t="n">
        <v>0</v>
      </c>
    </row>
    <row r="284" ht="12" customHeight="1">
      <c r="A284" s="30" t="inlineStr">
        <is>
          <t>ARE</t>
        </is>
      </c>
      <c r="B284" s="30" t="inlineStr">
        <is>
          <t>Areal</t>
        </is>
      </c>
      <c r="C284" s="30" t="n">
        <v>12181639</v>
      </c>
      <c r="D284" s="30">
        <f>"00027471446587"</f>
        <v/>
      </c>
      <c r="E284" s="30" t="inlineStr">
        <is>
          <t>KATYA BARBOSA DE SOUZA  E ALMEIDA</t>
        </is>
      </c>
      <c r="F284" s="30" t="inlineStr">
        <is>
          <t>2019</t>
        </is>
      </c>
      <c r="G284" s="40" t="n">
        <v>0</v>
      </c>
    </row>
    <row r="285" ht="12" customHeight="1">
      <c r="A285" s="30" t="inlineStr">
        <is>
          <t>ARE</t>
        </is>
      </c>
      <c r="B285" s="30" t="inlineStr">
        <is>
          <t>Areal</t>
        </is>
      </c>
      <c r="C285" s="30" t="n">
        <v>12181639</v>
      </c>
      <c r="D285" s="30">
        <f>"00027471446587"</f>
        <v/>
      </c>
      <c r="E285" s="30" t="inlineStr">
        <is>
          <t>KATYA BARBOSA DE SOUZA  E ALMEIDA</t>
        </is>
      </c>
      <c r="F285" s="30" t="inlineStr">
        <is>
          <t>2020</t>
        </is>
      </c>
      <c r="G285" s="40" t="n">
        <v>0</v>
      </c>
    </row>
    <row r="286" ht="12" customHeight="1">
      <c r="A286" s="30" t="inlineStr">
        <is>
          <t>ARE</t>
        </is>
      </c>
      <c r="B286" s="30" t="inlineStr">
        <is>
          <t>Areal</t>
        </is>
      </c>
      <c r="C286" s="30" t="n">
        <v>12181639</v>
      </c>
      <c r="D286" s="30">
        <f>"00027471446587"</f>
        <v/>
      </c>
      <c r="E286" s="30" t="inlineStr">
        <is>
          <t>KATYA BARBOSA DE SOUZA  E ALMEIDA</t>
        </is>
      </c>
      <c r="F286" s="30" t="inlineStr">
        <is>
          <t>2021</t>
        </is>
      </c>
      <c r="G286" s="40" t="n">
        <v>0</v>
      </c>
    </row>
    <row r="287" ht="12" customHeight="1">
      <c r="A287" s="30" t="inlineStr">
        <is>
          <t>ARE</t>
        </is>
      </c>
      <c r="B287" s="30" t="inlineStr">
        <is>
          <t>Areal</t>
        </is>
      </c>
      <c r="C287" s="30" t="n">
        <v>12181639</v>
      </c>
      <c r="D287" s="30">
        <f>"00027471446587"</f>
        <v/>
      </c>
      <c r="E287" s="30" t="inlineStr">
        <is>
          <t>KATYA BARBOSA DE SOUZA  E ALMEIDA</t>
        </is>
      </c>
      <c r="F287" s="30" t="inlineStr">
        <is>
          <t>2022</t>
        </is>
      </c>
      <c r="G287" s="40" t="n">
        <v>0</v>
      </c>
    </row>
    <row r="288" ht="12" customHeight="1">
      <c r="A288" s="30" t="inlineStr">
        <is>
          <t>ARE</t>
        </is>
      </c>
      <c r="B288" s="30" t="inlineStr">
        <is>
          <t>Areal</t>
        </is>
      </c>
      <c r="C288" s="30" t="n">
        <v>12181639</v>
      </c>
      <c r="D288" s="30">
        <f>"00027471446587"</f>
        <v/>
      </c>
      <c r="E288" s="30" t="inlineStr">
        <is>
          <t>KATYA BARBOSA DE SOUZA  E ALMEIDA</t>
        </is>
      </c>
      <c r="F288" s="30" t="inlineStr">
        <is>
          <t>2023</t>
        </is>
      </c>
      <c r="G288" s="40" t="n">
        <v>0</v>
      </c>
    </row>
    <row r="289" ht="12" customHeight="1">
      <c r="A289" s="30" t="inlineStr">
        <is>
          <t>ARE</t>
        </is>
      </c>
      <c r="B289" s="30" t="inlineStr">
        <is>
          <t>Areal</t>
        </is>
      </c>
      <c r="C289" s="30" t="n">
        <v>12197454</v>
      </c>
      <c r="D289" s="30">
        <f>"23416669000164"</f>
        <v/>
      </c>
      <c r="E289" s="30" t="inlineStr">
        <is>
          <t>BR ING COM EXP E IMP LTDA</t>
        </is>
      </c>
      <c r="F289" s="30" t="inlineStr">
        <is>
          <t>2019</t>
        </is>
      </c>
      <c r="G289" s="40" t="n">
        <v>0</v>
      </c>
    </row>
    <row r="290" ht="12" customHeight="1">
      <c r="A290" s="30" t="inlineStr">
        <is>
          <t>ARE</t>
        </is>
      </c>
      <c r="B290" s="30" t="inlineStr">
        <is>
          <t>Areal</t>
        </is>
      </c>
      <c r="C290" s="30" t="n">
        <v>12197454</v>
      </c>
      <c r="D290" s="30">
        <f>"23416669000164"</f>
        <v/>
      </c>
      <c r="E290" s="30" t="inlineStr">
        <is>
          <t>BR ING COM EXP E IMP LTDA</t>
        </is>
      </c>
      <c r="F290" s="30" t="inlineStr">
        <is>
          <t>2020</t>
        </is>
      </c>
      <c r="G290" s="40" t="n">
        <v>0</v>
      </c>
    </row>
    <row r="291" ht="12" customHeight="1">
      <c r="A291" s="30" t="inlineStr">
        <is>
          <t>ARE</t>
        </is>
      </c>
      <c r="B291" s="30" t="inlineStr">
        <is>
          <t>Areal</t>
        </is>
      </c>
      <c r="C291" s="30" t="n">
        <v>12197454</v>
      </c>
      <c r="D291" s="30">
        <f>"23416669000164"</f>
        <v/>
      </c>
      <c r="E291" s="30" t="inlineStr">
        <is>
          <t>BR ING COM EXP E IMP LTDA</t>
        </is>
      </c>
      <c r="F291" s="30" t="inlineStr">
        <is>
          <t>2021</t>
        </is>
      </c>
      <c r="G291" s="40" t="n">
        <v>0</v>
      </c>
    </row>
    <row r="292" ht="12" customHeight="1">
      <c r="A292" s="30" t="inlineStr">
        <is>
          <t>ARE</t>
        </is>
      </c>
      <c r="B292" s="30" t="inlineStr">
        <is>
          <t>Areal</t>
        </is>
      </c>
      <c r="C292" s="30" t="n">
        <v>12197454</v>
      </c>
      <c r="D292" s="30">
        <f>"23416669000164"</f>
        <v/>
      </c>
      <c r="E292" s="30" t="inlineStr">
        <is>
          <t>BR ING COM EXP E IMP LTDA</t>
        </is>
      </c>
      <c r="F292" s="30" t="inlineStr">
        <is>
          <t>2022</t>
        </is>
      </c>
      <c r="G292" s="40" t="n">
        <v>0</v>
      </c>
    </row>
    <row r="293" ht="12" customHeight="1">
      <c r="A293" s="30" t="inlineStr">
        <is>
          <t>ARE</t>
        </is>
      </c>
      <c r="B293" s="30" t="inlineStr">
        <is>
          <t>Areal</t>
        </is>
      </c>
      <c r="C293" s="30" t="n">
        <v>12197454</v>
      </c>
      <c r="D293" s="30">
        <f>"23416669000164"</f>
        <v/>
      </c>
      <c r="E293" s="30" t="inlineStr">
        <is>
          <t>BR ING COM EXP E IMP LTDA</t>
        </is>
      </c>
      <c r="F293" s="30" t="inlineStr">
        <is>
          <t>2023</t>
        </is>
      </c>
      <c r="G293" s="40" t="n">
        <v>0</v>
      </c>
    </row>
    <row r="294" ht="12" customHeight="1">
      <c r="A294" s="30" t="inlineStr">
        <is>
          <t>ARE</t>
        </is>
      </c>
      <c r="B294" s="30" t="inlineStr">
        <is>
          <t>Areal</t>
        </is>
      </c>
      <c r="C294" s="30" t="n">
        <v>12202482</v>
      </c>
      <c r="D294" s="30">
        <f>"00011061504735"</f>
        <v/>
      </c>
      <c r="E294" s="30" t="inlineStr">
        <is>
          <t>UILIAN DO ESPIRITO SANTO SILVA</t>
        </is>
      </c>
      <c r="F294" s="30" t="inlineStr">
        <is>
          <t>2019</t>
        </is>
      </c>
      <c r="G294" s="40" t="n">
        <v>0</v>
      </c>
    </row>
    <row r="295" ht="12" customHeight="1">
      <c r="A295" s="30" t="inlineStr">
        <is>
          <t>ARE</t>
        </is>
      </c>
      <c r="B295" s="30" t="inlineStr">
        <is>
          <t>Areal</t>
        </is>
      </c>
      <c r="C295" s="30" t="n">
        <v>12202482</v>
      </c>
      <c r="D295" s="30">
        <f>"00011061504735"</f>
        <v/>
      </c>
      <c r="E295" s="30" t="inlineStr">
        <is>
          <t>UILIAN DO ESPIRITO SANTO SILVA</t>
        </is>
      </c>
      <c r="F295" s="30" t="inlineStr">
        <is>
          <t>2020</t>
        </is>
      </c>
      <c r="G295" s="40" t="n">
        <v>0</v>
      </c>
    </row>
    <row r="296" ht="12" customHeight="1">
      <c r="A296" s="30" t="inlineStr">
        <is>
          <t>ARE</t>
        </is>
      </c>
      <c r="B296" s="30" t="inlineStr">
        <is>
          <t>Areal</t>
        </is>
      </c>
      <c r="C296" s="30" t="n">
        <v>12202482</v>
      </c>
      <c r="D296" s="30">
        <f>"00011061504735"</f>
        <v/>
      </c>
      <c r="E296" s="30" t="inlineStr">
        <is>
          <t>UILIAN DO ESPIRITO SANTO SILVA</t>
        </is>
      </c>
      <c r="F296" s="30" t="inlineStr">
        <is>
          <t>2021</t>
        </is>
      </c>
      <c r="G296" s="40" t="n">
        <v>0</v>
      </c>
    </row>
    <row r="297" ht="12" customHeight="1">
      <c r="A297" s="30" t="inlineStr">
        <is>
          <t>ARE</t>
        </is>
      </c>
      <c r="B297" s="30" t="inlineStr">
        <is>
          <t>Areal</t>
        </is>
      </c>
      <c r="C297" s="30" t="n">
        <v>12202482</v>
      </c>
      <c r="D297" s="30">
        <f>"00011061504735"</f>
        <v/>
      </c>
      <c r="E297" s="30" t="inlineStr">
        <is>
          <t>UILIAN DO ESPIRITO SANTO SILVA</t>
        </is>
      </c>
      <c r="F297" s="30" t="inlineStr">
        <is>
          <t>2022</t>
        </is>
      </c>
      <c r="G297" s="40" t="n">
        <v>0</v>
      </c>
    </row>
    <row r="298" ht="12" customHeight="1">
      <c r="A298" s="30" t="inlineStr">
        <is>
          <t>ARE</t>
        </is>
      </c>
      <c r="B298" s="30" t="inlineStr">
        <is>
          <t>Areal</t>
        </is>
      </c>
      <c r="C298" s="30" t="n">
        <v>12202482</v>
      </c>
      <c r="D298" s="30">
        <f>"00011061504735"</f>
        <v/>
      </c>
      <c r="E298" s="30" t="inlineStr">
        <is>
          <t>UILIAN DO ESPIRITO SANTO SILVA</t>
        </is>
      </c>
      <c r="F298" s="30" t="inlineStr">
        <is>
          <t>2023</t>
        </is>
      </c>
      <c r="G298" s="40" t="n">
        <v>0</v>
      </c>
    </row>
    <row r="299" ht="12" customHeight="1">
      <c r="A299" s="30" t="inlineStr">
        <is>
          <t>ARE</t>
        </is>
      </c>
      <c r="B299" s="30" t="inlineStr">
        <is>
          <t>Areal</t>
        </is>
      </c>
      <c r="C299" s="30" t="n">
        <v>12275595</v>
      </c>
      <c r="D299" s="30">
        <f>"44133274000124"</f>
        <v/>
      </c>
      <c r="E299" s="30" t="inlineStr">
        <is>
          <t>RECOMBACK ENGENHARIA LTDA</t>
        </is>
      </c>
      <c r="F299" s="30" t="inlineStr">
        <is>
          <t>2019</t>
        </is>
      </c>
      <c r="G299" s="40" t="n">
        <v>0</v>
      </c>
    </row>
    <row r="300" ht="12" customHeight="1">
      <c r="A300" s="30" t="inlineStr">
        <is>
          <t>ARE</t>
        </is>
      </c>
      <c r="B300" s="30" t="inlineStr">
        <is>
          <t>Areal</t>
        </is>
      </c>
      <c r="C300" s="30" t="n">
        <v>12275595</v>
      </c>
      <c r="D300" s="30">
        <f>"44133274000124"</f>
        <v/>
      </c>
      <c r="E300" s="30" t="inlineStr">
        <is>
          <t>RECOMBACK ENGENHARIA LTDA</t>
        </is>
      </c>
      <c r="F300" s="30" t="inlineStr">
        <is>
          <t>2020</t>
        </is>
      </c>
      <c r="G300" s="40" t="n">
        <v>0</v>
      </c>
    </row>
    <row r="301" ht="12" customHeight="1">
      <c r="A301" s="30" t="inlineStr">
        <is>
          <t>ARE</t>
        </is>
      </c>
      <c r="B301" s="30" t="inlineStr">
        <is>
          <t>Areal</t>
        </is>
      </c>
      <c r="C301" s="30" t="n">
        <v>12275595</v>
      </c>
      <c r="D301" s="30">
        <f>"44133274000124"</f>
        <v/>
      </c>
      <c r="E301" s="30" t="inlineStr">
        <is>
          <t>RECOMBACK ENGENHARIA LTDA</t>
        </is>
      </c>
      <c r="F301" s="30" t="inlineStr">
        <is>
          <t>2021</t>
        </is>
      </c>
      <c r="G301" s="40" t="n">
        <v>0</v>
      </c>
    </row>
    <row r="302" ht="12" customHeight="1">
      <c r="A302" s="30" t="inlineStr">
        <is>
          <t>ARE</t>
        </is>
      </c>
      <c r="B302" s="30" t="inlineStr">
        <is>
          <t>Areal</t>
        </is>
      </c>
      <c r="C302" s="30" t="n">
        <v>12275595</v>
      </c>
      <c r="D302" s="30">
        <f>"44133274000124"</f>
        <v/>
      </c>
      <c r="E302" s="30" t="inlineStr">
        <is>
          <t>RECOMBACK ENGENHARIA LTDA</t>
        </is>
      </c>
      <c r="F302" s="30" t="inlineStr">
        <is>
          <t>2022</t>
        </is>
      </c>
      <c r="G302" s="40" t="n">
        <v>0</v>
      </c>
    </row>
    <row r="303" ht="12" customHeight="1">
      <c r="A303" s="30" t="inlineStr">
        <is>
          <t>ARE</t>
        </is>
      </c>
      <c r="B303" s="30" t="inlineStr">
        <is>
          <t>Areal</t>
        </is>
      </c>
      <c r="C303" s="30" t="n">
        <v>12275595</v>
      </c>
      <c r="D303" s="30">
        <f>"44133274000124"</f>
        <v/>
      </c>
      <c r="E303" s="30" t="inlineStr">
        <is>
          <t>RECOMBACK ENGENHARIA LTDA</t>
        </is>
      </c>
      <c r="F303" s="30" t="inlineStr">
        <is>
          <t>2023</t>
        </is>
      </c>
      <c r="G303" s="40" t="n">
        <v>0</v>
      </c>
    </row>
    <row r="304" ht="12" customHeight="1">
      <c r="A304" s="30" t="inlineStr">
        <is>
          <t>ARE</t>
        </is>
      </c>
      <c r="B304" s="30" t="inlineStr">
        <is>
          <t>Areal</t>
        </is>
      </c>
      <c r="C304" s="30" t="n">
        <v>12320132</v>
      </c>
      <c r="D304" s="30">
        <f>"42584754000348"</f>
        <v/>
      </c>
      <c r="E304" s="30" t="inlineStr">
        <is>
          <t>J&amp;T EXPRESS BRAZIL LTDA.</t>
        </is>
      </c>
      <c r="F304" s="30" t="inlineStr">
        <is>
          <t>2021</t>
        </is>
      </c>
      <c r="G304" s="40" t="n">
        <v>0</v>
      </c>
    </row>
    <row r="305" ht="12" customHeight="1">
      <c r="A305" s="30" t="inlineStr">
        <is>
          <t>ARE</t>
        </is>
      </c>
      <c r="B305" s="30" t="inlineStr">
        <is>
          <t>Areal</t>
        </is>
      </c>
      <c r="C305" s="30" t="n">
        <v>12320132</v>
      </c>
      <c r="D305" s="30">
        <f>"42584754000348"</f>
        <v/>
      </c>
      <c r="E305" s="30" t="inlineStr">
        <is>
          <t>J&amp;T EXPRESS BRAZIL LTDA.</t>
        </is>
      </c>
      <c r="F305" s="30" t="inlineStr">
        <is>
          <t>2022</t>
        </is>
      </c>
      <c r="G305" s="40" t="n">
        <v>0</v>
      </c>
    </row>
    <row r="306" ht="12" customHeight="1">
      <c r="A306" s="30" t="inlineStr">
        <is>
          <t>ARE</t>
        </is>
      </c>
      <c r="B306" s="30" t="inlineStr">
        <is>
          <t>Areal</t>
        </is>
      </c>
      <c r="C306" s="30" t="n">
        <v>12320132</v>
      </c>
      <c r="D306" s="30">
        <f>"42584754000348"</f>
        <v/>
      </c>
      <c r="E306" s="30" t="inlineStr">
        <is>
          <t>J&amp;T EXPRESS BRAZIL LTDA.</t>
        </is>
      </c>
      <c r="F306" s="30" t="inlineStr">
        <is>
          <t>2023</t>
        </is>
      </c>
      <c r="G306" s="40" t="n">
        <v>29.52</v>
      </c>
    </row>
    <row r="307" ht="12" customHeight="1">
      <c r="A307" s="30" t="inlineStr">
        <is>
          <t>ARE</t>
        </is>
      </c>
      <c r="B307" s="30" t="inlineStr">
        <is>
          <t>Areal</t>
        </is>
      </c>
      <c r="C307" s="30" t="n">
        <v>12335784</v>
      </c>
      <c r="D307" s="30">
        <f>"40154884000153"</f>
        <v/>
      </c>
      <c r="E307" s="30" t="inlineStr">
        <is>
          <t>STARLINK BRAZIL SERVICOS DE INTERNET LTDA.</t>
        </is>
      </c>
      <c r="F307" s="30" t="inlineStr">
        <is>
          <t>2021</t>
        </is>
      </c>
      <c r="G307" s="40" t="n">
        <v>0</v>
      </c>
    </row>
    <row r="308" ht="12" customHeight="1">
      <c r="A308" s="30" t="inlineStr">
        <is>
          <t>ARE</t>
        </is>
      </c>
      <c r="B308" s="30" t="inlineStr">
        <is>
          <t>Areal</t>
        </is>
      </c>
      <c r="C308" s="30" t="n">
        <v>12335784</v>
      </c>
      <c r="D308" s="30">
        <f>"40154884000153"</f>
        <v/>
      </c>
      <c r="E308" s="30" t="inlineStr">
        <is>
          <t>STARLINK BRAZIL SERVICOS DE INTERNET LTDA.</t>
        </is>
      </c>
      <c r="F308" s="30" t="inlineStr">
        <is>
          <t>2022</t>
        </is>
      </c>
      <c r="G308" s="40" t="n">
        <v>0</v>
      </c>
    </row>
    <row r="309" ht="12" customHeight="1">
      <c r="A309" s="30" t="inlineStr">
        <is>
          <t>ARE</t>
        </is>
      </c>
      <c r="B309" s="30" t="inlineStr">
        <is>
          <t>Areal</t>
        </is>
      </c>
      <c r="C309" s="30" t="n">
        <v>12335784</v>
      </c>
      <c r="D309" s="30">
        <f>"40154884000153"</f>
        <v/>
      </c>
      <c r="E309" s="30" t="inlineStr">
        <is>
          <t>STARLINK BRAZIL SERVICOS DE INTERNET LTDA.</t>
        </is>
      </c>
      <c r="F309" s="30" t="inlineStr">
        <is>
          <t>2023</t>
        </is>
      </c>
      <c r="G309" s="40" t="n">
        <v>16910.58</v>
      </c>
    </row>
    <row r="310" ht="12" customHeight="1">
      <c r="A310" s="30" t="inlineStr">
        <is>
          <t>ARE</t>
        </is>
      </c>
      <c r="B310" s="30" t="inlineStr">
        <is>
          <t>Areal</t>
        </is>
      </c>
      <c r="C310" s="30" t="n">
        <v>12362498</v>
      </c>
      <c r="D310" s="30">
        <f>"15032773000470"</f>
        <v/>
      </c>
      <c r="E310" s="30" t="inlineStr">
        <is>
          <t>YESCO ADMINISTRADORA DE BENS S/A.</t>
        </is>
      </c>
      <c r="F310" s="30" t="inlineStr">
        <is>
          <t>2021</t>
        </is>
      </c>
      <c r="G310" s="40" t="n">
        <v>0</v>
      </c>
    </row>
    <row r="311" ht="12" customHeight="1">
      <c r="A311" s="30" t="inlineStr">
        <is>
          <t>ARE</t>
        </is>
      </c>
      <c r="B311" s="30" t="inlineStr">
        <is>
          <t>Areal</t>
        </is>
      </c>
      <c r="C311" s="30" t="n">
        <v>12362498</v>
      </c>
      <c r="D311" s="30">
        <f>"15032773000470"</f>
        <v/>
      </c>
      <c r="E311" s="30" t="inlineStr">
        <is>
          <t>YESCO ADMINISTRADORA DE BENS S/A.</t>
        </is>
      </c>
      <c r="F311" s="30" t="inlineStr">
        <is>
          <t>2022</t>
        </is>
      </c>
      <c r="G311" s="40" t="n">
        <v>0</v>
      </c>
    </row>
    <row r="312" ht="12" customHeight="1">
      <c r="A312" s="30" t="inlineStr">
        <is>
          <t>ARE</t>
        </is>
      </c>
      <c r="B312" s="30" t="inlineStr">
        <is>
          <t>Areal</t>
        </is>
      </c>
      <c r="C312" s="30" t="n">
        <v>12362498</v>
      </c>
      <c r="D312" s="30">
        <f>"15032773000470"</f>
        <v/>
      </c>
      <c r="E312" s="30" t="inlineStr">
        <is>
          <t>YESCO ADMINISTRADORA DE BENS S/A.</t>
        </is>
      </c>
      <c r="F312" s="30" t="inlineStr">
        <is>
          <t>2023</t>
        </is>
      </c>
      <c r="G312" s="40" t="n">
        <v>168.75</v>
      </c>
    </row>
    <row r="313" ht="12" customHeight="1">
      <c r="A313" s="30" t="inlineStr">
        <is>
          <t>ARE</t>
        </is>
      </c>
      <c r="B313" s="30" t="inlineStr">
        <is>
          <t>Areal</t>
        </is>
      </c>
      <c r="C313" s="30" t="n">
        <v>12469942</v>
      </c>
      <c r="D313" s="30">
        <f>"45450026000170"</f>
        <v/>
      </c>
      <c r="E313" s="30" t="inlineStr">
        <is>
          <t>AZUL 8 AREAL EMPREENDIMENTOS E CONSTRU??ES LTDA</t>
        </is>
      </c>
      <c r="F313" s="30" t="inlineStr">
        <is>
          <t>2020</t>
        </is>
      </c>
      <c r="G313" s="40" t="n">
        <v>0</v>
      </c>
    </row>
    <row r="314" ht="12" customHeight="1">
      <c r="A314" s="30" t="inlineStr">
        <is>
          <t>ARE</t>
        </is>
      </c>
      <c r="B314" s="30" t="inlineStr">
        <is>
          <t>Areal</t>
        </is>
      </c>
      <c r="C314" s="30" t="n">
        <v>12469942</v>
      </c>
      <c r="D314" s="30">
        <f>"45450026000170"</f>
        <v/>
      </c>
      <c r="E314" s="30" t="inlineStr">
        <is>
          <t>AZUL 8 AREAL EMPREENDIMENTOS E CONSTRU??ES LTDA</t>
        </is>
      </c>
      <c r="F314" s="30" t="inlineStr">
        <is>
          <t>2021</t>
        </is>
      </c>
      <c r="G314" s="40" t="n">
        <v>0</v>
      </c>
    </row>
    <row r="315" ht="12" customHeight="1">
      <c r="A315" s="30" t="inlineStr">
        <is>
          <t>ARE</t>
        </is>
      </c>
      <c r="B315" s="30" t="inlineStr">
        <is>
          <t>Areal</t>
        </is>
      </c>
      <c r="C315" s="30" t="n">
        <v>12469942</v>
      </c>
      <c r="D315" s="30">
        <f>"45450026000170"</f>
        <v/>
      </c>
      <c r="E315" s="30" t="inlineStr">
        <is>
          <t>AZUL 8 AREAL EMPREENDIMENTOS E CONSTRU??ES LTDA</t>
        </is>
      </c>
      <c r="F315" s="30" t="inlineStr">
        <is>
          <t>2022</t>
        </is>
      </c>
      <c r="G315" s="40" t="n">
        <v>0</v>
      </c>
    </row>
    <row r="316" ht="12" customHeight="1">
      <c r="A316" s="30" t="inlineStr">
        <is>
          <t>ARE</t>
        </is>
      </c>
      <c r="B316" s="30" t="inlineStr">
        <is>
          <t>Areal</t>
        </is>
      </c>
      <c r="C316" s="30" t="n">
        <v>12469942</v>
      </c>
      <c r="D316" s="30">
        <f>"45450026000170"</f>
        <v/>
      </c>
      <c r="E316" s="30" t="inlineStr">
        <is>
          <t>AZUL 8 AREAL EMPREENDIMENTOS E CONSTRU??ES LTDA</t>
        </is>
      </c>
      <c r="F316" s="30" t="inlineStr">
        <is>
          <t>2023</t>
        </is>
      </c>
      <c r="G316" s="40" t="n">
        <v>0</v>
      </c>
    </row>
    <row r="317" ht="12" customHeight="1">
      <c r="A317" s="30" t="inlineStr">
        <is>
          <t>ARE</t>
        </is>
      </c>
      <c r="B317" s="30" t="inlineStr">
        <is>
          <t>Areal</t>
        </is>
      </c>
      <c r="C317" s="30" t="n">
        <v>12570511</v>
      </c>
      <c r="D317" s="30">
        <f>"47463100000118"</f>
        <v/>
      </c>
      <c r="E317" s="30" t="inlineStr">
        <is>
          <t>LM SOARES SERVICOS E EMPREENDIMENTOS IMOBILI?RIOS LTDA</t>
        </is>
      </c>
      <c r="F317" s="30" t="inlineStr">
        <is>
          <t>2021</t>
        </is>
      </c>
      <c r="G317" s="40" t="n">
        <v>0</v>
      </c>
    </row>
    <row r="318" ht="12" customHeight="1">
      <c r="A318" s="30" t="inlineStr">
        <is>
          <t>ARE</t>
        </is>
      </c>
      <c r="B318" s="30" t="inlineStr">
        <is>
          <t>Areal</t>
        </is>
      </c>
      <c r="C318" s="30" t="n">
        <v>12570511</v>
      </c>
      <c r="D318" s="30">
        <f>"47463100000118"</f>
        <v/>
      </c>
      <c r="E318" s="30" t="inlineStr">
        <is>
          <t>LM SOARES SERVICOS E EMPREENDIMENTOS IMOBILI?RIOS LTDA</t>
        </is>
      </c>
      <c r="F318" s="30" t="inlineStr">
        <is>
          <t>2022</t>
        </is>
      </c>
      <c r="G318" s="40" t="n">
        <v>0</v>
      </c>
    </row>
    <row r="319" ht="12" customHeight="1">
      <c r="A319" s="30" t="inlineStr">
        <is>
          <t>ARE</t>
        </is>
      </c>
      <c r="B319" s="30" t="inlineStr">
        <is>
          <t>Areal</t>
        </is>
      </c>
      <c r="C319" s="30" t="n">
        <v>12570511</v>
      </c>
      <c r="D319" s="30">
        <f>"47463100000118"</f>
        <v/>
      </c>
      <c r="E319" s="30" t="inlineStr">
        <is>
          <t>LM SOARES SERVICOS E EMPREENDIMENTOS IMOBILI?RIOS LTDA</t>
        </is>
      </c>
      <c r="F319" s="30" t="inlineStr">
        <is>
          <t>2023</t>
        </is>
      </c>
      <c r="G319" s="40" t="n">
        <v>0</v>
      </c>
    </row>
    <row r="320" ht="12" customHeight="1">
      <c r="A320" s="30" t="inlineStr">
        <is>
          <t>ARE</t>
        </is>
      </c>
      <c r="B320" s="30" t="inlineStr">
        <is>
          <t>Areal</t>
        </is>
      </c>
      <c r="C320" s="30" t="n">
        <v>12594569</v>
      </c>
      <c r="D320" s="30">
        <f>"19451038005330"</f>
        <v/>
      </c>
      <c r="E320" s="30" t="inlineStr">
        <is>
          <t>RODOVIARIO CAMILO DOS SANTOS FILHO LTDA</t>
        </is>
      </c>
      <c r="F320" s="30" t="inlineStr">
        <is>
          <t>2021</t>
        </is>
      </c>
      <c r="G320" s="40" t="n">
        <v>0</v>
      </c>
    </row>
    <row r="321" ht="12" customHeight="1">
      <c r="A321" s="30" t="inlineStr">
        <is>
          <t>ARE</t>
        </is>
      </c>
      <c r="B321" s="30" t="inlineStr">
        <is>
          <t>Areal</t>
        </is>
      </c>
      <c r="C321" s="30" t="n">
        <v>12594569</v>
      </c>
      <c r="D321" s="30">
        <f>"19451038005330"</f>
        <v/>
      </c>
      <c r="E321" s="30" t="inlineStr">
        <is>
          <t>RODOVIARIO CAMILO DOS SANTOS FILHO LTDA</t>
        </is>
      </c>
      <c r="F321" s="30" t="inlineStr">
        <is>
          <t>2022</t>
        </is>
      </c>
      <c r="G321" s="40" t="n">
        <v>0</v>
      </c>
    </row>
    <row r="322" ht="12" customHeight="1">
      <c r="A322" s="30" t="inlineStr">
        <is>
          <t>ARE</t>
        </is>
      </c>
      <c r="B322" s="30" t="inlineStr">
        <is>
          <t>Areal</t>
        </is>
      </c>
      <c r="C322" s="30" t="n">
        <v>12594569</v>
      </c>
      <c r="D322" s="30">
        <f>"19451038005330"</f>
        <v/>
      </c>
      <c r="E322" s="30" t="inlineStr">
        <is>
          <t>RODOVIARIO CAMILO DOS SANTOS FILHO LTDA</t>
        </is>
      </c>
      <c r="F322" s="30" t="inlineStr">
        <is>
          <t>2023</t>
        </is>
      </c>
      <c r="G322" s="40" t="n">
        <v>5024.54</v>
      </c>
    </row>
    <row r="323" ht="12" customHeight="1">
      <c r="A323" s="30" t="inlineStr">
        <is>
          <t>ARE</t>
        </is>
      </c>
      <c r="B323" s="30" t="inlineStr">
        <is>
          <t>Areal</t>
        </is>
      </c>
      <c r="C323" s="30" t="n">
        <v>12758014</v>
      </c>
      <c r="D323" s="30">
        <f>"49445865000150"</f>
        <v/>
      </c>
      <c r="E323" s="30" t="inlineStr">
        <is>
          <t>MULTI - TEXTIL IND?STRIA E COM?RCIO LTDA</t>
        </is>
      </c>
      <c r="F323" s="30" t="inlineStr">
        <is>
          <t>2021</t>
        </is>
      </c>
      <c r="G323" s="40" t="n">
        <v>0</v>
      </c>
    </row>
    <row r="324" ht="12" customHeight="1">
      <c r="A324" s="30" t="inlineStr">
        <is>
          <t>ARE</t>
        </is>
      </c>
      <c r="B324" s="30" t="inlineStr">
        <is>
          <t>Areal</t>
        </is>
      </c>
      <c r="C324" s="30" t="n">
        <v>12758014</v>
      </c>
      <c r="D324" s="30">
        <f>"49445865000150"</f>
        <v/>
      </c>
      <c r="E324" s="30" t="inlineStr">
        <is>
          <t>MULTI - TEXTIL IND?STRIA E COM?RCIO LTDA</t>
        </is>
      </c>
      <c r="F324" s="30" t="inlineStr">
        <is>
          <t>2022</t>
        </is>
      </c>
      <c r="G324" s="40" t="n">
        <v>0</v>
      </c>
    </row>
    <row r="325" ht="12" customHeight="1">
      <c r="A325" s="30" t="inlineStr">
        <is>
          <t>ARE</t>
        </is>
      </c>
      <c r="B325" s="30" t="inlineStr">
        <is>
          <t>Areal</t>
        </is>
      </c>
      <c r="C325" s="30" t="n">
        <v>12758014</v>
      </c>
      <c r="D325" s="30">
        <f>"49445865000150"</f>
        <v/>
      </c>
      <c r="E325" s="30" t="inlineStr">
        <is>
          <t>MULTI - TEXTIL IND?STRIA E COM?RCIO LTDA</t>
        </is>
      </c>
      <c r="F325" s="30" t="inlineStr">
        <is>
          <t>2023</t>
        </is>
      </c>
      <c r="G325" s="40" t="n">
        <v>744478.67</v>
      </c>
    </row>
    <row r="326" ht="12" customHeight="1">
      <c r="A326" s="30" t="inlineStr">
        <is>
          <t>ARE</t>
        </is>
      </c>
      <c r="B326" s="30" t="inlineStr">
        <is>
          <t>Areal</t>
        </is>
      </c>
      <c r="C326" s="30" t="n">
        <v>12805446</v>
      </c>
      <c r="D326" s="30">
        <f>"08969326000214"</f>
        <v/>
      </c>
      <c r="E326" s="30" t="inlineStr">
        <is>
          <t>POLICARPO LOGISTICA E TRANSPORTES LTDA</t>
        </is>
      </c>
      <c r="F326" s="30" t="inlineStr">
        <is>
          <t>2021</t>
        </is>
      </c>
      <c r="G326" s="40" t="n">
        <v>0</v>
      </c>
    </row>
    <row r="327" ht="12" customHeight="1">
      <c r="A327" s="30" t="inlineStr">
        <is>
          <t>ARE</t>
        </is>
      </c>
      <c r="B327" s="30" t="inlineStr">
        <is>
          <t>Areal</t>
        </is>
      </c>
      <c r="C327" s="30" t="n">
        <v>12805446</v>
      </c>
      <c r="D327" s="30">
        <f>"08969326000214"</f>
        <v/>
      </c>
      <c r="E327" s="30" t="inlineStr">
        <is>
          <t>POLICARPO LOGISTICA E TRANSPORTES LTDA</t>
        </is>
      </c>
      <c r="F327" s="30" t="inlineStr">
        <is>
          <t>2022</t>
        </is>
      </c>
      <c r="G327" s="40" t="n">
        <v>0</v>
      </c>
    </row>
    <row r="328" ht="12" customHeight="1">
      <c r="A328" s="30" t="inlineStr">
        <is>
          <t>ARE</t>
        </is>
      </c>
      <c r="B328" s="30" t="inlineStr">
        <is>
          <t>Areal</t>
        </is>
      </c>
      <c r="C328" s="30" t="n">
        <v>12805446</v>
      </c>
      <c r="D328" s="30">
        <f>"08969326000214"</f>
        <v/>
      </c>
      <c r="E328" s="30" t="inlineStr">
        <is>
          <t>POLICARPO LOGISTICA E TRANSPORTES LTDA</t>
        </is>
      </c>
      <c r="F328" s="30" t="inlineStr">
        <is>
          <t>2023</t>
        </is>
      </c>
      <c r="G328" s="40" t="n">
        <v>1065.93</v>
      </c>
    </row>
    <row r="329" ht="12" customHeight="1">
      <c r="A329" s="30" t="inlineStr">
        <is>
          <t>ARE</t>
        </is>
      </c>
      <c r="B329" s="30" t="inlineStr">
        <is>
          <t>Areal</t>
        </is>
      </c>
      <c r="C329" s="30" t="n">
        <v>14311637</v>
      </c>
      <c r="D329" s="30">
        <f>"53308501000104"</f>
        <v/>
      </c>
      <c r="E329" s="30" t="inlineStr">
        <is>
          <t>AC FIT2 LTDA</t>
        </is>
      </c>
      <c r="F329" s="30" t="inlineStr">
        <is>
          <t>2021</t>
        </is>
      </c>
      <c r="G329" s="40" t="n">
        <v>0</v>
      </c>
    </row>
    <row r="330" ht="12" customHeight="1">
      <c r="A330" s="30" t="inlineStr">
        <is>
          <t>ARE</t>
        </is>
      </c>
      <c r="B330" s="30" t="inlineStr">
        <is>
          <t>Areal</t>
        </is>
      </c>
      <c r="C330" s="30" t="n">
        <v>14311637</v>
      </c>
      <c r="D330" s="30">
        <f>"53308501000104"</f>
        <v/>
      </c>
      <c r="E330" s="30" t="inlineStr">
        <is>
          <t>AC FIT2 LTDA</t>
        </is>
      </c>
      <c r="F330" s="30" t="inlineStr">
        <is>
          <t>2022</t>
        </is>
      </c>
      <c r="G330" s="40" t="n">
        <v>0</v>
      </c>
    </row>
    <row r="331" ht="12" customHeight="1">
      <c r="A331" s="30" t="inlineStr">
        <is>
          <t>ARE</t>
        </is>
      </c>
      <c r="B331" s="30" t="inlineStr">
        <is>
          <t>Areal</t>
        </is>
      </c>
      <c r="C331" s="30" t="n">
        <v>14311637</v>
      </c>
      <c r="D331" s="30">
        <f>"53308501000104"</f>
        <v/>
      </c>
      <c r="E331" s="30" t="inlineStr">
        <is>
          <t>AC FIT2 LTDA</t>
        </is>
      </c>
      <c r="F331" s="30" t="inlineStr">
        <is>
          <t>2023</t>
        </is>
      </c>
      <c r="G331" s="40" t="n">
        <v>0</v>
      </c>
    </row>
    <row r="332" ht="12" customHeight="1">
      <c r="A332" s="30" t="inlineStr">
        <is>
          <t>ARE</t>
        </is>
      </c>
      <c r="B332" s="30" t="inlineStr">
        <is>
          <t>Areal</t>
        </is>
      </c>
      <c r="C332" s="30" t="n">
        <v>71155587</v>
      </c>
      <c r="D332" s="30">
        <f>"46904379715"</f>
        <v/>
      </c>
      <c r="E332" s="30" t="inlineStr">
        <is>
          <t>JEFFREY COPELAND BRANTLY</t>
        </is>
      </c>
      <c r="F332" s="30" t="inlineStr">
        <is>
          <t>2017</t>
        </is>
      </c>
      <c r="G332" s="40" t="n">
        <v>135936.68</v>
      </c>
    </row>
    <row r="333" ht="12" customHeight="1">
      <c r="A333" s="30" t="inlineStr">
        <is>
          <t>ARE</t>
        </is>
      </c>
      <c r="B333" s="30" t="inlineStr">
        <is>
          <t>Areal</t>
        </is>
      </c>
      <c r="C333" s="30" t="n">
        <v>71155587</v>
      </c>
      <c r="D333" s="30">
        <f>"46904379715"</f>
        <v/>
      </c>
      <c r="E333" s="30" t="inlineStr">
        <is>
          <t>JEFFREY COPELAND BRANTLY</t>
        </is>
      </c>
      <c r="F333" s="30" t="inlineStr">
        <is>
          <t>2018</t>
        </is>
      </c>
      <c r="G333" s="40" t="n">
        <v>153109.98</v>
      </c>
    </row>
    <row r="334" ht="12" customHeight="1">
      <c r="A334" s="30" t="inlineStr">
        <is>
          <t>ARE</t>
        </is>
      </c>
      <c r="B334" s="30" t="inlineStr">
        <is>
          <t>Areal</t>
        </is>
      </c>
      <c r="C334" s="30" t="n">
        <v>71155587</v>
      </c>
      <c r="D334" s="30">
        <f>"46904379715"</f>
        <v/>
      </c>
      <c r="E334" s="30" t="inlineStr">
        <is>
          <t>JEFFREY COPELAND BRANTLY</t>
        </is>
      </c>
      <c r="F334" s="30" t="inlineStr">
        <is>
          <t>2019</t>
        </is>
      </c>
      <c r="G334" s="40" t="n">
        <v>238924.9</v>
      </c>
    </row>
    <row r="335" ht="12" customHeight="1">
      <c r="A335" s="30" t="inlineStr">
        <is>
          <t>ARE</t>
        </is>
      </c>
      <c r="B335" s="30" t="inlineStr">
        <is>
          <t>Areal</t>
        </is>
      </c>
      <c r="C335" s="30" t="n">
        <v>71155587</v>
      </c>
      <c r="D335" s="30">
        <f>"46904379715"</f>
        <v/>
      </c>
      <c r="E335" s="30" t="inlineStr">
        <is>
          <t>JEFFREY COPELAND BRANTLY</t>
        </is>
      </c>
      <c r="F335" s="30" t="inlineStr">
        <is>
          <t>2020</t>
        </is>
      </c>
      <c r="G335" s="40" t="n">
        <v>361646.06</v>
      </c>
    </row>
    <row r="336" ht="12" customHeight="1">
      <c r="A336" s="30" t="inlineStr">
        <is>
          <t>ARE</t>
        </is>
      </c>
      <c r="B336" s="30" t="inlineStr">
        <is>
          <t>Areal</t>
        </is>
      </c>
      <c r="C336" s="30" t="n">
        <v>71155587</v>
      </c>
      <c r="D336" s="30">
        <f>"46904379715"</f>
        <v/>
      </c>
      <c r="E336" s="30" t="inlineStr">
        <is>
          <t>JEFFREY COPELAND BRANTLY</t>
        </is>
      </c>
      <c r="F336" s="30" t="inlineStr">
        <is>
          <t>2021</t>
        </is>
      </c>
      <c r="G336" s="40" t="n">
        <v>1361598.14</v>
      </c>
    </row>
    <row r="337" ht="12" customHeight="1">
      <c r="A337" s="30" t="inlineStr">
        <is>
          <t>ARE</t>
        </is>
      </c>
      <c r="B337" s="30" t="inlineStr">
        <is>
          <t>Areal</t>
        </is>
      </c>
      <c r="C337" s="30" t="n">
        <v>71155587</v>
      </c>
      <c r="D337" s="30">
        <f>"46904379715"</f>
        <v/>
      </c>
      <c r="E337" s="30" t="inlineStr">
        <is>
          <t>JEFFREY COPELAND BRANTLY</t>
        </is>
      </c>
      <c r="F337" s="30" t="inlineStr">
        <is>
          <t>2022</t>
        </is>
      </c>
      <c r="G337" s="40" t="n">
        <v>324999.15</v>
      </c>
    </row>
    <row r="338" ht="12" customHeight="1">
      <c r="A338" s="30" t="inlineStr">
        <is>
          <t>ARE</t>
        </is>
      </c>
      <c r="B338" s="30" t="inlineStr">
        <is>
          <t>Areal</t>
        </is>
      </c>
      <c r="C338" s="30" t="n">
        <v>71155587</v>
      </c>
      <c r="D338" s="30">
        <f>"46904379715"</f>
        <v/>
      </c>
      <c r="E338" s="30" t="inlineStr">
        <is>
          <t>JEFFREY COPELAND BRANTLY</t>
        </is>
      </c>
      <c r="F338" s="30" t="inlineStr">
        <is>
          <t>2023</t>
        </is>
      </c>
      <c r="G338" s="40" t="n">
        <v>0</v>
      </c>
    </row>
    <row r="339" ht="12" customHeight="1">
      <c r="A339" s="30" t="inlineStr">
        <is>
          <t>ARE</t>
        </is>
      </c>
      <c r="B339" s="30" t="inlineStr">
        <is>
          <t>Areal</t>
        </is>
      </c>
      <c r="C339" s="30" t="n">
        <v>71155625</v>
      </c>
      <c r="D339" s="30">
        <f>"04453360720"</f>
        <v/>
      </c>
      <c r="E339" s="30" t="inlineStr">
        <is>
          <t>PAULO ROBERTO SARMENTO NICOLAU</t>
        </is>
      </c>
      <c r="F339" s="30" t="inlineStr">
        <is>
          <t>2017</t>
        </is>
      </c>
      <c r="G339" s="40" t="n">
        <v>0</v>
      </c>
    </row>
    <row r="340" ht="12" customHeight="1">
      <c r="A340" s="30" t="inlineStr">
        <is>
          <t>ARE</t>
        </is>
      </c>
      <c r="B340" s="30" t="inlineStr">
        <is>
          <t>Areal</t>
        </is>
      </c>
      <c r="C340" s="30" t="n">
        <v>71155625</v>
      </c>
      <c r="D340" s="30">
        <f>"04453360720"</f>
        <v/>
      </c>
      <c r="E340" s="30" t="inlineStr">
        <is>
          <t>PAULO ROBERTO SARMENTO NICOLAU</t>
        </is>
      </c>
      <c r="F340" s="30" t="inlineStr">
        <is>
          <t>2018</t>
        </is>
      </c>
      <c r="G340" s="40" t="n">
        <v>0</v>
      </c>
    </row>
    <row r="341" ht="12" customHeight="1">
      <c r="A341" s="30" t="inlineStr">
        <is>
          <t>ARE</t>
        </is>
      </c>
      <c r="B341" s="30" t="inlineStr">
        <is>
          <t>Areal</t>
        </is>
      </c>
      <c r="C341" s="30" t="n">
        <v>71155625</v>
      </c>
      <c r="D341" s="30">
        <f>"04453360720"</f>
        <v/>
      </c>
      <c r="E341" s="30" t="inlineStr">
        <is>
          <t>PAULO ROBERTO SARMENTO NICOLAU</t>
        </is>
      </c>
      <c r="F341" s="30" t="inlineStr">
        <is>
          <t>2019</t>
        </is>
      </c>
      <c r="G341" s="40" t="n">
        <v>0</v>
      </c>
    </row>
    <row r="342" ht="12" customHeight="1">
      <c r="A342" s="30" t="inlineStr">
        <is>
          <t>ARE</t>
        </is>
      </c>
      <c r="B342" s="30" t="inlineStr">
        <is>
          <t>Areal</t>
        </is>
      </c>
      <c r="C342" s="30" t="n">
        <v>71155625</v>
      </c>
      <c r="D342" s="30">
        <f>"04453360720"</f>
        <v/>
      </c>
      <c r="E342" s="30" t="inlineStr">
        <is>
          <t>PAULO ROBERTO SARMENTO NICOLAU</t>
        </is>
      </c>
      <c r="F342" s="30" t="inlineStr">
        <is>
          <t>2020</t>
        </is>
      </c>
      <c r="G342" s="40" t="n">
        <v>0</v>
      </c>
    </row>
    <row r="343" ht="12" customHeight="1">
      <c r="A343" s="30" t="inlineStr">
        <is>
          <t>ARE</t>
        </is>
      </c>
      <c r="B343" s="30" t="inlineStr">
        <is>
          <t>Areal</t>
        </is>
      </c>
      <c r="C343" s="30" t="n">
        <v>71155625</v>
      </c>
      <c r="D343" s="30">
        <f>"04453360720"</f>
        <v/>
      </c>
      <c r="E343" s="30" t="inlineStr">
        <is>
          <t>PAULO ROBERTO SARMENTO NICOLAU</t>
        </is>
      </c>
      <c r="F343" s="30" t="inlineStr">
        <is>
          <t>2021</t>
        </is>
      </c>
      <c r="G343" s="40" t="n">
        <v>0</v>
      </c>
    </row>
    <row r="344" ht="12" customHeight="1">
      <c r="A344" s="30" t="inlineStr">
        <is>
          <t>ARE</t>
        </is>
      </c>
      <c r="B344" s="30" t="inlineStr">
        <is>
          <t>Areal</t>
        </is>
      </c>
      <c r="C344" s="30" t="n">
        <v>71155625</v>
      </c>
      <c r="D344" s="30">
        <f>"04453360720"</f>
        <v/>
      </c>
      <c r="E344" s="30" t="inlineStr">
        <is>
          <t>PAULO ROBERTO SARMENTO NICOLAU</t>
        </is>
      </c>
      <c r="F344" s="30" t="inlineStr">
        <is>
          <t>2022</t>
        </is>
      </c>
      <c r="G344" s="40" t="n">
        <v>0</v>
      </c>
    </row>
    <row r="345" ht="12" customHeight="1">
      <c r="A345" s="30" t="inlineStr">
        <is>
          <t>ARE</t>
        </is>
      </c>
      <c r="B345" s="30" t="inlineStr">
        <is>
          <t>Areal</t>
        </is>
      </c>
      <c r="C345" s="30" t="n">
        <v>71155625</v>
      </c>
      <c r="D345" s="30">
        <f>"04453360720"</f>
        <v/>
      </c>
      <c r="E345" s="30" t="inlineStr">
        <is>
          <t>PAULO ROBERTO SARMENTO NICOLAU</t>
        </is>
      </c>
      <c r="F345" s="30" t="inlineStr">
        <is>
          <t>2023</t>
        </is>
      </c>
      <c r="G345" s="40" t="n">
        <v>0</v>
      </c>
    </row>
    <row r="346" ht="12" customHeight="1">
      <c r="A346" s="30" t="inlineStr">
        <is>
          <t>ARE</t>
        </is>
      </c>
      <c r="B346" s="30" t="inlineStr">
        <is>
          <t>Areal</t>
        </is>
      </c>
      <c r="C346" s="30" t="n">
        <v>71445690</v>
      </c>
      <c r="D346" s="30">
        <f>"23954620715"</f>
        <v/>
      </c>
      <c r="E346" s="30" t="inlineStr">
        <is>
          <t>MAURICIO SIQUEIRA BRANDI</t>
        </is>
      </c>
      <c r="F346" s="30" t="inlineStr">
        <is>
          <t>2017</t>
        </is>
      </c>
      <c r="G346" s="40" t="n">
        <v>0</v>
      </c>
    </row>
    <row r="347" ht="12" customHeight="1">
      <c r="A347" s="30" t="inlineStr">
        <is>
          <t>ARE</t>
        </is>
      </c>
      <c r="B347" s="30" t="inlineStr">
        <is>
          <t>Areal</t>
        </is>
      </c>
      <c r="C347" s="30" t="n">
        <v>71445690</v>
      </c>
      <c r="D347" s="30">
        <f>"23954620715"</f>
        <v/>
      </c>
      <c r="E347" s="30" t="inlineStr">
        <is>
          <t>MAURICIO SIQUEIRA BRANDI</t>
        </is>
      </c>
      <c r="F347" s="30" t="inlineStr">
        <is>
          <t>2018</t>
        </is>
      </c>
      <c r="G347" s="40" t="n">
        <v>0</v>
      </c>
    </row>
    <row r="348" ht="12" customHeight="1">
      <c r="A348" s="30" t="inlineStr">
        <is>
          <t>ARE</t>
        </is>
      </c>
      <c r="B348" s="30" t="inlineStr">
        <is>
          <t>Areal</t>
        </is>
      </c>
      <c r="C348" s="30" t="n">
        <v>71445690</v>
      </c>
      <c r="D348" s="30">
        <f>"23954620715"</f>
        <v/>
      </c>
      <c r="E348" s="30" t="inlineStr">
        <is>
          <t>MAURICIO SIQUEIRA BRANDI</t>
        </is>
      </c>
      <c r="F348" s="30" t="inlineStr">
        <is>
          <t>2019</t>
        </is>
      </c>
      <c r="G348" s="40" t="n">
        <v>0</v>
      </c>
    </row>
    <row r="349" ht="12" customHeight="1">
      <c r="A349" s="30" t="inlineStr">
        <is>
          <t>ARE</t>
        </is>
      </c>
      <c r="B349" s="30" t="inlineStr">
        <is>
          <t>Areal</t>
        </is>
      </c>
      <c r="C349" s="30" t="n">
        <v>71445690</v>
      </c>
      <c r="D349" s="30">
        <f>"23954620715"</f>
        <v/>
      </c>
      <c r="E349" s="30" t="inlineStr">
        <is>
          <t>MAURICIO SIQUEIRA BRANDI</t>
        </is>
      </c>
      <c r="F349" s="30" t="inlineStr">
        <is>
          <t>2020</t>
        </is>
      </c>
      <c r="G349" s="40" t="n">
        <v>0</v>
      </c>
    </row>
    <row r="350" ht="12" customHeight="1">
      <c r="A350" s="30" t="inlineStr">
        <is>
          <t>ARE</t>
        </is>
      </c>
      <c r="B350" s="30" t="inlineStr">
        <is>
          <t>Areal</t>
        </is>
      </c>
      <c r="C350" s="30" t="n">
        <v>71445690</v>
      </c>
      <c r="D350" s="30">
        <f>"23954620715"</f>
        <v/>
      </c>
      <c r="E350" s="30" t="inlineStr">
        <is>
          <t>MAURICIO SIQUEIRA BRANDI</t>
        </is>
      </c>
      <c r="F350" s="30" t="inlineStr">
        <is>
          <t>2021</t>
        </is>
      </c>
      <c r="G350" s="40" t="n">
        <v>0</v>
      </c>
    </row>
    <row r="351" ht="12" customHeight="1">
      <c r="A351" s="30" t="inlineStr">
        <is>
          <t>ARE</t>
        </is>
      </c>
      <c r="B351" s="30" t="inlineStr">
        <is>
          <t>Areal</t>
        </is>
      </c>
      <c r="C351" s="30" t="n">
        <v>71445690</v>
      </c>
      <c r="D351" s="30">
        <f>"23954620715"</f>
        <v/>
      </c>
      <c r="E351" s="30" t="inlineStr">
        <is>
          <t>MAURICIO SIQUEIRA BRANDI</t>
        </is>
      </c>
      <c r="F351" s="30" t="inlineStr">
        <is>
          <t>2022</t>
        </is>
      </c>
      <c r="G351" s="40" t="n">
        <v>0</v>
      </c>
    </row>
    <row r="352" ht="12" customHeight="1">
      <c r="A352" s="30" t="inlineStr">
        <is>
          <t>ARE</t>
        </is>
      </c>
      <c r="B352" s="30" t="inlineStr">
        <is>
          <t>Areal</t>
        </is>
      </c>
      <c r="C352" s="30" t="n">
        <v>71445690</v>
      </c>
      <c r="D352" s="30">
        <f>"23954620715"</f>
        <v/>
      </c>
      <c r="E352" s="30" t="inlineStr">
        <is>
          <t>MAURICIO SIQUEIRA BRANDI</t>
        </is>
      </c>
      <c r="F352" s="30" t="inlineStr">
        <is>
          <t>2023</t>
        </is>
      </c>
      <c r="G352" s="40" t="n">
        <v>0</v>
      </c>
    </row>
    <row r="353" ht="12" customHeight="1">
      <c r="A353" s="30" t="inlineStr">
        <is>
          <t>ARE</t>
        </is>
      </c>
      <c r="B353" s="30" t="inlineStr">
        <is>
          <t>Areal</t>
        </is>
      </c>
      <c r="C353" s="30" t="n">
        <v>71702944</v>
      </c>
      <c r="D353" s="30">
        <f>"02780992700"</f>
        <v/>
      </c>
      <c r="E353" s="30" t="inlineStr">
        <is>
          <t>WILMA FORLEO GATZENMEIER</t>
        </is>
      </c>
      <c r="F353" s="30" t="inlineStr">
        <is>
          <t>2017</t>
        </is>
      </c>
      <c r="G353" s="40" t="n">
        <v>0</v>
      </c>
    </row>
    <row r="354" ht="12" customHeight="1">
      <c r="A354" s="30" t="inlineStr">
        <is>
          <t>ARE</t>
        </is>
      </c>
      <c r="B354" s="30" t="inlineStr">
        <is>
          <t>Areal</t>
        </is>
      </c>
      <c r="C354" s="30" t="n">
        <v>71702944</v>
      </c>
      <c r="D354" s="30">
        <f>"02780992700"</f>
        <v/>
      </c>
      <c r="E354" s="30" t="inlineStr">
        <is>
          <t>WILMA FORLEO GATZENMEIER</t>
        </is>
      </c>
      <c r="F354" s="30" t="inlineStr">
        <is>
          <t>2018</t>
        </is>
      </c>
      <c r="G354" s="40" t="n">
        <v>0</v>
      </c>
    </row>
    <row r="355" ht="12" customHeight="1">
      <c r="A355" s="30" t="inlineStr">
        <is>
          <t>ARE</t>
        </is>
      </c>
      <c r="B355" s="30" t="inlineStr">
        <is>
          <t>Areal</t>
        </is>
      </c>
      <c r="C355" s="30" t="n">
        <v>71702944</v>
      </c>
      <c r="D355" s="30">
        <f>"02780992700"</f>
        <v/>
      </c>
      <c r="E355" s="30" t="inlineStr">
        <is>
          <t>WILMA FORLEO GATZENMEIER</t>
        </is>
      </c>
      <c r="F355" s="30" t="inlineStr">
        <is>
          <t>2019</t>
        </is>
      </c>
      <c r="G355" s="40" t="n">
        <v>0</v>
      </c>
    </row>
    <row r="356" ht="12" customHeight="1">
      <c r="A356" s="30" t="inlineStr">
        <is>
          <t>ARE</t>
        </is>
      </c>
      <c r="B356" s="30" t="inlineStr">
        <is>
          <t>Areal</t>
        </is>
      </c>
      <c r="C356" s="30" t="n">
        <v>71702944</v>
      </c>
      <c r="D356" s="30">
        <f>"02780992700"</f>
        <v/>
      </c>
      <c r="E356" s="30" t="inlineStr">
        <is>
          <t>WILMA FORLEO GATZENMEIER</t>
        </is>
      </c>
      <c r="F356" s="30" t="inlineStr">
        <is>
          <t>2020</t>
        </is>
      </c>
      <c r="G356" s="40" t="n">
        <v>0</v>
      </c>
    </row>
    <row r="357" ht="12" customHeight="1">
      <c r="A357" s="30" t="inlineStr">
        <is>
          <t>ARE</t>
        </is>
      </c>
      <c r="B357" s="30" t="inlineStr">
        <is>
          <t>Areal</t>
        </is>
      </c>
      <c r="C357" s="30" t="n">
        <v>71702944</v>
      </c>
      <c r="D357" s="30">
        <f>"02780992700"</f>
        <v/>
      </c>
      <c r="E357" s="30" t="inlineStr">
        <is>
          <t>WILMA FORLEO GATZENMEIER</t>
        </is>
      </c>
      <c r="F357" s="30" t="inlineStr">
        <is>
          <t>2021</t>
        </is>
      </c>
      <c r="G357" s="40" t="n">
        <v>0</v>
      </c>
    </row>
    <row r="358" ht="12" customHeight="1">
      <c r="A358" s="30" t="inlineStr">
        <is>
          <t>ARE</t>
        </is>
      </c>
      <c r="B358" s="30" t="inlineStr">
        <is>
          <t>Areal</t>
        </is>
      </c>
      <c r="C358" s="30" t="n">
        <v>71702944</v>
      </c>
      <c r="D358" s="30">
        <f>"02780992700"</f>
        <v/>
      </c>
      <c r="E358" s="30" t="inlineStr">
        <is>
          <t>WILMA FORLEO GATZENMEIER</t>
        </is>
      </c>
      <c r="F358" s="30" t="inlineStr">
        <is>
          <t>2022</t>
        </is>
      </c>
      <c r="G358" s="40" t="n">
        <v>0</v>
      </c>
    </row>
    <row r="359" ht="12" customHeight="1">
      <c r="A359" s="30" t="inlineStr">
        <is>
          <t>ARE</t>
        </is>
      </c>
      <c r="B359" s="30" t="inlineStr">
        <is>
          <t>Areal</t>
        </is>
      </c>
      <c r="C359" s="30" t="n">
        <v>71702944</v>
      </c>
      <c r="D359" s="30">
        <f>"02780992700"</f>
        <v/>
      </c>
      <c r="E359" s="30" t="inlineStr">
        <is>
          <t>WILMA FORLEO GATZENMEIER</t>
        </is>
      </c>
      <c r="F359" s="30" t="inlineStr">
        <is>
          <t>2023</t>
        </is>
      </c>
      <c r="G359" s="40" t="n">
        <v>0</v>
      </c>
    </row>
    <row r="360" ht="12" customHeight="1">
      <c r="A360" s="30" t="inlineStr">
        <is>
          <t>ARE</t>
        </is>
      </c>
      <c r="B360" s="30" t="inlineStr">
        <is>
          <t>Areal</t>
        </is>
      </c>
      <c r="C360" s="30" t="n">
        <v>71703266</v>
      </c>
      <c r="D360" s="30">
        <f>"00264202791"</f>
        <v/>
      </c>
      <c r="E360" s="30" t="inlineStr">
        <is>
          <t>ANTONIO JOSE DE BRITO</t>
        </is>
      </c>
      <c r="F360" s="30" t="inlineStr">
        <is>
          <t>2017</t>
        </is>
      </c>
      <c r="G360" s="40" t="n">
        <v>0</v>
      </c>
    </row>
    <row r="361" ht="12" customHeight="1">
      <c r="A361" s="30" t="inlineStr">
        <is>
          <t>ARE</t>
        </is>
      </c>
      <c r="B361" s="30" t="inlineStr">
        <is>
          <t>Areal</t>
        </is>
      </c>
      <c r="C361" s="30" t="n">
        <v>71703266</v>
      </c>
      <c r="D361" s="30">
        <f>"00264202791"</f>
        <v/>
      </c>
      <c r="E361" s="30" t="inlineStr">
        <is>
          <t>ANTONIO JOSE DE BRITO</t>
        </is>
      </c>
      <c r="F361" s="30" t="inlineStr">
        <is>
          <t>2018</t>
        </is>
      </c>
      <c r="G361" s="40" t="n">
        <v>0</v>
      </c>
    </row>
    <row r="362" ht="12" customHeight="1">
      <c r="A362" s="30" t="inlineStr">
        <is>
          <t>ARE</t>
        </is>
      </c>
      <c r="B362" s="30" t="inlineStr">
        <is>
          <t>Areal</t>
        </is>
      </c>
      <c r="C362" s="30" t="n">
        <v>71703266</v>
      </c>
      <c r="D362" s="30">
        <f>"00264202791"</f>
        <v/>
      </c>
      <c r="E362" s="30" t="inlineStr">
        <is>
          <t>ANTONIO JOSE DE BRITO</t>
        </is>
      </c>
      <c r="F362" s="30" t="inlineStr">
        <is>
          <t>2019</t>
        </is>
      </c>
      <c r="G362" s="40" t="n">
        <v>0</v>
      </c>
    </row>
    <row r="363" ht="12" customHeight="1">
      <c r="A363" s="30" t="inlineStr">
        <is>
          <t>ARE</t>
        </is>
      </c>
      <c r="B363" s="30" t="inlineStr">
        <is>
          <t>Areal</t>
        </is>
      </c>
      <c r="C363" s="30" t="n">
        <v>71703266</v>
      </c>
      <c r="D363" s="30">
        <f>"00264202791"</f>
        <v/>
      </c>
      <c r="E363" s="30" t="inlineStr">
        <is>
          <t>ANTONIO JOSE DE BRITO</t>
        </is>
      </c>
      <c r="F363" s="30" t="inlineStr">
        <is>
          <t>2020</t>
        </is>
      </c>
      <c r="G363" s="40" t="n">
        <v>0</v>
      </c>
    </row>
    <row r="364" ht="12" customHeight="1">
      <c r="A364" s="30" t="inlineStr">
        <is>
          <t>ARE</t>
        </is>
      </c>
      <c r="B364" s="30" t="inlineStr">
        <is>
          <t>Areal</t>
        </is>
      </c>
      <c r="C364" s="30" t="n">
        <v>71703266</v>
      </c>
      <c r="D364" s="30">
        <f>"00264202791"</f>
        <v/>
      </c>
      <c r="E364" s="30" t="inlineStr">
        <is>
          <t>ANTONIO JOSE DE BRITO</t>
        </is>
      </c>
      <c r="F364" s="30" t="inlineStr">
        <is>
          <t>2021</t>
        </is>
      </c>
      <c r="G364" s="40" t="n">
        <v>0</v>
      </c>
    </row>
    <row r="365" ht="12" customHeight="1">
      <c r="A365" s="30" t="inlineStr">
        <is>
          <t>ARE</t>
        </is>
      </c>
      <c r="B365" s="30" t="inlineStr">
        <is>
          <t>Areal</t>
        </is>
      </c>
      <c r="C365" s="30" t="n">
        <v>71703266</v>
      </c>
      <c r="D365" s="30">
        <f>"00264202791"</f>
        <v/>
      </c>
      <c r="E365" s="30" t="inlineStr">
        <is>
          <t>ANTONIO JOSE DE BRITO</t>
        </is>
      </c>
      <c r="F365" s="30" t="inlineStr">
        <is>
          <t>2022</t>
        </is>
      </c>
      <c r="G365" s="40" t="n">
        <v>0</v>
      </c>
    </row>
    <row r="366" ht="12" customHeight="1">
      <c r="A366" s="30" t="inlineStr">
        <is>
          <t>ARE</t>
        </is>
      </c>
      <c r="B366" s="30" t="inlineStr">
        <is>
          <t>Areal</t>
        </is>
      </c>
      <c r="C366" s="30" t="n">
        <v>71703266</v>
      </c>
      <c r="D366" s="30">
        <f>"00264202791"</f>
        <v/>
      </c>
      <c r="E366" s="30" t="inlineStr">
        <is>
          <t>ANTONIO JOSE DE BRITO</t>
        </is>
      </c>
      <c r="F366" s="30" t="inlineStr">
        <is>
          <t>2023</t>
        </is>
      </c>
      <c r="G366" s="40" t="n">
        <v>0</v>
      </c>
    </row>
    <row r="367" ht="12" customHeight="1">
      <c r="A367" s="30" t="inlineStr">
        <is>
          <t>ARE</t>
        </is>
      </c>
      <c r="B367" s="30" t="inlineStr">
        <is>
          <t>Areal</t>
        </is>
      </c>
      <c r="C367" s="30" t="n">
        <v>71703339</v>
      </c>
      <c r="D367" s="30">
        <f>"00800775791"</f>
        <v/>
      </c>
      <c r="E367" s="30" t="inlineStr">
        <is>
          <t>JOSE AUGUSTO VILLELA PEDRAS</t>
        </is>
      </c>
      <c r="F367" s="30" t="inlineStr">
        <is>
          <t>2017</t>
        </is>
      </c>
      <c r="G367" s="40" t="n">
        <v>263689.51</v>
      </c>
    </row>
    <row r="368" ht="12" customHeight="1">
      <c r="A368" s="30" t="inlineStr">
        <is>
          <t>ARE</t>
        </is>
      </c>
      <c r="B368" s="30" t="inlineStr">
        <is>
          <t>Areal</t>
        </is>
      </c>
      <c r="C368" s="30" t="n">
        <v>71703339</v>
      </c>
      <c r="D368" s="30">
        <f>"00800775791"</f>
        <v/>
      </c>
      <c r="E368" s="30" t="inlineStr">
        <is>
          <t>JOSE AUGUSTO VILLELA PEDRAS</t>
        </is>
      </c>
      <c r="F368" s="30" t="inlineStr">
        <is>
          <t>2018</t>
        </is>
      </c>
      <c r="G368" s="40" t="n">
        <v>0</v>
      </c>
    </row>
    <row r="369" ht="12" customHeight="1">
      <c r="A369" s="30" t="inlineStr">
        <is>
          <t>ARE</t>
        </is>
      </c>
      <c r="B369" s="30" t="inlineStr">
        <is>
          <t>Areal</t>
        </is>
      </c>
      <c r="C369" s="30" t="n">
        <v>71703339</v>
      </c>
      <c r="D369" s="30">
        <f>"00800775791"</f>
        <v/>
      </c>
      <c r="E369" s="30" t="inlineStr">
        <is>
          <t>JOSE AUGUSTO VILLELA PEDRAS</t>
        </is>
      </c>
      <c r="F369" s="30" t="inlineStr">
        <is>
          <t>2019</t>
        </is>
      </c>
      <c r="G369" s="40" t="n">
        <v>0</v>
      </c>
    </row>
    <row r="370" ht="12" customHeight="1">
      <c r="A370" s="30" t="inlineStr">
        <is>
          <t>ARE</t>
        </is>
      </c>
      <c r="B370" s="30" t="inlineStr">
        <is>
          <t>Areal</t>
        </is>
      </c>
      <c r="C370" s="30" t="n">
        <v>71703339</v>
      </c>
      <c r="D370" s="30">
        <f>"00800775791"</f>
        <v/>
      </c>
      <c r="E370" s="30" t="inlineStr">
        <is>
          <t>JOSE AUGUSTO VILLELA PEDRAS</t>
        </is>
      </c>
      <c r="F370" s="30" t="inlineStr">
        <is>
          <t>2020</t>
        </is>
      </c>
      <c r="G370" s="40" t="n">
        <v>0</v>
      </c>
    </row>
    <row r="371" ht="12" customHeight="1">
      <c r="A371" s="30" t="inlineStr">
        <is>
          <t>ARE</t>
        </is>
      </c>
      <c r="B371" s="30" t="inlineStr">
        <is>
          <t>Areal</t>
        </is>
      </c>
      <c r="C371" s="30" t="n">
        <v>71703339</v>
      </c>
      <c r="D371" s="30">
        <f>"00800775791"</f>
        <v/>
      </c>
      <c r="E371" s="30" t="inlineStr">
        <is>
          <t>JOSE AUGUSTO VILLELA PEDRAS</t>
        </is>
      </c>
      <c r="F371" s="30" t="inlineStr">
        <is>
          <t>2021</t>
        </is>
      </c>
      <c r="G371" s="40" t="n">
        <v>0</v>
      </c>
    </row>
    <row r="372" ht="12" customHeight="1">
      <c r="A372" s="30" t="inlineStr">
        <is>
          <t>ARE</t>
        </is>
      </c>
      <c r="B372" s="30" t="inlineStr">
        <is>
          <t>Areal</t>
        </is>
      </c>
      <c r="C372" s="30" t="n">
        <v>71703339</v>
      </c>
      <c r="D372" s="30">
        <f>"00800775791"</f>
        <v/>
      </c>
      <c r="E372" s="30" t="inlineStr">
        <is>
          <t>JOSE AUGUSTO VILLELA PEDRAS</t>
        </is>
      </c>
      <c r="F372" s="30" t="inlineStr">
        <is>
          <t>2022</t>
        </is>
      </c>
      <c r="G372" s="40" t="n">
        <v>0</v>
      </c>
    </row>
    <row r="373" ht="12" customHeight="1">
      <c r="A373" s="30" t="inlineStr">
        <is>
          <t>ARE</t>
        </is>
      </c>
      <c r="B373" s="30" t="inlineStr">
        <is>
          <t>Areal</t>
        </is>
      </c>
      <c r="C373" s="30" t="n">
        <v>71703339</v>
      </c>
      <c r="D373" s="30">
        <f>"00800775791"</f>
        <v/>
      </c>
      <c r="E373" s="30" t="inlineStr">
        <is>
          <t>JOSE AUGUSTO VILLELA PEDRAS</t>
        </is>
      </c>
      <c r="F373" s="30" t="inlineStr">
        <is>
          <t>2023</t>
        </is>
      </c>
      <c r="G373" s="40" t="n">
        <v>0</v>
      </c>
    </row>
    <row r="374" ht="12" customHeight="1">
      <c r="A374" s="30" t="inlineStr">
        <is>
          <t>ARE</t>
        </is>
      </c>
      <c r="B374" s="30" t="inlineStr">
        <is>
          <t>Areal</t>
        </is>
      </c>
      <c r="C374" s="30" t="n">
        <v>71703355</v>
      </c>
      <c r="D374" s="30">
        <f>"00011687320772"</f>
        <v/>
      </c>
      <c r="E374" s="30" t="inlineStr">
        <is>
          <t>CARLOS EMILIO DE MOURA</t>
        </is>
      </c>
      <c r="F374" s="30" t="inlineStr">
        <is>
          <t>2017</t>
        </is>
      </c>
      <c r="G374" s="40" t="n">
        <v>0</v>
      </c>
    </row>
    <row r="375" ht="12" customHeight="1">
      <c r="A375" s="30" t="inlineStr">
        <is>
          <t>ARE</t>
        </is>
      </c>
      <c r="B375" s="30" t="inlineStr">
        <is>
          <t>Areal</t>
        </is>
      </c>
      <c r="C375" s="30" t="n">
        <v>71703355</v>
      </c>
      <c r="D375" s="30">
        <f>"00011687320772"</f>
        <v/>
      </c>
      <c r="E375" s="30" t="inlineStr">
        <is>
          <t>CARLOS EMILIO DE MOURA</t>
        </is>
      </c>
      <c r="F375" s="30" t="inlineStr">
        <is>
          <t>2018</t>
        </is>
      </c>
      <c r="G375" s="40" t="n">
        <v>0</v>
      </c>
    </row>
    <row r="376" ht="12" customHeight="1">
      <c r="A376" s="30" t="inlineStr">
        <is>
          <t>ARE</t>
        </is>
      </c>
      <c r="B376" s="30" t="inlineStr">
        <is>
          <t>Areal</t>
        </is>
      </c>
      <c r="C376" s="30" t="n">
        <v>71703355</v>
      </c>
      <c r="D376" s="30">
        <f>"00011687320772"</f>
        <v/>
      </c>
      <c r="E376" s="30" t="inlineStr">
        <is>
          <t>CARLOS EMILIO DE MOURA</t>
        </is>
      </c>
      <c r="F376" s="30" t="inlineStr">
        <is>
          <t>2019</t>
        </is>
      </c>
      <c r="G376" s="40" t="n">
        <v>0</v>
      </c>
    </row>
    <row r="377" ht="12" customHeight="1">
      <c r="A377" s="30" t="inlineStr">
        <is>
          <t>ARE</t>
        </is>
      </c>
      <c r="B377" s="30" t="inlineStr">
        <is>
          <t>Areal</t>
        </is>
      </c>
      <c r="C377" s="30" t="n">
        <v>71703355</v>
      </c>
      <c r="D377" s="30">
        <f>"00011687320772"</f>
        <v/>
      </c>
      <c r="E377" s="30" t="inlineStr">
        <is>
          <t>CARLOS EMILIO DE MOURA</t>
        </is>
      </c>
      <c r="F377" s="30" t="inlineStr">
        <is>
          <t>2020</t>
        </is>
      </c>
      <c r="G377" s="40" t="n">
        <v>0</v>
      </c>
    </row>
    <row r="378" ht="12" customHeight="1">
      <c r="A378" s="30" t="inlineStr">
        <is>
          <t>ARE</t>
        </is>
      </c>
      <c r="B378" s="30" t="inlineStr">
        <is>
          <t>Areal</t>
        </is>
      </c>
      <c r="C378" s="30" t="n">
        <v>71703355</v>
      </c>
      <c r="D378" s="30">
        <f>"00011687320772"</f>
        <v/>
      </c>
      <c r="E378" s="30" t="inlineStr">
        <is>
          <t>CARLOS EMILIO DE MOURA</t>
        </is>
      </c>
      <c r="F378" s="30" t="inlineStr">
        <is>
          <t>2021</t>
        </is>
      </c>
      <c r="G378" s="40" t="n">
        <v>0</v>
      </c>
    </row>
    <row r="379" ht="12" customHeight="1">
      <c r="A379" s="30" t="inlineStr">
        <is>
          <t>ARE</t>
        </is>
      </c>
      <c r="B379" s="30" t="inlineStr">
        <is>
          <t>Areal</t>
        </is>
      </c>
      <c r="C379" s="30" t="n">
        <v>71703444</v>
      </c>
      <c r="D379" s="30">
        <f>"08190216791"</f>
        <v/>
      </c>
      <c r="E379" s="30" t="inlineStr">
        <is>
          <t>JOSE MAURO PEREIRA</t>
        </is>
      </c>
      <c r="F379" s="30" t="inlineStr">
        <is>
          <t>2017</t>
        </is>
      </c>
      <c r="G379" s="40" t="n">
        <v>0</v>
      </c>
    </row>
    <row r="380" ht="12" customHeight="1">
      <c r="A380" s="30" t="inlineStr">
        <is>
          <t>ARE</t>
        </is>
      </c>
      <c r="B380" s="30" t="inlineStr">
        <is>
          <t>Areal</t>
        </is>
      </c>
      <c r="C380" s="30" t="n">
        <v>71703444</v>
      </c>
      <c r="D380" s="30">
        <f>"08190216791"</f>
        <v/>
      </c>
      <c r="E380" s="30" t="inlineStr">
        <is>
          <t>JOSE MAURO PEREIRA</t>
        </is>
      </c>
      <c r="F380" s="30" t="inlineStr">
        <is>
          <t>2018</t>
        </is>
      </c>
      <c r="G380" s="40" t="n">
        <v>0</v>
      </c>
    </row>
    <row r="381" ht="12" customHeight="1">
      <c r="A381" s="30" t="inlineStr">
        <is>
          <t>ARE</t>
        </is>
      </c>
      <c r="B381" s="30" t="inlineStr">
        <is>
          <t>Areal</t>
        </is>
      </c>
      <c r="C381" s="30" t="n">
        <v>71703444</v>
      </c>
      <c r="D381" s="30">
        <f>"08190216791"</f>
        <v/>
      </c>
      <c r="E381" s="30" t="inlineStr">
        <is>
          <t>JOSE MAURO PEREIRA</t>
        </is>
      </c>
      <c r="F381" s="30" t="inlineStr">
        <is>
          <t>2019</t>
        </is>
      </c>
      <c r="G381" s="40" t="n">
        <v>0</v>
      </c>
    </row>
    <row r="382" ht="12" customHeight="1">
      <c r="A382" s="30" t="inlineStr">
        <is>
          <t>ARE</t>
        </is>
      </c>
      <c r="B382" s="30" t="inlineStr">
        <is>
          <t>Areal</t>
        </is>
      </c>
      <c r="C382" s="30" t="n">
        <v>71703444</v>
      </c>
      <c r="D382" s="30">
        <f>"08190216791"</f>
        <v/>
      </c>
      <c r="E382" s="30" t="inlineStr">
        <is>
          <t>JOSE MAURO PEREIRA</t>
        </is>
      </c>
      <c r="F382" s="30" t="inlineStr">
        <is>
          <t>2020</t>
        </is>
      </c>
      <c r="G382" s="40" t="n">
        <v>0</v>
      </c>
    </row>
    <row r="383" ht="12" customHeight="1">
      <c r="A383" s="30" t="inlineStr">
        <is>
          <t>ARE</t>
        </is>
      </c>
      <c r="B383" s="30" t="inlineStr">
        <is>
          <t>Areal</t>
        </is>
      </c>
      <c r="C383" s="30" t="n">
        <v>71703444</v>
      </c>
      <c r="D383" s="30">
        <f>"08190216791"</f>
        <v/>
      </c>
      <c r="E383" s="30" t="inlineStr">
        <is>
          <t>JOSE MAURO PEREIRA</t>
        </is>
      </c>
      <c r="F383" s="30" t="inlineStr">
        <is>
          <t>2021</t>
        </is>
      </c>
      <c r="G383" s="40" t="n">
        <v>0</v>
      </c>
    </row>
    <row r="384" ht="12" customHeight="1">
      <c r="A384" s="30" t="inlineStr">
        <is>
          <t>ARE</t>
        </is>
      </c>
      <c r="B384" s="30" t="inlineStr">
        <is>
          <t>Areal</t>
        </is>
      </c>
      <c r="C384" s="30" t="n">
        <v>71703509</v>
      </c>
      <c r="D384" s="30">
        <f>"00726028720"</f>
        <v/>
      </c>
      <c r="E384" s="30" t="inlineStr">
        <is>
          <t>SERGIO ALBERTO MONTEIRO DE CARVALHO</t>
        </is>
      </c>
      <c r="F384" s="30" t="inlineStr">
        <is>
          <t>2017</t>
        </is>
      </c>
      <c r="G384" s="40" t="n">
        <v>16408.33</v>
      </c>
    </row>
    <row r="385" ht="12" customHeight="1">
      <c r="A385" s="30" t="inlineStr">
        <is>
          <t>ARE</t>
        </is>
      </c>
      <c r="B385" s="30" t="inlineStr">
        <is>
          <t>Areal</t>
        </is>
      </c>
      <c r="C385" s="30" t="n">
        <v>71703509</v>
      </c>
      <c r="D385" s="30">
        <f>"00726028720"</f>
        <v/>
      </c>
      <c r="E385" s="30" t="inlineStr">
        <is>
          <t>SERGIO ALBERTO MONTEIRO DE CARVALHO</t>
        </is>
      </c>
      <c r="F385" s="30" t="inlineStr">
        <is>
          <t>2018</t>
        </is>
      </c>
      <c r="G385" s="40" t="n">
        <v>48499.62</v>
      </c>
    </row>
    <row r="386" ht="12" customHeight="1">
      <c r="A386" s="30" t="inlineStr">
        <is>
          <t>ARE</t>
        </is>
      </c>
      <c r="B386" s="30" t="inlineStr">
        <is>
          <t>Areal</t>
        </is>
      </c>
      <c r="C386" s="30" t="n">
        <v>71703509</v>
      </c>
      <c r="D386" s="30">
        <f>"00726028720"</f>
        <v/>
      </c>
      <c r="E386" s="30" t="inlineStr">
        <is>
          <t>SERGIO ALBERTO MONTEIRO DE CARVALHO</t>
        </is>
      </c>
      <c r="F386" s="30" t="inlineStr">
        <is>
          <t>2019</t>
        </is>
      </c>
      <c r="G386" s="40" t="n">
        <v>0</v>
      </c>
    </row>
    <row r="387" ht="12" customHeight="1">
      <c r="A387" s="30" t="inlineStr">
        <is>
          <t>ARE</t>
        </is>
      </c>
      <c r="B387" s="30" t="inlineStr">
        <is>
          <t>Areal</t>
        </is>
      </c>
      <c r="C387" s="30" t="n">
        <v>71703509</v>
      </c>
      <c r="D387" s="30">
        <f>"00726028720"</f>
        <v/>
      </c>
      <c r="E387" s="30" t="inlineStr">
        <is>
          <t>SERGIO ALBERTO MONTEIRO DE CARVALHO</t>
        </is>
      </c>
      <c r="F387" s="30" t="inlineStr">
        <is>
          <t>2020</t>
        </is>
      </c>
      <c r="G387" s="40" t="n">
        <v>59990.01</v>
      </c>
    </row>
    <row r="388" ht="12" customHeight="1">
      <c r="A388" s="30" t="inlineStr">
        <is>
          <t>ARE</t>
        </is>
      </c>
      <c r="B388" s="30" t="inlineStr">
        <is>
          <t>Areal</t>
        </is>
      </c>
      <c r="C388" s="30" t="n">
        <v>71703509</v>
      </c>
      <c r="D388" s="30">
        <f>"00726028720"</f>
        <v/>
      </c>
      <c r="E388" s="30" t="inlineStr">
        <is>
          <t>SERGIO ALBERTO MONTEIRO DE CARVALHO</t>
        </is>
      </c>
      <c r="F388" s="30" t="inlineStr">
        <is>
          <t>2021</t>
        </is>
      </c>
      <c r="G388" s="40" t="n">
        <v>13527</v>
      </c>
    </row>
    <row r="389" ht="12" customHeight="1">
      <c r="A389" s="30" t="inlineStr">
        <is>
          <t>ARE</t>
        </is>
      </c>
      <c r="B389" s="30" t="inlineStr">
        <is>
          <t>Areal</t>
        </is>
      </c>
      <c r="C389" s="30" t="n">
        <v>71703509</v>
      </c>
      <c r="D389" s="30">
        <f>"00726028720"</f>
        <v/>
      </c>
      <c r="E389" s="30" t="inlineStr">
        <is>
          <t>SERGIO ALBERTO MONTEIRO DE CARVALHO</t>
        </is>
      </c>
      <c r="F389" s="30" t="inlineStr">
        <is>
          <t>2022</t>
        </is>
      </c>
      <c r="G389" s="40" t="n">
        <v>36000</v>
      </c>
    </row>
    <row r="390" ht="12" customHeight="1">
      <c r="A390" s="30" t="inlineStr">
        <is>
          <t>ARE</t>
        </is>
      </c>
      <c r="B390" s="30" t="inlineStr">
        <is>
          <t>Areal</t>
        </is>
      </c>
      <c r="C390" s="30" t="n">
        <v>71703509</v>
      </c>
      <c r="D390" s="30">
        <f>"00726028720"</f>
        <v/>
      </c>
      <c r="E390" s="30" t="inlineStr">
        <is>
          <t>SERGIO ALBERTO MONTEIRO DE CARVALHO</t>
        </is>
      </c>
      <c r="F390" s="30" t="inlineStr">
        <is>
          <t>2023</t>
        </is>
      </c>
      <c r="G390" s="40" t="n">
        <v>0</v>
      </c>
    </row>
    <row r="391" ht="12" customHeight="1">
      <c r="A391" s="30" t="inlineStr">
        <is>
          <t>ARE</t>
        </is>
      </c>
      <c r="B391" s="30" t="inlineStr">
        <is>
          <t>Areal</t>
        </is>
      </c>
      <c r="C391" s="30" t="n">
        <v>71703541</v>
      </c>
      <c r="D391" s="30">
        <f>"01419811720"</f>
        <v/>
      </c>
      <c r="E391" s="30" t="inlineStr">
        <is>
          <t>JOSE AUGUSTO DE ARAUJO MARTINS</t>
        </is>
      </c>
      <c r="F391" s="30" t="inlineStr">
        <is>
          <t>2017</t>
        </is>
      </c>
      <c r="G391" s="40" t="n">
        <v>0</v>
      </c>
    </row>
    <row r="392" ht="12" customHeight="1">
      <c r="A392" s="30" t="inlineStr">
        <is>
          <t>ARE</t>
        </is>
      </c>
      <c r="B392" s="30" t="inlineStr">
        <is>
          <t>Areal</t>
        </is>
      </c>
      <c r="C392" s="30" t="n">
        <v>71703541</v>
      </c>
      <c r="D392" s="30">
        <f>"01419811720"</f>
        <v/>
      </c>
      <c r="E392" s="30" t="inlineStr">
        <is>
          <t>JOSE AUGUSTO DE ARAUJO MARTINS</t>
        </is>
      </c>
      <c r="F392" s="30" t="inlineStr">
        <is>
          <t>2018</t>
        </is>
      </c>
      <c r="G392" s="40" t="n">
        <v>0</v>
      </c>
    </row>
    <row r="393" ht="12" customHeight="1">
      <c r="A393" s="30" t="inlineStr">
        <is>
          <t>ARE</t>
        </is>
      </c>
      <c r="B393" s="30" t="inlineStr">
        <is>
          <t>Areal</t>
        </is>
      </c>
      <c r="C393" s="30" t="n">
        <v>71703541</v>
      </c>
      <c r="D393" s="30">
        <f>"01419811720"</f>
        <v/>
      </c>
      <c r="E393" s="30" t="inlineStr">
        <is>
          <t>JOSE AUGUSTO DE ARAUJO MARTINS</t>
        </is>
      </c>
      <c r="F393" s="30" t="inlineStr">
        <is>
          <t>2019</t>
        </is>
      </c>
      <c r="G393" s="40" t="n">
        <v>0</v>
      </c>
    </row>
    <row r="394" ht="12" customHeight="1">
      <c r="A394" s="30" t="inlineStr">
        <is>
          <t>ARE</t>
        </is>
      </c>
      <c r="B394" s="30" t="inlineStr">
        <is>
          <t>Areal</t>
        </is>
      </c>
      <c r="C394" s="30" t="n">
        <v>71703541</v>
      </c>
      <c r="D394" s="30">
        <f>"01419811720"</f>
        <v/>
      </c>
      <c r="E394" s="30" t="inlineStr">
        <is>
          <t>JOSE AUGUSTO DE ARAUJO MARTINS</t>
        </is>
      </c>
      <c r="F394" s="30" t="inlineStr">
        <is>
          <t>2020</t>
        </is>
      </c>
      <c r="G394" s="40" t="n">
        <v>0</v>
      </c>
    </row>
    <row r="395" ht="12" customHeight="1">
      <c r="A395" s="30" t="inlineStr">
        <is>
          <t>ARE</t>
        </is>
      </c>
      <c r="B395" s="30" t="inlineStr">
        <is>
          <t>Areal</t>
        </is>
      </c>
      <c r="C395" s="30" t="n">
        <v>71703541</v>
      </c>
      <c r="D395" s="30">
        <f>"01419811720"</f>
        <v/>
      </c>
      <c r="E395" s="30" t="inlineStr">
        <is>
          <t>JOSE AUGUSTO DE ARAUJO MARTINS</t>
        </is>
      </c>
      <c r="F395" s="30" t="inlineStr">
        <is>
          <t>2021</t>
        </is>
      </c>
      <c r="G395" s="40" t="n">
        <v>0</v>
      </c>
    </row>
    <row r="396" ht="12" customHeight="1">
      <c r="A396" s="30" t="inlineStr">
        <is>
          <t>ARE</t>
        </is>
      </c>
      <c r="B396" s="30" t="inlineStr">
        <is>
          <t>Areal</t>
        </is>
      </c>
      <c r="C396" s="30" t="n">
        <v>71703630</v>
      </c>
      <c r="D396" s="30">
        <f>"02602156787"</f>
        <v/>
      </c>
      <c r="E396" s="30" t="inlineStr">
        <is>
          <t>MANOEL FIALHO LONDRES</t>
        </is>
      </c>
      <c r="F396" s="30" t="inlineStr">
        <is>
          <t>2017</t>
        </is>
      </c>
      <c r="G396" s="40" t="n">
        <v>0</v>
      </c>
    </row>
    <row r="397" ht="12" customHeight="1">
      <c r="A397" s="30" t="inlineStr">
        <is>
          <t>ARE</t>
        </is>
      </c>
      <c r="B397" s="30" t="inlineStr">
        <is>
          <t>Areal</t>
        </is>
      </c>
      <c r="C397" s="30" t="n">
        <v>71703630</v>
      </c>
      <c r="D397" s="30">
        <f>"02602156787"</f>
        <v/>
      </c>
      <c r="E397" s="30" t="inlineStr">
        <is>
          <t>MANOEL FIALHO LONDRES</t>
        </is>
      </c>
      <c r="F397" s="30" t="inlineStr">
        <is>
          <t>2018</t>
        </is>
      </c>
      <c r="G397" s="40" t="n">
        <v>0</v>
      </c>
    </row>
    <row r="398" ht="12" customHeight="1">
      <c r="A398" s="30" t="inlineStr">
        <is>
          <t>ARE</t>
        </is>
      </c>
      <c r="B398" s="30" t="inlineStr">
        <is>
          <t>Areal</t>
        </is>
      </c>
      <c r="C398" s="30" t="n">
        <v>71703630</v>
      </c>
      <c r="D398" s="30">
        <f>"02602156787"</f>
        <v/>
      </c>
      <c r="E398" s="30" t="inlineStr">
        <is>
          <t>MANOEL FIALHO LONDRES</t>
        </is>
      </c>
      <c r="F398" s="30" t="inlineStr">
        <is>
          <t>2019</t>
        </is>
      </c>
      <c r="G398" s="40" t="n">
        <v>0</v>
      </c>
    </row>
    <row r="399" ht="12" customHeight="1">
      <c r="A399" s="30" t="inlineStr">
        <is>
          <t>ARE</t>
        </is>
      </c>
      <c r="B399" s="30" t="inlineStr">
        <is>
          <t>Areal</t>
        </is>
      </c>
      <c r="C399" s="30" t="n">
        <v>71703630</v>
      </c>
      <c r="D399" s="30">
        <f>"02602156787"</f>
        <v/>
      </c>
      <c r="E399" s="30" t="inlineStr">
        <is>
          <t>MANOEL FIALHO LONDRES</t>
        </is>
      </c>
      <c r="F399" s="30" t="inlineStr">
        <is>
          <t>2020</t>
        </is>
      </c>
      <c r="G399" s="40" t="n">
        <v>0</v>
      </c>
    </row>
    <row r="400" ht="12" customHeight="1">
      <c r="A400" s="30" t="inlineStr">
        <is>
          <t>ARE</t>
        </is>
      </c>
      <c r="B400" s="30" t="inlineStr">
        <is>
          <t>Areal</t>
        </is>
      </c>
      <c r="C400" s="30" t="n">
        <v>71703630</v>
      </c>
      <c r="D400" s="30">
        <f>"02602156787"</f>
        <v/>
      </c>
      <c r="E400" s="30" t="inlineStr">
        <is>
          <t>MANOEL FIALHO LONDRES</t>
        </is>
      </c>
      <c r="F400" s="30" t="inlineStr">
        <is>
          <t>2021</t>
        </is>
      </c>
      <c r="G400" s="40" t="n">
        <v>0</v>
      </c>
    </row>
    <row r="401" ht="12" customHeight="1">
      <c r="A401" s="30" t="inlineStr">
        <is>
          <t>ARE</t>
        </is>
      </c>
      <c r="B401" s="30" t="inlineStr">
        <is>
          <t>Areal</t>
        </is>
      </c>
      <c r="C401" s="30" t="n">
        <v>71703630</v>
      </c>
      <c r="D401" s="30">
        <f>"02602156787"</f>
        <v/>
      </c>
      <c r="E401" s="30" t="inlineStr">
        <is>
          <t>MANOEL FIALHO LONDRES</t>
        </is>
      </c>
      <c r="F401" s="30" t="inlineStr">
        <is>
          <t>2022</t>
        </is>
      </c>
      <c r="G401" s="40" t="n">
        <v>0</v>
      </c>
    </row>
    <row r="402" ht="12" customHeight="1">
      <c r="A402" s="30" t="inlineStr">
        <is>
          <t>ARE</t>
        </is>
      </c>
      <c r="B402" s="30" t="inlineStr">
        <is>
          <t>Areal</t>
        </is>
      </c>
      <c r="C402" s="30" t="n">
        <v>71703630</v>
      </c>
      <c r="D402" s="30">
        <f>"02602156787"</f>
        <v/>
      </c>
      <c r="E402" s="30" t="inlineStr">
        <is>
          <t>MANOEL FIALHO LONDRES</t>
        </is>
      </c>
      <c r="F402" s="30" t="inlineStr">
        <is>
          <t>2023</t>
        </is>
      </c>
      <c r="G402" s="40" t="n">
        <v>0</v>
      </c>
    </row>
    <row r="403" ht="12" customHeight="1">
      <c r="A403" s="30" t="inlineStr">
        <is>
          <t>ARE</t>
        </is>
      </c>
      <c r="B403" s="30" t="inlineStr">
        <is>
          <t>Areal</t>
        </is>
      </c>
      <c r="C403" s="30" t="n">
        <v>71703835</v>
      </c>
      <c r="D403" s="30">
        <f>"19262604734"</f>
        <v/>
      </c>
      <c r="E403" s="30" t="inlineStr">
        <is>
          <t>HELENA FIALHO LONDRES</t>
        </is>
      </c>
      <c r="F403" s="30" t="inlineStr">
        <is>
          <t>2017</t>
        </is>
      </c>
      <c r="G403" s="40" t="n">
        <v>0</v>
      </c>
    </row>
    <row r="404" ht="12" customHeight="1">
      <c r="A404" s="30" t="inlineStr">
        <is>
          <t>ARE</t>
        </is>
      </c>
      <c r="B404" s="30" t="inlineStr">
        <is>
          <t>Areal</t>
        </is>
      </c>
      <c r="C404" s="30" t="n">
        <v>71703835</v>
      </c>
      <c r="D404" s="30">
        <f>"19262604734"</f>
        <v/>
      </c>
      <c r="E404" s="30" t="inlineStr">
        <is>
          <t>HELENA FIALHO LONDRES</t>
        </is>
      </c>
      <c r="F404" s="30" t="inlineStr">
        <is>
          <t>2018</t>
        </is>
      </c>
      <c r="G404" s="40" t="n">
        <v>0</v>
      </c>
    </row>
    <row r="405" ht="12" customHeight="1">
      <c r="A405" s="30" t="inlineStr">
        <is>
          <t>ARE</t>
        </is>
      </c>
      <c r="B405" s="30" t="inlineStr">
        <is>
          <t>Areal</t>
        </is>
      </c>
      <c r="C405" s="30" t="n">
        <v>71703835</v>
      </c>
      <c r="D405" s="30">
        <f>"19262604734"</f>
        <v/>
      </c>
      <c r="E405" s="30" t="inlineStr">
        <is>
          <t>HELENA FIALHO LONDRES</t>
        </is>
      </c>
      <c r="F405" s="30" t="inlineStr">
        <is>
          <t>2019</t>
        </is>
      </c>
      <c r="G405" s="40" t="n">
        <v>0</v>
      </c>
    </row>
    <row r="406" ht="12" customHeight="1">
      <c r="A406" s="30" t="inlineStr">
        <is>
          <t>ARE</t>
        </is>
      </c>
      <c r="B406" s="30" t="inlineStr">
        <is>
          <t>Areal</t>
        </is>
      </c>
      <c r="C406" s="30" t="n">
        <v>71703835</v>
      </c>
      <c r="D406" s="30">
        <f>"19262604734"</f>
        <v/>
      </c>
      <c r="E406" s="30" t="inlineStr">
        <is>
          <t>HELENA FIALHO LONDRES</t>
        </is>
      </c>
      <c r="F406" s="30" t="inlineStr">
        <is>
          <t>2020</t>
        </is>
      </c>
      <c r="G406" s="40" t="n">
        <v>0</v>
      </c>
    </row>
    <row r="407" ht="12" customHeight="1">
      <c r="A407" s="30" t="inlineStr">
        <is>
          <t>ARE</t>
        </is>
      </c>
      <c r="B407" s="30" t="inlineStr">
        <is>
          <t>Areal</t>
        </is>
      </c>
      <c r="C407" s="30" t="n">
        <v>71703835</v>
      </c>
      <c r="D407" s="30">
        <f>"19262604734"</f>
        <v/>
      </c>
      <c r="E407" s="30" t="inlineStr">
        <is>
          <t>HELENA FIALHO LONDRES</t>
        </is>
      </c>
      <c r="F407" s="30" t="inlineStr">
        <is>
          <t>2021</t>
        </is>
      </c>
      <c r="G407" s="40" t="n">
        <v>0</v>
      </c>
    </row>
    <row r="408" ht="12" customHeight="1">
      <c r="A408" s="30" t="inlineStr">
        <is>
          <t>ARE</t>
        </is>
      </c>
      <c r="B408" s="30" t="inlineStr">
        <is>
          <t>Areal</t>
        </is>
      </c>
      <c r="C408" s="30" t="n">
        <v>71704270</v>
      </c>
      <c r="D408" s="30">
        <f>"47674202704"</f>
        <v/>
      </c>
      <c r="E408" s="30" t="inlineStr">
        <is>
          <t>EMILSON RAIMUNDO DE SOUZA</t>
        </is>
      </c>
      <c r="F408" s="30" t="inlineStr">
        <is>
          <t>2017</t>
        </is>
      </c>
      <c r="G408" s="40" t="n">
        <v>0</v>
      </c>
    </row>
    <row r="409" ht="12" customHeight="1">
      <c r="A409" s="30" t="inlineStr">
        <is>
          <t>ARE</t>
        </is>
      </c>
      <c r="B409" s="30" t="inlineStr">
        <is>
          <t>Areal</t>
        </is>
      </c>
      <c r="C409" s="30" t="n">
        <v>71704270</v>
      </c>
      <c r="D409" s="30">
        <f>"47674202704"</f>
        <v/>
      </c>
      <c r="E409" s="30" t="inlineStr">
        <is>
          <t>EMILSON RAIMUNDO DE SOUZA</t>
        </is>
      </c>
      <c r="F409" s="30" t="inlineStr">
        <is>
          <t>2018</t>
        </is>
      </c>
      <c r="G409" s="40" t="n">
        <v>111759</v>
      </c>
    </row>
    <row r="410" ht="12" customHeight="1">
      <c r="A410" s="30" t="inlineStr">
        <is>
          <t>ARE</t>
        </is>
      </c>
      <c r="B410" s="30" t="inlineStr">
        <is>
          <t>Areal</t>
        </is>
      </c>
      <c r="C410" s="30" t="n">
        <v>71704270</v>
      </c>
      <c r="D410" s="30">
        <f>"47674202704"</f>
        <v/>
      </c>
      <c r="E410" s="30" t="inlineStr">
        <is>
          <t>EMILSON RAIMUNDO DE SOUZA</t>
        </is>
      </c>
      <c r="F410" s="30" t="inlineStr">
        <is>
          <t>2019</t>
        </is>
      </c>
      <c r="G410" s="40" t="n">
        <v>147800</v>
      </c>
    </row>
    <row r="411" ht="12" customHeight="1">
      <c r="A411" s="30" t="inlineStr">
        <is>
          <t>ARE</t>
        </is>
      </c>
      <c r="B411" s="30" t="inlineStr">
        <is>
          <t>Areal</t>
        </is>
      </c>
      <c r="C411" s="30" t="n">
        <v>71704270</v>
      </c>
      <c r="D411" s="30">
        <f>"47674202704"</f>
        <v/>
      </c>
      <c r="E411" s="30" t="inlineStr">
        <is>
          <t>EMILSON RAIMUNDO DE SOUZA</t>
        </is>
      </c>
      <c r="F411" s="30" t="inlineStr">
        <is>
          <t>2020</t>
        </is>
      </c>
      <c r="G411" s="40" t="n">
        <v>94000</v>
      </c>
    </row>
    <row r="412" ht="12" customHeight="1">
      <c r="A412" s="30" t="inlineStr">
        <is>
          <t>ARE</t>
        </is>
      </c>
      <c r="B412" s="30" t="inlineStr">
        <is>
          <t>Areal</t>
        </is>
      </c>
      <c r="C412" s="30" t="n">
        <v>71704270</v>
      </c>
      <c r="D412" s="30">
        <f>"47674202704"</f>
        <v/>
      </c>
      <c r="E412" s="30" t="inlineStr">
        <is>
          <t>EMILSON RAIMUNDO DE SOUZA</t>
        </is>
      </c>
      <c r="F412" s="30" t="inlineStr">
        <is>
          <t>2021</t>
        </is>
      </c>
      <c r="G412" s="40" t="n">
        <v>180000</v>
      </c>
    </row>
    <row r="413" ht="12" customHeight="1">
      <c r="A413" s="30" t="inlineStr">
        <is>
          <t>ARE</t>
        </is>
      </c>
      <c r="B413" s="30" t="inlineStr">
        <is>
          <t>Areal</t>
        </is>
      </c>
      <c r="C413" s="30" t="n">
        <v>71704270</v>
      </c>
      <c r="D413" s="30">
        <f>"47674202704"</f>
        <v/>
      </c>
      <c r="E413" s="30" t="inlineStr">
        <is>
          <t>EMILSON RAIMUNDO DE SOUZA</t>
        </is>
      </c>
      <c r="F413" s="30" t="inlineStr">
        <is>
          <t>2022</t>
        </is>
      </c>
      <c r="G413" s="40" t="n">
        <v>67572.28999999999</v>
      </c>
    </row>
    <row r="414" ht="12" customHeight="1">
      <c r="A414" s="30" t="inlineStr">
        <is>
          <t>ARE</t>
        </is>
      </c>
      <c r="B414" s="30" t="inlineStr">
        <is>
          <t>Areal</t>
        </is>
      </c>
      <c r="C414" s="30" t="n">
        <v>71704270</v>
      </c>
      <c r="D414" s="30">
        <f>"47674202704"</f>
        <v/>
      </c>
      <c r="E414" s="30" t="inlineStr">
        <is>
          <t>EMILSON RAIMUNDO DE SOUZA</t>
        </is>
      </c>
      <c r="F414" s="30" t="inlineStr">
        <is>
          <t>2023</t>
        </is>
      </c>
      <c r="G414" s="40" t="n">
        <v>136000</v>
      </c>
    </row>
    <row r="415" ht="12" customHeight="1">
      <c r="A415" s="30" t="inlineStr">
        <is>
          <t>ARE</t>
        </is>
      </c>
      <c r="B415" s="30" t="inlineStr">
        <is>
          <t>Areal</t>
        </is>
      </c>
      <c r="C415" s="30" t="n">
        <v>71704289</v>
      </c>
      <c r="D415" s="30">
        <f>"01680268724"</f>
        <v/>
      </c>
      <c r="E415" s="30" t="inlineStr">
        <is>
          <t>HELOISA MARIA V SOARES ALHADEFF</t>
        </is>
      </c>
      <c r="F415" s="30" t="inlineStr">
        <is>
          <t>2017</t>
        </is>
      </c>
      <c r="G415" s="40" t="n">
        <v>74299.61</v>
      </c>
    </row>
    <row r="416" ht="12" customHeight="1">
      <c r="A416" s="30" t="inlineStr">
        <is>
          <t>ARE</t>
        </is>
      </c>
      <c r="B416" s="30" t="inlineStr">
        <is>
          <t>Areal</t>
        </is>
      </c>
      <c r="C416" s="30" t="n">
        <v>71704289</v>
      </c>
      <c r="D416" s="30">
        <f>"01680268724"</f>
        <v/>
      </c>
      <c r="E416" s="30" t="inlineStr">
        <is>
          <t>HELOISA MARIA V SOARES ALHADEFF</t>
        </is>
      </c>
      <c r="F416" s="30" t="inlineStr">
        <is>
          <t>2018</t>
        </is>
      </c>
      <c r="G416" s="40" t="n">
        <v>44805</v>
      </c>
    </row>
    <row r="417" ht="12" customHeight="1">
      <c r="A417" s="30" t="inlineStr">
        <is>
          <t>ARE</t>
        </is>
      </c>
      <c r="B417" s="30" t="inlineStr">
        <is>
          <t>Areal</t>
        </is>
      </c>
      <c r="C417" s="30" t="n">
        <v>71704289</v>
      </c>
      <c r="D417" s="30">
        <f>"01680268724"</f>
        <v/>
      </c>
      <c r="E417" s="30" t="inlineStr">
        <is>
          <t>HELOISA MARIA V SOARES ALHADEFF</t>
        </is>
      </c>
      <c r="F417" s="30" t="inlineStr">
        <is>
          <t>2019</t>
        </is>
      </c>
      <c r="G417" s="40" t="n">
        <v>66215</v>
      </c>
    </row>
    <row r="418" ht="12" customHeight="1">
      <c r="A418" s="30" t="inlineStr">
        <is>
          <t>ARE</t>
        </is>
      </c>
      <c r="B418" s="30" t="inlineStr">
        <is>
          <t>Areal</t>
        </is>
      </c>
      <c r="C418" s="30" t="n">
        <v>71704289</v>
      </c>
      <c r="D418" s="30">
        <f>"01680268724"</f>
        <v/>
      </c>
      <c r="E418" s="30" t="inlineStr">
        <is>
          <t>HELOISA MARIA V SOARES ALHADEFF</t>
        </is>
      </c>
      <c r="F418" s="30" t="inlineStr">
        <is>
          <t>2020</t>
        </is>
      </c>
      <c r="G418" s="40" t="n">
        <v>53240</v>
      </c>
    </row>
    <row r="419" ht="12" customHeight="1">
      <c r="A419" s="30" t="inlineStr">
        <is>
          <t>ARE</t>
        </is>
      </c>
      <c r="B419" s="30" t="inlineStr">
        <is>
          <t>Areal</t>
        </is>
      </c>
      <c r="C419" s="30" t="n">
        <v>71704289</v>
      </c>
      <c r="D419" s="30">
        <f>"01680268724"</f>
        <v/>
      </c>
      <c r="E419" s="30" t="inlineStr">
        <is>
          <t>HELOISA MARIA V SOARES ALHADEFF</t>
        </is>
      </c>
      <c r="F419" s="30" t="inlineStr">
        <is>
          <t>2021</t>
        </is>
      </c>
      <c r="G419" s="40" t="n">
        <v>88409</v>
      </c>
    </row>
    <row r="420" ht="12" customHeight="1">
      <c r="A420" s="30" t="inlineStr">
        <is>
          <t>ARE</t>
        </is>
      </c>
      <c r="B420" s="30" t="inlineStr">
        <is>
          <t>Areal</t>
        </is>
      </c>
      <c r="C420" s="30" t="n">
        <v>71704289</v>
      </c>
      <c r="D420" s="30">
        <f>"01680268724"</f>
        <v/>
      </c>
      <c r="E420" s="30" t="inlineStr">
        <is>
          <t>HELOISA MARIA V SOARES ALHADEFF</t>
        </is>
      </c>
      <c r="F420" s="30" t="inlineStr">
        <is>
          <t>2022</t>
        </is>
      </c>
      <c r="G420" s="40" t="n">
        <v>60020</v>
      </c>
    </row>
    <row r="421" ht="12" customHeight="1">
      <c r="A421" s="30" t="inlineStr">
        <is>
          <t>ARE</t>
        </is>
      </c>
      <c r="B421" s="30" t="inlineStr">
        <is>
          <t>Areal</t>
        </is>
      </c>
      <c r="C421" s="30" t="n">
        <v>71704289</v>
      </c>
      <c r="D421" s="30">
        <f>"01680268724"</f>
        <v/>
      </c>
      <c r="E421" s="30" t="inlineStr">
        <is>
          <t>HELOISA MARIA V SOARES ALHADEFF</t>
        </is>
      </c>
      <c r="F421" s="30" t="inlineStr">
        <is>
          <t>2023</t>
        </is>
      </c>
      <c r="G421" s="40" t="n">
        <v>52714</v>
      </c>
    </row>
    <row r="422" ht="12" customHeight="1">
      <c r="A422" s="30" t="inlineStr">
        <is>
          <t>ARE</t>
        </is>
      </c>
      <c r="B422" s="30" t="inlineStr">
        <is>
          <t>Areal</t>
        </is>
      </c>
      <c r="C422" s="30" t="n">
        <v>71802574</v>
      </c>
      <c r="D422" s="30">
        <f>"71317805704"</f>
        <v/>
      </c>
      <c r="E422" s="30" t="inlineStr">
        <is>
          <t>ODETTE DE LIMA SOARES</t>
        </is>
      </c>
      <c r="F422" s="30" t="inlineStr">
        <is>
          <t>2017</t>
        </is>
      </c>
      <c r="G422" s="40" t="n">
        <v>0</v>
      </c>
    </row>
    <row r="423" ht="12" customHeight="1">
      <c r="A423" s="30" t="inlineStr">
        <is>
          <t>ARE</t>
        </is>
      </c>
      <c r="B423" s="30" t="inlineStr">
        <is>
          <t>Areal</t>
        </is>
      </c>
      <c r="C423" s="30" t="n">
        <v>71802574</v>
      </c>
      <c r="D423" s="30">
        <f>"71317805704"</f>
        <v/>
      </c>
      <c r="E423" s="30" t="inlineStr">
        <is>
          <t>ODETTE DE LIMA SOARES</t>
        </is>
      </c>
      <c r="F423" s="30" t="inlineStr">
        <is>
          <t>2018</t>
        </is>
      </c>
      <c r="G423" s="40" t="n">
        <v>0</v>
      </c>
    </row>
    <row r="424" ht="12" customHeight="1">
      <c r="A424" s="30" t="inlineStr">
        <is>
          <t>ARE</t>
        </is>
      </c>
      <c r="B424" s="30" t="inlineStr">
        <is>
          <t>Areal</t>
        </is>
      </c>
      <c r="C424" s="30" t="n">
        <v>71802574</v>
      </c>
      <c r="D424" s="30">
        <f>"71317805704"</f>
        <v/>
      </c>
      <c r="E424" s="30" t="inlineStr">
        <is>
          <t>ODETTE DE LIMA SOARES</t>
        </is>
      </c>
      <c r="F424" s="30" t="inlineStr">
        <is>
          <t>2019</t>
        </is>
      </c>
      <c r="G424" s="40" t="n">
        <v>0</v>
      </c>
    </row>
    <row r="425" ht="12" customHeight="1">
      <c r="A425" s="30" t="inlineStr">
        <is>
          <t>ARE</t>
        </is>
      </c>
      <c r="B425" s="30" t="inlineStr">
        <is>
          <t>Areal</t>
        </is>
      </c>
      <c r="C425" s="30" t="n">
        <v>71802574</v>
      </c>
      <c r="D425" s="30">
        <f>"71317805704"</f>
        <v/>
      </c>
      <c r="E425" s="30" t="inlineStr">
        <is>
          <t>ODETTE DE LIMA SOARES</t>
        </is>
      </c>
      <c r="F425" s="30" t="inlineStr">
        <is>
          <t>2020</t>
        </is>
      </c>
      <c r="G425" s="40" t="n">
        <v>0</v>
      </c>
    </row>
    <row r="426" ht="12" customHeight="1">
      <c r="A426" s="30" t="inlineStr">
        <is>
          <t>ARE</t>
        </is>
      </c>
      <c r="B426" s="30" t="inlineStr">
        <is>
          <t>Areal</t>
        </is>
      </c>
      <c r="C426" s="30" t="n">
        <v>71802574</v>
      </c>
      <c r="D426" s="30">
        <f>"71317805704"</f>
        <v/>
      </c>
      <c r="E426" s="30" t="inlineStr">
        <is>
          <t>ODETTE DE LIMA SOARES</t>
        </is>
      </c>
      <c r="F426" s="30" t="inlineStr">
        <is>
          <t>2021</t>
        </is>
      </c>
      <c r="G426" s="40" t="n">
        <v>0</v>
      </c>
    </row>
    <row r="427" ht="12" customHeight="1">
      <c r="A427" s="30" t="inlineStr">
        <is>
          <t>ARE</t>
        </is>
      </c>
      <c r="B427" s="30" t="inlineStr">
        <is>
          <t>Areal</t>
        </is>
      </c>
      <c r="C427" s="30" t="n">
        <v>71802574</v>
      </c>
      <c r="D427" s="30">
        <f>"71317805704"</f>
        <v/>
      </c>
      <c r="E427" s="30" t="inlineStr">
        <is>
          <t>ODETTE DE LIMA SOARES</t>
        </is>
      </c>
      <c r="F427" s="30" t="inlineStr">
        <is>
          <t>2022</t>
        </is>
      </c>
      <c r="G427" s="40" t="n">
        <v>0</v>
      </c>
    </row>
    <row r="428" ht="12" customHeight="1">
      <c r="A428" s="30" t="inlineStr">
        <is>
          <t>ARE</t>
        </is>
      </c>
      <c r="B428" s="30" t="inlineStr">
        <is>
          <t>Areal</t>
        </is>
      </c>
      <c r="C428" s="30" t="n">
        <v>71802574</v>
      </c>
      <c r="D428" s="30">
        <f>"71317805704"</f>
        <v/>
      </c>
      <c r="E428" s="30" t="inlineStr">
        <is>
          <t>ODETTE DE LIMA SOARES</t>
        </is>
      </c>
      <c r="F428" s="30" t="inlineStr">
        <is>
          <t>2023</t>
        </is>
      </c>
      <c r="G428" s="40" t="n">
        <v>0</v>
      </c>
    </row>
    <row r="429" ht="12" customHeight="1">
      <c r="A429" s="30" t="inlineStr">
        <is>
          <t>ARE</t>
        </is>
      </c>
      <c r="B429" s="30" t="inlineStr">
        <is>
          <t>Areal</t>
        </is>
      </c>
      <c r="C429" s="30" t="n">
        <v>71802604</v>
      </c>
      <c r="D429" s="30">
        <f>"06966439797"</f>
        <v/>
      </c>
      <c r="E429" s="30" t="inlineStr">
        <is>
          <t>LUCIANA CARDIM DE CARVALHO</t>
        </is>
      </c>
      <c r="F429" s="30" t="inlineStr">
        <is>
          <t>2017</t>
        </is>
      </c>
      <c r="G429" s="40" t="n">
        <v>34855</v>
      </c>
    </row>
    <row r="430" ht="12" customHeight="1">
      <c r="A430" s="30" t="inlineStr">
        <is>
          <t>ARE</t>
        </is>
      </c>
      <c r="B430" s="30" t="inlineStr">
        <is>
          <t>Areal</t>
        </is>
      </c>
      <c r="C430" s="30" t="n">
        <v>71802604</v>
      </c>
      <c r="D430" s="30">
        <f>"06966439797"</f>
        <v/>
      </c>
      <c r="E430" s="30" t="inlineStr">
        <is>
          <t>LUCIANA CARDIM DE CARVALHO</t>
        </is>
      </c>
      <c r="F430" s="30" t="inlineStr">
        <is>
          <t>2018</t>
        </is>
      </c>
      <c r="G430" s="40" t="n">
        <v>32390</v>
      </c>
    </row>
    <row r="431" ht="12" customHeight="1">
      <c r="A431" s="30" t="inlineStr">
        <is>
          <t>ARE</t>
        </is>
      </c>
      <c r="B431" s="30" t="inlineStr">
        <is>
          <t>Areal</t>
        </is>
      </c>
      <c r="C431" s="30" t="n">
        <v>71802604</v>
      </c>
      <c r="D431" s="30">
        <f>"06966439797"</f>
        <v/>
      </c>
      <c r="E431" s="30" t="inlineStr">
        <is>
          <t>LUCIANA CARDIM DE CARVALHO</t>
        </is>
      </c>
      <c r="F431" s="30" t="inlineStr">
        <is>
          <t>2019</t>
        </is>
      </c>
      <c r="G431" s="40" t="n">
        <v>29610</v>
      </c>
    </row>
    <row r="432" ht="12" customHeight="1">
      <c r="A432" s="30" t="inlineStr">
        <is>
          <t>ARE</t>
        </is>
      </c>
      <c r="B432" s="30" t="inlineStr">
        <is>
          <t>Areal</t>
        </is>
      </c>
      <c r="C432" s="30" t="n">
        <v>71802604</v>
      </c>
      <c r="D432" s="30">
        <f>"06966439797"</f>
        <v/>
      </c>
      <c r="E432" s="30" t="inlineStr">
        <is>
          <t>LUCIANA CARDIM DE CARVALHO</t>
        </is>
      </c>
      <c r="F432" s="30" t="inlineStr">
        <is>
          <t>2020</t>
        </is>
      </c>
      <c r="G432" s="40" t="n">
        <v>27538</v>
      </c>
    </row>
    <row r="433" ht="12" customHeight="1">
      <c r="A433" s="30" t="inlineStr">
        <is>
          <t>ARE</t>
        </is>
      </c>
      <c r="B433" s="30" t="inlineStr">
        <is>
          <t>Areal</t>
        </is>
      </c>
      <c r="C433" s="30" t="n">
        <v>71802604</v>
      </c>
      <c r="D433" s="30">
        <f>"06966439797"</f>
        <v/>
      </c>
      <c r="E433" s="30" t="inlineStr">
        <is>
          <t>LUCIANA CARDIM DE CARVALHO</t>
        </is>
      </c>
      <c r="F433" s="30" t="inlineStr">
        <is>
          <t>2021</t>
        </is>
      </c>
      <c r="G433" s="40" t="n">
        <v>27405</v>
      </c>
    </row>
    <row r="434" ht="12" customHeight="1">
      <c r="A434" s="30" t="inlineStr">
        <is>
          <t>ARE</t>
        </is>
      </c>
      <c r="B434" s="30" t="inlineStr">
        <is>
          <t>Areal</t>
        </is>
      </c>
      <c r="C434" s="30" t="n">
        <v>71802604</v>
      </c>
      <c r="D434" s="30">
        <f>"06966439797"</f>
        <v/>
      </c>
      <c r="E434" s="30" t="inlineStr">
        <is>
          <t>LUCIANA CARDIM DE CARVALHO</t>
        </is>
      </c>
      <c r="F434" s="30" t="inlineStr">
        <is>
          <t>2022</t>
        </is>
      </c>
      <c r="G434" s="40" t="n">
        <v>26280</v>
      </c>
    </row>
    <row r="435" ht="12" customHeight="1">
      <c r="A435" s="30" t="inlineStr">
        <is>
          <t>ARE</t>
        </is>
      </c>
      <c r="B435" s="30" t="inlineStr">
        <is>
          <t>Areal</t>
        </is>
      </c>
      <c r="C435" s="30" t="n">
        <v>71802604</v>
      </c>
      <c r="D435" s="30">
        <f>"06966439797"</f>
        <v/>
      </c>
      <c r="E435" s="30" t="inlineStr">
        <is>
          <t>LUCIANA CARDIM DE CARVALHO</t>
        </is>
      </c>
      <c r="F435" s="30" t="inlineStr">
        <is>
          <t>2023</t>
        </is>
      </c>
      <c r="G435" s="40" t="n">
        <v>26280</v>
      </c>
    </row>
    <row r="436" ht="12" customHeight="1">
      <c r="A436" s="30" t="inlineStr">
        <is>
          <t>ARE</t>
        </is>
      </c>
      <c r="B436" s="30" t="inlineStr">
        <is>
          <t>Areal</t>
        </is>
      </c>
      <c r="C436" s="30" t="n">
        <v>71802612</v>
      </c>
      <c r="D436" s="30">
        <f>"10824138791"</f>
        <v/>
      </c>
      <c r="E436" s="30" t="inlineStr">
        <is>
          <t>IVANY LACERDA MONTEIRO RAMOS</t>
        </is>
      </c>
      <c r="F436" s="30" t="inlineStr">
        <is>
          <t>2017</t>
        </is>
      </c>
      <c r="G436" s="40" t="n">
        <v>12000</v>
      </c>
    </row>
    <row r="437" ht="12" customHeight="1">
      <c r="A437" s="30" t="inlineStr">
        <is>
          <t>ARE</t>
        </is>
      </c>
      <c r="B437" s="30" t="inlineStr">
        <is>
          <t>Areal</t>
        </is>
      </c>
      <c r="C437" s="30" t="n">
        <v>71802612</v>
      </c>
      <c r="D437" s="30">
        <f>"10824138791"</f>
        <v/>
      </c>
      <c r="E437" s="30" t="inlineStr">
        <is>
          <t>IVANY LACERDA MONTEIRO RAMOS</t>
        </is>
      </c>
      <c r="F437" s="30" t="inlineStr">
        <is>
          <t>2018</t>
        </is>
      </c>
      <c r="G437" s="40" t="n">
        <v>0</v>
      </c>
    </row>
    <row r="438" ht="12" customHeight="1">
      <c r="A438" s="30" t="inlineStr">
        <is>
          <t>ARE</t>
        </is>
      </c>
      <c r="B438" s="30" t="inlineStr">
        <is>
          <t>Areal</t>
        </is>
      </c>
      <c r="C438" s="30" t="n">
        <v>71802612</v>
      </c>
      <c r="D438" s="30">
        <f>"10824138791"</f>
        <v/>
      </c>
      <c r="E438" s="30" t="inlineStr">
        <is>
          <t>IVANY LACERDA MONTEIRO RAMOS</t>
        </is>
      </c>
      <c r="F438" s="30" t="inlineStr">
        <is>
          <t>2019</t>
        </is>
      </c>
      <c r="G438" s="40" t="n">
        <v>0</v>
      </c>
    </row>
    <row r="439" ht="12" customHeight="1">
      <c r="A439" s="30" t="inlineStr">
        <is>
          <t>ARE</t>
        </is>
      </c>
      <c r="B439" s="30" t="inlineStr">
        <is>
          <t>Areal</t>
        </is>
      </c>
      <c r="C439" s="30" t="n">
        <v>71802612</v>
      </c>
      <c r="D439" s="30">
        <f>"10824138791"</f>
        <v/>
      </c>
      <c r="E439" s="30" t="inlineStr">
        <is>
          <t>IVANY LACERDA MONTEIRO RAMOS</t>
        </is>
      </c>
      <c r="F439" s="30" t="inlineStr">
        <is>
          <t>2020</t>
        </is>
      </c>
      <c r="G439" s="40" t="n">
        <v>0</v>
      </c>
    </row>
    <row r="440" ht="12" customHeight="1">
      <c r="A440" s="30" t="inlineStr">
        <is>
          <t>ARE</t>
        </is>
      </c>
      <c r="B440" s="30" t="inlineStr">
        <is>
          <t>Areal</t>
        </is>
      </c>
      <c r="C440" s="30" t="n">
        <v>71802612</v>
      </c>
      <c r="D440" s="30">
        <f>"10824138791"</f>
        <v/>
      </c>
      <c r="E440" s="30" t="inlineStr">
        <is>
          <t>IVANY LACERDA MONTEIRO RAMOS</t>
        </is>
      </c>
      <c r="F440" s="30" t="inlineStr">
        <is>
          <t>2021</t>
        </is>
      </c>
      <c r="G440" s="40" t="n">
        <v>0</v>
      </c>
    </row>
    <row r="441" ht="12" customHeight="1">
      <c r="A441" s="30" t="inlineStr">
        <is>
          <t>ARE</t>
        </is>
      </c>
      <c r="B441" s="30" t="inlineStr">
        <is>
          <t>Areal</t>
        </is>
      </c>
      <c r="C441" s="30" t="n">
        <v>71802612</v>
      </c>
      <c r="D441" s="30">
        <f>"10824138791"</f>
        <v/>
      </c>
      <c r="E441" s="30" t="inlineStr">
        <is>
          <t>IVANY LACERDA MONTEIRO RAMOS</t>
        </is>
      </c>
      <c r="F441" s="30" t="inlineStr">
        <is>
          <t>2022</t>
        </is>
      </c>
      <c r="G441" s="40" t="n">
        <v>11000</v>
      </c>
    </row>
    <row r="442" ht="12" customHeight="1">
      <c r="A442" s="30" t="inlineStr">
        <is>
          <t>ARE</t>
        </is>
      </c>
      <c r="B442" s="30" t="inlineStr">
        <is>
          <t>Areal</t>
        </is>
      </c>
      <c r="C442" s="30" t="n">
        <v>71802612</v>
      </c>
      <c r="D442" s="30">
        <f>"10824138791"</f>
        <v/>
      </c>
      <c r="E442" s="30" t="inlineStr">
        <is>
          <t>IVANY LACERDA MONTEIRO RAMOS</t>
        </is>
      </c>
      <c r="F442" s="30" t="inlineStr">
        <is>
          <t>2023</t>
        </is>
      </c>
      <c r="G442" s="40" t="n">
        <v>0</v>
      </c>
    </row>
    <row r="443" ht="12" customHeight="1">
      <c r="A443" s="30" t="inlineStr">
        <is>
          <t>ARE</t>
        </is>
      </c>
      <c r="B443" s="30" t="inlineStr">
        <is>
          <t>Areal</t>
        </is>
      </c>
      <c r="C443" s="30" t="n">
        <v>71802620</v>
      </c>
      <c r="D443" s="30">
        <f>"60937955868"</f>
        <v/>
      </c>
      <c r="E443" s="30" t="inlineStr">
        <is>
          <t>REGIS DE CASTILHO BARBOSA</t>
        </is>
      </c>
      <c r="F443" s="30" t="inlineStr">
        <is>
          <t>2017</t>
        </is>
      </c>
      <c r="G443" s="40" t="n">
        <v>0</v>
      </c>
    </row>
    <row r="444" ht="12" customHeight="1">
      <c r="A444" s="30" t="inlineStr">
        <is>
          <t>ARE</t>
        </is>
      </c>
      <c r="B444" s="30" t="inlineStr">
        <is>
          <t>Areal</t>
        </is>
      </c>
      <c r="C444" s="30" t="n">
        <v>71802620</v>
      </c>
      <c r="D444" s="30">
        <f>"60937955868"</f>
        <v/>
      </c>
      <c r="E444" s="30" t="inlineStr">
        <is>
          <t>REGIS DE CASTILHO BARBOSA</t>
        </is>
      </c>
      <c r="F444" s="30" t="inlineStr">
        <is>
          <t>2018</t>
        </is>
      </c>
      <c r="G444" s="40" t="n">
        <v>0</v>
      </c>
    </row>
    <row r="445" ht="12" customHeight="1">
      <c r="A445" s="30" t="inlineStr">
        <is>
          <t>ARE</t>
        </is>
      </c>
      <c r="B445" s="30" t="inlineStr">
        <is>
          <t>Areal</t>
        </is>
      </c>
      <c r="C445" s="30" t="n">
        <v>71802620</v>
      </c>
      <c r="D445" s="30">
        <f>"60937955868"</f>
        <v/>
      </c>
      <c r="E445" s="30" t="inlineStr">
        <is>
          <t>REGIS DE CASTILHO BARBOSA</t>
        </is>
      </c>
      <c r="F445" s="30" t="inlineStr">
        <is>
          <t>2019</t>
        </is>
      </c>
      <c r="G445" s="40" t="n">
        <v>0</v>
      </c>
    </row>
    <row r="446" ht="12" customHeight="1">
      <c r="A446" s="30" t="inlineStr">
        <is>
          <t>ARE</t>
        </is>
      </c>
      <c r="B446" s="30" t="inlineStr">
        <is>
          <t>Areal</t>
        </is>
      </c>
      <c r="C446" s="30" t="n">
        <v>71802620</v>
      </c>
      <c r="D446" s="30">
        <f>"60937955868"</f>
        <v/>
      </c>
      <c r="E446" s="30" t="inlineStr">
        <is>
          <t>REGIS DE CASTILHO BARBOSA</t>
        </is>
      </c>
      <c r="F446" s="30" t="inlineStr">
        <is>
          <t>2020</t>
        </is>
      </c>
      <c r="G446" s="40" t="n">
        <v>0</v>
      </c>
    </row>
    <row r="447" ht="12" customHeight="1">
      <c r="A447" s="30" t="inlineStr">
        <is>
          <t>ARE</t>
        </is>
      </c>
      <c r="B447" s="30" t="inlineStr">
        <is>
          <t>Areal</t>
        </is>
      </c>
      <c r="C447" s="30" t="n">
        <v>72007085</v>
      </c>
      <c r="D447" s="30">
        <f>"00673626725"</f>
        <v/>
      </c>
      <c r="E447" s="30" t="inlineStr">
        <is>
          <t>LUIZ CARLOS COELHO</t>
        </is>
      </c>
      <c r="F447" s="30" t="inlineStr">
        <is>
          <t>2017</t>
        </is>
      </c>
      <c r="G447" s="40" t="n">
        <v>143000</v>
      </c>
    </row>
    <row r="448" ht="12" customHeight="1">
      <c r="A448" s="30" t="inlineStr">
        <is>
          <t>ARE</t>
        </is>
      </c>
      <c r="B448" s="30" t="inlineStr">
        <is>
          <t>Areal</t>
        </is>
      </c>
      <c r="C448" s="30" t="n">
        <v>72007085</v>
      </c>
      <c r="D448" s="30">
        <f>"00673626725"</f>
        <v/>
      </c>
      <c r="E448" s="30" t="inlineStr">
        <is>
          <t>LUIZ CARLOS COELHO</t>
        </is>
      </c>
      <c r="F448" s="30" t="inlineStr">
        <is>
          <t>2018</t>
        </is>
      </c>
      <c r="G448" s="40" t="n">
        <v>140000</v>
      </c>
    </row>
    <row r="449" ht="12" customHeight="1">
      <c r="A449" s="30" t="inlineStr">
        <is>
          <t>ARE</t>
        </is>
      </c>
      <c r="B449" s="30" t="inlineStr">
        <is>
          <t>Areal</t>
        </is>
      </c>
      <c r="C449" s="30" t="n">
        <v>72007085</v>
      </c>
      <c r="D449" s="30">
        <f>"00673626725"</f>
        <v/>
      </c>
      <c r="E449" s="30" t="inlineStr">
        <is>
          <t>LUIZ CARLOS COELHO</t>
        </is>
      </c>
      <c r="F449" s="30" t="inlineStr">
        <is>
          <t>2019</t>
        </is>
      </c>
      <c r="G449" s="40" t="n">
        <v>140000</v>
      </c>
    </row>
    <row r="450" ht="12" customHeight="1">
      <c r="A450" s="30" t="inlineStr">
        <is>
          <t>ARE</t>
        </is>
      </c>
      <c r="B450" s="30" t="inlineStr">
        <is>
          <t>Areal</t>
        </is>
      </c>
      <c r="C450" s="30" t="n">
        <v>72007085</v>
      </c>
      <c r="D450" s="30">
        <f>"00673626725"</f>
        <v/>
      </c>
      <c r="E450" s="30" t="inlineStr">
        <is>
          <t>LUIZ CARLOS COELHO</t>
        </is>
      </c>
      <c r="F450" s="30" t="inlineStr">
        <is>
          <t>2020</t>
        </is>
      </c>
      <c r="G450" s="40" t="n">
        <v>143000</v>
      </c>
    </row>
    <row r="451" ht="12" customHeight="1">
      <c r="A451" s="30" t="inlineStr">
        <is>
          <t>ARE</t>
        </is>
      </c>
      <c r="B451" s="30" t="inlineStr">
        <is>
          <t>Areal</t>
        </is>
      </c>
      <c r="C451" s="30" t="n">
        <v>72007085</v>
      </c>
      <c r="D451" s="30">
        <f>"00673626725"</f>
        <v/>
      </c>
      <c r="E451" s="30" t="inlineStr">
        <is>
          <t>LUIZ CARLOS COELHO</t>
        </is>
      </c>
      <c r="F451" s="30" t="inlineStr">
        <is>
          <t>2021</t>
        </is>
      </c>
      <c r="G451" s="40" t="n">
        <v>120000</v>
      </c>
    </row>
    <row r="452" ht="12" customHeight="1">
      <c r="A452" s="30" t="inlineStr">
        <is>
          <t>ARE</t>
        </is>
      </c>
      <c r="B452" s="30" t="inlineStr">
        <is>
          <t>Areal</t>
        </is>
      </c>
      <c r="C452" s="30" t="n">
        <v>72007085</v>
      </c>
      <c r="D452" s="30">
        <f>"00673626725"</f>
        <v/>
      </c>
      <c r="E452" s="30" t="inlineStr">
        <is>
          <t>LUIZ CARLOS COELHO</t>
        </is>
      </c>
      <c r="F452" s="30" t="inlineStr">
        <is>
          <t>2022</t>
        </is>
      </c>
      <c r="G452" s="40" t="n">
        <v>158000</v>
      </c>
    </row>
    <row r="453" ht="12" customHeight="1">
      <c r="A453" s="30" t="inlineStr">
        <is>
          <t>ARE</t>
        </is>
      </c>
      <c r="B453" s="30" t="inlineStr">
        <is>
          <t>Areal</t>
        </is>
      </c>
      <c r="C453" s="30" t="n">
        <v>72007085</v>
      </c>
      <c r="D453" s="30">
        <f>"00673626725"</f>
        <v/>
      </c>
      <c r="E453" s="30" t="inlineStr">
        <is>
          <t>LUIZ CARLOS COELHO</t>
        </is>
      </c>
      <c r="F453" s="30" t="inlineStr">
        <is>
          <t>2023</t>
        </is>
      </c>
      <c r="G453" s="40" t="n">
        <v>120000</v>
      </c>
    </row>
    <row r="454" ht="12" customHeight="1">
      <c r="A454" s="30" t="inlineStr">
        <is>
          <t>ARE</t>
        </is>
      </c>
      <c r="B454" s="30" t="inlineStr">
        <is>
          <t>Areal</t>
        </is>
      </c>
      <c r="C454" s="30" t="n">
        <v>72046072</v>
      </c>
      <c r="D454" s="30">
        <f>"04914228734"</f>
        <v/>
      </c>
      <c r="E454" s="30" t="inlineStr">
        <is>
          <t>MARIO SERGIO LOMBA GALVAO</t>
        </is>
      </c>
      <c r="F454" s="30" t="inlineStr">
        <is>
          <t>2017</t>
        </is>
      </c>
      <c r="G454" s="40" t="n">
        <v>0</v>
      </c>
    </row>
    <row r="455" ht="12" customHeight="1">
      <c r="A455" s="30" t="inlineStr">
        <is>
          <t>ARE</t>
        </is>
      </c>
      <c r="B455" s="30" t="inlineStr">
        <is>
          <t>Areal</t>
        </is>
      </c>
      <c r="C455" s="30" t="n">
        <v>72046072</v>
      </c>
      <c r="D455" s="30">
        <f>"04914228734"</f>
        <v/>
      </c>
      <c r="E455" s="30" t="inlineStr">
        <is>
          <t>MARIO SERGIO LOMBA GALVAO</t>
        </is>
      </c>
      <c r="F455" s="30" t="inlineStr">
        <is>
          <t>2018</t>
        </is>
      </c>
      <c r="G455" s="40" t="n">
        <v>0</v>
      </c>
    </row>
    <row r="456" ht="12" customHeight="1">
      <c r="A456" s="30" t="inlineStr">
        <is>
          <t>ARE</t>
        </is>
      </c>
      <c r="B456" s="30" t="inlineStr">
        <is>
          <t>Areal</t>
        </is>
      </c>
      <c r="C456" s="30" t="n">
        <v>72046072</v>
      </c>
      <c r="D456" s="30">
        <f>"04914228734"</f>
        <v/>
      </c>
      <c r="E456" s="30" t="inlineStr">
        <is>
          <t>MARIO SERGIO LOMBA GALVAO</t>
        </is>
      </c>
      <c r="F456" s="30" t="inlineStr">
        <is>
          <t>2019</t>
        </is>
      </c>
      <c r="G456" s="40" t="n">
        <v>0</v>
      </c>
    </row>
    <row r="457" ht="12" customHeight="1">
      <c r="A457" s="30" t="inlineStr">
        <is>
          <t>ARE</t>
        </is>
      </c>
      <c r="B457" s="30" t="inlineStr">
        <is>
          <t>Areal</t>
        </is>
      </c>
      <c r="C457" s="30" t="n">
        <v>72046072</v>
      </c>
      <c r="D457" s="30">
        <f>"04914228734"</f>
        <v/>
      </c>
      <c r="E457" s="30" t="inlineStr">
        <is>
          <t>MARIO SERGIO LOMBA GALVAO</t>
        </is>
      </c>
      <c r="F457" s="30" t="inlineStr">
        <is>
          <t>2020</t>
        </is>
      </c>
      <c r="G457" s="40" t="n">
        <v>0</v>
      </c>
    </row>
    <row r="458" ht="12" customHeight="1">
      <c r="A458" s="30" t="inlineStr">
        <is>
          <t>ARE</t>
        </is>
      </c>
      <c r="B458" s="30" t="inlineStr">
        <is>
          <t>Areal</t>
        </is>
      </c>
      <c r="C458" s="30" t="n">
        <v>72058593</v>
      </c>
      <c r="D458" s="30">
        <f>"07360181747"</f>
        <v/>
      </c>
      <c r="E458" s="30" t="inlineStr">
        <is>
          <t>SILVIA MAGRANI VIEIRA</t>
        </is>
      </c>
      <c r="F458" s="30" t="inlineStr">
        <is>
          <t>2017</t>
        </is>
      </c>
      <c r="G458" s="40" t="n">
        <v>0</v>
      </c>
    </row>
    <row r="459" ht="12" customHeight="1">
      <c r="A459" s="30" t="inlineStr">
        <is>
          <t>ARE</t>
        </is>
      </c>
      <c r="B459" s="30" t="inlineStr">
        <is>
          <t>Areal</t>
        </is>
      </c>
      <c r="C459" s="30" t="n">
        <v>72058593</v>
      </c>
      <c r="D459" s="30">
        <f>"07360181747"</f>
        <v/>
      </c>
      <c r="E459" s="30" t="inlineStr">
        <is>
          <t>SILVIA MAGRANI VIEIRA</t>
        </is>
      </c>
      <c r="F459" s="30" t="inlineStr">
        <is>
          <t>2018</t>
        </is>
      </c>
      <c r="G459" s="40" t="n">
        <v>0</v>
      </c>
    </row>
    <row r="460" ht="12" customHeight="1">
      <c r="A460" s="30" t="inlineStr">
        <is>
          <t>ARE</t>
        </is>
      </c>
      <c r="B460" s="30" t="inlineStr">
        <is>
          <t>Areal</t>
        </is>
      </c>
      <c r="C460" s="30" t="n">
        <v>72058593</v>
      </c>
      <c r="D460" s="30">
        <f>"07360181747"</f>
        <v/>
      </c>
      <c r="E460" s="30" t="inlineStr">
        <is>
          <t>SILVIA MAGRANI VIEIRA</t>
        </is>
      </c>
      <c r="F460" s="30" t="inlineStr">
        <is>
          <t>2019</t>
        </is>
      </c>
      <c r="G460" s="40" t="n">
        <v>0</v>
      </c>
    </row>
    <row r="461" ht="12" customHeight="1">
      <c r="A461" s="30" t="inlineStr">
        <is>
          <t>ARE</t>
        </is>
      </c>
      <c r="B461" s="30" t="inlineStr">
        <is>
          <t>Areal</t>
        </is>
      </c>
      <c r="C461" s="30" t="n">
        <v>72058593</v>
      </c>
      <c r="D461" s="30">
        <f>"07360181747"</f>
        <v/>
      </c>
      <c r="E461" s="30" t="inlineStr">
        <is>
          <t>SILVIA MAGRANI VIEIRA</t>
        </is>
      </c>
      <c r="F461" s="30" t="inlineStr">
        <is>
          <t>2020</t>
        </is>
      </c>
      <c r="G461" s="40" t="n">
        <v>0</v>
      </c>
    </row>
    <row r="462" ht="12" customHeight="1">
      <c r="A462" s="30" t="inlineStr">
        <is>
          <t>ARE</t>
        </is>
      </c>
      <c r="B462" s="30" t="inlineStr">
        <is>
          <t>Areal</t>
        </is>
      </c>
      <c r="C462" s="30" t="n">
        <v>72058593</v>
      </c>
      <c r="D462" s="30">
        <f>"07360181747"</f>
        <v/>
      </c>
      <c r="E462" s="30" t="inlineStr">
        <is>
          <t>SILVIA MAGRANI VIEIRA</t>
        </is>
      </c>
      <c r="F462" s="30" t="inlineStr">
        <is>
          <t>2021</t>
        </is>
      </c>
      <c r="G462" s="40" t="n">
        <v>0</v>
      </c>
    </row>
    <row r="463" ht="12" customHeight="1">
      <c r="A463" s="30" t="inlineStr">
        <is>
          <t>ARE</t>
        </is>
      </c>
      <c r="B463" s="30" t="inlineStr">
        <is>
          <t>Areal</t>
        </is>
      </c>
      <c r="C463" s="30" t="n">
        <v>72058593</v>
      </c>
      <c r="D463" s="30">
        <f>"07360181747"</f>
        <v/>
      </c>
      <c r="E463" s="30" t="inlineStr">
        <is>
          <t>SILVIA MAGRANI VIEIRA</t>
        </is>
      </c>
      <c r="F463" s="30" t="inlineStr">
        <is>
          <t>2022</t>
        </is>
      </c>
      <c r="G463" s="40" t="n">
        <v>0</v>
      </c>
    </row>
    <row r="464" ht="12" customHeight="1">
      <c r="A464" s="30" t="inlineStr">
        <is>
          <t>ARE</t>
        </is>
      </c>
      <c r="B464" s="30" t="inlineStr">
        <is>
          <t>Areal</t>
        </is>
      </c>
      <c r="C464" s="30" t="n">
        <v>72058593</v>
      </c>
      <c r="D464" s="30">
        <f>"07360181747"</f>
        <v/>
      </c>
      <c r="E464" s="30" t="inlineStr">
        <is>
          <t>SILVIA MAGRANI VIEIRA</t>
        </is>
      </c>
      <c r="F464" s="30" t="inlineStr">
        <is>
          <t>2023</t>
        </is>
      </c>
      <c r="G464" s="40" t="n">
        <v>0</v>
      </c>
    </row>
    <row r="465" ht="12" customHeight="1">
      <c r="A465" s="30" t="inlineStr">
        <is>
          <t>ARE</t>
        </is>
      </c>
      <c r="B465" s="30" t="inlineStr">
        <is>
          <t>Areal</t>
        </is>
      </c>
      <c r="C465" s="30" t="n">
        <v>72066030</v>
      </c>
      <c r="D465" s="30">
        <f>"74533975704"</f>
        <v/>
      </c>
      <c r="E465" s="30" t="inlineStr">
        <is>
          <t>EDUARDO WERNERCK BARROSO</t>
        </is>
      </c>
      <c r="F465" s="30" t="inlineStr">
        <is>
          <t>2017</t>
        </is>
      </c>
      <c r="G465" s="40" t="n">
        <v>0</v>
      </c>
    </row>
    <row r="466" ht="12" customHeight="1">
      <c r="A466" s="30" t="inlineStr">
        <is>
          <t>ARE</t>
        </is>
      </c>
      <c r="B466" s="30" t="inlineStr">
        <is>
          <t>Areal</t>
        </is>
      </c>
      <c r="C466" s="30" t="n">
        <v>72066030</v>
      </c>
      <c r="D466" s="30">
        <f>"74533975704"</f>
        <v/>
      </c>
      <c r="E466" s="30" t="inlineStr">
        <is>
          <t>EDUARDO WERNERCK BARROSO</t>
        </is>
      </c>
      <c r="F466" s="30" t="inlineStr">
        <is>
          <t>2018</t>
        </is>
      </c>
      <c r="G466" s="40" t="n">
        <v>1</v>
      </c>
    </row>
    <row r="467" ht="12" customHeight="1">
      <c r="A467" s="30" t="inlineStr">
        <is>
          <t>ARE</t>
        </is>
      </c>
      <c r="B467" s="30" t="inlineStr">
        <is>
          <t>Areal</t>
        </is>
      </c>
      <c r="C467" s="30" t="n">
        <v>72066030</v>
      </c>
      <c r="D467" s="30">
        <f>"74533975704"</f>
        <v/>
      </c>
      <c r="E467" s="30" t="inlineStr">
        <is>
          <t>EDUARDO WERNERCK BARROSO</t>
        </is>
      </c>
      <c r="F467" s="30" t="inlineStr">
        <is>
          <t>2019</t>
        </is>
      </c>
      <c r="G467" s="40" t="n">
        <v>120000</v>
      </c>
    </row>
    <row r="468" ht="12" customHeight="1">
      <c r="A468" s="30" t="inlineStr">
        <is>
          <t>ARE</t>
        </is>
      </c>
      <c r="B468" s="30" t="inlineStr">
        <is>
          <t>Areal</t>
        </is>
      </c>
      <c r="C468" s="30" t="n">
        <v>72066030</v>
      </c>
      <c r="D468" s="30">
        <f>"74533975704"</f>
        <v/>
      </c>
      <c r="E468" s="30" t="inlineStr">
        <is>
          <t>EDUARDO WERNERCK BARROSO</t>
        </is>
      </c>
      <c r="F468" s="30" t="inlineStr">
        <is>
          <t>2020</t>
        </is>
      </c>
      <c r="G468" s="40" t="n">
        <v>142000</v>
      </c>
    </row>
    <row r="469" ht="12" customHeight="1">
      <c r="A469" s="30" t="inlineStr">
        <is>
          <t>ARE</t>
        </is>
      </c>
      <c r="B469" s="30" t="inlineStr">
        <is>
          <t>Areal</t>
        </is>
      </c>
      <c r="C469" s="30" t="n">
        <v>72066030</v>
      </c>
      <c r="D469" s="30">
        <f>"74533975704"</f>
        <v/>
      </c>
      <c r="E469" s="30" t="inlineStr">
        <is>
          <t>EDUARDO WERNERCK BARROSO</t>
        </is>
      </c>
      <c r="F469" s="30" t="inlineStr">
        <is>
          <t>2021</t>
        </is>
      </c>
      <c r="G469" s="40" t="n">
        <v>10000</v>
      </c>
    </row>
    <row r="470" ht="12" customHeight="1">
      <c r="A470" s="30" t="inlineStr">
        <is>
          <t>ARE</t>
        </is>
      </c>
      <c r="B470" s="30" t="inlineStr">
        <is>
          <t>Areal</t>
        </is>
      </c>
      <c r="C470" s="30" t="n">
        <v>72066030</v>
      </c>
      <c r="D470" s="30">
        <f>"74533975704"</f>
        <v/>
      </c>
      <c r="E470" s="30" t="inlineStr">
        <is>
          <t>EDUARDO WERNERCK BARROSO</t>
        </is>
      </c>
      <c r="F470" s="30" t="inlineStr">
        <is>
          <t>2022</t>
        </is>
      </c>
      <c r="G470" s="40" t="n">
        <v>10000</v>
      </c>
    </row>
    <row r="471" ht="12" customHeight="1">
      <c r="A471" s="30" t="inlineStr">
        <is>
          <t>ARE</t>
        </is>
      </c>
      <c r="B471" s="30" t="inlineStr">
        <is>
          <t>Areal</t>
        </is>
      </c>
      <c r="C471" s="30" t="n">
        <v>72066030</v>
      </c>
      <c r="D471" s="30">
        <f>"74533975704"</f>
        <v/>
      </c>
      <c r="E471" s="30" t="inlineStr">
        <is>
          <t>EDUARDO WERNERCK BARROSO</t>
        </is>
      </c>
      <c r="F471" s="30" t="inlineStr">
        <is>
          <t>2023</t>
        </is>
      </c>
      <c r="G471" s="40" t="n">
        <v>120000</v>
      </c>
    </row>
    <row r="472" ht="12" customHeight="1">
      <c r="A472" s="30" t="inlineStr">
        <is>
          <t>ARE</t>
        </is>
      </c>
      <c r="B472" s="30" t="inlineStr">
        <is>
          <t>Areal</t>
        </is>
      </c>
      <c r="C472" s="30" t="n">
        <v>72078519</v>
      </c>
      <c r="D472" s="30">
        <f>"00672823772"</f>
        <v/>
      </c>
      <c r="E472" s="30" t="inlineStr">
        <is>
          <t>JOSE LUIZ DE SA CAVALCANTI</t>
        </is>
      </c>
      <c r="F472" s="30" t="inlineStr">
        <is>
          <t>2017</t>
        </is>
      </c>
      <c r="G472" s="40" t="n">
        <v>0</v>
      </c>
    </row>
    <row r="473" ht="12" customHeight="1">
      <c r="A473" s="30" t="inlineStr">
        <is>
          <t>ARE</t>
        </is>
      </c>
      <c r="B473" s="30" t="inlineStr">
        <is>
          <t>Areal</t>
        </is>
      </c>
      <c r="C473" s="30" t="n">
        <v>72078519</v>
      </c>
      <c r="D473" s="30">
        <f>"00672823772"</f>
        <v/>
      </c>
      <c r="E473" s="30" t="inlineStr">
        <is>
          <t>JOSE LUIZ DE SA CAVALCANTI</t>
        </is>
      </c>
      <c r="F473" s="30" t="inlineStr">
        <is>
          <t>2018</t>
        </is>
      </c>
      <c r="G473" s="40" t="n">
        <v>0</v>
      </c>
    </row>
    <row r="474" ht="12" customHeight="1">
      <c r="A474" s="30" t="inlineStr">
        <is>
          <t>ARE</t>
        </is>
      </c>
      <c r="B474" s="30" t="inlineStr">
        <is>
          <t>Areal</t>
        </is>
      </c>
      <c r="C474" s="30" t="n">
        <v>72078519</v>
      </c>
      <c r="D474" s="30">
        <f>"00672823772"</f>
        <v/>
      </c>
      <c r="E474" s="30" t="inlineStr">
        <is>
          <t>JOSE LUIZ DE SA CAVALCANTI</t>
        </is>
      </c>
      <c r="F474" s="30" t="inlineStr">
        <is>
          <t>2019</t>
        </is>
      </c>
      <c r="G474" s="40" t="n">
        <v>0</v>
      </c>
    </row>
    <row r="475" ht="12" customHeight="1">
      <c r="A475" s="30" t="inlineStr">
        <is>
          <t>ARE</t>
        </is>
      </c>
      <c r="B475" s="30" t="inlineStr">
        <is>
          <t>Areal</t>
        </is>
      </c>
      <c r="C475" s="30" t="n">
        <v>72078519</v>
      </c>
      <c r="D475" s="30">
        <f>"00672823772"</f>
        <v/>
      </c>
      <c r="E475" s="30" t="inlineStr">
        <is>
          <t>JOSE LUIZ DE SA CAVALCANTI</t>
        </is>
      </c>
      <c r="F475" s="30" t="inlineStr">
        <is>
          <t>2020</t>
        </is>
      </c>
      <c r="G475" s="40" t="n">
        <v>0</v>
      </c>
    </row>
    <row r="476" ht="12" customHeight="1">
      <c r="A476" s="30" t="inlineStr">
        <is>
          <t>ARE</t>
        </is>
      </c>
      <c r="B476" s="30" t="inlineStr">
        <is>
          <t>Areal</t>
        </is>
      </c>
      <c r="C476" s="30" t="n">
        <v>72078519</v>
      </c>
      <c r="D476" s="30">
        <f>"00672823772"</f>
        <v/>
      </c>
      <c r="E476" s="30" t="inlineStr">
        <is>
          <t>JOSE LUIZ DE SA CAVALCANTI</t>
        </is>
      </c>
      <c r="F476" s="30" t="inlineStr">
        <is>
          <t>2021</t>
        </is>
      </c>
      <c r="G476" s="40" t="n">
        <v>0</v>
      </c>
    </row>
    <row r="477" ht="12" customHeight="1">
      <c r="A477" s="30" t="inlineStr">
        <is>
          <t>ARE</t>
        </is>
      </c>
      <c r="B477" s="30" t="inlineStr">
        <is>
          <t>Areal</t>
        </is>
      </c>
      <c r="C477" s="30" t="n">
        <v>72078519</v>
      </c>
      <c r="D477" s="30">
        <f>"00672823772"</f>
        <v/>
      </c>
      <c r="E477" s="30" t="inlineStr">
        <is>
          <t>JOSE LUIZ DE SA CAVALCANTI</t>
        </is>
      </c>
      <c r="F477" s="30" t="inlineStr">
        <is>
          <t>2022</t>
        </is>
      </c>
      <c r="G477" s="40" t="n">
        <v>0</v>
      </c>
    </row>
    <row r="478" ht="12" customHeight="1">
      <c r="A478" s="30" t="inlineStr">
        <is>
          <t>ARE</t>
        </is>
      </c>
      <c r="B478" s="30" t="inlineStr">
        <is>
          <t>Areal</t>
        </is>
      </c>
      <c r="C478" s="30" t="n">
        <v>72078519</v>
      </c>
      <c r="D478" s="30">
        <f>"00672823772"</f>
        <v/>
      </c>
      <c r="E478" s="30" t="inlineStr">
        <is>
          <t>JOSE LUIZ DE SA CAVALCANTI</t>
        </is>
      </c>
      <c r="F478" s="30" t="inlineStr">
        <is>
          <t>2023</t>
        </is>
      </c>
      <c r="G478" s="40" t="n">
        <v>0</v>
      </c>
    </row>
    <row r="479" ht="12" customHeight="1">
      <c r="A479" s="30" t="inlineStr">
        <is>
          <t>ARE</t>
        </is>
      </c>
      <c r="B479" s="30" t="inlineStr">
        <is>
          <t>Areal</t>
        </is>
      </c>
      <c r="C479" s="30" t="n">
        <v>72120981</v>
      </c>
      <c r="D479" s="30">
        <f>"00031899706"</f>
        <v/>
      </c>
      <c r="E479" s="30" t="inlineStr">
        <is>
          <t>RICARDO ANDRE VASCONCELOS RAMOS</t>
        </is>
      </c>
      <c r="F479" s="30" t="inlineStr">
        <is>
          <t>2017</t>
        </is>
      </c>
      <c r="G479" s="40" t="n">
        <v>142000</v>
      </c>
    </row>
    <row r="480" ht="12" customHeight="1">
      <c r="A480" s="30" t="inlineStr">
        <is>
          <t>ARE</t>
        </is>
      </c>
      <c r="B480" s="30" t="inlineStr">
        <is>
          <t>Areal</t>
        </is>
      </c>
      <c r="C480" s="30" t="n">
        <v>72120981</v>
      </c>
      <c r="D480" s="30">
        <f>"00031899706"</f>
        <v/>
      </c>
      <c r="E480" s="30" t="inlineStr">
        <is>
          <t>RICARDO ANDRE VASCONCELOS RAMOS</t>
        </is>
      </c>
      <c r="F480" s="30" t="inlineStr">
        <is>
          <t>2018</t>
        </is>
      </c>
      <c r="G480" s="40" t="n">
        <v>141000</v>
      </c>
    </row>
    <row r="481" ht="12" customHeight="1">
      <c r="A481" s="30" t="inlineStr">
        <is>
          <t>ARE</t>
        </is>
      </c>
      <c r="B481" s="30" t="inlineStr">
        <is>
          <t>Areal</t>
        </is>
      </c>
      <c r="C481" s="30" t="n">
        <v>72120981</v>
      </c>
      <c r="D481" s="30">
        <f>"00031899706"</f>
        <v/>
      </c>
      <c r="E481" s="30" t="inlineStr">
        <is>
          <t>RICARDO ANDRE VASCONCELOS RAMOS</t>
        </is>
      </c>
      <c r="F481" s="30" t="inlineStr">
        <is>
          <t>2019</t>
        </is>
      </c>
      <c r="G481" s="40" t="n">
        <v>140000</v>
      </c>
    </row>
    <row r="482" ht="12" customHeight="1">
      <c r="A482" s="30" t="inlineStr">
        <is>
          <t>ARE</t>
        </is>
      </c>
      <c r="B482" s="30" t="inlineStr">
        <is>
          <t>Areal</t>
        </is>
      </c>
      <c r="C482" s="30" t="n">
        <v>72120981</v>
      </c>
      <c r="D482" s="30">
        <f>"00031899706"</f>
        <v/>
      </c>
      <c r="E482" s="30" t="inlineStr">
        <is>
          <t>RICARDO ANDRE VASCONCELOS RAMOS</t>
        </is>
      </c>
      <c r="F482" s="30" t="inlineStr">
        <is>
          <t>2020</t>
        </is>
      </c>
      <c r="G482" s="40" t="n">
        <v>142000</v>
      </c>
    </row>
    <row r="483" ht="12" customHeight="1">
      <c r="A483" s="30" t="inlineStr">
        <is>
          <t>ARE</t>
        </is>
      </c>
      <c r="B483" s="30" t="inlineStr">
        <is>
          <t>Areal</t>
        </is>
      </c>
      <c r="C483" s="30" t="n">
        <v>72120981</v>
      </c>
      <c r="D483" s="30">
        <f>"00031899706"</f>
        <v/>
      </c>
      <c r="E483" s="30" t="inlineStr">
        <is>
          <t>RICARDO ANDRE VASCONCELOS RAMOS</t>
        </is>
      </c>
      <c r="F483" s="30" t="inlineStr">
        <is>
          <t>2021</t>
        </is>
      </c>
      <c r="G483" s="40" t="n">
        <v>120000</v>
      </c>
    </row>
    <row r="484" ht="12" customHeight="1">
      <c r="A484" s="30" t="inlineStr">
        <is>
          <t>ARE</t>
        </is>
      </c>
      <c r="B484" s="30" t="inlineStr">
        <is>
          <t>Areal</t>
        </is>
      </c>
      <c r="C484" s="30" t="n">
        <v>72120981</v>
      </c>
      <c r="D484" s="30">
        <f>"00031899706"</f>
        <v/>
      </c>
      <c r="E484" s="30" t="inlineStr">
        <is>
          <t>RICARDO ANDRE VASCONCELOS RAMOS</t>
        </is>
      </c>
      <c r="F484" s="30" t="inlineStr">
        <is>
          <t>2022</t>
        </is>
      </c>
      <c r="G484" s="40" t="n">
        <v>145000</v>
      </c>
    </row>
    <row r="485" ht="12" customHeight="1">
      <c r="A485" s="30" t="inlineStr">
        <is>
          <t>ARE</t>
        </is>
      </c>
      <c r="B485" s="30" t="inlineStr">
        <is>
          <t>Areal</t>
        </is>
      </c>
      <c r="C485" s="30" t="n">
        <v>72120981</v>
      </c>
      <c r="D485" s="30">
        <f>"00031899706"</f>
        <v/>
      </c>
      <c r="E485" s="30" t="inlineStr">
        <is>
          <t>RICARDO ANDRE VASCONCELOS RAMOS</t>
        </is>
      </c>
      <c r="F485" s="30" t="inlineStr">
        <is>
          <t>2023</t>
        </is>
      </c>
      <c r="G485" s="40" t="n">
        <v>120000</v>
      </c>
    </row>
    <row r="486" ht="12" customHeight="1">
      <c r="A486" s="30" t="inlineStr">
        <is>
          <t>ARE</t>
        </is>
      </c>
      <c r="B486" s="30" t="inlineStr">
        <is>
          <t>Areal</t>
        </is>
      </c>
      <c r="C486" s="30" t="n">
        <v>72150694</v>
      </c>
      <c r="D486" s="30">
        <f>"75998750772"</f>
        <v/>
      </c>
      <c r="E486" s="30" t="inlineStr">
        <is>
          <t>SANDRO ROGERIO SANTOS MACHADO</t>
        </is>
      </c>
      <c r="F486" s="30" t="inlineStr">
        <is>
          <t>2017</t>
        </is>
      </c>
      <c r="G486" s="40" t="n">
        <v>0</v>
      </c>
    </row>
    <row r="487" ht="12" customHeight="1">
      <c r="A487" s="30" t="inlineStr">
        <is>
          <t>ARE</t>
        </is>
      </c>
      <c r="B487" s="30" t="inlineStr">
        <is>
          <t>Areal</t>
        </is>
      </c>
      <c r="C487" s="30" t="n">
        <v>72150694</v>
      </c>
      <c r="D487" s="30">
        <f>"75998750772"</f>
        <v/>
      </c>
      <c r="E487" s="30" t="inlineStr">
        <is>
          <t>SANDRO ROGERIO SANTOS MACHADO</t>
        </is>
      </c>
      <c r="F487" s="30" t="inlineStr">
        <is>
          <t>2018</t>
        </is>
      </c>
      <c r="G487" s="40" t="n">
        <v>0</v>
      </c>
    </row>
    <row r="488" ht="12" customHeight="1">
      <c r="A488" s="30" t="inlineStr">
        <is>
          <t>ARE</t>
        </is>
      </c>
      <c r="B488" s="30" t="inlineStr">
        <is>
          <t>Areal</t>
        </is>
      </c>
      <c r="C488" s="30" t="n">
        <v>72150694</v>
      </c>
      <c r="D488" s="30">
        <f>"75998750772"</f>
        <v/>
      </c>
      <c r="E488" s="30" t="inlineStr">
        <is>
          <t>SANDRO ROGERIO SANTOS MACHADO</t>
        </is>
      </c>
      <c r="F488" s="30" t="inlineStr">
        <is>
          <t>2019</t>
        </is>
      </c>
      <c r="G488" s="40" t="n">
        <v>0</v>
      </c>
    </row>
    <row r="489" ht="12" customHeight="1">
      <c r="A489" s="30" t="inlineStr">
        <is>
          <t>ARE</t>
        </is>
      </c>
      <c r="B489" s="30" t="inlineStr">
        <is>
          <t>Areal</t>
        </is>
      </c>
      <c r="C489" s="30" t="n">
        <v>72150694</v>
      </c>
      <c r="D489" s="30">
        <f>"75998750772"</f>
        <v/>
      </c>
      <c r="E489" s="30" t="inlineStr">
        <is>
          <t>SANDRO ROGERIO SANTOS MACHADO</t>
        </is>
      </c>
      <c r="F489" s="30" t="inlineStr">
        <is>
          <t>2020</t>
        </is>
      </c>
      <c r="G489" s="40" t="n">
        <v>0</v>
      </c>
    </row>
    <row r="490" ht="12" customHeight="1">
      <c r="A490" s="30" t="inlineStr">
        <is>
          <t>ARE</t>
        </is>
      </c>
      <c r="B490" s="30" t="inlineStr">
        <is>
          <t>Areal</t>
        </is>
      </c>
      <c r="C490" s="30" t="n">
        <v>72150694</v>
      </c>
      <c r="D490" s="30">
        <f>"75998750772"</f>
        <v/>
      </c>
      <c r="E490" s="30" t="inlineStr">
        <is>
          <t>SANDRO ROGERIO SANTOS MACHADO</t>
        </is>
      </c>
      <c r="F490" s="30" t="inlineStr">
        <is>
          <t>2021</t>
        </is>
      </c>
      <c r="G490" s="40" t="n">
        <v>0</v>
      </c>
    </row>
    <row r="491" ht="12" customHeight="1">
      <c r="A491" s="30" t="inlineStr">
        <is>
          <t>ARE</t>
        </is>
      </c>
      <c r="B491" s="30" t="inlineStr">
        <is>
          <t>Areal</t>
        </is>
      </c>
      <c r="C491" s="30" t="n">
        <v>72150694</v>
      </c>
      <c r="D491" s="30">
        <f>"75998750772"</f>
        <v/>
      </c>
      <c r="E491" s="30" t="inlineStr">
        <is>
          <t>SANDRO ROGERIO SANTOS MACHADO</t>
        </is>
      </c>
      <c r="F491" s="30" t="inlineStr">
        <is>
          <t>2022</t>
        </is>
      </c>
      <c r="G491" s="40" t="n">
        <v>0</v>
      </c>
    </row>
    <row r="492" ht="12" customHeight="1">
      <c r="A492" s="30" t="inlineStr">
        <is>
          <t>ARE</t>
        </is>
      </c>
      <c r="B492" s="30" t="inlineStr">
        <is>
          <t>Areal</t>
        </is>
      </c>
      <c r="C492" s="30" t="n">
        <v>72150694</v>
      </c>
      <c r="D492" s="30">
        <f>"75998750772"</f>
        <v/>
      </c>
      <c r="E492" s="30" t="inlineStr">
        <is>
          <t>SANDRO ROGERIO SANTOS MACHADO</t>
        </is>
      </c>
      <c r="F492" s="30" t="inlineStr">
        <is>
          <t>2023</t>
        </is>
      </c>
      <c r="G492" s="40" t="n">
        <v>0</v>
      </c>
    </row>
    <row r="493" ht="12" customHeight="1">
      <c r="A493" s="30" t="inlineStr">
        <is>
          <t>ARE</t>
        </is>
      </c>
      <c r="B493" s="30" t="inlineStr">
        <is>
          <t>Areal</t>
        </is>
      </c>
      <c r="C493" s="30" t="n">
        <v>72204824</v>
      </c>
      <c r="D493" s="30">
        <f>"54370000734"</f>
        <v/>
      </c>
      <c r="E493" s="30" t="inlineStr">
        <is>
          <t>PAULO CESAR CARVALHO DA SILVA AFONSO</t>
        </is>
      </c>
      <c r="F493" s="30" t="inlineStr">
        <is>
          <t>2017</t>
        </is>
      </c>
      <c r="G493" s="40" t="n">
        <v>0</v>
      </c>
    </row>
    <row r="494" ht="12" customHeight="1">
      <c r="A494" s="30" t="inlineStr">
        <is>
          <t>ARE</t>
        </is>
      </c>
      <c r="B494" s="30" t="inlineStr">
        <is>
          <t>Areal</t>
        </is>
      </c>
      <c r="C494" s="30" t="n">
        <v>72204824</v>
      </c>
      <c r="D494" s="30">
        <f>"54370000734"</f>
        <v/>
      </c>
      <c r="E494" s="30" t="inlineStr">
        <is>
          <t>PAULO CESAR CARVALHO DA SILVA AFONSO</t>
        </is>
      </c>
      <c r="F494" s="30" t="inlineStr">
        <is>
          <t>2018</t>
        </is>
      </c>
      <c r="G494" s="40" t="n">
        <v>0</v>
      </c>
    </row>
    <row r="495" ht="12" customHeight="1">
      <c r="A495" s="30" t="inlineStr">
        <is>
          <t>ARE</t>
        </is>
      </c>
      <c r="B495" s="30" t="inlineStr">
        <is>
          <t>Areal</t>
        </is>
      </c>
      <c r="C495" s="30" t="n">
        <v>72204824</v>
      </c>
      <c r="D495" s="30">
        <f>"54370000734"</f>
        <v/>
      </c>
      <c r="E495" s="30" t="inlineStr">
        <is>
          <t>PAULO CESAR CARVALHO DA SILVA AFONSO</t>
        </is>
      </c>
      <c r="F495" s="30" t="inlineStr">
        <is>
          <t>2019</t>
        </is>
      </c>
      <c r="G495" s="40" t="n">
        <v>0</v>
      </c>
    </row>
    <row r="496" ht="12" customHeight="1">
      <c r="A496" s="30" t="inlineStr">
        <is>
          <t>ARE</t>
        </is>
      </c>
      <c r="B496" s="30" t="inlineStr">
        <is>
          <t>Areal</t>
        </is>
      </c>
      <c r="C496" s="30" t="n">
        <v>72204824</v>
      </c>
      <c r="D496" s="30">
        <f>"54370000734"</f>
        <v/>
      </c>
      <c r="E496" s="30" t="inlineStr">
        <is>
          <t>PAULO CESAR CARVALHO DA SILVA AFONSO</t>
        </is>
      </c>
      <c r="F496" s="30" t="inlineStr">
        <is>
          <t>2020</t>
        </is>
      </c>
      <c r="G496" s="40" t="n">
        <v>0</v>
      </c>
    </row>
    <row r="497" ht="12" customHeight="1">
      <c r="A497" s="30" t="inlineStr">
        <is>
          <t>ARE</t>
        </is>
      </c>
      <c r="B497" s="30" t="inlineStr">
        <is>
          <t>Areal</t>
        </is>
      </c>
      <c r="C497" s="30" t="n">
        <v>72204824</v>
      </c>
      <c r="D497" s="30">
        <f>"54370000734"</f>
        <v/>
      </c>
      <c r="E497" s="30" t="inlineStr">
        <is>
          <t>PAULO CESAR CARVALHO DA SILVA AFONSO</t>
        </is>
      </c>
      <c r="F497" s="30" t="inlineStr">
        <is>
          <t>2021</t>
        </is>
      </c>
      <c r="G497" s="40" t="n">
        <v>0</v>
      </c>
    </row>
    <row r="498" ht="12" customHeight="1">
      <c r="A498" s="30" t="inlineStr">
        <is>
          <t>ARE</t>
        </is>
      </c>
      <c r="B498" s="30" t="inlineStr">
        <is>
          <t>Areal</t>
        </is>
      </c>
      <c r="C498" s="30" t="n">
        <v>72204824</v>
      </c>
      <c r="D498" s="30">
        <f>"54370000734"</f>
        <v/>
      </c>
      <c r="E498" s="30" t="inlineStr">
        <is>
          <t>PAULO CESAR CARVALHO DA SILVA AFONSO</t>
        </is>
      </c>
      <c r="F498" s="30" t="inlineStr">
        <is>
          <t>2022</t>
        </is>
      </c>
      <c r="G498" s="40" t="n">
        <v>0</v>
      </c>
    </row>
    <row r="499" ht="12" customHeight="1">
      <c r="A499" s="30" t="inlineStr">
        <is>
          <t>ARE</t>
        </is>
      </c>
      <c r="B499" s="30" t="inlineStr">
        <is>
          <t>Areal</t>
        </is>
      </c>
      <c r="C499" s="30" t="n">
        <v>72204824</v>
      </c>
      <c r="D499" s="30">
        <f>"54370000734"</f>
        <v/>
      </c>
      <c r="E499" s="30" t="inlineStr">
        <is>
          <t>PAULO CESAR CARVALHO DA SILVA AFONSO</t>
        </is>
      </c>
      <c r="F499" s="30" t="inlineStr">
        <is>
          <t>2023</t>
        </is>
      </c>
      <c r="G499" s="40" t="n">
        <v>0</v>
      </c>
    </row>
    <row r="500" ht="12" customHeight="1">
      <c r="A500" s="30" t="inlineStr">
        <is>
          <t>ARE</t>
        </is>
      </c>
      <c r="B500" s="30" t="inlineStr">
        <is>
          <t>Areal</t>
        </is>
      </c>
      <c r="C500" s="30" t="n">
        <v>72316517</v>
      </c>
      <c r="D500" s="30">
        <f>"01679277790"</f>
        <v/>
      </c>
      <c r="E500" s="30" t="inlineStr">
        <is>
          <t>GILBERTO SAYAO DA SILVA</t>
        </is>
      </c>
      <c r="F500" s="30" t="inlineStr">
        <is>
          <t>2017</t>
        </is>
      </c>
      <c r="G500" s="40" t="n">
        <v>0</v>
      </c>
    </row>
    <row r="501" ht="12" customHeight="1">
      <c r="A501" s="30" t="inlineStr">
        <is>
          <t>ARE</t>
        </is>
      </c>
      <c r="B501" s="30" t="inlineStr">
        <is>
          <t>Areal</t>
        </is>
      </c>
      <c r="C501" s="30" t="n">
        <v>72316517</v>
      </c>
      <c r="D501" s="30">
        <f>"01679277790"</f>
        <v/>
      </c>
      <c r="E501" s="30" t="inlineStr">
        <is>
          <t>GILBERTO SAYAO DA SILVA</t>
        </is>
      </c>
      <c r="F501" s="30" t="inlineStr">
        <is>
          <t>2018</t>
        </is>
      </c>
      <c r="G501" s="40" t="n">
        <v>0</v>
      </c>
    </row>
    <row r="502" ht="12" customHeight="1">
      <c r="A502" s="30" t="inlineStr">
        <is>
          <t>ARE</t>
        </is>
      </c>
      <c r="B502" s="30" t="inlineStr">
        <is>
          <t>Areal</t>
        </is>
      </c>
      <c r="C502" s="30" t="n">
        <v>72316517</v>
      </c>
      <c r="D502" s="30">
        <f>"01679277790"</f>
        <v/>
      </c>
      <c r="E502" s="30" t="inlineStr">
        <is>
          <t>GILBERTO SAYAO DA SILVA</t>
        </is>
      </c>
      <c r="F502" s="30" t="inlineStr">
        <is>
          <t>2019</t>
        </is>
      </c>
      <c r="G502" s="40" t="n">
        <v>0</v>
      </c>
    </row>
    <row r="503" ht="12" customHeight="1">
      <c r="A503" s="30" t="inlineStr">
        <is>
          <t>ARE</t>
        </is>
      </c>
      <c r="B503" s="30" t="inlineStr">
        <is>
          <t>Areal</t>
        </is>
      </c>
      <c r="C503" s="30" t="n">
        <v>72316517</v>
      </c>
      <c r="D503" s="30">
        <f>"01679277790"</f>
        <v/>
      </c>
      <c r="E503" s="30" t="inlineStr">
        <is>
          <t>GILBERTO SAYAO DA SILVA</t>
        </is>
      </c>
      <c r="F503" s="30" t="inlineStr">
        <is>
          <t>2020</t>
        </is>
      </c>
      <c r="G503" s="40" t="n">
        <v>0</v>
      </c>
    </row>
    <row r="504" ht="12" customHeight="1">
      <c r="A504" s="30" t="inlineStr">
        <is>
          <t>ARE</t>
        </is>
      </c>
      <c r="B504" s="30" t="inlineStr">
        <is>
          <t>Areal</t>
        </is>
      </c>
      <c r="C504" s="30" t="n">
        <v>72316517</v>
      </c>
      <c r="D504" s="30">
        <f>"01679277790"</f>
        <v/>
      </c>
      <c r="E504" s="30" t="inlineStr">
        <is>
          <t>GILBERTO SAYAO DA SILVA</t>
        </is>
      </c>
      <c r="F504" s="30" t="inlineStr">
        <is>
          <t>2021</t>
        </is>
      </c>
      <c r="G504" s="40" t="n">
        <v>0</v>
      </c>
    </row>
    <row r="505" ht="12" customHeight="1">
      <c r="A505" s="30" t="inlineStr">
        <is>
          <t>ARE</t>
        </is>
      </c>
      <c r="B505" s="30" t="inlineStr">
        <is>
          <t>Areal</t>
        </is>
      </c>
      <c r="C505" s="30" t="n">
        <v>72316517</v>
      </c>
      <c r="D505" s="30">
        <f>"01679277790"</f>
        <v/>
      </c>
      <c r="E505" s="30" t="inlineStr">
        <is>
          <t>GILBERTO SAYAO DA SILVA</t>
        </is>
      </c>
      <c r="F505" s="30" t="inlineStr">
        <is>
          <t>2022</t>
        </is>
      </c>
      <c r="G505" s="40" t="n">
        <v>0</v>
      </c>
    </row>
    <row r="506" ht="12" customHeight="1">
      <c r="A506" s="30" t="inlineStr">
        <is>
          <t>ARE</t>
        </is>
      </c>
      <c r="B506" s="30" t="inlineStr">
        <is>
          <t>Areal</t>
        </is>
      </c>
      <c r="C506" s="30" t="n">
        <v>72316517</v>
      </c>
      <c r="D506" s="30">
        <f>"01679277790"</f>
        <v/>
      </c>
      <c r="E506" s="30" t="inlineStr">
        <is>
          <t>GILBERTO SAYAO DA SILVA</t>
        </is>
      </c>
      <c r="F506" s="30" t="inlineStr">
        <is>
          <t>2023</t>
        </is>
      </c>
      <c r="G506" s="40" t="n">
        <v>0</v>
      </c>
    </row>
    <row r="507" ht="12" customHeight="1">
      <c r="A507" s="30" t="inlineStr">
        <is>
          <t>ARE</t>
        </is>
      </c>
      <c r="B507" s="30" t="inlineStr">
        <is>
          <t>Areal</t>
        </is>
      </c>
      <c r="C507" s="30" t="n">
        <v>72351398</v>
      </c>
      <c r="D507" s="30">
        <f>"00211672734"</f>
        <v/>
      </c>
      <c r="E507" s="30" t="inlineStr">
        <is>
          <t>ANTONIO ROBERTO DE DEUS VIEIRA</t>
        </is>
      </c>
      <c r="F507" s="30" t="inlineStr">
        <is>
          <t>2017</t>
        </is>
      </c>
      <c r="G507" s="40" t="n">
        <v>0</v>
      </c>
    </row>
    <row r="508" ht="12" customHeight="1">
      <c r="A508" s="30" t="inlineStr">
        <is>
          <t>ARE</t>
        </is>
      </c>
      <c r="B508" s="30" t="inlineStr">
        <is>
          <t>Areal</t>
        </is>
      </c>
      <c r="C508" s="30" t="n">
        <v>72351398</v>
      </c>
      <c r="D508" s="30">
        <f>"00211672734"</f>
        <v/>
      </c>
      <c r="E508" s="30" t="inlineStr">
        <is>
          <t>ANTONIO ROBERTO DE DEUS VIEIRA</t>
        </is>
      </c>
      <c r="F508" s="30" t="inlineStr">
        <is>
          <t>2018</t>
        </is>
      </c>
      <c r="G508" s="40" t="n">
        <v>0</v>
      </c>
    </row>
    <row r="509" ht="12" customHeight="1">
      <c r="A509" s="30" t="inlineStr">
        <is>
          <t>ARE</t>
        </is>
      </c>
      <c r="B509" s="30" t="inlineStr">
        <is>
          <t>Areal</t>
        </is>
      </c>
      <c r="C509" s="30" t="n">
        <v>72351398</v>
      </c>
      <c r="D509" s="30">
        <f>"00211672734"</f>
        <v/>
      </c>
      <c r="E509" s="30" t="inlineStr">
        <is>
          <t>ANTONIO ROBERTO DE DEUS VIEIRA</t>
        </is>
      </c>
      <c r="F509" s="30" t="inlineStr">
        <is>
          <t>2019</t>
        </is>
      </c>
      <c r="G509" s="40" t="n">
        <v>0</v>
      </c>
    </row>
    <row r="510" ht="12" customHeight="1">
      <c r="A510" s="30" t="inlineStr">
        <is>
          <t>ARE</t>
        </is>
      </c>
      <c r="B510" s="30" t="inlineStr">
        <is>
          <t>Areal</t>
        </is>
      </c>
      <c r="C510" s="30" t="n">
        <v>72351398</v>
      </c>
      <c r="D510" s="30">
        <f>"00211672734"</f>
        <v/>
      </c>
      <c r="E510" s="30" t="inlineStr">
        <is>
          <t>ANTONIO ROBERTO DE DEUS VIEIRA</t>
        </is>
      </c>
      <c r="F510" s="30" t="inlineStr">
        <is>
          <t>2020</t>
        </is>
      </c>
      <c r="G510" s="40" t="n">
        <v>0</v>
      </c>
    </row>
    <row r="511" ht="12" customHeight="1">
      <c r="A511" s="30" t="inlineStr">
        <is>
          <t>ARE</t>
        </is>
      </c>
      <c r="B511" s="30" t="inlineStr">
        <is>
          <t>Areal</t>
        </is>
      </c>
      <c r="C511" s="30" t="n">
        <v>72351398</v>
      </c>
      <c r="D511" s="30">
        <f>"00211672734"</f>
        <v/>
      </c>
      <c r="E511" s="30" t="inlineStr">
        <is>
          <t>ANTONIO ROBERTO DE DEUS VIEIRA</t>
        </is>
      </c>
      <c r="F511" s="30" t="inlineStr">
        <is>
          <t>2021</t>
        </is>
      </c>
      <c r="G511" s="40" t="n">
        <v>0</v>
      </c>
    </row>
    <row r="512" ht="12" customHeight="1">
      <c r="A512" s="30" t="inlineStr">
        <is>
          <t>ARE</t>
        </is>
      </c>
      <c r="B512" s="30" t="inlineStr">
        <is>
          <t>Areal</t>
        </is>
      </c>
      <c r="C512" s="30" t="n">
        <v>72351398</v>
      </c>
      <c r="D512" s="30">
        <f>"00211672734"</f>
        <v/>
      </c>
      <c r="E512" s="30" t="inlineStr">
        <is>
          <t>ANTONIO ROBERTO DE DEUS VIEIRA</t>
        </is>
      </c>
      <c r="F512" s="30" t="inlineStr">
        <is>
          <t>2022</t>
        </is>
      </c>
      <c r="G512" s="40" t="n">
        <v>0</v>
      </c>
    </row>
    <row r="513" ht="12" customHeight="1">
      <c r="A513" s="30" t="inlineStr">
        <is>
          <t>ARE</t>
        </is>
      </c>
      <c r="B513" s="30" t="inlineStr">
        <is>
          <t>Areal</t>
        </is>
      </c>
      <c r="C513" s="30" t="n">
        <v>72351398</v>
      </c>
      <c r="D513" s="30">
        <f>"00211672734"</f>
        <v/>
      </c>
      <c r="E513" s="30" t="inlineStr">
        <is>
          <t>ANTONIO ROBERTO DE DEUS VIEIRA</t>
        </is>
      </c>
      <c r="F513" s="30" t="inlineStr">
        <is>
          <t>2023</t>
        </is>
      </c>
      <c r="G513" s="40" t="n">
        <v>0</v>
      </c>
    </row>
    <row r="514" ht="12" customHeight="1">
      <c r="A514" s="30" t="inlineStr">
        <is>
          <t>ARE</t>
        </is>
      </c>
      <c r="B514" s="30" t="inlineStr">
        <is>
          <t>Areal</t>
        </is>
      </c>
      <c r="C514" s="30" t="n">
        <v>72354117</v>
      </c>
      <c r="D514" s="30">
        <f>"87420376700"</f>
        <v/>
      </c>
      <c r="E514" s="30" t="inlineStr">
        <is>
          <t>JORGE MAGRANI PIRES</t>
        </is>
      </c>
      <c r="F514" s="30" t="inlineStr">
        <is>
          <t>2017</t>
        </is>
      </c>
      <c r="G514" s="40" t="n">
        <v>94426</v>
      </c>
    </row>
    <row r="515" ht="12" customHeight="1">
      <c r="A515" s="30" t="inlineStr">
        <is>
          <t>ARE</t>
        </is>
      </c>
      <c r="B515" s="30" t="inlineStr">
        <is>
          <t>Areal</t>
        </is>
      </c>
      <c r="C515" s="30" t="n">
        <v>72354117</v>
      </c>
      <c r="D515" s="30">
        <f>"87420376700"</f>
        <v/>
      </c>
      <c r="E515" s="30" t="inlineStr">
        <is>
          <t>JORGE MAGRANI PIRES</t>
        </is>
      </c>
      <c r="F515" s="30" t="inlineStr">
        <is>
          <t>2018</t>
        </is>
      </c>
      <c r="G515" s="40" t="n">
        <v>27169</v>
      </c>
    </row>
    <row r="516" ht="12" customHeight="1">
      <c r="A516" s="30" t="inlineStr">
        <is>
          <t>ARE</t>
        </is>
      </c>
      <c r="B516" s="30" t="inlineStr">
        <is>
          <t>Areal</t>
        </is>
      </c>
      <c r="C516" s="30" t="n">
        <v>72354117</v>
      </c>
      <c r="D516" s="30">
        <f>"87420376700"</f>
        <v/>
      </c>
      <c r="E516" s="30" t="inlineStr">
        <is>
          <t>JORGE MAGRANI PIRES</t>
        </is>
      </c>
      <c r="F516" s="30" t="inlineStr">
        <is>
          <t>2019</t>
        </is>
      </c>
      <c r="G516" s="40" t="n">
        <v>34026</v>
      </c>
    </row>
    <row r="517" ht="12" customHeight="1">
      <c r="A517" s="30" t="inlineStr">
        <is>
          <t>ARE</t>
        </is>
      </c>
      <c r="B517" s="30" t="inlineStr">
        <is>
          <t>Areal</t>
        </is>
      </c>
      <c r="C517" s="30" t="n">
        <v>72354117</v>
      </c>
      <c r="D517" s="30">
        <f>"87420376700"</f>
        <v/>
      </c>
      <c r="E517" s="30" t="inlineStr">
        <is>
          <t>JORGE MAGRANI PIRES</t>
        </is>
      </c>
      <c r="F517" s="30" t="inlineStr">
        <is>
          <t>2020</t>
        </is>
      </c>
      <c r="G517" s="40" t="n">
        <v>24217</v>
      </c>
    </row>
    <row r="518" ht="12" customHeight="1">
      <c r="A518" s="30" t="inlineStr">
        <is>
          <t>ARE</t>
        </is>
      </c>
      <c r="B518" s="30" t="inlineStr">
        <is>
          <t>Areal</t>
        </is>
      </c>
      <c r="C518" s="30" t="n">
        <v>72354117</v>
      </c>
      <c r="D518" s="30">
        <f>"87420376700"</f>
        <v/>
      </c>
      <c r="E518" s="30" t="inlineStr">
        <is>
          <t>JORGE MAGRANI PIRES</t>
        </is>
      </c>
      <c r="F518" s="30" t="inlineStr">
        <is>
          <t>2021</t>
        </is>
      </c>
      <c r="G518" s="40" t="n">
        <v>0</v>
      </c>
    </row>
    <row r="519" ht="12" customHeight="1">
      <c r="A519" s="30" t="inlineStr">
        <is>
          <t>ARE</t>
        </is>
      </c>
      <c r="B519" s="30" t="inlineStr">
        <is>
          <t>Areal</t>
        </is>
      </c>
      <c r="C519" s="30" t="n">
        <v>72354117</v>
      </c>
      <c r="D519" s="30">
        <f>"87420376700"</f>
        <v/>
      </c>
      <c r="E519" s="30" t="inlineStr">
        <is>
          <t>JORGE MAGRANI PIRES</t>
        </is>
      </c>
      <c r="F519" s="30" t="inlineStr">
        <is>
          <t>2022</t>
        </is>
      </c>
      <c r="G519" s="40" t="n">
        <v>0</v>
      </c>
    </row>
    <row r="520" ht="12" customHeight="1">
      <c r="A520" s="30" t="inlineStr">
        <is>
          <t>ARE</t>
        </is>
      </c>
      <c r="B520" s="30" t="inlineStr">
        <is>
          <t>Areal</t>
        </is>
      </c>
      <c r="C520" s="30" t="n">
        <v>72354117</v>
      </c>
      <c r="D520" s="30">
        <f>"87420376700"</f>
        <v/>
      </c>
      <c r="E520" s="30" t="inlineStr">
        <is>
          <t>JORGE MAGRANI PIRES</t>
        </is>
      </c>
      <c r="F520" s="30" t="inlineStr">
        <is>
          <t>2023</t>
        </is>
      </c>
      <c r="G520" s="40" t="n">
        <v>8920</v>
      </c>
    </row>
    <row r="521" ht="12" customHeight="1">
      <c r="A521" s="30" t="inlineStr">
        <is>
          <t>ARE</t>
        </is>
      </c>
      <c r="B521" s="30" t="inlineStr">
        <is>
          <t>Areal</t>
        </is>
      </c>
      <c r="C521" s="30" t="n">
        <v>72364139</v>
      </c>
      <c r="D521" s="30">
        <f>"66418623720"</f>
        <v/>
      </c>
      <c r="E521" s="30" t="inlineStr">
        <is>
          <t>MAURO VEIGA SOARES DE CARVALHO</t>
        </is>
      </c>
      <c r="F521" s="30" t="inlineStr">
        <is>
          <t>2017</t>
        </is>
      </c>
      <c r="G521" s="40" t="n">
        <v>0</v>
      </c>
    </row>
    <row r="522" ht="12" customHeight="1">
      <c r="A522" s="30" t="inlineStr">
        <is>
          <t>ARE</t>
        </is>
      </c>
      <c r="B522" s="30" t="inlineStr">
        <is>
          <t>Areal</t>
        </is>
      </c>
      <c r="C522" s="30" t="n">
        <v>72364139</v>
      </c>
      <c r="D522" s="30">
        <f>"66418623720"</f>
        <v/>
      </c>
      <c r="E522" s="30" t="inlineStr">
        <is>
          <t>MAURO VEIGA SOARES DE CARVALHO</t>
        </is>
      </c>
      <c r="F522" s="30" t="inlineStr">
        <is>
          <t>2018</t>
        </is>
      </c>
      <c r="G522" s="40" t="n">
        <v>0</v>
      </c>
    </row>
    <row r="523" ht="12" customHeight="1">
      <c r="A523" s="30" t="inlineStr">
        <is>
          <t>ARE</t>
        </is>
      </c>
      <c r="B523" s="30" t="inlineStr">
        <is>
          <t>Areal</t>
        </is>
      </c>
      <c r="C523" s="30" t="n">
        <v>72364139</v>
      </c>
      <c r="D523" s="30">
        <f>"66418623720"</f>
        <v/>
      </c>
      <c r="E523" s="30" t="inlineStr">
        <is>
          <t>MAURO VEIGA SOARES DE CARVALHO</t>
        </is>
      </c>
      <c r="F523" s="30" t="inlineStr">
        <is>
          <t>2019</t>
        </is>
      </c>
      <c r="G523" s="40" t="n">
        <v>0</v>
      </c>
    </row>
    <row r="524" ht="12" customHeight="1">
      <c r="A524" s="30" t="inlineStr">
        <is>
          <t>ARE</t>
        </is>
      </c>
      <c r="B524" s="30" t="inlineStr">
        <is>
          <t>Areal</t>
        </is>
      </c>
      <c r="C524" s="30" t="n">
        <v>72364139</v>
      </c>
      <c r="D524" s="30">
        <f>"66418623720"</f>
        <v/>
      </c>
      <c r="E524" s="30" t="inlineStr">
        <is>
          <t>MAURO VEIGA SOARES DE CARVALHO</t>
        </is>
      </c>
      <c r="F524" s="30" t="inlineStr">
        <is>
          <t>2020</t>
        </is>
      </c>
      <c r="G524" s="40" t="n">
        <v>0</v>
      </c>
    </row>
    <row r="525" ht="12" customHeight="1">
      <c r="A525" s="30" t="inlineStr">
        <is>
          <t>ARE</t>
        </is>
      </c>
      <c r="B525" s="30" t="inlineStr">
        <is>
          <t>Areal</t>
        </is>
      </c>
      <c r="C525" s="30" t="n">
        <v>72364139</v>
      </c>
      <c r="D525" s="30">
        <f>"66418623720"</f>
        <v/>
      </c>
      <c r="E525" s="30" t="inlineStr">
        <is>
          <t>MAURO VEIGA SOARES DE CARVALHO</t>
        </is>
      </c>
      <c r="F525" s="30" t="inlineStr">
        <is>
          <t>2021</t>
        </is>
      </c>
      <c r="G525" s="40" t="n">
        <v>0</v>
      </c>
    </row>
    <row r="526" ht="12" customHeight="1">
      <c r="A526" s="30" t="inlineStr">
        <is>
          <t>ARE</t>
        </is>
      </c>
      <c r="B526" s="30" t="inlineStr">
        <is>
          <t>Areal</t>
        </is>
      </c>
      <c r="C526" s="30" t="n">
        <v>72364139</v>
      </c>
      <c r="D526" s="30">
        <f>"66418623720"</f>
        <v/>
      </c>
      <c r="E526" s="30" t="inlineStr">
        <is>
          <t>MAURO VEIGA SOARES DE CARVALHO</t>
        </is>
      </c>
      <c r="F526" s="30" t="inlineStr">
        <is>
          <t>2022</t>
        </is>
      </c>
      <c r="G526" s="40" t="n">
        <v>0</v>
      </c>
    </row>
    <row r="527" ht="12" customHeight="1">
      <c r="A527" s="30" t="inlineStr">
        <is>
          <t>ARE</t>
        </is>
      </c>
      <c r="B527" s="30" t="inlineStr">
        <is>
          <t>Areal</t>
        </is>
      </c>
      <c r="C527" s="30" t="n">
        <v>72382552</v>
      </c>
      <c r="D527" s="30">
        <f>"08397705708"</f>
        <v/>
      </c>
      <c r="E527" s="30" t="inlineStr">
        <is>
          <t>GILMAR COELHO</t>
        </is>
      </c>
      <c r="F527" s="30" t="inlineStr">
        <is>
          <t>2017</t>
        </is>
      </c>
      <c r="G527" s="40" t="n">
        <v>143000</v>
      </c>
    </row>
    <row r="528" ht="12" customHeight="1">
      <c r="A528" s="30" t="inlineStr">
        <is>
          <t>ARE</t>
        </is>
      </c>
      <c r="B528" s="30" t="inlineStr">
        <is>
          <t>Areal</t>
        </is>
      </c>
      <c r="C528" s="30" t="n">
        <v>72382552</v>
      </c>
      <c r="D528" s="30">
        <f>"08397705708"</f>
        <v/>
      </c>
      <c r="E528" s="30" t="inlineStr">
        <is>
          <t>GILMAR COELHO</t>
        </is>
      </c>
      <c r="F528" s="30" t="inlineStr">
        <is>
          <t>2018</t>
        </is>
      </c>
      <c r="G528" s="40" t="n">
        <v>141000</v>
      </c>
    </row>
    <row r="529" ht="12" customHeight="1">
      <c r="A529" s="30" t="inlineStr">
        <is>
          <t>ARE</t>
        </is>
      </c>
      <c r="B529" s="30" t="inlineStr">
        <is>
          <t>Areal</t>
        </is>
      </c>
      <c r="C529" s="30" t="n">
        <v>72382552</v>
      </c>
      <c r="D529" s="30">
        <f>"08397705708"</f>
        <v/>
      </c>
      <c r="E529" s="30" t="inlineStr">
        <is>
          <t>GILMAR COELHO</t>
        </is>
      </c>
      <c r="F529" s="30" t="inlineStr">
        <is>
          <t>2019</t>
        </is>
      </c>
      <c r="G529" s="40" t="n">
        <v>142000</v>
      </c>
    </row>
    <row r="530" ht="12" customHeight="1">
      <c r="A530" s="30" t="inlineStr">
        <is>
          <t>ARE</t>
        </is>
      </c>
      <c r="B530" s="30" t="inlineStr">
        <is>
          <t>Areal</t>
        </is>
      </c>
      <c r="C530" s="30" t="n">
        <v>72382552</v>
      </c>
      <c r="D530" s="30">
        <f>"08397705708"</f>
        <v/>
      </c>
      <c r="E530" s="30" t="inlineStr">
        <is>
          <t>GILMAR COELHO</t>
        </is>
      </c>
      <c r="F530" s="30" t="inlineStr">
        <is>
          <t>2020</t>
        </is>
      </c>
      <c r="G530" s="40" t="n">
        <v>150000</v>
      </c>
    </row>
    <row r="531" ht="12" customHeight="1">
      <c r="A531" s="30" t="inlineStr">
        <is>
          <t>ARE</t>
        </is>
      </c>
      <c r="B531" s="30" t="inlineStr">
        <is>
          <t>Areal</t>
        </is>
      </c>
      <c r="C531" s="30" t="n">
        <v>72382552</v>
      </c>
      <c r="D531" s="30">
        <f>"08397705708"</f>
        <v/>
      </c>
      <c r="E531" s="30" t="inlineStr">
        <is>
          <t>GILMAR COELHO</t>
        </is>
      </c>
      <c r="F531" s="30" t="inlineStr">
        <is>
          <t>2021</t>
        </is>
      </c>
      <c r="G531" s="40" t="n">
        <v>125000</v>
      </c>
    </row>
    <row r="532" ht="12" customHeight="1">
      <c r="A532" s="30" t="inlineStr">
        <is>
          <t>ARE</t>
        </is>
      </c>
      <c r="B532" s="30" t="inlineStr">
        <is>
          <t>Areal</t>
        </is>
      </c>
      <c r="C532" s="30" t="n">
        <v>72382552</v>
      </c>
      <c r="D532" s="30">
        <f>"08397705708"</f>
        <v/>
      </c>
      <c r="E532" s="30" t="inlineStr">
        <is>
          <t>GILMAR COELHO</t>
        </is>
      </c>
      <c r="F532" s="30" t="inlineStr">
        <is>
          <t>2022</t>
        </is>
      </c>
      <c r="G532" s="40" t="n">
        <v>150000</v>
      </c>
    </row>
    <row r="533" ht="12" customHeight="1">
      <c r="A533" s="30" t="inlineStr">
        <is>
          <t>ARE</t>
        </is>
      </c>
      <c r="B533" s="30" t="inlineStr">
        <is>
          <t>Areal</t>
        </is>
      </c>
      <c r="C533" s="30" t="n">
        <v>72382552</v>
      </c>
      <c r="D533" s="30">
        <f>"08397705708"</f>
        <v/>
      </c>
      <c r="E533" s="30" t="inlineStr">
        <is>
          <t>GILMAR COELHO</t>
        </is>
      </c>
      <c r="F533" s="30" t="inlineStr">
        <is>
          <t>2023</t>
        </is>
      </c>
      <c r="G533" s="40" t="n">
        <v>145150</v>
      </c>
    </row>
    <row r="534" ht="12" customHeight="1">
      <c r="A534" s="30" t="inlineStr">
        <is>
          <t>ARE</t>
        </is>
      </c>
      <c r="B534" s="30" t="inlineStr">
        <is>
          <t>Areal</t>
        </is>
      </c>
      <c r="C534" s="30" t="n">
        <v>72397592</v>
      </c>
      <c r="D534" s="30">
        <f>"57502625615"</f>
        <v/>
      </c>
      <c r="E534" s="30" t="inlineStr">
        <is>
          <t>IVAN ADHEMAR DE CARVALHO FILHO</t>
        </is>
      </c>
      <c r="F534" s="30" t="inlineStr">
        <is>
          <t>2017</t>
        </is>
      </c>
      <c r="G534" s="40" t="n">
        <v>268528</v>
      </c>
    </row>
    <row r="535" ht="12" customHeight="1">
      <c r="A535" s="30" t="inlineStr">
        <is>
          <t>ARE</t>
        </is>
      </c>
      <c r="B535" s="30" t="inlineStr">
        <is>
          <t>Areal</t>
        </is>
      </c>
      <c r="C535" s="30" t="n">
        <v>72397592</v>
      </c>
      <c r="D535" s="30">
        <f>"57502625615"</f>
        <v/>
      </c>
      <c r="E535" s="30" t="inlineStr">
        <is>
          <t>IVAN ADHEMAR DE CARVALHO FILHO</t>
        </is>
      </c>
      <c r="F535" s="30" t="inlineStr">
        <is>
          <t>2018</t>
        </is>
      </c>
      <c r="G535" s="40" t="n">
        <v>25500</v>
      </c>
    </row>
    <row r="536" ht="12" customHeight="1">
      <c r="A536" s="30" t="inlineStr">
        <is>
          <t>ARE</t>
        </is>
      </c>
      <c r="B536" s="30" t="inlineStr">
        <is>
          <t>Areal</t>
        </is>
      </c>
      <c r="C536" s="30" t="n">
        <v>72397592</v>
      </c>
      <c r="D536" s="30">
        <f>"57502625615"</f>
        <v/>
      </c>
      <c r="E536" s="30" t="inlineStr">
        <is>
          <t>IVAN ADHEMAR DE CARVALHO FILHO</t>
        </is>
      </c>
      <c r="F536" s="30" t="inlineStr">
        <is>
          <t>2019</t>
        </is>
      </c>
      <c r="G536" s="40" t="n">
        <v>0</v>
      </c>
    </row>
    <row r="537" ht="12" customHeight="1">
      <c r="A537" s="30" t="inlineStr">
        <is>
          <t>ARE</t>
        </is>
      </c>
      <c r="B537" s="30" t="inlineStr">
        <is>
          <t>Areal</t>
        </is>
      </c>
      <c r="C537" s="30" t="n">
        <v>72397592</v>
      </c>
      <c r="D537" s="30">
        <f>"57502625615"</f>
        <v/>
      </c>
      <c r="E537" s="30" t="inlineStr">
        <is>
          <t>IVAN ADHEMAR DE CARVALHO FILHO</t>
        </is>
      </c>
      <c r="F537" s="30" t="inlineStr">
        <is>
          <t>2020</t>
        </is>
      </c>
      <c r="G537" s="40" t="n">
        <v>0</v>
      </c>
    </row>
    <row r="538" ht="12" customHeight="1">
      <c r="A538" s="30" t="inlineStr">
        <is>
          <t>ARE</t>
        </is>
      </c>
      <c r="B538" s="30" t="inlineStr">
        <is>
          <t>Areal</t>
        </is>
      </c>
      <c r="C538" s="30" t="n">
        <v>72397592</v>
      </c>
      <c r="D538" s="30">
        <f>"57502625615"</f>
        <v/>
      </c>
      <c r="E538" s="30" t="inlineStr">
        <is>
          <t>IVAN ADHEMAR DE CARVALHO FILHO</t>
        </is>
      </c>
      <c r="F538" s="30" t="inlineStr">
        <is>
          <t>2021</t>
        </is>
      </c>
      <c r="G538" s="40" t="n">
        <v>0</v>
      </c>
    </row>
    <row r="539" ht="12" customHeight="1">
      <c r="A539" s="30" t="inlineStr">
        <is>
          <t>ARE</t>
        </is>
      </c>
      <c r="B539" s="30" t="inlineStr">
        <is>
          <t>Areal</t>
        </is>
      </c>
      <c r="C539" s="30" t="n">
        <v>72397592</v>
      </c>
      <c r="D539" s="30">
        <f>"57502625615"</f>
        <v/>
      </c>
      <c r="E539" s="30" t="inlineStr">
        <is>
          <t>IVAN ADHEMAR DE CARVALHO FILHO</t>
        </is>
      </c>
      <c r="F539" s="30" t="inlineStr">
        <is>
          <t>2022</t>
        </is>
      </c>
      <c r="G539" s="40" t="n">
        <v>0</v>
      </c>
    </row>
    <row r="540" ht="12" customHeight="1">
      <c r="A540" s="30" t="inlineStr">
        <is>
          <t>ARE</t>
        </is>
      </c>
      <c r="B540" s="30" t="inlineStr">
        <is>
          <t>Areal</t>
        </is>
      </c>
      <c r="C540" s="30" t="n">
        <v>72397592</v>
      </c>
      <c r="D540" s="30">
        <f>"57502625615"</f>
        <v/>
      </c>
      <c r="E540" s="30" t="inlineStr">
        <is>
          <t>IVAN ADHEMAR DE CARVALHO FILHO</t>
        </is>
      </c>
      <c r="F540" s="30" t="inlineStr">
        <is>
          <t>2023</t>
        </is>
      </c>
      <c r="G540" s="40" t="n">
        <v>0</v>
      </c>
    </row>
    <row r="541" ht="12" customHeight="1">
      <c r="A541" s="30" t="inlineStr">
        <is>
          <t>ARE</t>
        </is>
      </c>
      <c r="B541" s="30" t="inlineStr">
        <is>
          <t>Areal</t>
        </is>
      </c>
      <c r="C541" s="30" t="n">
        <v>72404300</v>
      </c>
      <c r="D541" s="30">
        <f>"59142995787"</f>
        <v/>
      </c>
      <c r="E541" s="30" t="inlineStr">
        <is>
          <t>JORGE LUIS DA CRUZ</t>
        </is>
      </c>
      <c r="F541" s="30" t="inlineStr">
        <is>
          <t>2017</t>
        </is>
      </c>
      <c r="G541" s="40" t="n">
        <v>38027.09</v>
      </c>
    </row>
    <row r="542" ht="12" customHeight="1">
      <c r="A542" s="30" t="inlineStr">
        <is>
          <t>ARE</t>
        </is>
      </c>
      <c r="B542" s="30" t="inlineStr">
        <is>
          <t>Areal</t>
        </is>
      </c>
      <c r="C542" s="30" t="n">
        <v>72404300</v>
      </c>
      <c r="D542" s="30">
        <f>"59142995787"</f>
        <v/>
      </c>
      <c r="E542" s="30" t="inlineStr">
        <is>
          <t>JORGE LUIS DA CRUZ</t>
        </is>
      </c>
      <c r="F542" s="30" t="inlineStr">
        <is>
          <t>2018</t>
        </is>
      </c>
      <c r="G542" s="40" t="n">
        <v>94459.89</v>
      </c>
    </row>
    <row r="543" ht="12" customHeight="1">
      <c r="A543" s="30" t="inlineStr">
        <is>
          <t>ARE</t>
        </is>
      </c>
      <c r="B543" s="30" t="inlineStr">
        <is>
          <t>Areal</t>
        </is>
      </c>
      <c r="C543" s="30" t="n">
        <v>72404300</v>
      </c>
      <c r="D543" s="30">
        <f>"59142995787"</f>
        <v/>
      </c>
      <c r="E543" s="30" t="inlineStr">
        <is>
          <t>JORGE LUIS DA CRUZ</t>
        </is>
      </c>
      <c r="F543" s="30" t="inlineStr">
        <is>
          <t>2019</t>
        </is>
      </c>
      <c r="G543" s="40" t="n">
        <v>0</v>
      </c>
    </row>
    <row r="544" ht="12" customHeight="1">
      <c r="A544" s="30" t="inlineStr">
        <is>
          <t>ARE</t>
        </is>
      </c>
      <c r="B544" s="30" t="inlineStr">
        <is>
          <t>Areal</t>
        </is>
      </c>
      <c r="C544" s="30" t="n">
        <v>72404300</v>
      </c>
      <c r="D544" s="30">
        <f>"59142995787"</f>
        <v/>
      </c>
      <c r="E544" s="30" t="inlineStr">
        <is>
          <t>JORGE LUIS DA CRUZ</t>
        </is>
      </c>
      <c r="F544" s="30" t="inlineStr">
        <is>
          <t>2020</t>
        </is>
      </c>
      <c r="G544" s="40" t="n">
        <v>0</v>
      </c>
    </row>
    <row r="545" ht="12" customHeight="1">
      <c r="A545" s="30" t="inlineStr">
        <is>
          <t>ARE</t>
        </is>
      </c>
      <c r="B545" s="30" t="inlineStr">
        <is>
          <t>Areal</t>
        </is>
      </c>
      <c r="C545" s="30" t="n">
        <v>72404300</v>
      </c>
      <c r="D545" s="30">
        <f>"59142995787"</f>
        <v/>
      </c>
      <c r="E545" s="30" t="inlineStr">
        <is>
          <t>JORGE LUIS DA CRUZ</t>
        </is>
      </c>
      <c r="F545" s="30" t="inlineStr">
        <is>
          <t>2021</t>
        </is>
      </c>
      <c r="G545" s="40" t="n">
        <v>0</v>
      </c>
    </row>
    <row r="546" ht="12" customHeight="1">
      <c r="A546" s="30" t="inlineStr">
        <is>
          <t>ARE</t>
        </is>
      </c>
      <c r="B546" s="30" t="inlineStr">
        <is>
          <t>Areal</t>
        </is>
      </c>
      <c r="C546" s="30" t="n">
        <v>72404300</v>
      </c>
      <c r="D546" s="30">
        <f>"59142995787"</f>
        <v/>
      </c>
      <c r="E546" s="30" t="inlineStr">
        <is>
          <t>JORGE LUIS DA CRUZ</t>
        </is>
      </c>
      <c r="F546" s="30" t="inlineStr">
        <is>
          <t>2022</t>
        </is>
      </c>
      <c r="G546" s="40" t="n">
        <v>0</v>
      </c>
    </row>
    <row r="547" ht="12" customHeight="1">
      <c r="A547" s="30" t="inlineStr">
        <is>
          <t>ARE</t>
        </is>
      </c>
      <c r="B547" s="30" t="inlineStr">
        <is>
          <t>Areal</t>
        </is>
      </c>
      <c r="C547" s="30" t="n">
        <v>72404300</v>
      </c>
      <c r="D547" s="30">
        <f>"59142995787"</f>
        <v/>
      </c>
      <c r="E547" s="30" t="inlineStr">
        <is>
          <t>JORGE LUIS DA CRUZ</t>
        </is>
      </c>
      <c r="F547" s="30" t="inlineStr">
        <is>
          <t>2023</t>
        </is>
      </c>
      <c r="G547" s="40" t="n">
        <v>0</v>
      </c>
    </row>
    <row r="548" ht="12" customHeight="1">
      <c r="A548" s="30" t="inlineStr">
        <is>
          <t>ARE</t>
        </is>
      </c>
      <c r="B548" s="30" t="inlineStr">
        <is>
          <t>Areal</t>
        </is>
      </c>
      <c r="C548" s="30" t="n">
        <v>72429532</v>
      </c>
      <c r="D548" s="30">
        <f>"76681599753"</f>
        <v/>
      </c>
      <c r="E548" s="30" t="inlineStr">
        <is>
          <t>JOSE MAURO DOS SANTOS</t>
        </is>
      </c>
      <c r="F548" s="30" t="inlineStr">
        <is>
          <t>2017</t>
        </is>
      </c>
      <c r="G548" s="40" t="n">
        <v>0</v>
      </c>
    </row>
    <row r="549" ht="12" customHeight="1">
      <c r="A549" s="30" t="inlineStr">
        <is>
          <t>ARE</t>
        </is>
      </c>
      <c r="B549" s="30" t="inlineStr">
        <is>
          <t>Areal</t>
        </is>
      </c>
      <c r="C549" s="30" t="n">
        <v>72429532</v>
      </c>
      <c r="D549" s="30">
        <f>"76681599753"</f>
        <v/>
      </c>
      <c r="E549" s="30" t="inlineStr">
        <is>
          <t>JOSE MAURO DOS SANTOS</t>
        </is>
      </c>
      <c r="F549" s="30" t="inlineStr">
        <is>
          <t>2018</t>
        </is>
      </c>
      <c r="G549" s="40" t="n">
        <v>0</v>
      </c>
    </row>
    <row r="550" ht="12" customHeight="1">
      <c r="A550" s="30" t="inlineStr">
        <is>
          <t>ARE</t>
        </is>
      </c>
      <c r="B550" s="30" t="inlineStr">
        <is>
          <t>Areal</t>
        </is>
      </c>
      <c r="C550" s="30" t="n">
        <v>72429532</v>
      </c>
      <c r="D550" s="30">
        <f>"76681599753"</f>
        <v/>
      </c>
      <c r="E550" s="30" t="inlineStr">
        <is>
          <t>JOSE MAURO DOS SANTOS</t>
        </is>
      </c>
      <c r="F550" s="30" t="inlineStr">
        <is>
          <t>2019</t>
        </is>
      </c>
      <c r="G550" s="40" t="n">
        <v>0</v>
      </c>
    </row>
    <row r="551" ht="12" customHeight="1">
      <c r="A551" s="30" t="inlineStr">
        <is>
          <t>ARE</t>
        </is>
      </c>
      <c r="B551" s="30" t="inlineStr">
        <is>
          <t>Areal</t>
        </is>
      </c>
      <c r="C551" s="30" t="n">
        <v>72429532</v>
      </c>
      <c r="D551" s="30">
        <f>"76681599753"</f>
        <v/>
      </c>
      <c r="E551" s="30" t="inlineStr">
        <is>
          <t>JOSE MAURO DOS SANTOS</t>
        </is>
      </c>
      <c r="F551" s="30" t="inlineStr">
        <is>
          <t>2020</t>
        </is>
      </c>
      <c r="G551" s="40" t="n">
        <v>0</v>
      </c>
    </row>
    <row r="552" ht="12" customHeight="1">
      <c r="A552" s="30" t="inlineStr">
        <is>
          <t>ARE</t>
        </is>
      </c>
      <c r="B552" s="30" t="inlineStr">
        <is>
          <t>Areal</t>
        </is>
      </c>
      <c r="C552" s="30" t="n">
        <v>72429532</v>
      </c>
      <c r="D552" s="30">
        <f>"76681599753"</f>
        <v/>
      </c>
      <c r="E552" s="30" t="inlineStr">
        <is>
          <t>JOSE MAURO DOS SANTOS</t>
        </is>
      </c>
      <c r="F552" s="30" t="inlineStr">
        <is>
          <t>2021</t>
        </is>
      </c>
      <c r="G552" s="40" t="n">
        <v>0</v>
      </c>
    </row>
    <row r="553" ht="12" customHeight="1">
      <c r="A553" s="30" t="inlineStr">
        <is>
          <t>ARE</t>
        </is>
      </c>
      <c r="B553" s="30" t="inlineStr">
        <is>
          <t>Areal</t>
        </is>
      </c>
      <c r="C553" s="30" t="n">
        <v>72429532</v>
      </c>
      <c r="D553" s="30">
        <f>"76681599753"</f>
        <v/>
      </c>
      <c r="E553" s="30" t="inlineStr">
        <is>
          <t>JOSE MAURO DOS SANTOS</t>
        </is>
      </c>
      <c r="F553" s="30" t="inlineStr">
        <is>
          <t>2022</t>
        </is>
      </c>
      <c r="G553" s="40" t="n">
        <v>0</v>
      </c>
    </row>
    <row r="554" ht="12" customHeight="1">
      <c r="A554" s="30" t="inlineStr">
        <is>
          <t>ARE</t>
        </is>
      </c>
      <c r="B554" s="30" t="inlineStr">
        <is>
          <t>Areal</t>
        </is>
      </c>
      <c r="C554" s="30" t="n">
        <v>72440153</v>
      </c>
      <c r="D554" s="30">
        <f>"53227883791"</f>
        <v/>
      </c>
      <c r="E554" s="30" t="inlineStr">
        <is>
          <t>LUIZ DE ALENCAR ARARIPE JUNIOR</t>
        </is>
      </c>
      <c r="F554" s="30" t="inlineStr">
        <is>
          <t>2017</t>
        </is>
      </c>
      <c r="G554" s="40" t="n">
        <v>620000</v>
      </c>
    </row>
    <row r="555" ht="12" customHeight="1">
      <c r="A555" s="30" t="inlineStr">
        <is>
          <t>ARE</t>
        </is>
      </c>
      <c r="B555" s="30" t="inlineStr">
        <is>
          <t>Areal</t>
        </is>
      </c>
      <c r="C555" s="30" t="n">
        <v>72440153</v>
      </c>
      <c r="D555" s="30">
        <f>"53227883791"</f>
        <v/>
      </c>
      <c r="E555" s="30" t="inlineStr">
        <is>
          <t>LUIZ DE ALENCAR ARARIPE JUNIOR</t>
        </is>
      </c>
      <c r="F555" s="30" t="inlineStr">
        <is>
          <t>2018</t>
        </is>
      </c>
      <c r="G555" s="40" t="n">
        <v>51520</v>
      </c>
    </row>
    <row r="556" ht="12" customHeight="1">
      <c r="A556" s="30" t="inlineStr">
        <is>
          <t>ARE</t>
        </is>
      </c>
      <c r="B556" s="30" t="inlineStr">
        <is>
          <t>Areal</t>
        </is>
      </c>
      <c r="C556" s="30" t="n">
        <v>72440153</v>
      </c>
      <c r="D556" s="30">
        <f>"53227883791"</f>
        <v/>
      </c>
      <c r="E556" s="30" t="inlineStr">
        <is>
          <t>LUIZ DE ALENCAR ARARIPE JUNIOR</t>
        </is>
      </c>
      <c r="F556" s="30" t="inlineStr">
        <is>
          <t>2019</t>
        </is>
      </c>
      <c r="G556" s="40" t="n">
        <v>0</v>
      </c>
    </row>
    <row r="557" ht="12" customHeight="1">
      <c r="A557" s="30" t="inlineStr">
        <is>
          <t>ARE</t>
        </is>
      </c>
      <c r="B557" s="30" t="inlineStr">
        <is>
          <t>Areal</t>
        </is>
      </c>
      <c r="C557" s="30" t="n">
        <v>72440153</v>
      </c>
      <c r="D557" s="30">
        <f>"53227883791"</f>
        <v/>
      </c>
      <c r="E557" s="30" t="inlineStr">
        <is>
          <t>LUIZ DE ALENCAR ARARIPE JUNIOR</t>
        </is>
      </c>
      <c r="F557" s="30" t="inlineStr">
        <is>
          <t>2020</t>
        </is>
      </c>
      <c r="G557" s="40" t="n">
        <v>0</v>
      </c>
    </row>
    <row r="558" ht="12" customHeight="1">
      <c r="A558" s="30" t="inlineStr">
        <is>
          <t>ARE</t>
        </is>
      </c>
      <c r="B558" s="30" t="inlineStr">
        <is>
          <t>Areal</t>
        </is>
      </c>
      <c r="C558" s="30" t="n">
        <v>72441532</v>
      </c>
      <c r="D558" s="30">
        <f>"26933098753"</f>
        <v/>
      </c>
      <c r="E558" s="30" t="inlineStr">
        <is>
          <t>GABRIEL MARTINS VILLELA DE AFFONSECA</t>
        </is>
      </c>
      <c r="F558" s="30" t="inlineStr">
        <is>
          <t>2017</t>
        </is>
      </c>
      <c r="G558" s="40" t="n">
        <v>0</v>
      </c>
    </row>
    <row r="559" ht="12" customHeight="1">
      <c r="A559" s="30" t="inlineStr">
        <is>
          <t>ARE</t>
        </is>
      </c>
      <c r="B559" s="30" t="inlineStr">
        <is>
          <t>Areal</t>
        </is>
      </c>
      <c r="C559" s="30" t="n">
        <v>72441532</v>
      </c>
      <c r="D559" s="30">
        <f>"26933098753"</f>
        <v/>
      </c>
      <c r="E559" s="30" t="inlineStr">
        <is>
          <t>GABRIEL MARTINS VILLELA DE AFFONSECA</t>
        </is>
      </c>
      <c r="F559" s="30" t="inlineStr">
        <is>
          <t>2018</t>
        </is>
      </c>
      <c r="G559" s="40" t="n">
        <v>0</v>
      </c>
    </row>
    <row r="560" ht="12" customHeight="1">
      <c r="A560" s="30" t="inlineStr">
        <is>
          <t>ARE</t>
        </is>
      </c>
      <c r="B560" s="30" t="inlineStr">
        <is>
          <t>Areal</t>
        </is>
      </c>
      <c r="C560" s="30" t="n">
        <v>72441532</v>
      </c>
      <c r="D560" s="30">
        <f>"26933098753"</f>
        <v/>
      </c>
      <c r="E560" s="30" t="inlineStr">
        <is>
          <t>GABRIEL MARTINS VILLELA DE AFFONSECA</t>
        </is>
      </c>
      <c r="F560" s="30" t="inlineStr">
        <is>
          <t>2019</t>
        </is>
      </c>
      <c r="G560" s="40" t="n">
        <v>0</v>
      </c>
    </row>
    <row r="561" ht="12" customHeight="1">
      <c r="A561" s="30" t="inlineStr">
        <is>
          <t>ARE</t>
        </is>
      </c>
      <c r="B561" s="30" t="inlineStr">
        <is>
          <t>Areal</t>
        </is>
      </c>
      <c r="C561" s="30" t="n">
        <v>72441532</v>
      </c>
      <c r="D561" s="30">
        <f>"26933098753"</f>
        <v/>
      </c>
      <c r="E561" s="30" t="inlineStr">
        <is>
          <t>GABRIEL MARTINS VILLELA DE AFFONSECA</t>
        </is>
      </c>
      <c r="F561" s="30" t="inlineStr">
        <is>
          <t>2020</t>
        </is>
      </c>
      <c r="G561" s="40" t="n">
        <v>0</v>
      </c>
    </row>
    <row r="562" ht="12" customHeight="1">
      <c r="A562" s="30" t="inlineStr">
        <is>
          <t>ARE</t>
        </is>
      </c>
      <c r="B562" s="30" t="inlineStr">
        <is>
          <t>Areal</t>
        </is>
      </c>
      <c r="C562" s="30" t="n">
        <v>72441532</v>
      </c>
      <c r="D562" s="30">
        <f>"26933098753"</f>
        <v/>
      </c>
      <c r="E562" s="30" t="inlineStr">
        <is>
          <t>GABRIEL MARTINS VILLELA DE AFFONSECA</t>
        </is>
      </c>
      <c r="F562" s="30" t="inlineStr">
        <is>
          <t>2021</t>
        </is>
      </c>
      <c r="G562" s="40" t="n">
        <v>0</v>
      </c>
    </row>
    <row r="563" ht="12" customHeight="1">
      <c r="A563" s="30" t="inlineStr">
        <is>
          <t>ARE</t>
        </is>
      </c>
      <c r="B563" s="30" t="inlineStr">
        <is>
          <t>Areal</t>
        </is>
      </c>
      <c r="C563" s="30" t="n">
        <v>72441532</v>
      </c>
      <c r="D563" s="30">
        <f>"26933098753"</f>
        <v/>
      </c>
      <c r="E563" s="30" t="inlineStr">
        <is>
          <t>GABRIEL MARTINS VILLELA DE AFFONSECA</t>
        </is>
      </c>
      <c r="F563" s="30" t="inlineStr">
        <is>
          <t>2022</t>
        </is>
      </c>
      <c r="G563" s="40" t="n">
        <v>0</v>
      </c>
    </row>
    <row r="564" ht="12" customHeight="1">
      <c r="A564" s="30" t="inlineStr">
        <is>
          <t>ARE</t>
        </is>
      </c>
      <c r="B564" s="30" t="inlineStr">
        <is>
          <t>Areal</t>
        </is>
      </c>
      <c r="C564" s="30" t="n">
        <v>72441532</v>
      </c>
      <c r="D564" s="30">
        <f>"26933098753"</f>
        <v/>
      </c>
      <c r="E564" s="30" t="inlineStr">
        <is>
          <t>GABRIEL MARTINS VILLELA DE AFFONSECA</t>
        </is>
      </c>
      <c r="F564" s="30" t="inlineStr">
        <is>
          <t>2023</t>
        </is>
      </c>
      <c r="G564" s="40" t="n">
        <v>0</v>
      </c>
    </row>
    <row r="565" ht="12" customHeight="1">
      <c r="A565" s="30" t="inlineStr">
        <is>
          <t>ARE</t>
        </is>
      </c>
      <c r="B565" s="30" t="inlineStr">
        <is>
          <t>Areal</t>
        </is>
      </c>
      <c r="C565" s="30" t="n">
        <v>72441605</v>
      </c>
      <c r="D565" s="30">
        <f>"17000330856"</f>
        <v/>
      </c>
      <c r="E565" s="30" t="inlineStr">
        <is>
          <t>REGIS DE CASTILHO BARBOSA FILHO</t>
        </is>
      </c>
      <c r="F565" s="30" t="inlineStr">
        <is>
          <t>2017</t>
        </is>
      </c>
      <c r="G565" s="40" t="n">
        <v>62677.08</v>
      </c>
    </row>
    <row r="566" ht="12" customHeight="1">
      <c r="A566" s="30" t="inlineStr">
        <is>
          <t>ARE</t>
        </is>
      </c>
      <c r="B566" s="30" t="inlineStr">
        <is>
          <t>Areal</t>
        </is>
      </c>
      <c r="C566" s="30" t="n">
        <v>72441605</v>
      </c>
      <c r="D566" s="30">
        <f>"17000330856"</f>
        <v/>
      </c>
      <c r="E566" s="30" t="inlineStr">
        <is>
          <t>REGIS DE CASTILHO BARBOSA FILHO</t>
        </is>
      </c>
      <c r="F566" s="30" t="inlineStr">
        <is>
          <t>2018</t>
        </is>
      </c>
      <c r="G566" s="40" t="n">
        <v>71493</v>
      </c>
    </row>
    <row r="567" ht="12" customHeight="1">
      <c r="A567" s="30" t="inlineStr">
        <is>
          <t>ARE</t>
        </is>
      </c>
      <c r="B567" s="30" t="inlineStr">
        <is>
          <t>Areal</t>
        </is>
      </c>
      <c r="C567" s="30" t="n">
        <v>72441605</v>
      </c>
      <c r="D567" s="30">
        <f>"17000330856"</f>
        <v/>
      </c>
      <c r="E567" s="30" t="inlineStr">
        <is>
          <t>REGIS DE CASTILHO BARBOSA FILHO</t>
        </is>
      </c>
      <c r="F567" s="30" t="inlineStr">
        <is>
          <t>2019</t>
        </is>
      </c>
      <c r="G567" s="40" t="n">
        <v>0</v>
      </c>
    </row>
    <row r="568" ht="12" customHeight="1">
      <c r="A568" s="30" t="inlineStr">
        <is>
          <t>ARE</t>
        </is>
      </c>
      <c r="B568" s="30" t="inlineStr">
        <is>
          <t>Areal</t>
        </is>
      </c>
      <c r="C568" s="30" t="n">
        <v>72441605</v>
      </c>
      <c r="D568" s="30">
        <f>"17000330856"</f>
        <v/>
      </c>
      <c r="E568" s="30" t="inlineStr">
        <is>
          <t>REGIS DE CASTILHO BARBOSA FILHO</t>
        </is>
      </c>
      <c r="F568" s="30" t="inlineStr">
        <is>
          <t>2020</t>
        </is>
      </c>
      <c r="G568" s="40" t="n">
        <v>0</v>
      </c>
    </row>
    <row r="569" ht="12" customHeight="1">
      <c r="A569" s="30" t="inlineStr">
        <is>
          <t>ARE</t>
        </is>
      </c>
      <c r="B569" s="30" t="inlineStr">
        <is>
          <t>Areal</t>
        </is>
      </c>
      <c r="C569" s="30" t="n">
        <v>72441605</v>
      </c>
      <c r="D569" s="30">
        <f>"17000330856"</f>
        <v/>
      </c>
      <c r="E569" s="30" t="inlineStr">
        <is>
          <t>REGIS DE CASTILHO BARBOSA FILHO</t>
        </is>
      </c>
      <c r="F569" s="30" t="inlineStr">
        <is>
          <t>2021</t>
        </is>
      </c>
      <c r="G569" s="40" t="n">
        <v>0</v>
      </c>
    </row>
    <row r="570" ht="12" customHeight="1">
      <c r="A570" s="30" t="inlineStr">
        <is>
          <t>ARE</t>
        </is>
      </c>
      <c r="B570" s="30" t="inlineStr">
        <is>
          <t>Areal</t>
        </is>
      </c>
      <c r="C570" s="30" t="n">
        <v>72441605</v>
      </c>
      <c r="D570" s="30">
        <f>"17000330856"</f>
        <v/>
      </c>
      <c r="E570" s="30" t="inlineStr">
        <is>
          <t>REGIS DE CASTILHO BARBOSA FILHO</t>
        </is>
      </c>
      <c r="F570" s="30" t="inlineStr">
        <is>
          <t>2022</t>
        </is>
      </c>
      <c r="G570" s="40" t="n">
        <v>284533.34</v>
      </c>
    </row>
    <row r="571" ht="12" customHeight="1">
      <c r="A571" s="30" t="inlineStr">
        <is>
          <t>ARE</t>
        </is>
      </c>
      <c r="B571" s="30" t="inlineStr">
        <is>
          <t>Areal</t>
        </is>
      </c>
      <c r="C571" s="30" t="n">
        <v>72441605</v>
      </c>
      <c r="D571" s="30">
        <f>"17000330856"</f>
        <v/>
      </c>
      <c r="E571" s="30" t="inlineStr">
        <is>
          <t>REGIS DE CASTILHO BARBOSA FILHO</t>
        </is>
      </c>
      <c r="F571" s="30" t="inlineStr">
        <is>
          <t>2023</t>
        </is>
      </c>
      <c r="G571" s="40" t="n">
        <v>0</v>
      </c>
    </row>
    <row r="572" ht="12" customHeight="1">
      <c r="A572" s="30" t="inlineStr">
        <is>
          <t>ARE</t>
        </is>
      </c>
      <c r="B572" s="30" t="inlineStr">
        <is>
          <t>Areal</t>
        </is>
      </c>
      <c r="C572" s="30" t="n">
        <v>72451279</v>
      </c>
      <c r="D572" s="30">
        <f>"01456895737"</f>
        <v/>
      </c>
      <c r="E572" s="30" t="inlineStr">
        <is>
          <t>MANOEL LUIZ DE SOUZA NETO</t>
        </is>
      </c>
      <c r="F572" s="30" t="inlineStr">
        <is>
          <t>2017</t>
        </is>
      </c>
      <c r="G572" s="40" t="n">
        <v>0</v>
      </c>
    </row>
    <row r="573" ht="12" customHeight="1">
      <c r="A573" s="30" t="inlineStr">
        <is>
          <t>ARE</t>
        </is>
      </c>
      <c r="B573" s="30" t="inlineStr">
        <is>
          <t>Areal</t>
        </is>
      </c>
      <c r="C573" s="30" t="n">
        <v>72451279</v>
      </c>
      <c r="D573" s="30">
        <f>"01456895737"</f>
        <v/>
      </c>
      <c r="E573" s="30" t="inlineStr">
        <is>
          <t>MANOEL LUIZ DE SOUZA NETO</t>
        </is>
      </c>
      <c r="F573" s="30" t="inlineStr">
        <is>
          <t>2018</t>
        </is>
      </c>
      <c r="G573" s="40" t="n">
        <v>22854.8</v>
      </c>
    </row>
    <row r="574" ht="12" customHeight="1">
      <c r="A574" s="30" t="inlineStr">
        <is>
          <t>ARE</t>
        </is>
      </c>
      <c r="B574" s="30" t="inlineStr">
        <is>
          <t>Areal</t>
        </is>
      </c>
      <c r="C574" s="30" t="n">
        <v>72451279</v>
      </c>
      <c r="D574" s="30">
        <f>"01456895737"</f>
        <v/>
      </c>
      <c r="E574" s="30" t="inlineStr">
        <is>
          <t>MANOEL LUIZ DE SOUZA NETO</t>
        </is>
      </c>
      <c r="F574" s="30" t="inlineStr">
        <is>
          <t>2019</t>
        </is>
      </c>
      <c r="G574" s="40" t="n">
        <v>0</v>
      </c>
    </row>
    <row r="575" ht="12" customHeight="1">
      <c r="A575" s="30" t="inlineStr">
        <is>
          <t>ARE</t>
        </is>
      </c>
      <c r="B575" s="30" t="inlineStr">
        <is>
          <t>Areal</t>
        </is>
      </c>
      <c r="C575" s="30" t="n">
        <v>72451279</v>
      </c>
      <c r="D575" s="30">
        <f>"01456895737"</f>
        <v/>
      </c>
      <c r="E575" s="30" t="inlineStr">
        <is>
          <t>MANOEL LUIZ DE SOUZA NETO</t>
        </is>
      </c>
      <c r="F575" s="30" t="inlineStr">
        <is>
          <t>2020</t>
        </is>
      </c>
      <c r="G575" s="40" t="n">
        <v>0</v>
      </c>
    </row>
    <row r="576" ht="12" customHeight="1">
      <c r="A576" s="30" t="inlineStr">
        <is>
          <t>ARE</t>
        </is>
      </c>
      <c r="B576" s="30" t="inlineStr">
        <is>
          <t>Areal</t>
        </is>
      </c>
      <c r="C576" s="30" t="n">
        <v>72451279</v>
      </c>
      <c r="D576" s="30">
        <f>"01456895737"</f>
        <v/>
      </c>
      <c r="E576" s="30" t="inlineStr">
        <is>
          <t>MANOEL LUIZ DE SOUZA NETO</t>
        </is>
      </c>
      <c r="F576" s="30" t="inlineStr">
        <is>
          <t>2021</t>
        </is>
      </c>
      <c r="G576" s="40" t="n">
        <v>0</v>
      </c>
    </row>
    <row r="577" ht="12" customHeight="1">
      <c r="A577" s="30" t="inlineStr">
        <is>
          <t>ARE</t>
        </is>
      </c>
      <c r="B577" s="30" t="inlineStr">
        <is>
          <t>Areal</t>
        </is>
      </c>
      <c r="C577" s="30" t="n">
        <v>72451279</v>
      </c>
      <c r="D577" s="30">
        <f>"01456895737"</f>
        <v/>
      </c>
      <c r="E577" s="30" t="inlineStr">
        <is>
          <t>MANOEL LUIZ DE SOUZA NETO</t>
        </is>
      </c>
      <c r="F577" s="30" t="inlineStr">
        <is>
          <t>2022</t>
        </is>
      </c>
      <c r="G577" s="40" t="n">
        <v>71769</v>
      </c>
    </row>
    <row r="578" ht="12" customHeight="1">
      <c r="A578" s="30" t="inlineStr">
        <is>
          <t>ARE</t>
        </is>
      </c>
      <c r="B578" s="30" t="inlineStr">
        <is>
          <t>Areal</t>
        </is>
      </c>
      <c r="C578" s="30" t="n">
        <v>72451279</v>
      </c>
      <c r="D578" s="30">
        <f>"01456895737"</f>
        <v/>
      </c>
      <c r="E578" s="30" t="inlineStr">
        <is>
          <t>MANOEL LUIZ DE SOUZA NETO</t>
        </is>
      </c>
      <c r="F578" s="30" t="inlineStr">
        <is>
          <t>2023</t>
        </is>
      </c>
      <c r="G578" s="40" t="n">
        <v>75644</v>
      </c>
    </row>
    <row r="579" ht="12" customHeight="1">
      <c r="A579" s="30" t="inlineStr">
        <is>
          <t>ARE</t>
        </is>
      </c>
      <c r="B579" s="30" t="inlineStr">
        <is>
          <t>Areal</t>
        </is>
      </c>
      <c r="C579" s="30" t="n">
        <v>72457714</v>
      </c>
      <c r="D579" s="30">
        <f>"08405527770"</f>
        <v/>
      </c>
      <c r="E579" s="30" t="inlineStr">
        <is>
          <t>MARCELO ALVES MONFORT DE MELLO</t>
        </is>
      </c>
      <c r="F579" s="30" t="inlineStr">
        <is>
          <t>2017</t>
        </is>
      </c>
      <c r="G579" s="40" t="n">
        <v>0</v>
      </c>
    </row>
    <row r="580" ht="12" customHeight="1">
      <c r="A580" s="30" t="inlineStr">
        <is>
          <t>ARE</t>
        </is>
      </c>
      <c r="B580" s="30" t="inlineStr">
        <is>
          <t>Areal</t>
        </is>
      </c>
      <c r="C580" s="30" t="n">
        <v>72457714</v>
      </c>
      <c r="D580" s="30">
        <f>"08405527770"</f>
        <v/>
      </c>
      <c r="E580" s="30" t="inlineStr">
        <is>
          <t>MARCELO ALVES MONFORT DE MELLO</t>
        </is>
      </c>
      <c r="F580" s="30" t="inlineStr">
        <is>
          <t>2018</t>
        </is>
      </c>
      <c r="G580" s="40" t="n">
        <v>0</v>
      </c>
    </row>
    <row r="581" ht="12" customHeight="1">
      <c r="A581" s="30" t="inlineStr">
        <is>
          <t>ARE</t>
        </is>
      </c>
      <c r="B581" s="30" t="inlineStr">
        <is>
          <t>Areal</t>
        </is>
      </c>
      <c r="C581" s="30" t="n">
        <v>72457714</v>
      </c>
      <c r="D581" s="30">
        <f>"08405527770"</f>
        <v/>
      </c>
      <c r="E581" s="30" t="inlineStr">
        <is>
          <t>MARCELO ALVES MONFORT DE MELLO</t>
        </is>
      </c>
      <c r="F581" s="30" t="inlineStr">
        <is>
          <t>2019</t>
        </is>
      </c>
      <c r="G581" s="40" t="n">
        <v>0</v>
      </c>
    </row>
    <row r="582" ht="12" customHeight="1">
      <c r="A582" s="30" t="inlineStr">
        <is>
          <t>ARE</t>
        </is>
      </c>
      <c r="B582" s="30" t="inlineStr">
        <is>
          <t>Areal</t>
        </is>
      </c>
      <c r="C582" s="30" t="n">
        <v>72457714</v>
      </c>
      <c r="D582" s="30">
        <f>"08405527770"</f>
        <v/>
      </c>
      <c r="E582" s="30" t="inlineStr">
        <is>
          <t>MARCELO ALVES MONFORT DE MELLO</t>
        </is>
      </c>
      <c r="F582" s="30" t="inlineStr">
        <is>
          <t>2020</t>
        </is>
      </c>
      <c r="G582" s="40" t="n">
        <v>0</v>
      </c>
    </row>
    <row r="583" ht="12" customHeight="1">
      <c r="A583" s="30" t="inlineStr">
        <is>
          <t>ARE</t>
        </is>
      </c>
      <c r="B583" s="30" t="inlineStr">
        <is>
          <t>Areal</t>
        </is>
      </c>
      <c r="C583" s="30" t="n">
        <v>72457714</v>
      </c>
      <c r="D583" s="30">
        <f>"08405527770"</f>
        <v/>
      </c>
      <c r="E583" s="30" t="inlineStr">
        <is>
          <t>MARCELO ALVES MONFORT DE MELLO</t>
        </is>
      </c>
      <c r="F583" s="30" t="inlineStr">
        <is>
          <t>2021</t>
        </is>
      </c>
      <c r="G583" s="40" t="n">
        <v>0</v>
      </c>
    </row>
    <row r="584" ht="12" customHeight="1">
      <c r="A584" s="30" t="inlineStr">
        <is>
          <t>ARE</t>
        </is>
      </c>
      <c r="B584" s="30" t="inlineStr">
        <is>
          <t>Areal</t>
        </is>
      </c>
      <c r="C584" s="30" t="n">
        <v>72457714</v>
      </c>
      <c r="D584" s="30">
        <f>"08405527770"</f>
        <v/>
      </c>
      <c r="E584" s="30" t="inlineStr">
        <is>
          <t>MARCELO ALVES MONFORT DE MELLO</t>
        </is>
      </c>
      <c r="F584" s="30" t="inlineStr">
        <is>
          <t>2022</t>
        </is>
      </c>
      <c r="G584" s="40" t="n">
        <v>0</v>
      </c>
    </row>
    <row r="585" ht="12" customHeight="1">
      <c r="A585" s="30" t="inlineStr">
        <is>
          <t>ARE</t>
        </is>
      </c>
      <c r="B585" s="30" t="inlineStr">
        <is>
          <t>Areal</t>
        </is>
      </c>
      <c r="C585" s="30" t="n">
        <v>72457714</v>
      </c>
      <c r="D585" s="30">
        <f>"08405527770"</f>
        <v/>
      </c>
      <c r="E585" s="30" t="inlineStr">
        <is>
          <t>MARCELO ALVES MONFORT DE MELLO</t>
        </is>
      </c>
      <c r="F585" s="30" t="inlineStr">
        <is>
          <t>2023</t>
        </is>
      </c>
      <c r="G585" s="40" t="n">
        <v>0</v>
      </c>
    </row>
    <row r="586" ht="12" customHeight="1">
      <c r="A586" s="30" t="inlineStr">
        <is>
          <t>ARE</t>
        </is>
      </c>
      <c r="B586" s="30" t="inlineStr">
        <is>
          <t>Areal</t>
        </is>
      </c>
      <c r="C586" s="30" t="n">
        <v>72460669</v>
      </c>
      <c r="D586" s="30">
        <f>"00071109773749"</f>
        <v/>
      </c>
      <c r="E586" s="30" t="inlineStr">
        <is>
          <t>SEBASTIANA REGINA DA SILVA</t>
        </is>
      </c>
      <c r="F586" s="30" t="inlineStr">
        <is>
          <t>2017</t>
        </is>
      </c>
      <c r="G586" s="40" t="n">
        <v>0</v>
      </c>
    </row>
    <row r="587" ht="12" customHeight="1">
      <c r="A587" s="30" t="inlineStr">
        <is>
          <t>ARE</t>
        </is>
      </c>
      <c r="B587" s="30" t="inlineStr">
        <is>
          <t>Areal</t>
        </is>
      </c>
      <c r="C587" s="30" t="n">
        <v>72460669</v>
      </c>
      <c r="D587" s="30">
        <f>"00071109773749"</f>
        <v/>
      </c>
      <c r="E587" s="30" t="inlineStr">
        <is>
          <t>SEBASTIANA REGINA DA SILVA</t>
        </is>
      </c>
      <c r="F587" s="30" t="inlineStr">
        <is>
          <t>2018</t>
        </is>
      </c>
      <c r="G587" s="40" t="n">
        <v>0</v>
      </c>
    </row>
    <row r="588" ht="12" customHeight="1">
      <c r="A588" s="30" t="inlineStr">
        <is>
          <t>ARE</t>
        </is>
      </c>
      <c r="B588" s="30" t="inlineStr">
        <is>
          <t>Areal</t>
        </is>
      </c>
      <c r="C588" s="30" t="n">
        <v>72460669</v>
      </c>
      <c r="D588" s="30">
        <f>"00071109773749"</f>
        <v/>
      </c>
      <c r="E588" s="30" t="inlineStr">
        <is>
          <t>SEBASTIANA REGINA DA SILVA</t>
        </is>
      </c>
      <c r="F588" s="30" t="inlineStr">
        <is>
          <t>2019</t>
        </is>
      </c>
      <c r="G588" s="40" t="n">
        <v>0</v>
      </c>
    </row>
    <row r="589" ht="12" customHeight="1">
      <c r="A589" s="30" t="inlineStr">
        <is>
          <t>ARE</t>
        </is>
      </c>
      <c r="B589" s="30" t="inlineStr">
        <is>
          <t>Areal</t>
        </is>
      </c>
      <c r="C589" s="30" t="n">
        <v>72460669</v>
      </c>
      <c r="D589" s="30">
        <f>"00071109773749"</f>
        <v/>
      </c>
      <c r="E589" s="30" t="inlineStr">
        <is>
          <t>SEBASTIANA REGINA DA SILVA</t>
        </is>
      </c>
      <c r="F589" s="30" t="inlineStr">
        <is>
          <t>2020</t>
        </is>
      </c>
      <c r="G589" s="40" t="n">
        <v>0</v>
      </c>
    </row>
    <row r="590" ht="12" customHeight="1">
      <c r="A590" s="30" t="inlineStr">
        <is>
          <t>ARE</t>
        </is>
      </c>
      <c r="B590" s="30" t="inlineStr">
        <is>
          <t>Areal</t>
        </is>
      </c>
      <c r="C590" s="30" t="n">
        <v>72460669</v>
      </c>
      <c r="D590" s="30">
        <f>"00071109773749"</f>
        <v/>
      </c>
      <c r="E590" s="30" t="inlineStr">
        <is>
          <t>SEBASTIANA REGINA DA SILVA</t>
        </is>
      </c>
      <c r="F590" s="30" t="inlineStr">
        <is>
          <t>2021</t>
        </is>
      </c>
      <c r="G590" s="40" t="n">
        <v>0</v>
      </c>
    </row>
    <row r="591" ht="12" customHeight="1">
      <c r="A591" s="30" t="inlineStr">
        <is>
          <t>ARE</t>
        </is>
      </c>
      <c r="B591" s="30" t="inlineStr">
        <is>
          <t>Areal</t>
        </is>
      </c>
      <c r="C591" s="30" t="n">
        <v>72460669</v>
      </c>
      <c r="D591" s="30">
        <f>"00071109773749"</f>
        <v/>
      </c>
      <c r="E591" s="30" t="inlineStr">
        <is>
          <t>SEBASTIANA REGINA DA SILVA</t>
        </is>
      </c>
      <c r="F591" s="30" t="inlineStr">
        <is>
          <t>2022</t>
        </is>
      </c>
      <c r="G591" s="40" t="n">
        <v>0</v>
      </c>
    </row>
    <row r="592" ht="12" customHeight="1">
      <c r="A592" s="30" t="inlineStr">
        <is>
          <t>ARE</t>
        </is>
      </c>
      <c r="B592" s="30" t="inlineStr">
        <is>
          <t>Areal</t>
        </is>
      </c>
      <c r="C592" s="30" t="n">
        <v>72460669</v>
      </c>
      <c r="D592" s="30">
        <f>"00071109773749"</f>
        <v/>
      </c>
      <c r="E592" s="30" t="inlineStr">
        <is>
          <t>SEBASTIANA REGINA DA SILVA</t>
        </is>
      </c>
      <c r="F592" s="30" t="inlineStr">
        <is>
          <t>2023</t>
        </is>
      </c>
      <c r="G592" s="40" t="n">
        <v>0</v>
      </c>
    </row>
    <row r="593" ht="12" customHeight="1">
      <c r="A593" s="30" t="inlineStr">
        <is>
          <t>ARE</t>
        </is>
      </c>
      <c r="B593" s="30" t="inlineStr">
        <is>
          <t>Areal</t>
        </is>
      </c>
      <c r="C593" s="30" t="n">
        <v>72474465</v>
      </c>
      <c r="D593" s="30">
        <f>"01491346736"</f>
        <v/>
      </c>
      <c r="E593" s="30" t="inlineStr">
        <is>
          <t>ANA PAULA DE ARAUJO</t>
        </is>
      </c>
      <c r="F593" s="30" t="inlineStr">
        <is>
          <t>2017</t>
        </is>
      </c>
      <c r="G593" s="40" t="n">
        <v>143000</v>
      </c>
    </row>
    <row r="594" ht="12" customHeight="1">
      <c r="A594" s="30" t="inlineStr">
        <is>
          <t>ARE</t>
        </is>
      </c>
      <c r="B594" s="30" t="inlineStr">
        <is>
          <t>Areal</t>
        </is>
      </c>
      <c r="C594" s="30" t="n">
        <v>72474465</v>
      </c>
      <c r="D594" s="30">
        <f>"01491346736"</f>
        <v/>
      </c>
      <c r="E594" s="30" t="inlineStr">
        <is>
          <t>ANA PAULA DE ARAUJO</t>
        </is>
      </c>
      <c r="F594" s="30" t="inlineStr">
        <is>
          <t>2018</t>
        </is>
      </c>
      <c r="G594" s="40" t="n">
        <v>0</v>
      </c>
    </row>
    <row r="595" ht="12" customHeight="1">
      <c r="A595" s="30" t="inlineStr">
        <is>
          <t>ARE</t>
        </is>
      </c>
      <c r="B595" s="30" t="inlineStr">
        <is>
          <t>Areal</t>
        </is>
      </c>
      <c r="C595" s="30" t="n">
        <v>72474465</v>
      </c>
      <c r="D595" s="30">
        <f>"01491346736"</f>
        <v/>
      </c>
      <c r="E595" s="30" t="inlineStr">
        <is>
          <t>ANA PAULA DE ARAUJO</t>
        </is>
      </c>
      <c r="F595" s="30" t="inlineStr">
        <is>
          <t>2019</t>
        </is>
      </c>
      <c r="G595" s="40" t="n">
        <v>0</v>
      </c>
    </row>
    <row r="596" ht="12" customHeight="1">
      <c r="A596" s="30" t="inlineStr">
        <is>
          <t>ARE</t>
        </is>
      </c>
      <c r="B596" s="30" t="inlineStr">
        <is>
          <t>Areal</t>
        </is>
      </c>
      <c r="C596" s="30" t="n">
        <v>72476484</v>
      </c>
      <c r="D596" s="30">
        <f>"12067889761"</f>
        <v/>
      </c>
      <c r="E596" s="30" t="inlineStr">
        <is>
          <t>THIAGO CANTO NEVES</t>
        </is>
      </c>
      <c r="F596" s="30" t="inlineStr">
        <is>
          <t>2017</t>
        </is>
      </c>
      <c r="G596" s="40" t="n">
        <v>17092.6</v>
      </c>
    </row>
    <row r="597" ht="12" customHeight="1">
      <c r="A597" s="30" t="inlineStr">
        <is>
          <t>ARE</t>
        </is>
      </c>
      <c r="B597" s="30" t="inlineStr">
        <is>
          <t>Areal</t>
        </is>
      </c>
      <c r="C597" s="30" t="n">
        <v>72476484</v>
      </c>
      <c r="D597" s="30">
        <f>"12067889761"</f>
        <v/>
      </c>
      <c r="E597" s="30" t="inlineStr">
        <is>
          <t>THIAGO CANTO NEVES</t>
        </is>
      </c>
      <c r="F597" s="30" t="inlineStr">
        <is>
          <t>2018</t>
        </is>
      </c>
      <c r="G597" s="40" t="n">
        <v>107413.1</v>
      </c>
    </row>
    <row r="598" ht="12" customHeight="1">
      <c r="A598" s="30" t="inlineStr">
        <is>
          <t>ARE</t>
        </is>
      </c>
      <c r="B598" s="30" t="inlineStr">
        <is>
          <t>Areal</t>
        </is>
      </c>
      <c r="C598" s="30" t="n">
        <v>72476484</v>
      </c>
      <c r="D598" s="30">
        <f>"12067889761"</f>
        <v/>
      </c>
      <c r="E598" s="30" t="inlineStr">
        <is>
          <t>THIAGO CANTO NEVES</t>
        </is>
      </c>
      <c r="F598" s="30" t="inlineStr">
        <is>
          <t>2019</t>
        </is>
      </c>
      <c r="G598" s="40" t="n">
        <v>139578.8</v>
      </c>
    </row>
    <row r="599" ht="12" customHeight="1">
      <c r="A599" s="30" t="inlineStr">
        <is>
          <t>ARE</t>
        </is>
      </c>
      <c r="B599" s="30" t="inlineStr">
        <is>
          <t>Areal</t>
        </is>
      </c>
      <c r="C599" s="30" t="n">
        <v>72476484</v>
      </c>
      <c r="D599" s="30">
        <f>"12067889761"</f>
        <v/>
      </c>
      <c r="E599" s="30" t="inlineStr">
        <is>
          <t>THIAGO CANTO NEVES</t>
        </is>
      </c>
      <c r="F599" s="30" t="inlineStr">
        <is>
          <t>2020</t>
        </is>
      </c>
      <c r="G599" s="40" t="n">
        <v>0</v>
      </c>
    </row>
    <row r="600" ht="12" customHeight="1">
      <c r="A600" s="30" t="inlineStr">
        <is>
          <t>ARE</t>
        </is>
      </c>
      <c r="B600" s="30" t="inlineStr">
        <is>
          <t>Areal</t>
        </is>
      </c>
      <c r="C600" s="30" t="n">
        <v>72476484</v>
      </c>
      <c r="D600" s="30">
        <f>"12067889761"</f>
        <v/>
      </c>
      <c r="E600" s="30" t="inlineStr">
        <is>
          <t>THIAGO CANTO NEVES</t>
        </is>
      </c>
      <c r="F600" s="30" t="inlineStr">
        <is>
          <t>2021</t>
        </is>
      </c>
      <c r="G600" s="40" t="n">
        <v>0</v>
      </c>
    </row>
    <row r="601" ht="12" customHeight="1">
      <c r="A601" s="30" t="inlineStr">
        <is>
          <t>ARE</t>
        </is>
      </c>
      <c r="B601" s="30" t="inlineStr">
        <is>
          <t>Areal</t>
        </is>
      </c>
      <c r="C601" s="30" t="n">
        <v>72498798</v>
      </c>
      <c r="D601" s="30">
        <f>"01616514701"</f>
        <v/>
      </c>
      <c r="E601" s="30" t="inlineStr">
        <is>
          <t>MAURO HENRIQUE MAGDALENA CORTASIO</t>
        </is>
      </c>
      <c r="F601" s="30" t="inlineStr">
        <is>
          <t>2017</t>
        </is>
      </c>
      <c r="G601" s="40" t="n">
        <v>0</v>
      </c>
    </row>
    <row r="602" ht="12" customHeight="1">
      <c r="A602" s="30" t="inlineStr">
        <is>
          <t>ARE</t>
        </is>
      </c>
      <c r="B602" s="30" t="inlineStr">
        <is>
          <t>Areal</t>
        </is>
      </c>
      <c r="C602" s="30" t="n">
        <v>72498798</v>
      </c>
      <c r="D602" s="30">
        <f>"01616514701"</f>
        <v/>
      </c>
      <c r="E602" s="30" t="inlineStr">
        <is>
          <t>MAURO HENRIQUE MAGDALENA CORTASIO</t>
        </is>
      </c>
      <c r="F602" s="30" t="inlineStr">
        <is>
          <t>2018</t>
        </is>
      </c>
      <c r="G602" s="40" t="n">
        <v>58150</v>
      </c>
    </row>
    <row r="603" ht="12" customHeight="1">
      <c r="A603" s="30" t="inlineStr">
        <is>
          <t>ARE</t>
        </is>
      </c>
      <c r="B603" s="30" t="inlineStr">
        <is>
          <t>Areal</t>
        </is>
      </c>
      <c r="C603" s="30" t="n">
        <v>72498798</v>
      </c>
      <c r="D603" s="30">
        <f>"01616514701"</f>
        <v/>
      </c>
      <c r="E603" s="30" t="inlineStr">
        <is>
          <t>MAURO HENRIQUE MAGDALENA CORTASIO</t>
        </is>
      </c>
      <c r="F603" s="30" t="inlineStr">
        <is>
          <t>2019</t>
        </is>
      </c>
      <c r="G603" s="40" t="n">
        <v>0</v>
      </c>
    </row>
    <row r="604" ht="12" customHeight="1">
      <c r="A604" s="30" t="inlineStr">
        <is>
          <t>ARE</t>
        </is>
      </c>
      <c r="B604" s="30" t="inlineStr">
        <is>
          <t>Areal</t>
        </is>
      </c>
      <c r="C604" s="30" t="n">
        <v>72498798</v>
      </c>
      <c r="D604" s="30">
        <f>"01616514701"</f>
        <v/>
      </c>
      <c r="E604" s="30" t="inlineStr">
        <is>
          <t>MAURO HENRIQUE MAGDALENA CORTASIO</t>
        </is>
      </c>
      <c r="F604" s="30" t="inlineStr">
        <is>
          <t>2020</t>
        </is>
      </c>
      <c r="G604" s="40" t="n">
        <v>0</v>
      </c>
    </row>
    <row r="605" ht="12" customHeight="1">
      <c r="A605" s="30" t="inlineStr">
        <is>
          <t>ARE</t>
        </is>
      </c>
      <c r="B605" s="30" t="inlineStr">
        <is>
          <t>Areal</t>
        </is>
      </c>
      <c r="C605" s="30" t="n">
        <v>72498798</v>
      </c>
      <c r="D605" s="30">
        <f>"01616514701"</f>
        <v/>
      </c>
      <c r="E605" s="30" t="inlineStr">
        <is>
          <t>MAURO HENRIQUE MAGDALENA CORTASIO</t>
        </is>
      </c>
      <c r="F605" s="30" t="inlineStr">
        <is>
          <t>2021</t>
        </is>
      </c>
      <c r="G605" s="40" t="n">
        <v>17500</v>
      </c>
    </row>
    <row r="606" ht="12" customHeight="1">
      <c r="A606" s="30" t="inlineStr">
        <is>
          <t>ARE</t>
        </is>
      </c>
      <c r="B606" s="30" t="inlineStr">
        <is>
          <t>Areal</t>
        </is>
      </c>
      <c r="C606" s="30" t="n">
        <v>72498798</v>
      </c>
      <c r="D606" s="30">
        <f>"01616514701"</f>
        <v/>
      </c>
      <c r="E606" s="30" t="inlineStr">
        <is>
          <t>MAURO HENRIQUE MAGDALENA CORTASIO</t>
        </is>
      </c>
      <c r="F606" s="30" t="inlineStr">
        <is>
          <t>2022</t>
        </is>
      </c>
      <c r="G606" s="40" t="n">
        <v>0</v>
      </c>
    </row>
    <row r="607" ht="12" customHeight="1">
      <c r="A607" s="30" t="inlineStr">
        <is>
          <t>ARE</t>
        </is>
      </c>
      <c r="B607" s="30" t="inlineStr">
        <is>
          <t>Areal</t>
        </is>
      </c>
      <c r="C607" s="30" t="n">
        <v>72498798</v>
      </c>
      <c r="D607" s="30">
        <f>"01616514701"</f>
        <v/>
      </c>
      <c r="E607" s="30" t="inlineStr">
        <is>
          <t>MAURO HENRIQUE MAGDALENA CORTASIO</t>
        </is>
      </c>
      <c r="F607" s="30" t="inlineStr">
        <is>
          <t>2023</t>
        </is>
      </c>
      <c r="G607" s="40" t="n">
        <v>0</v>
      </c>
    </row>
    <row r="608" ht="12" customHeight="1">
      <c r="A608" s="30" t="inlineStr">
        <is>
          <t>ARE</t>
        </is>
      </c>
      <c r="B608" s="30" t="inlineStr">
        <is>
          <t>Areal</t>
        </is>
      </c>
      <c r="C608" s="30" t="n">
        <v>72500199</v>
      </c>
      <c r="D608" s="30">
        <f>"11939706793"</f>
        <v/>
      </c>
      <c r="E608" s="30" t="inlineStr">
        <is>
          <t>AUGUSTO VILLELA PEDRAS POLONIA</t>
        </is>
      </c>
      <c r="F608" s="30" t="inlineStr">
        <is>
          <t>2017</t>
        </is>
      </c>
      <c r="G608" s="40" t="n">
        <v>0</v>
      </c>
    </row>
    <row r="609" ht="12" customHeight="1">
      <c r="A609" s="30" t="inlineStr">
        <is>
          <t>ARE</t>
        </is>
      </c>
      <c r="B609" s="30" t="inlineStr">
        <is>
          <t>Areal</t>
        </is>
      </c>
      <c r="C609" s="30" t="n">
        <v>72500199</v>
      </c>
      <c r="D609" s="30">
        <f>"11939706793"</f>
        <v/>
      </c>
      <c r="E609" s="30" t="inlineStr">
        <is>
          <t>AUGUSTO VILLELA PEDRAS POLONIA</t>
        </is>
      </c>
      <c r="F609" s="30" t="inlineStr">
        <is>
          <t>2018</t>
        </is>
      </c>
      <c r="G609" s="40" t="n">
        <v>0</v>
      </c>
    </row>
    <row r="610" ht="12" customHeight="1">
      <c r="A610" s="30" t="inlineStr">
        <is>
          <t>ARE</t>
        </is>
      </c>
      <c r="B610" s="30" t="inlineStr">
        <is>
          <t>Areal</t>
        </is>
      </c>
      <c r="C610" s="30" t="n">
        <v>72500199</v>
      </c>
      <c r="D610" s="30">
        <f>"11939706793"</f>
        <v/>
      </c>
      <c r="E610" s="30" t="inlineStr">
        <is>
          <t>AUGUSTO VILLELA PEDRAS POLONIA</t>
        </is>
      </c>
      <c r="F610" s="30" t="inlineStr">
        <is>
          <t>2019</t>
        </is>
      </c>
      <c r="G610" s="40" t="n">
        <v>80700</v>
      </c>
    </row>
    <row r="611" ht="12" customHeight="1">
      <c r="A611" s="30" t="inlineStr">
        <is>
          <t>ARE</t>
        </is>
      </c>
      <c r="B611" s="30" t="inlineStr">
        <is>
          <t>Areal</t>
        </is>
      </c>
      <c r="C611" s="30" t="n">
        <v>72500199</v>
      </c>
      <c r="D611" s="30">
        <f>"11939706793"</f>
        <v/>
      </c>
      <c r="E611" s="30" t="inlineStr">
        <is>
          <t>AUGUSTO VILLELA PEDRAS POLONIA</t>
        </is>
      </c>
      <c r="F611" s="30" t="inlineStr">
        <is>
          <t>2020</t>
        </is>
      </c>
      <c r="G611" s="40" t="n">
        <v>0</v>
      </c>
    </row>
    <row r="612" ht="12" customHeight="1">
      <c r="A612" s="30" t="inlineStr">
        <is>
          <t>ARE</t>
        </is>
      </c>
      <c r="B612" s="30" t="inlineStr">
        <is>
          <t>Areal</t>
        </is>
      </c>
      <c r="C612" s="30" t="n">
        <v>72500199</v>
      </c>
      <c r="D612" s="30">
        <f>"11939706793"</f>
        <v/>
      </c>
      <c r="E612" s="30" t="inlineStr">
        <is>
          <t>AUGUSTO VILLELA PEDRAS POLONIA</t>
        </is>
      </c>
      <c r="F612" s="30" t="inlineStr">
        <is>
          <t>2021</t>
        </is>
      </c>
      <c r="G612" s="40" t="n">
        <v>0</v>
      </c>
    </row>
    <row r="613" ht="12" customHeight="1">
      <c r="A613" s="30" t="inlineStr">
        <is>
          <t>ARE</t>
        </is>
      </c>
      <c r="B613" s="30" t="inlineStr">
        <is>
          <t>Areal</t>
        </is>
      </c>
      <c r="C613" s="30" t="n">
        <v>72500199</v>
      </c>
      <c r="D613" s="30">
        <f>"11939706793"</f>
        <v/>
      </c>
      <c r="E613" s="30" t="inlineStr">
        <is>
          <t>AUGUSTO VILLELA PEDRAS POLONIA</t>
        </is>
      </c>
      <c r="F613" s="30" t="inlineStr">
        <is>
          <t>2022</t>
        </is>
      </c>
      <c r="G613" s="40" t="n">
        <v>0</v>
      </c>
    </row>
    <row r="614" ht="12" customHeight="1">
      <c r="A614" s="30" t="inlineStr">
        <is>
          <t>ARE</t>
        </is>
      </c>
      <c r="B614" s="30" t="inlineStr">
        <is>
          <t>Areal</t>
        </is>
      </c>
      <c r="C614" s="30" t="n">
        <v>72500199</v>
      </c>
      <c r="D614" s="30">
        <f>"11939706793"</f>
        <v/>
      </c>
      <c r="E614" s="30" t="inlineStr">
        <is>
          <t>AUGUSTO VILLELA PEDRAS POLONIA</t>
        </is>
      </c>
      <c r="F614" s="30" t="inlineStr">
        <is>
          <t>2023</t>
        </is>
      </c>
      <c r="G614" s="40" t="n">
        <v>0</v>
      </c>
    </row>
    <row r="615" ht="12" customHeight="1">
      <c r="A615" s="30" t="inlineStr">
        <is>
          <t>ARE</t>
        </is>
      </c>
      <c r="B615" s="30" t="inlineStr">
        <is>
          <t>Areal</t>
        </is>
      </c>
      <c r="C615" s="30" t="n">
        <v>72500202</v>
      </c>
      <c r="D615" s="30">
        <f>"09897443703"</f>
        <v/>
      </c>
      <c r="E615" s="30" t="inlineStr">
        <is>
          <t>MARCOS VILLELA PEDRAS POLONIA</t>
        </is>
      </c>
      <c r="F615" s="30" t="inlineStr">
        <is>
          <t>2017</t>
        </is>
      </c>
      <c r="G615" s="40" t="n">
        <v>0</v>
      </c>
    </row>
    <row r="616" ht="12" customHeight="1">
      <c r="A616" s="30" t="inlineStr">
        <is>
          <t>ARE</t>
        </is>
      </c>
      <c r="B616" s="30" t="inlineStr">
        <is>
          <t>Areal</t>
        </is>
      </c>
      <c r="C616" s="30" t="n">
        <v>72500202</v>
      </c>
      <c r="D616" s="30">
        <f>"09897443703"</f>
        <v/>
      </c>
      <c r="E616" s="30" t="inlineStr">
        <is>
          <t>MARCOS VILLELA PEDRAS POLONIA</t>
        </is>
      </c>
      <c r="F616" s="30" t="inlineStr">
        <is>
          <t>2018</t>
        </is>
      </c>
      <c r="G616" s="40" t="n">
        <v>72951.7</v>
      </c>
    </row>
    <row r="617" ht="12" customHeight="1">
      <c r="A617" s="30" t="inlineStr">
        <is>
          <t>ARE</t>
        </is>
      </c>
      <c r="B617" s="30" t="inlineStr">
        <is>
          <t>Areal</t>
        </is>
      </c>
      <c r="C617" s="30" t="n">
        <v>72500202</v>
      </c>
      <c r="D617" s="30">
        <f>"09897443703"</f>
        <v/>
      </c>
      <c r="E617" s="30" t="inlineStr">
        <is>
          <t>MARCOS VILLELA PEDRAS POLONIA</t>
        </is>
      </c>
      <c r="F617" s="30" t="inlineStr">
        <is>
          <t>2019</t>
        </is>
      </c>
      <c r="G617" s="40" t="n">
        <v>725034.9</v>
      </c>
    </row>
    <row r="618" ht="12" customHeight="1">
      <c r="A618" s="30" t="inlineStr">
        <is>
          <t>ARE</t>
        </is>
      </c>
      <c r="B618" s="30" t="inlineStr">
        <is>
          <t>Areal</t>
        </is>
      </c>
      <c r="C618" s="30" t="n">
        <v>72500202</v>
      </c>
      <c r="D618" s="30">
        <f>"09897443703"</f>
        <v/>
      </c>
      <c r="E618" s="30" t="inlineStr">
        <is>
          <t>MARCOS VILLELA PEDRAS POLONIA</t>
        </is>
      </c>
      <c r="F618" s="30" t="inlineStr">
        <is>
          <t>2020</t>
        </is>
      </c>
      <c r="G618" s="40" t="n">
        <v>0</v>
      </c>
    </row>
    <row r="619" ht="12" customHeight="1">
      <c r="A619" s="30" t="inlineStr">
        <is>
          <t>ARE</t>
        </is>
      </c>
      <c r="B619" s="30" t="inlineStr">
        <is>
          <t>Areal</t>
        </is>
      </c>
      <c r="C619" s="30" t="n">
        <v>72500202</v>
      </c>
      <c r="D619" s="30">
        <f>"09897443703"</f>
        <v/>
      </c>
      <c r="E619" s="30" t="inlineStr">
        <is>
          <t>MARCOS VILLELA PEDRAS POLONIA</t>
        </is>
      </c>
      <c r="F619" s="30" t="inlineStr">
        <is>
          <t>2021</t>
        </is>
      </c>
      <c r="G619" s="40" t="n">
        <v>0</v>
      </c>
    </row>
    <row r="620" ht="12" customHeight="1">
      <c r="A620" s="30" t="inlineStr">
        <is>
          <t>ARE</t>
        </is>
      </c>
      <c r="B620" s="30" t="inlineStr">
        <is>
          <t>Areal</t>
        </is>
      </c>
      <c r="C620" s="30" t="n">
        <v>72500202</v>
      </c>
      <c r="D620" s="30">
        <f>"09897443703"</f>
        <v/>
      </c>
      <c r="E620" s="30" t="inlineStr">
        <is>
          <t>MARCOS VILLELA PEDRAS POLONIA</t>
        </is>
      </c>
      <c r="F620" s="30" t="inlineStr">
        <is>
          <t>2022</t>
        </is>
      </c>
      <c r="G620" s="40" t="n">
        <v>0</v>
      </c>
    </row>
    <row r="621" ht="12" customHeight="1">
      <c r="A621" s="30" t="inlineStr">
        <is>
          <t>ARE</t>
        </is>
      </c>
      <c r="B621" s="30" t="inlineStr">
        <is>
          <t>Areal</t>
        </is>
      </c>
      <c r="C621" s="30" t="n">
        <v>72500202</v>
      </c>
      <c r="D621" s="30">
        <f>"09897443703"</f>
        <v/>
      </c>
      <c r="E621" s="30" t="inlineStr">
        <is>
          <t>MARCOS VILLELA PEDRAS POLONIA</t>
        </is>
      </c>
      <c r="F621" s="30" t="inlineStr">
        <is>
          <t>2023</t>
        </is>
      </c>
      <c r="G621" s="40" t="n">
        <v>0</v>
      </c>
    </row>
    <row r="622" ht="12" customHeight="1">
      <c r="A622" s="30" t="inlineStr">
        <is>
          <t>ARE</t>
        </is>
      </c>
      <c r="B622" s="30" t="inlineStr">
        <is>
          <t>Areal</t>
        </is>
      </c>
      <c r="C622" s="30" t="n">
        <v>72500210</v>
      </c>
      <c r="D622" s="30">
        <f>"50440080797"</f>
        <v/>
      </c>
      <c r="E622" s="30" t="inlineStr">
        <is>
          <t>SANDRA VILLELA PEDRAS POLONIA</t>
        </is>
      </c>
      <c r="F622" s="30" t="inlineStr">
        <is>
          <t>2017</t>
        </is>
      </c>
      <c r="G622" s="40" t="n">
        <v>0</v>
      </c>
    </row>
    <row r="623" ht="12" customHeight="1">
      <c r="A623" s="30" t="inlineStr">
        <is>
          <t>ARE</t>
        </is>
      </c>
      <c r="B623" s="30" t="inlineStr">
        <is>
          <t>Areal</t>
        </is>
      </c>
      <c r="C623" s="30" t="n">
        <v>72500210</v>
      </c>
      <c r="D623" s="30">
        <f>"50440080797"</f>
        <v/>
      </c>
      <c r="E623" s="30" t="inlineStr">
        <is>
          <t>SANDRA VILLELA PEDRAS POLONIA</t>
        </is>
      </c>
      <c r="F623" s="30" t="inlineStr">
        <is>
          <t>2018</t>
        </is>
      </c>
      <c r="G623" s="40" t="n">
        <v>271325.88</v>
      </c>
    </row>
    <row r="624" ht="12" customHeight="1">
      <c r="A624" s="30" t="inlineStr">
        <is>
          <t>ARE</t>
        </is>
      </c>
      <c r="B624" s="30" t="inlineStr">
        <is>
          <t>Areal</t>
        </is>
      </c>
      <c r="C624" s="30" t="n">
        <v>72500210</v>
      </c>
      <c r="D624" s="30">
        <f>"50440080797"</f>
        <v/>
      </c>
      <c r="E624" s="30" t="inlineStr">
        <is>
          <t>SANDRA VILLELA PEDRAS POLONIA</t>
        </is>
      </c>
      <c r="F624" s="30" t="inlineStr">
        <is>
          <t>2019</t>
        </is>
      </c>
      <c r="G624" s="40" t="n">
        <v>205647.82</v>
      </c>
    </row>
    <row r="625" ht="12" customHeight="1">
      <c r="A625" s="30" t="inlineStr">
        <is>
          <t>ARE</t>
        </is>
      </c>
      <c r="B625" s="30" t="inlineStr">
        <is>
          <t>Areal</t>
        </is>
      </c>
      <c r="C625" s="30" t="n">
        <v>72500210</v>
      </c>
      <c r="D625" s="30">
        <f>"50440080797"</f>
        <v/>
      </c>
      <c r="E625" s="30" t="inlineStr">
        <is>
          <t>SANDRA VILLELA PEDRAS POLONIA</t>
        </is>
      </c>
      <c r="F625" s="30" t="inlineStr">
        <is>
          <t>2020</t>
        </is>
      </c>
      <c r="G625" s="40" t="n">
        <v>52978.13</v>
      </c>
    </row>
    <row r="626" ht="12" customHeight="1">
      <c r="A626" s="30" t="inlineStr">
        <is>
          <t>ARE</t>
        </is>
      </c>
      <c r="B626" s="30" t="inlineStr">
        <is>
          <t>Areal</t>
        </is>
      </c>
      <c r="C626" s="30" t="n">
        <v>72500210</v>
      </c>
      <c r="D626" s="30">
        <f>"50440080797"</f>
        <v/>
      </c>
      <c r="E626" s="30" t="inlineStr">
        <is>
          <t>SANDRA VILLELA PEDRAS POLONIA</t>
        </is>
      </c>
      <c r="F626" s="30" t="inlineStr">
        <is>
          <t>2021</t>
        </is>
      </c>
      <c r="G626" s="40" t="n">
        <v>0</v>
      </c>
    </row>
    <row r="627" ht="12" customHeight="1">
      <c r="A627" s="30" t="inlineStr">
        <is>
          <t>ARE</t>
        </is>
      </c>
      <c r="B627" s="30" t="inlineStr">
        <is>
          <t>Areal</t>
        </is>
      </c>
      <c r="C627" s="30" t="n">
        <v>72500210</v>
      </c>
      <c r="D627" s="30">
        <f>"50440080797"</f>
        <v/>
      </c>
      <c r="E627" s="30" t="inlineStr">
        <is>
          <t>SANDRA VILLELA PEDRAS POLONIA</t>
        </is>
      </c>
      <c r="F627" s="30" t="inlineStr">
        <is>
          <t>2022</t>
        </is>
      </c>
      <c r="G627" s="40" t="n">
        <v>0</v>
      </c>
    </row>
    <row r="628" ht="12" customHeight="1">
      <c r="A628" s="30" t="inlineStr">
        <is>
          <t>ARE</t>
        </is>
      </c>
      <c r="B628" s="30" t="inlineStr">
        <is>
          <t>Areal</t>
        </is>
      </c>
      <c r="C628" s="30" t="n">
        <v>72500210</v>
      </c>
      <c r="D628" s="30">
        <f>"50440080797"</f>
        <v/>
      </c>
      <c r="E628" s="30" t="inlineStr">
        <is>
          <t>SANDRA VILLELA PEDRAS POLONIA</t>
        </is>
      </c>
      <c r="F628" s="30" t="inlineStr">
        <is>
          <t>2023</t>
        </is>
      </c>
      <c r="G628" s="40" t="n">
        <v>0</v>
      </c>
    </row>
    <row r="629" ht="12" customHeight="1">
      <c r="A629" s="30" t="inlineStr">
        <is>
          <t>ARE</t>
        </is>
      </c>
      <c r="B629" s="30" t="inlineStr">
        <is>
          <t>Areal</t>
        </is>
      </c>
      <c r="C629" s="30" t="n">
        <v>72505425</v>
      </c>
      <c r="D629" s="30">
        <f>"58928936772"</f>
        <v/>
      </c>
      <c r="E629" s="30" t="inlineStr">
        <is>
          <t>VALDEMIR LOPES</t>
        </is>
      </c>
      <c r="F629" s="30" t="inlineStr">
        <is>
          <t>2017</t>
        </is>
      </c>
      <c r="G629" s="40" t="n">
        <v>0.01</v>
      </c>
    </row>
    <row r="630" ht="12" customHeight="1">
      <c r="A630" s="30" t="inlineStr">
        <is>
          <t>ARE</t>
        </is>
      </c>
      <c r="B630" s="30" t="inlineStr">
        <is>
          <t>Areal</t>
        </is>
      </c>
      <c r="C630" s="30" t="n">
        <v>72505425</v>
      </c>
      <c r="D630" s="30">
        <f>"58928936772"</f>
        <v/>
      </c>
      <c r="E630" s="30" t="inlineStr">
        <is>
          <t>VALDEMIR LOPES</t>
        </is>
      </c>
      <c r="F630" s="30" t="inlineStr">
        <is>
          <t>2018</t>
        </is>
      </c>
      <c r="G630" s="40" t="n">
        <v>0</v>
      </c>
    </row>
    <row r="631" ht="12" customHeight="1">
      <c r="A631" s="30" t="inlineStr">
        <is>
          <t>ARE</t>
        </is>
      </c>
      <c r="B631" s="30" t="inlineStr">
        <is>
          <t>Areal</t>
        </is>
      </c>
      <c r="C631" s="30" t="n">
        <v>72505425</v>
      </c>
      <c r="D631" s="30">
        <f>"58928936772"</f>
        <v/>
      </c>
      <c r="E631" s="30" t="inlineStr">
        <is>
          <t>VALDEMIR LOPES</t>
        </is>
      </c>
      <c r="F631" s="30" t="inlineStr">
        <is>
          <t>2019</t>
        </is>
      </c>
      <c r="G631" s="40" t="n">
        <v>0</v>
      </c>
    </row>
    <row r="632" ht="12" customHeight="1">
      <c r="A632" s="30" t="inlineStr">
        <is>
          <t>ARE</t>
        </is>
      </c>
      <c r="B632" s="30" t="inlineStr">
        <is>
          <t>Areal</t>
        </is>
      </c>
      <c r="C632" s="30" t="n">
        <v>72505425</v>
      </c>
      <c r="D632" s="30">
        <f>"58928936772"</f>
        <v/>
      </c>
      <c r="E632" s="30" t="inlineStr">
        <is>
          <t>VALDEMIR LOPES</t>
        </is>
      </c>
      <c r="F632" s="30" t="inlineStr">
        <is>
          <t>2020</t>
        </is>
      </c>
      <c r="G632" s="40" t="n">
        <v>0</v>
      </c>
    </row>
    <row r="633" ht="12" customHeight="1">
      <c r="A633" s="30" t="inlineStr">
        <is>
          <t>ARE</t>
        </is>
      </c>
      <c r="B633" s="30" t="inlineStr">
        <is>
          <t>Areal</t>
        </is>
      </c>
      <c r="C633" s="30" t="n">
        <v>72505425</v>
      </c>
      <c r="D633" s="30">
        <f>"58928936772"</f>
        <v/>
      </c>
      <c r="E633" s="30" t="inlineStr">
        <is>
          <t>VALDEMIR LOPES</t>
        </is>
      </c>
      <c r="F633" s="30" t="inlineStr">
        <is>
          <t>2021</t>
        </is>
      </c>
      <c r="G633" s="40" t="n">
        <v>0</v>
      </c>
    </row>
    <row r="634" ht="12" customHeight="1">
      <c r="A634" s="30" t="inlineStr">
        <is>
          <t>ARE</t>
        </is>
      </c>
      <c r="B634" s="30" t="inlineStr">
        <is>
          <t>Areal</t>
        </is>
      </c>
      <c r="C634" s="30" t="n">
        <v>72505425</v>
      </c>
      <c r="D634" s="30">
        <f>"58928936772"</f>
        <v/>
      </c>
      <c r="E634" s="30" t="inlineStr">
        <is>
          <t>VALDEMIR LOPES</t>
        </is>
      </c>
      <c r="F634" s="30" t="inlineStr">
        <is>
          <t>2022</t>
        </is>
      </c>
      <c r="G634" s="40" t="n">
        <v>0</v>
      </c>
    </row>
    <row r="635" ht="12" customHeight="1">
      <c r="A635" s="30" t="inlineStr">
        <is>
          <t>ARE</t>
        </is>
      </c>
      <c r="B635" s="30" t="inlineStr">
        <is>
          <t>Areal</t>
        </is>
      </c>
      <c r="C635" s="30" t="n">
        <v>72505425</v>
      </c>
      <c r="D635" s="30">
        <f>"58928936772"</f>
        <v/>
      </c>
      <c r="E635" s="30" t="inlineStr">
        <is>
          <t>VALDEMIR LOPES</t>
        </is>
      </c>
      <c r="F635" s="30" t="inlineStr">
        <is>
          <t>2023</t>
        </is>
      </c>
      <c r="G635" s="40" t="n">
        <v>0</v>
      </c>
    </row>
    <row r="636" ht="12" customHeight="1">
      <c r="A636" s="30" t="inlineStr">
        <is>
          <t>ARE</t>
        </is>
      </c>
      <c r="B636" s="30" t="inlineStr">
        <is>
          <t>Areal</t>
        </is>
      </c>
      <c r="C636" s="30" t="n">
        <v>72524250</v>
      </c>
      <c r="D636" s="30">
        <f>"10492118710"</f>
        <v/>
      </c>
      <c r="E636" s="30" t="inlineStr">
        <is>
          <t>JONAS DE PADUA DOMINGUES</t>
        </is>
      </c>
      <c r="F636" s="30" t="inlineStr">
        <is>
          <t>2017</t>
        </is>
      </c>
      <c r="G636" s="40" t="n">
        <v>0</v>
      </c>
    </row>
    <row r="637" ht="12" customHeight="1">
      <c r="A637" s="30" t="inlineStr">
        <is>
          <t>ARE</t>
        </is>
      </c>
      <c r="B637" s="30" t="inlineStr">
        <is>
          <t>Areal</t>
        </is>
      </c>
      <c r="C637" s="30" t="n">
        <v>72524250</v>
      </c>
      <c r="D637" s="30">
        <f>"10492118710"</f>
        <v/>
      </c>
      <c r="E637" s="30" t="inlineStr">
        <is>
          <t>JONAS DE PADUA DOMINGUES</t>
        </is>
      </c>
      <c r="F637" s="30" t="inlineStr">
        <is>
          <t>2018</t>
        </is>
      </c>
      <c r="G637" s="40" t="n">
        <v>10200</v>
      </c>
    </row>
    <row r="638" ht="12" customHeight="1">
      <c r="A638" s="30" t="inlineStr">
        <is>
          <t>ARE</t>
        </is>
      </c>
      <c r="B638" s="30" t="inlineStr">
        <is>
          <t>Areal</t>
        </is>
      </c>
      <c r="C638" s="30" t="n">
        <v>72524250</v>
      </c>
      <c r="D638" s="30">
        <f>"10492118710"</f>
        <v/>
      </c>
      <c r="E638" s="30" t="inlineStr">
        <is>
          <t>JONAS DE PADUA DOMINGUES</t>
        </is>
      </c>
      <c r="F638" s="30" t="inlineStr">
        <is>
          <t>2019</t>
        </is>
      </c>
      <c r="G638" s="40" t="n">
        <v>51680</v>
      </c>
    </row>
    <row r="639" ht="12" customHeight="1">
      <c r="A639" s="30" t="inlineStr">
        <is>
          <t>ARE</t>
        </is>
      </c>
      <c r="B639" s="30" t="inlineStr">
        <is>
          <t>Areal</t>
        </is>
      </c>
      <c r="C639" s="30" t="n">
        <v>72524250</v>
      </c>
      <c r="D639" s="30">
        <f>"10492118710"</f>
        <v/>
      </c>
      <c r="E639" s="30" t="inlineStr">
        <is>
          <t>JONAS DE PADUA DOMINGUES</t>
        </is>
      </c>
      <c r="F639" s="30" t="inlineStr">
        <is>
          <t>2020</t>
        </is>
      </c>
      <c r="G639" s="40" t="n">
        <v>98620</v>
      </c>
    </row>
    <row r="640" ht="12" customHeight="1">
      <c r="A640" s="30" t="inlineStr">
        <is>
          <t>ARE</t>
        </is>
      </c>
      <c r="B640" s="30" t="inlineStr">
        <is>
          <t>Areal</t>
        </is>
      </c>
      <c r="C640" s="30" t="n">
        <v>72524250</v>
      </c>
      <c r="D640" s="30">
        <f>"10492118710"</f>
        <v/>
      </c>
      <c r="E640" s="30" t="inlineStr">
        <is>
          <t>JONAS DE PADUA DOMINGUES</t>
        </is>
      </c>
      <c r="F640" s="30" t="inlineStr">
        <is>
          <t>2021</t>
        </is>
      </c>
      <c r="G640" s="40" t="n">
        <v>162244.8</v>
      </c>
    </row>
    <row r="641" ht="12" customHeight="1">
      <c r="A641" s="30" t="inlineStr">
        <is>
          <t>ARE</t>
        </is>
      </c>
      <c r="B641" s="30" t="inlineStr">
        <is>
          <t>Areal</t>
        </is>
      </c>
      <c r="C641" s="30" t="n">
        <v>72524250</v>
      </c>
      <c r="D641" s="30">
        <f>"10492118710"</f>
        <v/>
      </c>
      <c r="E641" s="30" t="inlineStr">
        <is>
          <t>JONAS DE PADUA DOMINGUES</t>
        </is>
      </c>
      <c r="F641" s="30" t="inlineStr">
        <is>
          <t>2022</t>
        </is>
      </c>
      <c r="G641" s="40" t="n">
        <v>32900</v>
      </c>
    </row>
    <row r="642" ht="12" customHeight="1">
      <c r="A642" s="30" t="inlineStr">
        <is>
          <t>ARE</t>
        </is>
      </c>
      <c r="B642" s="30" t="inlineStr">
        <is>
          <t>Areal</t>
        </is>
      </c>
      <c r="C642" s="30" t="n">
        <v>72524250</v>
      </c>
      <c r="D642" s="30">
        <f>"10492118710"</f>
        <v/>
      </c>
      <c r="E642" s="30" t="inlineStr">
        <is>
          <t>JONAS DE PADUA DOMINGUES</t>
        </is>
      </c>
      <c r="F642" s="30" t="inlineStr">
        <is>
          <t>2023</t>
        </is>
      </c>
      <c r="G642" s="40" t="n">
        <v>0</v>
      </c>
    </row>
    <row r="643" ht="12" customHeight="1">
      <c r="A643" s="30" t="inlineStr">
        <is>
          <t>ARE</t>
        </is>
      </c>
      <c r="B643" s="30" t="inlineStr">
        <is>
          <t>Areal</t>
        </is>
      </c>
      <c r="C643" s="30" t="n">
        <v>75701535</v>
      </c>
      <c r="D643" s="30">
        <f>"29899143000169"</f>
        <v/>
      </c>
      <c r="E643" s="30" t="inlineStr">
        <is>
          <t>VIACAO TREZE DE JUNHO LTDA</t>
        </is>
      </c>
      <c r="F643" s="30" t="inlineStr">
        <is>
          <t>2020</t>
        </is>
      </c>
      <c r="G643" s="40" t="n">
        <v>0</v>
      </c>
    </row>
    <row r="644" ht="12" customHeight="1">
      <c r="A644" s="30" t="inlineStr">
        <is>
          <t>ARE</t>
        </is>
      </c>
      <c r="B644" s="30" t="inlineStr">
        <is>
          <t>Areal</t>
        </is>
      </c>
      <c r="C644" s="30" t="n">
        <v>75701535</v>
      </c>
      <c r="D644" s="30">
        <f>"29899143000169"</f>
        <v/>
      </c>
      <c r="E644" s="30" t="inlineStr">
        <is>
          <t>VIACAO TREZE DE JUNHO LTDA</t>
        </is>
      </c>
      <c r="F644" s="30" t="inlineStr">
        <is>
          <t>2021</t>
        </is>
      </c>
      <c r="G644" s="40" t="n">
        <v>0</v>
      </c>
    </row>
    <row r="645" ht="12" customHeight="1">
      <c r="A645" s="30" t="inlineStr">
        <is>
          <t>ARE</t>
        </is>
      </c>
      <c r="B645" s="30" t="inlineStr">
        <is>
          <t>Areal</t>
        </is>
      </c>
      <c r="C645" s="30" t="n">
        <v>75701535</v>
      </c>
      <c r="D645" s="30">
        <f>"29899143000169"</f>
        <v/>
      </c>
      <c r="E645" s="30" t="inlineStr">
        <is>
          <t>VIACAO TREZE DE JUNHO LTDA</t>
        </is>
      </c>
      <c r="F645" s="30" t="inlineStr">
        <is>
          <t>2022</t>
        </is>
      </c>
      <c r="G645" s="40" t="n">
        <v>800</v>
      </c>
    </row>
    <row r="646" ht="12" customHeight="1">
      <c r="A646" s="30" t="inlineStr">
        <is>
          <t>ARE</t>
        </is>
      </c>
      <c r="B646" s="30" t="inlineStr">
        <is>
          <t>Areal</t>
        </is>
      </c>
      <c r="C646" s="30" t="n">
        <v>75701535</v>
      </c>
      <c r="D646" s="30">
        <f>"29899143000169"</f>
        <v/>
      </c>
      <c r="E646" s="30" t="inlineStr">
        <is>
          <t>VIACAO TREZE DE JUNHO LTDA</t>
        </is>
      </c>
      <c r="F646" s="30" t="inlineStr">
        <is>
          <t>2023</t>
        </is>
      </c>
      <c r="G646" s="40" t="n">
        <v>100</v>
      </c>
    </row>
    <row r="647" ht="12" customHeight="1">
      <c r="A647" s="30" t="inlineStr">
        <is>
          <t>ARE</t>
        </is>
      </c>
      <c r="B647" s="30" t="inlineStr">
        <is>
          <t>Areal</t>
        </is>
      </c>
      <c r="C647" s="30" t="n">
        <v>75786220</v>
      </c>
      <c r="D647" s="30">
        <f>"02533755000187"</f>
        <v/>
      </c>
      <c r="E647" s="30" t="inlineStr">
        <is>
          <t>LESTE FLU SERVICOS DE TELECOM LTDA</t>
        </is>
      </c>
      <c r="F647" s="30" t="inlineStr">
        <is>
          <t>2021</t>
        </is>
      </c>
      <c r="G647" s="40" t="n">
        <v>0</v>
      </c>
    </row>
    <row r="648" ht="12" customHeight="1">
      <c r="A648" s="30" t="inlineStr">
        <is>
          <t>ARE</t>
        </is>
      </c>
      <c r="B648" s="30" t="inlineStr">
        <is>
          <t>Areal</t>
        </is>
      </c>
      <c r="C648" s="30" t="n">
        <v>75786220</v>
      </c>
      <c r="D648" s="30">
        <f>"02533755000187"</f>
        <v/>
      </c>
      <c r="E648" s="30" t="inlineStr">
        <is>
          <t>LESTE FLU SERVICOS DE TELECOM LTDA</t>
        </is>
      </c>
      <c r="F648" s="30" t="inlineStr">
        <is>
          <t>2022</t>
        </is>
      </c>
      <c r="G648" s="40" t="n">
        <v>0</v>
      </c>
    </row>
    <row r="649" ht="12" customHeight="1">
      <c r="A649" s="30" t="inlineStr">
        <is>
          <t>ARE</t>
        </is>
      </c>
      <c r="B649" s="30" t="inlineStr">
        <is>
          <t>Areal</t>
        </is>
      </c>
      <c r="C649" s="30" t="n">
        <v>75786220</v>
      </c>
      <c r="D649" s="30">
        <f>"02533755000187"</f>
        <v/>
      </c>
      <c r="E649" s="30" t="inlineStr">
        <is>
          <t>LESTE FLU SERVICOS DE TELECOM LTDA</t>
        </is>
      </c>
      <c r="F649" s="30" t="inlineStr">
        <is>
          <t>2023</t>
        </is>
      </c>
      <c r="G649" s="40" t="n">
        <v>324.81</v>
      </c>
    </row>
    <row r="650" ht="12" customHeight="1">
      <c r="A650" s="30" t="inlineStr">
        <is>
          <t>ARE</t>
        </is>
      </c>
      <c r="B650" s="30" t="inlineStr">
        <is>
          <t>Areal</t>
        </is>
      </c>
      <c r="C650" s="30" t="n">
        <v>75794134</v>
      </c>
      <c r="D650" s="30">
        <f>"43244631002455"</f>
        <v/>
      </c>
      <c r="E650" s="30" t="inlineStr">
        <is>
          <t>TRANSPORTADORA AMERICANA LTDA</t>
        </is>
      </c>
      <c r="F650" s="30" t="inlineStr">
        <is>
          <t>2017</t>
        </is>
      </c>
      <c r="G650" s="40" t="n">
        <v>223.74</v>
      </c>
    </row>
    <row r="651" ht="12" customHeight="1">
      <c r="A651" s="30" t="inlineStr">
        <is>
          <t>ARE</t>
        </is>
      </c>
      <c r="B651" s="30" t="inlineStr">
        <is>
          <t>Areal</t>
        </is>
      </c>
      <c r="C651" s="30" t="n">
        <v>75794134</v>
      </c>
      <c r="D651" s="30">
        <f>"43244631002455"</f>
        <v/>
      </c>
      <c r="E651" s="30" t="inlineStr">
        <is>
          <t>TRANSPORTADORA AMERICANA LTDA</t>
        </is>
      </c>
      <c r="F651" s="30" t="inlineStr">
        <is>
          <t>2018</t>
        </is>
      </c>
      <c r="G651" s="40" t="n">
        <v>78.75</v>
      </c>
    </row>
    <row r="652" ht="12" customHeight="1">
      <c r="A652" s="30" t="inlineStr">
        <is>
          <t>ARE</t>
        </is>
      </c>
      <c r="B652" s="30" t="inlineStr">
        <is>
          <t>Areal</t>
        </is>
      </c>
      <c r="C652" s="30" t="n">
        <v>75794134</v>
      </c>
      <c r="D652" s="30">
        <f>"43244631002455"</f>
        <v/>
      </c>
      <c r="E652" s="30" t="inlineStr">
        <is>
          <t>TRANSPORTADORA AMERICANA LTDA</t>
        </is>
      </c>
      <c r="F652" s="30" t="inlineStr">
        <is>
          <t>2019</t>
        </is>
      </c>
      <c r="G652" s="40" t="n">
        <v>145.31</v>
      </c>
    </row>
    <row r="653" ht="12" customHeight="1">
      <c r="A653" s="30" t="inlineStr">
        <is>
          <t>ARE</t>
        </is>
      </c>
      <c r="B653" s="30" t="inlineStr">
        <is>
          <t>Areal</t>
        </is>
      </c>
      <c r="C653" s="30" t="n">
        <v>75794134</v>
      </c>
      <c r="D653" s="30">
        <f>"43244631002455"</f>
        <v/>
      </c>
      <c r="E653" s="30" t="inlineStr">
        <is>
          <t>TRANSPORTADORA AMERICANA LTDA</t>
        </is>
      </c>
      <c r="F653" s="30" t="inlineStr">
        <is>
          <t>2020</t>
        </is>
      </c>
      <c r="G653" s="40" t="n">
        <v>451.6</v>
      </c>
    </row>
    <row r="654" ht="12" customHeight="1">
      <c r="A654" s="30" t="inlineStr">
        <is>
          <t>ARE</t>
        </is>
      </c>
      <c r="B654" s="30" t="inlineStr">
        <is>
          <t>Areal</t>
        </is>
      </c>
      <c r="C654" s="30" t="n">
        <v>75794134</v>
      </c>
      <c r="D654" s="30">
        <f>"43244631002455"</f>
        <v/>
      </c>
      <c r="E654" s="30" t="inlineStr">
        <is>
          <t>TRANSPORTADORA AMERICANA LTDA</t>
        </is>
      </c>
      <c r="F654" s="30" t="inlineStr">
        <is>
          <t>2021</t>
        </is>
      </c>
      <c r="G654" s="40" t="n">
        <v>118.58</v>
      </c>
    </row>
    <row r="655" ht="12" customHeight="1">
      <c r="A655" s="30" t="inlineStr">
        <is>
          <t>ARE</t>
        </is>
      </c>
      <c r="B655" s="30" t="inlineStr">
        <is>
          <t>Areal</t>
        </is>
      </c>
      <c r="C655" s="30" t="n">
        <v>75794134</v>
      </c>
      <c r="D655" s="30">
        <f>"43244631002455"</f>
        <v/>
      </c>
      <c r="E655" s="30" t="inlineStr">
        <is>
          <t>TRANSPORTADORA AMERICANA LTDA</t>
        </is>
      </c>
      <c r="F655" s="30" t="inlineStr">
        <is>
          <t>2022</t>
        </is>
      </c>
      <c r="G655" s="40" t="n">
        <v>54.62</v>
      </c>
    </row>
    <row r="656" ht="12" customHeight="1">
      <c r="A656" s="30" t="inlineStr">
        <is>
          <t>ARE</t>
        </is>
      </c>
      <c r="B656" s="30" t="inlineStr">
        <is>
          <t>Areal</t>
        </is>
      </c>
      <c r="C656" s="30" t="n">
        <v>75794134</v>
      </c>
      <c r="D656" s="30">
        <f>"43244631002455"</f>
        <v/>
      </c>
      <c r="E656" s="30" t="inlineStr">
        <is>
          <t>TRANSPORTADORA AMERICANA LTDA</t>
        </is>
      </c>
      <c r="F656" s="30" t="inlineStr">
        <is>
          <t>2023</t>
        </is>
      </c>
      <c r="G656" s="40" t="n">
        <v>0</v>
      </c>
    </row>
    <row r="657" ht="12" customHeight="1">
      <c r="A657" s="30" t="inlineStr">
        <is>
          <t>ARE</t>
        </is>
      </c>
      <c r="B657" s="30" t="inlineStr">
        <is>
          <t>Areal</t>
        </is>
      </c>
      <c r="C657" s="30" t="n">
        <v>75846223</v>
      </c>
      <c r="D657" s="30">
        <f>"02653803000170"</f>
        <v/>
      </c>
      <c r="E657" s="30" t="inlineStr">
        <is>
          <t>SM - RIO TRANSPORTE E LOGÍSTICA EIRELI</t>
        </is>
      </c>
      <c r="F657" s="30" t="inlineStr">
        <is>
          <t>2017</t>
        </is>
      </c>
      <c r="G657" s="40" t="n">
        <v>3920.44</v>
      </c>
    </row>
    <row r="658" ht="12" customHeight="1">
      <c r="A658" s="30" t="inlineStr">
        <is>
          <t>ARE</t>
        </is>
      </c>
      <c r="B658" s="30" t="inlineStr">
        <is>
          <t>Areal</t>
        </is>
      </c>
      <c r="C658" s="30" t="n">
        <v>75846223</v>
      </c>
      <c r="D658" s="30">
        <f>"02653803000170"</f>
        <v/>
      </c>
      <c r="E658" s="30" t="inlineStr">
        <is>
          <t>SM - RIO TRANSPORTE E LOGÍSTICA EIRELI</t>
        </is>
      </c>
      <c r="F658" s="30" t="inlineStr">
        <is>
          <t>2018</t>
        </is>
      </c>
      <c r="G658" s="40" t="n">
        <v>10833.91</v>
      </c>
    </row>
    <row r="659" ht="12" customHeight="1">
      <c r="A659" s="30" t="inlineStr">
        <is>
          <t>ARE</t>
        </is>
      </c>
      <c r="B659" s="30" t="inlineStr">
        <is>
          <t>Areal</t>
        </is>
      </c>
      <c r="C659" s="30" t="n">
        <v>75846223</v>
      </c>
      <c r="D659" s="30">
        <f>"02653803000170"</f>
        <v/>
      </c>
      <c r="E659" s="30" t="inlineStr">
        <is>
          <t>SM - RIO TRANSPORTE E LOGÍSTICA EIRELI</t>
        </is>
      </c>
      <c r="F659" s="30" t="inlineStr">
        <is>
          <t>2019</t>
        </is>
      </c>
      <c r="G659" s="40" t="n">
        <v>0</v>
      </c>
    </row>
    <row r="660" ht="12" customHeight="1">
      <c r="A660" s="30" t="inlineStr">
        <is>
          <t>ARE</t>
        </is>
      </c>
      <c r="B660" s="30" t="inlineStr">
        <is>
          <t>Areal</t>
        </is>
      </c>
      <c r="C660" s="30" t="n">
        <v>75846223</v>
      </c>
      <c r="D660" s="30">
        <f>"02653803000170"</f>
        <v/>
      </c>
      <c r="E660" s="30" t="inlineStr">
        <is>
          <t>SM - RIO TRANSPORTE E LOGÍSTICA EIRELI</t>
        </is>
      </c>
      <c r="F660" s="30" t="inlineStr">
        <is>
          <t>2020</t>
        </is>
      </c>
      <c r="G660" s="40" t="n">
        <v>0</v>
      </c>
    </row>
    <row r="661" ht="12" customHeight="1">
      <c r="A661" s="30" t="inlineStr">
        <is>
          <t>ARE</t>
        </is>
      </c>
      <c r="B661" s="30" t="inlineStr">
        <is>
          <t>Areal</t>
        </is>
      </c>
      <c r="C661" s="30" t="n">
        <v>75849567</v>
      </c>
      <c r="D661" s="30">
        <f>"19694199000476"</f>
        <v/>
      </c>
      <c r="E661" s="30" t="inlineStr">
        <is>
          <t>TRANSREFER TRANSPORTE E LOGISTICA LTDA</t>
        </is>
      </c>
      <c r="F661" s="30" t="inlineStr">
        <is>
          <t>2017</t>
        </is>
      </c>
      <c r="G661" s="40" t="n">
        <v>51547.47</v>
      </c>
    </row>
    <row r="662" ht="12" customHeight="1">
      <c r="A662" s="30" t="inlineStr">
        <is>
          <t>ARE</t>
        </is>
      </c>
      <c r="B662" s="30" t="inlineStr">
        <is>
          <t>Areal</t>
        </is>
      </c>
      <c r="C662" s="30" t="n">
        <v>75849567</v>
      </c>
      <c r="D662" s="30">
        <f>"19694199000476"</f>
        <v/>
      </c>
      <c r="E662" s="30" t="inlineStr">
        <is>
          <t>TRANSREFER TRANSPORTE E LOGISTICA LTDA</t>
        </is>
      </c>
      <c r="F662" s="30" t="inlineStr">
        <is>
          <t>2018</t>
        </is>
      </c>
      <c r="G662" s="40" t="n">
        <v>0</v>
      </c>
    </row>
    <row r="663" ht="12" customHeight="1">
      <c r="A663" s="30" t="inlineStr">
        <is>
          <t>ARE</t>
        </is>
      </c>
      <c r="B663" s="30" t="inlineStr">
        <is>
          <t>Areal</t>
        </is>
      </c>
      <c r="C663" s="30" t="n">
        <v>75849567</v>
      </c>
      <c r="D663" s="30">
        <f>"19694199000476"</f>
        <v/>
      </c>
      <c r="E663" s="30" t="inlineStr">
        <is>
          <t>TRANSREFER TRANSPORTE E LOGISTICA LTDA</t>
        </is>
      </c>
      <c r="F663" s="30" t="inlineStr">
        <is>
          <t>2019</t>
        </is>
      </c>
      <c r="G663" s="40" t="n">
        <v>0</v>
      </c>
    </row>
    <row r="664" ht="12" customHeight="1">
      <c r="A664" s="30" t="inlineStr">
        <is>
          <t>ARE</t>
        </is>
      </c>
      <c r="B664" s="30" t="inlineStr">
        <is>
          <t>Areal</t>
        </is>
      </c>
      <c r="C664" s="30" t="n">
        <v>75849699</v>
      </c>
      <c r="D664" s="30">
        <f>"58506155000427"</f>
        <v/>
      </c>
      <c r="E664" s="30" t="inlineStr">
        <is>
          <t>MIRA OTM TRANSPORTES LTDA</t>
        </is>
      </c>
      <c r="F664" s="30" t="inlineStr">
        <is>
          <t>2017</t>
        </is>
      </c>
      <c r="G664" s="40" t="n">
        <v>0</v>
      </c>
    </row>
    <row r="665" ht="12" customHeight="1">
      <c r="A665" s="30" t="inlineStr">
        <is>
          <t>ARE</t>
        </is>
      </c>
      <c r="B665" s="30" t="inlineStr">
        <is>
          <t>Areal</t>
        </is>
      </c>
      <c r="C665" s="30" t="n">
        <v>75849699</v>
      </c>
      <c r="D665" s="30">
        <f>"58506155000427"</f>
        <v/>
      </c>
      <c r="E665" s="30" t="inlineStr">
        <is>
          <t>MIRA OTM TRANSPORTES LTDA</t>
        </is>
      </c>
      <c r="F665" s="30" t="inlineStr">
        <is>
          <t>2018</t>
        </is>
      </c>
      <c r="G665" s="40" t="n">
        <v>0</v>
      </c>
    </row>
    <row r="666" ht="12" customHeight="1">
      <c r="A666" s="30" t="inlineStr">
        <is>
          <t>ARE</t>
        </is>
      </c>
      <c r="B666" s="30" t="inlineStr">
        <is>
          <t>Areal</t>
        </is>
      </c>
      <c r="C666" s="30" t="n">
        <v>75849699</v>
      </c>
      <c r="D666" s="30">
        <f>"58506155000427"</f>
        <v/>
      </c>
      <c r="E666" s="30" t="inlineStr">
        <is>
          <t>MIRA OTM TRANSPORTES LTDA</t>
        </is>
      </c>
      <c r="F666" s="30" t="inlineStr">
        <is>
          <t>2019</t>
        </is>
      </c>
      <c r="G666" s="40" t="n">
        <v>9310.26</v>
      </c>
    </row>
    <row r="667" ht="12" customHeight="1">
      <c r="A667" s="30" t="inlineStr">
        <is>
          <t>ARE</t>
        </is>
      </c>
      <c r="B667" s="30" t="inlineStr">
        <is>
          <t>Areal</t>
        </is>
      </c>
      <c r="C667" s="30" t="n">
        <v>75849699</v>
      </c>
      <c r="D667" s="30">
        <f>"58506155000427"</f>
        <v/>
      </c>
      <c r="E667" s="30" t="inlineStr">
        <is>
          <t>MIRA OTM TRANSPORTES LTDA</t>
        </is>
      </c>
      <c r="F667" s="30" t="inlineStr">
        <is>
          <t>2020</t>
        </is>
      </c>
      <c r="G667" s="40" t="n">
        <v>0</v>
      </c>
    </row>
    <row r="668" ht="12" customHeight="1">
      <c r="A668" s="30" t="inlineStr">
        <is>
          <t>ARE</t>
        </is>
      </c>
      <c r="B668" s="30" t="inlineStr">
        <is>
          <t>Areal</t>
        </is>
      </c>
      <c r="C668" s="30" t="n">
        <v>75849699</v>
      </c>
      <c r="D668" s="30">
        <f>"58506155000427"</f>
        <v/>
      </c>
      <c r="E668" s="30" t="inlineStr">
        <is>
          <t>MIRA OTM TRANSPORTES LTDA</t>
        </is>
      </c>
      <c r="F668" s="30" t="inlineStr">
        <is>
          <t>2021</t>
        </is>
      </c>
      <c r="G668" s="40" t="n">
        <v>0</v>
      </c>
    </row>
    <row r="669" ht="12" customHeight="1">
      <c r="A669" s="30" t="inlineStr">
        <is>
          <t>ARE</t>
        </is>
      </c>
      <c r="B669" s="30" t="inlineStr">
        <is>
          <t>Areal</t>
        </is>
      </c>
      <c r="C669" s="30" t="n">
        <v>76026831</v>
      </c>
      <c r="D669" s="30">
        <f>"60664828007340"</f>
        <v/>
      </c>
      <c r="E669" s="30" t="inlineStr">
        <is>
          <t>EMPRESA DE TRANSPORTES ATLAS LTDA</t>
        </is>
      </c>
      <c r="F669" s="30" t="inlineStr">
        <is>
          <t>2017</t>
        </is>
      </c>
      <c r="G669" s="40" t="n">
        <v>33127.59</v>
      </c>
    </row>
    <row r="670" ht="12" customHeight="1">
      <c r="A670" s="30" t="inlineStr">
        <is>
          <t>ARE</t>
        </is>
      </c>
      <c r="B670" s="30" t="inlineStr">
        <is>
          <t>Areal</t>
        </is>
      </c>
      <c r="C670" s="30" t="n">
        <v>76026831</v>
      </c>
      <c r="D670" s="30">
        <f>"60664828007340"</f>
        <v/>
      </c>
      <c r="E670" s="30" t="inlineStr">
        <is>
          <t>EMPRESA DE TRANSPORTES ATLAS LTDA</t>
        </is>
      </c>
      <c r="F670" s="30" t="inlineStr">
        <is>
          <t>2018</t>
        </is>
      </c>
      <c r="G670" s="40" t="n">
        <v>22946.13</v>
      </c>
    </row>
    <row r="671" ht="12" customHeight="1">
      <c r="A671" s="30" t="inlineStr">
        <is>
          <t>ARE</t>
        </is>
      </c>
      <c r="B671" s="30" t="inlineStr">
        <is>
          <t>Areal</t>
        </is>
      </c>
      <c r="C671" s="30" t="n">
        <v>76026831</v>
      </c>
      <c r="D671" s="30">
        <f>"60664828007340"</f>
        <v/>
      </c>
      <c r="E671" s="30" t="inlineStr">
        <is>
          <t>EMPRESA DE TRANSPORTES ATLAS LTDA</t>
        </is>
      </c>
      <c r="F671" s="30" t="inlineStr">
        <is>
          <t>2019</t>
        </is>
      </c>
      <c r="G671" s="40" t="n">
        <v>290.94</v>
      </c>
    </row>
    <row r="672" ht="12" customHeight="1">
      <c r="A672" s="30" t="inlineStr">
        <is>
          <t>ARE</t>
        </is>
      </c>
      <c r="B672" s="30" t="inlineStr">
        <is>
          <t>Areal</t>
        </is>
      </c>
      <c r="C672" s="30" t="n">
        <v>76026831</v>
      </c>
      <c r="D672" s="30">
        <f>"60664828007340"</f>
        <v/>
      </c>
      <c r="E672" s="30" t="inlineStr">
        <is>
          <t>EMPRESA DE TRANSPORTES ATLAS LTDA</t>
        </is>
      </c>
      <c r="F672" s="30" t="inlineStr">
        <is>
          <t>2020</t>
        </is>
      </c>
      <c r="G672" s="40" t="n">
        <v>0</v>
      </c>
    </row>
    <row r="673" ht="12" customHeight="1">
      <c r="A673" s="30" t="inlineStr">
        <is>
          <t>ARE</t>
        </is>
      </c>
      <c r="B673" s="30" t="inlineStr">
        <is>
          <t>Areal</t>
        </is>
      </c>
      <c r="C673" s="30" t="n">
        <v>76026831</v>
      </c>
      <c r="D673" s="30">
        <f>"60664828007340"</f>
        <v/>
      </c>
      <c r="E673" s="30" t="inlineStr">
        <is>
          <t>EMPRESA DE TRANSPORTES ATLAS LTDA</t>
        </is>
      </c>
      <c r="F673" s="30" t="inlineStr">
        <is>
          <t>2021</t>
        </is>
      </c>
      <c r="G673" s="40" t="n">
        <v>0</v>
      </c>
    </row>
    <row r="674" ht="12" customHeight="1">
      <c r="A674" s="30" t="inlineStr">
        <is>
          <t>ARE</t>
        </is>
      </c>
      <c r="B674" s="30" t="inlineStr">
        <is>
          <t>Areal</t>
        </is>
      </c>
      <c r="C674" s="30" t="n">
        <v>76085927</v>
      </c>
      <c r="D674" s="30">
        <f>"26341222000323"</f>
        <v/>
      </c>
      <c r="E674" s="30" t="inlineStr">
        <is>
          <t>EXPRESSO M 2000 LTDA</t>
        </is>
      </c>
      <c r="F674" s="30" t="inlineStr">
        <is>
          <t>2018</t>
        </is>
      </c>
      <c r="G674" s="40" t="n">
        <v>0</v>
      </c>
    </row>
    <row r="675" ht="12" customHeight="1">
      <c r="A675" s="30" t="inlineStr">
        <is>
          <t>ARE</t>
        </is>
      </c>
      <c r="B675" s="30" t="inlineStr">
        <is>
          <t>Areal</t>
        </is>
      </c>
      <c r="C675" s="30" t="n">
        <v>76085927</v>
      </c>
      <c r="D675" s="30">
        <f>"26341222000323"</f>
        <v/>
      </c>
      <c r="E675" s="30" t="inlineStr">
        <is>
          <t>EXPRESSO M 2000 LTDA</t>
        </is>
      </c>
      <c r="F675" s="30" t="inlineStr">
        <is>
          <t>2019</t>
        </is>
      </c>
      <c r="G675" s="40" t="n">
        <v>0</v>
      </c>
    </row>
    <row r="676" ht="12" customHeight="1">
      <c r="A676" s="30" t="inlineStr">
        <is>
          <t>ARE</t>
        </is>
      </c>
      <c r="B676" s="30" t="inlineStr">
        <is>
          <t>Areal</t>
        </is>
      </c>
      <c r="C676" s="30" t="n">
        <v>76085927</v>
      </c>
      <c r="D676" s="30">
        <f>"26341222000323"</f>
        <v/>
      </c>
      <c r="E676" s="30" t="inlineStr">
        <is>
          <t>EXPRESSO M 2000 LTDA</t>
        </is>
      </c>
      <c r="F676" s="30" t="inlineStr">
        <is>
          <t>2020</t>
        </is>
      </c>
      <c r="G676" s="40" t="n">
        <v>221.68</v>
      </c>
    </row>
    <row r="677" ht="12" customHeight="1">
      <c r="A677" s="30" t="inlineStr">
        <is>
          <t>ARE</t>
        </is>
      </c>
      <c r="B677" s="30" t="inlineStr">
        <is>
          <t>Areal</t>
        </is>
      </c>
      <c r="C677" s="30" t="n">
        <v>76085927</v>
      </c>
      <c r="D677" s="30">
        <f>"26341222000323"</f>
        <v/>
      </c>
      <c r="E677" s="30" t="inlineStr">
        <is>
          <t>EXPRESSO M 2000 LTDA</t>
        </is>
      </c>
      <c r="F677" s="30" t="inlineStr">
        <is>
          <t>2021</t>
        </is>
      </c>
      <c r="G677" s="40" t="n">
        <v>0</v>
      </c>
    </row>
    <row r="678" ht="12" customHeight="1">
      <c r="A678" s="30" t="inlineStr">
        <is>
          <t>ARE</t>
        </is>
      </c>
      <c r="B678" s="30" t="inlineStr">
        <is>
          <t>Areal</t>
        </is>
      </c>
      <c r="C678" s="30" t="n">
        <v>76085927</v>
      </c>
      <c r="D678" s="30">
        <f>"26341222000323"</f>
        <v/>
      </c>
      <c r="E678" s="30" t="inlineStr">
        <is>
          <t>EXPRESSO M 2000 LTDA</t>
        </is>
      </c>
      <c r="F678" s="30" t="inlineStr">
        <is>
          <t>2022</t>
        </is>
      </c>
      <c r="G678" s="40" t="n">
        <v>0</v>
      </c>
    </row>
    <row r="679" ht="12" customHeight="1">
      <c r="A679" s="30" t="inlineStr">
        <is>
          <t>ARE</t>
        </is>
      </c>
      <c r="B679" s="30" t="inlineStr">
        <is>
          <t>Areal</t>
        </is>
      </c>
      <c r="C679" s="30" t="n">
        <v>76105502</v>
      </c>
      <c r="D679" s="30">
        <f>"03419953000187"</f>
        <v/>
      </c>
      <c r="E679" s="30" t="inlineStr">
        <is>
          <t>MARFRAN TRANSPORTES E LOGISTICA LTDA ME</t>
        </is>
      </c>
      <c r="F679" s="30" t="inlineStr">
        <is>
          <t>2017</t>
        </is>
      </c>
      <c r="G679" s="40" t="n">
        <v>900.6</v>
      </c>
    </row>
    <row r="680" ht="12" customHeight="1">
      <c r="A680" s="30" t="inlineStr">
        <is>
          <t>ARE</t>
        </is>
      </c>
      <c r="B680" s="30" t="inlineStr">
        <is>
          <t>Areal</t>
        </is>
      </c>
      <c r="C680" s="30" t="n">
        <v>76105502</v>
      </c>
      <c r="D680" s="30">
        <f>"03419953000187"</f>
        <v/>
      </c>
      <c r="E680" s="30" t="inlineStr">
        <is>
          <t>MARFRAN TRANSPORTES E LOGISTICA LTDA ME</t>
        </is>
      </c>
      <c r="F680" s="30" t="inlineStr">
        <is>
          <t>2018</t>
        </is>
      </c>
      <c r="G680" s="40" t="n">
        <v>19871.91</v>
      </c>
    </row>
    <row r="681" ht="12" customHeight="1">
      <c r="A681" s="30" t="inlineStr">
        <is>
          <t>ARE</t>
        </is>
      </c>
      <c r="B681" s="30" t="inlineStr">
        <is>
          <t>Areal</t>
        </is>
      </c>
      <c r="C681" s="30" t="n">
        <v>76105502</v>
      </c>
      <c r="D681" s="30">
        <f>"03419953000187"</f>
        <v/>
      </c>
      <c r="E681" s="30" t="inlineStr">
        <is>
          <t>MARFRAN TRANSPORTES E LOGISTICA LTDA ME</t>
        </is>
      </c>
      <c r="F681" s="30" t="inlineStr">
        <is>
          <t>2019</t>
        </is>
      </c>
      <c r="G681" s="40" t="n">
        <v>0</v>
      </c>
    </row>
    <row r="682" ht="12" customHeight="1">
      <c r="A682" s="30" t="inlineStr">
        <is>
          <t>ARE</t>
        </is>
      </c>
      <c r="B682" s="30" t="inlineStr">
        <is>
          <t>Areal</t>
        </is>
      </c>
      <c r="C682" s="30" t="n">
        <v>76105502</v>
      </c>
      <c r="D682" s="30">
        <f>"03419953000187"</f>
        <v/>
      </c>
      <c r="E682" s="30" t="inlineStr">
        <is>
          <t>MARFRAN TRANSPORTES E LOGISTICA LTDA ME</t>
        </is>
      </c>
      <c r="F682" s="30" t="inlineStr">
        <is>
          <t>2020</t>
        </is>
      </c>
      <c r="G682" s="40" t="n">
        <v>0</v>
      </c>
    </row>
    <row r="683" ht="12" customHeight="1">
      <c r="A683" s="30" t="inlineStr">
        <is>
          <t>ARE</t>
        </is>
      </c>
      <c r="B683" s="30" t="inlineStr">
        <is>
          <t>Areal</t>
        </is>
      </c>
      <c r="C683" s="30" t="n">
        <v>77054545</v>
      </c>
      <c r="D683" s="30">
        <f>"03757239000107"</f>
        <v/>
      </c>
      <c r="E683" s="30" t="inlineStr">
        <is>
          <t>SPEED WORK TRANSPORTES EIRELI</t>
        </is>
      </c>
      <c r="F683" s="30" t="inlineStr">
        <is>
          <t>2017</t>
        </is>
      </c>
      <c r="G683" s="40" t="n">
        <v>1.3</v>
      </c>
    </row>
    <row r="684" ht="12" customHeight="1">
      <c r="A684" s="30" t="inlineStr">
        <is>
          <t>ARE</t>
        </is>
      </c>
      <c r="B684" s="30" t="inlineStr">
        <is>
          <t>Areal</t>
        </is>
      </c>
      <c r="C684" s="30" t="n">
        <v>77054545</v>
      </c>
      <c r="D684" s="30">
        <f>"03757239000107"</f>
        <v/>
      </c>
      <c r="E684" s="30" t="inlineStr">
        <is>
          <t>SPEED WORK TRANSPORTES EIRELI</t>
        </is>
      </c>
      <c r="F684" s="30" t="inlineStr">
        <is>
          <t>2018</t>
        </is>
      </c>
      <c r="G684" s="40" t="n">
        <v>1.3</v>
      </c>
    </row>
    <row r="685" ht="12" customHeight="1">
      <c r="A685" s="30" t="inlineStr">
        <is>
          <t>ARE</t>
        </is>
      </c>
      <c r="B685" s="30" t="inlineStr">
        <is>
          <t>Areal</t>
        </is>
      </c>
      <c r="C685" s="30" t="n">
        <v>77054545</v>
      </c>
      <c r="D685" s="30">
        <f>"03757239000107"</f>
        <v/>
      </c>
      <c r="E685" s="30" t="inlineStr">
        <is>
          <t>SPEED WORK TRANSPORTES EIRELI</t>
        </is>
      </c>
      <c r="F685" s="30" t="inlineStr">
        <is>
          <t>2019</t>
        </is>
      </c>
      <c r="G685" s="40" t="n">
        <v>0</v>
      </c>
    </row>
    <row r="686" ht="12" customHeight="1">
      <c r="A686" s="30" t="inlineStr">
        <is>
          <t>ARE</t>
        </is>
      </c>
      <c r="B686" s="30" t="inlineStr">
        <is>
          <t>Areal</t>
        </is>
      </c>
      <c r="C686" s="30" t="n">
        <v>77054545</v>
      </c>
      <c r="D686" s="30">
        <f>"03757239000107"</f>
        <v/>
      </c>
      <c r="E686" s="30" t="inlineStr">
        <is>
          <t>SPEED WORK TRANSPORTES EIRELI</t>
        </is>
      </c>
      <c r="F686" s="30" t="inlineStr">
        <is>
          <t>2020</t>
        </is>
      </c>
      <c r="G686" s="40" t="n">
        <v>0</v>
      </c>
    </row>
    <row r="687" ht="12" customHeight="1">
      <c r="A687" s="30" t="inlineStr">
        <is>
          <t>ARE</t>
        </is>
      </c>
      <c r="B687" s="30" t="inlineStr">
        <is>
          <t>Areal</t>
        </is>
      </c>
      <c r="C687" s="30" t="n">
        <v>77054545</v>
      </c>
      <c r="D687" s="30">
        <f>"03757239000107"</f>
        <v/>
      </c>
      <c r="E687" s="30" t="inlineStr">
        <is>
          <t>SPEED WORK TRANSPORTES EIRELI</t>
        </is>
      </c>
      <c r="F687" s="30" t="inlineStr">
        <is>
          <t>2021</t>
        </is>
      </c>
      <c r="G687" s="40" t="n">
        <v>0</v>
      </c>
    </row>
    <row r="688" ht="12" customHeight="1">
      <c r="A688" s="30" t="inlineStr">
        <is>
          <t>ARE</t>
        </is>
      </c>
      <c r="B688" s="30" t="inlineStr">
        <is>
          <t>Areal</t>
        </is>
      </c>
      <c r="C688" s="30" t="n">
        <v>77054545</v>
      </c>
      <c r="D688" s="30">
        <f>"03757239000107"</f>
        <v/>
      </c>
      <c r="E688" s="30" t="inlineStr">
        <is>
          <t>SPEED WORK TRANSPORTES EIRELI</t>
        </is>
      </c>
      <c r="F688" s="30" t="inlineStr">
        <is>
          <t>2022</t>
        </is>
      </c>
      <c r="G688" s="40" t="n">
        <v>133.04</v>
      </c>
    </row>
    <row r="689" ht="12" customHeight="1">
      <c r="A689" s="30" t="inlineStr">
        <is>
          <t>ARE</t>
        </is>
      </c>
      <c r="B689" s="30" t="inlineStr">
        <is>
          <t>Areal</t>
        </is>
      </c>
      <c r="C689" s="30" t="n">
        <v>77054545</v>
      </c>
      <c r="D689" s="30">
        <f>"03757239000107"</f>
        <v/>
      </c>
      <c r="E689" s="30" t="inlineStr">
        <is>
          <t>SPEED WORK TRANSPORTES EIRELI</t>
        </is>
      </c>
      <c r="F689" s="30" t="inlineStr">
        <is>
          <t>2023</t>
        </is>
      </c>
      <c r="G689" s="40" t="n">
        <v>0</v>
      </c>
    </row>
    <row r="690" ht="12" customHeight="1">
      <c r="A690" s="30" t="inlineStr">
        <is>
          <t>ARE</t>
        </is>
      </c>
      <c r="B690" s="30" t="inlineStr">
        <is>
          <t>Areal</t>
        </is>
      </c>
      <c r="C690" s="30" t="n">
        <v>77071431</v>
      </c>
      <c r="D690" s="30">
        <f>"01125797000620"</f>
        <v/>
      </c>
      <c r="E690" s="30" t="inlineStr">
        <is>
          <t>ATIVA DISTRIBUICAO E LOGISTICA LTDA</t>
        </is>
      </c>
      <c r="F690" s="30" t="inlineStr">
        <is>
          <t>2017</t>
        </is>
      </c>
      <c r="G690" s="40" t="n">
        <v>46486.15</v>
      </c>
    </row>
    <row r="691" ht="12" customHeight="1">
      <c r="A691" s="30" t="inlineStr">
        <is>
          <t>ARE</t>
        </is>
      </c>
      <c r="B691" s="30" t="inlineStr">
        <is>
          <t>Areal</t>
        </is>
      </c>
      <c r="C691" s="30" t="n">
        <v>77071431</v>
      </c>
      <c r="D691" s="30">
        <f>"01125797000620"</f>
        <v/>
      </c>
      <c r="E691" s="30" t="inlineStr">
        <is>
          <t>ATIVA DISTRIBUICAO E LOGISTICA LTDA</t>
        </is>
      </c>
      <c r="F691" s="30" t="inlineStr">
        <is>
          <t>2018</t>
        </is>
      </c>
      <c r="G691" s="40" t="n">
        <v>2169.93</v>
      </c>
    </row>
    <row r="692" ht="12" customHeight="1">
      <c r="A692" s="30" t="inlineStr">
        <is>
          <t>ARE</t>
        </is>
      </c>
      <c r="B692" s="30" t="inlineStr">
        <is>
          <t>Areal</t>
        </is>
      </c>
      <c r="C692" s="30" t="n">
        <v>77071431</v>
      </c>
      <c r="D692" s="30">
        <f>"01125797000620"</f>
        <v/>
      </c>
      <c r="E692" s="30" t="inlineStr">
        <is>
          <t>ATIVA DISTRIBUICAO E LOGISTICA LTDA</t>
        </is>
      </c>
      <c r="F692" s="30" t="inlineStr">
        <is>
          <t>2019</t>
        </is>
      </c>
      <c r="G692" s="40" t="n">
        <v>37580.85</v>
      </c>
    </row>
    <row r="693" ht="12" customHeight="1">
      <c r="A693" s="30" t="inlineStr">
        <is>
          <t>ARE</t>
        </is>
      </c>
      <c r="B693" s="30" t="inlineStr">
        <is>
          <t>Areal</t>
        </is>
      </c>
      <c r="C693" s="30" t="n">
        <v>77071431</v>
      </c>
      <c r="D693" s="30">
        <f>"01125797000620"</f>
        <v/>
      </c>
      <c r="E693" s="30" t="inlineStr">
        <is>
          <t>ATIVA DISTRIBUICAO E LOGISTICA LTDA</t>
        </is>
      </c>
      <c r="F693" s="30" t="inlineStr">
        <is>
          <t>2020</t>
        </is>
      </c>
      <c r="G693" s="40" t="n">
        <v>105456.63</v>
      </c>
    </row>
    <row r="694" ht="12" customHeight="1">
      <c r="A694" s="30" t="inlineStr">
        <is>
          <t>ARE</t>
        </is>
      </c>
      <c r="B694" s="30" t="inlineStr">
        <is>
          <t>Areal</t>
        </is>
      </c>
      <c r="C694" s="30" t="n">
        <v>77071431</v>
      </c>
      <c r="D694" s="30">
        <f>"01125797000620"</f>
        <v/>
      </c>
      <c r="E694" s="30" t="inlineStr">
        <is>
          <t>ATIVA DISTRIBUICAO E LOGISTICA LTDA</t>
        </is>
      </c>
      <c r="F694" s="30" t="inlineStr">
        <is>
          <t>2021</t>
        </is>
      </c>
      <c r="G694" s="40" t="n">
        <v>14706.93</v>
      </c>
    </row>
    <row r="695" ht="12" customHeight="1">
      <c r="A695" s="30" t="inlineStr">
        <is>
          <t>ARE</t>
        </is>
      </c>
      <c r="B695" s="30" t="inlineStr">
        <is>
          <t>Areal</t>
        </is>
      </c>
      <c r="C695" s="30" t="n">
        <v>77071431</v>
      </c>
      <c r="D695" s="30">
        <f>"01125797000620"</f>
        <v/>
      </c>
      <c r="E695" s="30" t="inlineStr">
        <is>
          <t>ATIVA DISTRIBUICAO E LOGISTICA LTDA</t>
        </is>
      </c>
      <c r="F695" s="30" t="inlineStr">
        <is>
          <t>2022</t>
        </is>
      </c>
      <c r="G695" s="40" t="n">
        <v>0</v>
      </c>
    </row>
    <row r="696" ht="12" customHeight="1">
      <c r="A696" s="30" t="inlineStr">
        <is>
          <t>ARE</t>
        </is>
      </c>
      <c r="B696" s="30" t="inlineStr">
        <is>
          <t>Areal</t>
        </is>
      </c>
      <c r="C696" s="30" t="n">
        <v>77071431</v>
      </c>
      <c r="D696" s="30">
        <f>"01125797000620"</f>
        <v/>
      </c>
      <c r="E696" s="30" t="inlineStr">
        <is>
          <t>ATIVA DISTRIBUICAO E LOGISTICA LTDA</t>
        </is>
      </c>
      <c r="F696" s="30" t="inlineStr">
        <is>
          <t>2023</t>
        </is>
      </c>
      <c r="G696" s="40" t="n">
        <v>0</v>
      </c>
    </row>
    <row r="697" ht="12" customHeight="1">
      <c r="A697" s="30" t="inlineStr">
        <is>
          <t>ARE</t>
        </is>
      </c>
      <c r="B697" s="30" t="inlineStr">
        <is>
          <t>Areal</t>
        </is>
      </c>
      <c r="C697" s="30" t="n">
        <v>77142126</v>
      </c>
      <c r="D697" s="30">
        <f>"04155259000324"</f>
        <v/>
      </c>
      <c r="E697" s="30" t="inlineStr">
        <is>
          <t>TRANSPORTADORA M M A LTDA</t>
        </is>
      </c>
      <c r="F697" s="30" t="inlineStr">
        <is>
          <t>2018</t>
        </is>
      </c>
      <c r="G697" s="40" t="n">
        <v>0</v>
      </c>
    </row>
    <row r="698" ht="12" customHeight="1">
      <c r="A698" s="30" t="inlineStr">
        <is>
          <t>ARE</t>
        </is>
      </c>
      <c r="B698" s="30" t="inlineStr">
        <is>
          <t>Areal</t>
        </is>
      </c>
      <c r="C698" s="30" t="n">
        <v>77142126</v>
      </c>
      <c r="D698" s="30">
        <f>"04155259000324"</f>
        <v/>
      </c>
      <c r="E698" s="30" t="inlineStr">
        <is>
          <t>TRANSPORTADORA M M A LTDA</t>
        </is>
      </c>
      <c r="F698" s="30" t="inlineStr">
        <is>
          <t>2019</t>
        </is>
      </c>
      <c r="G698" s="40" t="n">
        <v>0</v>
      </c>
    </row>
    <row r="699" ht="12" customHeight="1">
      <c r="A699" s="30" t="inlineStr">
        <is>
          <t>ARE</t>
        </is>
      </c>
      <c r="B699" s="30" t="inlineStr">
        <is>
          <t>Areal</t>
        </is>
      </c>
      <c r="C699" s="30" t="n">
        <v>77142126</v>
      </c>
      <c r="D699" s="30">
        <f>"04155259000324"</f>
        <v/>
      </c>
      <c r="E699" s="30" t="inlineStr">
        <is>
          <t>TRANSPORTADORA M M A LTDA</t>
        </is>
      </c>
      <c r="F699" s="30" t="inlineStr">
        <is>
          <t>2020</t>
        </is>
      </c>
      <c r="G699" s="40" t="n">
        <v>267.94</v>
      </c>
    </row>
    <row r="700" ht="12" customHeight="1">
      <c r="A700" s="30" t="inlineStr">
        <is>
          <t>ARE</t>
        </is>
      </c>
      <c r="B700" s="30" t="inlineStr">
        <is>
          <t>Areal</t>
        </is>
      </c>
      <c r="C700" s="30" t="n">
        <v>77142126</v>
      </c>
      <c r="D700" s="30">
        <f>"04155259000324"</f>
        <v/>
      </c>
      <c r="E700" s="30" t="inlineStr">
        <is>
          <t>TRANSPORTADORA M M A LTDA</t>
        </is>
      </c>
      <c r="F700" s="30" t="inlineStr">
        <is>
          <t>2021</t>
        </is>
      </c>
      <c r="G700" s="40" t="n">
        <v>1225.32</v>
      </c>
    </row>
    <row r="701" ht="12" customHeight="1">
      <c r="A701" s="30" t="inlineStr">
        <is>
          <t>ARE</t>
        </is>
      </c>
      <c r="B701" s="30" t="inlineStr">
        <is>
          <t>Areal</t>
        </is>
      </c>
      <c r="C701" s="30" t="n">
        <v>77142126</v>
      </c>
      <c r="D701" s="30">
        <f>"04155259000324"</f>
        <v/>
      </c>
      <c r="E701" s="30" t="inlineStr">
        <is>
          <t>TRANSPORTADORA M M A LTDA</t>
        </is>
      </c>
      <c r="F701" s="30" t="inlineStr">
        <is>
          <t>2022</t>
        </is>
      </c>
      <c r="G701" s="40" t="n">
        <v>760.37</v>
      </c>
    </row>
    <row r="702" ht="12" customHeight="1">
      <c r="A702" s="30" t="inlineStr">
        <is>
          <t>ARE</t>
        </is>
      </c>
      <c r="B702" s="30" t="inlineStr">
        <is>
          <t>Areal</t>
        </is>
      </c>
      <c r="C702" s="30" t="n">
        <v>77142126</v>
      </c>
      <c r="D702" s="30">
        <f>"04155259000324"</f>
        <v/>
      </c>
      <c r="E702" s="30" t="inlineStr">
        <is>
          <t>TRANSPORTADORA M M A LTDA</t>
        </is>
      </c>
      <c r="F702" s="30" t="inlineStr">
        <is>
          <t>2023</t>
        </is>
      </c>
      <c r="G702" s="40" t="n">
        <v>224.61</v>
      </c>
    </row>
    <row r="703" ht="12" customHeight="1">
      <c r="A703" s="30" t="inlineStr">
        <is>
          <t>ARE</t>
        </is>
      </c>
      <c r="B703" s="30" t="inlineStr">
        <is>
          <t>Areal</t>
        </is>
      </c>
      <c r="C703" s="30" t="n">
        <v>77238182</v>
      </c>
      <c r="D703" s="30">
        <f>"04206050004410"</f>
        <v/>
      </c>
      <c r="E703" s="30" t="inlineStr">
        <is>
          <t>TIM CELULAR S/A</t>
        </is>
      </c>
      <c r="F703" s="30" t="inlineStr">
        <is>
          <t>2017</t>
        </is>
      </c>
      <c r="G703" s="40" t="n">
        <v>111619.76</v>
      </c>
    </row>
    <row r="704" ht="12" customHeight="1">
      <c r="A704" s="30" t="inlineStr">
        <is>
          <t>ARE</t>
        </is>
      </c>
      <c r="B704" s="30" t="inlineStr">
        <is>
          <t>Areal</t>
        </is>
      </c>
      <c r="C704" s="30" t="n">
        <v>77238182</v>
      </c>
      <c r="D704" s="30">
        <f>"04206050004410"</f>
        <v/>
      </c>
      <c r="E704" s="30" t="inlineStr">
        <is>
          <t>TIM CELULAR S/A</t>
        </is>
      </c>
      <c r="F704" s="30" t="inlineStr">
        <is>
          <t>2018</t>
        </is>
      </c>
      <c r="G704" s="40" t="n">
        <v>94613.39</v>
      </c>
    </row>
    <row r="705" ht="12" customHeight="1">
      <c r="A705" s="30" t="inlineStr">
        <is>
          <t>ARE</t>
        </is>
      </c>
      <c r="B705" s="30" t="inlineStr">
        <is>
          <t>Areal</t>
        </is>
      </c>
      <c r="C705" s="30" t="n">
        <v>77238182</v>
      </c>
      <c r="D705" s="30">
        <f>"04206050004410"</f>
        <v/>
      </c>
      <c r="E705" s="30" t="inlineStr">
        <is>
          <t>TIM CELULAR S/A</t>
        </is>
      </c>
      <c r="F705" s="30" t="inlineStr">
        <is>
          <t>2019</t>
        </is>
      </c>
      <c r="G705" s="40" t="n">
        <v>0</v>
      </c>
    </row>
    <row r="706" ht="12" customHeight="1">
      <c r="A706" s="30" t="inlineStr">
        <is>
          <t>ARE</t>
        </is>
      </c>
      <c r="B706" s="30" t="inlineStr">
        <is>
          <t>Areal</t>
        </is>
      </c>
      <c r="C706" s="30" t="n">
        <v>77238182</v>
      </c>
      <c r="D706" s="30">
        <f>"04206050004410"</f>
        <v/>
      </c>
      <c r="E706" s="30" t="inlineStr">
        <is>
          <t>TIM CELULAR S/A</t>
        </is>
      </c>
      <c r="F706" s="30" t="inlineStr">
        <is>
          <t>2020</t>
        </is>
      </c>
      <c r="G706" s="40" t="n">
        <v>0</v>
      </c>
    </row>
    <row r="707" ht="12" customHeight="1">
      <c r="A707" s="30" t="inlineStr">
        <is>
          <t>ARE</t>
        </is>
      </c>
      <c r="B707" s="30" t="inlineStr">
        <is>
          <t>Areal</t>
        </is>
      </c>
      <c r="C707" s="30" t="n">
        <v>77290028</v>
      </c>
      <c r="D707" s="30">
        <f>"03341775000461"</f>
        <v/>
      </c>
      <c r="E707" s="30" t="inlineStr">
        <is>
          <t>TRANSPORTES MOBILINE LTDA</t>
        </is>
      </c>
      <c r="F707" s="30" t="inlineStr">
        <is>
          <t>2017</t>
        </is>
      </c>
      <c r="G707" s="40" t="n">
        <v>0</v>
      </c>
    </row>
    <row r="708" ht="12" customHeight="1">
      <c r="A708" s="30" t="inlineStr">
        <is>
          <t>ARE</t>
        </is>
      </c>
      <c r="B708" s="30" t="inlineStr">
        <is>
          <t>Areal</t>
        </is>
      </c>
      <c r="C708" s="30" t="n">
        <v>77290028</v>
      </c>
      <c r="D708" s="30">
        <f>"03341775000461"</f>
        <v/>
      </c>
      <c r="E708" s="30" t="inlineStr">
        <is>
          <t>TRANSPORTES MOBILINE LTDA</t>
        </is>
      </c>
      <c r="F708" s="30" t="inlineStr">
        <is>
          <t>2018</t>
        </is>
      </c>
      <c r="G708" s="40" t="n">
        <v>750</v>
      </c>
    </row>
    <row r="709" ht="12" customHeight="1">
      <c r="A709" s="30" t="inlineStr">
        <is>
          <t>ARE</t>
        </is>
      </c>
      <c r="B709" s="30" t="inlineStr">
        <is>
          <t>Areal</t>
        </is>
      </c>
      <c r="C709" s="30" t="n">
        <v>77290028</v>
      </c>
      <c r="D709" s="30">
        <f>"03341775000461"</f>
        <v/>
      </c>
      <c r="E709" s="30" t="inlineStr">
        <is>
          <t>TRANSPORTES MOBILINE LTDA</t>
        </is>
      </c>
      <c r="F709" s="30" t="inlineStr">
        <is>
          <t>2019</t>
        </is>
      </c>
      <c r="G709" s="40" t="n">
        <v>89</v>
      </c>
    </row>
    <row r="710" ht="12" customHeight="1">
      <c r="A710" s="30" t="inlineStr">
        <is>
          <t>ARE</t>
        </is>
      </c>
      <c r="B710" s="30" t="inlineStr">
        <is>
          <t>Areal</t>
        </is>
      </c>
      <c r="C710" s="30" t="n">
        <v>77290028</v>
      </c>
      <c r="D710" s="30">
        <f>"03341775000461"</f>
        <v/>
      </c>
      <c r="E710" s="30" t="inlineStr">
        <is>
          <t>TRANSPORTES MOBILINE LTDA</t>
        </is>
      </c>
      <c r="F710" s="30" t="inlineStr">
        <is>
          <t>2020</t>
        </is>
      </c>
      <c r="G710" s="40" t="n">
        <v>0</v>
      </c>
    </row>
    <row r="711" ht="12" customHeight="1">
      <c r="A711" s="30" t="inlineStr">
        <is>
          <t>ARE</t>
        </is>
      </c>
      <c r="B711" s="30" t="inlineStr">
        <is>
          <t>Areal</t>
        </is>
      </c>
      <c r="C711" s="30" t="n">
        <v>77290028</v>
      </c>
      <c r="D711" s="30">
        <f>"03341775000461"</f>
        <v/>
      </c>
      <c r="E711" s="30" t="inlineStr">
        <is>
          <t>TRANSPORTES MOBILINE LTDA</t>
        </is>
      </c>
      <c r="F711" s="30" t="inlineStr">
        <is>
          <t>2021</t>
        </is>
      </c>
      <c r="G711" s="40" t="n">
        <v>0</v>
      </c>
    </row>
    <row r="712" ht="12" customHeight="1">
      <c r="A712" s="30" t="inlineStr">
        <is>
          <t>ARE</t>
        </is>
      </c>
      <c r="B712" s="30" t="inlineStr">
        <is>
          <t>Areal</t>
        </is>
      </c>
      <c r="C712" s="30" t="n">
        <v>77327070</v>
      </c>
      <c r="D712" s="30">
        <f>"04918341000100"</f>
        <v/>
      </c>
      <c r="E712" s="30" t="inlineStr">
        <is>
          <t>NOVA A3 INDUSTRIA E COMERCIO LTDA</t>
        </is>
      </c>
      <c r="F712" s="30" t="inlineStr">
        <is>
          <t>2017</t>
        </is>
      </c>
      <c r="G712" s="40" t="n">
        <v>16540421.07</v>
      </c>
    </row>
    <row r="713" ht="12" customHeight="1">
      <c r="A713" s="30" t="inlineStr">
        <is>
          <t>ARE</t>
        </is>
      </c>
      <c r="B713" s="30" t="inlineStr">
        <is>
          <t>Areal</t>
        </is>
      </c>
      <c r="C713" s="30" t="n">
        <v>77327070</v>
      </c>
      <c r="D713" s="30">
        <f>"04918341000100"</f>
        <v/>
      </c>
      <c r="E713" s="30" t="inlineStr">
        <is>
          <t>NOVA A3 INDUSTRIA E COMERCIO LTDA</t>
        </is>
      </c>
      <c r="F713" s="30" t="inlineStr">
        <is>
          <t>2018</t>
        </is>
      </c>
      <c r="G713" s="40" t="n">
        <v>18879565.79</v>
      </c>
    </row>
    <row r="714" ht="12" customHeight="1">
      <c r="A714" s="30" t="inlineStr">
        <is>
          <t>ARE</t>
        </is>
      </c>
      <c r="B714" s="30" t="inlineStr">
        <is>
          <t>Areal</t>
        </is>
      </c>
      <c r="C714" s="30" t="n">
        <v>77327070</v>
      </c>
      <c r="D714" s="30">
        <f>"04918341000100"</f>
        <v/>
      </c>
      <c r="E714" s="30" t="inlineStr">
        <is>
          <t>NOVA A3 INDUSTRIA E COMERCIO LTDA</t>
        </is>
      </c>
      <c r="F714" s="30" t="inlineStr">
        <is>
          <t>2019</t>
        </is>
      </c>
      <c r="G714" s="40" t="n">
        <v>19044618.43</v>
      </c>
    </row>
    <row r="715" ht="12" customHeight="1">
      <c r="A715" s="30" t="inlineStr">
        <is>
          <t>ARE</t>
        </is>
      </c>
      <c r="B715" s="30" t="inlineStr">
        <is>
          <t>Areal</t>
        </is>
      </c>
      <c r="C715" s="30" t="n">
        <v>77327070</v>
      </c>
      <c r="D715" s="30">
        <f>"04918341000100"</f>
        <v/>
      </c>
      <c r="E715" s="30" t="inlineStr">
        <is>
          <t>NOVA A3 INDUSTRIA E COMERCIO LTDA</t>
        </is>
      </c>
      <c r="F715" s="30" t="inlineStr">
        <is>
          <t>2020</t>
        </is>
      </c>
      <c r="G715" s="40" t="n">
        <v>19921309.33</v>
      </c>
    </row>
    <row r="716" ht="12" customHeight="1">
      <c r="A716" s="30" t="inlineStr">
        <is>
          <t>ARE</t>
        </is>
      </c>
      <c r="B716" s="30" t="inlineStr">
        <is>
          <t>Areal</t>
        </is>
      </c>
      <c r="C716" s="30" t="n">
        <v>77327070</v>
      </c>
      <c r="D716" s="30">
        <f>"04918341000100"</f>
        <v/>
      </c>
      <c r="E716" s="30" t="inlineStr">
        <is>
          <t>NOVA A3 INDUSTRIA E COMERCIO LTDA</t>
        </is>
      </c>
      <c r="F716" s="30" t="inlineStr">
        <is>
          <t>2021</t>
        </is>
      </c>
      <c r="G716" s="40" t="n">
        <v>24921212.44</v>
      </c>
    </row>
    <row r="717" ht="12" customHeight="1">
      <c r="A717" s="30" t="inlineStr">
        <is>
          <t>ARE</t>
        </is>
      </c>
      <c r="B717" s="30" t="inlineStr">
        <is>
          <t>Areal</t>
        </is>
      </c>
      <c r="C717" s="30" t="n">
        <v>77327070</v>
      </c>
      <c r="D717" s="30">
        <f>"04918341000100"</f>
        <v/>
      </c>
      <c r="E717" s="30" t="inlineStr">
        <is>
          <t>NOVA A3 INDUSTRIA E COMERCIO LTDA</t>
        </is>
      </c>
      <c r="F717" s="30" t="inlineStr">
        <is>
          <t>2022</t>
        </is>
      </c>
      <c r="G717" s="40" t="n">
        <v>24493696.55</v>
      </c>
    </row>
    <row r="718" ht="12" customHeight="1">
      <c r="A718" s="30" t="inlineStr">
        <is>
          <t>ARE</t>
        </is>
      </c>
      <c r="B718" s="30" t="inlineStr">
        <is>
          <t>Areal</t>
        </is>
      </c>
      <c r="C718" s="30" t="n">
        <v>77327070</v>
      </c>
      <c r="D718" s="30">
        <f>"04918341000100"</f>
        <v/>
      </c>
      <c r="E718" s="30" t="inlineStr">
        <is>
          <t>NOVA A3 INDUSTRIA E COMERCIO LTDA</t>
        </is>
      </c>
      <c r="F718" s="30" t="inlineStr">
        <is>
          <t>2023</t>
        </is>
      </c>
      <c r="G718" s="40" t="n">
        <v>19647521.73</v>
      </c>
    </row>
    <row r="719" ht="12" customHeight="1">
      <c r="A719" s="30" t="inlineStr">
        <is>
          <t>ARE</t>
        </is>
      </c>
      <c r="B719" s="30" t="inlineStr">
        <is>
          <t>Areal</t>
        </is>
      </c>
      <c r="C719" s="30" t="n">
        <v>77330429</v>
      </c>
      <c r="D719" s="30">
        <f>"04608263000139"</f>
        <v/>
      </c>
      <c r="E719" s="30" t="inlineStr">
        <is>
          <t>CLUBE FAZENDA SANTA MONICA</t>
        </is>
      </c>
      <c r="F719" s="30" t="inlineStr">
        <is>
          <t>2017</t>
        </is>
      </c>
      <c r="G719" s="40" t="n">
        <v>0</v>
      </c>
    </row>
    <row r="720" ht="12" customHeight="1">
      <c r="A720" s="30" t="inlineStr">
        <is>
          <t>ARE</t>
        </is>
      </c>
      <c r="B720" s="30" t="inlineStr">
        <is>
          <t>Areal</t>
        </is>
      </c>
      <c r="C720" s="30" t="n">
        <v>77330429</v>
      </c>
      <c r="D720" s="30">
        <f>"04608263000139"</f>
        <v/>
      </c>
      <c r="E720" s="30" t="inlineStr">
        <is>
          <t>CLUBE FAZENDA SANTA MONICA</t>
        </is>
      </c>
      <c r="F720" s="30" t="inlineStr">
        <is>
          <t>2018</t>
        </is>
      </c>
      <c r="G720" s="40" t="n">
        <v>0</v>
      </c>
    </row>
    <row r="721" ht="12" customHeight="1">
      <c r="A721" s="30" t="inlineStr">
        <is>
          <t>ARE</t>
        </is>
      </c>
      <c r="B721" s="30" t="inlineStr">
        <is>
          <t>Areal</t>
        </is>
      </c>
      <c r="C721" s="30" t="n">
        <v>77330429</v>
      </c>
      <c r="D721" s="30">
        <f>"04608263000139"</f>
        <v/>
      </c>
      <c r="E721" s="30" t="inlineStr">
        <is>
          <t>CLUBE FAZENDA SANTA MONICA</t>
        </is>
      </c>
      <c r="F721" s="30" t="inlineStr">
        <is>
          <t>2019</t>
        </is>
      </c>
      <c r="G721" s="40" t="n">
        <v>0</v>
      </c>
    </row>
    <row r="722" ht="12" customHeight="1">
      <c r="A722" s="30" t="inlineStr">
        <is>
          <t>ARE</t>
        </is>
      </c>
      <c r="B722" s="30" t="inlineStr">
        <is>
          <t>Areal</t>
        </is>
      </c>
      <c r="C722" s="30" t="n">
        <v>77330429</v>
      </c>
      <c r="D722" s="30">
        <f>"04608263000139"</f>
        <v/>
      </c>
      <c r="E722" s="30" t="inlineStr">
        <is>
          <t>CLUBE FAZENDA SANTA MONICA</t>
        </is>
      </c>
      <c r="F722" s="30" t="inlineStr">
        <is>
          <t>2020</t>
        </is>
      </c>
      <c r="G722" s="40" t="n">
        <v>0</v>
      </c>
    </row>
    <row r="723" ht="12" customHeight="1">
      <c r="A723" s="30" t="inlineStr">
        <is>
          <t>ARE</t>
        </is>
      </c>
      <c r="B723" s="30" t="inlineStr">
        <is>
          <t>Areal</t>
        </is>
      </c>
      <c r="C723" s="30" t="n">
        <v>77330429</v>
      </c>
      <c r="D723" s="30">
        <f>"04608263000139"</f>
        <v/>
      </c>
      <c r="E723" s="30" t="inlineStr">
        <is>
          <t>CLUBE FAZENDA SANTA MONICA</t>
        </is>
      </c>
      <c r="F723" s="30" t="inlineStr">
        <is>
          <t>2021</t>
        </is>
      </c>
      <c r="G723" s="40" t="n">
        <v>0</v>
      </c>
    </row>
    <row r="724" ht="12" customHeight="1">
      <c r="A724" s="30" t="inlineStr">
        <is>
          <t>ARE</t>
        </is>
      </c>
      <c r="B724" s="30" t="inlineStr">
        <is>
          <t>Areal</t>
        </is>
      </c>
      <c r="C724" s="30" t="n">
        <v>77330429</v>
      </c>
      <c r="D724" s="30">
        <f>"04608263000139"</f>
        <v/>
      </c>
      <c r="E724" s="30" t="inlineStr">
        <is>
          <t>CLUBE FAZENDA SANTA MONICA</t>
        </is>
      </c>
      <c r="F724" s="30" t="inlineStr">
        <is>
          <t>2022</t>
        </is>
      </c>
      <c r="G724" s="40" t="n">
        <v>0</v>
      </c>
    </row>
    <row r="725" ht="12" customHeight="1">
      <c r="A725" s="30" t="inlineStr">
        <is>
          <t>ARE</t>
        </is>
      </c>
      <c r="B725" s="30" t="inlineStr">
        <is>
          <t>Areal</t>
        </is>
      </c>
      <c r="C725" s="30" t="n">
        <v>77330429</v>
      </c>
      <c r="D725" s="30">
        <f>"04608263000139"</f>
        <v/>
      </c>
      <c r="E725" s="30" t="inlineStr">
        <is>
          <t>CLUBE FAZENDA SANTA MONICA</t>
        </is>
      </c>
      <c r="F725" s="30" t="inlineStr">
        <is>
          <t>2023</t>
        </is>
      </c>
      <c r="G725" s="40" t="n">
        <v>8602.700000000001</v>
      </c>
    </row>
    <row r="726" ht="12" customHeight="1">
      <c r="A726" s="30" t="inlineStr">
        <is>
          <t>ARE</t>
        </is>
      </c>
      <c r="B726" s="30" t="inlineStr">
        <is>
          <t>Areal</t>
        </is>
      </c>
      <c r="C726" s="30" t="n">
        <v>77394869</v>
      </c>
      <c r="D726" s="30">
        <f>"05129326000137"</f>
        <v/>
      </c>
      <c r="E726" s="30" t="inlineStr">
        <is>
          <t>REBRAMED COMERCIAL LTDA ME</t>
        </is>
      </c>
      <c r="F726" s="30" t="inlineStr">
        <is>
          <t>2017</t>
        </is>
      </c>
      <c r="G726" s="40" t="n">
        <v>0</v>
      </c>
    </row>
    <row r="727" ht="12" customHeight="1">
      <c r="A727" s="30" t="inlineStr">
        <is>
          <t>ARE</t>
        </is>
      </c>
      <c r="B727" s="30" t="inlineStr">
        <is>
          <t>Areal</t>
        </is>
      </c>
      <c r="C727" s="30" t="n">
        <v>77394869</v>
      </c>
      <c r="D727" s="30">
        <f>"05129326000137"</f>
        <v/>
      </c>
      <c r="E727" s="30" t="inlineStr">
        <is>
          <t>REBRAMED COMERCIAL LTDA ME</t>
        </is>
      </c>
      <c r="F727" s="30" t="inlineStr">
        <is>
          <t>2018</t>
        </is>
      </c>
      <c r="G727" s="40" t="n">
        <v>0</v>
      </c>
    </row>
    <row r="728" ht="12" customHeight="1">
      <c r="A728" s="30" t="inlineStr">
        <is>
          <t>ARE</t>
        </is>
      </c>
      <c r="B728" s="30" t="inlineStr">
        <is>
          <t>Areal</t>
        </is>
      </c>
      <c r="C728" s="30" t="n">
        <v>77394869</v>
      </c>
      <c r="D728" s="30">
        <f>"05129326000137"</f>
        <v/>
      </c>
      <c r="E728" s="30" t="inlineStr">
        <is>
          <t>REBRAMED COMERCIAL LTDA ME</t>
        </is>
      </c>
      <c r="F728" s="30" t="inlineStr">
        <is>
          <t>2019</t>
        </is>
      </c>
      <c r="G728" s="40" t="n">
        <v>0</v>
      </c>
    </row>
    <row r="729" ht="12" customHeight="1">
      <c r="A729" s="30" t="inlineStr">
        <is>
          <t>ARE</t>
        </is>
      </c>
      <c r="B729" s="30" t="inlineStr">
        <is>
          <t>Areal</t>
        </is>
      </c>
      <c r="C729" s="30" t="n">
        <v>77394869</v>
      </c>
      <c r="D729" s="30">
        <f>"05129326000137"</f>
        <v/>
      </c>
      <c r="E729" s="30" t="inlineStr">
        <is>
          <t>REBRAMED COMERCIAL LTDA ME</t>
        </is>
      </c>
      <c r="F729" s="30" t="inlineStr">
        <is>
          <t>2020</t>
        </is>
      </c>
      <c r="G729" s="40" t="n">
        <v>0</v>
      </c>
    </row>
    <row r="730" ht="12" customHeight="1">
      <c r="A730" s="30" t="inlineStr">
        <is>
          <t>ARE</t>
        </is>
      </c>
      <c r="B730" s="30" t="inlineStr">
        <is>
          <t>Areal</t>
        </is>
      </c>
      <c r="C730" s="30" t="n">
        <v>77394869</v>
      </c>
      <c r="D730" s="30">
        <f>"05129326000137"</f>
        <v/>
      </c>
      <c r="E730" s="30" t="inlineStr">
        <is>
          <t>REBRAMED COMERCIAL LTDA ME</t>
        </is>
      </c>
      <c r="F730" s="30" t="inlineStr">
        <is>
          <t>2021</t>
        </is>
      </c>
      <c r="G730" s="40" t="n">
        <v>0</v>
      </c>
    </row>
    <row r="731" ht="12" customHeight="1">
      <c r="A731" s="30" t="inlineStr">
        <is>
          <t>ARE</t>
        </is>
      </c>
      <c r="B731" s="30" t="inlineStr">
        <is>
          <t>Areal</t>
        </is>
      </c>
      <c r="C731" s="30" t="n">
        <v>77394869</v>
      </c>
      <c r="D731" s="30">
        <f>"05129326000137"</f>
        <v/>
      </c>
      <c r="E731" s="30" t="inlineStr">
        <is>
          <t>REBRAMED COMERCIAL LTDA ME</t>
        </is>
      </c>
      <c r="F731" s="30" t="inlineStr">
        <is>
          <t>2022</t>
        </is>
      </c>
      <c r="G731" s="40" t="n">
        <v>0</v>
      </c>
    </row>
    <row r="732" ht="12" customHeight="1">
      <c r="A732" s="30" t="inlineStr">
        <is>
          <t>ARE</t>
        </is>
      </c>
      <c r="B732" s="30" t="inlineStr">
        <is>
          <t>Areal</t>
        </is>
      </c>
      <c r="C732" s="30" t="n">
        <v>77394869</v>
      </c>
      <c r="D732" s="30">
        <f>"05129326000137"</f>
        <v/>
      </c>
      <c r="E732" s="30" t="inlineStr">
        <is>
          <t>REBRAMED COMERCIAL LTDA ME</t>
        </is>
      </c>
      <c r="F732" s="30" t="inlineStr">
        <is>
          <t>2023</t>
        </is>
      </c>
      <c r="G732" s="40" t="n">
        <v>0</v>
      </c>
    </row>
    <row r="733" ht="12" customHeight="1">
      <c r="A733" s="30" t="inlineStr">
        <is>
          <t>ARE</t>
        </is>
      </c>
      <c r="B733" s="30" t="inlineStr">
        <is>
          <t>Areal</t>
        </is>
      </c>
      <c r="C733" s="30" t="n">
        <v>77421718</v>
      </c>
      <c r="D733" s="30">
        <f>"01014373000508"</f>
        <v/>
      </c>
      <c r="E733" s="30" t="inlineStr">
        <is>
          <t>AEROSOFT CARGAS AEREAS LTDA</t>
        </is>
      </c>
      <c r="F733" s="30" t="inlineStr">
        <is>
          <t>2021</t>
        </is>
      </c>
      <c r="G733" s="40" t="n">
        <v>0</v>
      </c>
    </row>
    <row r="734" ht="12" customHeight="1">
      <c r="A734" s="30" t="inlineStr">
        <is>
          <t>ARE</t>
        </is>
      </c>
      <c r="B734" s="30" t="inlineStr">
        <is>
          <t>Areal</t>
        </is>
      </c>
      <c r="C734" s="30" t="n">
        <v>77421718</v>
      </c>
      <c r="D734" s="30">
        <f>"01014373000508"</f>
        <v/>
      </c>
      <c r="E734" s="30" t="inlineStr">
        <is>
          <t>AEROSOFT CARGAS AEREAS LTDA</t>
        </is>
      </c>
      <c r="F734" s="30" t="inlineStr">
        <is>
          <t>2022</t>
        </is>
      </c>
      <c r="G734" s="40" t="n">
        <v>0</v>
      </c>
    </row>
    <row r="735" ht="12" customHeight="1">
      <c r="A735" s="30" t="inlineStr">
        <is>
          <t>ARE</t>
        </is>
      </c>
      <c r="B735" s="30" t="inlineStr">
        <is>
          <t>Areal</t>
        </is>
      </c>
      <c r="C735" s="30" t="n">
        <v>77421718</v>
      </c>
      <c r="D735" s="30">
        <f>"01014373000508"</f>
        <v/>
      </c>
      <c r="E735" s="30" t="inlineStr">
        <is>
          <t>AEROSOFT CARGAS AEREAS LTDA</t>
        </is>
      </c>
      <c r="F735" s="30" t="inlineStr">
        <is>
          <t>2023</t>
        </is>
      </c>
      <c r="G735" s="40" t="n">
        <v>79.26000000000001</v>
      </c>
    </row>
    <row r="736" ht="12" customHeight="1">
      <c r="A736" s="30" t="inlineStr">
        <is>
          <t>ARE</t>
        </is>
      </c>
      <c r="B736" s="30" t="inlineStr">
        <is>
          <t>Areal</t>
        </is>
      </c>
      <c r="C736" s="30" t="n">
        <v>77452443</v>
      </c>
      <c r="D736" s="30">
        <f>"02558157001487"</f>
        <v/>
      </c>
      <c r="E736" s="30" t="inlineStr">
        <is>
          <t>TELEFONICA BRASIL S.A.</t>
        </is>
      </c>
      <c r="F736" s="30" t="inlineStr">
        <is>
          <t>2017</t>
        </is>
      </c>
      <c r="G736" s="40" t="n">
        <v>1032235.75</v>
      </c>
    </row>
    <row r="737" ht="12" customHeight="1">
      <c r="A737" s="30" t="inlineStr">
        <is>
          <t>ARE</t>
        </is>
      </c>
      <c r="B737" s="30" t="inlineStr">
        <is>
          <t>Areal</t>
        </is>
      </c>
      <c r="C737" s="30" t="n">
        <v>77452443</v>
      </c>
      <c r="D737" s="30">
        <f>"02558157001487"</f>
        <v/>
      </c>
      <c r="E737" s="30" t="inlineStr">
        <is>
          <t>TELEFONICA BRASIL S.A.</t>
        </is>
      </c>
      <c r="F737" s="30" t="inlineStr">
        <is>
          <t>2018</t>
        </is>
      </c>
      <c r="G737" s="40" t="n">
        <v>883658.3100000001</v>
      </c>
    </row>
    <row r="738" ht="12" customHeight="1">
      <c r="A738" s="30" t="inlineStr">
        <is>
          <t>ARE</t>
        </is>
      </c>
      <c r="B738" s="30" t="inlineStr">
        <is>
          <t>Areal</t>
        </is>
      </c>
      <c r="C738" s="30" t="n">
        <v>77452443</v>
      </c>
      <c r="D738" s="30">
        <f>"02558157001487"</f>
        <v/>
      </c>
      <c r="E738" s="30" t="inlineStr">
        <is>
          <t>TELEFONICA BRASIL S.A.</t>
        </is>
      </c>
      <c r="F738" s="30" t="inlineStr">
        <is>
          <t>2019</t>
        </is>
      </c>
      <c r="G738" s="40" t="n">
        <v>834898.89</v>
      </c>
    </row>
    <row r="739" ht="12" customHeight="1">
      <c r="A739" s="30" t="inlineStr">
        <is>
          <t>ARE</t>
        </is>
      </c>
      <c r="B739" s="30" t="inlineStr">
        <is>
          <t>Areal</t>
        </is>
      </c>
      <c r="C739" s="30" t="n">
        <v>77452443</v>
      </c>
      <c r="D739" s="30">
        <f>"02558157001487"</f>
        <v/>
      </c>
      <c r="E739" s="30" t="inlineStr">
        <is>
          <t>TELEFONICA BRASIL S.A.</t>
        </is>
      </c>
      <c r="F739" s="30" t="inlineStr">
        <is>
          <t>2020</t>
        </is>
      </c>
      <c r="G739" s="40" t="n">
        <v>780778.96</v>
      </c>
    </row>
    <row r="740" ht="12" customHeight="1">
      <c r="A740" s="30" t="inlineStr">
        <is>
          <t>ARE</t>
        </is>
      </c>
      <c r="B740" s="30" t="inlineStr">
        <is>
          <t>Areal</t>
        </is>
      </c>
      <c r="C740" s="30" t="n">
        <v>77452443</v>
      </c>
      <c r="D740" s="30">
        <f>"02558157001487"</f>
        <v/>
      </c>
      <c r="E740" s="30" t="inlineStr">
        <is>
          <t>TELEFONICA BRASIL S.A.</t>
        </is>
      </c>
      <c r="F740" s="30" t="inlineStr">
        <is>
          <t>2021</t>
        </is>
      </c>
      <c r="G740" s="40" t="n">
        <v>1323040.47</v>
      </c>
    </row>
    <row r="741" ht="12" customHeight="1">
      <c r="A741" s="30" t="inlineStr">
        <is>
          <t>ARE</t>
        </is>
      </c>
      <c r="B741" s="30" t="inlineStr">
        <is>
          <t>Areal</t>
        </is>
      </c>
      <c r="C741" s="30" t="n">
        <v>77452443</v>
      </c>
      <c r="D741" s="30">
        <f>"02558157001487"</f>
        <v/>
      </c>
      <c r="E741" s="30" t="inlineStr">
        <is>
          <t>TELEFONICA BRASIL S.A.</t>
        </is>
      </c>
      <c r="F741" s="30" t="inlineStr">
        <is>
          <t>2022</t>
        </is>
      </c>
      <c r="G741" s="40" t="n">
        <v>1304143.21</v>
      </c>
    </row>
    <row r="742" ht="12" customHeight="1">
      <c r="A742" s="30" t="inlineStr">
        <is>
          <t>ARE</t>
        </is>
      </c>
      <c r="B742" s="30" t="inlineStr">
        <is>
          <t>Areal</t>
        </is>
      </c>
      <c r="C742" s="30" t="n">
        <v>77452443</v>
      </c>
      <c r="D742" s="30">
        <f>"02558157001487"</f>
        <v/>
      </c>
      <c r="E742" s="30" t="inlineStr">
        <is>
          <t>TELEFONICA BRASIL S.A.</t>
        </is>
      </c>
      <c r="F742" s="30" t="inlineStr">
        <is>
          <t>2023</t>
        </is>
      </c>
      <c r="G742" s="40" t="n">
        <v>1908121.28</v>
      </c>
    </row>
    <row r="743" ht="12" customHeight="1">
      <c r="A743" s="30" t="inlineStr">
        <is>
          <t>ARE</t>
        </is>
      </c>
      <c r="B743" s="30" t="inlineStr">
        <is>
          <t>Areal</t>
        </is>
      </c>
      <c r="C743" s="30" t="n">
        <v>77543309</v>
      </c>
      <c r="D743" s="30">
        <f>"05636406000189"</f>
        <v/>
      </c>
      <c r="E743" s="30" t="inlineStr">
        <is>
          <t>AUTO POSTO AREAL LTDA</t>
        </is>
      </c>
      <c r="F743" s="30" t="inlineStr">
        <is>
          <t>2017</t>
        </is>
      </c>
      <c r="G743" s="40" t="n">
        <v>51947.1</v>
      </c>
    </row>
    <row r="744" ht="12" customHeight="1">
      <c r="A744" s="30" t="inlineStr">
        <is>
          <t>ARE</t>
        </is>
      </c>
      <c r="B744" s="30" t="inlineStr">
        <is>
          <t>Areal</t>
        </is>
      </c>
      <c r="C744" s="30" t="n">
        <v>77543309</v>
      </c>
      <c r="D744" s="30">
        <f>"05636406000189"</f>
        <v/>
      </c>
      <c r="E744" s="30" t="inlineStr">
        <is>
          <t>AUTO POSTO AREAL LTDA</t>
        </is>
      </c>
      <c r="F744" s="30" t="inlineStr">
        <is>
          <t>2018</t>
        </is>
      </c>
      <c r="G744" s="40" t="n">
        <v>0</v>
      </c>
    </row>
    <row r="745" ht="12" customHeight="1">
      <c r="A745" s="30" t="inlineStr">
        <is>
          <t>ARE</t>
        </is>
      </c>
      <c r="B745" s="30" t="inlineStr">
        <is>
          <t>Areal</t>
        </is>
      </c>
      <c r="C745" s="30" t="n">
        <v>77543309</v>
      </c>
      <c r="D745" s="30">
        <f>"05636406000189"</f>
        <v/>
      </c>
      <c r="E745" s="30" t="inlineStr">
        <is>
          <t>AUTO POSTO AREAL LTDA</t>
        </is>
      </c>
      <c r="F745" s="30" t="inlineStr">
        <is>
          <t>2019</t>
        </is>
      </c>
      <c r="G745" s="40" t="n">
        <v>1019118.52</v>
      </c>
    </row>
    <row r="746" ht="12" customHeight="1">
      <c r="A746" s="30" t="inlineStr">
        <is>
          <t>ARE</t>
        </is>
      </c>
      <c r="B746" s="30" t="inlineStr">
        <is>
          <t>Areal</t>
        </is>
      </c>
      <c r="C746" s="30" t="n">
        <v>77543309</v>
      </c>
      <c r="D746" s="30">
        <f>"05636406000189"</f>
        <v/>
      </c>
      <c r="E746" s="30" t="inlineStr">
        <is>
          <t>AUTO POSTO AREAL LTDA</t>
        </is>
      </c>
      <c r="F746" s="30" t="inlineStr">
        <is>
          <t>2020</t>
        </is>
      </c>
      <c r="G746" s="40" t="n">
        <v>1111537.93</v>
      </c>
    </row>
    <row r="747" ht="12" customHeight="1">
      <c r="A747" s="30" t="inlineStr">
        <is>
          <t>ARE</t>
        </is>
      </c>
      <c r="B747" s="30" t="inlineStr">
        <is>
          <t>Areal</t>
        </is>
      </c>
      <c r="C747" s="30" t="n">
        <v>77543309</v>
      </c>
      <c r="D747" s="30">
        <f>"05636406000189"</f>
        <v/>
      </c>
      <c r="E747" s="30" t="inlineStr">
        <is>
          <t>AUTO POSTO AREAL LTDA</t>
        </is>
      </c>
      <c r="F747" s="30" t="inlineStr">
        <is>
          <t>2021</t>
        </is>
      </c>
      <c r="G747" s="40" t="n">
        <v>1053279.46</v>
      </c>
    </row>
    <row r="748" ht="12" customHeight="1">
      <c r="A748" s="30" t="inlineStr">
        <is>
          <t>ARE</t>
        </is>
      </c>
      <c r="B748" s="30" t="inlineStr">
        <is>
          <t>Areal</t>
        </is>
      </c>
      <c r="C748" s="30" t="n">
        <v>77543309</v>
      </c>
      <c r="D748" s="30">
        <f>"05636406000189"</f>
        <v/>
      </c>
      <c r="E748" s="30" t="inlineStr">
        <is>
          <t>AUTO POSTO AREAL LTDA</t>
        </is>
      </c>
      <c r="F748" s="30" t="inlineStr">
        <is>
          <t>2022</t>
        </is>
      </c>
      <c r="G748" s="40" t="n">
        <v>0</v>
      </c>
    </row>
    <row r="749" ht="12" customHeight="1">
      <c r="A749" s="30" t="inlineStr">
        <is>
          <t>ARE</t>
        </is>
      </c>
      <c r="B749" s="30" t="inlineStr">
        <is>
          <t>Areal</t>
        </is>
      </c>
      <c r="C749" s="30" t="n">
        <v>77543309</v>
      </c>
      <c r="D749" s="30">
        <f>"05636406000189"</f>
        <v/>
      </c>
      <c r="E749" s="30" t="inlineStr">
        <is>
          <t>AUTO POSTO AREAL LTDA</t>
        </is>
      </c>
      <c r="F749" s="30" t="inlineStr">
        <is>
          <t>2023</t>
        </is>
      </c>
      <c r="G749" s="40" t="n">
        <v>2686386.79</v>
      </c>
    </row>
    <row r="750" ht="12" customHeight="1">
      <c r="A750" s="30" t="inlineStr">
        <is>
          <t>ARE</t>
        </is>
      </c>
      <c r="B750" s="30" t="inlineStr">
        <is>
          <t>Areal</t>
        </is>
      </c>
      <c r="C750" s="30" t="n">
        <v>77594949</v>
      </c>
      <c r="D750" s="30">
        <f>"00650831000370"</f>
        <v/>
      </c>
      <c r="E750" s="30" t="inlineStr">
        <is>
          <t>EFITRANS TRANSPORTES LTDA</t>
        </is>
      </c>
      <c r="F750" s="30" t="inlineStr">
        <is>
          <t>2017</t>
        </is>
      </c>
      <c r="G750" s="40" t="n">
        <v>9455.780000000001</v>
      </c>
    </row>
    <row r="751" ht="12" customHeight="1">
      <c r="A751" s="30" t="inlineStr">
        <is>
          <t>ARE</t>
        </is>
      </c>
      <c r="B751" s="30" t="inlineStr">
        <is>
          <t>Areal</t>
        </is>
      </c>
      <c r="C751" s="30" t="n">
        <v>77594949</v>
      </c>
      <c r="D751" s="30">
        <f>"00650831000370"</f>
        <v/>
      </c>
      <c r="E751" s="30" t="inlineStr">
        <is>
          <t>EFITRANS TRANSPORTES LTDA</t>
        </is>
      </c>
      <c r="F751" s="30" t="inlineStr">
        <is>
          <t>2018</t>
        </is>
      </c>
      <c r="G751" s="40" t="n">
        <v>63590.52</v>
      </c>
    </row>
    <row r="752" ht="12" customHeight="1">
      <c r="A752" s="30" t="inlineStr">
        <is>
          <t>ARE</t>
        </is>
      </c>
      <c r="B752" s="30" t="inlineStr">
        <is>
          <t>Areal</t>
        </is>
      </c>
      <c r="C752" s="30" t="n">
        <v>77594949</v>
      </c>
      <c r="D752" s="30">
        <f>"00650831000370"</f>
        <v/>
      </c>
      <c r="E752" s="30" t="inlineStr">
        <is>
          <t>EFITRANS TRANSPORTES LTDA</t>
        </is>
      </c>
      <c r="F752" s="30" t="inlineStr">
        <is>
          <t>2019</t>
        </is>
      </c>
      <c r="G752" s="40" t="n">
        <v>21654.17</v>
      </c>
    </row>
    <row r="753" ht="12" customHeight="1">
      <c r="A753" s="30" t="inlineStr">
        <is>
          <t>ARE</t>
        </is>
      </c>
      <c r="B753" s="30" t="inlineStr">
        <is>
          <t>Areal</t>
        </is>
      </c>
      <c r="C753" s="30" t="n">
        <v>77594949</v>
      </c>
      <c r="D753" s="30">
        <f>"00650831000370"</f>
        <v/>
      </c>
      <c r="E753" s="30" t="inlineStr">
        <is>
          <t>EFITRANS TRANSPORTES LTDA</t>
        </is>
      </c>
      <c r="F753" s="30" t="inlineStr">
        <is>
          <t>2020</t>
        </is>
      </c>
      <c r="G753" s="40" t="n">
        <v>0</v>
      </c>
    </row>
    <row r="754" ht="12" customHeight="1">
      <c r="A754" s="30" t="inlineStr">
        <is>
          <t>ARE</t>
        </is>
      </c>
      <c r="B754" s="30" t="inlineStr">
        <is>
          <t>Areal</t>
        </is>
      </c>
      <c r="C754" s="30" t="n">
        <v>77594949</v>
      </c>
      <c r="D754" s="30">
        <f>"00650831000370"</f>
        <v/>
      </c>
      <c r="E754" s="30" t="inlineStr">
        <is>
          <t>EFITRANS TRANSPORTES LTDA</t>
        </is>
      </c>
      <c r="F754" s="30" t="inlineStr">
        <is>
          <t>2021</t>
        </is>
      </c>
      <c r="G754" s="40" t="n">
        <v>133.99</v>
      </c>
    </row>
    <row r="755" ht="12" customHeight="1">
      <c r="A755" s="30" t="inlineStr">
        <is>
          <t>ARE</t>
        </is>
      </c>
      <c r="B755" s="30" t="inlineStr">
        <is>
          <t>Areal</t>
        </is>
      </c>
      <c r="C755" s="30" t="n">
        <v>77594949</v>
      </c>
      <c r="D755" s="30">
        <f>"00650831000370"</f>
        <v/>
      </c>
      <c r="E755" s="30" t="inlineStr">
        <is>
          <t>EFITRANS TRANSPORTES LTDA</t>
        </is>
      </c>
      <c r="F755" s="30" t="inlineStr">
        <is>
          <t>2022</t>
        </is>
      </c>
      <c r="G755" s="40" t="n">
        <v>0</v>
      </c>
    </row>
    <row r="756" ht="12" customHeight="1">
      <c r="A756" s="30" t="inlineStr">
        <is>
          <t>ARE</t>
        </is>
      </c>
      <c r="B756" s="30" t="inlineStr">
        <is>
          <t>Areal</t>
        </is>
      </c>
      <c r="C756" s="30" t="n">
        <v>77594949</v>
      </c>
      <c r="D756" s="30">
        <f>"00650831000370"</f>
        <v/>
      </c>
      <c r="E756" s="30" t="inlineStr">
        <is>
          <t>EFITRANS TRANSPORTES LTDA</t>
        </is>
      </c>
      <c r="F756" s="30" t="inlineStr">
        <is>
          <t>2023</t>
        </is>
      </c>
      <c r="G756" s="40" t="n">
        <v>1294.41</v>
      </c>
    </row>
    <row r="757" ht="12" customHeight="1">
      <c r="A757" s="30" t="inlineStr">
        <is>
          <t>ARE</t>
        </is>
      </c>
      <c r="B757" s="30" t="inlineStr">
        <is>
          <t>Areal</t>
        </is>
      </c>
      <c r="C757" s="30" t="n">
        <v>77613129</v>
      </c>
      <c r="D757" s="30">
        <f>"05514580000230"</f>
        <v/>
      </c>
      <c r="E757" s="30" t="inlineStr">
        <is>
          <t>EXPRESSO MONTCAR 2003 LTDA</t>
        </is>
      </c>
      <c r="F757" s="30" t="inlineStr">
        <is>
          <t>2017</t>
        </is>
      </c>
      <c r="G757" s="40" t="n">
        <v>255.87</v>
      </c>
    </row>
    <row r="758" ht="12" customHeight="1">
      <c r="A758" s="30" t="inlineStr">
        <is>
          <t>ARE</t>
        </is>
      </c>
      <c r="B758" s="30" t="inlineStr">
        <is>
          <t>Areal</t>
        </is>
      </c>
      <c r="C758" s="30" t="n">
        <v>77613129</v>
      </c>
      <c r="D758" s="30">
        <f>"05514580000230"</f>
        <v/>
      </c>
      <c r="E758" s="30" t="inlineStr">
        <is>
          <t>EXPRESSO MONTCAR 2003 LTDA</t>
        </is>
      </c>
      <c r="F758" s="30" t="inlineStr">
        <is>
          <t>2018</t>
        </is>
      </c>
      <c r="G758" s="40" t="n">
        <v>0</v>
      </c>
    </row>
    <row r="759" ht="12" customHeight="1">
      <c r="A759" s="30" t="inlineStr">
        <is>
          <t>ARE</t>
        </is>
      </c>
      <c r="B759" s="30" t="inlineStr">
        <is>
          <t>Areal</t>
        </is>
      </c>
      <c r="C759" s="30" t="n">
        <v>77613129</v>
      </c>
      <c r="D759" s="30">
        <f>"05514580000230"</f>
        <v/>
      </c>
      <c r="E759" s="30" t="inlineStr">
        <is>
          <t>EXPRESSO MONTCAR 2003 LTDA</t>
        </is>
      </c>
      <c r="F759" s="30" t="inlineStr">
        <is>
          <t>2019</t>
        </is>
      </c>
      <c r="G759" s="40" t="n">
        <v>0</v>
      </c>
    </row>
    <row r="760" ht="12" customHeight="1">
      <c r="A760" s="30" t="inlineStr">
        <is>
          <t>ARE</t>
        </is>
      </c>
      <c r="B760" s="30" t="inlineStr">
        <is>
          <t>Areal</t>
        </is>
      </c>
      <c r="C760" s="30" t="n">
        <v>77663711</v>
      </c>
      <c r="D760" s="30">
        <f>"05931640000139"</f>
        <v/>
      </c>
      <c r="E760" s="30" t="inlineStr">
        <is>
          <t>TRANSPORTES SOUZA ARAUJO LTDA</t>
        </is>
      </c>
      <c r="F760" s="30" t="inlineStr">
        <is>
          <t>2018</t>
        </is>
      </c>
      <c r="G760" s="40" t="n">
        <v>0</v>
      </c>
    </row>
    <row r="761" ht="12" customHeight="1">
      <c r="A761" s="30" t="inlineStr">
        <is>
          <t>ARE</t>
        </is>
      </c>
      <c r="B761" s="30" t="inlineStr">
        <is>
          <t>Areal</t>
        </is>
      </c>
      <c r="C761" s="30" t="n">
        <v>77663711</v>
      </c>
      <c r="D761" s="30">
        <f>"05931640000139"</f>
        <v/>
      </c>
      <c r="E761" s="30" t="inlineStr">
        <is>
          <t>TRANSPORTES SOUZA ARAUJO LTDA</t>
        </is>
      </c>
      <c r="F761" s="30" t="inlineStr">
        <is>
          <t>2019</t>
        </is>
      </c>
      <c r="G761" s="40" t="n">
        <v>0</v>
      </c>
    </row>
    <row r="762" ht="12" customHeight="1">
      <c r="A762" s="30" t="inlineStr">
        <is>
          <t>ARE</t>
        </is>
      </c>
      <c r="B762" s="30" t="inlineStr">
        <is>
          <t>Areal</t>
        </is>
      </c>
      <c r="C762" s="30" t="n">
        <v>77663711</v>
      </c>
      <c r="D762" s="30">
        <f>"05931640000139"</f>
        <v/>
      </c>
      <c r="E762" s="30" t="inlineStr">
        <is>
          <t>TRANSPORTES SOUZA ARAUJO LTDA</t>
        </is>
      </c>
      <c r="F762" s="30" t="inlineStr">
        <is>
          <t>2020</t>
        </is>
      </c>
      <c r="G762" s="40" t="n">
        <v>6767.42</v>
      </c>
    </row>
    <row r="763" ht="12" customHeight="1">
      <c r="A763" s="30" t="inlineStr">
        <is>
          <t>ARE</t>
        </is>
      </c>
      <c r="B763" s="30" t="inlineStr">
        <is>
          <t>Areal</t>
        </is>
      </c>
      <c r="C763" s="30" t="n">
        <v>77663711</v>
      </c>
      <c r="D763" s="30">
        <f>"05931640000139"</f>
        <v/>
      </c>
      <c r="E763" s="30" t="inlineStr">
        <is>
          <t>TRANSPORTES SOUZA ARAUJO LTDA</t>
        </is>
      </c>
      <c r="F763" s="30" t="inlineStr">
        <is>
          <t>2021</t>
        </is>
      </c>
      <c r="G763" s="40" t="n">
        <v>0</v>
      </c>
    </row>
    <row r="764" ht="12" customHeight="1">
      <c r="A764" s="30" t="inlineStr">
        <is>
          <t>ARE</t>
        </is>
      </c>
      <c r="B764" s="30" t="inlineStr">
        <is>
          <t>Areal</t>
        </is>
      </c>
      <c r="C764" s="30" t="n">
        <v>77663711</v>
      </c>
      <c r="D764" s="30">
        <f>"05931640000139"</f>
        <v/>
      </c>
      <c r="E764" s="30" t="inlineStr">
        <is>
          <t>TRANSPORTES SOUZA ARAUJO LTDA</t>
        </is>
      </c>
      <c r="F764" s="30" t="inlineStr">
        <is>
          <t>2022</t>
        </is>
      </c>
      <c r="G764" s="40" t="n">
        <v>0</v>
      </c>
    </row>
    <row r="765" ht="12" customHeight="1">
      <c r="A765" s="30" t="inlineStr">
        <is>
          <t>ARE</t>
        </is>
      </c>
      <c r="B765" s="30" t="inlineStr">
        <is>
          <t>Areal</t>
        </is>
      </c>
      <c r="C765" s="30" t="n">
        <v>77663711</v>
      </c>
      <c r="D765" s="30">
        <f>"05931640000139"</f>
        <v/>
      </c>
      <c r="E765" s="30" t="inlineStr">
        <is>
          <t>TRANSPORTES SOUZA ARAUJO LTDA</t>
        </is>
      </c>
      <c r="F765" s="30" t="inlineStr">
        <is>
          <t>2023</t>
        </is>
      </c>
      <c r="G765" s="40" t="n">
        <v>69822.28</v>
      </c>
    </row>
    <row r="766" ht="12" customHeight="1">
      <c r="A766" s="30" t="inlineStr">
        <is>
          <t>ARE</t>
        </is>
      </c>
      <c r="B766" s="30" t="inlineStr">
        <is>
          <t>Areal</t>
        </is>
      </c>
      <c r="C766" s="30" t="n">
        <v>77685022</v>
      </c>
      <c r="D766" s="30">
        <f>"76535764033157"</f>
        <v/>
      </c>
      <c r="E766" s="30" t="inlineStr">
        <is>
          <t>OI SA - EM RECUPERACAO JUDICIAL</t>
        </is>
      </c>
      <c r="F766" s="30" t="inlineStr">
        <is>
          <t>2019</t>
        </is>
      </c>
      <c r="G766" s="40" t="n">
        <v>0</v>
      </c>
    </row>
    <row r="767" ht="12" customHeight="1">
      <c r="A767" s="30" t="inlineStr">
        <is>
          <t>ARE</t>
        </is>
      </c>
      <c r="B767" s="30" t="inlineStr">
        <is>
          <t>Areal</t>
        </is>
      </c>
      <c r="C767" s="30" t="n">
        <v>77685022</v>
      </c>
      <c r="D767" s="30">
        <f>"76535764033157"</f>
        <v/>
      </c>
      <c r="E767" s="30" t="inlineStr">
        <is>
          <t>OI SA - EM RECUPERACAO JUDICIAL</t>
        </is>
      </c>
      <c r="F767" s="30" t="inlineStr">
        <is>
          <t>2020</t>
        </is>
      </c>
      <c r="G767" s="40" t="n">
        <v>0</v>
      </c>
    </row>
    <row r="768" ht="12" customHeight="1">
      <c r="A768" s="30" t="inlineStr">
        <is>
          <t>ARE</t>
        </is>
      </c>
      <c r="B768" s="30" t="inlineStr">
        <is>
          <t>Areal</t>
        </is>
      </c>
      <c r="C768" s="30" t="n">
        <v>77685022</v>
      </c>
      <c r="D768" s="30">
        <f>"76535764033157"</f>
        <v/>
      </c>
      <c r="E768" s="30" t="inlineStr">
        <is>
          <t>OI SA - EM RECUPERACAO JUDICIAL</t>
        </is>
      </c>
      <c r="F768" s="30" t="inlineStr">
        <is>
          <t>2021</t>
        </is>
      </c>
      <c r="G768" s="40" t="n">
        <v>261424.88</v>
      </c>
    </row>
    <row r="769" ht="12" customHeight="1">
      <c r="A769" s="30" t="inlineStr">
        <is>
          <t>ARE</t>
        </is>
      </c>
      <c r="B769" s="30" t="inlineStr">
        <is>
          <t>Areal</t>
        </is>
      </c>
      <c r="C769" s="30" t="n">
        <v>77685022</v>
      </c>
      <c r="D769" s="30">
        <f>"76535764033157"</f>
        <v/>
      </c>
      <c r="E769" s="30" t="inlineStr">
        <is>
          <t>OI SA - EM RECUPERACAO JUDICIAL</t>
        </is>
      </c>
      <c r="F769" s="30" t="inlineStr">
        <is>
          <t>2022</t>
        </is>
      </c>
      <c r="G769" s="40" t="n">
        <v>779939.29</v>
      </c>
    </row>
    <row r="770" ht="12" customHeight="1">
      <c r="A770" s="30" t="inlineStr">
        <is>
          <t>ARE</t>
        </is>
      </c>
      <c r="B770" s="30" t="inlineStr">
        <is>
          <t>Areal</t>
        </is>
      </c>
      <c r="C770" s="30" t="n">
        <v>77685022</v>
      </c>
      <c r="D770" s="30">
        <f>"76535764033157"</f>
        <v/>
      </c>
      <c r="E770" s="30" t="inlineStr">
        <is>
          <t>OI SA - EM RECUPERACAO JUDICIAL</t>
        </is>
      </c>
      <c r="F770" s="30" t="inlineStr">
        <is>
          <t>2023</t>
        </is>
      </c>
      <c r="G770" s="40" t="n">
        <v>899402.88</v>
      </c>
    </row>
    <row r="771" ht="12" customHeight="1">
      <c r="A771" s="30" t="inlineStr">
        <is>
          <t>ARE</t>
        </is>
      </c>
      <c r="B771" s="30" t="inlineStr">
        <is>
          <t>Areal</t>
        </is>
      </c>
      <c r="C771" s="30" t="n">
        <v>77693459</v>
      </c>
      <c r="D771" s="30">
        <f>"67901140000292"</f>
        <v/>
      </c>
      <c r="E771" s="30" t="inlineStr">
        <is>
          <t>COTRALTI - COOPERATIVA DE TRANSPORTE E LOGISTICA DO ALTO TIETE</t>
        </is>
      </c>
      <c r="F771" s="30" t="inlineStr">
        <is>
          <t>2018</t>
        </is>
      </c>
      <c r="G771" s="40" t="n">
        <v>0</v>
      </c>
    </row>
    <row r="772" ht="12" customHeight="1">
      <c r="A772" s="30" t="inlineStr">
        <is>
          <t>ARE</t>
        </is>
      </c>
      <c r="B772" s="30" t="inlineStr">
        <is>
          <t>Areal</t>
        </is>
      </c>
      <c r="C772" s="30" t="n">
        <v>77693459</v>
      </c>
      <c r="D772" s="30">
        <f>"67901140000292"</f>
        <v/>
      </c>
      <c r="E772" s="30" t="inlineStr">
        <is>
          <t>COTRALTI - COOPERATIVA DE TRANSPORTE E LOGISTICA DO ALTO TIETE</t>
        </is>
      </c>
      <c r="F772" s="30" t="inlineStr">
        <is>
          <t>2019</t>
        </is>
      </c>
      <c r="G772" s="40" t="n">
        <v>0</v>
      </c>
    </row>
    <row r="773" ht="12" customHeight="1">
      <c r="A773" s="30" t="inlineStr">
        <is>
          <t>ARE</t>
        </is>
      </c>
      <c r="B773" s="30" t="inlineStr">
        <is>
          <t>Areal</t>
        </is>
      </c>
      <c r="C773" s="30" t="n">
        <v>77693459</v>
      </c>
      <c r="D773" s="30">
        <f>"67901140000292"</f>
        <v/>
      </c>
      <c r="E773" s="30" t="inlineStr">
        <is>
          <t>COTRALTI - COOPERATIVA DE TRANSPORTE E LOGISTICA DO ALTO TIETE</t>
        </is>
      </c>
      <c r="F773" s="30" t="inlineStr">
        <is>
          <t>2020</t>
        </is>
      </c>
      <c r="G773" s="40" t="n">
        <v>124.6</v>
      </c>
    </row>
    <row r="774" ht="12" customHeight="1">
      <c r="A774" s="30" t="inlineStr">
        <is>
          <t>ARE</t>
        </is>
      </c>
      <c r="B774" s="30" t="inlineStr">
        <is>
          <t>Areal</t>
        </is>
      </c>
      <c r="C774" s="30" t="n">
        <v>77693459</v>
      </c>
      <c r="D774" s="30">
        <f>"67901140000292"</f>
        <v/>
      </c>
      <c r="E774" s="30" t="inlineStr">
        <is>
          <t>COTRALTI - COOPERATIVA DE TRANSPORTE E LOGISTICA DO ALTO TIETE</t>
        </is>
      </c>
      <c r="F774" s="30" t="inlineStr">
        <is>
          <t>2021</t>
        </is>
      </c>
      <c r="G774" s="40" t="n">
        <v>0</v>
      </c>
    </row>
    <row r="775" ht="12" customHeight="1">
      <c r="A775" s="30" t="inlineStr">
        <is>
          <t>ARE</t>
        </is>
      </c>
      <c r="B775" s="30" t="inlineStr">
        <is>
          <t>Areal</t>
        </is>
      </c>
      <c r="C775" s="30" t="n">
        <v>77693459</v>
      </c>
      <c r="D775" s="30">
        <f>"67901140000292"</f>
        <v/>
      </c>
      <c r="E775" s="30" t="inlineStr">
        <is>
          <t>COTRALTI - COOPERATIVA DE TRANSPORTE E LOGISTICA DO ALTO TIETE</t>
        </is>
      </c>
      <c r="F775" s="30" t="inlineStr">
        <is>
          <t>2022</t>
        </is>
      </c>
      <c r="G775" s="40" t="n">
        <v>1248.89</v>
      </c>
    </row>
    <row r="776" ht="12" customHeight="1">
      <c r="A776" s="30" t="inlineStr">
        <is>
          <t>ARE</t>
        </is>
      </c>
      <c r="B776" s="30" t="inlineStr">
        <is>
          <t>Areal</t>
        </is>
      </c>
      <c r="C776" s="30" t="n">
        <v>77693459</v>
      </c>
      <c r="D776" s="30">
        <f>"67901140000292"</f>
        <v/>
      </c>
      <c r="E776" s="30" t="inlineStr">
        <is>
          <t>COTRALTI - COOPERATIVA DE TRANSPORTE E LOGISTICA DO ALTO TIETE</t>
        </is>
      </c>
      <c r="F776" s="30" t="inlineStr">
        <is>
          <t>2023</t>
        </is>
      </c>
      <c r="G776" s="40" t="n">
        <v>14908.22</v>
      </c>
    </row>
    <row r="777" ht="12" customHeight="1">
      <c r="A777" s="30" t="inlineStr">
        <is>
          <t>ARE</t>
        </is>
      </c>
      <c r="B777" s="30" t="inlineStr">
        <is>
          <t>Areal</t>
        </is>
      </c>
      <c r="C777" s="30" t="n">
        <v>77700501</v>
      </c>
      <c r="D777" s="30">
        <f>"71208516017140"</f>
        <v/>
      </c>
      <c r="E777" s="30" t="inlineStr">
        <is>
          <t>ALGAR TELECOM S A</t>
        </is>
      </c>
      <c r="F777" s="30" t="inlineStr">
        <is>
          <t>2017</t>
        </is>
      </c>
      <c r="G777" s="40" t="n">
        <v>0</v>
      </c>
    </row>
    <row r="778" ht="12" customHeight="1">
      <c r="A778" s="30" t="inlineStr">
        <is>
          <t>ARE</t>
        </is>
      </c>
      <c r="B778" s="30" t="inlineStr">
        <is>
          <t>Areal</t>
        </is>
      </c>
      <c r="C778" s="30" t="n">
        <v>77700501</v>
      </c>
      <c r="D778" s="30">
        <f>"71208516017140"</f>
        <v/>
      </c>
      <c r="E778" s="30" t="inlineStr">
        <is>
          <t>ALGAR TELECOM S A</t>
        </is>
      </c>
      <c r="F778" s="30" t="inlineStr">
        <is>
          <t>2018</t>
        </is>
      </c>
      <c r="G778" s="40" t="n">
        <v>189.16</v>
      </c>
    </row>
    <row r="779" ht="12" customHeight="1">
      <c r="A779" s="30" t="inlineStr">
        <is>
          <t>ARE</t>
        </is>
      </c>
      <c r="B779" s="30" t="inlineStr">
        <is>
          <t>Areal</t>
        </is>
      </c>
      <c r="C779" s="30" t="n">
        <v>77700501</v>
      </c>
      <c r="D779" s="30">
        <f>"71208516017140"</f>
        <v/>
      </c>
      <c r="E779" s="30" t="inlineStr">
        <is>
          <t>ALGAR TELECOM S A</t>
        </is>
      </c>
      <c r="F779" s="30" t="inlineStr">
        <is>
          <t>2019</t>
        </is>
      </c>
      <c r="G779" s="40" t="n">
        <v>9.24</v>
      </c>
    </row>
    <row r="780" ht="12" customHeight="1">
      <c r="A780" s="30" t="inlineStr">
        <is>
          <t>ARE</t>
        </is>
      </c>
      <c r="B780" s="30" t="inlineStr">
        <is>
          <t>Areal</t>
        </is>
      </c>
      <c r="C780" s="30" t="n">
        <v>77700501</v>
      </c>
      <c r="D780" s="30">
        <f>"71208516017140"</f>
        <v/>
      </c>
      <c r="E780" s="30" t="inlineStr">
        <is>
          <t>ALGAR TELECOM S A</t>
        </is>
      </c>
      <c r="F780" s="30" t="inlineStr">
        <is>
          <t>2020</t>
        </is>
      </c>
      <c r="G780" s="40" t="n">
        <v>12.47</v>
      </c>
    </row>
    <row r="781" ht="12" customHeight="1">
      <c r="A781" s="30" t="inlineStr">
        <is>
          <t>ARE</t>
        </is>
      </c>
      <c r="B781" s="30" t="inlineStr">
        <is>
          <t>Areal</t>
        </is>
      </c>
      <c r="C781" s="30" t="n">
        <v>77700501</v>
      </c>
      <c r="D781" s="30">
        <f>"71208516017140"</f>
        <v/>
      </c>
      <c r="E781" s="30" t="inlineStr">
        <is>
          <t>ALGAR TELECOM S A</t>
        </is>
      </c>
      <c r="F781" s="30" t="inlineStr">
        <is>
          <t>2021</t>
        </is>
      </c>
      <c r="G781" s="40" t="n">
        <v>1.08</v>
      </c>
    </row>
    <row r="782" ht="12" customHeight="1">
      <c r="A782" s="30" t="inlineStr">
        <is>
          <t>ARE</t>
        </is>
      </c>
      <c r="B782" s="30" t="inlineStr">
        <is>
          <t>Areal</t>
        </is>
      </c>
      <c r="C782" s="30" t="n">
        <v>77700501</v>
      </c>
      <c r="D782" s="30">
        <f>"71208516017140"</f>
        <v/>
      </c>
      <c r="E782" s="30" t="inlineStr">
        <is>
          <t>ALGAR TELECOM S A</t>
        </is>
      </c>
      <c r="F782" s="30" t="inlineStr">
        <is>
          <t>2022</t>
        </is>
      </c>
      <c r="G782" s="40" t="n">
        <v>14.69</v>
      </c>
    </row>
    <row r="783" ht="12" customHeight="1">
      <c r="A783" s="30" t="inlineStr">
        <is>
          <t>ARE</t>
        </is>
      </c>
      <c r="B783" s="30" t="inlineStr">
        <is>
          <t>Areal</t>
        </is>
      </c>
      <c r="C783" s="30" t="n">
        <v>77700501</v>
      </c>
      <c r="D783" s="30">
        <f>"71208516017140"</f>
        <v/>
      </c>
      <c r="E783" s="30" t="inlineStr">
        <is>
          <t>ALGAR TELECOM S A</t>
        </is>
      </c>
      <c r="F783" s="30" t="inlineStr">
        <is>
          <t>2023</t>
        </is>
      </c>
      <c r="G783" s="40" t="n">
        <v>0</v>
      </c>
    </row>
    <row r="784" ht="12" customHeight="1">
      <c r="A784" s="30" t="inlineStr">
        <is>
          <t>ARE</t>
        </is>
      </c>
      <c r="B784" s="30" t="inlineStr">
        <is>
          <t>Areal</t>
        </is>
      </c>
      <c r="C784" s="30" t="n">
        <v>77730729</v>
      </c>
      <c r="D784" s="30">
        <f>"48740351000408"</f>
        <v/>
      </c>
      <c r="E784" s="30" t="inlineStr">
        <is>
          <t>BRASPRESS TRANSPORTES URGENTES LTDA</t>
        </is>
      </c>
      <c r="F784" s="30" t="inlineStr">
        <is>
          <t>2017</t>
        </is>
      </c>
      <c r="G784" s="40" t="n">
        <v>3625.61</v>
      </c>
    </row>
    <row r="785" ht="12" customHeight="1">
      <c r="A785" s="30" t="inlineStr">
        <is>
          <t>ARE</t>
        </is>
      </c>
      <c r="B785" s="30" t="inlineStr">
        <is>
          <t>Areal</t>
        </is>
      </c>
      <c r="C785" s="30" t="n">
        <v>77730729</v>
      </c>
      <c r="D785" s="30">
        <f>"48740351000408"</f>
        <v/>
      </c>
      <c r="E785" s="30" t="inlineStr">
        <is>
          <t>BRASPRESS TRANSPORTES URGENTES LTDA</t>
        </is>
      </c>
      <c r="F785" s="30" t="inlineStr">
        <is>
          <t>2018</t>
        </is>
      </c>
      <c r="G785" s="40" t="n">
        <v>2558.86</v>
      </c>
    </row>
    <row r="786" ht="12" customHeight="1">
      <c r="A786" s="30" t="inlineStr">
        <is>
          <t>ARE</t>
        </is>
      </c>
      <c r="B786" s="30" t="inlineStr">
        <is>
          <t>Areal</t>
        </is>
      </c>
      <c r="C786" s="30" t="n">
        <v>77730729</v>
      </c>
      <c r="D786" s="30">
        <f>"48740351000408"</f>
        <v/>
      </c>
      <c r="E786" s="30" t="inlineStr">
        <is>
          <t>BRASPRESS TRANSPORTES URGENTES LTDA</t>
        </is>
      </c>
      <c r="F786" s="30" t="inlineStr">
        <is>
          <t>2019</t>
        </is>
      </c>
      <c r="G786" s="40" t="n">
        <v>486.14</v>
      </c>
    </row>
    <row r="787" ht="12" customHeight="1">
      <c r="A787" s="30" t="inlineStr">
        <is>
          <t>ARE</t>
        </is>
      </c>
      <c r="B787" s="30" t="inlineStr">
        <is>
          <t>Areal</t>
        </is>
      </c>
      <c r="C787" s="30" t="n">
        <v>77730729</v>
      </c>
      <c r="D787" s="30">
        <f>"48740351000408"</f>
        <v/>
      </c>
      <c r="E787" s="30" t="inlineStr">
        <is>
          <t>BRASPRESS TRANSPORTES URGENTES LTDA</t>
        </is>
      </c>
      <c r="F787" s="30" t="inlineStr">
        <is>
          <t>2020</t>
        </is>
      </c>
      <c r="G787" s="40" t="n">
        <v>105.51</v>
      </c>
    </row>
    <row r="788" ht="12" customHeight="1">
      <c r="A788" s="30" t="inlineStr">
        <is>
          <t>ARE</t>
        </is>
      </c>
      <c r="B788" s="30" t="inlineStr">
        <is>
          <t>Areal</t>
        </is>
      </c>
      <c r="C788" s="30" t="n">
        <v>77730729</v>
      </c>
      <c r="D788" s="30">
        <f>"48740351000408"</f>
        <v/>
      </c>
      <c r="E788" s="30" t="inlineStr">
        <is>
          <t>BRASPRESS TRANSPORTES URGENTES LTDA</t>
        </is>
      </c>
      <c r="F788" s="30" t="inlineStr">
        <is>
          <t>2021</t>
        </is>
      </c>
      <c r="G788" s="40" t="n">
        <v>0</v>
      </c>
    </row>
    <row r="789" ht="12" customHeight="1">
      <c r="A789" s="30" t="inlineStr">
        <is>
          <t>ARE</t>
        </is>
      </c>
      <c r="B789" s="30" t="inlineStr">
        <is>
          <t>Areal</t>
        </is>
      </c>
      <c r="C789" s="30" t="n">
        <v>77730729</v>
      </c>
      <c r="D789" s="30">
        <f>"48740351000408"</f>
        <v/>
      </c>
      <c r="E789" s="30" t="inlineStr">
        <is>
          <t>BRASPRESS TRANSPORTES URGENTES LTDA</t>
        </is>
      </c>
      <c r="F789" s="30" t="inlineStr">
        <is>
          <t>2022</t>
        </is>
      </c>
      <c r="G789" s="40" t="n">
        <v>50450.3</v>
      </c>
    </row>
    <row r="790" ht="12" customHeight="1">
      <c r="A790" s="30" t="inlineStr">
        <is>
          <t>ARE</t>
        </is>
      </c>
      <c r="B790" s="30" t="inlineStr">
        <is>
          <t>Areal</t>
        </is>
      </c>
      <c r="C790" s="30" t="n">
        <v>77730729</v>
      </c>
      <c r="D790" s="30">
        <f>"48740351000408"</f>
        <v/>
      </c>
      <c r="E790" s="30" t="inlineStr">
        <is>
          <t>BRASPRESS TRANSPORTES URGENTES LTDA</t>
        </is>
      </c>
      <c r="F790" s="30" t="inlineStr">
        <is>
          <t>2023</t>
        </is>
      </c>
      <c r="G790" s="40" t="n">
        <v>281141.96</v>
      </c>
    </row>
    <row r="791" ht="12" customHeight="1">
      <c r="A791" s="30" t="inlineStr">
        <is>
          <t>ARE</t>
        </is>
      </c>
      <c r="B791" s="30" t="inlineStr">
        <is>
          <t>Areal</t>
        </is>
      </c>
      <c r="C791" s="30" t="n">
        <v>77734686</v>
      </c>
      <c r="D791" s="30">
        <f>"48740351003008"</f>
        <v/>
      </c>
      <c r="E791" s="30" t="inlineStr">
        <is>
          <t>BRASPRESS TRANSPORTES URGENTES LTDA</t>
        </is>
      </c>
      <c r="F791" s="30" t="inlineStr">
        <is>
          <t>2017</t>
        </is>
      </c>
      <c r="G791" s="40" t="n">
        <v>321.75</v>
      </c>
    </row>
    <row r="792" ht="12" customHeight="1">
      <c r="A792" s="30" t="inlineStr">
        <is>
          <t>ARE</t>
        </is>
      </c>
      <c r="B792" s="30" t="inlineStr">
        <is>
          <t>Areal</t>
        </is>
      </c>
      <c r="C792" s="30" t="n">
        <v>77734686</v>
      </c>
      <c r="D792" s="30">
        <f>"48740351003008"</f>
        <v/>
      </c>
      <c r="E792" s="30" t="inlineStr">
        <is>
          <t>BRASPRESS TRANSPORTES URGENTES LTDA</t>
        </is>
      </c>
      <c r="F792" s="30" t="inlineStr">
        <is>
          <t>2018</t>
        </is>
      </c>
      <c r="G792" s="40" t="n">
        <v>475.92</v>
      </c>
    </row>
    <row r="793" ht="12" customHeight="1">
      <c r="A793" s="30" t="inlineStr">
        <is>
          <t>ARE</t>
        </is>
      </c>
      <c r="B793" s="30" t="inlineStr">
        <is>
          <t>Areal</t>
        </is>
      </c>
      <c r="C793" s="30" t="n">
        <v>77734686</v>
      </c>
      <c r="D793" s="30">
        <f>"48740351003008"</f>
        <v/>
      </c>
      <c r="E793" s="30" t="inlineStr">
        <is>
          <t>BRASPRESS TRANSPORTES URGENTES LTDA</t>
        </is>
      </c>
      <c r="F793" s="30" t="inlineStr">
        <is>
          <t>2019</t>
        </is>
      </c>
      <c r="G793" s="40" t="n">
        <v>0</v>
      </c>
    </row>
    <row r="794" ht="12" customHeight="1">
      <c r="A794" s="30" t="inlineStr">
        <is>
          <t>ARE</t>
        </is>
      </c>
      <c r="B794" s="30" t="inlineStr">
        <is>
          <t>Areal</t>
        </is>
      </c>
      <c r="C794" s="30" t="n">
        <v>77734686</v>
      </c>
      <c r="D794" s="30">
        <f>"48740351003008"</f>
        <v/>
      </c>
      <c r="E794" s="30" t="inlineStr">
        <is>
          <t>BRASPRESS TRANSPORTES URGENTES LTDA</t>
        </is>
      </c>
      <c r="F794" s="30" t="inlineStr">
        <is>
          <t>2020</t>
        </is>
      </c>
      <c r="G794" s="40" t="n">
        <v>0</v>
      </c>
    </row>
    <row r="795" ht="12" customHeight="1">
      <c r="A795" s="30" t="inlineStr">
        <is>
          <t>ARE</t>
        </is>
      </c>
      <c r="B795" s="30" t="inlineStr">
        <is>
          <t>Areal</t>
        </is>
      </c>
      <c r="C795" s="30" t="n">
        <v>77768386</v>
      </c>
      <c r="D795" s="30">
        <f>"67901140000373"</f>
        <v/>
      </c>
      <c r="E795" s="30" t="inlineStr">
        <is>
          <t>COTRALTI - COOPERATIVA DE TRANSPORTE E LOGISTICA DO ALTO TIETE</t>
        </is>
      </c>
      <c r="F795" s="30" t="inlineStr">
        <is>
          <t>2017</t>
        </is>
      </c>
      <c r="G795" s="40" t="n">
        <v>132.5</v>
      </c>
    </row>
    <row r="796" ht="12" customHeight="1">
      <c r="A796" s="30" t="inlineStr">
        <is>
          <t>ARE</t>
        </is>
      </c>
      <c r="B796" s="30" t="inlineStr">
        <is>
          <t>Areal</t>
        </is>
      </c>
      <c r="C796" s="30" t="n">
        <v>77768386</v>
      </c>
      <c r="D796" s="30">
        <f>"67901140000373"</f>
        <v/>
      </c>
      <c r="E796" s="30" t="inlineStr">
        <is>
          <t>COTRALTI - COOPERATIVA DE TRANSPORTE E LOGISTICA DO ALTO TIETE</t>
        </is>
      </c>
      <c r="F796" s="30" t="inlineStr">
        <is>
          <t>2018</t>
        </is>
      </c>
      <c r="G796" s="40" t="n">
        <v>0</v>
      </c>
    </row>
    <row r="797" ht="12" customHeight="1">
      <c r="A797" s="30" t="inlineStr">
        <is>
          <t>ARE</t>
        </is>
      </c>
      <c r="B797" s="30" t="inlineStr">
        <is>
          <t>Areal</t>
        </is>
      </c>
      <c r="C797" s="30" t="n">
        <v>77768386</v>
      </c>
      <c r="D797" s="30">
        <f>"67901140000373"</f>
        <v/>
      </c>
      <c r="E797" s="30" t="inlineStr">
        <is>
          <t>COTRALTI - COOPERATIVA DE TRANSPORTE E LOGISTICA DO ALTO TIETE</t>
        </is>
      </c>
      <c r="F797" s="30" t="inlineStr">
        <is>
          <t>2019</t>
        </is>
      </c>
      <c r="G797" s="40" t="n">
        <v>0</v>
      </c>
    </row>
    <row r="798" ht="12" customHeight="1">
      <c r="A798" s="30" t="inlineStr">
        <is>
          <t>ARE</t>
        </is>
      </c>
      <c r="B798" s="30" t="inlineStr">
        <is>
          <t>Areal</t>
        </is>
      </c>
      <c r="C798" s="30" t="n">
        <v>77771930</v>
      </c>
      <c r="D798" s="30">
        <f>"06701081000133"</f>
        <v/>
      </c>
      <c r="E798" s="30" t="inlineStr">
        <is>
          <t>GOLD MILENIO TRANSPORTES LTDA ME</t>
        </is>
      </c>
      <c r="F798" s="30" t="inlineStr">
        <is>
          <t>2019</t>
        </is>
      </c>
      <c r="G798" s="40" t="n">
        <v>0</v>
      </c>
    </row>
    <row r="799" ht="12" customHeight="1">
      <c r="A799" s="30" t="inlineStr">
        <is>
          <t>ARE</t>
        </is>
      </c>
      <c r="B799" s="30" t="inlineStr">
        <is>
          <t>Areal</t>
        </is>
      </c>
      <c r="C799" s="30" t="n">
        <v>77771930</v>
      </c>
      <c r="D799" s="30">
        <f>"06701081000133"</f>
        <v/>
      </c>
      <c r="E799" s="30" t="inlineStr">
        <is>
          <t>GOLD MILENIO TRANSPORTES LTDA ME</t>
        </is>
      </c>
      <c r="F799" s="30" t="inlineStr">
        <is>
          <t>2020</t>
        </is>
      </c>
      <c r="G799" s="40" t="n">
        <v>0</v>
      </c>
    </row>
    <row r="800" ht="12" customHeight="1">
      <c r="A800" s="30" t="inlineStr">
        <is>
          <t>ARE</t>
        </is>
      </c>
      <c r="B800" s="30" t="inlineStr">
        <is>
          <t>Areal</t>
        </is>
      </c>
      <c r="C800" s="30" t="n">
        <v>77771930</v>
      </c>
      <c r="D800" s="30">
        <f>"06701081000133"</f>
        <v/>
      </c>
      <c r="E800" s="30" t="inlineStr">
        <is>
          <t>GOLD MILENIO TRANSPORTES LTDA ME</t>
        </is>
      </c>
      <c r="F800" s="30" t="inlineStr">
        <is>
          <t>2021</t>
        </is>
      </c>
      <c r="G800" s="40" t="n">
        <v>200</v>
      </c>
    </row>
    <row r="801" ht="12" customHeight="1">
      <c r="A801" s="30" t="inlineStr">
        <is>
          <t>ARE</t>
        </is>
      </c>
      <c r="B801" s="30" t="inlineStr">
        <is>
          <t>Areal</t>
        </is>
      </c>
      <c r="C801" s="30" t="n">
        <v>77771930</v>
      </c>
      <c r="D801" s="30">
        <f>"06701081000133"</f>
        <v/>
      </c>
      <c r="E801" s="30" t="inlineStr">
        <is>
          <t>GOLD MILENIO TRANSPORTES LTDA ME</t>
        </is>
      </c>
      <c r="F801" s="30" t="inlineStr">
        <is>
          <t>2022</t>
        </is>
      </c>
      <c r="G801" s="40" t="n">
        <v>0</v>
      </c>
    </row>
    <row r="802" ht="12" customHeight="1">
      <c r="A802" s="30" t="inlineStr">
        <is>
          <t>ARE</t>
        </is>
      </c>
      <c r="B802" s="30" t="inlineStr">
        <is>
          <t>Areal</t>
        </is>
      </c>
      <c r="C802" s="30" t="n">
        <v>77771930</v>
      </c>
      <c r="D802" s="30">
        <f>"06701081000133"</f>
        <v/>
      </c>
      <c r="E802" s="30" t="inlineStr">
        <is>
          <t>GOLD MILENIO TRANSPORTES LTDA ME</t>
        </is>
      </c>
      <c r="F802" s="30" t="inlineStr">
        <is>
          <t>2023</t>
        </is>
      </c>
      <c r="G802" s="40" t="n">
        <v>0</v>
      </c>
    </row>
    <row r="803" ht="12" customHeight="1">
      <c r="A803" s="30" t="inlineStr">
        <is>
          <t>ARE</t>
        </is>
      </c>
      <c r="B803" s="30" t="inlineStr">
        <is>
          <t>Areal</t>
        </is>
      </c>
      <c r="C803" s="30" t="n">
        <v>77785361</v>
      </c>
      <c r="D803" s="30">
        <f>"00972696000380"</f>
        <v/>
      </c>
      <c r="E803" s="30" t="inlineStr">
        <is>
          <t>V M RAMOS &amp; CIA LTDA</t>
        </is>
      </c>
      <c r="F803" s="30" t="inlineStr">
        <is>
          <t>2017</t>
        </is>
      </c>
      <c r="G803" s="40" t="n">
        <v>17252.72</v>
      </c>
    </row>
    <row r="804" ht="12" customHeight="1">
      <c r="A804" s="30" t="inlineStr">
        <is>
          <t>ARE</t>
        </is>
      </c>
      <c r="B804" s="30" t="inlineStr">
        <is>
          <t>Areal</t>
        </is>
      </c>
      <c r="C804" s="30" t="n">
        <v>77785361</v>
      </c>
      <c r="D804" s="30">
        <f>"00972696000380"</f>
        <v/>
      </c>
      <c r="E804" s="30" t="inlineStr">
        <is>
          <t>V M RAMOS &amp; CIA LTDA</t>
        </is>
      </c>
      <c r="F804" s="30" t="inlineStr">
        <is>
          <t>2018</t>
        </is>
      </c>
      <c r="G804" s="40" t="n">
        <v>3862.88</v>
      </c>
    </row>
    <row r="805" ht="12" customHeight="1">
      <c r="A805" s="30" t="inlineStr">
        <is>
          <t>ARE</t>
        </is>
      </c>
      <c r="B805" s="30" t="inlineStr">
        <is>
          <t>Areal</t>
        </is>
      </c>
      <c r="C805" s="30" t="n">
        <v>77785361</v>
      </c>
      <c r="D805" s="30">
        <f>"00972696000380"</f>
        <v/>
      </c>
      <c r="E805" s="30" t="inlineStr">
        <is>
          <t>V M RAMOS &amp; CIA LTDA</t>
        </is>
      </c>
      <c r="F805" s="30" t="inlineStr">
        <is>
          <t>2019</t>
        </is>
      </c>
      <c r="G805" s="40" t="n">
        <v>3772.77</v>
      </c>
    </row>
    <row r="806" ht="12" customHeight="1">
      <c r="A806" s="30" t="inlineStr">
        <is>
          <t>ARE</t>
        </is>
      </c>
      <c r="B806" s="30" t="inlineStr">
        <is>
          <t>Areal</t>
        </is>
      </c>
      <c r="C806" s="30" t="n">
        <v>77785361</v>
      </c>
      <c r="D806" s="30">
        <f>"00972696000380"</f>
        <v/>
      </c>
      <c r="E806" s="30" t="inlineStr">
        <is>
          <t>V M RAMOS &amp; CIA LTDA</t>
        </is>
      </c>
      <c r="F806" s="30" t="inlineStr">
        <is>
          <t>2020</t>
        </is>
      </c>
      <c r="G806" s="40" t="n">
        <v>1456.33</v>
      </c>
    </row>
    <row r="807" ht="12" customHeight="1">
      <c r="A807" s="30" t="inlineStr">
        <is>
          <t>ARE</t>
        </is>
      </c>
      <c r="B807" s="30" t="inlineStr">
        <is>
          <t>Areal</t>
        </is>
      </c>
      <c r="C807" s="30" t="n">
        <v>77785361</v>
      </c>
      <c r="D807" s="30">
        <f>"00972696000380"</f>
        <v/>
      </c>
      <c r="E807" s="30" t="inlineStr">
        <is>
          <t>V M RAMOS &amp; CIA LTDA</t>
        </is>
      </c>
      <c r="F807" s="30" t="inlineStr">
        <is>
          <t>2021</t>
        </is>
      </c>
      <c r="G807" s="40" t="n">
        <v>0</v>
      </c>
    </row>
    <row r="808" ht="12" customHeight="1">
      <c r="A808" s="30" t="inlineStr">
        <is>
          <t>ARE</t>
        </is>
      </c>
      <c r="B808" s="30" t="inlineStr">
        <is>
          <t>Areal</t>
        </is>
      </c>
      <c r="C808" s="30" t="n">
        <v>77785361</v>
      </c>
      <c r="D808" s="30">
        <f>"00972696000380"</f>
        <v/>
      </c>
      <c r="E808" s="30" t="inlineStr">
        <is>
          <t>V M RAMOS &amp; CIA LTDA</t>
        </is>
      </c>
      <c r="F808" s="30" t="inlineStr">
        <is>
          <t>2022</t>
        </is>
      </c>
      <c r="G808" s="40" t="n">
        <v>0</v>
      </c>
    </row>
    <row r="809" ht="12" customHeight="1">
      <c r="A809" s="30" t="inlineStr">
        <is>
          <t>ARE</t>
        </is>
      </c>
      <c r="B809" s="30" t="inlineStr">
        <is>
          <t>Areal</t>
        </is>
      </c>
      <c r="C809" s="30" t="n">
        <v>77812814</v>
      </c>
      <c r="D809" s="30">
        <f>"06371265000182"</f>
        <v/>
      </c>
      <c r="E809" s="30" t="inlineStr">
        <is>
          <t>MP 2019 TRANSPORTES LTDA</t>
        </is>
      </c>
      <c r="F809" s="30" t="inlineStr">
        <is>
          <t>2019</t>
        </is>
      </c>
      <c r="G809" s="40" t="n">
        <v>0</v>
      </c>
    </row>
    <row r="810" ht="12" customHeight="1">
      <c r="A810" s="30" t="inlineStr">
        <is>
          <t>ARE</t>
        </is>
      </c>
      <c r="B810" s="30" t="inlineStr">
        <is>
          <t>Areal</t>
        </is>
      </c>
      <c r="C810" s="30" t="n">
        <v>77812814</v>
      </c>
      <c r="D810" s="30">
        <f>"06371265000182"</f>
        <v/>
      </c>
      <c r="E810" s="30" t="inlineStr">
        <is>
          <t>MP 2019 TRANSPORTES LTDA</t>
        </is>
      </c>
      <c r="F810" s="30" t="inlineStr">
        <is>
          <t>2020</t>
        </is>
      </c>
      <c r="G810" s="40" t="n">
        <v>0</v>
      </c>
    </row>
    <row r="811" ht="12" customHeight="1">
      <c r="A811" s="30" t="inlineStr">
        <is>
          <t>ARE</t>
        </is>
      </c>
      <c r="B811" s="30" t="inlineStr">
        <is>
          <t>Areal</t>
        </is>
      </c>
      <c r="C811" s="30" t="n">
        <v>77812814</v>
      </c>
      <c r="D811" s="30">
        <f>"06371265000182"</f>
        <v/>
      </c>
      <c r="E811" s="30" t="inlineStr">
        <is>
          <t>MP 2019 TRANSPORTES LTDA</t>
        </is>
      </c>
      <c r="F811" s="30" t="inlineStr">
        <is>
          <t>2021</t>
        </is>
      </c>
      <c r="G811" s="40" t="n">
        <v>553.7</v>
      </c>
    </row>
    <row r="812" ht="12" customHeight="1">
      <c r="A812" s="30" t="inlineStr">
        <is>
          <t>ARE</t>
        </is>
      </c>
      <c r="B812" s="30" t="inlineStr">
        <is>
          <t>Areal</t>
        </is>
      </c>
      <c r="C812" s="30" t="n">
        <v>77812814</v>
      </c>
      <c r="D812" s="30">
        <f>"06371265000182"</f>
        <v/>
      </c>
      <c r="E812" s="30" t="inlineStr">
        <is>
          <t>MP 2019 TRANSPORTES LTDA</t>
        </is>
      </c>
      <c r="F812" s="30" t="inlineStr">
        <is>
          <t>2022</t>
        </is>
      </c>
      <c r="G812" s="40" t="n">
        <v>0</v>
      </c>
    </row>
    <row r="813" ht="12" customHeight="1">
      <c r="A813" s="30" t="inlineStr">
        <is>
          <t>ARE</t>
        </is>
      </c>
      <c r="B813" s="30" t="inlineStr">
        <is>
          <t>Areal</t>
        </is>
      </c>
      <c r="C813" s="30" t="n">
        <v>77812814</v>
      </c>
      <c r="D813" s="30">
        <f>"06371265000182"</f>
        <v/>
      </c>
      <c r="E813" s="30" t="inlineStr">
        <is>
          <t>MP 2019 TRANSPORTES LTDA</t>
        </is>
      </c>
      <c r="F813" s="30" t="inlineStr">
        <is>
          <t>2023</t>
        </is>
      </c>
      <c r="G813" s="40" t="n">
        <v>0</v>
      </c>
    </row>
    <row r="814" ht="12" customHeight="1">
      <c r="A814" s="30" t="inlineStr">
        <is>
          <t>ARE</t>
        </is>
      </c>
      <c r="B814" s="30" t="inlineStr">
        <is>
          <t>Areal</t>
        </is>
      </c>
      <c r="C814" s="30" t="n">
        <v>77836349</v>
      </c>
      <c r="D814" s="30">
        <f>"03708458000279"</f>
        <v/>
      </c>
      <c r="E814" s="30" t="inlineStr">
        <is>
          <t>REDIVIX TRANSPORTES LTDA</t>
        </is>
      </c>
      <c r="F814" s="30" t="inlineStr">
        <is>
          <t>2018</t>
        </is>
      </c>
      <c r="G814" s="40" t="n">
        <v>0</v>
      </c>
    </row>
    <row r="815" ht="12" customHeight="1">
      <c r="A815" s="30" t="inlineStr">
        <is>
          <t>ARE</t>
        </is>
      </c>
      <c r="B815" s="30" t="inlineStr">
        <is>
          <t>Areal</t>
        </is>
      </c>
      <c r="C815" s="30" t="n">
        <v>77836349</v>
      </c>
      <c r="D815" s="30">
        <f>"03708458000279"</f>
        <v/>
      </c>
      <c r="E815" s="30" t="inlineStr">
        <is>
          <t>REDIVIX TRANSPORTES LTDA</t>
        </is>
      </c>
      <c r="F815" s="30" t="inlineStr">
        <is>
          <t>2019</t>
        </is>
      </c>
      <c r="G815" s="40" t="n">
        <v>0</v>
      </c>
    </row>
    <row r="816" ht="12" customHeight="1">
      <c r="A816" s="30" t="inlineStr">
        <is>
          <t>ARE</t>
        </is>
      </c>
      <c r="B816" s="30" t="inlineStr">
        <is>
          <t>Areal</t>
        </is>
      </c>
      <c r="C816" s="30" t="n">
        <v>77836349</v>
      </c>
      <c r="D816" s="30">
        <f>"03708458000279"</f>
        <v/>
      </c>
      <c r="E816" s="30" t="inlineStr">
        <is>
          <t>REDIVIX TRANSPORTES LTDA</t>
        </is>
      </c>
      <c r="F816" s="30" t="inlineStr">
        <is>
          <t>2020</t>
        </is>
      </c>
      <c r="G816" s="40" t="n">
        <v>104.04</v>
      </c>
    </row>
    <row r="817" ht="12" customHeight="1">
      <c r="A817" s="30" t="inlineStr">
        <is>
          <t>ARE</t>
        </is>
      </c>
      <c r="B817" s="30" t="inlineStr">
        <is>
          <t>Areal</t>
        </is>
      </c>
      <c r="C817" s="30" t="n">
        <v>77836349</v>
      </c>
      <c r="D817" s="30">
        <f>"03708458000279"</f>
        <v/>
      </c>
      <c r="E817" s="30" t="inlineStr">
        <is>
          <t>REDIVIX TRANSPORTES LTDA</t>
        </is>
      </c>
      <c r="F817" s="30" t="inlineStr">
        <is>
          <t>2021</t>
        </is>
      </c>
      <c r="G817" s="40" t="n">
        <v>157.04</v>
      </c>
    </row>
    <row r="818" ht="12" customHeight="1">
      <c r="A818" s="30" t="inlineStr">
        <is>
          <t>ARE</t>
        </is>
      </c>
      <c r="B818" s="30" t="inlineStr">
        <is>
          <t>Areal</t>
        </is>
      </c>
      <c r="C818" s="30" t="n">
        <v>77836349</v>
      </c>
      <c r="D818" s="30">
        <f>"03708458000279"</f>
        <v/>
      </c>
      <c r="E818" s="30" t="inlineStr">
        <is>
          <t>REDIVIX TRANSPORTES LTDA</t>
        </is>
      </c>
      <c r="F818" s="30" t="inlineStr">
        <is>
          <t>2022</t>
        </is>
      </c>
      <c r="G818" s="40" t="n">
        <v>0</v>
      </c>
    </row>
    <row r="819" ht="12" customHeight="1">
      <c r="A819" s="30" t="inlineStr">
        <is>
          <t>ARE</t>
        </is>
      </c>
      <c r="B819" s="30" t="inlineStr">
        <is>
          <t>Areal</t>
        </is>
      </c>
      <c r="C819" s="30" t="n">
        <v>77836349</v>
      </c>
      <c r="D819" s="30">
        <f>"03708458000279"</f>
        <v/>
      </c>
      <c r="E819" s="30" t="inlineStr">
        <is>
          <t>REDIVIX TRANSPORTES LTDA</t>
        </is>
      </c>
      <c r="F819" s="30" t="inlineStr">
        <is>
          <t>2023</t>
        </is>
      </c>
      <c r="G819" s="40" t="n">
        <v>0</v>
      </c>
    </row>
    <row r="820" ht="12" customHeight="1">
      <c r="A820" s="30" t="inlineStr">
        <is>
          <t>ARE</t>
        </is>
      </c>
      <c r="B820" s="30" t="inlineStr">
        <is>
          <t>Areal</t>
        </is>
      </c>
      <c r="C820" s="30" t="n">
        <v>77866612</v>
      </c>
      <c r="D820" s="30">
        <f>"07217922000102"</f>
        <v/>
      </c>
      <c r="E820" s="30" t="inlineStr">
        <is>
          <t>COOP TRESUL COOPERATIVA DE PROPRIETARIOS DE VANS DE TRES RIOS E PARAIBA DO SUL</t>
        </is>
      </c>
      <c r="F820" s="30" t="inlineStr">
        <is>
          <t>2017</t>
        </is>
      </c>
      <c r="G820" s="40" t="n">
        <v>300</v>
      </c>
    </row>
    <row r="821" ht="12" customHeight="1">
      <c r="A821" s="30" t="inlineStr">
        <is>
          <t>ARE</t>
        </is>
      </c>
      <c r="B821" s="30" t="inlineStr">
        <is>
          <t>Areal</t>
        </is>
      </c>
      <c r="C821" s="30" t="n">
        <v>77866612</v>
      </c>
      <c r="D821" s="30">
        <f>"07217922000102"</f>
        <v/>
      </c>
      <c r="E821" s="30" t="inlineStr">
        <is>
          <t>COOP TRESUL COOPERATIVA DE PROPRIETARIOS DE VANS DE TRES RIOS E PARAIBA DO SUL</t>
        </is>
      </c>
      <c r="F821" s="30" t="inlineStr">
        <is>
          <t>2018</t>
        </is>
      </c>
      <c r="G821" s="40" t="n">
        <v>120</v>
      </c>
    </row>
    <row r="822" ht="12" customHeight="1">
      <c r="A822" s="30" t="inlineStr">
        <is>
          <t>ARE</t>
        </is>
      </c>
      <c r="B822" s="30" t="inlineStr">
        <is>
          <t>Areal</t>
        </is>
      </c>
      <c r="C822" s="30" t="n">
        <v>77866612</v>
      </c>
      <c r="D822" s="30">
        <f>"07217922000102"</f>
        <v/>
      </c>
      <c r="E822" s="30" t="inlineStr">
        <is>
          <t>COOP TRESUL COOPERATIVA DE PROPRIETARIOS DE VANS DE TRES RIOS E PARAIBA DO SUL</t>
        </is>
      </c>
      <c r="F822" s="30" t="inlineStr">
        <is>
          <t>2019</t>
        </is>
      </c>
      <c r="G822" s="40" t="n">
        <v>0</v>
      </c>
    </row>
    <row r="823" ht="12" customHeight="1">
      <c r="A823" s="30" t="inlineStr">
        <is>
          <t>ARE</t>
        </is>
      </c>
      <c r="B823" s="30" t="inlineStr">
        <is>
          <t>Areal</t>
        </is>
      </c>
      <c r="C823" s="30" t="n">
        <v>77866612</v>
      </c>
      <c r="D823" s="30">
        <f>"07217922000102"</f>
        <v/>
      </c>
      <c r="E823" s="30" t="inlineStr">
        <is>
          <t>COOP TRESUL COOPERATIVA DE PROPRIETARIOS DE VANS DE TRES RIOS E PARAIBA DO SUL</t>
        </is>
      </c>
      <c r="F823" s="30" t="inlineStr">
        <is>
          <t>2020</t>
        </is>
      </c>
      <c r="G823" s="40" t="n">
        <v>0</v>
      </c>
    </row>
    <row r="824" ht="12" customHeight="1">
      <c r="A824" s="30" t="inlineStr">
        <is>
          <t>ARE</t>
        </is>
      </c>
      <c r="B824" s="30" t="inlineStr">
        <is>
          <t>Areal</t>
        </is>
      </c>
      <c r="C824" s="30" t="n">
        <v>77876987</v>
      </c>
      <c r="D824" s="30">
        <f>"07211685000164"</f>
        <v/>
      </c>
      <c r="E824" s="30" t="inlineStr">
        <is>
          <t>DISPLAY DISTRIBUIDORA DE PRODUTOS ALIMENTICIOS LTDA ME</t>
        </is>
      </c>
      <c r="F824" s="30" t="inlineStr">
        <is>
          <t>2021</t>
        </is>
      </c>
      <c r="G824" s="40" t="n">
        <v>0</v>
      </c>
    </row>
    <row r="825" ht="12" customHeight="1">
      <c r="A825" s="30" t="inlineStr">
        <is>
          <t>ARE</t>
        </is>
      </c>
      <c r="B825" s="30" t="inlineStr">
        <is>
          <t>Areal</t>
        </is>
      </c>
      <c r="C825" s="30" t="n">
        <v>77876987</v>
      </c>
      <c r="D825" s="30">
        <f>"07211685000164"</f>
        <v/>
      </c>
      <c r="E825" s="30" t="inlineStr">
        <is>
          <t>DISPLAY DISTRIBUIDORA DE PRODUTOS ALIMENTICIOS LTDA ME</t>
        </is>
      </c>
      <c r="F825" s="30" t="inlineStr">
        <is>
          <t>2022</t>
        </is>
      </c>
      <c r="G825" s="40" t="n">
        <v>0</v>
      </c>
    </row>
    <row r="826" ht="12" customHeight="1">
      <c r="A826" s="30" t="inlineStr">
        <is>
          <t>ARE</t>
        </is>
      </c>
      <c r="B826" s="30" t="inlineStr">
        <is>
          <t>Areal</t>
        </is>
      </c>
      <c r="C826" s="30" t="n">
        <v>77876987</v>
      </c>
      <c r="D826" s="30">
        <f>"07211685000164"</f>
        <v/>
      </c>
      <c r="E826" s="30" t="inlineStr">
        <is>
          <t>DISPLAY DISTRIBUIDORA DE PRODUTOS ALIMENTICIOS LTDA ME</t>
        </is>
      </c>
      <c r="F826" s="30" t="inlineStr">
        <is>
          <t>2023</t>
        </is>
      </c>
      <c r="G826" s="40" t="n">
        <v>1100281.66</v>
      </c>
    </row>
    <row r="827" ht="12" customHeight="1">
      <c r="A827" s="30" t="inlineStr">
        <is>
          <t>ARE</t>
        </is>
      </c>
      <c r="B827" s="30" t="inlineStr">
        <is>
          <t>Areal</t>
        </is>
      </c>
      <c r="C827" s="30" t="n">
        <v>77908854</v>
      </c>
      <c r="D827" s="30">
        <f>"05017780002573"</f>
        <v/>
      </c>
      <c r="E827" s="30" t="inlineStr">
        <is>
          <t>RIO BRANCO ALIMENTOS SA</t>
        </is>
      </c>
      <c r="F827" s="30" t="inlineStr">
        <is>
          <t>2017</t>
        </is>
      </c>
      <c r="G827" s="40" t="n">
        <v>0</v>
      </c>
    </row>
    <row r="828" ht="12" customHeight="1">
      <c r="A828" s="30" t="inlineStr">
        <is>
          <t>ARE</t>
        </is>
      </c>
      <c r="B828" s="30" t="inlineStr">
        <is>
          <t>Areal</t>
        </is>
      </c>
      <c r="C828" s="30" t="n">
        <v>77908854</v>
      </c>
      <c r="D828" s="30">
        <f>"05017780002573"</f>
        <v/>
      </c>
      <c r="E828" s="30" t="inlineStr">
        <is>
          <t>RIO BRANCO ALIMENTOS SA</t>
        </is>
      </c>
      <c r="F828" s="30" t="inlineStr">
        <is>
          <t>2018</t>
        </is>
      </c>
      <c r="G828" s="40" t="n">
        <v>0</v>
      </c>
    </row>
    <row r="829" ht="12" customHeight="1">
      <c r="A829" s="30" t="inlineStr">
        <is>
          <t>ARE</t>
        </is>
      </c>
      <c r="B829" s="30" t="inlineStr">
        <is>
          <t>Areal</t>
        </is>
      </c>
      <c r="C829" s="30" t="n">
        <v>77908854</v>
      </c>
      <c r="D829" s="30">
        <f>"05017780002573"</f>
        <v/>
      </c>
      <c r="E829" s="30" t="inlineStr">
        <is>
          <t>RIO BRANCO ALIMENTOS SA</t>
        </is>
      </c>
      <c r="F829" s="30" t="inlineStr">
        <is>
          <t>2019</t>
        </is>
      </c>
      <c r="G829" s="40" t="n">
        <v>0</v>
      </c>
    </row>
    <row r="830" ht="12" customHeight="1">
      <c r="A830" s="30" t="inlineStr">
        <is>
          <t>ARE</t>
        </is>
      </c>
      <c r="B830" s="30" t="inlineStr">
        <is>
          <t>Areal</t>
        </is>
      </c>
      <c r="C830" s="30" t="n">
        <v>77908854</v>
      </c>
      <c r="D830" s="30">
        <f>"05017780002573"</f>
        <v/>
      </c>
      <c r="E830" s="30" t="inlineStr">
        <is>
          <t>RIO BRANCO ALIMENTOS SA</t>
        </is>
      </c>
      <c r="F830" s="30" t="inlineStr">
        <is>
          <t>2020</t>
        </is>
      </c>
      <c r="G830" s="40" t="n">
        <v>2620.12</v>
      </c>
    </row>
    <row r="831" ht="12" customHeight="1">
      <c r="A831" s="30" t="inlineStr">
        <is>
          <t>ARE</t>
        </is>
      </c>
      <c r="B831" s="30" t="inlineStr">
        <is>
          <t>Areal</t>
        </is>
      </c>
      <c r="C831" s="30" t="n">
        <v>77908854</v>
      </c>
      <c r="D831" s="30">
        <f>"05017780002573"</f>
        <v/>
      </c>
      <c r="E831" s="30" t="inlineStr">
        <is>
          <t>RIO BRANCO ALIMENTOS SA</t>
        </is>
      </c>
      <c r="F831" s="30" t="inlineStr">
        <is>
          <t>2021</t>
        </is>
      </c>
      <c r="G831" s="40" t="n">
        <v>0</v>
      </c>
    </row>
    <row r="832" ht="12" customHeight="1">
      <c r="A832" s="30" t="inlineStr">
        <is>
          <t>ARE</t>
        </is>
      </c>
      <c r="B832" s="30" t="inlineStr">
        <is>
          <t>Areal</t>
        </is>
      </c>
      <c r="C832" s="30" t="n">
        <v>77908854</v>
      </c>
      <c r="D832" s="30">
        <f>"05017780002573"</f>
        <v/>
      </c>
      <c r="E832" s="30" t="inlineStr">
        <is>
          <t>RIO BRANCO ALIMENTOS SA</t>
        </is>
      </c>
      <c r="F832" s="30" t="inlineStr">
        <is>
          <t>2022</t>
        </is>
      </c>
      <c r="G832" s="40" t="n">
        <v>55399.62</v>
      </c>
    </row>
    <row r="833" ht="12" customHeight="1">
      <c r="A833" s="30" t="inlineStr">
        <is>
          <t>ARE</t>
        </is>
      </c>
      <c r="B833" s="30" t="inlineStr">
        <is>
          <t>Areal</t>
        </is>
      </c>
      <c r="C833" s="30" t="n">
        <v>77908854</v>
      </c>
      <c r="D833" s="30">
        <f>"05017780002573"</f>
        <v/>
      </c>
      <c r="E833" s="30" t="inlineStr">
        <is>
          <t>RIO BRANCO ALIMENTOS SA</t>
        </is>
      </c>
      <c r="F833" s="30" t="inlineStr">
        <is>
          <t>2023</t>
        </is>
      </c>
      <c r="G833" s="40" t="n">
        <v>0</v>
      </c>
    </row>
    <row r="834" ht="12" customHeight="1">
      <c r="A834" s="30" t="inlineStr">
        <is>
          <t>ARE</t>
        </is>
      </c>
      <c r="B834" s="30" t="inlineStr">
        <is>
          <t>Areal</t>
        </is>
      </c>
      <c r="C834" s="30" t="n">
        <v>77909028</v>
      </c>
      <c r="D834" s="30">
        <f>"03558055001009"</f>
        <v/>
      </c>
      <c r="E834" s="30" t="inlineStr">
        <is>
          <t>INTERMODAL BRASIL LOGISTICA LTDA</t>
        </is>
      </c>
      <c r="F834" s="30" t="inlineStr">
        <is>
          <t>2020</t>
        </is>
      </c>
      <c r="G834" s="40" t="n">
        <v>0</v>
      </c>
    </row>
    <row r="835" ht="12" customHeight="1">
      <c r="A835" s="30" t="inlineStr">
        <is>
          <t>ARE</t>
        </is>
      </c>
      <c r="B835" s="30" t="inlineStr">
        <is>
          <t>Areal</t>
        </is>
      </c>
      <c r="C835" s="30" t="n">
        <v>77909028</v>
      </c>
      <c r="D835" s="30">
        <f>"03558055001009"</f>
        <v/>
      </c>
      <c r="E835" s="30" t="inlineStr">
        <is>
          <t>INTERMODAL BRASIL LOGISTICA LTDA</t>
        </is>
      </c>
      <c r="F835" s="30" t="inlineStr">
        <is>
          <t>2021</t>
        </is>
      </c>
      <c r="G835" s="40" t="n">
        <v>0</v>
      </c>
    </row>
    <row r="836" ht="12" customHeight="1">
      <c r="A836" s="30" t="inlineStr">
        <is>
          <t>ARE</t>
        </is>
      </c>
      <c r="B836" s="30" t="inlineStr">
        <is>
          <t>Areal</t>
        </is>
      </c>
      <c r="C836" s="30" t="n">
        <v>77909028</v>
      </c>
      <c r="D836" s="30">
        <f>"03558055001009"</f>
        <v/>
      </c>
      <c r="E836" s="30" t="inlineStr">
        <is>
          <t>INTERMODAL BRASIL LOGISTICA LTDA</t>
        </is>
      </c>
      <c r="F836" s="30" t="inlineStr">
        <is>
          <t>2022</t>
        </is>
      </c>
      <c r="G836" s="40" t="n">
        <v>0.26</v>
      </c>
    </row>
    <row r="837" ht="12" customHeight="1">
      <c r="A837" s="30" t="inlineStr">
        <is>
          <t>ARE</t>
        </is>
      </c>
      <c r="B837" s="30" t="inlineStr">
        <is>
          <t>Areal</t>
        </is>
      </c>
      <c r="C837" s="30" t="n">
        <v>77909028</v>
      </c>
      <c r="D837" s="30">
        <f>"03558055001009"</f>
        <v/>
      </c>
      <c r="E837" s="30" t="inlineStr">
        <is>
          <t>INTERMODAL BRASIL LOGISTICA LTDA</t>
        </is>
      </c>
      <c r="F837" s="30" t="inlineStr">
        <is>
          <t>2023</t>
        </is>
      </c>
      <c r="G837" s="40" t="n">
        <v>0</v>
      </c>
    </row>
    <row r="838" ht="12" customHeight="1">
      <c r="A838" s="30" t="inlineStr">
        <is>
          <t>ARE</t>
        </is>
      </c>
      <c r="B838" s="30" t="inlineStr">
        <is>
          <t>Areal</t>
        </is>
      </c>
      <c r="C838" s="30" t="n">
        <v>78002840</v>
      </c>
      <c r="D838" s="30">
        <f>"40432544006269"</f>
        <v/>
      </c>
      <c r="E838" s="30" t="inlineStr">
        <is>
          <t>CLARO S/A</t>
        </is>
      </c>
      <c r="F838" s="30" t="inlineStr">
        <is>
          <t>2017</t>
        </is>
      </c>
      <c r="G838" s="40" t="n">
        <v>4172708.04</v>
      </c>
    </row>
    <row r="839" ht="12" customHeight="1">
      <c r="A839" s="30" t="inlineStr">
        <is>
          <t>ARE</t>
        </is>
      </c>
      <c r="B839" s="30" t="inlineStr">
        <is>
          <t>Areal</t>
        </is>
      </c>
      <c r="C839" s="30" t="n">
        <v>78002840</v>
      </c>
      <c r="D839" s="30">
        <f>"40432544006269"</f>
        <v/>
      </c>
      <c r="E839" s="30" t="inlineStr">
        <is>
          <t>CLARO S/A</t>
        </is>
      </c>
      <c r="F839" s="30" t="inlineStr">
        <is>
          <t>2018</t>
        </is>
      </c>
      <c r="G839" s="40" t="n">
        <v>3753808.08</v>
      </c>
    </row>
    <row r="840" ht="12" customHeight="1">
      <c r="A840" s="30" t="inlineStr">
        <is>
          <t>ARE</t>
        </is>
      </c>
      <c r="B840" s="30" t="inlineStr">
        <is>
          <t>Areal</t>
        </is>
      </c>
      <c r="C840" s="30" t="n">
        <v>78002840</v>
      </c>
      <c r="D840" s="30">
        <f>"40432544006269"</f>
        <v/>
      </c>
      <c r="E840" s="30" t="inlineStr">
        <is>
          <t>CLARO S/A</t>
        </is>
      </c>
      <c r="F840" s="30" t="inlineStr">
        <is>
          <t>2019</t>
        </is>
      </c>
      <c r="G840" s="40" t="n">
        <v>3542250.55</v>
      </c>
    </row>
    <row r="841" ht="12" customHeight="1">
      <c r="A841" s="30" t="inlineStr">
        <is>
          <t>ARE</t>
        </is>
      </c>
      <c r="B841" s="30" t="inlineStr">
        <is>
          <t>Areal</t>
        </is>
      </c>
      <c r="C841" s="30" t="n">
        <v>78002840</v>
      </c>
      <c r="D841" s="30">
        <f>"40432544006269"</f>
        <v/>
      </c>
      <c r="E841" s="30" t="inlineStr">
        <is>
          <t>CLARO S/A</t>
        </is>
      </c>
      <c r="F841" s="30" t="inlineStr">
        <is>
          <t>2020</t>
        </is>
      </c>
      <c r="G841" s="40" t="n">
        <v>3579521.36</v>
      </c>
    </row>
    <row r="842" ht="12" customHeight="1">
      <c r="A842" s="30" t="inlineStr">
        <is>
          <t>ARE</t>
        </is>
      </c>
      <c r="B842" s="30" t="inlineStr">
        <is>
          <t>Areal</t>
        </is>
      </c>
      <c r="C842" s="30" t="n">
        <v>78002840</v>
      </c>
      <c r="D842" s="30">
        <f>"40432544006269"</f>
        <v/>
      </c>
      <c r="E842" s="30" t="inlineStr">
        <is>
          <t>CLARO S/A</t>
        </is>
      </c>
      <c r="F842" s="30" t="inlineStr">
        <is>
          <t>2021</t>
        </is>
      </c>
      <c r="G842" s="40" t="n">
        <v>2973802.18</v>
      </c>
    </row>
    <row r="843" ht="12" customHeight="1">
      <c r="A843" s="30" t="inlineStr">
        <is>
          <t>ARE</t>
        </is>
      </c>
      <c r="B843" s="30" t="inlineStr">
        <is>
          <t>Areal</t>
        </is>
      </c>
      <c r="C843" s="30" t="n">
        <v>78002840</v>
      </c>
      <c r="D843" s="30">
        <f>"40432544006269"</f>
        <v/>
      </c>
      <c r="E843" s="30" t="inlineStr">
        <is>
          <t>CLARO S/A</t>
        </is>
      </c>
      <c r="F843" s="30" t="inlineStr">
        <is>
          <t>2022</t>
        </is>
      </c>
      <c r="G843" s="40" t="n">
        <v>1835284.36</v>
      </c>
    </row>
    <row r="844" ht="12" customHeight="1">
      <c r="A844" s="30" t="inlineStr">
        <is>
          <t>ARE</t>
        </is>
      </c>
      <c r="B844" s="30" t="inlineStr">
        <is>
          <t>Areal</t>
        </is>
      </c>
      <c r="C844" s="30" t="n">
        <v>78002840</v>
      </c>
      <c r="D844" s="30">
        <f>"40432544006269"</f>
        <v/>
      </c>
      <c r="E844" s="30" t="inlineStr">
        <is>
          <t>CLARO S/A</t>
        </is>
      </c>
      <c r="F844" s="30" t="inlineStr">
        <is>
          <t>2023</t>
        </is>
      </c>
      <c r="G844" s="40" t="n">
        <v>1862344.61</v>
      </c>
    </row>
    <row r="845" ht="12" customHeight="1">
      <c r="A845" s="30" t="inlineStr">
        <is>
          <t>ARE</t>
        </is>
      </c>
      <c r="B845" s="30" t="inlineStr">
        <is>
          <t>Areal</t>
        </is>
      </c>
      <c r="C845" s="30" t="n">
        <v>78015144</v>
      </c>
      <c r="D845" s="30">
        <f>"07694182000197"</f>
        <v/>
      </c>
      <c r="E845" s="30" t="inlineStr">
        <is>
          <t>BAR E RESTAURANTE QUARENTAO LTDA</t>
        </is>
      </c>
      <c r="F845" s="30" t="inlineStr">
        <is>
          <t>2017</t>
        </is>
      </c>
      <c r="G845" s="40" t="n">
        <v>0</v>
      </c>
    </row>
    <row r="846" ht="12" customHeight="1">
      <c r="A846" s="30" t="inlineStr">
        <is>
          <t>ARE</t>
        </is>
      </c>
      <c r="B846" s="30" t="inlineStr">
        <is>
          <t>Areal</t>
        </is>
      </c>
      <c r="C846" s="30" t="n">
        <v>78015144</v>
      </c>
      <c r="D846" s="30">
        <f>"07694182000197"</f>
        <v/>
      </c>
      <c r="E846" s="30" t="inlineStr">
        <is>
          <t>BAR E RESTAURANTE QUARENTAO LTDA</t>
        </is>
      </c>
      <c r="F846" s="30" t="inlineStr">
        <is>
          <t>2018</t>
        </is>
      </c>
      <c r="G846" s="40" t="n">
        <v>0</v>
      </c>
    </row>
    <row r="847" ht="12" customHeight="1">
      <c r="A847" s="30" t="inlineStr">
        <is>
          <t>ARE</t>
        </is>
      </c>
      <c r="B847" s="30" t="inlineStr">
        <is>
          <t>Areal</t>
        </is>
      </c>
      <c r="C847" s="30" t="n">
        <v>78015144</v>
      </c>
      <c r="D847" s="30">
        <f>"07694182000197"</f>
        <v/>
      </c>
      <c r="E847" s="30" t="inlineStr">
        <is>
          <t>BAR E RESTAURANTE QUARENTAO LTDA</t>
        </is>
      </c>
      <c r="F847" s="30" t="inlineStr">
        <is>
          <t>2019</t>
        </is>
      </c>
      <c r="G847" s="40" t="n">
        <v>0</v>
      </c>
    </row>
    <row r="848" ht="12" customHeight="1">
      <c r="A848" s="30" t="inlineStr">
        <is>
          <t>ARE</t>
        </is>
      </c>
      <c r="B848" s="30" t="inlineStr">
        <is>
          <t>Areal</t>
        </is>
      </c>
      <c r="C848" s="30" t="n">
        <v>78015144</v>
      </c>
      <c r="D848" s="30">
        <f>"07694182000197"</f>
        <v/>
      </c>
      <c r="E848" s="30" t="inlineStr">
        <is>
          <t>BAR E RESTAURANTE QUARENTAO LTDA</t>
        </is>
      </c>
      <c r="F848" s="30" t="inlineStr">
        <is>
          <t>2020</t>
        </is>
      </c>
      <c r="G848" s="40" t="n">
        <v>0</v>
      </c>
    </row>
    <row r="849" ht="12" customHeight="1">
      <c r="A849" s="30" t="inlineStr">
        <is>
          <t>ARE</t>
        </is>
      </c>
      <c r="B849" s="30" t="inlineStr">
        <is>
          <t>Areal</t>
        </is>
      </c>
      <c r="C849" s="30" t="n">
        <v>78015144</v>
      </c>
      <c r="D849" s="30">
        <f>"07694182000197"</f>
        <v/>
      </c>
      <c r="E849" s="30" t="inlineStr">
        <is>
          <t>BAR E RESTAURANTE QUARENTAO LTDA</t>
        </is>
      </c>
      <c r="F849" s="30" t="inlineStr">
        <is>
          <t>2021</t>
        </is>
      </c>
      <c r="G849" s="40" t="n">
        <v>0</v>
      </c>
    </row>
    <row r="850" ht="12" customHeight="1">
      <c r="A850" s="30" t="inlineStr">
        <is>
          <t>ARE</t>
        </is>
      </c>
      <c r="B850" s="30" t="inlineStr">
        <is>
          <t>Areal</t>
        </is>
      </c>
      <c r="C850" s="30" t="n">
        <v>78027703</v>
      </c>
      <c r="D850" s="30">
        <f>"07715126000191"</f>
        <v/>
      </c>
      <c r="E850" s="30" t="inlineStr">
        <is>
          <t>YOUX COMERCIO INTERNACIONAL LTDA ME</t>
        </is>
      </c>
      <c r="F850" s="30" t="inlineStr">
        <is>
          <t>2017</t>
        </is>
      </c>
      <c r="G850" s="40" t="n">
        <v>0</v>
      </c>
    </row>
    <row r="851" ht="12" customHeight="1">
      <c r="A851" s="30" t="inlineStr">
        <is>
          <t>ARE</t>
        </is>
      </c>
      <c r="B851" s="30" t="inlineStr">
        <is>
          <t>Areal</t>
        </is>
      </c>
      <c r="C851" s="30" t="n">
        <v>78027703</v>
      </c>
      <c r="D851" s="30">
        <f>"07715126000191"</f>
        <v/>
      </c>
      <c r="E851" s="30" t="inlineStr">
        <is>
          <t>YOUX COMERCIO INTERNACIONAL LTDA ME</t>
        </is>
      </c>
      <c r="F851" s="30" t="inlineStr">
        <is>
          <t>2018</t>
        </is>
      </c>
      <c r="G851" s="40" t="n">
        <v>0</v>
      </c>
    </row>
    <row r="852" ht="12" customHeight="1">
      <c r="A852" s="30" t="inlineStr">
        <is>
          <t>ARE</t>
        </is>
      </c>
      <c r="B852" s="30" t="inlineStr">
        <is>
          <t>Areal</t>
        </is>
      </c>
      <c r="C852" s="30" t="n">
        <v>78027703</v>
      </c>
      <c r="D852" s="30">
        <f>"07715126000191"</f>
        <v/>
      </c>
      <c r="E852" s="30" t="inlineStr">
        <is>
          <t>YOUX COMERCIO INTERNACIONAL LTDA ME</t>
        </is>
      </c>
      <c r="F852" s="30" t="inlineStr">
        <is>
          <t>2019</t>
        </is>
      </c>
      <c r="G852" s="40" t="n">
        <v>0</v>
      </c>
    </row>
    <row r="853" ht="12" customHeight="1">
      <c r="A853" s="30" t="inlineStr">
        <is>
          <t>ARE</t>
        </is>
      </c>
      <c r="B853" s="30" t="inlineStr">
        <is>
          <t>Areal</t>
        </is>
      </c>
      <c r="C853" s="30" t="n">
        <v>78030844</v>
      </c>
      <c r="D853" s="30">
        <f>"07714104000107"</f>
        <v/>
      </c>
      <c r="E853" s="30" t="inlineStr">
        <is>
          <t>VM OPENLINK COMUNICAÇÃO MULTIMIDIA S.A.</t>
        </is>
      </c>
      <c r="F853" s="30" t="inlineStr">
        <is>
          <t>2017</t>
        </is>
      </c>
      <c r="G853" s="40" t="n">
        <v>241749.22</v>
      </c>
    </row>
    <row r="854" ht="12" customHeight="1">
      <c r="A854" s="30" t="inlineStr">
        <is>
          <t>ARE</t>
        </is>
      </c>
      <c r="B854" s="30" t="inlineStr">
        <is>
          <t>Areal</t>
        </is>
      </c>
      <c r="C854" s="30" t="n">
        <v>78030844</v>
      </c>
      <c r="D854" s="30">
        <f>"07714104000107"</f>
        <v/>
      </c>
      <c r="E854" s="30" t="inlineStr">
        <is>
          <t>VM OPENLINK COMUNICAÇÃO MULTIMIDIA S.A.</t>
        </is>
      </c>
      <c r="F854" s="30" t="inlineStr">
        <is>
          <t>2018</t>
        </is>
      </c>
      <c r="G854" s="40" t="n">
        <v>65483.66</v>
      </c>
    </row>
    <row r="855" ht="12" customHeight="1">
      <c r="A855" s="30" t="inlineStr">
        <is>
          <t>ARE</t>
        </is>
      </c>
      <c r="B855" s="30" t="inlineStr">
        <is>
          <t>Areal</t>
        </is>
      </c>
      <c r="C855" s="30" t="n">
        <v>78030844</v>
      </c>
      <c r="D855" s="30">
        <f>"07714104000107"</f>
        <v/>
      </c>
      <c r="E855" s="30" t="inlineStr">
        <is>
          <t>VM OPENLINK COMUNICAÇÃO MULTIMIDIA S.A.</t>
        </is>
      </c>
      <c r="F855" s="30" t="inlineStr">
        <is>
          <t>2019</t>
        </is>
      </c>
      <c r="G855" s="40" t="n">
        <v>394.09</v>
      </c>
    </row>
    <row r="856" ht="12" customHeight="1">
      <c r="A856" s="30" t="inlineStr">
        <is>
          <t>ARE</t>
        </is>
      </c>
      <c r="B856" s="30" t="inlineStr">
        <is>
          <t>Areal</t>
        </is>
      </c>
      <c r="C856" s="30" t="n">
        <v>78030844</v>
      </c>
      <c r="D856" s="30">
        <f>"07714104000107"</f>
        <v/>
      </c>
      <c r="E856" s="30" t="inlineStr">
        <is>
          <t>VM OPENLINK COMUNICAÇÃO MULTIMIDIA S.A.</t>
        </is>
      </c>
      <c r="F856" s="30" t="inlineStr">
        <is>
          <t>2020</t>
        </is>
      </c>
      <c r="G856" s="40" t="n">
        <v>5637.43</v>
      </c>
    </row>
    <row r="857" ht="12" customHeight="1">
      <c r="A857" s="30" t="inlineStr">
        <is>
          <t>ARE</t>
        </is>
      </c>
      <c r="B857" s="30" t="inlineStr">
        <is>
          <t>Areal</t>
        </is>
      </c>
      <c r="C857" s="30" t="n">
        <v>78030844</v>
      </c>
      <c r="D857" s="30">
        <f>"07714104000107"</f>
        <v/>
      </c>
      <c r="E857" s="30" t="inlineStr">
        <is>
          <t>VM OPENLINK COMUNICAÇÃO MULTIMIDIA S.A.</t>
        </is>
      </c>
      <c r="F857" s="30" t="inlineStr">
        <is>
          <t>2021</t>
        </is>
      </c>
      <c r="G857" s="40" t="n">
        <v>3161.08</v>
      </c>
    </row>
    <row r="858" ht="12" customHeight="1">
      <c r="A858" s="30" t="inlineStr">
        <is>
          <t>ARE</t>
        </is>
      </c>
      <c r="B858" s="30" t="inlineStr">
        <is>
          <t>Areal</t>
        </is>
      </c>
      <c r="C858" s="30" t="n">
        <v>78030844</v>
      </c>
      <c r="D858" s="30">
        <f>"07714104000107"</f>
        <v/>
      </c>
      <c r="E858" s="30" t="inlineStr">
        <is>
          <t>VM OPENLINK COMUNICAÇÃO MULTIMIDIA S.A.</t>
        </is>
      </c>
      <c r="F858" s="30" t="inlineStr">
        <is>
          <t>2022</t>
        </is>
      </c>
      <c r="G858" s="40" t="n">
        <v>1528.03</v>
      </c>
    </row>
    <row r="859" ht="12" customHeight="1">
      <c r="A859" s="30" t="inlineStr">
        <is>
          <t>ARE</t>
        </is>
      </c>
      <c r="B859" s="30" t="inlineStr">
        <is>
          <t>Areal</t>
        </is>
      </c>
      <c r="C859" s="30" t="n">
        <v>78030844</v>
      </c>
      <c r="D859" s="30">
        <f>"07714104000107"</f>
        <v/>
      </c>
      <c r="E859" s="30" t="inlineStr">
        <is>
          <t>VM OPENLINK COMUNICAÇÃO MULTIMIDIA S.A.</t>
        </is>
      </c>
      <c r="F859" s="30" t="inlineStr">
        <is>
          <t>2023</t>
        </is>
      </c>
      <c r="G859" s="40" t="n">
        <v>636.28</v>
      </c>
    </row>
    <row r="860" ht="12" customHeight="1">
      <c r="A860" s="30" t="inlineStr">
        <is>
          <t>ARE</t>
        </is>
      </c>
      <c r="B860" s="30" t="inlineStr">
        <is>
          <t>Areal</t>
        </is>
      </c>
      <c r="C860" s="30" t="n">
        <v>78069325</v>
      </c>
      <c r="D860" s="30">
        <f>"07322807000190"</f>
        <v/>
      </c>
      <c r="E860" s="30" t="inlineStr">
        <is>
          <t>BIRD GOLDEN COMERCIO DE AVES LTDA</t>
        </is>
      </c>
      <c r="F860" s="30" t="inlineStr">
        <is>
          <t>2017</t>
        </is>
      </c>
      <c r="G860" s="40" t="n">
        <v>0</v>
      </c>
    </row>
    <row r="861" ht="12" customHeight="1">
      <c r="A861" s="30" t="inlineStr">
        <is>
          <t>ARE</t>
        </is>
      </c>
      <c r="B861" s="30" t="inlineStr">
        <is>
          <t>Areal</t>
        </is>
      </c>
      <c r="C861" s="30" t="n">
        <v>78069325</v>
      </c>
      <c r="D861" s="30">
        <f>"07322807000190"</f>
        <v/>
      </c>
      <c r="E861" s="30" t="inlineStr">
        <is>
          <t>BIRD GOLDEN COMERCIO DE AVES LTDA</t>
        </is>
      </c>
      <c r="F861" s="30" t="inlineStr">
        <is>
          <t>2018</t>
        </is>
      </c>
      <c r="G861" s="40" t="n">
        <v>0</v>
      </c>
    </row>
    <row r="862" ht="12" customHeight="1">
      <c r="A862" s="30" t="inlineStr">
        <is>
          <t>ARE</t>
        </is>
      </c>
      <c r="B862" s="30" t="inlineStr">
        <is>
          <t>Areal</t>
        </is>
      </c>
      <c r="C862" s="30" t="n">
        <v>78069325</v>
      </c>
      <c r="D862" s="30">
        <f>"07322807000190"</f>
        <v/>
      </c>
      <c r="E862" s="30" t="inlineStr">
        <is>
          <t>BIRD GOLDEN COMERCIO DE AVES LTDA</t>
        </is>
      </c>
      <c r="F862" s="30" t="inlineStr">
        <is>
          <t>2019</t>
        </is>
      </c>
      <c r="G862" s="40" t="n">
        <v>0</v>
      </c>
    </row>
    <row r="863" ht="12" customHeight="1">
      <c r="A863" s="30" t="inlineStr">
        <is>
          <t>ARE</t>
        </is>
      </c>
      <c r="B863" s="30" t="inlineStr">
        <is>
          <t>Areal</t>
        </is>
      </c>
      <c r="C863" s="30" t="n">
        <v>78107944</v>
      </c>
      <c r="D863" s="30">
        <f>"04425426000229"</f>
        <v/>
      </c>
      <c r="E863" s="30" t="inlineStr">
        <is>
          <t>RADIO E TELEVISAO MODELO PAULISTA</t>
        </is>
      </c>
      <c r="F863" s="30" t="inlineStr">
        <is>
          <t>2017</t>
        </is>
      </c>
      <c r="G863" s="40" t="n">
        <v>1863.99</v>
      </c>
    </row>
    <row r="864" ht="12" customHeight="1">
      <c r="A864" s="30" t="inlineStr">
        <is>
          <t>ARE</t>
        </is>
      </c>
      <c r="B864" s="30" t="inlineStr">
        <is>
          <t>Areal</t>
        </is>
      </c>
      <c r="C864" s="30" t="n">
        <v>78107944</v>
      </c>
      <c r="D864" s="30">
        <f>"04425426000229"</f>
        <v/>
      </c>
      <c r="E864" s="30" t="inlineStr">
        <is>
          <t>RADIO E TELEVISAO MODELO PAULISTA</t>
        </is>
      </c>
      <c r="F864" s="30" t="inlineStr">
        <is>
          <t>2018</t>
        </is>
      </c>
      <c r="G864" s="40" t="n">
        <v>1750.56</v>
      </c>
    </row>
    <row r="865" ht="12" customHeight="1">
      <c r="A865" s="30" t="inlineStr">
        <is>
          <t>ARE</t>
        </is>
      </c>
      <c r="B865" s="30" t="inlineStr">
        <is>
          <t>Areal</t>
        </is>
      </c>
      <c r="C865" s="30" t="n">
        <v>78107944</v>
      </c>
      <c r="D865" s="30">
        <f>"04425426000229"</f>
        <v/>
      </c>
      <c r="E865" s="30" t="inlineStr">
        <is>
          <t>RADIO E TELEVISAO MODELO PAULISTA</t>
        </is>
      </c>
      <c r="F865" s="30" t="inlineStr">
        <is>
          <t>2019</t>
        </is>
      </c>
      <c r="G865" s="40" t="n">
        <v>1753.29</v>
      </c>
    </row>
    <row r="866" ht="12" customHeight="1">
      <c r="A866" s="30" t="inlineStr">
        <is>
          <t>ARE</t>
        </is>
      </c>
      <c r="B866" s="30" t="inlineStr">
        <is>
          <t>Areal</t>
        </is>
      </c>
      <c r="C866" s="30" t="n">
        <v>78107944</v>
      </c>
      <c r="D866" s="30">
        <f>"04425426000229"</f>
        <v/>
      </c>
      <c r="E866" s="30" t="inlineStr">
        <is>
          <t>RADIO E TELEVISAO MODELO PAULISTA</t>
        </is>
      </c>
      <c r="F866" s="30" t="inlineStr">
        <is>
          <t>2020</t>
        </is>
      </c>
      <c r="G866" s="40" t="n">
        <v>1965.1</v>
      </c>
    </row>
    <row r="867" ht="12" customHeight="1">
      <c r="A867" s="30" t="inlineStr">
        <is>
          <t>ARE</t>
        </is>
      </c>
      <c r="B867" s="30" t="inlineStr">
        <is>
          <t>Areal</t>
        </is>
      </c>
      <c r="C867" s="30" t="n">
        <v>78107944</v>
      </c>
      <c r="D867" s="30">
        <f>"04425426000229"</f>
        <v/>
      </c>
      <c r="E867" s="30" t="inlineStr">
        <is>
          <t>RADIO E TELEVISAO MODELO PAULISTA</t>
        </is>
      </c>
      <c r="F867" s="30" t="inlineStr">
        <is>
          <t>2021</t>
        </is>
      </c>
      <c r="G867" s="40" t="n">
        <v>2718.98</v>
      </c>
    </row>
    <row r="868" ht="12" customHeight="1">
      <c r="A868" s="30" t="inlineStr">
        <is>
          <t>ARE</t>
        </is>
      </c>
      <c r="B868" s="30" t="inlineStr">
        <is>
          <t>Areal</t>
        </is>
      </c>
      <c r="C868" s="30" t="n">
        <v>78107944</v>
      </c>
      <c r="D868" s="30">
        <f>"04425426000229"</f>
        <v/>
      </c>
      <c r="E868" s="30" t="inlineStr">
        <is>
          <t>RADIO E TELEVISAO MODELO PAULISTA</t>
        </is>
      </c>
      <c r="F868" s="30" t="inlineStr">
        <is>
          <t>2022</t>
        </is>
      </c>
      <c r="G868" s="40" t="n">
        <v>3015.15</v>
      </c>
    </row>
    <row r="869" ht="12" customHeight="1">
      <c r="A869" s="30" t="inlineStr">
        <is>
          <t>ARE</t>
        </is>
      </c>
      <c r="B869" s="30" t="inlineStr">
        <is>
          <t>Areal</t>
        </is>
      </c>
      <c r="C869" s="30" t="n">
        <v>78107944</v>
      </c>
      <c r="D869" s="30">
        <f>"04425426000229"</f>
        <v/>
      </c>
      <c r="E869" s="30" t="inlineStr">
        <is>
          <t>RADIO E TELEVISAO MODELO PAULISTA</t>
        </is>
      </c>
      <c r="F869" s="30" t="inlineStr">
        <is>
          <t>2023</t>
        </is>
      </c>
      <c r="G869" s="40" t="n">
        <v>5062.99</v>
      </c>
    </row>
    <row r="870" ht="12" customHeight="1">
      <c r="A870" s="30" t="inlineStr">
        <is>
          <t>ARE</t>
        </is>
      </c>
      <c r="B870" s="30" t="inlineStr">
        <is>
          <t>Areal</t>
        </is>
      </c>
      <c r="C870" s="30" t="n">
        <v>78145153</v>
      </c>
      <c r="D870" s="30">
        <f>"08004247000198"</f>
        <v/>
      </c>
      <c r="E870" s="30" t="inlineStr">
        <is>
          <t>PENA &amp; MENEGHITTI 2006 TRANSPORTES LTDA EPP</t>
        </is>
      </c>
      <c r="F870" s="30" t="inlineStr">
        <is>
          <t>2019</t>
        </is>
      </c>
      <c r="G870" s="40" t="n">
        <v>0</v>
      </c>
    </row>
    <row r="871" ht="12" customHeight="1">
      <c r="A871" s="30" t="inlineStr">
        <is>
          <t>ARE</t>
        </is>
      </c>
      <c r="B871" s="30" t="inlineStr">
        <is>
          <t>Areal</t>
        </is>
      </c>
      <c r="C871" s="30" t="n">
        <v>78145153</v>
      </c>
      <c r="D871" s="30">
        <f>"08004247000198"</f>
        <v/>
      </c>
      <c r="E871" s="30" t="inlineStr">
        <is>
          <t>PENA &amp; MENEGHITTI 2006 TRANSPORTES LTDA EPP</t>
        </is>
      </c>
      <c r="F871" s="30" t="inlineStr">
        <is>
          <t>2020</t>
        </is>
      </c>
      <c r="G871" s="40" t="n">
        <v>0</v>
      </c>
    </row>
    <row r="872" ht="12" customHeight="1">
      <c r="A872" s="30" t="inlineStr">
        <is>
          <t>ARE</t>
        </is>
      </c>
      <c r="B872" s="30" t="inlineStr">
        <is>
          <t>Areal</t>
        </is>
      </c>
      <c r="C872" s="30" t="n">
        <v>78145153</v>
      </c>
      <c r="D872" s="30">
        <f>"08004247000198"</f>
        <v/>
      </c>
      <c r="E872" s="30" t="inlineStr">
        <is>
          <t>PENA &amp; MENEGHITTI 2006 TRANSPORTES LTDA EPP</t>
        </is>
      </c>
      <c r="F872" s="30" t="inlineStr">
        <is>
          <t>2021</t>
        </is>
      </c>
      <c r="G872" s="40" t="n">
        <v>25.44</v>
      </c>
    </row>
    <row r="873" ht="12" customHeight="1">
      <c r="A873" s="30" t="inlineStr">
        <is>
          <t>ARE</t>
        </is>
      </c>
      <c r="B873" s="30" t="inlineStr">
        <is>
          <t>Areal</t>
        </is>
      </c>
      <c r="C873" s="30" t="n">
        <v>78145153</v>
      </c>
      <c r="D873" s="30">
        <f>"08004247000198"</f>
        <v/>
      </c>
      <c r="E873" s="30" t="inlineStr">
        <is>
          <t>PENA &amp; MENEGHITTI 2006 TRANSPORTES LTDA EPP</t>
        </is>
      </c>
      <c r="F873" s="30" t="inlineStr">
        <is>
          <t>2022</t>
        </is>
      </c>
      <c r="G873" s="40" t="n">
        <v>0</v>
      </c>
    </row>
    <row r="874" ht="12" customHeight="1">
      <c r="A874" s="30" t="inlineStr">
        <is>
          <t>ARE</t>
        </is>
      </c>
      <c r="B874" s="30" t="inlineStr">
        <is>
          <t>Areal</t>
        </is>
      </c>
      <c r="C874" s="30" t="n">
        <v>78145153</v>
      </c>
      <c r="D874" s="30">
        <f>"08004247000198"</f>
        <v/>
      </c>
      <c r="E874" s="30" t="inlineStr">
        <is>
          <t>PENA &amp; MENEGHITTI 2006 TRANSPORTES LTDA EPP</t>
        </is>
      </c>
      <c r="F874" s="30" t="inlineStr">
        <is>
          <t>2023</t>
        </is>
      </c>
      <c r="G874" s="40" t="n">
        <v>86.13</v>
      </c>
    </row>
    <row r="875" ht="12" customHeight="1">
      <c r="A875" s="30" t="inlineStr">
        <is>
          <t>ARE</t>
        </is>
      </c>
      <c r="B875" s="30" t="inlineStr">
        <is>
          <t>Areal</t>
        </is>
      </c>
      <c r="C875" s="30" t="n">
        <v>78148640</v>
      </c>
      <c r="D875" s="30">
        <f>"07642982000164"</f>
        <v/>
      </c>
      <c r="E875" s="30" t="inlineStr">
        <is>
          <t>QUANTA GERACAO S/A</t>
        </is>
      </c>
      <c r="F875" s="30" t="inlineStr">
        <is>
          <t>2017</t>
        </is>
      </c>
      <c r="G875" s="40" t="n">
        <v>11486769.93</v>
      </c>
    </row>
    <row r="876" ht="12" customHeight="1">
      <c r="A876" s="30" t="inlineStr">
        <is>
          <t>ARE</t>
        </is>
      </c>
      <c r="B876" s="30" t="inlineStr">
        <is>
          <t>Areal</t>
        </is>
      </c>
      <c r="C876" s="30" t="n">
        <v>78148640</v>
      </c>
      <c r="D876" s="30">
        <f>"07642982000164"</f>
        <v/>
      </c>
      <c r="E876" s="30" t="inlineStr">
        <is>
          <t>QUANTA GERACAO S/A</t>
        </is>
      </c>
      <c r="F876" s="30" t="inlineStr">
        <is>
          <t>2018</t>
        </is>
      </c>
      <c r="G876" s="40" t="n">
        <v>14212457.11</v>
      </c>
    </row>
    <row r="877" ht="12" customHeight="1">
      <c r="A877" s="30" t="inlineStr">
        <is>
          <t>ARE</t>
        </is>
      </c>
      <c r="B877" s="30" t="inlineStr">
        <is>
          <t>Areal</t>
        </is>
      </c>
      <c r="C877" s="30" t="n">
        <v>78148640</v>
      </c>
      <c r="D877" s="30">
        <f>"07642982000164"</f>
        <v/>
      </c>
      <c r="E877" s="30" t="inlineStr">
        <is>
          <t>QUANTA GERACAO S/A</t>
        </is>
      </c>
      <c r="F877" s="30" t="inlineStr">
        <is>
          <t>2019</t>
        </is>
      </c>
      <c r="G877" s="40" t="n">
        <v>2289663.88</v>
      </c>
    </row>
    <row r="878" ht="12" customHeight="1">
      <c r="A878" s="30" t="inlineStr">
        <is>
          <t>ARE</t>
        </is>
      </c>
      <c r="B878" s="30" t="inlineStr">
        <is>
          <t>Areal</t>
        </is>
      </c>
      <c r="C878" s="30" t="n">
        <v>78148640</v>
      </c>
      <c r="D878" s="30">
        <f>"07642982000164"</f>
        <v/>
      </c>
      <c r="E878" s="30" t="inlineStr">
        <is>
          <t>QUANTA GERACAO S/A</t>
        </is>
      </c>
      <c r="F878" s="30" t="inlineStr">
        <is>
          <t>2020</t>
        </is>
      </c>
      <c r="G878" s="40" t="n">
        <v>79976668.5</v>
      </c>
    </row>
    <row r="879" ht="12" customHeight="1">
      <c r="A879" s="30" t="inlineStr">
        <is>
          <t>ARE</t>
        </is>
      </c>
      <c r="B879" s="30" t="inlineStr">
        <is>
          <t>Areal</t>
        </is>
      </c>
      <c r="C879" s="30" t="n">
        <v>78148640</v>
      </c>
      <c r="D879" s="30">
        <f>"07642982000164"</f>
        <v/>
      </c>
      <c r="E879" s="30" t="inlineStr">
        <is>
          <t>QUANTA GERACAO S/A</t>
        </is>
      </c>
      <c r="F879" s="30" t="inlineStr">
        <is>
          <t>2021</t>
        </is>
      </c>
      <c r="G879" s="40" t="n">
        <v>74636800.20999999</v>
      </c>
    </row>
    <row r="880" ht="12" customHeight="1">
      <c r="A880" s="30" t="inlineStr">
        <is>
          <t>ARE</t>
        </is>
      </c>
      <c r="B880" s="30" t="inlineStr">
        <is>
          <t>Areal</t>
        </is>
      </c>
      <c r="C880" s="30" t="n">
        <v>78148640</v>
      </c>
      <c r="D880" s="30">
        <f>"07642982000164"</f>
        <v/>
      </c>
      <c r="E880" s="30" t="inlineStr">
        <is>
          <t>QUANTA GERACAO S/A</t>
        </is>
      </c>
      <c r="F880" s="30" t="inlineStr">
        <is>
          <t>2022</t>
        </is>
      </c>
      <c r="G880" s="40" t="n">
        <v>68169566.65000001</v>
      </c>
    </row>
    <row r="881" ht="12" customHeight="1">
      <c r="A881" s="30" t="inlineStr">
        <is>
          <t>ARE</t>
        </is>
      </c>
      <c r="B881" s="30" t="inlineStr">
        <is>
          <t>Areal</t>
        </is>
      </c>
      <c r="C881" s="30" t="n">
        <v>78148640</v>
      </c>
      <c r="D881" s="30">
        <f>"07642982000164"</f>
        <v/>
      </c>
      <c r="E881" s="30" t="inlineStr">
        <is>
          <t>QUANTA GERACAO S/A</t>
        </is>
      </c>
      <c r="F881" s="30" t="inlineStr">
        <is>
          <t>2023</t>
        </is>
      </c>
      <c r="G881" s="40" t="n">
        <v>55164379.35</v>
      </c>
    </row>
    <row r="882" ht="12" customHeight="1">
      <c r="A882" s="30" t="inlineStr">
        <is>
          <t>ARE</t>
        </is>
      </c>
      <c r="B882" s="30" t="inlineStr">
        <is>
          <t>Areal</t>
        </is>
      </c>
      <c r="C882" s="30" t="n">
        <v>78156090</v>
      </c>
      <c r="D882" s="30">
        <f>"08239521000108"</f>
        <v/>
      </c>
      <c r="E882" s="30" t="inlineStr">
        <is>
          <t>QUATRO IRMAOS SERVICOS DE TRANSPORTES LTDA EPP</t>
        </is>
      </c>
      <c r="F882" s="30" t="inlineStr">
        <is>
          <t>2021</t>
        </is>
      </c>
      <c r="G882" s="40" t="n">
        <v>0</v>
      </c>
    </row>
    <row r="883" ht="12" customHeight="1">
      <c r="A883" s="30" t="inlineStr">
        <is>
          <t>ARE</t>
        </is>
      </c>
      <c r="B883" s="30" t="inlineStr">
        <is>
          <t>Areal</t>
        </is>
      </c>
      <c r="C883" s="30" t="n">
        <v>78156090</v>
      </c>
      <c r="D883" s="30">
        <f>"08239521000108"</f>
        <v/>
      </c>
      <c r="E883" s="30" t="inlineStr">
        <is>
          <t>QUATRO IRMAOS SERVICOS DE TRANSPORTES LTDA EPP</t>
        </is>
      </c>
      <c r="F883" s="30" t="inlineStr">
        <is>
          <t>2022</t>
        </is>
      </c>
      <c r="G883" s="40" t="n">
        <v>0</v>
      </c>
    </row>
    <row r="884" ht="12" customHeight="1">
      <c r="A884" s="30" t="inlineStr">
        <is>
          <t>ARE</t>
        </is>
      </c>
      <c r="B884" s="30" t="inlineStr">
        <is>
          <t>Areal</t>
        </is>
      </c>
      <c r="C884" s="30" t="n">
        <v>78156090</v>
      </c>
      <c r="D884" s="30">
        <f>"08239521000108"</f>
        <v/>
      </c>
      <c r="E884" s="30" t="inlineStr">
        <is>
          <t>QUATRO IRMAOS SERVICOS DE TRANSPORTES LTDA EPP</t>
        </is>
      </c>
      <c r="F884" s="30" t="inlineStr">
        <is>
          <t>2023</t>
        </is>
      </c>
      <c r="G884" s="40" t="n">
        <v>48.88</v>
      </c>
    </row>
    <row r="885" ht="12" customHeight="1">
      <c r="A885" s="30" t="inlineStr">
        <is>
          <t>ARE</t>
        </is>
      </c>
      <c r="B885" s="30" t="inlineStr">
        <is>
          <t>Areal</t>
        </is>
      </c>
      <c r="C885" s="30" t="n">
        <v>78156872</v>
      </c>
      <c r="D885" s="30">
        <f>"73939449000940"</f>
        <v/>
      </c>
      <c r="E885" s="30" t="inlineStr">
        <is>
          <t>TEX COURIER LTDA EM RECUPERACAO JUDICIAL</t>
        </is>
      </c>
      <c r="F885" s="30" t="inlineStr">
        <is>
          <t>2019</t>
        </is>
      </c>
      <c r="G885" s="40" t="n">
        <v>0</v>
      </c>
    </row>
    <row r="886" ht="12" customHeight="1">
      <c r="A886" s="30" t="inlineStr">
        <is>
          <t>ARE</t>
        </is>
      </c>
      <c r="B886" s="30" t="inlineStr">
        <is>
          <t>Areal</t>
        </is>
      </c>
      <c r="C886" s="30" t="n">
        <v>78156872</v>
      </c>
      <c r="D886" s="30">
        <f>"73939449000940"</f>
        <v/>
      </c>
      <c r="E886" s="30" t="inlineStr">
        <is>
          <t>TEX COURIER LTDA EM RECUPERACAO JUDICIAL</t>
        </is>
      </c>
      <c r="F886" s="30" t="inlineStr">
        <is>
          <t>2020</t>
        </is>
      </c>
      <c r="G886" s="40" t="n">
        <v>0</v>
      </c>
    </row>
    <row r="887" ht="12" customHeight="1">
      <c r="A887" s="30" t="inlineStr">
        <is>
          <t>ARE</t>
        </is>
      </c>
      <c r="B887" s="30" t="inlineStr">
        <is>
          <t>Areal</t>
        </is>
      </c>
      <c r="C887" s="30" t="n">
        <v>78156872</v>
      </c>
      <c r="D887" s="30">
        <f>"73939449000940"</f>
        <v/>
      </c>
      <c r="E887" s="30" t="inlineStr">
        <is>
          <t>TEX COURIER LTDA EM RECUPERACAO JUDICIAL</t>
        </is>
      </c>
      <c r="F887" s="30" t="inlineStr">
        <is>
          <t>2021</t>
        </is>
      </c>
      <c r="G887" s="40" t="n">
        <v>717.99</v>
      </c>
    </row>
    <row r="888" ht="12" customHeight="1">
      <c r="A888" s="30" t="inlineStr">
        <is>
          <t>ARE</t>
        </is>
      </c>
      <c r="B888" s="30" t="inlineStr">
        <is>
          <t>Areal</t>
        </is>
      </c>
      <c r="C888" s="30" t="n">
        <v>78156872</v>
      </c>
      <c r="D888" s="30">
        <f>"73939449000940"</f>
        <v/>
      </c>
      <c r="E888" s="30" t="inlineStr">
        <is>
          <t>TEX COURIER LTDA EM RECUPERACAO JUDICIAL</t>
        </is>
      </c>
      <c r="F888" s="30" t="inlineStr">
        <is>
          <t>2022</t>
        </is>
      </c>
      <c r="G888" s="40" t="n">
        <v>0</v>
      </c>
    </row>
    <row r="889" ht="12" customHeight="1">
      <c r="A889" s="30" t="inlineStr">
        <is>
          <t>ARE</t>
        </is>
      </c>
      <c r="B889" s="30" t="inlineStr">
        <is>
          <t>Areal</t>
        </is>
      </c>
      <c r="C889" s="30" t="n">
        <v>78156872</v>
      </c>
      <c r="D889" s="30">
        <f>"73939449000940"</f>
        <v/>
      </c>
      <c r="E889" s="30" t="inlineStr">
        <is>
          <t>TEX COURIER LTDA EM RECUPERACAO JUDICIAL</t>
        </is>
      </c>
      <c r="F889" s="30" t="inlineStr">
        <is>
          <t>2023</t>
        </is>
      </c>
      <c r="G889" s="40" t="n">
        <v>0</v>
      </c>
    </row>
    <row r="890" ht="12" customHeight="1">
      <c r="A890" s="30" t="inlineStr">
        <is>
          <t>ARE</t>
        </is>
      </c>
      <c r="B890" s="30" t="inlineStr">
        <is>
          <t>Areal</t>
        </is>
      </c>
      <c r="C890" s="30" t="n">
        <v>78252596</v>
      </c>
      <c r="D890" s="30">
        <f>"01497047000175"</f>
        <v/>
      </c>
      <c r="E890" s="30" t="inlineStr">
        <is>
          <t>PASTELARIA E LANCHES DE AREAL LTDA ME</t>
        </is>
      </c>
      <c r="F890" s="30" t="inlineStr">
        <is>
          <t>2019</t>
        </is>
      </c>
      <c r="G890" s="40" t="n">
        <v>0</v>
      </c>
    </row>
    <row r="891" ht="12" customHeight="1">
      <c r="A891" s="30" t="inlineStr">
        <is>
          <t>ARE</t>
        </is>
      </c>
      <c r="B891" s="30" t="inlineStr">
        <is>
          <t>Areal</t>
        </is>
      </c>
      <c r="C891" s="30" t="n">
        <v>78252596</v>
      </c>
      <c r="D891" s="30">
        <f>"01497047000175"</f>
        <v/>
      </c>
      <c r="E891" s="30" t="inlineStr">
        <is>
          <t>PASTELARIA E LANCHES DE AREAL LTDA ME</t>
        </is>
      </c>
      <c r="F891" s="30" t="inlineStr">
        <is>
          <t>2020</t>
        </is>
      </c>
      <c r="G891" s="40" t="n">
        <v>0</v>
      </c>
    </row>
    <row r="892" ht="12" customHeight="1">
      <c r="A892" s="30" t="inlineStr">
        <is>
          <t>ARE</t>
        </is>
      </c>
      <c r="B892" s="30" t="inlineStr">
        <is>
          <t>Areal</t>
        </is>
      </c>
      <c r="C892" s="30" t="n">
        <v>78252596</v>
      </c>
      <c r="D892" s="30">
        <f>"01497047000175"</f>
        <v/>
      </c>
      <c r="E892" s="30" t="inlineStr">
        <is>
          <t>PASTELARIA E LANCHES DE AREAL LTDA ME</t>
        </is>
      </c>
      <c r="F892" s="30" t="inlineStr">
        <is>
          <t>2021</t>
        </is>
      </c>
      <c r="G892" s="40" t="n">
        <v>0</v>
      </c>
    </row>
    <row r="893" ht="12" customHeight="1">
      <c r="A893" s="30" t="inlineStr">
        <is>
          <t>ARE</t>
        </is>
      </c>
      <c r="B893" s="30" t="inlineStr">
        <is>
          <t>Areal</t>
        </is>
      </c>
      <c r="C893" s="30" t="n">
        <v>78252596</v>
      </c>
      <c r="D893" s="30">
        <f>"01497047000175"</f>
        <v/>
      </c>
      <c r="E893" s="30" t="inlineStr">
        <is>
          <t>PASTELARIA E LANCHES DE AREAL LTDA ME</t>
        </is>
      </c>
      <c r="F893" s="30" t="inlineStr">
        <is>
          <t>2022</t>
        </is>
      </c>
      <c r="G893" s="40" t="n">
        <v>0</v>
      </c>
    </row>
    <row r="894" ht="12" customHeight="1">
      <c r="A894" s="30" t="inlineStr">
        <is>
          <t>ARE</t>
        </is>
      </c>
      <c r="B894" s="30" t="inlineStr">
        <is>
          <t>Areal</t>
        </is>
      </c>
      <c r="C894" s="30" t="n">
        <v>78252596</v>
      </c>
      <c r="D894" s="30">
        <f>"01497047000175"</f>
        <v/>
      </c>
      <c r="E894" s="30" t="inlineStr">
        <is>
          <t>PASTELARIA E LANCHES DE AREAL LTDA ME</t>
        </is>
      </c>
      <c r="F894" s="30" t="inlineStr">
        <is>
          <t>2023</t>
        </is>
      </c>
      <c r="G894" s="40" t="n">
        <v>0</v>
      </c>
    </row>
    <row r="895" ht="12" customHeight="1">
      <c r="A895" s="30" t="inlineStr">
        <is>
          <t>ARE</t>
        </is>
      </c>
      <c r="B895" s="30" t="inlineStr">
        <is>
          <t>Areal</t>
        </is>
      </c>
      <c r="C895" s="30" t="n">
        <v>78258950</v>
      </c>
      <c r="D895" s="30">
        <f>"08219203000690"</f>
        <v/>
      </c>
      <c r="E895" s="30" t="inlineStr">
        <is>
          <t>DIRECIONAL TRANSPORTE E LOGISTICA S A</t>
        </is>
      </c>
      <c r="F895" s="30" t="inlineStr">
        <is>
          <t>2019</t>
        </is>
      </c>
      <c r="G895" s="40" t="n">
        <v>0</v>
      </c>
    </row>
    <row r="896" ht="12" customHeight="1">
      <c r="A896" s="30" t="inlineStr">
        <is>
          <t>ARE</t>
        </is>
      </c>
      <c r="B896" s="30" t="inlineStr">
        <is>
          <t>Areal</t>
        </is>
      </c>
      <c r="C896" s="30" t="n">
        <v>78258950</v>
      </c>
      <c r="D896" s="30">
        <f>"08219203000690"</f>
        <v/>
      </c>
      <c r="E896" s="30" t="inlineStr">
        <is>
          <t>DIRECIONAL TRANSPORTE E LOGISTICA S A</t>
        </is>
      </c>
      <c r="F896" s="30" t="inlineStr">
        <is>
          <t>2020</t>
        </is>
      </c>
      <c r="G896" s="40" t="n">
        <v>0</v>
      </c>
    </row>
    <row r="897" ht="12" customHeight="1">
      <c r="A897" s="30" t="inlineStr">
        <is>
          <t>ARE</t>
        </is>
      </c>
      <c r="B897" s="30" t="inlineStr">
        <is>
          <t>Areal</t>
        </is>
      </c>
      <c r="C897" s="30" t="n">
        <v>78258950</v>
      </c>
      <c r="D897" s="30">
        <f>"08219203000690"</f>
        <v/>
      </c>
      <c r="E897" s="30" t="inlineStr">
        <is>
          <t>DIRECIONAL TRANSPORTE E LOGISTICA S A</t>
        </is>
      </c>
      <c r="F897" s="30" t="inlineStr">
        <is>
          <t>2021</t>
        </is>
      </c>
      <c r="G897" s="40" t="n">
        <v>1569.18</v>
      </c>
    </row>
    <row r="898" ht="12" customHeight="1">
      <c r="A898" s="30" t="inlineStr">
        <is>
          <t>ARE</t>
        </is>
      </c>
      <c r="B898" s="30" t="inlineStr">
        <is>
          <t>Areal</t>
        </is>
      </c>
      <c r="C898" s="30" t="n">
        <v>78258950</v>
      </c>
      <c r="D898" s="30">
        <f>"08219203000690"</f>
        <v/>
      </c>
      <c r="E898" s="30" t="inlineStr">
        <is>
          <t>DIRECIONAL TRANSPORTE E LOGISTICA S A</t>
        </is>
      </c>
      <c r="F898" s="30" t="inlineStr">
        <is>
          <t>2022</t>
        </is>
      </c>
      <c r="G898" s="40" t="n">
        <v>0</v>
      </c>
    </row>
    <row r="899" ht="12" customHeight="1">
      <c r="A899" s="30" t="inlineStr">
        <is>
          <t>ARE</t>
        </is>
      </c>
      <c r="B899" s="30" t="inlineStr">
        <is>
          <t>Areal</t>
        </is>
      </c>
      <c r="C899" s="30" t="n">
        <v>78258950</v>
      </c>
      <c r="D899" s="30">
        <f>"08219203000690"</f>
        <v/>
      </c>
      <c r="E899" s="30" t="inlineStr">
        <is>
          <t>DIRECIONAL TRANSPORTE E LOGISTICA S A</t>
        </is>
      </c>
      <c r="F899" s="30" t="inlineStr">
        <is>
          <t>2023</t>
        </is>
      </c>
      <c r="G899" s="40" t="n">
        <v>0</v>
      </c>
    </row>
    <row r="900" ht="12" customHeight="1">
      <c r="A900" s="30" t="inlineStr">
        <is>
          <t>ARE</t>
        </is>
      </c>
      <c r="B900" s="30" t="inlineStr">
        <is>
          <t>Areal</t>
        </is>
      </c>
      <c r="C900" s="30" t="n">
        <v>78275650</v>
      </c>
      <c r="D900" s="30">
        <f>"07625852000113"</f>
        <v/>
      </c>
      <c r="E900" s="30" t="inlineStr">
        <is>
          <t>TELEXPERTS TELECOMUNICACOES LTDA</t>
        </is>
      </c>
      <c r="F900" s="30" t="inlineStr">
        <is>
          <t>2019</t>
        </is>
      </c>
      <c r="G900" s="40" t="n">
        <v>0</v>
      </c>
    </row>
    <row r="901" ht="12" customHeight="1">
      <c r="A901" s="30" t="inlineStr">
        <is>
          <t>ARE</t>
        </is>
      </c>
      <c r="B901" s="30" t="inlineStr">
        <is>
          <t>Areal</t>
        </is>
      </c>
      <c r="C901" s="30" t="n">
        <v>78275650</v>
      </c>
      <c r="D901" s="30">
        <f>"07625852000113"</f>
        <v/>
      </c>
      <c r="E901" s="30" t="inlineStr">
        <is>
          <t>TELEXPERTS TELECOMUNICACOES LTDA</t>
        </is>
      </c>
      <c r="F901" s="30" t="inlineStr">
        <is>
          <t>2020</t>
        </is>
      </c>
      <c r="G901" s="40" t="n">
        <v>0</v>
      </c>
    </row>
    <row r="902" ht="12" customHeight="1">
      <c r="A902" s="30" t="inlineStr">
        <is>
          <t>ARE</t>
        </is>
      </c>
      <c r="B902" s="30" t="inlineStr">
        <is>
          <t>Areal</t>
        </is>
      </c>
      <c r="C902" s="30" t="n">
        <v>78275650</v>
      </c>
      <c r="D902" s="30">
        <f>"07625852000113"</f>
        <v/>
      </c>
      <c r="E902" s="30" t="inlineStr">
        <is>
          <t>TELEXPERTS TELECOMUNICACOES LTDA</t>
        </is>
      </c>
      <c r="F902" s="30" t="inlineStr">
        <is>
          <t>2021</t>
        </is>
      </c>
      <c r="G902" s="40" t="n">
        <v>1008</v>
      </c>
    </row>
    <row r="903" ht="12" customHeight="1">
      <c r="A903" s="30" t="inlineStr">
        <is>
          <t>ARE</t>
        </is>
      </c>
      <c r="B903" s="30" t="inlineStr">
        <is>
          <t>Areal</t>
        </is>
      </c>
      <c r="C903" s="30" t="n">
        <v>78275650</v>
      </c>
      <c r="D903" s="30">
        <f>"07625852000113"</f>
        <v/>
      </c>
      <c r="E903" s="30" t="inlineStr">
        <is>
          <t>TELEXPERTS TELECOMUNICACOES LTDA</t>
        </is>
      </c>
      <c r="F903" s="30" t="inlineStr">
        <is>
          <t>2022</t>
        </is>
      </c>
      <c r="G903" s="40" t="n">
        <v>8249.83</v>
      </c>
    </row>
    <row r="904" ht="12" customHeight="1">
      <c r="A904" s="30" t="inlineStr">
        <is>
          <t>ARE</t>
        </is>
      </c>
      <c r="B904" s="30" t="inlineStr">
        <is>
          <t>Areal</t>
        </is>
      </c>
      <c r="C904" s="30" t="n">
        <v>78275650</v>
      </c>
      <c r="D904" s="30">
        <f>"07625852000113"</f>
        <v/>
      </c>
      <c r="E904" s="30" t="inlineStr">
        <is>
          <t>TELEXPERTS TELECOMUNICACOES LTDA</t>
        </is>
      </c>
      <c r="F904" s="30" t="inlineStr">
        <is>
          <t>2023</t>
        </is>
      </c>
      <c r="G904" s="40" t="n">
        <v>7220.35</v>
      </c>
    </row>
    <row r="905" ht="12" customHeight="1">
      <c r="A905" s="30" t="inlineStr">
        <is>
          <t>ARE</t>
        </is>
      </c>
      <c r="B905" s="30" t="inlineStr">
        <is>
          <t>Areal</t>
        </is>
      </c>
      <c r="C905" s="30" t="n">
        <v>78284242</v>
      </c>
      <c r="D905" s="30">
        <f>"93949899000336"</f>
        <v/>
      </c>
      <c r="E905" s="30" t="inlineStr">
        <is>
          <t>VENETOSUL TRANSPORTES LTDA</t>
        </is>
      </c>
      <c r="F905" s="30" t="inlineStr">
        <is>
          <t>2017</t>
        </is>
      </c>
      <c r="G905" s="40" t="n">
        <v>0</v>
      </c>
    </row>
    <row r="906" ht="12" customHeight="1">
      <c r="A906" s="30" t="inlineStr">
        <is>
          <t>ARE</t>
        </is>
      </c>
      <c r="B906" s="30" t="inlineStr">
        <is>
          <t>Areal</t>
        </is>
      </c>
      <c r="C906" s="30" t="n">
        <v>78284242</v>
      </c>
      <c r="D906" s="30">
        <f>"93949899000336"</f>
        <v/>
      </c>
      <c r="E906" s="30" t="inlineStr">
        <is>
          <t>VENETOSUL TRANSPORTES LTDA</t>
        </is>
      </c>
      <c r="F906" s="30" t="inlineStr">
        <is>
          <t>2018</t>
        </is>
      </c>
      <c r="G906" s="40" t="n">
        <v>136.82</v>
      </c>
    </row>
    <row r="907" ht="12" customHeight="1">
      <c r="A907" s="30" t="inlineStr">
        <is>
          <t>ARE</t>
        </is>
      </c>
      <c r="B907" s="30" t="inlineStr">
        <is>
          <t>Areal</t>
        </is>
      </c>
      <c r="C907" s="30" t="n">
        <v>78284242</v>
      </c>
      <c r="D907" s="30">
        <f>"93949899000336"</f>
        <v/>
      </c>
      <c r="E907" s="30" t="inlineStr">
        <is>
          <t>VENETOSUL TRANSPORTES LTDA</t>
        </is>
      </c>
      <c r="F907" s="30" t="inlineStr">
        <is>
          <t>2019</t>
        </is>
      </c>
      <c r="G907" s="40" t="n">
        <v>0</v>
      </c>
    </row>
    <row r="908" ht="12" customHeight="1">
      <c r="A908" s="30" t="inlineStr">
        <is>
          <t>ARE</t>
        </is>
      </c>
      <c r="B908" s="30" t="inlineStr">
        <is>
          <t>Areal</t>
        </is>
      </c>
      <c r="C908" s="30" t="n">
        <v>78284242</v>
      </c>
      <c r="D908" s="30">
        <f>"93949899000336"</f>
        <v/>
      </c>
      <c r="E908" s="30" t="inlineStr">
        <is>
          <t>VENETOSUL TRANSPORTES LTDA</t>
        </is>
      </c>
      <c r="F908" s="30" t="inlineStr">
        <is>
          <t>2020</t>
        </is>
      </c>
      <c r="G908" s="40" t="n">
        <v>0</v>
      </c>
    </row>
    <row r="909" ht="12" customHeight="1">
      <c r="A909" s="30" t="inlineStr">
        <is>
          <t>ARE</t>
        </is>
      </c>
      <c r="B909" s="30" t="inlineStr">
        <is>
          <t>Areal</t>
        </is>
      </c>
      <c r="C909" s="30" t="n">
        <v>78290188</v>
      </c>
      <c r="D909" s="30">
        <f>"01009876000242"</f>
        <v/>
      </c>
      <c r="E909" s="30" t="inlineStr">
        <is>
          <t>FALKLAND TECNOLOGIA EM TELECOMUNICACOES S/A</t>
        </is>
      </c>
      <c r="F909" s="30" t="inlineStr">
        <is>
          <t>2017</t>
        </is>
      </c>
      <c r="G909" s="40" t="n">
        <v>8303.76</v>
      </c>
    </row>
    <row r="910" ht="12" customHeight="1">
      <c r="A910" s="30" t="inlineStr">
        <is>
          <t>ARE</t>
        </is>
      </c>
      <c r="B910" s="30" t="inlineStr">
        <is>
          <t>Areal</t>
        </is>
      </c>
      <c r="C910" s="30" t="n">
        <v>78290188</v>
      </c>
      <c r="D910" s="30">
        <f>"01009876000242"</f>
        <v/>
      </c>
      <c r="E910" s="30" t="inlineStr">
        <is>
          <t>FALKLAND TECNOLOGIA EM TELECOMUNICACOES S/A</t>
        </is>
      </c>
      <c r="F910" s="30" t="inlineStr">
        <is>
          <t>2018</t>
        </is>
      </c>
      <c r="G910" s="40" t="n">
        <v>8671.26</v>
      </c>
    </row>
    <row r="911" ht="12" customHeight="1">
      <c r="A911" s="30" t="inlineStr">
        <is>
          <t>ARE</t>
        </is>
      </c>
      <c r="B911" s="30" t="inlineStr">
        <is>
          <t>Areal</t>
        </is>
      </c>
      <c r="C911" s="30" t="n">
        <v>78290188</v>
      </c>
      <c r="D911" s="30">
        <f>"01009876000242"</f>
        <v/>
      </c>
      <c r="E911" s="30" t="inlineStr">
        <is>
          <t>FALKLAND TECNOLOGIA EM TELECOMUNICACOES S/A</t>
        </is>
      </c>
      <c r="F911" s="30" t="inlineStr">
        <is>
          <t>2019</t>
        </is>
      </c>
      <c r="G911" s="40" t="n">
        <v>1403.96</v>
      </c>
    </row>
    <row r="912" ht="12" customHeight="1">
      <c r="A912" s="30" t="inlineStr">
        <is>
          <t>ARE</t>
        </is>
      </c>
      <c r="B912" s="30" t="inlineStr">
        <is>
          <t>Areal</t>
        </is>
      </c>
      <c r="C912" s="30" t="n">
        <v>78290188</v>
      </c>
      <c r="D912" s="30">
        <f>"01009876000242"</f>
        <v/>
      </c>
      <c r="E912" s="30" t="inlineStr">
        <is>
          <t>FALKLAND TECNOLOGIA EM TELECOMUNICACOES S/A</t>
        </is>
      </c>
      <c r="F912" s="30" t="inlineStr">
        <is>
          <t>2020</t>
        </is>
      </c>
      <c r="G912" s="40" t="n">
        <v>120.27</v>
      </c>
    </row>
    <row r="913" ht="12" customHeight="1">
      <c r="A913" s="30" t="inlineStr">
        <is>
          <t>ARE</t>
        </is>
      </c>
      <c r="B913" s="30" t="inlineStr">
        <is>
          <t>Areal</t>
        </is>
      </c>
      <c r="C913" s="30" t="n">
        <v>78290188</v>
      </c>
      <c r="D913" s="30">
        <f>"01009876000242"</f>
        <v/>
      </c>
      <c r="E913" s="30" t="inlineStr">
        <is>
          <t>FALKLAND TECNOLOGIA EM TELECOMUNICACOES S/A</t>
        </is>
      </c>
      <c r="F913" s="30" t="inlineStr">
        <is>
          <t>2021</t>
        </is>
      </c>
      <c r="G913" s="40" t="n">
        <v>0</v>
      </c>
    </row>
    <row r="914" ht="12" customHeight="1">
      <c r="A914" s="30" t="inlineStr">
        <is>
          <t>ARE</t>
        </is>
      </c>
      <c r="B914" s="30" t="inlineStr">
        <is>
          <t>Areal</t>
        </is>
      </c>
      <c r="C914" s="30" t="n">
        <v>78290188</v>
      </c>
      <c r="D914" s="30">
        <f>"01009876000242"</f>
        <v/>
      </c>
      <c r="E914" s="30" t="inlineStr">
        <is>
          <t>FALKLAND TECNOLOGIA EM TELECOMUNICACOES S/A</t>
        </is>
      </c>
      <c r="F914" s="30" t="inlineStr">
        <is>
          <t>2022</t>
        </is>
      </c>
      <c r="G914" s="40" t="n">
        <v>0</v>
      </c>
    </row>
    <row r="915" ht="12" customHeight="1">
      <c r="A915" s="30" t="inlineStr">
        <is>
          <t>ARE</t>
        </is>
      </c>
      <c r="B915" s="30" t="inlineStr">
        <is>
          <t>Areal</t>
        </is>
      </c>
      <c r="C915" s="30" t="n">
        <v>78318554</v>
      </c>
      <c r="D915" s="30">
        <f>"07642982000750"</f>
        <v/>
      </c>
      <c r="E915" s="30" t="inlineStr">
        <is>
          <t>QUANTA GERACAO S/A</t>
        </is>
      </c>
      <c r="F915" s="30" t="inlineStr">
        <is>
          <t>2017</t>
        </is>
      </c>
      <c r="G915" s="40" t="n">
        <v>13356548.23</v>
      </c>
    </row>
    <row r="916" ht="12" customHeight="1">
      <c r="A916" s="30" t="inlineStr">
        <is>
          <t>ARE</t>
        </is>
      </c>
      <c r="B916" s="30" t="inlineStr">
        <is>
          <t>Areal</t>
        </is>
      </c>
      <c r="C916" s="30" t="n">
        <v>78318554</v>
      </c>
      <c r="D916" s="30">
        <f>"07642982000750"</f>
        <v/>
      </c>
      <c r="E916" s="30" t="inlineStr">
        <is>
          <t>QUANTA GERACAO S/A</t>
        </is>
      </c>
      <c r="F916" s="30" t="inlineStr">
        <is>
          <t>2018</t>
        </is>
      </c>
      <c r="G916" s="40" t="n">
        <v>12421537.46</v>
      </c>
    </row>
    <row r="917" ht="12" customHeight="1">
      <c r="A917" s="30" t="inlineStr">
        <is>
          <t>ARE</t>
        </is>
      </c>
      <c r="B917" s="30" t="inlineStr">
        <is>
          <t>Areal</t>
        </is>
      </c>
      <c r="C917" s="30" t="n">
        <v>78318554</v>
      </c>
      <c r="D917" s="30">
        <f>"07642982000750"</f>
        <v/>
      </c>
      <c r="E917" s="30" t="inlineStr">
        <is>
          <t>QUANTA GERACAO S/A</t>
        </is>
      </c>
      <c r="F917" s="30" t="inlineStr">
        <is>
          <t>2019</t>
        </is>
      </c>
      <c r="G917" s="40" t="n">
        <v>8778476.560000001</v>
      </c>
    </row>
    <row r="918" ht="12" customHeight="1">
      <c r="A918" s="30" t="inlineStr">
        <is>
          <t>ARE</t>
        </is>
      </c>
      <c r="B918" s="30" t="inlineStr">
        <is>
          <t>Areal</t>
        </is>
      </c>
      <c r="C918" s="30" t="n">
        <v>78318554</v>
      </c>
      <c r="D918" s="30">
        <f>"07642982000750"</f>
        <v/>
      </c>
      <c r="E918" s="30" t="inlineStr">
        <is>
          <t>QUANTA GERACAO S/A</t>
        </is>
      </c>
      <c r="F918" s="30" t="inlineStr">
        <is>
          <t>2020</t>
        </is>
      </c>
      <c r="G918" s="40" t="n">
        <v>10019442.08</v>
      </c>
    </row>
    <row r="919" ht="12" customHeight="1">
      <c r="A919" s="30" t="inlineStr">
        <is>
          <t>ARE</t>
        </is>
      </c>
      <c r="B919" s="30" t="inlineStr">
        <is>
          <t>Areal</t>
        </is>
      </c>
      <c r="C919" s="30" t="n">
        <v>78318554</v>
      </c>
      <c r="D919" s="30">
        <f>"07642982000750"</f>
        <v/>
      </c>
      <c r="E919" s="30" t="inlineStr">
        <is>
          <t>QUANTA GERACAO S/A</t>
        </is>
      </c>
      <c r="F919" s="30" t="inlineStr">
        <is>
          <t>2021</t>
        </is>
      </c>
      <c r="G919" s="40" t="n">
        <v>11111503.85</v>
      </c>
    </row>
    <row r="920" ht="12" customHeight="1">
      <c r="A920" s="30" t="inlineStr">
        <is>
          <t>ARE</t>
        </is>
      </c>
      <c r="B920" s="30" t="inlineStr">
        <is>
          <t>Areal</t>
        </is>
      </c>
      <c r="C920" s="30" t="n">
        <v>78318554</v>
      </c>
      <c r="D920" s="30">
        <f>"07642982000750"</f>
        <v/>
      </c>
      <c r="E920" s="30" t="inlineStr">
        <is>
          <t>QUANTA GERACAO S/A</t>
        </is>
      </c>
      <c r="F920" s="30" t="inlineStr">
        <is>
          <t>2022</t>
        </is>
      </c>
      <c r="G920" s="40" t="n">
        <v>3813038.58</v>
      </c>
    </row>
    <row r="921" ht="12" customHeight="1">
      <c r="A921" s="30" t="inlineStr">
        <is>
          <t>ARE</t>
        </is>
      </c>
      <c r="B921" s="30" t="inlineStr">
        <is>
          <t>Areal</t>
        </is>
      </c>
      <c r="C921" s="30" t="n">
        <v>78318554</v>
      </c>
      <c r="D921" s="30">
        <f>"07642982000750"</f>
        <v/>
      </c>
      <c r="E921" s="30" t="inlineStr">
        <is>
          <t>QUANTA GERACAO S/A</t>
        </is>
      </c>
      <c r="F921" s="30" t="inlineStr">
        <is>
          <t>2023</t>
        </is>
      </c>
      <c r="G921" s="40" t="n">
        <v>0.01</v>
      </c>
    </row>
    <row r="922" ht="12" customHeight="1">
      <c r="A922" s="30" t="inlineStr">
        <is>
          <t>ARE</t>
        </is>
      </c>
      <c r="B922" s="30" t="inlineStr">
        <is>
          <t>Areal</t>
        </is>
      </c>
      <c r="C922" s="30" t="n">
        <v>78344261</v>
      </c>
      <c r="D922" s="30">
        <f>"08165642000233"</f>
        <v/>
      </c>
      <c r="E922" s="30" t="inlineStr">
        <is>
          <t>GAT LOGISTICAS LTDA</t>
        </is>
      </c>
      <c r="F922" s="30" t="inlineStr">
        <is>
          <t>2017</t>
        </is>
      </c>
      <c r="G922" s="40" t="n">
        <v>54.74</v>
      </c>
    </row>
    <row r="923" ht="12" customHeight="1">
      <c r="A923" s="30" t="inlineStr">
        <is>
          <t>ARE</t>
        </is>
      </c>
      <c r="B923" s="30" t="inlineStr">
        <is>
          <t>Areal</t>
        </is>
      </c>
      <c r="C923" s="30" t="n">
        <v>78344261</v>
      </c>
      <c r="D923" s="30">
        <f>"08165642000233"</f>
        <v/>
      </c>
      <c r="E923" s="30" t="inlineStr">
        <is>
          <t>GAT LOGISTICAS LTDA</t>
        </is>
      </c>
      <c r="F923" s="30" t="inlineStr">
        <is>
          <t>2018</t>
        </is>
      </c>
      <c r="G923" s="40" t="n">
        <v>0</v>
      </c>
    </row>
    <row r="924" ht="12" customHeight="1">
      <c r="A924" s="30" t="inlineStr">
        <is>
          <t>ARE</t>
        </is>
      </c>
      <c r="B924" s="30" t="inlineStr">
        <is>
          <t>Areal</t>
        </is>
      </c>
      <c r="C924" s="30" t="n">
        <v>78344261</v>
      </c>
      <c r="D924" s="30">
        <f>"08165642000233"</f>
        <v/>
      </c>
      <c r="E924" s="30" t="inlineStr">
        <is>
          <t>GAT LOGISTICAS LTDA</t>
        </is>
      </c>
      <c r="F924" s="30" t="inlineStr">
        <is>
          <t>2019</t>
        </is>
      </c>
      <c r="G924" s="40" t="n">
        <v>0</v>
      </c>
    </row>
    <row r="925" ht="12" customHeight="1">
      <c r="A925" s="30" t="inlineStr">
        <is>
          <t>ARE</t>
        </is>
      </c>
      <c r="B925" s="30" t="inlineStr">
        <is>
          <t>Areal</t>
        </is>
      </c>
      <c r="C925" s="30" t="n">
        <v>78344261</v>
      </c>
      <c r="D925" s="30">
        <f>"08165642000233"</f>
        <v/>
      </c>
      <c r="E925" s="30" t="inlineStr">
        <is>
          <t>GAT LOGISTICAS LTDA</t>
        </is>
      </c>
      <c r="F925" s="30" t="inlineStr">
        <is>
          <t>2020</t>
        </is>
      </c>
      <c r="G925" s="40" t="n">
        <v>0</v>
      </c>
    </row>
    <row r="926" ht="12" customHeight="1">
      <c r="A926" s="30" t="inlineStr">
        <is>
          <t>ARE</t>
        </is>
      </c>
      <c r="B926" s="30" t="inlineStr">
        <is>
          <t>Areal</t>
        </is>
      </c>
      <c r="C926" s="30" t="n">
        <v>78344261</v>
      </c>
      <c r="D926" s="30">
        <f>"08165642000233"</f>
        <v/>
      </c>
      <c r="E926" s="30" t="inlineStr">
        <is>
          <t>GAT LOGISTICAS LTDA</t>
        </is>
      </c>
      <c r="F926" s="30" t="inlineStr">
        <is>
          <t>2021</t>
        </is>
      </c>
      <c r="G926" s="40" t="n">
        <v>0</v>
      </c>
    </row>
    <row r="927" ht="12" customHeight="1">
      <c r="A927" s="30" t="inlineStr">
        <is>
          <t>ARE</t>
        </is>
      </c>
      <c r="B927" s="30" t="inlineStr">
        <is>
          <t>Areal</t>
        </is>
      </c>
      <c r="C927" s="30" t="n">
        <v>78344261</v>
      </c>
      <c r="D927" s="30">
        <f>"08165642000233"</f>
        <v/>
      </c>
      <c r="E927" s="30" t="inlineStr">
        <is>
          <t>GAT LOGISTICAS LTDA</t>
        </is>
      </c>
      <c r="F927" s="30" t="inlineStr">
        <is>
          <t>2022</t>
        </is>
      </c>
      <c r="G927" s="40" t="n">
        <v>12.94</v>
      </c>
    </row>
    <row r="928" ht="12" customHeight="1">
      <c r="A928" s="30" t="inlineStr">
        <is>
          <t>ARE</t>
        </is>
      </c>
      <c r="B928" s="30" t="inlineStr">
        <is>
          <t>Areal</t>
        </is>
      </c>
      <c r="C928" s="30" t="n">
        <v>78344261</v>
      </c>
      <c r="D928" s="30">
        <f>"08165642000233"</f>
        <v/>
      </c>
      <c r="E928" s="30" t="inlineStr">
        <is>
          <t>GAT LOGISTICAS LTDA</t>
        </is>
      </c>
      <c r="F928" s="30" t="inlineStr">
        <is>
          <t>2023</t>
        </is>
      </c>
      <c r="G928" s="40" t="n">
        <v>0</v>
      </c>
    </row>
    <row r="929" ht="12" customHeight="1">
      <c r="A929" s="30" t="inlineStr">
        <is>
          <t>ARE</t>
        </is>
      </c>
      <c r="B929" s="30" t="inlineStr">
        <is>
          <t>Areal</t>
        </is>
      </c>
      <c r="C929" s="30" t="n">
        <v>78349301</v>
      </c>
      <c r="D929" s="30">
        <f>"06979577000416"</f>
        <v/>
      </c>
      <c r="E929" s="30" t="inlineStr">
        <is>
          <t>JC THEDIN TRANSPORTES LTDA</t>
        </is>
      </c>
      <c r="F929" s="30" t="inlineStr">
        <is>
          <t>2018</t>
        </is>
      </c>
      <c r="G929" s="40" t="n">
        <v>0</v>
      </c>
    </row>
    <row r="930" ht="12" customHeight="1">
      <c r="A930" s="30" t="inlineStr">
        <is>
          <t>ARE</t>
        </is>
      </c>
      <c r="B930" s="30" t="inlineStr">
        <is>
          <t>Areal</t>
        </is>
      </c>
      <c r="C930" s="30" t="n">
        <v>78349301</v>
      </c>
      <c r="D930" s="30">
        <f>"06979577000416"</f>
        <v/>
      </c>
      <c r="E930" s="30" t="inlineStr">
        <is>
          <t>JC THEDIN TRANSPORTES LTDA</t>
        </is>
      </c>
      <c r="F930" s="30" t="inlineStr">
        <is>
          <t>2019</t>
        </is>
      </c>
      <c r="G930" s="40" t="n">
        <v>0</v>
      </c>
    </row>
    <row r="931" ht="12" customHeight="1">
      <c r="A931" s="30" t="inlineStr">
        <is>
          <t>ARE</t>
        </is>
      </c>
      <c r="B931" s="30" t="inlineStr">
        <is>
          <t>Areal</t>
        </is>
      </c>
      <c r="C931" s="30" t="n">
        <v>78349301</v>
      </c>
      <c r="D931" s="30">
        <f>"06979577000416"</f>
        <v/>
      </c>
      <c r="E931" s="30" t="inlineStr">
        <is>
          <t>JC THEDIN TRANSPORTES LTDA</t>
        </is>
      </c>
      <c r="F931" s="30" t="inlineStr">
        <is>
          <t>2020</t>
        </is>
      </c>
      <c r="G931" s="40" t="n">
        <v>70</v>
      </c>
    </row>
    <row r="932" ht="12" customHeight="1">
      <c r="A932" s="30" t="inlineStr">
        <is>
          <t>ARE</t>
        </is>
      </c>
      <c r="B932" s="30" t="inlineStr">
        <is>
          <t>Areal</t>
        </is>
      </c>
      <c r="C932" s="30" t="n">
        <v>78349301</v>
      </c>
      <c r="D932" s="30">
        <f>"06979577000416"</f>
        <v/>
      </c>
      <c r="E932" s="30" t="inlineStr">
        <is>
          <t>JC THEDIN TRANSPORTES LTDA</t>
        </is>
      </c>
      <c r="F932" s="30" t="inlineStr">
        <is>
          <t>2021</t>
        </is>
      </c>
      <c r="G932" s="40" t="n">
        <v>0</v>
      </c>
    </row>
    <row r="933" ht="12" customHeight="1">
      <c r="A933" s="30" t="inlineStr">
        <is>
          <t>ARE</t>
        </is>
      </c>
      <c r="B933" s="30" t="inlineStr">
        <is>
          <t>Areal</t>
        </is>
      </c>
      <c r="C933" s="30" t="n">
        <v>78349301</v>
      </c>
      <c r="D933" s="30">
        <f>"06979577000416"</f>
        <v/>
      </c>
      <c r="E933" s="30" t="inlineStr">
        <is>
          <t>JC THEDIN TRANSPORTES LTDA</t>
        </is>
      </c>
      <c r="F933" s="30" t="inlineStr">
        <is>
          <t>2022</t>
        </is>
      </c>
      <c r="G933" s="40" t="n">
        <v>0</v>
      </c>
    </row>
    <row r="934" ht="12" customHeight="1">
      <c r="A934" s="30" t="inlineStr">
        <is>
          <t>ARE</t>
        </is>
      </c>
      <c r="B934" s="30" t="inlineStr">
        <is>
          <t>Areal</t>
        </is>
      </c>
      <c r="C934" s="30" t="n">
        <v>78361336</v>
      </c>
      <c r="D934" s="30">
        <f>"08860184000414"</f>
        <v/>
      </c>
      <c r="E934" s="30" t="inlineStr">
        <is>
          <t>AGUIA BRANCA ENCOMENDAS</t>
        </is>
      </c>
      <c r="F934" s="30" t="inlineStr">
        <is>
          <t>2021</t>
        </is>
      </c>
      <c r="G934" s="40" t="n">
        <v>0</v>
      </c>
    </row>
    <row r="935" ht="12" customHeight="1">
      <c r="A935" s="30" t="inlineStr">
        <is>
          <t>ARE</t>
        </is>
      </c>
      <c r="B935" s="30" t="inlineStr">
        <is>
          <t>Areal</t>
        </is>
      </c>
      <c r="C935" s="30" t="n">
        <v>78361336</v>
      </c>
      <c r="D935" s="30">
        <f>"08860184000414"</f>
        <v/>
      </c>
      <c r="E935" s="30" t="inlineStr">
        <is>
          <t>AGUIA BRANCA ENCOMENDAS</t>
        </is>
      </c>
      <c r="F935" s="30" t="inlineStr">
        <is>
          <t>2022</t>
        </is>
      </c>
      <c r="G935" s="40" t="n">
        <v>0</v>
      </c>
    </row>
    <row r="936" ht="12" customHeight="1">
      <c r="A936" s="30" t="inlineStr">
        <is>
          <t>ARE</t>
        </is>
      </c>
      <c r="B936" s="30" t="inlineStr">
        <is>
          <t>Areal</t>
        </is>
      </c>
      <c r="C936" s="30" t="n">
        <v>78361336</v>
      </c>
      <c r="D936" s="30">
        <f>"08860184000414"</f>
        <v/>
      </c>
      <c r="E936" s="30" t="inlineStr">
        <is>
          <t>AGUIA BRANCA ENCOMENDAS</t>
        </is>
      </c>
      <c r="F936" s="30" t="inlineStr">
        <is>
          <t>2023</t>
        </is>
      </c>
      <c r="G936" s="40" t="n">
        <v>247</v>
      </c>
    </row>
    <row r="937" ht="12" customHeight="1">
      <c r="A937" s="30" t="inlineStr">
        <is>
          <t>ARE</t>
        </is>
      </c>
      <c r="B937" s="30" t="inlineStr">
        <is>
          <t>Areal</t>
        </is>
      </c>
      <c r="C937" s="30" t="n">
        <v>78373571</v>
      </c>
      <c r="D937" s="30">
        <f>"09059609000100"</f>
        <v/>
      </c>
      <c r="E937" s="30" t="inlineStr">
        <is>
          <t>MM TRANSPORTES LOGISTICA E ARMAZENS LTDA ME</t>
        </is>
      </c>
      <c r="F937" s="30" t="inlineStr">
        <is>
          <t>2021</t>
        </is>
      </c>
      <c r="G937" s="40" t="n">
        <v>0</v>
      </c>
    </row>
    <row r="938" ht="12" customHeight="1">
      <c r="A938" s="30" t="inlineStr">
        <is>
          <t>ARE</t>
        </is>
      </c>
      <c r="B938" s="30" t="inlineStr">
        <is>
          <t>Areal</t>
        </is>
      </c>
      <c r="C938" s="30" t="n">
        <v>78373571</v>
      </c>
      <c r="D938" s="30">
        <f>"09059609000100"</f>
        <v/>
      </c>
      <c r="E938" s="30" t="inlineStr">
        <is>
          <t>MM TRANSPORTES LOGISTICA E ARMAZENS LTDA ME</t>
        </is>
      </c>
      <c r="F938" s="30" t="inlineStr">
        <is>
          <t>2022</t>
        </is>
      </c>
      <c r="G938" s="40" t="n">
        <v>0</v>
      </c>
    </row>
    <row r="939" ht="12" customHeight="1">
      <c r="A939" s="30" t="inlineStr">
        <is>
          <t>ARE</t>
        </is>
      </c>
      <c r="B939" s="30" t="inlineStr">
        <is>
          <t>Areal</t>
        </is>
      </c>
      <c r="C939" s="30" t="n">
        <v>78373571</v>
      </c>
      <c r="D939" s="30">
        <f>"09059609000100"</f>
        <v/>
      </c>
      <c r="E939" s="30" t="inlineStr">
        <is>
          <t>MM TRANSPORTES LOGISTICA E ARMAZENS LTDA ME</t>
        </is>
      </c>
      <c r="F939" s="30" t="inlineStr">
        <is>
          <t>2023</t>
        </is>
      </c>
      <c r="G939" s="40" t="n">
        <v>1496.44</v>
      </c>
    </row>
    <row r="940" ht="12" customHeight="1">
      <c r="A940" s="30" t="inlineStr">
        <is>
          <t>ARE</t>
        </is>
      </c>
      <c r="B940" s="30" t="inlineStr">
        <is>
          <t>Areal</t>
        </is>
      </c>
      <c r="C940" s="30" t="n">
        <v>78387548</v>
      </c>
      <c r="D940" s="30">
        <f>"09132659000176"</f>
        <v/>
      </c>
      <c r="E940" s="30" t="inlineStr">
        <is>
          <t>EMBRATEL TVSAT TELECOMUNICACOES S A</t>
        </is>
      </c>
      <c r="F940" s="30" t="inlineStr">
        <is>
          <t>2017</t>
        </is>
      </c>
      <c r="G940" s="40" t="n">
        <v>251551.6</v>
      </c>
    </row>
    <row r="941" ht="12" customHeight="1">
      <c r="A941" s="30" t="inlineStr">
        <is>
          <t>ARE</t>
        </is>
      </c>
      <c r="B941" s="30" t="inlineStr">
        <is>
          <t>Areal</t>
        </is>
      </c>
      <c r="C941" s="30" t="n">
        <v>78387548</v>
      </c>
      <c r="D941" s="30">
        <f>"09132659000176"</f>
        <v/>
      </c>
      <c r="E941" s="30" t="inlineStr">
        <is>
          <t>EMBRATEL TVSAT TELECOMUNICACOES S A</t>
        </is>
      </c>
      <c r="F941" s="30" t="inlineStr">
        <is>
          <t>2018</t>
        </is>
      </c>
      <c r="G941" s="40" t="n">
        <v>196947.3</v>
      </c>
    </row>
    <row r="942" ht="12" customHeight="1">
      <c r="A942" s="30" t="inlineStr">
        <is>
          <t>ARE</t>
        </is>
      </c>
      <c r="B942" s="30" t="inlineStr">
        <is>
          <t>Areal</t>
        </is>
      </c>
      <c r="C942" s="30" t="n">
        <v>78387548</v>
      </c>
      <c r="D942" s="30">
        <f>"09132659000176"</f>
        <v/>
      </c>
      <c r="E942" s="30" t="inlineStr">
        <is>
          <t>EMBRATEL TVSAT TELECOMUNICACOES S A</t>
        </is>
      </c>
      <c r="F942" s="30" t="inlineStr">
        <is>
          <t>2019</t>
        </is>
      </c>
      <c r="G942" s="40" t="n">
        <v>178800.75</v>
      </c>
    </row>
    <row r="943" ht="12" customHeight="1">
      <c r="A943" s="30" t="inlineStr">
        <is>
          <t>ARE</t>
        </is>
      </c>
      <c r="B943" s="30" t="inlineStr">
        <is>
          <t>Areal</t>
        </is>
      </c>
      <c r="C943" s="30" t="n">
        <v>78387548</v>
      </c>
      <c r="D943" s="30">
        <f>"09132659000176"</f>
        <v/>
      </c>
      <c r="E943" s="30" t="inlineStr">
        <is>
          <t>EMBRATEL TVSAT TELECOMUNICACOES S A</t>
        </is>
      </c>
      <c r="F943" s="30" t="inlineStr">
        <is>
          <t>2020</t>
        </is>
      </c>
      <c r="G943" s="40" t="n">
        <v>129621.37</v>
      </c>
    </row>
    <row r="944" ht="12" customHeight="1">
      <c r="A944" s="30" t="inlineStr">
        <is>
          <t>ARE</t>
        </is>
      </c>
      <c r="B944" s="30" t="inlineStr">
        <is>
          <t>Areal</t>
        </is>
      </c>
      <c r="C944" s="30" t="n">
        <v>78387548</v>
      </c>
      <c r="D944" s="30">
        <f>"09132659000176"</f>
        <v/>
      </c>
      <c r="E944" s="30" t="inlineStr">
        <is>
          <t>EMBRATEL TVSAT TELECOMUNICACOES S A</t>
        </is>
      </c>
      <c r="F944" s="30" t="inlineStr">
        <is>
          <t>2021</t>
        </is>
      </c>
      <c r="G944" s="40" t="n">
        <v>102391.74</v>
      </c>
    </row>
    <row r="945" ht="12" customHeight="1">
      <c r="A945" s="30" t="inlineStr">
        <is>
          <t>ARE</t>
        </is>
      </c>
      <c r="B945" s="30" t="inlineStr">
        <is>
          <t>Areal</t>
        </is>
      </c>
      <c r="C945" s="30" t="n">
        <v>78387548</v>
      </c>
      <c r="D945" s="30">
        <f>"09132659000176"</f>
        <v/>
      </c>
      <c r="E945" s="30" t="inlineStr">
        <is>
          <t>EMBRATEL TVSAT TELECOMUNICACOES S A</t>
        </is>
      </c>
      <c r="F945" s="30" t="inlineStr">
        <is>
          <t>2022</t>
        </is>
      </c>
      <c r="G945" s="40" t="n">
        <v>82333.67</v>
      </c>
    </row>
    <row r="946" ht="12" customHeight="1">
      <c r="A946" s="30" t="inlineStr">
        <is>
          <t>ARE</t>
        </is>
      </c>
      <c r="B946" s="30" t="inlineStr">
        <is>
          <t>Areal</t>
        </is>
      </c>
      <c r="C946" s="30" t="n">
        <v>78387548</v>
      </c>
      <c r="D946" s="30">
        <f>"09132659000176"</f>
        <v/>
      </c>
      <c r="E946" s="30" t="inlineStr">
        <is>
          <t>EMBRATEL TVSAT TELECOMUNICACOES S A</t>
        </is>
      </c>
      <c r="F946" s="30" t="inlineStr">
        <is>
          <t>2023</t>
        </is>
      </c>
      <c r="G946" s="40" t="n">
        <v>67323.53999999999</v>
      </c>
    </row>
    <row r="947" ht="12" customHeight="1">
      <c r="A947" s="30" t="inlineStr">
        <is>
          <t>ARE</t>
        </is>
      </c>
      <c r="B947" s="30" t="inlineStr">
        <is>
          <t>Areal</t>
        </is>
      </c>
      <c r="C947" s="30" t="n">
        <v>78402687</v>
      </c>
      <c r="D947" s="30">
        <f>"04884082000640"</f>
        <v/>
      </c>
      <c r="E947" s="30" t="inlineStr">
        <is>
          <t>JADLOG LOGISTICA S.A.</t>
        </is>
      </c>
      <c r="F947" s="30" t="inlineStr">
        <is>
          <t>2017</t>
        </is>
      </c>
      <c r="G947" s="40" t="n">
        <v>0</v>
      </c>
    </row>
    <row r="948" ht="12" customHeight="1">
      <c r="A948" s="30" t="inlineStr">
        <is>
          <t>ARE</t>
        </is>
      </c>
      <c r="B948" s="30" t="inlineStr">
        <is>
          <t>Areal</t>
        </is>
      </c>
      <c r="C948" s="30" t="n">
        <v>78402687</v>
      </c>
      <c r="D948" s="30">
        <f>"04884082000640"</f>
        <v/>
      </c>
      <c r="E948" s="30" t="inlineStr">
        <is>
          <t>JADLOG LOGISTICA S.A.</t>
        </is>
      </c>
      <c r="F948" s="30" t="inlineStr">
        <is>
          <t>2018</t>
        </is>
      </c>
      <c r="G948" s="40" t="n">
        <v>5937.76</v>
      </c>
    </row>
    <row r="949" ht="12" customHeight="1">
      <c r="A949" s="30" t="inlineStr">
        <is>
          <t>ARE</t>
        </is>
      </c>
      <c r="B949" s="30" t="inlineStr">
        <is>
          <t>Areal</t>
        </is>
      </c>
      <c r="C949" s="30" t="n">
        <v>78402687</v>
      </c>
      <c r="D949" s="30">
        <f>"04884082000640"</f>
        <v/>
      </c>
      <c r="E949" s="30" t="inlineStr">
        <is>
          <t>JADLOG LOGISTICA S.A.</t>
        </is>
      </c>
      <c r="F949" s="30" t="inlineStr">
        <is>
          <t>2019</t>
        </is>
      </c>
      <c r="G949" s="40" t="n">
        <v>15992.31</v>
      </c>
    </row>
    <row r="950" ht="12" customHeight="1">
      <c r="A950" s="30" t="inlineStr">
        <is>
          <t>ARE</t>
        </is>
      </c>
      <c r="B950" s="30" t="inlineStr">
        <is>
          <t>Areal</t>
        </is>
      </c>
      <c r="C950" s="30" t="n">
        <v>78402687</v>
      </c>
      <c r="D950" s="30">
        <f>"04884082000640"</f>
        <v/>
      </c>
      <c r="E950" s="30" t="inlineStr">
        <is>
          <t>JADLOG LOGISTICA S.A.</t>
        </is>
      </c>
      <c r="F950" s="30" t="inlineStr">
        <is>
          <t>2020</t>
        </is>
      </c>
      <c r="G950" s="40" t="n">
        <v>0</v>
      </c>
    </row>
    <row r="951" ht="12" customHeight="1">
      <c r="A951" s="30" t="inlineStr">
        <is>
          <t>ARE</t>
        </is>
      </c>
      <c r="B951" s="30" t="inlineStr">
        <is>
          <t>Areal</t>
        </is>
      </c>
      <c r="C951" s="30" t="n">
        <v>78402687</v>
      </c>
      <c r="D951" s="30">
        <f>"04884082000640"</f>
        <v/>
      </c>
      <c r="E951" s="30" t="inlineStr">
        <is>
          <t>JADLOG LOGISTICA S.A.</t>
        </is>
      </c>
      <c r="F951" s="30" t="inlineStr">
        <is>
          <t>2021</t>
        </is>
      </c>
      <c r="G951" s="40" t="n">
        <v>0</v>
      </c>
    </row>
    <row r="952" ht="12" customHeight="1">
      <c r="A952" s="30" t="inlineStr">
        <is>
          <t>ARE</t>
        </is>
      </c>
      <c r="B952" s="30" t="inlineStr">
        <is>
          <t>Areal</t>
        </is>
      </c>
      <c r="C952" s="30" t="n">
        <v>78402687</v>
      </c>
      <c r="D952" s="30">
        <f>"04884082000640"</f>
        <v/>
      </c>
      <c r="E952" s="30" t="inlineStr">
        <is>
          <t>JADLOG LOGISTICA S.A.</t>
        </is>
      </c>
      <c r="F952" s="30" t="inlineStr">
        <is>
          <t>2022</t>
        </is>
      </c>
      <c r="G952" s="40" t="n">
        <v>14864.65</v>
      </c>
    </row>
    <row r="953" ht="12" customHeight="1">
      <c r="A953" s="30" t="inlineStr">
        <is>
          <t>ARE</t>
        </is>
      </c>
      <c r="B953" s="30" t="inlineStr">
        <is>
          <t>Areal</t>
        </is>
      </c>
      <c r="C953" s="30" t="n">
        <v>78402687</v>
      </c>
      <c r="D953" s="30">
        <f>"04884082000640"</f>
        <v/>
      </c>
      <c r="E953" s="30" t="inlineStr">
        <is>
          <t>JADLOG LOGISTICA S.A.</t>
        </is>
      </c>
      <c r="F953" s="30" t="inlineStr">
        <is>
          <t>2023</t>
        </is>
      </c>
      <c r="G953" s="40" t="n">
        <v>8131.78</v>
      </c>
    </row>
    <row r="954" ht="12" customHeight="1">
      <c r="A954" s="30" t="inlineStr">
        <is>
          <t>ARE</t>
        </is>
      </c>
      <c r="B954" s="30" t="inlineStr">
        <is>
          <t>Areal</t>
        </is>
      </c>
      <c r="C954" s="30" t="n">
        <v>78419709</v>
      </c>
      <c r="D954" s="30">
        <f>"09229680000194"</f>
        <v/>
      </c>
      <c r="E954" s="30" t="inlineStr">
        <is>
          <t>MONTEIRO &amp; NASCIMENTO TRANSPORTADORA LTDA EPP</t>
        </is>
      </c>
      <c r="F954" s="30" t="inlineStr">
        <is>
          <t>2018</t>
        </is>
      </c>
      <c r="G954" s="40" t="n">
        <v>0</v>
      </c>
    </row>
    <row r="955" ht="12" customHeight="1">
      <c r="A955" s="30" t="inlineStr">
        <is>
          <t>ARE</t>
        </is>
      </c>
      <c r="B955" s="30" t="inlineStr">
        <is>
          <t>Areal</t>
        </is>
      </c>
      <c r="C955" s="30" t="n">
        <v>78419709</v>
      </c>
      <c r="D955" s="30">
        <f>"09229680000194"</f>
        <v/>
      </c>
      <c r="E955" s="30" t="inlineStr">
        <is>
          <t>MONTEIRO &amp; NASCIMENTO TRANSPORTADORA LTDA EPP</t>
        </is>
      </c>
      <c r="F955" s="30" t="inlineStr">
        <is>
          <t>2019</t>
        </is>
      </c>
      <c r="G955" s="40" t="n">
        <v>0</v>
      </c>
    </row>
    <row r="956" ht="12" customHeight="1">
      <c r="A956" s="30" t="inlineStr">
        <is>
          <t>ARE</t>
        </is>
      </c>
      <c r="B956" s="30" t="inlineStr">
        <is>
          <t>Areal</t>
        </is>
      </c>
      <c r="C956" s="30" t="n">
        <v>78419709</v>
      </c>
      <c r="D956" s="30">
        <f>"09229680000194"</f>
        <v/>
      </c>
      <c r="E956" s="30" t="inlineStr">
        <is>
          <t>MONTEIRO &amp; NASCIMENTO TRANSPORTADORA LTDA EPP</t>
        </is>
      </c>
      <c r="F956" s="30" t="inlineStr">
        <is>
          <t>2020</t>
        </is>
      </c>
      <c r="G956" s="40" t="n">
        <v>192.69</v>
      </c>
    </row>
    <row r="957" ht="12" customHeight="1">
      <c r="A957" s="30" t="inlineStr">
        <is>
          <t>ARE</t>
        </is>
      </c>
      <c r="B957" s="30" t="inlineStr">
        <is>
          <t>Areal</t>
        </is>
      </c>
      <c r="C957" s="30" t="n">
        <v>78419709</v>
      </c>
      <c r="D957" s="30">
        <f>"09229680000194"</f>
        <v/>
      </c>
      <c r="E957" s="30" t="inlineStr">
        <is>
          <t>MONTEIRO &amp; NASCIMENTO TRANSPORTADORA LTDA EPP</t>
        </is>
      </c>
      <c r="F957" s="30" t="inlineStr">
        <is>
          <t>2021</t>
        </is>
      </c>
      <c r="G957" s="40" t="n">
        <v>0</v>
      </c>
    </row>
    <row r="958" ht="12" customHeight="1">
      <c r="A958" s="30" t="inlineStr">
        <is>
          <t>ARE</t>
        </is>
      </c>
      <c r="B958" s="30" t="inlineStr">
        <is>
          <t>Areal</t>
        </is>
      </c>
      <c r="C958" s="30" t="n">
        <v>78419709</v>
      </c>
      <c r="D958" s="30">
        <f>"09229680000194"</f>
        <v/>
      </c>
      <c r="E958" s="30" t="inlineStr">
        <is>
          <t>MONTEIRO &amp; NASCIMENTO TRANSPORTADORA LTDA EPP</t>
        </is>
      </c>
      <c r="F958" s="30" t="inlineStr">
        <is>
          <t>2022</t>
        </is>
      </c>
      <c r="G958" s="40" t="n">
        <v>0</v>
      </c>
    </row>
    <row r="959" ht="12" customHeight="1">
      <c r="A959" s="30" t="inlineStr">
        <is>
          <t>ARE</t>
        </is>
      </c>
      <c r="B959" s="30" t="inlineStr">
        <is>
          <t>Areal</t>
        </is>
      </c>
      <c r="C959" s="30" t="n">
        <v>78448920</v>
      </c>
      <c r="D959" s="30">
        <f>"09087539000102"</f>
        <v/>
      </c>
      <c r="E959" s="30" t="inlineStr">
        <is>
          <t>MARCIO M PEREIRA SERVICOS DE ELETROMECANICA ME VEICULOS AUTOMOTO</t>
        </is>
      </c>
      <c r="F959" s="30" t="inlineStr">
        <is>
          <t>2019</t>
        </is>
      </c>
      <c r="G959" s="40" t="n">
        <v>0</v>
      </c>
    </row>
    <row r="960" ht="12" customHeight="1">
      <c r="A960" s="30" t="inlineStr">
        <is>
          <t>ARE</t>
        </is>
      </c>
      <c r="B960" s="30" t="inlineStr">
        <is>
          <t>Areal</t>
        </is>
      </c>
      <c r="C960" s="30" t="n">
        <v>78448920</v>
      </c>
      <c r="D960" s="30">
        <f>"09087539000102"</f>
        <v/>
      </c>
      <c r="E960" s="30" t="inlineStr">
        <is>
          <t>MARCIO M PEREIRA SERVICOS DE ELETROMECANICA ME VEICULOS AUTOMOTO</t>
        </is>
      </c>
      <c r="F960" s="30" t="inlineStr">
        <is>
          <t>2020</t>
        </is>
      </c>
      <c r="G960" s="40" t="n">
        <v>0</v>
      </c>
    </row>
    <row r="961" ht="12" customHeight="1">
      <c r="A961" s="30" t="inlineStr">
        <is>
          <t>ARE</t>
        </is>
      </c>
      <c r="B961" s="30" t="inlineStr">
        <is>
          <t>Areal</t>
        </is>
      </c>
      <c r="C961" s="30" t="n">
        <v>78448920</v>
      </c>
      <c r="D961" s="30">
        <f>"09087539000102"</f>
        <v/>
      </c>
      <c r="E961" s="30" t="inlineStr">
        <is>
          <t>MARCIO M PEREIRA SERVICOS DE ELETROMECANICA ME VEICULOS AUTOMOTO</t>
        </is>
      </c>
      <c r="F961" s="30" t="inlineStr">
        <is>
          <t>2021</t>
        </is>
      </c>
      <c r="G961" s="40" t="n">
        <v>0</v>
      </c>
    </row>
    <row r="962" ht="12" customHeight="1">
      <c r="A962" s="30" t="inlineStr">
        <is>
          <t>ARE</t>
        </is>
      </c>
      <c r="B962" s="30" t="inlineStr">
        <is>
          <t>Areal</t>
        </is>
      </c>
      <c r="C962" s="30" t="n">
        <v>78448920</v>
      </c>
      <c r="D962" s="30">
        <f>"09087539000102"</f>
        <v/>
      </c>
      <c r="E962" s="30" t="inlineStr">
        <is>
          <t>MARCIO M PEREIRA SERVICOS DE ELETROMECANICA ME VEICULOS AUTOMOTO</t>
        </is>
      </c>
      <c r="F962" s="30" t="inlineStr">
        <is>
          <t>2022</t>
        </is>
      </c>
      <c r="G962" s="40" t="n">
        <v>0</v>
      </c>
    </row>
    <row r="963" ht="12" customHeight="1">
      <c r="A963" s="30" t="inlineStr">
        <is>
          <t>ARE</t>
        </is>
      </c>
      <c r="B963" s="30" t="inlineStr">
        <is>
          <t>Areal</t>
        </is>
      </c>
      <c r="C963" s="30" t="n">
        <v>78448920</v>
      </c>
      <c r="D963" s="30">
        <f>"09087539000102"</f>
        <v/>
      </c>
      <c r="E963" s="30" t="inlineStr">
        <is>
          <t>MARCIO M PEREIRA SERVICOS DE ELETROMECANICA ME VEICULOS AUTOMOTO</t>
        </is>
      </c>
      <c r="F963" s="30" t="inlineStr">
        <is>
          <t>2023</t>
        </is>
      </c>
      <c r="G963" s="40" t="n">
        <v>0</v>
      </c>
    </row>
    <row r="964" ht="12" customHeight="1">
      <c r="A964" s="30" t="inlineStr">
        <is>
          <t>ARE</t>
        </is>
      </c>
      <c r="B964" s="30" t="inlineStr">
        <is>
          <t>Areal</t>
        </is>
      </c>
      <c r="C964" s="30" t="n">
        <v>78489995</v>
      </c>
      <c r="D964" s="30">
        <f>"21570775000334"</f>
        <v/>
      </c>
      <c r="E964" s="30" t="inlineStr">
        <is>
          <t>PICORELLI S/A TRANSPORTES</t>
        </is>
      </c>
      <c r="F964" s="30" t="inlineStr">
        <is>
          <t>2017</t>
        </is>
      </c>
      <c r="G964" s="40" t="n">
        <v>64085.34</v>
      </c>
    </row>
    <row r="965" ht="12" customHeight="1">
      <c r="A965" s="30" t="inlineStr">
        <is>
          <t>ARE</t>
        </is>
      </c>
      <c r="B965" s="30" t="inlineStr">
        <is>
          <t>Areal</t>
        </is>
      </c>
      <c r="C965" s="30" t="n">
        <v>78489995</v>
      </c>
      <c r="D965" s="30">
        <f>"21570775000334"</f>
        <v/>
      </c>
      <c r="E965" s="30" t="inlineStr">
        <is>
          <t>PICORELLI S/A TRANSPORTES</t>
        </is>
      </c>
      <c r="F965" s="30" t="inlineStr">
        <is>
          <t>2018</t>
        </is>
      </c>
      <c r="G965" s="40" t="n">
        <v>113489.35</v>
      </c>
    </row>
    <row r="966" ht="12" customHeight="1">
      <c r="A966" s="30" t="inlineStr">
        <is>
          <t>ARE</t>
        </is>
      </c>
      <c r="B966" s="30" t="inlineStr">
        <is>
          <t>Areal</t>
        </is>
      </c>
      <c r="C966" s="30" t="n">
        <v>78489995</v>
      </c>
      <c r="D966" s="30">
        <f>"21570775000334"</f>
        <v/>
      </c>
      <c r="E966" s="30" t="inlineStr">
        <is>
          <t>PICORELLI S/A TRANSPORTES</t>
        </is>
      </c>
      <c r="F966" s="30" t="inlineStr">
        <is>
          <t>2019</t>
        </is>
      </c>
      <c r="G966" s="40" t="n">
        <v>204831.81</v>
      </c>
    </row>
    <row r="967" ht="12" customHeight="1">
      <c r="A967" s="30" t="inlineStr">
        <is>
          <t>ARE</t>
        </is>
      </c>
      <c r="B967" s="30" t="inlineStr">
        <is>
          <t>Areal</t>
        </is>
      </c>
      <c r="C967" s="30" t="n">
        <v>78489995</v>
      </c>
      <c r="D967" s="30">
        <f>"21570775000334"</f>
        <v/>
      </c>
      <c r="E967" s="30" t="inlineStr">
        <is>
          <t>PICORELLI S/A TRANSPORTES</t>
        </is>
      </c>
      <c r="F967" s="30" t="inlineStr">
        <is>
          <t>2020</t>
        </is>
      </c>
      <c r="G967" s="40" t="n">
        <v>138064.49</v>
      </c>
    </row>
    <row r="968" ht="12" customHeight="1">
      <c r="A968" s="30" t="inlineStr">
        <is>
          <t>ARE</t>
        </is>
      </c>
      <c r="B968" s="30" t="inlineStr">
        <is>
          <t>Areal</t>
        </is>
      </c>
      <c r="C968" s="30" t="n">
        <v>78489995</v>
      </c>
      <c r="D968" s="30">
        <f>"21570775000334"</f>
        <v/>
      </c>
      <c r="E968" s="30" t="inlineStr">
        <is>
          <t>PICORELLI S/A TRANSPORTES</t>
        </is>
      </c>
      <c r="F968" s="30" t="inlineStr">
        <is>
          <t>2021</t>
        </is>
      </c>
      <c r="G968" s="40" t="n">
        <v>108817.09</v>
      </c>
    </row>
    <row r="969" ht="12" customHeight="1">
      <c r="A969" s="30" t="inlineStr">
        <is>
          <t>ARE</t>
        </is>
      </c>
      <c r="B969" s="30" t="inlineStr">
        <is>
          <t>Areal</t>
        </is>
      </c>
      <c r="C969" s="30" t="n">
        <v>78489995</v>
      </c>
      <c r="D969" s="30">
        <f>"21570775000334"</f>
        <v/>
      </c>
      <c r="E969" s="30" t="inlineStr">
        <is>
          <t>PICORELLI S/A TRANSPORTES</t>
        </is>
      </c>
      <c r="F969" s="30" t="inlineStr">
        <is>
          <t>2022</t>
        </is>
      </c>
      <c r="G969" s="40" t="n">
        <v>45413.19</v>
      </c>
    </row>
    <row r="970" ht="12" customHeight="1">
      <c r="A970" s="30" t="inlineStr">
        <is>
          <t>ARE</t>
        </is>
      </c>
      <c r="B970" s="30" t="inlineStr">
        <is>
          <t>Areal</t>
        </is>
      </c>
      <c r="C970" s="30" t="n">
        <v>78489995</v>
      </c>
      <c r="D970" s="30">
        <f>"21570775000334"</f>
        <v/>
      </c>
      <c r="E970" s="30" t="inlineStr">
        <is>
          <t>PICORELLI S/A TRANSPORTES</t>
        </is>
      </c>
      <c r="F970" s="30" t="inlineStr">
        <is>
          <t>2023</t>
        </is>
      </c>
      <c r="G970" s="40" t="n">
        <v>23359.2</v>
      </c>
    </row>
    <row r="971" ht="12" customHeight="1">
      <c r="A971" s="30" t="inlineStr">
        <is>
          <t>ARE</t>
        </is>
      </c>
      <c r="B971" s="30" t="inlineStr">
        <is>
          <t>Areal</t>
        </is>
      </c>
      <c r="C971" s="30" t="n">
        <v>78494506</v>
      </c>
      <c r="D971" s="30">
        <f>"00634453000846"</f>
        <v/>
      </c>
      <c r="E971" s="30" t="inlineStr">
        <is>
          <t>T S V TRANSPORTES RAPIDOS LTDA</t>
        </is>
      </c>
      <c r="F971" s="30" t="inlineStr">
        <is>
          <t>2018</t>
        </is>
      </c>
      <c r="G971" s="40" t="n">
        <v>0</v>
      </c>
    </row>
    <row r="972" ht="12" customHeight="1">
      <c r="A972" s="30" t="inlineStr">
        <is>
          <t>ARE</t>
        </is>
      </c>
      <c r="B972" s="30" t="inlineStr">
        <is>
          <t>Areal</t>
        </is>
      </c>
      <c r="C972" s="30" t="n">
        <v>78494506</v>
      </c>
      <c r="D972" s="30">
        <f>"00634453000846"</f>
        <v/>
      </c>
      <c r="E972" s="30" t="inlineStr">
        <is>
          <t>T S V TRANSPORTES RAPIDOS LTDA</t>
        </is>
      </c>
      <c r="F972" s="30" t="inlineStr">
        <is>
          <t>2019</t>
        </is>
      </c>
      <c r="G972" s="40" t="n">
        <v>0</v>
      </c>
    </row>
    <row r="973" ht="12" customHeight="1">
      <c r="A973" s="30" t="inlineStr">
        <is>
          <t>ARE</t>
        </is>
      </c>
      <c r="B973" s="30" t="inlineStr">
        <is>
          <t>Areal</t>
        </is>
      </c>
      <c r="C973" s="30" t="n">
        <v>78494506</v>
      </c>
      <c r="D973" s="30">
        <f>"00634453000846"</f>
        <v/>
      </c>
      <c r="E973" s="30" t="inlineStr">
        <is>
          <t>T S V TRANSPORTES RAPIDOS LTDA</t>
        </is>
      </c>
      <c r="F973" s="30" t="inlineStr">
        <is>
          <t>2020</t>
        </is>
      </c>
      <c r="G973" s="40" t="n">
        <v>90.90000000000001</v>
      </c>
    </row>
    <row r="974" ht="12" customHeight="1">
      <c r="A974" s="30" t="inlineStr">
        <is>
          <t>ARE</t>
        </is>
      </c>
      <c r="B974" s="30" t="inlineStr">
        <is>
          <t>Areal</t>
        </is>
      </c>
      <c r="C974" s="30" t="n">
        <v>78494506</v>
      </c>
      <c r="D974" s="30">
        <f>"00634453000846"</f>
        <v/>
      </c>
      <c r="E974" s="30" t="inlineStr">
        <is>
          <t>T S V TRANSPORTES RAPIDOS LTDA</t>
        </is>
      </c>
      <c r="F974" s="30" t="inlineStr">
        <is>
          <t>2021</t>
        </is>
      </c>
      <c r="G974" s="40" t="n">
        <v>0</v>
      </c>
    </row>
    <row r="975" ht="12" customHeight="1">
      <c r="A975" s="30" t="inlineStr">
        <is>
          <t>ARE</t>
        </is>
      </c>
      <c r="B975" s="30" t="inlineStr">
        <is>
          <t>Areal</t>
        </is>
      </c>
      <c r="C975" s="30" t="n">
        <v>78494506</v>
      </c>
      <c r="D975" s="30">
        <f>"00634453000846"</f>
        <v/>
      </c>
      <c r="E975" s="30" t="inlineStr">
        <is>
          <t>T S V TRANSPORTES RAPIDOS LTDA</t>
        </is>
      </c>
      <c r="F975" s="30" t="inlineStr">
        <is>
          <t>2022</t>
        </is>
      </c>
      <c r="G975" s="40" t="n">
        <v>365.56</v>
      </c>
    </row>
    <row r="976" ht="12" customHeight="1">
      <c r="A976" s="30" t="inlineStr">
        <is>
          <t>ARE</t>
        </is>
      </c>
      <c r="B976" s="30" t="inlineStr">
        <is>
          <t>Areal</t>
        </is>
      </c>
      <c r="C976" s="30" t="n">
        <v>78494506</v>
      </c>
      <c r="D976" s="30">
        <f>"00634453000846"</f>
        <v/>
      </c>
      <c r="E976" s="30" t="inlineStr">
        <is>
          <t>T S V TRANSPORTES RAPIDOS LTDA</t>
        </is>
      </c>
      <c r="F976" s="30" t="inlineStr">
        <is>
          <t>2023</t>
        </is>
      </c>
      <c r="G976" s="40" t="n">
        <v>151.52</v>
      </c>
    </row>
    <row r="977" ht="12" customHeight="1">
      <c r="A977" s="30" t="inlineStr">
        <is>
          <t>ARE</t>
        </is>
      </c>
      <c r="B977" s="30" t="inlineStr">
        <is>
          <t>Areal</t>
        </is>
      </c>
      <c r="C977" s="30" t="n">
        <v>78498560</v>
      </c>
      <c r="D977" s="30">
        <f>"01107327000553"</f>
        <v/>
      </c>
      <c r="E977" s="30" t="inlineStr">
        <is>
          <t>BBM LOGISTICA SA</t>
        </is>
      </c>
      <c r="F977" s="30" t="inlineStr">
        <is>
          <t>2017</t>
        </is>
      </c>
      <c r="G977" s="40" t="n">
        <v>0</v>
      </c>
    </row>
    <row r="978" ht="12" customHeight="1">
      <c r="A978" s="30" t="inlineStr">
        <is>
          <t>ARE</t>
        </is>
      </c>
      <c r="B978" s="30" t="inlineStr">
        <is>
          <t>Areal</t>
        </is>
      </c>
      <c r="C978" s="30" t="n">
        <v>78498560</v>
      </c>
      <c r="D978" s="30">
        <f>"01107327000553"</f>
        <v/>
      </c>
      <c r="E978" s="30" t="inlineStr">
        <is>
          <t>BBM LOGISTICA SA</t>
        </is>
      </c>
      <c r="F978" s="30" t="inlineStr">
        <is>
          <t>2018</t>
        </is>
      </c>
      <c r="G978" s="40" t="n">
        <v>2858.16</v>
      </c>
    </row>
    <row r="979" ht="12" customHeight="1">
      <c r="A979" s="30" t="inlineStr">
        <is>
          <t>ARE</t>
        </is>
      </c>
      <c r="B979" s="30" t="inlineStr">
        <is>
          <t>Areal</t>
        </is>
      </c>
      <c r="C979" s="30" t="n">
        <v>78498560</v>
      </c>
      <c r="D979" s="30">
        <f>"01107327000553"</f>
        <v/>
      </c>
      <c r="E979" s="30" t="inlineStr">
        <is>
          <t>BBM LOGISTICA SA</t>
        </is>
      </c>
      <c r="F979" s="30" t="inlineStr">
        <is>
          <t>2019</t>
        </is>
      </c>
      <c r="G979" s="40" t="n">
        <v>2859.63</v>
      </c>
    </row>
    <row r="980" ht="12" customHeight="1">
      <c r="A980" s="30" t="inlineStr">
        <is>
          <t>ARE</t>
        </is>
      </c>
      <c r="B980" s="30" t="inlineStr">
        <is>
          <t>Areal</t>
        </is>
      </c>
      <c r="C980" s="30" t="n">
        <v>78498560</v>
      </c>
      <c r="D980" s="30">
        <f>"01107327000553"</f>
        <v/>
      </c>
      <c r="E980" s="30" t="inlineStr">
        <is>
          <t>BBM LOGISTICA SA</t>
        </is>
      </c>
      <c r="F980" s="30" t="inlineStr">
        <is>
          <t>2020</t>
        </is>
      </c>
      <c r="G980" s="40" t="n">
        <v>1213.61</v>
      </c>
    </row>
    <row r="981" ht="12" customHeight="1">
      <c r="A981" s="30" t="inlineStr">
        <is>
          <t>ARE</t>
        </is>
      </c>
      <c r="B981" s="30" t="inlineStr">
        <is>
          <t>Areal</t>
        </is>
      </c>
      <c r="C981" s="30" t="n">
        <v>78498560</v>
      </c>
      <c r="D981" s="30">
        <f>"01107327000553"</f>
        <v/>
      </c>
      <c r="E981" s="30" t="inlineStr">
        <is>
          <t>BBM LOGISTICA SA</t>
        </is>
      </c>
      <c r="F981" s="30" t="inlineStr">
        <is>
          <t>2021</t>
        </is>
      </c>
      <c r="G981" s="40" t="n">
        <v>2713.11</v>
      </c>
    </row>
    <row r="982" ht="12" customHeight="1">
      <c r="A982" s="30" t="inlineStr">
        <is>
          <t>ARE</t>
        </is>
      </c>
      <c r="B982" s="30" t="inlineStr">
        <is>
          <t>Areal</t>
        </is>
      </c>
      <c r="C982" s="30" t="n">
        <v>78498560</v>
      </c>
      <c r="D982" s="30">
        <f>"01107327000553"</f>
        <v/>
      </c>
      <c r="E982" s="30" t="inlineStr">
        <is>
          <t>BBM LOGISTICA SA</t>
        </is>
      </c>
      <c r="F982" s="30" t="inlineStr">
        <is>
          <t>2022</t>
        </is>
      </c>
      <c r="G982" s="40" t="n">
        <v>1910.11</v>
      </c>
    </row>
    <row r="983" ht="12" customHeight="1">
      <c r="A983" s="30" t="inlineStr">
        <is>
          <t>ARE</t>
        </is>
      </c>
      <c r="B983" s="30" t="inlineStr">
        <is>
          <t>Areal</t>
        </is>
      </c>
      <c r="C983" s="30" t="n">
        <v>78498560</v>
      </c>
      <c r="D983" s="30">
        <f>"01107327000553"</f>
        <v/>
      </c>
      <c r="E983" s="30" t="inlineStr">
        <is>
          <t>BBM LOGISTICA SA</t>
        </is>
      </c>
      <c r="F983" s="30" t="inlineStr">
        <is>
          <t>2023</t>
        </is>
      </c>
      <c r="G983" s="40" t="n">
        <v>1945.06</v>
      </c>
    </row>
    <row r="984" ht="12" customHeight="1">
      <c r="A984" s="30" t="inlineStr">
        <is>
          <t>ARE</t>
        </is>
      </c>
      <c r="B984" s="30" t="inlineStr">
        <is>
          <t>Areal</t>
        </is>
      </c>
      <c r="C984" s="30" t="n">
        <v>78604077</v>
      </c>
      <c r="D984" s="30">
        <f>"08835989000165"</f>
        <v/>
      </c>
      <c r="E984" s="30" t="inlineStr">
        <is>
          <t>RESILOG TRANSPORTES E LOGISTICA LTDA</t>
        </is>
      </c>
      <c r="F984" s="30" t="inlineStr">
        <is>
          <t>2020</t>
        </is>
      </c>
      <c r="G984" s="40" t="n">
        <v>0</v>
      </c>
    </row>
    <row r="985" ht="12" customHeight="1">
      <c r="A985" s="30" t="inlineStr">
        <is>
          <t>ARE</t>
        </is>
      </c>
      <c r="B985" s="30" t="inlineStr">
        <is>
          <t>Areal</t>
        </is>
      </c>
      <c r="C985" s="30" t="n">
        <v>78604077</v>
      </c>
      <c r="D985" s="30">
        <f>"08835989000165"</f>
        <v/>
      </c>
      <c r="E985" s="30" t="inlineStr">
        <is>
          <t>RESILOG TRANSPORTES E LOGISTICA LTDA</t>
        </is>
      </c>
      <c r="F985" s="30" t="inlineStr">
        <is>
          <t>2021</t>
        </is>
      </c>
      <c r="G985" s="40" t="n">
        <v>0</v>
      </c>
    </row>
    <row r="986" ht="12" customHeight="1">
      <c r="A986" s="30" t="inlineStr">
        <is>
          <t>ARE</t>
        </is>
      </c>
      <c r="B986" s="30" t="inlineStr">
        <is>
          <t>Areal</t>
        </is>
      </c>
      <c r="C986" s="30" t="n">
        <v>78604077</v>
      </c>
      <c r="D986" s="30">
        <f>"08835989000165"</f>
        <v/>
      </c>
      <c r="E986" s="30" t="inlineStr">
        <is>
          <t>RESILOG TRANSPORTES E LOGISTICA LTDA</t>
        </is>
      </c>
      <c r="F986" s="30" t="inlineStr">
        <is>
          <t>2022</t>
        </is>
      </c>
      <c r="G986" s="40" t="n">
        <v>15904</v>
      </c>
    </row>
    <row r="987" ht="12" customHeight="1">
      <c r="A987" s="30" t="inlineStr">
        <is>
          <t>ARE</t>
        </is>
      </c>
      <c r="B987" s="30" t="inlineStr">
        <is>
          <t>Areal</t>
        </is>
      </c>
      <c r="C987" s="30" t="n">
        <v>78604077</v>
      </c>
      <c r="D987" s="30">
        <f>"08835989000165"</f>
        <v/>
      </c>
      <c r="E987" s="30" t="inlineStr">
        <is>
          <t>RESILOG TRANSPORTES E LOGISTICA LTDA</t>
        </is>
      </c>
      <c r="F987" s="30" t="inlineStr">
        <is>
          <t>2023</t>
        </is>
      </c>
      <c r="G987" s="40" t="n">
        <v>0</v>
      </c>
    </row>
    <row r="988" ht="12" customHeight="1">
      <c r="A988" s="30" t="inlineStr">
        <is>
          <t>ARE</t>
        </is>
      </c>
      <c r="B988" s="30" t="inlineStr">
        <is>
          <t>Areal</t>
        </is>
      </c>
      <c r="C988" s="30" t="n">
        <v>78624094</v>
      </c>
      <c r="D988" s="30">
        <f>"04268083000155"</f>
        <v/>
      </c>
      <c r="E988" s="30" t="inlineStr">
        <is>
          <t>BEM CHIC STORE CALCADOS E ACESSORIOS LTDA</t>
        </is>
      </c>
      <c r="F988" s="30" t="inlineStr">
        <is>
          <t>2017</t>
        </is>
      </c>
      <c r="G988" s="40" t="n">
        <v>0</v>
      </c>
    </row>
    <row r="989" ht="12" customHeight="1">
      <c r="A989" s="30" t="inlineStr">
        <is>
          <t>ARE</t>
        </is>
      </c>
      <c r="B989" s="30" t="inlineStr">
        <is>
          <t>Areal</t>
        </is>
      </c>
      <c r="C989" s="30" t="n">
        <v>78624094</v>
      </c>
      <c r="D989" s="30">
        <f>"04268083000155"</f>
        <v/>
      </c>
      <c r="E989" s="30" t="inlineStr">
        <is>
          <t>BEM CHIC STORE CALCADOS E ACESSORIOS LTDA</t>
        </is>
      </c>
      <c r="F989" s="30" t="inlineStr">
        <is>
          <t>2018</t>
        </is>
      </c>
      <c r="G989" s="40" t="n">
        <v>0</v>
      </c>
    </row>
    <row r="990" ht="12" customHeight="1">
      <c r="A990" s="30" t="inlineStr">
        <is>
          <t>ARE</t>
        </is>
      </c>
      <c r="B990" s="30" t="inlineStr">
        <is>
          <t>Areal</t>
        </is>
      </c>
      <c r="C990" s="30" t="n">
        <v>78624094</v>
      </c>
      <c r="D990" s="30">
        <f>"04268083000155"</f>
        <v/>
      </c>
      <c r="E990" s="30" t="inlineStr">
        <is>
          <t>BEM CHIC STORE CALCADOS E ACESSORIOS LTDA</t>
        </is>
      </c>
      <c r="F990" s="30" t="inlineStr">
        <is>
          <t>2019</t>
        </is>
      </c>
      <c r="G990" s="40" t="n">
        <v>0</v>
      </c>
    </row>
    <row r="991" ht="12" customHeight="1">
      <c r="A991" s="30" t="inlineStr">
        <is>
          <t>ARE</t>
        </is>
      </c>
      <c r="B991" s="30" t="inlineStr">
        <is>
          <t>Areal</t>
        </is>
      </c>
      <c r="C991" s="30" t="n">
        <v>78624094</v>
      </c>
      <c r="D991" s="30">
        <f>"04268083000155"</f>
        <v/>
      </c>
      <c r="E991" s="30" t="inlineStr">
        <is>
          <t>BEM CHIC STORE CALCADOS E ACESSORIOS LTDA</t>
        </is>
      </c>
      <c r="F991" s="30" t="inlineStr">
        <is>
          <t>2021</t>
        </is>
      </c>
      <c r="G991" s="40" t="n">
        <v>0</v>
      </c>
    </row>
    <row r="992" ht="12" customHeight="1">
      <c r="A992" s="30" t="inlineStr">
        <is>
          <t>ARE</t>
        </is>
      </c>
      <c r="B992" s="30" t="inlineStr">
        <is>
          <t>Areal</t>
        </is>
      </c>
      <c r="C992" s="30" t="n">
        <v>78624094</v>
      </c>
      <c r="D992" s="30">
        <f>"04268083000155"</f>
        <v/>
      </c>
      <c r="E992" s="30" t="inlineStr">
        <is>
          <t>BEM CHIC STORE CALCADOS E ACESSORIOS LTDA</t>
        </is>
      </c>
      <c r="F992" s="30" t="inlineStr">
        <is>
          <t>2022</t>
        </is>
      </c>
      <c r="G992" s="40" t="n">
        <v>0</v>
      </c>
    </row>
    <row r="993" ht="12" customHeight="1">
      <c r="A993" s="30" t="inlineStr">
        <is>
          <t>ARE</t>
        </is>
      </c>
      <c r="B993" s="30" t="inlineStr">
        <is>
          <t>Areal</t>
        </is>
      </c>
      <c r="C993" s="30" t="n">
        <v>78624094</v>
      </c>
      <c r="D993" s="30">
        <f>"04268083000155"</f>
        <v/>
      </c>
      <c r="E993" s="30" t="inlineStr">
        <is>
          <t>BEM CHIC STORE CALCADOS E ACESSORIOS LTDA</t>
        </is>
      </c>
      <c r="F993" s="30" t="inlineStr">
        <is>
          <t>2023</t>
        </is>
      </c>
      <c r="G993" s="40" t="n">
        <v>0</v>
      </c>
    </row>
    <row r="994" ht="12" customHeight="1">
      <c r="A994" s="30" t="inlineStr">
        <is>
          <t>ARE</t>
        </is>
      </c>
      <c r="B994" s="30" t="inlineStr">
        <is>
          <t>Areal</t>
        </is>
      </c>
      <c r="C994" s="30" t="n">
        <v>78643463</v>
      </c>
      <c r="D994" s="30">
        <f>"00591531000368"</f>
        <v/>
      </c>
      <c r="E994" s="30" t="inlineStr">
        <is>
          <t>E J DE SOUZA - TRANSPORTES</t>
        </is>
      </c>
      <c r="F994" s="30" t="inlineStr">
        <is>
          <t>2017</t>
        </is>
      </c>
      <c r="G994" s="40" t="n">
        <v>0</v>
      </c>
    </row>
    <row r="995" ht="12" customHeight="1">
      <c r="A995" s="30" t="inlineStr">
        <is>
          <t>ARE</t>
        </is>
      </c>
      <c r="B995" s="30" t="inlineStr">
        <is>
          <t>Areal</t>
        </is>
      </c>
      <c r="C995" s="30" t="n">
        <v>78643463</v>
      </c>
      <c r="D995" s="30">
        <f>"00591531000368"</f>
        <v/>
      </c>
      <c r="E995" s="30" t="inlineStr">
        <is>
          <t>E J DE SOUZA - TRANSPORTES</t>
        </is>
      </c>
      <c r="F995" s="30" t="inlineStr">
        <is>
          <t>2018</t>
        </is>
      </c>
      <c r="G995" s="40" t="n">
        <v>0</v>
      </c>
    </row>
    <row r="996" ht="12" customHeight="1">
      <c r="A996" s="30" t="inlineStr">
        <is>
          <t>ARE</t>
        </is>
      </c>
      <c r="B996" s="30" t="inlineStr">
        <is>
          <t>Areal</t>
        </is>
      </c>
      <c r="C996" s="30" t="n">
        <v>78643463</v>
      </c>
      <c r="D996" s="30">
        <f>"00591531000368"</f>
        <v/>
      </c>
      <c r="E996" s="30" t="inlineStr">
        <is>
          <t>E J DE SOUZA - TRANSPORTES</t>
        </is>
      </c>
      <c r="F996" s="30" t="inlineStr">
        <is>
          <t>2019</t>
        </is>
      </c>
      <c r="G996" s="40" t="n">
        <v>203.83</v>
      </c>
    </row>
    <row r="997" ht="12" customHeight="1">
      <c r="A997" s="30" t="inlineStr">
        <is>
          <t>ARE</t>
        </is>
      </c>
      <c r="B997" s="30" t="inlineStr">
        <is>
          <t>Areal</t>
        </is>
      </c>
      <c r="C997" s="30" t="n">
        <v>78643463</v>
      </c>
      <c r="D997" s="30">
        <f>"00591531000368"</f>
        <v/>
      </c>
      <c r="E997" s="30" t="inlineStr">
        <is>
          <t>E J DE SOUZA - TRANSPORTES</t>
        </is>
      </c>
      <c r="F997" s="30" t="inlineStr">
        <is>
          <t>2020</t>
        </is>
      </c>
      <c r="G997" s="40" t="n">
        <v>0.01</v>
      </c>
    </row>
    <row r="998" ht="12" customHeight="1">
      <c r="A998" s="30" t="inlineStr">
        <is>
          <t>ARE</t>
        </is>
      </c>
      <c r="B998" s="30" t="inlineStr">
        <is>
          <t>Areal</t>
        </is>
      </c>
      <c r="C998" s="30" t="n">
        <v>78643463</v>
      </c>
      <c r="D998" s="30">
        <f>"00591531000368"</f>
        <v/>
      </c>
      <c r="E998" s="30" t="inlineStr">
        <is>
          <t>E J DE SOUZA - TRANSPORTES</t>
        </is>
      </c>
      <c r="F998" s="30" t="inlineStr">
        <is>
          <t>2021</t>
        </is>
      </c>
      <c r="G998" s="40" t="n">
        <v>0</v>
      </c>
    </row>
    <row r="999" ht="12" customHeight="1">
      <c r="A999" s="30" t="inlineStr">
        <is>
          <t>ARE</t>
        </is>
      </c>
      <c r="B999" s="30" t="inlineStr">
        <is>
          <t>Areal</t>
        </is>
      </c>
      <c r="C999" s="30" t="n">
        <v>78643463</v>
      </c>
      <c r="D999" s="30">
        <f>"00591531000368"</f>
        <v/>
      </c>
      <c r="E999" s="30" t="inlineStr">
        <is>
          <t>E J DE SOUZA - TRANSPORTES</t>
        </is>
      </c>
      <c r="F999" s="30" t="inlineStr">
        <is>
          <t>2022</t>
        </is>
      </c>
      <c r="G999" s="40" t="n">
        <v>0</v>
      </c>
    </row>
    <row r="1000" ht="12" customHeight="1">
      <c r="A1000" s="30" t="inlineStr">
        <is>
          <t>ARE</t>
        </is>
      </c>
      <c r="B1000" s="30" t="inlineStr">
        <is>
          <t>Areal</t>
        </is>
      </c>
      <c r="C1000" s="30" t="n">
        <v>78655038</v>
      </c>
      <c r="D1000" s="30">
        <f>"10516951000171"</f>
        <v/>
      </c>
      <c r="E1000" s="30" t="inlineStr">
        <is>
          <t>GASAL- COMERCIO VAREJISTA DE GAS AREAL LTDA</t>
        </is>
      </c>
      <c r="F1000" s="30" t="inlineStr">
        <is>
          <t>2017</t>
        </is>
      </c>
      <c r="G1000" s="40" t="n">
        <v>155818.83</v>
      </c>
    </row>
    <row r="1001" ht="12" customHeight="1">
      <c r="A1001" s="30" t="inlineStr">
        <is>
          <t>ARE</t>
        </is>
      </c>
      <c r="B1001" s="30" t="inlineStr">
        <is>
          <t>Areal</t>
        </is>
      </c>
      <c r="C1001" s="30" t="n">
        <v>78655038</v>
      </c>
      <c r="D1001" s="30">
        <f>"10516951000171"</f>
        <v/>
      </c>
      <c r="E1001" s="30" t="inlineStr">
        <is>
          <t>GASAL- COMERCIO VAREJISTA DE GAS AREAL LTDA</t>
        </is>
      </c>
      <c r="F1001" s="30" t="inlineStr">
        <is>
          <t>2018</t>
        </is>
      </c>
      <c r="G1001" s="40" t="n">
        <v>66594.22</v>
      </c>
    </row>
    <row r="1002" ht="12" customHeight="1">
      <c r="A1002" s="30" t="inlineStr">
        <is>
          <t>ARE</t>
        </is>
      </c>
      <c r="B1002" s="30" t="inlineStr">
        <is>
          <t>Areal</t>
        </is>
      </c>
      <c r="C1002" s="30" t="n">
        <v>78655038</v>
      </c>
      <c r="D1002" s="30">
        <f>"10516951000171"</f>
        <v/>
      </c>
      <c r="E1002" s="30" t="inlineStr">
        <is>
          <t>GASAL- COMERCIO VAREJISTA DE GAS AREAL LTDA</t>
        </is>
      </c>
      <c r="F1002" s="30" t="inlineStr">
        <is>
          <t>2019</t>
        </is>
      </c>
      <c r="G1002" s="40" t="n">
        <v>445750.06</v>
      </c>
    </row>
    <row r="1003" ht="12" customHeight="1">
      <c r="A1003" s="30" t="inlineStr">
        <is>
          <t>ARE</t>
        </is>
      </c>
      <c r="B1003" s="30" t="inlineStr">
        <is>
          <t>Areal</t>
        </is>
      </c>
      <c r="C1003" s="30" t="n">
        <v>78655038</v>
      </c>
      <c r="D1003" s="30">
        <f>"10516951000171"</f>
        <v/>
      </c>
      <c r="E1003" s="30" t="inlineStr">
        <is>
          <t>GASAL- COMERCIO VAREJISTA DE GAS AREAL LTDA</t>
        </is>
      </c>
      <c r="F1003" s="30" t="inlineStr">
        <is>
          <t>2020</t>
        </is>
      </c>
      <c r="G1003" s="40" t="n">
        <v>52599.47</v>
      </c>
    </row>
    <row r="1004" ht="12" customHeight="1">
      <c r="A1004" s="30" t="inlineStr">
        <is>
          <t>ARE</t>
        </is>
      </c>
      <c r="B1004" s="30" t="inlineStr">
        <is>
          <t>Areal</t>
        </is>
      </c>
      <c r="C1004" s="30" t="n">
        <v>78655038</v>
      </c>
      <c r="D1004" s="30">
        <f>"10516951000171"</f>
        <v/>
      </c>
      <c r="E1004" s="30" t="inlineStr">
        <is>
          <t>GASAL- COMERCIO VAREJISTA DE GAS AREAL LTDA</t>
        </is>
      </c>
      <c r="F1004" s="30" t="inlineStr">
        <is>
          <t>2021</t>
        </is>
      </c>
      <c r="G1004" s="40" t="n">
        <v>62405.79</v>
      </c>
    </row>
    <row r="1005" ht="12" customHeight="1">
      <c r="A1005" s="30" t="inlineStr">
        <is>
          <t>ARE</t>
        </is>
      </c>
      <c r="B1005" s="30" t="inlineStr">
        <is>
          <t>Areal</t>
        </is>
      </c>
      <c r="C1005" s="30" t="n">
        <v>78655038</v>
      </c>
      <c r="D1005" s="30">
        <f>"10516951000171"</f>
        <v/>
      </c>
      <c r="E1005" s="30" t="inlineStr">
        <is>
          <t>GASAL- COMERCIO VAREJISTA DE GAS AREAL LTDA</t>
        </is>
      </c>
      <c r="F1005" s="30" t="inlineStr">
        <is>
          <t>2022</t>
        </is>
      </c>
      <c r="G1005" s="40" t="n">
        <v>55616.64</v>
      </c>
    </row>
    <row r="1006" ht="12" customHeight="1">
      <c r="A1006" s="30" t="inlineStr">
        <is>
          <t>ARE</t>
        </is>
      </c>
      <c r="B1006" s="30" t="inlineStr">
        <is>
          <t>Areal</t>
        </is>
      </c>
      <c r="C1006" s="30" t="n">
        <v>78655038</v>
      </c>
      <c r="D1006" s="30">
        <f>"10516951000171"</f>
        <v/>
      </c>
      <c r="E1006" s="30" t="inlineStr">
        <is>
          <t>GASAL- COMERCIO VAREJISTA DE GAS AREAL LTDA</t>
        </is>
      </c>
      <c r="F1006" s="30" t="inlineStr">
        <is>
          <t>2023</t>
        </is>
      </c>
      <c r="G1006" s="40" t="n">
        <v>43360.77</v>
      </c>
    </row>
    <row r="1007" ht="12" customHeight="1">
      <c r="A1007" s="30" t="inlineStr">
        <is>
          <t>ARE</t>
        </is>
      </c>
      <c r="B1007" s="30" t="inlineStr">
        <is>
          <t>Areal</t>
        </is>
      </c>
      <c r="C1007" s="30" t="n">
        <v>78672820</v>
      </c>
      <c r="D1007" s="30">
        <f>"03915195000198"</f>
        <v/>
      </c>
      <c r="E1007" s="30" t="inlineStr">
        <is>
          <t>VALTEC INDUSTRIA E COMERCIO DE PLASTICOS LTDA ME</t>
        </is>
      </c>
      <c r="F1007" s="30" t="inlineStr">
        <is>
          <t>2017</t>
        </is>
      </c>
      <c r="G1007" s="40" t="n">
        <v>0</v>
      </c>
    </row>
    <row r="1008" ht="12" customHeight="1">
      <c r="A1008" s="30" t="inlineStr">
        <is>
          <t>ARE</t>
        </is>
      </c>
      <c r="B1008" s="30" t="inlineStr">
        <is>
          <t>Areal</t>
        </is>
      </c>
      <c r="C1008" s="30" t="n">
        <v>78672820</v>
      </c>
      <c r="D1008" s="30">
        <f>"03915195000198"</f>
        <v/>
      </c>
      <c r="E1008" s="30" t="inlineStr">
        <is>
          <t>VALTEC INDUSTRIA E COMERCIO DE PLASTICOS LTDA ME</t>
        </is>
      </c>
      <c r="F1008" s="30" t="inlineStr">
        <is>
          <t>2018</t>
        </is>
      </c>
      <c r="G1008" s="40" t="n">
        <v>0</v>
      </c>
    </row>
    <row r="1009" ht="12" customHeight="1">
      <c r="A1009" s="30" t="inlineStr">
        <is>
          <t>ARE</t>
        </is>
      </c>
      <c r="B1009" s="30" t="inlineStr">
        <is>
          <t>Areal</t>
        </is>
      </c>
      <c r="C1009" s="30" t="n">
        <v>78672820</v>
      </c>
      <c r="D1009" s="30">
        <f>"03915195000198"</f>
        <v/>
      </c>
      <c r="E1009" s="30" t="inlineStr">
        <is>
          <t>VALTEC INDUSTRIA E COMERCIO DE PLASTICOS LTDA ME</t>
        </is>
      </c>
      <c r="F1009" s="30" t="inlineStr">
        <is>
          <t>2019</t>
        </is>
      </c>
      <c r="G1009" s="40" t="n">
        <v>797439.47</v>
      </c>
    </row>
    <row r="1010" ht="12" customHeight="1">
      <c r="A1010" s="30" t="inlineStr">
        <is>
          <t>ARE</t>
        </is>
      </c>
      <c r="B1010" s="30" t="inlineStr">
        <is>
          <t>Areal</t>
        </is>
      </c>
      <c r="C1010" s="30" t="n">
        <v>78672820</v>
      </c>
      <c r="D1010" s="30">
        <f>"03915195000198"</f>
        <v/>
      </c>
      <c r="E1010" s="30" t="inlineStr">
        <is>
          <t>VALTEC INDUSTRIA E COMERCIO DE PLASTICOS LTDA ME</t>
        </is>
      </c>
      <c r="F1010" s="30" t="inlineStr">
        <is>
          <t>2020</t>
        </is>
      </c>
      <c r="G1010" s="40" t="n">
        <v>0</v>
      </c>
    </row>
    <row r="1011" ht="12" customHeight="1">
      <c r="A1011" s="30" t="inlineStr">
        <is>
          <t>ARE</t>
        </is>
      </c>
      <c r="B1011" s="30" t="inlineStr">
        <is>
          <t>Areal</t>
        </is>
      </c>
      <c r="C1011" s="30" t="n">
        <v>78672820</v>
      </c>
      <c r="D1011" s="30">
        <f>"03915195000198"</f>
        <v/>
      </c>
      <c r="E1011" s="30" t="inlineStr">
        <is>
          <t>VALTEC INDUSTRIA E COMERCIO DE PLASTICOS LTDA ME</t>
        </is>
      </c>
      <c r="F1011" s="30" t="inlineStr">
        <is>
          <t>2021</t>
        </is>
      </c>
      <c r="G1011" s="40" t="n">
        <v>0</v>
      </c>
    </row>
    <row r="1012" ht="12" customHeight="1">
      <c r="A1012" s="30" t="inlineStr">
        <is>
          <t>ARE</t>
        </is>
      </c>
      <c r="B1012" s="30" t="inlineStr">
        <is>
          <t>Areal</t>
        </is>
      </c>
      <c r="C1012" s="30" t="n">
        <v>78672820</v>
      </c>
      <c r="D1012" s="30">
        <f>"03915195000198"</f>
        <v/>
      </c>
      <c r="E1012" s="30" t="inlineStr">
        <is>
          <t>VALTEC INDUSTRIA E COMERCIO DE PLASTICOS LTDA ME</t>
        </is>
      </c>
      <c r="F1012" s="30" t="inlineStr">
        <is>
          <t>2022</t>
        </is>
      </c>
      <c r="G1012" s="40" t="n">
        <v>8034280.7</v>
      </c>
    </row>
    <row r="1013" ht="12" customHeight="1">
      <c r="A1013" s="30" t="inlineStr">
        <is>
          <t>ARE</t>
        </is>
      </c>
      <c r="B1013" s="30" t="inlineStr">
        <is>
          <t>Areal</t>
        </is>
      </c>
      <c r="C1013" s="30" t="n">
        <v>78672820</v>
      </c>
      <c r="D1013" s="30">
        <f>"03915195000198"</f>
        <v/>
      </c>
      <c r="E1013" s="30" t="inlineStr">
        <is>
          <t>VALTEC INDUSTRIA E COMERCIO DE PLASTICOS LTDA ME</t>
        </is>
      </c>
      <c r="F1013" s="30" t="inlineStr">
        <is>
          <t>2023</t>
        </is>
      </c>
      <c r="G1013" s="40" t="n">
        <v>869907.58</v>
      </c>
    </row>
    <row r="1014" ht="12" customHeight="1">
      <c r="A1014" s="30" t="inlineStr">
        <is>
          <t>ARE</t>
        </is>
      </c>
      <c r="B1014" s="30" t="inlineStr">
        <is>
          <t>Areal</t>
        </is>
      </c>
      <c r="C1014" s="30" t="n">
        <v>78676850</v>
      </c>
      <c r="D1014" s="30">
        <f>"09296295000321"</f>
        <v/>
      </c>
      <c r="E1014" s="30" t="inlineStr">
        <is>
          <t>AZUL LINHAS AEREAS BRASILEIRAS S A</t>
        </is>
      </c>
      <c r="F1014" s="30" t="inlineStr">
        <is>
          <t>2017</t>
        </is>
      </c>
      <c r="G1014" s="40" t="n">
        <v>769.92</v>
      </c>
    </row>
    <row r="1015" ht="12" customHeight="1">
      <c r="A1015" s="30" t="inlineStr">
        <is>
          <t>ARE</t>
        </is>
      </c>
      <c r="B1015" s="30" t="inlineStr">
        <is>
          <t>Areal</t>
        </is>
      </c>
      <c r="C1015" s="30" t="n">
        <v>78676850</v>
      </c>
      <c r="D1015" s="30">
        <f>"09296295000321"</f>
        <v/>
      </c>
      <c r="E1015" s="30" t="inlineStr">
        <is>
          <t>AZUL LINHAS AEREAS BRASILEIRAS S A</t>
        </is>
      </c>
      <c r="F1015" s="30" t="inlineStr">
        <is>
          <t>2018</t>
        </is>
      </c>
      <c r="G1015" s="40" t="n">
        <v>213.7</v>
      </c>
    </row>
    <row r="1016" ht="12" customHeight="1">
      <c r="A1016" s="30" t="inlineStr">
        <is>
          <t>ARE</t>
        </is>
      </c>
      <c r="B1016" s="30" t="inlineStr">
        <is>
          <t>Areal</t>
        </is>
      </c>
      <c r="C1016" s="30" t="n">
        <v>78676850</v>
      </c>
      <c r="D1016" s="30">
        <f>"09296295000321"</f>
        <v/>
      </c>
      <c r="E1016" s="30" t="inlineStr">
        <is>
          <t>AZUL LINHAS AEREAS BRASILEIRAS S A</t>
        </is>
      </c>
      <c r="F1016" s="30" t="inlineStr">
        <is>
          <t>2019</t>
        </is>
      </c>
      <c r="G1016" s="40" t="n">
        <v>0</v>
      </c>
    </row>
    <row r="1017" ht="12" customHeight="1">
      <c r="A1017" s="30" t="inlineStr">
        <is>
          <t>ARE</t>
        </is>
      </c>
      <c r="B1017" s="30" t="inlineStr">
        <is>
          <t>Areal</t>
        </is>
      </c>
      <c r="C1017" s="30" t="n">
        <v>78676850</v>
      </c>
      <c r="D1017" s="30">
        <f>"09296295000321"</f>
        <v/>
      </c>
      <c r="E1017" s="30" t="inlineStr">
        <is>
          <t>AZUL LINHAS AEREAS BRASILEIRAS S A</t>
        </is>
      </c>
      <c r="F1017" s="30" t="inlineStr">
        <is>
          <t>2020</t>
        </is>
      </c>
      <c r="G1017" s="40" t="n">
        <v>0</v>
      </c>
    </row>
    <row r="1018" ht="12" customHeight="1">
      <c r="A1018" s="30" t="inlineStr">
        <is>
          <t>ARE</t>
        </is>
      </c>
      <c r="B1018" s="30" t="inlineStr">
        <is>
          <t>Areal</t>
        </is>
      </c>
      <c r="C1018" s="30" t="n">
        <v>78707925</v>
      </c>
      <c r="D1018" s="30">
        <f>"10691700000123"</f>
        <v/>
      </c>
      <c r="E1018" s="30" t="inlineStr">
        <is>
          <t>VAREJAO CORREA LTDA ME</t>
        </is>
      </c>
      <c r="F1018" s="30" t="inlineStr">
        <is>
          <t>2017</t>
        </is>
      </c>
      <c r="G1018" s="40" t="n">
        <v>7980</v>
      </c>
    </row>
    <row r="1019" ht="12" customHeight="1">
      <c r="A1019" s="30" t="inlineStr">
        <is>
          <t>ARE</t>
        </is>
      </c>
      <c r="B1019" s="30" t="inlineStr">
        <is>
          <t>Areal</t>
        </is>
      </c>
      <c r="C1019" s="30" t="n">
        <v>78707925</v>
      </c>
      <c r="D1019" s="30">
        <f>"10691700000123"</f>
        <v/>
      </c>
      <c r="E1019" s="30" t="inlineStr">
        <is>
          <t>VAREJAO CORREA LTDA ME</t>
        </is>
      </c>
      <c r="F1019" s="30" t="inlineStr">
        <is>
          <t>2018</t>
        </is>
      </c>
      <c r="G1019" s="40" t="n">
        <v>4560</v>
      </c>
    </row>
    <row r="1020" ht="12" customHeight="1">
      <c r="A1020" s="30" t="inlineStr">
        <is>
          <t>ARE</t>
        </is>
      </c>
      <c r="B1020" s="30" t="inlineStr">
        <is>
          <t>Areal</t>
        </is>
      </c>
      <c r="C1020" s="30" t="n">
        <v>78707925</v>
      </c>
      <c r="D1020" s="30">
        <f>"10691700000123"</f>
        <v/>
      </c>
      <c r="E1020" s="30" t="inlineStr">
        <is>
          <t>VAREJAO CORREA LTDA ME</t>
        </is>
      </c>
      <c r="F1020" s="30" t="inlineStr">
        <is>
          <t>2019</t>
        </is>
      </c>
      <c r="G1020" s="40" t="n">
        <v>0</v>
      </c>
    </row>
    <row r="1021" ht="12" customHeight="1">
      <c r="A1021" s="30" t="inlineStr">
        <is>
          <t>ARE</t>
        </is>
      </c>
      <c r="B1021" s="30" t="inlineStr">
        <is>
          <t>Areal</t>
        </is>
      </c>
      <c r="C1021" s="30" t="n">
        <v>78707925</v>
      </c>
      <c r="D1021" s="30">
        <f>"10691700000123"</f>
        <v/>
      </c>
      <c r="E1021" s="30" t="inlineStr">
        <is>
          <t>VAREJAO CORREA LTDA ME</t>
        </is>
      </c>
      <c r="F1021" s="30" t="inlineStr">
        <is>
          <t>2020</t>
        </is>
      </c>
      <c r="G1021" s="40" t="n">
        <v>0</v>
      </c>
    </row>
    <row r="1022" ht="12" customHeight="1">
      <c r="A1022" s="30" t="inlineStr">
        <is>
          <t>ARE</t>
        </is>
      </c>
      <c r="B1022" s="30" t="inlineStr">
        <is>
          <t>Areal</t>
        </is>
      </c>
      <c r="C1022" s="30" t="n">
        <v>78707925</v>
      </c>
      <c r="D1022" s="30">
        <f>"10691700000123"</f>
        <v/>
      </c>
      <c r="E1022" s="30" t="inlineStr">
        <is>
          <t>VAREJAO CORREA LTDA ME</t>
        </is>
      </c>
      <c r="F1022" s="30" t="inlineStr">
        <is>
          <t>2021</t>
        </is>
      </c>
      <c r="G1022" s="40" t="n">
        <v>0</v>
      </c>
    </row>
    <row r="1023" ht="12" customHeight="1">
      <c r="A1023" s="30" t="inlineStr">
        <is>
          <t>ARE</t>
        </is>
      </c>
      <c r="B1023" s="30" t="inlineStr">
        <is>
          <t>Areal</t>
        </is>
      </c>
      <c r="C1023" s="30" t="n">
        <v>78707925</v>
      </c>
      <c r="D1023" s="30">
        <f>"10691700000123"</f>
        <v/>
      </c>
      <c r="E1023" s="30" t="inlineStr">
        <is>
          <t>VAREJAO CORREA LTDA ME</t>
        </is>
      </c>
      <c r="F1023" s="30" t="inlineStr">
        <is>
          <t>2022</t>
        </is>
      </c>
      <c r="G1023" s="40" t="n">
        <v>0</v>
      </c>
    </row>
    <row r="1024" ht="12" customHeight="1">
      <c r="A1024" s="30" t="inlineStr">
        <is>
          <t>ARE</t>
        </is>
      </c>
      <c r="B1024" s="30" t="inlineStr">
        <is>
          <t>Areal</t>
        </is>
      </c>
      <c r="C1024" s="30" t="n">
        <v>78707925</v>
      </c>
      <c r="D1024" s="30">
        <f>"10691700000123"</f>
        <v/>
      </c>
      <c r="E1024" s="30" t="inlineStr">
        <is>
          <t>VAREJAO CORREA LTDA ME</t>
        </is>
      </c>
      <c r="F1024" s="30" t="inlineStr">
        <is>
          <t>2023</t>
        </is>
      </c>
      <c r="G1024" s="40" t="n">
        <v>0</v>
      </c>
    </row>
    <row r="1025" ht="12" customHeight="1">
      <c r="A1025" s="30" t="inlineStr">
        <is>
          <t>ARE</t>
        </is>
      </c>
      <c r="B1025" s="30" t="inlineStr">
        <is>
          <t>Areal</t>
        </is>
      </c>
      <c r="C1025" s="30" t="n">
        <v>78726113</v>
      </c>
      <c r="D1025" s="30">
        <f>"09245894000154"</f>
        <v/>
      </c>
      <c r="E1025" s="30" t="inlineStr">
        <is>
          <t>AREAL ALIMENTOS SEM GLUTEN INDUSTRIA COMERCIO SERVICOS IMPORTACA</t>
        </is>
      </c>
      <c r="F1025" s="30" t="inlineStr">
        <is>
          <t>2017</t>
        </is>
      </c>
      <c r="G1025" s="40" t="n">
        <v>2305047.04</v>
      </c>
    </row>
    <row r="1026" ht="12" customHeight="1">
      <c r="A1026" s="30" t="inlineStr">
        <is>
          <t>ARE</t>
        </is>
      </c>
      <c r="B1026" s="30" t="inlineStr">
        <is>
          <t>Areal</t>
        </is>
      </c>
      <c r="C1026" s="30" t="n">
        <v>78726113</v>
      </c>
      <c r="D1026" s="30">
        <f>"09245894000154"</f>
        <v/>
      </c>
      <c r="E1026" s="30" t="inlineStr">
        <is>
          <t>AREAL ALIMENTOS SEM GLUTEN INDUSTRIA COMERCIO SERVICOS IMPORTACA</t>
        </is>
      </c>
      <c r="F1026" s="30" t="inlineStr">
        <is>
          <t>2018</t>
        </is>
      </c>
      <c r="G1026" s="40" t="n">
        <v>1847064.72</v>
      </c>
    </row>
    <row r="1027" ht="12" customHeight="1">
      <c r="A1027" s="30" t="inlineStr">
        <is>
          <t>ARE</t>
        </is>
      </c>
      <c r="B1027" s="30" t="inlineStr">
        <is>
          <t>Areal</t>
        </is>
      </c>
      <c r="C1027" s="30" t="n">
        <v>78726113</v>
      </c>
      <c r="D1027" s="30">
        <f>"09245894000154"</f>
        <v/>
      </c>
      <c r="E1027" s="30" t="inlineStr">
        <is>
          <t>AREAL ALIMENTOS SEM GLUTEN INDUSTRIA COMERCIO SERVICOS IMPORTACA</t>
        </is>
      </c>
      <c r="F1027" s="30" t="inlineStr">
        <is>
          <t>2019</t>
        </is>
      </c>
      <c r="G1027" s="40" t="n">
        <v>624351.91</v>
      </c>
    </row>
    <row r="1028" ht="12" customHeight="1">
      <c r="A1028" s="30" t="inlineStr">
        <is>
          <t>ARE</t>
        </is>
      </c>
      <c r="B1028" s="30" t="inlineStr">
        <is>
          <t>Areal</t>
        </is>
      </c>
      <c r="C1028" s="30" t="n">
        <v>78726113</v>
      </c>
      <c r="D1028" s="30">
        <f>"09245894000154"</f>
        <v/>
      </c>
      <c r="E1028" s="30" t="inlineStr">
        <is>
          <t>AREAL ALIMENTOS SEM GLUTEN INDUSTRIA COMERCIO SERVICOS IMPORTACA</t>
        </is>
      </c>
      <c r="F1028" s="30" t="inlineStr">
        <is>
          <t>2020</t>
        </is>
      </c>
      <c r="G1028" s="40" t="n">
        <v>572409.33</v>
      </c>
    </row>
    <row r="1029" ht="12" customHeight="1">
      <c r="A1029" s="30" t="inlineStr">
        <is>
          <t>ARE</t>
        </is>
      </c>
      <c r="B1029" s="30" t="inlineStr">
        <is>
          <t>Areal</t>
        </is>
      </c>
      <c r="C1029" s="30" t="n">
        <v>78726113</v>
      </c>
      <c r="D1029" s="30">
        <f>"09245894000154"</f>
        <v/>
      </c>
      <c r="E1029" s="30" t="inlineStr">
        <is>
          <t>AREAL ALIMENTOS SEM GLUTEN INDUSTRIA COMERCIO SERVICOS IMPORTACA</t>
        </is>
      </c>
      <c r="F1029" s="30" t="inlineStr">
        <is>
          <t>2021</t>
        </is>
      </c>
      <c r="G1029" s="40" t="n">
        <v>0</v>
      </c>
    </row>
    <row r="1030" ht="12" customHeight="1">
      <c r="A1030" s="30" t="inlineStr">
        <is>
          <t>ARE</t>
        </is>
      </c>
      <c r="B1030" s="30" t="inlineStr">
        <is>
          <t>Areal</t>
        </is>
      </c>
      <c r="C1030" s="30" t="n">
        <v>78726113</v>
      </c>
      <c r="D1030" s="30">
        <f>"09245894000154"</f>
        <v/>
      </c>
      <c r="E1030" s="30" t="inlineStr">
        <is>
          <t>AREAL ALIMENTOS SEM GLUTEN INDUSTRIA COMERCIO SERVICOS IMPORTACA</t>
        </is>
      </c>
      <c r="F1030" s="30" t="inlineStr">
        <is>
          <t>2022</t>
        </is>
      </c>
      <c r="G1030" s="40" t="n">
        <v>0</v>
      </c>
    </row>
    <row r="1031" ht="12" customHeight="1">
      <c r="A1031" s="30" t="inlineStr">
        <is>
          <t>ARE</t>
        </is>
      </c>
      <c r="B1031" s="30" t="inlineStr">
        <is>
          <t>Areal</t>
        </is>
      </c>
      <c r="C1031" s="30" t="n">
        <v>78726113</v>
      </c>
      <c r="D1031" s="30">
        <f>"09245894000154"</f>
        <v/>
      </c>
      <c r="E1031" s="30" t="inlineStr">
        <is>
          <t>AREAL ALIMENTOS SEM GLUTEN INDUSTRIA COMERCIO SERVICOS IMPORTACA</t>
        </is>
      </c>
      <c r="F1031" s="30" t="inlineStr">
        <is>
          <t>2023</t>
        </is>
      </c>
      <c r="G1031" s="40" t="n">
        <v>0</v>
      </c>
    </row>
    <row r="1032" ht="12" customHeight="1">
      <c r="A1032" s="30" t="inlineStr">
        <is>
          <t>ARE</t>
        </is>
      </c>
      <c r="B1032" s="30" t="inlineStr">
        <is>
          <t>Areal</t>
        </is>
      </c>
      <c r="C1032" s="30" t="n">
        <v>78731451</v>
      </c>
      <c r="D1032" s="30">
        <f>"07360468000217"</f>
        <v/>
      </c>
      <c r="E1032" s="30" t="inlineStr">
        <is>
          <t>MTR LOGISTICA LTDA</t>
        </is>
      </c>
      <c r="F1032" s="30" t="inlineStr">
        <is>
          <t>2017</t>
        </is>
      </c>
      <c r="G1032" s="40" t="n">
        <v>237.25</v>
      </c>
    </row>
    <row r="1033" ht="12" customHeight="1">
      <c r="A1033" s="30" t="inlineStr">
        <is>
          <t>ARE</t>
        </is>
      </c>
      <c r="B1033" s="30" t="inlineStr">
        <is>
          <t>Areal</t>
        </is>
      </c>
      <c r="C1033" s="30" t="n">
        <v>78731451</v>
      </c>
      <c r="D1033" s="30">
        <f>"07360468000217"</f>
        <v/>
      </c>
      <c r="E1033" s="30" t="inlineStr">
        <is>
          <t>MTR LOGISTICA LTDA</t>
        </is>
      </c>
      <c r="F1033" s="30" t="inlineStr">
        <is>
          <t>2018</t>
        </is>
      </c>
      <c r="G1033" s="40" t="n">
        <v>0</v>
      </c>
    </row>
    <row r="1034" ht="12" customHeight="1">
      <c r="A1034" s="30" t="inlineStr">
        <is>
          <t>ARE</t>
        </is>
      </c>
      <c r="B1034" s="30" t="inlineStr">
        <is>
          <t>Areal</t>
        </is>
      </c>
      <c r="C1034" s="30" t="n">
        <v>78731451</v>
      </c>
      <c r="D1034" s="30">
        <f>"07360468000217"</f>
        <v/>
      </c>
      <c r="E1034" s="30" t="inlineStr">
        <is>
          <t>MTR LOGISTICA LTDA</t>
        </is>
      </c>
      <c r="F1034" s="30" t="inlineStr">
        <is>
          <t>2019</t>
        </is>
      </c>
      <c r="G1034" s="40" t="n">
        <v>0</v>
      </c>
    </row>
    <row r="1035" ht="12" customHeight="1">
      <c r="A1035" s="30" t="inlineStr">
        <is>
          <t>ARE</t>
        </is>
      </c>
      <c r="B1035" s="30" t="inlineStr">
        <is>
          <t>Areal</t>
        </is>
      </c>
      <c r="C1035" s="30" t="n">
        <v>78776323</v>
      </c>
      <c r="D1035" s="30">
        <f>"03098929000436"</f>
        <v/>
      </c>
      <c r="E1035" s="30" t="inlineStr">
        <is>
          <t>SETE LAGOAS TRANSPORTES LTDA ME</t>
        </is>
      </c>
      <c r="F1035" s="30" t="inlineStr">
        <is>
          <t>2018</t>
        </is>
      </c>
      <c r="G1035" s="40" t="n">
        <v>0</v>
      </c>
    </row>
    <row r="1036" ht="12" customHeight="1">
      <c r="A1036" s="30" t="inlineStr">
        <is>
          <t>ARE</t>
        </is>
      </c>
      <c r="B1036" s="30" t="inlineStr">
        <is>
          <t>Areal</t>
        </is>
      </c>
      <c r="C1036" s="30" t="n">
        <v>78776323</v>
      </c>
      <c r="D1036" s="30">
        <f>"03098929000436"</f>
        <v/>
      </c>
      <c r="E1036" s="30" t="inlineStr">
        <is>
          <t>SETE LAGOAS TRANSPORTES LTDA ME</t>
        </is>
      </c>
      <c r="F1036" s="30" t="inlineStr">
        <is>
          <t>2019</t>
        </is>
      </c>
      <c r="G1036" s="40" t="n">
        <v>0</v>
      </c>
    </row>
    <row r="1037" ht="12" customHeight="1">
      <c r="A1037" s="30" t="inlineStr">
        <is>
          <t>ARE</t>
        </is>
      </c>
      <c r="B1037" s="30" t="inlineStr">
        <is>
          <t>Areal</t>
        </is>
      </c>
      <c r="C1037" s="30" t="n">
        <v>78776323</v>
      </c>
      <c r="D1037" s="30">
        <f>"03098929000436"</f>
        <v/>
      </c>
      <c r="E1037" s="30" t="inlineStr">
        <is>
          <t>SETE LAGOAS TRANSPORTES LTDA ME</t>
        </is>
      </c>
      <c r="F1037" s="30" t="inlineStr">
        <is>
          <t>2020</t>
        </is>
      </c>
      <c r="G1037" s="40" t="n">
        <v>570</v>
      </c>
    </row>
    <row r="1038" ht="12" customHeight="1">
      <c r="A1038" s="30" t="inlineStr">
        <is>
          <t>ARE</t>
        </is>
      </c>
      <c r="B1038" s="30" t="inlineStr">
        <is>
          <t>Areal</t>
        </is>
      </c>
      <c r="C1038" s="30" t="n">
        <v>78776323</v>
      </c>
      <c r="D1038" s="30">
        <f>"03098929000436"</f>
        <v/>
      </c>
      <c r="E1038" s="30" t="inlineStr">
        <is>
          <t>SETE LAGOAS TRANSPORTES LTDA ME</t>
        </is>
      </c>
      <c r="F1038" s="30" t="inlineStr">
        <is>
          <t>2021</t>
        </is>
      </c>
      <c r="G1038" s="40" t="n">
        <v>98.72</v>
      </c>
    </row>
    <row r="1039" ht="12" customHeight="1">
      <c r="A1039" s="30" t="inlineStr">
        <is>
          <t>ARE</t>
        </is>
      </c>
      <c r="B1039" s="30" t="inlineStr">
        <is>
          <t>Areal</t>
        </is>
      </c>
      <c r="C1039" s="30" t="n">
        <v>78776323</v>
      </c>
      <c r="D1039" s="30">
        <f>"03098929000436"</f>
        <v/>
      </c>
      <c r="E1039" s="30" t="inlineStr">
        <is>
          <t>SETE LAGOAS TRANSPORTES LTDA ME</t>
        </is>
      </c>
      <c r="F1039" s="30" t="inlineStr">
        <is>
          <t>2022</t>
        </is>
      </c>
      <c r="G1039" s="40" t="n">
        <v>320.34</v>
      </c>
    </row>
    <row r="1040" ht="12" customHeight="1">
      <c r="A1040" s="30" t="inlineStr">
        <is>
          <t>ARE</t>
        </is>
      </c>
      <c r="B1040" s="30" t="inlineStr">
        <is>
          <t>Areal</t>
        </is>
      </c>
      <c r="C1040" s="30" t="n">
        <v>78776323</v>
      </c>
      <c r="D1040" s="30">
        <f>"03098929000436"</f>
        <v/>
      </c>
      <c r="E1040" s="30" t="inlineStr">
        <is>
          <t>SETE LAGOAS TRANSPORTES LTDA ME</t>
        </is>
      </c>
      <c r="F1040" s="30" t="inlineStr">
        <is>
          <t>2023</t>
        </is>
      </c>
      <c r="G1040" s="40" t="n">
        <v>329.11</v>
      </c>
    </row>
    <row r="1041" ht="12" customHeight="1">
      <c r="A1041" s="30" t="inlineStr">
        <is>
          <t>ARE</t>
        </is>
      </c>
      <c r="B1041" s="30" t="inlineStr">
        <is>
          <t>Areal</t>
        </is>
      </c>
      <c r="C1041" s="30" t="n">
        <v>78808217</v>
      </c>
      <c r="D1041" s="30">
        <f>"00824808000193"</f>
        <v/>
      </c>
      <c r="E1041" s="30" t="inlineStr">
        <is>
          <t>A S VIEIRA MOVEIS ME</t>
        </is>
      </c>
      <c r="F1041" s="30" t="inlineStr">
        <is>
          <t>2021</t>
        </is>
      </c>
      <c r="G1041" s="40" t="n">
        <v>0</v>
      </c>
    </row>
    <row r="1042" ht="12" customHeight="1">
      <c r="A1042" s="30" t="inlineStr">
        <is>
          <t>ARE</t>
        </is>
      </c>
      <c r="B1042" s="30" t="inlineStr">
        <is>
          <t>Areal</t>
        </is>
      </c>
      <c r="C1042" s="30" t="n">
        <v>78808217</v>
      </c>
      <c r="D1042" s="30">
        <f>"00824808000193"</f>
        <v/>
      </c>
      <c r="E1042" s="30" t="inlineStr">
        <is>
          <t>A S VIEIRA MOVEIS ME</t>
        </is>
      </c>
      <c r="F1042" s="30" t="inlineStr">
        <is>
          <t>2022</t>
        </is>
      </c>
      <c r="G1042" s="40" t="n">
        <v>0</v>
      </c>
    </row>
    <row r="1043" ht="12" customHeight="1">
      <c r="A1043" s="30" t="inlineStr">
        <is>
          <t>ARE</t>
        </is>
      </c>
      <c r="B1043" s="30" t="inlineStr">
        <is>
          <t>Areal</t>
        </is>
      </c>
      <c r="C1043" s="30" t="n">
        <v>78808217</v>
      </c>
      <c r="D1043" s="30">
        <f>"00824808000193"</f>
        <v/>
      </c>
      <c r="E1043" s="30" t="inlineStr">
        <is>
          <t>A S VIEIRA MOVEIS ME</t>
        </is>
      </c>
      <c r="F1043" s="30" t="inlineStr">
        <is>
          <t>2023</t>
        </is>
      </c>
      <c r="G1043" s="40" t="n">
        <v>0</v>
      </c>
    </row>
    <row r="1044" ht="12" customHeight="1">
      <c r="A1044" s="30" t="inlineStr">
        <is>
          <t>ARE</t>
        </is>
      </c>
      <c r="B1044" s="30" t="inlineStr">
        <is>
          <t>Areal</t>
        </is>
      </c>
      <c r="C1044" s="30" t="n">
        <v>78845988</v>
      </c>
      <c r="D1044" s="30">
        <f>"48740351010390"</f>
        <v/>
      </c>
      <c r="E1044" s="30" t="inlineStr">
        <is>
          <t>BRASPRESS TRANSPORTES URGENTES LTDA</t>
        </is>
      </c>
      <c r="F1044" s="30" t="inlineStr">
        <is>
          <t>2017</t>
        </is>
      </c>
      <c r="G1044" s="40" t="n">
        <v>225.32</v>
      </c>
    </row>
    <row r="1045" ht="12" customHeight="1">
      <c r="A1045" s="30" t="inlineStr">
        <is>
          <t>ARE</t>
        </is>
      </c>
      <c r="B1045" s="30" t="inlineStr">
        <is>
          <t>Areal</t>
        </is>
      </c>
      <c r="C1045" s="30" t="n">
        <v>78845988</v>
      </c>
      <c r="D1045" s="30">
        <f>"48740351010390"</f>
        <v/>
      </c>
      <c r="E1045" s="30" t="inlineStr">
        <is>
          <t>BRASPRESS TRANSPORTES URGENTES LTDA</t>
        </is>
      </c>
      <c r="F1045" s="30" t="inlineStr">
        <is>
          <t>2018</t>
        </is>
      </c>
      <c r="G1045" s="40" t="n">
        <v>0</v>
      </c>
    </row>
    <row r="1046" ht="12" customHeight="1">
      <c r="A1046" s="30" t="inlineStr">
        <is>
          <t>ARE</t>
        </is>
      </c>
      <c r="B1046" s="30" t="inlineStr">
        <is>
          <t>Areal</t>
        </is>
      </c>
      <c r="C1046" s="30" t="n">
        <v>78845988</v>
      </c>
      <c r="D1046" s="30">
        <f>"48740351010390"</f>
        <v/>
      </c>
      <c r="E1046" s="30" t="inlineStr">
        <is>
          <t>BRASPRESS TRANSPORTES URGENTES LTDA</t>
        </is>
      </c>
      <c r="F1046" s="30" t="inlineStr">
        <is>
          <t>2019</t>
        </is>
      </c>
      <c r="G1046" s="40" t="n">
        <v>0</v>
      </c>
    </row>
    <row r="1047" ht="12" customHeight="1">
      <c r="A1047" s="30" t="inlineStr">
        <is>
          <t>ARE</t>
        </is>
      </c>
      <c r="B1047" s="30" t="inlineStr">
        <is>
          <t>Areal</t>
        </is>
      </c>
      <c r="C1047" s="30" t="n">
        <v>78847980</v>
      </c>
      <c r="D1047" s="30">
        <f>"11038325000260"</f>
        <v/>
      </c>
      <c r="E1047" s="30" t="inlineStr">
        <is>
          <t>ADVANCED NUTRITION IND COM DE ALIMENTOS E COSMETICOS LTDA</t>
        </is>
      </c>
      <c r="F1047" s="30" t="inlineStr">
        <is>
          <t>2017</t>
        </is>
      </c>
      <c r="G1047" s="40" t="n">
        <v>8919226.300000001</v>
      </c>
    </row>
    <row r="1048" ht="12" customHeight="1">
      <c r="A1048" s="30" t="inlineStr">
        <is>
          <t>ARE</t>
        </is>
      </c>
      <c r="B1048" s="30" t="inlineStr">
        <is>
          <t>Areal</t>
        </is>
      </c>
      <c r="C1048" s="30" t="n">
        <v>78847980</v>
      </c>
      <c r="D1048" s="30">
        <f>"11038325000260"</f>
        <v/>
      </c>
      <c r="E1048" s="30" t="inlineStr">
        <is>
          <t>ADVANCED NUTRITION IND COM DE ALIMENTOS E COSMETICOS LTDA</t>
        </is>
      </c>
      <c r="F1048" s="30" t="inlineStr">
        <is>
          <t>2018</t>
        </is>
      </c>
      <c r="G1048" s="40" t="n">
        <v>7392163.67</v>
      </c>
    </row>
    <row r="1049" ht="12" customHeight="1">
      <c r="A1049" s="30" t="inlineStr">
        <is>
          <t>ARE</t>
        </is>
      </c>
      <c r="B1049" s="30" t="inlineStr">
        <is>
          <t>Areal</t>
        </is>
      </c>
      <c r="C1049" s="30" t="n">
        <v>78847980</v>
      </c>
      <c r="D1049" s="30">
        <f>"11038325000260"</f>
        <v/>
      </c>
      <c r="E1049" s="30" t="inlineStr">
        <is>
          <t>ADVANCED NUTRITION IND COM DE ALIMENTOS E COSMETICOS LTDA</t>
        </is>
      </c>
      <c r="F1049" s="30" t="inlineStr">
        <is>
          <t>2019</t>
        </is>
      </c>
      <c r="G1049" s="40" t="n">
        <v>7007392.01</v>
      </c>
    </row>
    <row r="1050" ht="12" customHeight="1">
      <c r="A1050" s="30" t="inlineStr">
        <is>
          <t>ARE</t>
        </is>
      </c>
      <c r="B1050" s="30" t="inlineStr">
        <is>
          <t>Areal</t>
        </is>
      </c>
      <c r="C1050" s="30" t="n">
        <v>78847980</v>
      </c>
      <c r="D1050" s="30">
        <f>"11038325000260"</f>
        <v/>
      </c>
      <c r="E1050" s="30" t="inlineStr">
        <is>
          <t>ADVANCED NUTRITION IND COM DE ALIMENTOS E COSMETICOS LTDA</t>
        </is>
      </c>
      <c r="F1050" s="30" t="inlineStr">
        <is>
          <t>2020</t>
        </is>
      </c>
      <c r="G1050" s="40" t="n">
        <v>5541242.76</v>
      </c>
    </row>
    <row r="1051" ht="12" customHeight="1">
      <c r="A1051" s="30" t="inlineStr">
        <is>
          <t>ARE</t>
        </is>
      </c>
      <c r="B1051" s="30" t="inlineStr">
        <is>
          <t>Areal</t>
        </is>
      </c>
      <c r="C1051" s="30" t="n">
        <v>78847980</v>
      </c>
      <c r="D1051" s="30">
        <f>"11038325000260"</f>
        <v/>
      </c>
      <c r="E1051" s="30" t="inlineStr">
        <is>
          <t>ADVANCED NUTRITION IND COM DE ALIMENTOS E COSMETICOS LTDA</t>
        </is>
      </c>
      <c r="F1051" s="30" t="inlineStr">
        <is>
          <t>2021</t>
        </is>
      </c>
      <c r="G1051" s="40" t="n">
        <v>4833330.28</v>
      </c>
    </row>
    <row r="1052" ht="12" customHeight="1">
      <c r="A1052" s="30" t="inlineStr">
        <is>
          <t>ARE</t>
        </is>
      </c>
      <c r="B1052" s="30" t="inlineStr">
        <is>
          <t>Areal</t>
        </is>
      </c>
      <c r="C1052" s="30" t="n">
        <v>78847980</v>
      </c>
      <c r="D1052" s="30">
        <f>"11038325000260"</f>
        <v/>
      </c>
      <c r="E1052" s="30" t="inlineStr">
        <is>
          <t>ADVANCED NUTRITION IND COM DE ALIMENTOS E COSMETICOS LTDA</t>
        </is>
      </c>
      <c r="F1052" s="30" t="inlineStr">
        <is>
          <t>2022</t>
        </is>
      </c>
      <c r="G1052" s="40" t="n">
        <v>3279920.91</v>
      </c>
    </row>
    <row r="1053" ht="12" customHeight="1">
      <c r="A1053" s="30" t="inlineStr">
        <is>
          <t>ARE</t>
        </is>
      </c>
      <c r="B1053" s="30" t="inlineStr">
        <is>
          <t>Areal</t>
        </is>
      </c>
      <c r="C1053" s="30" t="n">
        <v>78847980</v>
      </c>
      <c r="D1053" s="30">
        <f>"11038325000260"</f>
        <v/>
      </c>
      <c r="E1053" s="30" t="inlineStr">
        <is>
          <t>ADVANCED NUTRITION IND COM DE ALIMENTOS E COSMETICOS LTDA</t>
        </is>
      </c>
      <c r="F1053" s="30" t="inlineStr">
        <is>
          <t>2023</t>
        </is>
      </c>
      <c r="G1053" s="40" t="n">
        <v>4864768.93</v>
      </c>
    </row>
    <row r="1054" ht="12" customHeight="1">
      <c r="A1054" s="30" t="inlineStr">
        <is>
          <t>ARE</t>
        </is>
      </c>
      <c r="B1054" s="30" t="inlineStr">
        <is>
          <t>Areal</t>
        </is>
      </c>
      <c r="C1054" s="30" t="n">
        <v>78922206</v>
      </c>
      <c r="D1054" s="30">
        <f>"11243817000107"</f>
        <v/>
      </c>
      <c r="E1054" s="30" t="inlineStr">
        <is>
          <t>CEDRO LOCADORA E TRANSPORTADORA LTDA ME</t>
        </is>
      </c>
      <c r="F1054" s="30" t="inlineStr">
        <is>
          <t>2017</t>
        </is>
      </c>
      <c r="G1054" s="40" t="n">
        <v>0</v>
      </c>
    </row>
    <row r="1055" ht="12" customHeight="1">
      <c r="A1055" s="30" t="inlineStr">
        <is>
          <t>ARE</t>
        </is>
      </c>
      <c r="B1055" s="30" t="inlineStr">
        <is>
          <t>Areal</t>
        </is>
      </c>
      <c r="C1055" s="30" t="n">
        <v>78922206</v>
      </c>
      <c r="D1055" s="30">
        <f>"11243817000107"</f>
        <v/>
      </c>
      <c r="E1055" s="30" t="inlineStr">
        <is>
          <t>CEDRO LOCADORA E TRANSPORTADORA LTDA ME</t>
        </is>
      </c>
      <c r="F1055" s="30" t="inlineStr">
        <is>
          <t>2018</t>
        </is>
      </c>
      <c r="G1055" s="40" t="n">
        <v>24000</v>
      </c>
    </row>
    <row r="1056" ht="12" customHeight="1">
      <c r="A1056" s="30" t="inlineStr">
        <is>
          <t>ARE</t>
        </is>
      </c>
      <c r="B1056" s="30" t="inlineStr">
        <is>
          <t>Areal</t>
        </is>
      </c>
      <c r="C1056" s="30" t="n">
        <v>78922206</v>
      </c>
      <c r="D1056" s="30">
        <f>"11243817000107"</f>
        <v/>
      </c>
      <c r="E1056" s="30" t="inlineStr">
        <is>
          <t>CEDRO LOCADORA E TRANSPORTADORA LTDA ME</t>
        </is>
      </c>
      <c r="F1056" s="30" t="inlineStr">
        <is>
          <t>2019</t>
        </is>
      </c>
      <c r="G1056" s="40" t="n">
        <v>0</v>
      </c>
    </row>
    <row r="1057" ht="12" customHeight="1">
      <c r="A1057" s="30" t="inlineStr">
        <is>
          <t>ARE</t>
        </is>
      </c>
      <c r="B1057" s="30" t="inlineStr">
        <is>
          <t>Areal</t>
        </is>
      </c>
      <c r="C1057" s="30" t="n">
        <v>78922206</v>
      </c>
      <c r="D1057" s="30">
        <f>"11243817000107"</f>
        <v/>
      </c>
      <c r="E1057" s="30" t="inlineStr">
        <is>
          <t>CEDRO LOCADORA E TRANSPORTADORA LTDA ME</t>
        </is>
      </c>
      <c r="F1057" s="30" t="inlineStr">
        <is>
          <t>2020</t>
        </is>
      </c>
      <c r="G1057" s="40" t="n">
        <v>12400</v>
      </c>
    </row>
    <row r="1058" ht="12" customHeight="1">
      <c r="A1058" s="30" t="inlineStr">
        <is>
          <t>ARE</t>
        </is>
      </c>
      <c r="B1058" s="30" t="inlineStr">
        <is>
          <t>Areal</t>
        </is>
      </c>
      <c r="C1058" s="30" t="n">
        <v>78922206</v>
      </c>
      <c r="D1058" s="30">
        <f>"11243817000107"</f>
        <v/>
      </c>
      <c r="E1058" s="30" t="inlineStr">
        <is>
          <t>CEDRO LOCADORA E TRANSPORTADORA LTDA ME</t>
        </is>
      </c>
      <c r="F1058" s="30" t="inlineStr">
        <is>
          <t>2021</t>
        </is>
      </c>
      <c r="G1058" s="40" t="n">
        <v>19100</v>
      </c>
    </row>
    <row r="1059" ht="12" customHeight="1">
      <c r="A1059" s="30" t="inlineStr">
        <is>
          <t>ARE</t>
        </is>
      </c>
      <c r="B1059" s="30" t="inlineStr">
        <is>
          <t>Areal</t>
        </is>
      </c>
      <c r="C1059" s="30" t="n">
        <v>78922206</v>
      </c>
      <c r="D1059" s="30">
        <f>"11243817000107"</f>
        <v/>
      </c>
      <c r="E1059" s="30" t="inlineStr">
        <is>
          <t>CEDRO LOCADORA E TRANSPORTADORA LTDA ME</t>
        </is>
      </c>
      <c r="F1059" s="30" t="inlineStr">
        <is>
          <t>2022</t>
        </is>
      </c>
      <c r="G1059" s="40" t="n">
        <v>26600</v>
      </c>
    </row>
    <row r="1060" ht="12" customHeight="1">
      <c r="A1060" s="30" t="inlineStr">
        <is>
          <t>ARE</t>
        </is>
      </c>
      <c r="B1060" s="30" t="inlineStr">
        <is>
          <t>Areal</t>
        </is>
      </c>
      <c r="C1060" s="30" t="n">
        <v>78922206</v>
      </c>
      <c r="D1060" s="30">
        <f>"11243817000107"</f>
        <v/>
      </c>
      <c r="E1060" s="30" t="inlineStr">
        <is>
          <t>CEDRO LOCADORA E TRANSPORTADORA LTDA ME</t>
        </is>
      </c>
      <c r="F1060" s="30" t="inlineStr">
        <is>
          <t>2023</t>
        </is>
      </c>
      <c r="G1060" s="40" t="n">
        <v>15600</v>
      </c>
    </row>
    <row r="1061" ht="12" customHeight="1">
      <c r="A1061" s="30" t="inlineStr">
        <is>
          <t>ARE</t>
        </is>
      </c>
      <c r="B1061" s="30" t="inlineStr">
        <is>
          <t>Areal</t>
        </is>
      </c>
      <c r="C1061" s="30" t="n">
        <v>78932953</v>
      </c>
      <c r="D1061" s="30">
        <f>"07303446000134"</f>
        <v/>
      </c>
      <c r="E1061" s="30" t="inlineStr">
        <is>
          <t>LOCADORA VAI BEM DE VEICULOS LTDA</t>
        </is>
      </c>
      <c r="F1061" s="30" t="inlineStr">
        <is>
          <t>2017</t>
        </is>
      </c>
      <c r="G1061" s="40" t="n">
        <v>0</v>
      </c>
    </row>
    <row r="1062" ht="12" customHeight="1">
      <c r="A1062" s="30" t="inlineStr">
        <is>
          <t>ARE</t>
        </is>
      </c>
      <c r="B1062" s="30" t="inlineStr">
        <is>
          <t>Areal</t>
        </is>
      </c>
      <c r="C1062" s="30" t="n">
        <v>78932953</v>
      </c>
      <c r="D1062" s="30">
        <f>"07303446000134"</f>
        <v/>
      </c>
      <c r="E1062" s="30" t="inlineStr">
        <is>
          <t>LOCADORA VAI BEM DE VEICULOS LTDA</t>
        </is>
      </c>
      <c r="F1062" s="30" t="inlineStr">
        <is>
          <t>2018</t>
        </is>
      </c>
      <c r="G1062" s="40" t="n">
        <v>0</v>
      </c>
    </row>
    <row r="1063" ht="12" customHeight="1">
      <c r="A1063" s="30" t="inlineStr">
        <is>
          <t>ARE</t>
        </is>
      </c>
      <c r="B1063" s="30" t="inlineStr">
        <is>
          <t>Areal</t>
        </is>
      </c>
      <c r="C1063" s="30" t="n">
        <v>78932953</v>
      </c>
      <c r="D1063" s="30">
        <f>"07303446000134"</f>
        <v/>
      </c>
      <c r="E1063" s="30" t="inlineStr">
        <is>
          <t>LOCADORA VAI BEM DE VEICULOS LTDA</t>
        </is>
      </c>
      <c r="F1063" s="30" t="inlineStr">
        <is>
          <t>2019</t>
        </is>
      </c>
      <c r="G1063" s="40" t="n">
        <v>0</v>
      </c>
    </row>
    <row r="1064" ht="12" customHeight="1">
      <c r="A1064" s="30" t="inlineStr">
        <is>
          <t>ARE</t>
        </is>
      </c>
      <c r="B1064" s="30" t="inlineStr">
        <is>
          <t>Areal</t>
        </is>
      </c>
      <c r="C1064" s="30" t="n">
        <v>78933844</v>
      </c>
      <c r="D1064" s="30">
        <f>"10687157000190"</f>
        <v/>
      </c>
      <c r="E1064" s="30" t="inlineStr">
        <is>
          <t>R MASTER SERVICOS EM CONSTRUCAO EIRELI ME</t>
        </is>
      </c>
      <c r="F1064" s="30" t="inlineStr">
        <is>
          <t>2020</t>
        </is>
      </c>
      <c r="G1064" s="40" t="n">
        <v>0</v>
      </c>
    </row>
    <row r="1065" ht="12" customHeight="1">
      <c r="A1065" s="30" t="inlineStr">
        <is>
          <t>ARE</t>
        </is>
      </c>
      <c r="B1065" s="30" t="inlineStr">
        <is>
          <t>Areal</t>
        </is>
      </c>
      <c r="C1065" s="30" t="n">
        <v>78933844</v>
      </c>
      <c r="D1065" s="30">
        <f>"10687157000190"</f>
        <v/>
      </c>
      <c r="E1065" s="30" t="inlineStr">
        <is>
          <t>R MASTER SERVICOS EM CONSTRUCAO EIRELI ME</t>
        </is>
      </c>
      <c r="F1065" s="30" t="inlineStr">
        <is>
          <t>2021</t>
        </is>
      </c>
      <c r="G1065" s="40" t="n">
        <v>0</v>
      </c>
    </row>
    <row r="1066" ht="12" customHeight="1">
      <c r="A1066" s="30" t="inlineStr">
        <is>
          <t>ARE</t>
        </is>
      </c>
      <c r="B1066" s="30" t="inlineStr">
        <is>
          <t>Areal</t>
        </is>
      </c>
      <c r="C1066" s="30" t="n">
        <v>78933844</v>
      </c>
      <c r="D1066" s="30">
        <f>"10687157000190"</f>
        <v/>
      </c>
      <c r="E1066" s="30" t="inlineStr">
        <is>
          <t>R MASTER SERVICOS EM CONSTRUCAO EIRELI ME</t>
        </is>
      </c>
      <c r="F1066" s="30" t="inlineStr">
        <is>
          <t>2022</t>
        </is>
      </c>
      <c r="G1066" s="40" t="n">
        <v>0</v>
      </c>
    </row>
    <row r="1067" ht="12" customHeight="1">
      <c r="A1067" s="30" t="inlineStr">
        <is>
          <t>ARE</t>
        </is>
      </c>
      <c r="B1067" s="30" t="inlineStr">
        <is>
          <t>Areal</t>
        </is>
      </c>
      <c r="C1067" s="30" t="n">
        <v>78933844</v>
      </c>
      <c r="D1067" s="30">
        <f>"10687157000190"</f>
        <v/>
      </c>
      <c r="E1067" s="30" t="inlineStr">
        <is>
          <t>R MASTER SERVICOS EM CONSTRUCAO EIRELI ME</t>
        </is>
      </c>
      <c r="F1067" s="30" t="inlineStr">
        <is>
          <t>2023</t>
        </is>
      </c>
      <c r="G1067" s="40" t="n">
        <v>0</v>
      </c>
    </row>
    <row r="1068" ht="12" customHeight="1">
      <c r="A1068" s="30" t="inlineStr">
        <is>
          <t>ARE</t>
        </is>
      </c>
      <c r="B1068" s="30" t="inlineStr">
        <is>
          <t>Areal</t>
        </is>
      </c>
      <c r="C1068" s="30" t="n">
        <v>78943742</v>
      </c>
      <c r="D1068" s="30">
        <f>"79942140002697"</f>
        <v/>
      </c>
      <c r="E1068" s="30" t="inlineStr">
        <is>
          <t>TRANSMAGNA TRANSPORTES EIRELI</t>
        </is>
      </c>
      <c r="F1068" s="30" t="inlineStr">
        <is>
          <t>2017</t>
        </is>
      </c>
      <c r="G1068" s="40" t="n">
        <v>0</v>
      </c>
    </row>
    <row r="1069" ht="12" customHeight="1">
      <c r="A1069" s="30" t="inlineStr">
        <is>
          <t>ARE</t>
        </is>
      </c>
      <c r="B1069" s="30" t="inlineStr">
        <is>
          <t>Areal</t>
        </is>
      </c>
      <c r="C1069" s="30" t="n">
        <v>78943742</v>
      </c>
      <c r="D1069" s="30">
        <f>"79942140002697"</f>
        <v/>
      </c>
      <c r="E1069" s="30" t="inlineStr">
        <is>
          <t>TRANSMAGNA TRANSPORTES EIRELI</t>
        </is>
      </c>
      <c r="F1069" s="30" t="inlineStr">
        <is>
          <t>2018</t>
        </is>
      </c>
      <c r="G1069" s="40" t="n">
        <v>0</v>
      </c>
    </row>
    <row r="1070" ht="12" customHeight="1">
      <c r="A1070" s="30" t="inlineStr">
        <is>
          <t>ARE</t>
        </is>
      </c>
      <c r="B1070" s="30" t="inlineStr">
        <is>
          <t>Areal</t>
        </is>
      </c>
      <c r="C1070" s="30" t="n">
        <v>78943742</v>
      </c>
      <c r="D1070" s="30">
        <f>"79942140002697"</f>
        <v/>
      </c>
      <c r="E1070" s="30" t="inlineStr">
        <is>
          <t>TRANSMAGNA TRANSPORTES EIRELI</t>
        </is>
      </c>
      <c r="F1070" s="30" t="inlineStr">
        <is>
          <t>2019</t>
        </is>
      </c>
      <c r="G1070" s="40" t="n">
        <v>33706.98</v>
      </c>
    </row>
    <row r="1071" ht="12" customHeight="1">
      <c r="A1071" s="30" t="inlineStr">
        <is>
          <t>ARE</t>
        </is>
      </c>
      <c r="B1071" s="30" t="inlineStr">
        <is>
          <t>Areal</t>
        </is>
      </c>
      <c r="C1071" s="30" t="n">
        <v>78943742</v>
      </c>
      <c r="D1071" s="30">
        <f>"79942140002697"</f>
        <v/>
      </c>
      <c r="E1071" s="30" t="inlineStr">
        <is>
          <t>TRANSMAGNA TRANSPORTES EIRELI</t>
        </is>
      </c>
      <c r="F1071" s="30" t="inlineStr">
        <is>
          <t>2020</t>
        </is>
      </c>
      <c r="G1071" s="40" t="n">
        <v>63904.32</v>
      </c>
    </row>
    <row r="1072" ht="12" customHeight="1">
      <c r="A1072" s="30" t="inlineStr">
        <is>
          <t>ARE</t>
        </is>
      </c>
      <c r="B1072" s="30" t="inlineStr">
        <is>
          <t>Areal</t>
        </is>
      </c>
      <c r="C1072" s="30" t="n">
        <v>78943742</v>
      </c>
      <c r="D1072" s="30">
        <f>"79942140002697"</f>
        <v/>
      </c>
      <c r="E1072" s="30" t="inlineStr">
        <is>
          <t>TRANSMAGNA TRANSPORTES EIRELI</t>
        </is>
      </c>
      <c r="F1072" s="30" t="inlineStr">
        <is>
          <t>2021</t>
        </is>
      </c>
      <c r="G1072" s="40" t="n">
        <v>80511.5</v>
      </c>
    </row>
    <row r="1073" ht="12" customHeight="1">
      <c r="A1073" s="30" t="inlineStr">
        <is>
          <t>ARE</t>
        </is>
      </c>
      <c r="B1073" s="30" t="inlineStr">
        <is>
          <t>Areal</t>
        </is>
      </c>
      <c r="C1073" s="30" t="n">
        <v>78943742</v>
      </c>
      <c r="D1073" s="30">
        <f>"79942140002697"</f>
        <v/>
      </c>
      <c r="E1073" s="30" t="inlineStr">
        <is>
          <t>TRANSMAGNA TRANSPORTES EIRELI</t>
        </is>
      </c>
      <c r="F1073" s="30" t="inlineStr">
        <is>
          <t>2022</t>
        </is>
      </c>
      <c r="G1073" s="40" t="n">
        <v>0</v>
      </c>
    </row>
    <row r="1074" ht="12" customHeight="1">
      <c r="A1074" s="30" t="inlineStr">
        <is>
          <t>ARE</t>
        </is>
      </c>
      <c r="B1074" s="30" t="inlineStr">
        <is>
          <t>Areal</t>
        </is>
      </c>
      <c r="C1074" s="30" t="n">
        <v>78943742</v>
      </c>
      <c r="D1074" s="30">
        <f>"79942140002697"</f>
        <v/>
      </c>
      <c r="E1074" s="30" t="inlineStr">
        <is>
          <t>TRANSMAGNA TRANSPORTES EIRELI</t>
        </is>
      </c>
      <c r="F1074" s="30" t="inlineStr">
        <is>
          <t>2023</t>
        </is>
      </c>
      <c r="G1074" s="40" t="n">
        <v>0</v>
      </c>
    </row>
    <row r="1075" ht="12" customHeight="1">
      <c r="A1075" s="30" t="inlineStr">
        <is>
          <t>ARE</t>
        </is>
      </c>
      <c r="B1075" s="30" t="inlineStr">
        <is>
          <t>Areal</t>
        </is>
      </c>
      <c r="C1075" s="30" t="n">
        <v>78998121</v>
      </c>
      <c r="D1075" s="30">
        <f>"01489122000407"</f>
        <v/>
      </c>
      <c r="E1075" s="30" t="inlineStr">
        <is>
          <t>TJ4 TRANSPORTES EIRELI</t>
        </is>
      </c>
      <c r="F1075" s="30" t="inlineStr">
        <is>
          <t>2021</t>
        </is>
      </c>
      <c r="G1075" s="40" t="n">
        <v>0</v>
      </c>
    </row>
    <row r="1076" ht="12" customHeight="1">
      <c r="A1076" s="30" t="inlineStr">
        <is>
          <t>ARE</t>
        </is>
      </c>
      <c r="B1076" s="30" t="inlineStr">
        <is>
          <t>Areal</t>
        </is>
      </c>
      <c r="C1076" s="30" t="n">
        <v>78998121</v>
      </c>
      <c r="D1076" s="30">
        <f>"01489122000407"</f>
        <v/>
      </c>
      <c r="E1076" s="30" t="inlineStr">
        <is>
          <t>TJ4 TRANSPORTES EIRELI</t>
        </is>
      </c>
      <c r="F1076" s="30" t="inlineStr">
        <is>
          <t>2022</t>
        </is>
      </c>
      <c r="G1076" s="40" t="n">
        <v>0</v>
      </c>
    </row>
    <row r="1077" ht="12" customHeight="1">
      <c r="A1077" s="30" t="inlineStr">
        <is>
          <t>ARE</t>
        </is>
      </c>
      <c r="B1077" s="30" t="inlineStr">
        <is>
          <t>Areal</t>
        </is>
      </c>
      <c r="C1077" s="30" t="n">
        <v>78998121</v>
      </c>
      <c r="D1077" s="30">
        <f>"01489122000407"</f>
        <v/>
      </c>
      <c r="E1077" s="30" t="inlineStr">
        <is>
          <t>TJ4 TRANSPORTES EIRELI</t>
        </is>
      </c>
      <c r="F1077" s="30" t="inlineStr">
        <is>
          <t>2023</t>
        </is>
      </c>
      <c r="G1077" s="40" t="n">
        <v>69.06</v>
      </c>
    </row>
    <row r="1078" ht="12" customHeight="1">
      <c r="A1078" s="30" t="inlineStr">
        <is>
          <t>ARE</t>
        </is>
      </c>
      <c r="B1078" s="30" t="inlineStr">
        <is>
          <t>Areal</t>
        </is>
      </c>
      <c r="C1078" s="30" t="n">
        <v>79063789</v>
      </c>
      <c r="D1078" s="30">
        <f>"11389422000389"</f>
        <v/>
      </c>
      <c r="E1078" s="30" t="inlineStr">
        <is>
          <t>ABT-LOG TRANSPORTES EIRELI EPP</t>
        </is>
      </c>
      <c r="F1078" s="30" t="inlineStr">
        <is>
          <t>2017</t>
        </is>
      </c>
      <c r="G1078" s="40" t="n">
        <v>75</v>
      </c>
    </row>
    <row r="1079" ht="12" customHeight="1">
      <c r="A1079" s="30" t="inlineStr">
        <is>
          <t>ARE</t>
        </is>
      </c>
      <c r="B1079" s="30" t="inlineStr">
        <is>
          <t>Areal</t>
        </is>
      </c>
      <c r="C1079" s="30" t="n">
        <v>79063789</v>
      </c>
      <c r="D1079" s="30">
        <f>"11389422000389"</f>
        <v/>
      </c>
      <c r="E1079" s="30" t="inlineStr">
        <is>
          <t>ABT-LOG TRANSPORTES EIRELI EPP</t>
        </is>
      </c>
      <c r="F1079" s="30" t="inlineStr">
        <is>
          <t>2018</t>
        </is>
      </c>
      <c r="G1079" s="40" t="n">
        <v>1484.57</v>
      </c>
    </row>
    <row r="1080" ht="12" customHeight="1">
      <c r="A1080" s="30" t="inlineStr">
        <is>
          <t>ARE</t>
        </is>
      </c>
      <c r="B1080" s="30" t="inlineStr">
        <is>
          <t>Areal</t>
        </is>
      </c>
      <c r="C1080" s="30" t="n">
        <v>79063789</v>
      </c>
      <c r="D1080" s="30">
        <f>"11389422000389"</f>
        <v/>
      </c>
      <c r="E1080" s="30" t="inlineStr">
        <is>
          <t>ABT-LOG TRANSPORTES EIRELI EPP</t>
        </is>
      </c>
      <c r="F1080" s="30" t="inlineStr">
        <is>
          <t>2019</t>
        </is>
      </c>
      <c r="G1080" s="40" t="n">
        <v>1258.61</v>
      </c>
    </row>
    <row r="1081" ht="12" customHeight="1">
      <c r="A1081" s="30" t="inlineStr">
        <is>
          <t>ARE</t>
        </is>
      </c>
      <c r="B1081" s="30" t="inlineStr">
        <is>
          <t>Areal</t>
        </is>
      </c>
      <c r="C1081" s="30" t="n">
        <v>79063789</v>
      </c>
      <c r="D1081" s="30">
        <f>"11389422000389"</f>
        <v/>
      </c>
      <c r="E1081" s="30" t="inlineStr">
        <is>
          <t>ABT-LOG TRANSPORTES EIRELI EPP</t>
        </is>
      </c>
      <c r="F1081" s="30" t="inlineStr">
        <is>
          <t>2020</t>
        </is>
      </c>
      <c r="G1081" s="40" t="n">
        <v>0</v>
      </c>
    </row>
    <row r="1082" ht="12" customHeight="1">
      <c r="A1082" s="30" t="inlineStr">
        <is>
          <t>ARE</t>
        </is>
      </c>
      <c r="B1082" s="30" t="inlineStr">
        <is>
          <t>Areal</t>
        </is>
      </c>
      <c r="C1082" s="30" t="n">
        <v>79063789</v>
      </c>
      <c r="D1082" s="30">
        <f>"11389422000389"</f>
        <v/>
      </c>
      <c r="E1082" s="30" t="inlineStr">
        <is>
          <t>ABT-LOG TRANSPORTES EIRELI EPP</t>
        </is>
      </c>
      <c r="F1082" s="30" t="inlineStr">
        <is>
          <t>2021</t>
        </is>
      </c>
      <c r="G1082" s="40" t="n">
        <v>0</v>
      </c>
    </row>
    <row r="1083" ht="12" customHeight="1">
      <c r="A1083" s="30" t="inlineStr">
        <is>
          <t>ARE</t>
        </is>
      </c>
      <c r="B1083" s="30" t="inlineStr">
        <is>
          <t>Areal</t>
        </is>
      </c>
      <c r="C1083" s="30" t="n">
        <v>79084298</v>
      </c>
      <c r="D1083" s="30">
        <f>"12091571000168"</f>
        <v/>
      </c>
      <c r="E1083" s="30" t="inlineStr">
        <is>
          <t>METAPLAST IND?STRIA E COM?RCIO DE PL?STICOS LTDA</t>
        </is>
      </c>
      <c r="F1083" s="30" t="inlineStr">
        <is>
          <t>2017</t>
        </is>
      </c>
      <c r="G1083" s="40" t="n">
        <v>0</v>
      </c>
    </row>
    <row r="1084" ht="12" customHeight="1">
      <c r="A1084" s="30" t="inlineStr">
        <is>
          <t>ARE</t>
        </is>
      </c>
      <c r="B1084" s="30" t="inlineStr">
        <is>
          <t>Areal</t>
        </is>
      </c>
      <c r="C1084" s="30" t="n">
        <v>79084298</v>
      </c>
      <c r="D1084" s="30">
        <f>"12091571000168"</f>
        <v/>
      </c>
      <c r="E1084" s="30" t="inlineStr">
        <is>
          <t>METAPLAST IND?STRIA E COM?RCIO DE PL?STICOS LTDA</t>
        </is>
      </c>
      <c r="F1084" s="30" t="inlineStr">
        <is>
          <t>2018</t>
        </is>
      </c>
      <c r="G1084" s="40" t="n">
        <v>736044.51</v>
      </c>
    </row>
    <row r="1085" ht="12" customHeight="1">
      <c r="A1085" s="30" t="inlineStr">
        <is>
          <t>ARE</t>
        </is>
      </c>
      <c r="B1085" s="30" t="inlineStr">
        <is>
          <t>Areal</t>
        </is>
      </c>
      <c r="C1085" s="30" t="n">
        <v>79084298</v>
      </c>
      <c r="D1085" s="30">
        <f>"12091571000168"</f>
        <v/>
      </c>
      <c r="E1085" s="30" t="inlineStr">
        <is>
          <t>METAPLAST IND?STRIA E COM?RCIO DE PL?STICOS LTDA</t>
        </is>
      </c>
      <c r="F1085" s="30" t="inlineStr">
        <is>
          <t>2019</t>
        </is>
      </c>
      <c r="G1085" s="40" t="n">
        <v>266196.42</v>
      </c>
    </row>
    <row r="1086" ht="12" customHeight="1">
      <c r="A1086" s="30" t="inlineStr">
        <is>
          <t>ARE</t>
        </is>
      </c>
      <c r="B1086" s="30" t="inlineStr">
        <is>
          <t>Areal</t>
        </is>
      </c>
      <c r="C1086" s="30" t="n">
        <v>79084298</v>
      </c>
      <c r="D1086" s="30">
        <f>"12091571000168"</f>
        <v/>
      </c>
      <c r="E1086" s="30" t="inlineStr">
        <is>
          <t>METAPLAST IND?STRIA E COM?RCIO DE PL?STICOS LTDA</t>
        </is>
      </c>
      <c r="F1086" s="30" t="inlineStr">
        <is>
          <t>2020</t>
        </is>
      </c>
      <c r="G1086" s="40" t="n">
        <v>232449.98</v>
      </c>
    </row>
    <row r="1087" ht="12" customHeight="1">
      <c r="A1087" s="30" t="inlineStr">
        <is>
          <t>ARE</t>
        </is>
      </c>
      <c r="B1087" s="30" t="inlineStr">
        <is>
          <t>Areal</t>
        </is>
      </c>
      <c r="C1087" s="30" t="n">
        <v>79084298</v>
      </c>
      <c r="D1087" s="30">
        <f>"12091571000168"</f>
        <v/>
      </c>
      <c r="E1087" s="30" t="inlineStr">
        <is>
          <t>METAPLAST IND?STRIA E COM?RCIO DE PL?STICOS LTDA</t>
        </is>
      </c>
      <c r="F1087" s="30" t="inlineStr">
        <is>
          <t>2021</t>
        </is>
      </c>
      <c r="G1087" s="40" t="n">
        <v>133284.97</v>
      </c>
    </row>
    <row r="1088" ht="12" customHeight="1">
      <c r="A1088" s="30" t="inlineStr">
        <is>
          <t>ARE</t>
        </is>
      </c>
      <c r="B1088" s="30" t="inlineStr">
        <is>
          <t>Areal</t>
        </is>
      </c>
      <c r="C1088" s="30" t="n">
        <v>79084298</v>
      </c>
      <c r="D1088" s="30">
        <f>"12091571000168"</f>
        <v/>
      </c>
      <c r="E1088" s="30" t="inlineStr">
        <is>
          <t>METAPLAST IND?STRIA E COM?RCIO DE PL?STICOS LTDA</t>
        </is>
      </c>
      <c r="F1088" s="30" t="inlineStr">
        <is>
          <t>2022</t>
        </is>
      </c>
      <c r="G1088" s="40" t="n">
        <v>0</v>
      </c>
    </row>
    <row r="1089" ht="12" customHeight="1">
      <c r="A1089" s="30" t="inlineStr">
        <is>
          <t>ARE</t>
        </is>
      </c>
      <c r="B1089" s="30" t="inlineStr">
        <is>
          <t>Areal</t>
        </is>
      </c>
      <c r="C1089" s="30" t="n">
        <v>79084298</v>
      </c>
      <c r="D1089" s="30">
        <f>"12091571000168"</f>
        <v/>
      </c>
      <c r="E1089" s="30" t="inlineStr">
        <is>
          <t>METAPLAST IND?STRIA E COM?RCIO DE PL?STICOS LTDA</t>
        </is>
      </c>
      <c r="F1089" s="30" t="inlineStr">
        <is>
          <t>2023</t>
        </is>
      </c>
      <c r="G1089" s="40" t="n">
        <v>0</v>
      </c>
    </row>
    <row r="1090" ht="12" customHeight="1">
      <c r="A1090" s="30" t="inlineStr">
        <is>
          <t>ARE</t>
        </is>
      </c>
      <c r="B1090" s="30" t="inlineStr">
        <is>
          <t>Areal</t>
        </is>
      </c>
      <c r="C1090" s="30" t="n">
        <v>79084875</v>
      </c>
      <c r="D1090" s="30">
        <f>"12054134000174"</f>
        <v/>
      </c>
      <c r="E1090" s="30" t="inlineStr">
        <is>
          <t>NOBELLA INDUSTRIA DE MOVEIS E EQUIPAMENTOS LTDA</t>
        </is>
      </c>
      <c r="F1090" s="30" t="inlineStr">
        <is>
          <t>2017</t>
        </is>
      </c>
      <c r="G1090" s="40" t="n">
        <v>0</v>
      </c>
    </row>
    <row r="1091" ht="12" customHeight="1">
      <c r="A1091" s="30" t="inlineStr">
        <is>
          <t>ARE</t>
        </is>
      </c>
      <c r="B1091" s="30" t="inlineStr">
        <is>
          <t>Areal</t>
        </is>
      </c>
      <c r="C1091" s="30" t="n">
        <v>79084875</v>
      </c>
      <c r="D1091" s="30">
        <f>"12054134000174"</f>
        <v/>
      </c>
      <c r="E1091" s="30" t="inlineStr">
        <is>
          <t>NOBELLA INDUSTRIA DE MOVEIS E EQUIPAMENTOS LTDA</t>
        </is>
      </c>
      <c r="F1091" s="30" t="inlineStr">
        <is>
          <t>2018</t>
        </is>
      </c>
      <c r="G1091" s="40" t="n">
        <v>0</v>
      </c>
    </row>
    <row r="1092" ht="12" customHeight="1">
      <c r="A1092" s="30" t="inlineStr">
        <is>
          <t>ARE</t>
        </is>
      </c>
      <c r="B1092" s="30" t="inlineStr">
        <is>
          <t>Areal</t>
        </is>
      </c>
      <c r="C1092" s="30" t="n">
        <v>79084875</v>
      </c>
      <c r="D1092" s="30">
        <f>"12054134000174"</f>
        <v/>
      </c>
      <c r="E1092" s="30" t="inlineStr">
        <is>
          <t>NOBELLA INDUSTRIA DE MOVEIS E EQUIPAMENTOS LTDA</t>
        </is>
      </c>
      <c r="F1092" s="30" t="inlineStr">
        <is>
          <t>2019</t>
        </is>
      </c>
      <c r="G1092" s="40" t="n">
        <v>0</v>
      </c>
    </row>
    <row r="1093" ht="12" customHeight="1">
      <c r="A1093" s="30" t="inlineStr">
        <is>
          <t>ARE</t>
        </is>
      </c>
      <c r="B1093" s="30" t="inlineStr">
        <is>
          <t>Areal</t>
        </is>
      </c>
      <c r="C1093" s="30" t="n">
        <v>79084875</v>
      </c>
      <c r="D1093" s="30">
        <f>"12054134000174"</f>
        <v/>
      </c>
      <c r="E1093" s="30" t="inlineStr">
        <is>
          <t>NOBELLA INDUSTRIA DE MOVEIS E EQUIPAMENTOS LTDA</t>
        </is>
      </c>
      <c r="F1093" s="30" t="inlineStr">
        <is>
          <t>2020</t>
        </is>
      </c>
      <c r="G1093" s="40" t="n">
        <v>0</v>
      </c>
    </row>
    <row r="1094" ht="12" customHeight="1">
      <c r="A1094" s="30" t="inlineStr">
        <is>
          <t>ARE</t>
        </is>
      </c>
      <c r="B1094" s="30" t="inlineStr">
        <is>
          <t>Areal</t>
        </is>
      </c>
      <c r="C1094" s="30" t="n">
        <v>79084875</v>
      </c>
      <c r="D1094" s="30">
        <f>"12054134000174"</f>
        <v/>
      </c>
      <c r="E1094" s="30" t="inlineStr">
        <is>
          <t>NOBELLA INDUSTRIA DE MOVEIS E EQUIPAMENTOS LTDA</t>
        </is>
      </c>
      <c r="F1094" s="30" t="inlineStr">
        <is>
          <t>2021</t>
        </is>
      </c>
      <c r="G1094" s="40" t="n">
        <v>0</v>
      </c>
    </row>
    <row r="1095" ht="12" customHeight="1">
      <c r="A1095" s="30" t="inlineStr">
        <is>
          <t>ARE</t>
        </is>
      </c>
      <c r="B1095" s="30" t="inlineStr">
        <is>
          <t>Areal</t>
        </is>
      </c>
      <c r="C1095" s="30" t="n">
        <v>79111678</v>
      </c>
      <c r="D1095" s="30">
        <f>"60157377000504"</f>
        <v/>
      </c>
      <c r="E1095" s="30" t="inlineStr">
        <is>
          <t>TRANS WELL S EXPRESSO RODOVIARIO EIRELI</t>
        </is>
      </c>
      <c r="F1095" s="30" t="inlineStr">
        <is>
          <t>2020</t>
        </is>
      </c>
      <c r="G1095" s="40" t="n">
        <v>0</v>
      </c>
    </row>
    <row r="1096" ht="12" customHeight="1">
      <c r="A1096" s="30" t="inlineStr">
        <is>
          <t>ARE</t>
        </is>
      </c>
      <c r="B1096" s="30" t="inlineStr">
        <is>
          <t>Areal</t>
        </is>
      </c>
      <c r="C1096" s="30" t="n">
        <v>79111678</v>
      </c>
      <c r="D1096" s="30">
        <f>"60157377000504"</f>
        <v/>
      </c>
      <c r="E1096" s="30" t="inlineStr">
        <is>
          <t>TRANS WELL S EXPRESSO RODOVIARIO EIRELI</t>
        </is>
      </c>
      <c r="F1096" s="30" t="inlineStr">
        <is>
          <t>2021</t>
        </is>
      </c>
      <c r="G1096" s="40" t="n">
        <v>0</v>
      </c>
    </row>
    <row r="1097" ht="12" customHeight="1">
      <c r="A1097" s="30" t="inlineStr">
        <is>
          <t>ARE</t>
        </is>
      </c>
      <c r="B1097" s="30" t="inlineStr">
        <is>
          <t>Areal</t>
        </is>
      </c>
      <c r="C1097" s="30" t="n">
        <v>79111678</v>
      </c>
      <c r="D1097" s="30">
        <f>"60157377000504"</f>
        <v/>
      </c>
      <c r="E1097" s="30" t="inlineStr">
        <is>
          <t>TRANS WELL S EXPRESSO RODOVIARIO EIRELI</t>
        </is>
      </c>
      <c r="F1097" s="30" t="inlineStr">
        <is>
          <t>2022</t>
        </is>
      </c>
      <c r="G1097" s="40" t="n">
        <v>946.62</v>
      </c>
    </row>
    <row r="1098" ht="12" customHeight="1">
      <c r="A1098" s="30" t="inlineStr">
        <is>
          <t>ARE</t>
        </is>
      </c>
      <c r="B1098" s="30" t="inlineStr">
        <is>
          <t>Areal</t>
        </is>
      </c>
      <c r="C1098" s="30" t="n">
        <v>79111678</v>
      </c>
      <c r="D1098" s="30">
        <f>"60157377000504"</f>
        <v/>
      </c>
      <c r="E1098" s="30" t="inlineStr">
        <is>
          <t>TRANS WELL S EXPRESSO RODOVIARIO EIRELI</t>
        </is>
      </c>
      <c r="F1098" s="30" t="inlineStr">
        <is>
          <t>2023</t>
        </is>
      </c>
      <c r="G1098" s="40" t="n">
        <v>0</v>
      </c>
    </row>
    <row r="1099" ht="12" customHeight="1">
      <c r="A1099" s="30" t="inlineStr">
        <is>
          <t>ARE</t>
        </is>
      </c>
      <c r="B1099" s="30" t="inlineStr">
        <is>
          <t>Areal</t>
        </is>
      </c>
      <c r="C1099" s="30" t="n">
        <v>79129119</v>
      </c>
      <c r="D1099" s="30">
        <f>"11389422000460"</f>
        <v/>
      </c>
      <c r="E1099" s="30" t="inlineStr">
        <is>
          <t>ABT-LOG TRANSPORTES EIRELI EPP</t>
        </is>
      </c>
      <c r="F1099" s="30" t="inlineStr">
        <is>
          <t>2017</t>
        </is>
      </c>
      <c r="G1099" s="40" t="n">
        <v>691.14</v>
      </c>
    </row>
    <row r="1100" ht="12" customHeight="1">
      <c r="A1100" s="30" t="inlineStr">
        <is>
          <t>ARE</t>
        </is>
      </c>
      <c r="B1100" s="30" t="inlineStr">
        <is>
          <t>Areal</t>
        </is>
      </c>
      <c r="C1100" s="30" t="n">
        <v>79129119</v>
      </c>
      <c r="D1100" s="30">
        <f>"11389422000460"</f>
        <v/>
      </c>
      <c r="E1100" s="30" t="inlineStr">
        <is>
          <t>ABT-LOG TRANSPORTES EIRELI EPP</t>
        </is>
      </c>
      <c r="F1100" s="30" t="inlineStr">
        <is>
          <t>2018</t>
        </is>
      </c>
      <c r="G1100" s="40" t="n">
        <v>265.48</v>
      </c>
    </row>
    <row r="1101" ht="12" customHeight="1">
      <c r="A1101" s="30" t="inlineStr">
        <is>
          <t>ARE</t>
        </is>
      </c>
      <c r="B1101" s="30" t="inlineStr">
        <is>
          <t>Areal</t>
        </is>
      </c>
      <c r="C1101" s="30" t="n">
        <v>79129119</v>
      </c>
      <c r="D1101" s="30">
        <f>"11389422000460"</f>
        <v/>
      </c>
      <c r="E1101" s="30" t="inlineStr">
        <is>
          <t>ABT-LOG TRANSPORTES EIRELI EPP</t>
        </is>
      </c>
      <c r="F1101" s="30" t="inlineStr">
        <is>
          <t>2019</t>
        </is>
      </c>
      <c r="G1101" s="40" t="n">
        <v>0</v>
      </c>
    </row>
    <row r="1102" ht="12" customHeight="1">
      <c r="A1102" s="30" t="inlineStr">
        <is>
          <t>ARE</t>
        </is>
      </c>
      <c r="B1102" s="30" t="inlineStr">
        <is>
          <t>Areal</t>
        </is>
      </c>
      <c r="C1102" s="30" t="n">
        <v>79129119</v>
      </c>
      <c r="D1102" s="30">
        <f>"11389422000460"</f>
        <v/>
      </c>
      <c r="E1102" s="30" t="inlineStr">
        <is>
          <t>ABT-LOG TRANSPORTES EIRELI EPP</t>
        </is>
      </c>
      <c r="F1102" s="30" t="inlineStr">
        <is>
          <t>2020</t>
        </is>
      </c>
      <c r="G1102" s="40" t="n">
        <v>0</v>
      </c>
    </row>
    <row r="1103" ht="12" customHeight="1">
      <c r="A1103" s="30" t="inlineStr">
        <is>
          <t>ARE</t>
        </is>
      </c>
      <c r="B1103" s="30" t="inlineStr">
        <is>
          <t>Areal</t>
        </is>
      </c>
      <c r="C1103" s="30" t="n">
        <v>79146641</v>
      </c>
      <c r="D1103" s="30">
        <f>"60960473001304"</f>
        <v/>
      </c>
      <c r="E1103" s="30" t="inlineStr">
        <is>
          <t>RODOGARCIA TRANSPORTES RODOVIARIOS LTDA</t>
        </is>
      </c>
      <c r="F1103" s="30" t="inlineStr">
        <is>
          <t>2021</t>
        </is>
      </c>
      <c r="G1103" s="40" t="n">
        <v>0</v>
      </c>
    </row>
    <row r="1104" ht="12" customHeight="1">
      <c r="A1104" s="30" t="inlineStr">
        <is>
          <t>ARE</t>
        </is>
      </c>
      <c r="B1104" s="30" t="inlineStr">
        <is>
          <t>Areal</t>
        </is>
      </c>
      <c r="C1104" s="30" t="n">
        <v>79146641</v>
      </c>
      <c r="D1104" s="30">
        <f>"60960473001304"</f>
        <v/>
      </c>
      <c r="E1104" s="30" t="inlineStr">
        <is>
          <t>RODOGARCIA TRANSPORTES RODOVIARIOS LTDA</t>
        </is>
      </c>
      <c r="F1104" s="30" t="inlineStr">
        <is>
          <t>2022</t>
        </is>
      </c>
      <c r="G1104" s="40" t="n">
        <v>0</v>
      </c>
    </row>
    <row r="1105" ht="12" customHeight="1">
      <c r="A1105" s="30" t="inlineStr">
        <is>
          <t>ARE</t>
        </is>
      </c>
      <c r="B1105" s="30" t="inlineStr">
        <is>
          <t>Areal</t>
        </is>
      </c>
      <c r="C1105" s="30" t="n">
        <v>79146641</v>
      </c>
      <c r="D1105" s="30">
        <f>"60960473001304"</f>
        <v/>
      </c>
      <c r="E1105" s="30" t="inlineStr">
        <is>
          <t>RODOGARCIA TRANSPORTES RODOVIARIOS LTDA</t>
        </is>
      </c>
      <c r="F1105" s="30" t="inlineStr">
        <is>
          <t>2023</t>
        </is>
      </c>
      <c r="G1105" s="40" t="n">
        <v>150</v>
      </c>
    </row>
    <row r="1106" ht="12" customHeight="1">
      <c r="A1106" s="30" t="inlineStr">
        <is>
          <t>ARE</t>
        </is>
      </c>
      <c r="B1106" s="30" t="inlineStr">
        <is>
          <t>Areal</t>
        </is>
      </c>
      <c r="C1106" s="30" t="n">
        <v>79173290</v>
      </c>
      <c r="D1106" s="30">
        <f>"10895160000108"</f>
        <v/>
      </c>
      <c r="E1106" s="30" t="inlineStr">
        <is>
          <t>ORION GESTAO DE PROJETOS LOGISTICA E COMERCIO LTDA</t>
        </is>
      </c>
      <c r="F1106" s="30" t="inlineStr">
        <is>
          <t>2017</t>
        </is>
      </c>
      <c r="G1106" s="40" t="n">
        <v>76298.95</v>
      </c>
    </row>
    <row r="1107" ht="12" customHeight="1">
      <c r="A1107" s="30" t="inlineStr">
        <is>
          <t>ARE</t>
        </is>
      </c>
      <c r="B1107" s="30" t="inlineStr">
        <is>
          <t>Areal</t>
        </is>
      </c>
      <c r="C1107" s="30" t="n">
        <v>79173290</v>
      </c>
      <c r="D1107" s="30">
        <f>"10895160000108"</f>
        <v/>
      </c>
      <c r="E1107" s="30" t="inlineStr">
        <is>
          <t>ORION GESTAO DE PROJETOS LOGISTICA E COMERCIO LTDA</t>
        </is>
      </c>
      <c r="F1107" s="30" t="inlineStr">
        <is>
          <t>2018</t>
        </is>
      </c>
      <c r="G1107" s="40" t="n">
        <v>0</v>
      </c>
    </row>
    <row r="1108" ht="12" customHeight="1">
      <c r="A1108" s="30" t="inlineStr">
        <is>
          <t>ARE</t>
        </is>
      </c>
      <c r="B1108" s="30" t="inlineStr">
        <is>
          <t>Areal</t>
        </is>
      </c>
      <c r="C1108" s="30" t="n">
        <v>79173290</v>
      </c>
      <c r="D1108" s="30">
        <f>"10895160000108"</f>
        <v/>
      </c>
      <c r="E1108" s="30" t="inlineStr">
        <is>
          <t>ORION GESTAO DE PROJETOS LOGISTICA E COMERCIO LTDA</t>
        </is>
      </c>
      <c r="F1108" s="30" t="inlineStr">
        <is>
          <t>2019</t>
        </is>
      </c>
      <c r="G1108" s="40" t="n">
        <v>0</v>
      </c>
    </row>
    <row r="1109" ht="12" customHeight="1">
      <c r="A1109" s="30" t="inlineStr">
        <is>
          <t>ARE</t>
        </is>
      </c>
      <c r="B1109" s="30" t="inlineStr">
        <is>
          <t>Areal</t>
        </is>
      </c>
      <c r="C1109" s="30" t="n">
        <v>79273236</v>
      </c>
      <c r="D1109" s="30">
        <f>"31586480000148"</f>
        <v/>
      </c>
      <c r="E1109" s="30" t="inlineStr">
        <is>
          <t>HEAVYMAC SERVI?OS LTDA</t>
        </is>
      </c>
      <c r="F1109" s="30" t="inlineStr">
        <is>
          <t>2017</t>
        </is>
      </c>
      <c r="G1109" s="40" t="n">
        <v>0</v>
      </c>
    </row>
    <row r="1110" ht="12" customHeight="1">
      <c r="A1110" s="30" t="inlineStr">
        <is>
          <t>ARE</t>
        </is>
      </c>
      <c r="B1110" s="30" t="inlineStr">
        <is>
          <t>Areal</t>
        </is>
      </c>
      <c r="C1110" s="30" t="n">
        <v>79273236</v>
      </c>
      <c r="D1110" s="30">
        <f>"31586480000148"</f>
        <v/>
      </c>
      <c r="E1110" s="30" t="inlineStr">
        <is>
          <t>HEAVYMAC SERVI?OS LTDA</t>
        </is>
      </c>
      <c r="F1110" s="30" t="inlineStr">
        <is>
          <t>2018</t>
        </is>
      </c>
      <c r="G1110" s="40" t="n">
        <v>0</v>
      </c>
    </row>
    <row r="1111" ht="12" customHeight="1">
      <c r="A1111" s="30" t="inlineStr">
        <is>
          <t>ARE</t>
        </is>
      </c>
      <c r="B1111" s="30" t="inlineStr">
        <is>
          <t>Areal</t>
        </is>
      </c>
      <c r="C1111" s="30" t="n">
        <v>79273236</v>
      </c>
      <c r="D1111" s="30">
        <f>"31586480000148"</f>
        <v/>
      </c>
      <c r="E1111" s="30" t="inlineStr">
        <is>
          <t>HEAVYMAC SERVI?OS LTDA</t>
        </is>
      </c>
      <c r="F1111" s="30" t="inlineStr">
        <is>
          <t>2019</t>
        </is>
      </c>
      <c r="G1111" s="40" t="n">
        <v>0</v>
      </c>
    </row>
    <row r="1112" ht="12" customHeight="1">
      <c r="A1112" s="30" t="inlineStr">
        <is>
          <t>ARE</t>
        </is>
      </c>
      <c r="B1112" s="30" t="inlineStr">
        <is>
          <t>Areal</t>
        </is>
      </c>
      <c r="C1112" s="30" t="n">
        <v>79273236</v>
      </c>
      <c r="D1112" s="30">
        <f>"31586480000148"</f>
        <v/>
      </c>
      <c r="E1112" s="30" t="inlineStr">
        <is>
          <t>HEAVYMAC SERVI?OS LTDA</t>
        </is>
      </c>
      <c r="F1112" s="30" t="inlineStr">
        <is>
          <t>2020</t>
        </is>
      </c>
      <c r="G1112" s="40" t="n">
        <v>0</v>
      </c>
    </row>
    <row r="1113" ht="12" customHeight="1">
      <c r="A1113" s="30" t="inlineStr">
        <is>
          <t>ARE</t>
        </is>
      </c>
      <c r="B1113" s="30" t="inlineStr">
        <is>
          <t>Areal</t>
        </is>
      </c>
      <c r="C1113" s="30" t="n">
        <v>79273236</v>
      </c>
      <c r="D1113" s="30">
        <f>"31586480000148"</f>
        <v/>
      </c>
      <c r="E1113" s="30" t="inlineStr">
        <is>
          <t>HEAVYMAC SERVI?OS LTDA</t>
        </is>
      </c>
      <c r="F1113" s="30" t="inlineStr">
        <is>
          <t>2021</t>
        </is>
      </c>
      <c r="G1113" s="40" t="n">
        <v>0</v>
      </c>
    </row>
    <row r="1114" ht="12" customHeight="1">
      <c r="A1114" s="30" t="inlineStr">
        <is>
          <t>ARE</t>
        </is>
      </c>
      <c r="B1114" s="30" t="inlineStr">
        <is>
          <t>Areal</t>
        </is>
      </c>
      <c r="C1114" s="30" t="n">
        <v>79273236</v>
      </c>
      <c r="D1114" s="30">
        <f>"31586480000148"</f>
        <v/>
      </c>
      <c r="E1114" s="30" t="inlineStr">
        <is>
          <t>HEAVYMAC SERVI?OS LTDA</t>
        </is>
      </c>
      <c r="F1114" s="30" t="inlineStr">
        <is>
          <t>2022</t>
        </is>
      </c>
      <c r="G1114" s="40" t="n">
        <v>0</v>
      </c>
    </row>
    <row r="1115" ht="12" customHeight="1">
      <c r="A1115" s="30" t="inlineStr">
        <is>
          <t>ARE</t>
        </is>
      </c>
      <c r="B1115" s="30" t="inlineStr">
        <is>
          <t>Areal</t>
        </is>
      </c>
      <c r="C1115" s="30" t="n">
        <v>79273236</v>
      </c>
      <c r="D1115" s="30">
        <f>"31586480000148"</f>
        <v/>
      </c>
      <c r="E1115" s="30" t="inlineStr">
        <is>
          <t>HEAVYMAC SERVI?OS LTDA</t>
        </is>
      </c>
      <c r="F1115" s="30" t="inlineStr">
        <is>
          <t>2023</t>
        </is>
      </c>
      <c r="G1115" s="40" t="n">
        <v>0</v>
      </c>
    </row>
    <row r="1116" ht="12" customHeight="1">
      <c r="A1116" s="30" t="inlineStr">
        <is>
          <t>ARE</t>
        </is>
      </c>
      <c r="B1116" s="30" t="inlineStr">
        <is>
          <t>Areal</t>
        </is>
      </c>
      <c r="C1116" s="30" t="n">
        <v>79274321</v>
      </c>
      <c r="D1116" s="30">
        <f>"13019479000150"</f>
        <v/>
      </c>
      <c r="E1116" s="30" t="inlineStr">
        <is>
          <t>LINOS EXPRESS TRANSPORTES LTDA ME</t>
        </is>
      </c>
      <c r="F1116" s="30" t="inlineStr">
        <is>
          <t>2017</t>
        </is>
      </c>
      <c r="G1116" s="40" t="n">
        <v>5324.8</v>
      </c>
    </row>
    <row r="1117" ht="12" customHeight="1">
      <c r="A1117" s="30" t="inlineStr">
        <is>
          <t>ARE</t>
        </is>
      </c>
      <c r="B1117" s="30" t="inlineStr">
        <is>
          <t>Areal</t>
        </is>
      </c>
      <c r="C1117" s="30" t="n">
        <v>79274321</v>
      </c>
      <c r="D1117" s="30">
        <f>"13019479000150"</f>
        <v/>
      </c>
      <c r="E1117" s="30" t="inlineStr">
        <is>
          <t>LINOS EXPRESS TRANSPORTES LTDA ME</t>
        </is>
      </c>
      <c r="F1117" s="30" t="inlineStr">
        <is>
          <t>2018</t>
        </is>
      </c>
      <c r="G1117" s="40" t="n">
        <v>0</v>
      </c>
    </row>
    <row r="1118" ht="12" customHeight="1">
      <c r="A1118" s="30" t="inlineStr">
        <is>
          <t>ARE</t>
        </is>
      </c>
      <c r="B1118" s="30" t="inlineStr">
        <is>
          <t>Areal</t>
        </is>
      </c>
      <c r="C1118" s="30" t="n">
        <v>79274321</v>
      </c>
      <c r="D1118" s="30">
        <f>"13019479000150"</f>
        <v/>
      </c>
      <c r="E1118" s="30" t="inlineStr">
        <is>
          <t>LINOS EXPRESS TRANSPORTES LTDA ME</t>
        </is>
      </c>
      <c r="F1118" s="30" t="inlineStr">
        <is>
          <t>2019</t>
        </is>
      </c>
      <c r="G1118" s="40" t="n">
        <v>0</v>
      </c>
    </row>
    <row r="1119" ht="12" customHeight="1">
      <c r="A1119" s="30" t="inlineStr">
        <is>
          <t>ARE</t>
        </is>
      </c>
      <c r="B1119" s="30" t="inlineStr">
        <is>
          <t>Areal</t>
        </is>
      </c>
      <c r="C1119" s="30" t="n">
        <v>79274321</v>
      </c>
      <c r="D1119" s="30">
        <f>"13019479000150"</f>
        <v/>
      </c>
      <c r="E1119" s="30" t="inlineStr">
        <is>
          <t>LINOS EXPRESS TRANSPORTES LTDA ME</t>
        </is>
      </c>
      <c r="F1119" s="30" t="inlineStr">
        <is>
          <t>2020</t>
        </is>
      </c>
      <c r="G1119" s="40" t="n">
        <v>0</v>
      </c>
    </row>
    <row r="1120" ht="12" customHeight="1">
      <c r="A1120" s="30" t="inlineStr">
        <is>
          <t>ARE</t>
        </is>
      </c>
      <c r="B1120" s="30" t="inlineStr">
        <is>
          <t>Areal</t>
        </is>
      </c>
      <c r="C1120" s="30" t="n">
        <v>79274321</v>
      </c>
      <c r="D1120" s="30">
        <f>"13019479000150"</f>
        <v/>
      </c>
      <c r="E1120" s="30" t="inlineStr">
        <is>
          <t>LINOS EXPRESS TRANSPORTES LTDA ME</t>
        </is>
      </c>
      <c r="F1120" s="30" t="inlineStr">
        <is>
          <t>2021</t>
        </is>
      </c>
      <c r="G1120" s="40" t="n">
        <v>37840</v>
      </c>
    </row>
    <row r="1121" ht="12" customHeight="1">
      <c r="A1121" s="30" t="inlineStr">
        <is>
          <t>ARE</t>
        </is>
      </c>
      <c r="B1121" s="30" t="inlineStr">
        <is>
          <t>Areal</t>
        </is>
      </c>
      <c r="C1121" s="30" t="n">
        <v>79274321</v>
      </c>
      <c r="D1121" s="30">
        <f>"13019479000150"</f>
        <v/>
      </c>
      <c r="E1121" s="30" t="inlineStr">
        <is>
          <t>LINOS EXPRESS TRANSPORTES LTDA ME</t>
        </is>
      </c>
      <c r="F1121" s="30" t="inlineStr">
        <is>
          <t>2022</t>
        </is>
      </c>
      <c r="G1121" s="40" t="n">
        <v>16765</v>
      </c>
    </row>
    <row r="1122" ht="12" customHeight="1">
      <c r="A1122" s="30" t="inlineStr">
        <is>
          <t>ARE</t>
        </is>
      </c>
      <c r="B1122" s="30" t="inlineStr">
        <is>
          <t>Areal</t>
        </is>
      </c>
      <c r="C1122" s="30" t="n">
        <v>79274321</v>
      </c>
      <c r="D1122" s="30">
        <f>"13019479000150"</f>
        <v/>
      </c>
      <c r="E1122" s="30" t="inlineStr">
        <is>
          <t>LINOS EXPRESS TRANSPORTES LTDA ME</t>
        </is>
      </c>
      <c r="F1122" s="30" t="inlineStr">
        <is>
          <t>2023</t>
        </is>
      </c>
      <c r="G1122" s="40" t="n">
        <v>0</v>
      </c>
    </row>
    <row r="1123" ht="12" customHeight="1">
      <c r="A1123" s="30" t="inlineStr">
        <is>
          <t>ARE</t>
        </is>
      </c>
      <c r="B1123" s="30" t="inlineStr">
        <is>
          <t>Areal</t>
        </is>
      </c>
      <c r="C1123" s="30" t="n">
        <v>79278840</v>
      </c>
      <c r="D1123" s="30">
        <f>"13075470000166"</f>
        <v/>
      </c>
      <c r="E1123" s="30" t="inlineStr">
        <is>
          <t>AREAL ARTEFATOS DE CONCRETO EIRELI EPP</t>
        </is>
      </c>
      <c r="F1123" s="30" t="inlineStr">
        <is>
          <t>2017</t>
        </is>
      </c>
      <c r="G1123" s="40" t="n">
        <v>0</v>
      </c>
    </row>
    <row r="1124" ht="12" customHeight="1">
      <c r="A1124" s="30" t="inlineStr">
        <is>
          <t>ARE</t>
        </is>
      </c>
      <c r="B1124" s="30" t="inlineStr">
        <is>
          <t>Areal</t>
        </is>
      </c>
      <c r="C1124" s="30" t="n">
        <v>79278840</v>
      </c>
      <c r="D1124" s="30">
        <f>"13075470000166"</f>
        <v/>
      </c>
      <c r="E1124" s="30" t="inlineStr">
        <is>
          <t>AREAL ARTEFATOS DE CONCRETO EIRELI EPP</t>
        </is>
      </c>
      <c r="F1124" s="30" t="inlineStr">
        <is>
          <t>2018</t>
        </is>
      </c>
      <c r="G1124" s="40" t="n">
        <v>0</v>
      </c>
    </row>
    <row r="1125" ht="12" customHeight="1">
      <c r="A1125" s="30" t="inlineStr">
        <is>
          <t>ARE</t>
        </is>
      </c>
      <c r="B1125" s="30" t="inlineStr">
        <is>
          <t>Areal</t>
        </is>
      </c>
      <c r="C1125" s="30" t="n">
        <v>79278840</v>
      </c>
      <c r="D1125" s="30">
        <f>"13075470000166"</f>
        <v/>
      </c>
      <c r="E1125" s="30" t="inlineStr">
        <is>
          <t>AREAL ARTEFATOS DE CONCRETO EIRELI EPP</t>
        </is>
      </c>
      <c r="F1125" s="30" t="inlineStr">
        <is>
          <t>2019</t>
        </is>
      </c>
      <c r="G1125" s="40" t="n">
        <v>0</v>
      </c>
    </row>
    <row r="1126" ht="12" customHeight="1">
      <c r="A1126" s="30" t="inlineStr">
        <is>
          <t>ARE</t>
        </is>
      </c>
      <c r="B1126" s="30" t="inlineStr">
        <is>
          <t>Areal</t>
        </is>
      </c>
      <c r="C1126" s="30" t="n">
        <v>79278840</v>
      </c>
      <c r="D1126" s="30">
        <f>"13075470000166"</f>
        <v/>
      </c>
      <c r="E1126" s="30" t="inlineStr">
        <is>
          <t>AREAL ARTEFATOS DE CONCRETO EIRELI EPP</t>
        </is>
      </c>
      <c r="F1126" s="30" t="inlineStr">
        <is>
          <t>2020</t>
        </is>
      </c>
      <c r="G1126" s="40" t="n">
        <v>0</v>
      </c>
    </row>
    <row r="1127" ht="12" customHeight="1">
      <c r="A1127" s="30" t="inlineStr">
        <is>
          <t>ARE</t>
        </is>
      </c>
      <c r="B1127" s="30" t="inlineStr">
        <is>
          <t>Areal</t>
        </is>
      </c>
      <c r="C1127" s="30" t="n">
        <v>79278840</v>
      </c>
      <c r="D1127" s="30">
        <f>"13075470000166"</f>
        <v/>
      </c>
      <c r="E1127" s="30" t="inlineStr">
        <is>
          <t>AREAL ARTEFATOS DE CONCRETO EIRELI EPP</t>
        </is>
      </c>
      <c r="F1127" s="30" t="inlineStr">
        <is>
          <t>2021</t>
        </is>
      </c>
      <c r="G1127" s="40" t="n">
        <v>0</v>
      </c>
    </row>
    <row r="1128" ht="12" customHeight="1">
      <c r="A1128" s="30" t="inlineStr">
        <is>
          <t>ARE</t>
        </is>
      </c>
      <c r="B1128" s="30" t="inlineStr">
        <is>
          <t>Areal</t>
        </is>
      </c>
      <c r="C1128" s="30" t="n">
        <v>79278840</v>
      </c>
      <c r="D1128" s="30">
        <f>"13075470000166"</f>
        <v/>
      </c>
      <c r="E1128" s="30" t="inlineStr">
        <is>
          <t>AREAL ARTEFATOS DE CONCRETO EIRELI EPP</t>
        </is>
      </c>
      <c r="F1128" s="30" t="inlineStr">
        <is>
          <t>2022</t>
        </is>
      </c>
      <c r="G1128" s="40" t="n">
        <v>65106.41</v>
      </c>
    </row>
    <row r="1129" ht="12" customHeight="1">
      <c r="A1129" s="30" t="inlineStr">
        <is>
          <t>ARE</t>
        </is>
      </c>
      <c r="B1129" s="30" t="inlineStr">
        <is>
          <t>Areal</t>
        </is>
      </c>
      <c r="C1129" s="30" t="n">
        <v>79278840</v>
      </c>
      <c r="D1129" s="30">
        <f>"13075470000166"</f>
        <v/>
      </c>
      <c r="E1129" s="30" t="inlineStr">
        <is>
          <t>AREAL ARTEFATOS DE CONCRETO EIRELI EPP</t>
        </is>
      </c>
      <c r="F1129" s="30" t="inlineStr">
        <is>
          <t>2023</t>
        </is>
      </c>
      <c r="G1129" s="40" t="n">
        <v>0</v>
      </c>
    </row>
    <row r="1130" ht="12" customHeight="1">
      <c r="A1130" s="30" t="inlineStr">
        <is>
          <t>ARE</t>
        </is>
      </c>
      <c r="B1130" s="30" t="inlineStr">
        <is>
          <t>Areal</t>
        </is>
      </c>
      <c r="C1130" s="30" t="n">
        <v>79342254</v>
      </c>
      <c r="D1130" s="30">
        <f>"11689769000185"</f>
        <v/>
      </c>
      <c r="E1130" s="30" t="inlineStr">
        <is>
          <t>REIS SERVI?OS IMOBILI?RIOS EIRELI</t>
        </is>
      </c>
      <c r="F1130" s="30" t="inlineStr">
        <is>
          <t>2019</t>
        </is>
      </c>
      <c r="G1130" s="40" t="n">
        <v>0</v>
      </c>
    </row>
    <row r="1131" ht="12" customHeight="1">
      <c r="A1131" s="30" t="inlineStr">
        <is>
          <t>ARE</t>
        </is>
      </c>
      <c r="B1131" s="30" t="inlineStr">
        <is>
          <t>Areal</t>
        </is>
      </c>
      <c r="C1131" s="30" t="n">
        <v>79342254</v>
      </c>
      <c r="D1131" s="30">
        <f>"11689769000185"</f>
        <v/>
      </c>
      <c r="E1131" s="30" t="inlineStr">
        <is>
          <t>REIS SERVI?OS IMOBILI?RIOS EIRELI</t>
        </is>
      </c>
      <c r="F1131" s="30" t="inlineStr">
        <is>
          <t>2020</t>
        </is>
      </c>
      <c r="G1131" s="40" t="n">
        <v>0</v>
      </c>
    </row>
    <row r="1132" ht="12" customHeight="1">
      <c r="A1132" s="30" t="inlineStr">
        <is>
          <t>ARE</t>
        </is>
      </c>
      <c r="B1132" s="30" t="inlineStr">
        <is>
          <t>Areal</t>
        </is>
      </c>
      <c r="C1132" s="30" t="n">
        <v>79342254</v>
      </c>
      <c r="D1132" s="30">
        <f>"11689769000185"</f>
        <v/>
      </c>
      <c r="E1132" s="30" t="inlineStr">
        <is>
          <t>REIS SERVI?OS IMOBILI?RIOS EIRELI</t>
        </is>
      </c>
      <c r="F1132" s="30" t="inlineStr">
        <is>
          <t>2021</t>
        </is>
      </c>
      <c r="G1132" s="40" t="n">
        <v>0</v>
      </c>
    </row>
    <row r="1133" ht="12" customHeight="1">
      <c r="A1133" s="30" t="inlineStr">
        <is>
          <t>ARE</t>
        </is>
      </c>
      <c r="B1133" s="30" t="inlineStr">
        <is>
          <t>Areal</t>
        </is>
      </c>
      <c r="C1133" s="30" t="n">
        <v>79342254</v>
      </c>
      <c r="D1133" s="30">
        <f>"11689769000185"</f>
        <v/>
      </c>
      <c r="E1133" s="30" t="inlineStr">
        <is>
          <t>REIS SERVI?OS IMOBILI?RIOS EIRELI</t>
        </is>
      </c>
      <c r="F1133" s="30" t="inlineStr">
        <is>
          <t>2022</t>
        </is>
      </c>
      <c r="G1133" s="40" t="n">
        <v>0</v>
      </c>
    </row>
    <row r="1134" ht="12" customHeight="1">
      <c r="A1134" s="30" t="inlineStr">
        <is>
          <t>ARE</t>
        </is>
      </c>
      <c r="B1134" s="30" t="inlineStr">
        <is>
          <t>Areal</t>
        </is>
      </c>
      <c r="C1134" s="30" t="n">
        <v>79342254</v>
      </c>
      <c r="D1134" s="30">
        <f>"11689769000185"</f>
        <v/>
      </c>
      <c r="E1134" s="30" t="inlineStr">
        <is>
          <t>REIS SERVI?OS IMOBILI?RIOS EIRELI</t>
        </is>
      </c>
      <c r="F1134" s="30" t="inlineStr">
        <is>
          <t>2023</t>
        </is>
      </c>
      <c r="G1134" s="40" t="n">
        <v>0</v>
      </c>
    </row>
    <row r="1135" ht="12" customHeight="1">
      <c r="A1135" s="30" t="inlineStr">
        <is>
          <t>ARE</t>
        </is>
      </c>
      <c r="B1135" s="30" t="inlineStr">
        <is>
          <t>Areal</t>
        </is>
      </c>
      <c r="C1135" s="30" t="n">
        <v>79345091</v>
      </c>
      <c r="D1135" s="30">
        <f>"48740351012252"</f>
        <v/>
      </c>
      <c r="E1135" s="30" t="inlineStr">
        <is>
          <t>BRASPRESS TRANSPORTES URGENTES LTDA</t>
        </is>
      </c>
      <c r="F1135" s="30" t="inlineStr">
        <is>
          <t>2017</t>
        </is>
      </c>
      <c r="G1135" s="40" t="n">
        <v>0</v>
      </c>
    </row>
    <row r="1136" ht="12" customHeight="1">
      <c r="A1136" s="30" t="inlineStr">
        <is>
          <t>ARE</t>
        </is>
      </c>
      <c r="B1136" s="30" t="inlineStr">
        <is>
          <t>Areal</t>
        </is>
      </c>
      <c r="C1136" s="30" t="n">
        <v>79345091</v>
      </c>
      <c r="D1136" s="30">
        <f>"48740351012252"</f>
        <v/>
      </c>
      <c r="E1136" s="30" t="inlineStr">
        <is>
          <t>BRASPRESS TRANSPORTES URGENTES LTDA</t>
        </is>
      </c>
      <c r="F1136" s="30" t="inlineStr">
        <is>
          <t>2018</t>
        </is>
      </c>
      <c r="G1136" s="40" t="n">
        <v>82.97</v>
      </c>
    </row>
    <row r="1137" ht="12" customHeight="1">
      <c r="A1137" s="30" t="inlineStr">
        <is>
          <t>ARE</t>
        </is>
      </c>
      <c r="B1137" s="30" t="inlineStr">
        <is>
          <t>Areal</t>
        </is>
      </c>
      <c r="C1137" s="30" t="n">
        <v>79345091</v>
      </c>
      <c r="D1137" s="30">
        <f>"48740351012252"</f>
        <v/>
      </c>
      <c r="E1137" s="30" t="inlineStr">
        <is>
          <t>BRASPRESS TRANSPORTES URGENTES LTDA</t>
        </is>
      </c>
      <c r="F1137" s="30" t="inlineStr">
        <is>
          <t>2019</t>
        </is>
      </c>
      <c r="G1137" s="40" t="n">
        <v>0</v>
      </c>
    </row>
    <row r="1138" ht="12" customHeight="1">
      <c r="A1138" s="30" t="inlineStr">
        <is>
          <t>ARE</t>
        </is>
      </c>
      <c r="B1138" s="30" t="inlineStr">
        <is>
          <t>Areal</t>
        </is>
      </c>
      <c r="C1138" s="30" t="n">
        <v>79345091</v>
      </c>
      <c r="D1138" s="30">
        <f>"48740351012252"</f>
        <v/>
      </c>
      <c r="E1138" s="30" t="inlineStr">
        <is>
          <t>BRASPRESS TRANSPORTES URGENTES LTDA</t>
        </is>
      </c>
      <c r="F1138" s="30" t="inlineStr">
        <is>
          <t>2020</t>
        </is>
      </c>
      <c r="G1138" s="40" t="n">
        <v>0</v>
      </c>
    </row>
    <row r="1139" ht="12" customHeight="1">
      <c r="A1139" s="30" t="inlineStr">
        <is>
          <t>ARE</t>
        </is>
      </c>
      <c r="B1139" s="30" t="inlineStr">
        <is>
          <t>Areal</t>
        </is>
      </c>
      <c r="C1139" s="30" t="n">
        <v>79358630</v>
      </c>
      <c r="D1139" s="30">
        <f>"08022054000160"</f>
        <v/>
      </c>
      <c r="E1139" s="30" t="inlineStr">
        <is>
          <t>OSTARA TELECOMUNICACOES LTDA</t>
        </is>
      </c>
      <c r="F1139" s="30" t="inlineStr">
        <is>
          <t>2017</t>
        </is>
      </c>
      <c r="G1139" s="40" t="n">
        <v>35140.13</v>
      </c>
    </row>
    <row r="1140" ht="12" customHeight="1">
      <c r="A1140" s="30" t="inlineStr">
        <is>
          <t>ARE</t>
        </is>
      </c>
      <c r="B1140" s="30" t="inlineStr">
        <is>
          <t>Areal</t>
        </is>
      </c>
      <c r="C1140" s="30" t="n">
        <v>79358630</v>
      </c>
      <c r="D1140" s="30">
        <f>"08022054000160"</f>
        <v/>
      </c>
      <c r="E1140" s="30" t="inlineStr">
        <is>
          <t>OSTARA TELECOMUNICACOES LTDA</t>
        </is>
      </c>
      <c r="F1140" s="30" t="inlineStr">
        <is>
          <t>2018</t>
        </is>
      </c>
      <c r="G1140" s="40" t="n">
        <v>30000</v>
      </c>
    </row>
    <row r="1141" ht="12" customHeight="1">
      <c r="A1141" s="30" t="inlineStr">
        <is>
          <t>ARE</t>
        </is>
      </c>
      <c r="B1141" s="30" t="inlineStr">
        <is>
          <t>Areal</t>
        </is>
      </c>
      <c r="C1141" s="30" t="n">
        <v>79358630</v>
      </c>
      <c r="D1141" s="30">
        <f>"08022054000160"</f>
        <v/>
      </c>
      <c r="E1141" s="30" t="inlineStr">
        <is>
          <t>OSTARA TELECOMUNICACOES LTDA</t>
        </is>
      </c>
      <c r="F1141" s="30" t="inlineStr">
        <is>
          <t>2019</t>
        </is>
      </c>
      <c r="G1141" s="40" t="n">
        <v>57.57</v>
      </c>
    </row>
    <row r="1142" ht="12" customHeight="1">
      <c r="A1142" s="30" t="inlineStr">
        <is>
          <t>ARE</t>
        </is>
      </c>
      <c r="B1142" s="30" t="inlineStr">
        <is>
          <t>Areal</t>
        </is>
      </c>
      <c r="C1142" s="30" t="n">
        <v>79358630</v>
      </c>
      <c r="D1142" s="30">
        <f>"08022054000160"</f>
        <v/>
      </c>
      <c r="E1142" s="30" t="inlineStr">
        <is>
          <t>OSTARA TELECOMUNICACOES LTDA</t>
        </is>
      </c>
      <c r="F1142" s="30" t="inlineStr">
        <is>
          <t>2020</t>
        </is>
      </c>
      <c r="G1142" s="40" t="n">
        <v>882.01</v>
      </c>
    </row>
    <row r="1143" ht="12" customHeight="1">
      <c r="A1143" s="30" t="inlineStr">
        <is>
          <t>ARE</t>
        </is>
      </c>
      <c r="B1143" s="30" t="inlineStr">
        <is>
          <t>Areal</t>
        </is>
      </c>
      <c r="C1143" s="30" t="n">
        <v>79358630</v>
      </c>
      <c r="D1143" s="30">
        <f>"08022054000160"</f>
        <v/>
      </c>
      <c r="E1143" s="30" t="inlineStr">
        <is>
          <t>OSTARA TELECOMUNICACOES LTDA</t>
        </is>
      </c>
      <c r="F1143" s="30" t="inlineStr">
        <is>
          <t>2021</t>
        </is>
      </c>
      <c r="G1143" s="40" t="n">
        <v>0</v>
      </c>
    </row>
    <row r="1144" ht="12" customHeight="1">
      <c r="A1144" s="30" t="inlineStr">
        <is>
          <t>ARE</t>
        </is>
      </c>
      <c r="B1144" s="30" t="inlineStr">
        <is>
          <t>Areal</t>
        </is>
      </c>
      <c r="C1144" s="30" t="n">
        <v>79358630</v>
      </c>
      <c r="D1144" s="30">
        <f>"08022054000160"</f>
        <v/>
      </c>
      <c r="E1144" s="30" t="inlineStr">
        <is>
          <t>OSTARA TELECOMUNICACOES LTDA</t>
        </is>
      </c>
      <c r="F1144" s="30" t="inlineStr">
        <is>
          <t>2022</t>
        </is>
      </c>
      <c r="G1144" s="40" t="n">
        <v>0</v>
      </c>
    </row>
    <row r="1145" ht="12" customHeight="1">
      <c r="A1145" s="30" t="inlineStr">
        <is>
          <t>ARE</t>
        </is>
      </c>
      <c r="B1145" s="30" t="inlineStr">
        <is>
          <t>Areal</t>
        </is>
      </c>
      <c r="C1145" s="30" t="n">
        <v>79442178</v>
      </c>
      <c r="D1145" s="30">
        <f>"14000190000151"</f>
        <v/>
      </c>
      <c r="E1145" s="30" t="inlineStr">
        <is>
          <t>MG RODRIGUES TRANSPORTES LTDA ME</t>
        </is>
      </c>
      <c r="F1145" s="30" t="inlineStr">
        <is>
          <t>2017</t>
        </is>
      </c>
      <c r="G1145" s="40" t="n">
        <v>0</v>
      </c>
    </row>
    <row r="1146" ht="12" customHeight="1">
      <c r="A1146" s="30" t="inlineStr">
        <is>
          <t>ARE</t>
        </is>
      </c>
      <c r="B1146" s="30" t="inlineStr">
        <is>
          <t>Areal</t>
        </is>
      </c>
      <c r="C1146" s="30" t="n">
        <v>79442178</v>
      </c>
      <c r="D1146" s="30">
        <f>"14000190000151"</f>
        <v/>
      </c>
      <c r="E1146" s="30" t="inlineStr">
        <is>
          <t>MG RODRIGUES TRANSPORTES LTDA ME</t>
        </is>
      </c>
      <c r="F1146" s="30" t="inlineStr">
        <is>
          <t>2018</t>
        </is>
      </c>
      <c r="G1146" s="40" t="n">
        <v>0</v>
      </c>
    </row>
    <row r="1147" ht="12" customHeight="1">
      <c r="A1147" s="30" t="inlineStr">
        <is>
          <t>ARE</t>
        </is>
      </c>
      <c r="B1147" s="30" t="inlineStr">
        <is>
          <t>Areal</t>
        </is>
      </c>
      <c r="C1147" s="30" t="n">
        <v>79442178</v>
      </c>
      <c r="D1147" s="30">
        <f>"14000190000151"</f>
        <v/>
      </c>
      <c r="E1147" s="30" t="inlineStr">
        <is>
          <t>MG RODRIGUES TRANSPORTES LTDA ME</t>
        </is>
      </c>
      <c r="F1147" s="30" t="inlineStr">
        <is>
          <t>2019</t>
        </is>
      </c>
      <c r="G1147" s="40" t="n">
        <v>300</v>
      </c>
    </row>
    <row r="1148" ht="12" customHeight="1">
      <c r="A1148" s="30" t="inlineStr">
        <is>
          <t>ARE</t>
        </is>
      </c>
      <c r="B1148" s="30" t="inlineStr">
        <is>
          <t>Areal</t>
        </is>
      </c>
      <c r="C1148" s="30" t="n">
        <v>79442178</v>
      </c>
      <c r="D1148" s="30">
        <f>"14000190000151"</f>
        <v/>
      </c>
      <c r="E1148" s="30" t="inlineStr">
        <is>
          <t>MG RODRIGUES TRANSPORTES LTDA ME</t>
        </is>
      </c>
      <c r="F1148" s="30" t="inlineStr">
        <is>
          <t>2020</t>
        </is>
      </c>
      <c r="G1148" s="40" t="n">
        <v>0</v>
      </c>
    </row>
    <row r="1149" ht="12" customHeight="1">
      <c r="A1149" s="30" t="inlineStr">
        <is>
          <t>ARE</t>
        </is>
      </c>
      <c r="B1149" s="30" t="inlineStr">
        <is>
          <t>Areal</t>
        </is>
      </c>
      <c r="C1149" s="30" t="n">
        <v>79442178</v>
      </c>
      <c r="D1149" s="30">
        <f>"14000190000151"</f>
        <v/>
      </c>
      <c r="E1149" s="30" t="inlineStr">
        <is>
          <t>MG RODRIGUES TRANSPORTES LTDA ME</t>
        </is>
      </c>
      <c r="F1149" s="30" t="inlineStr">
        <is>
          <t>2021</t>
        </is>
      </c>
      <c r="G1149" s="40" t="n">
        <v>0</v>
      </c>
    </row>
    <row r="1150" ht="12" customHeight="1">
      <c r="A1150" s="30" t="inlineStr">
        <is>
          <t>ARE</t>
        </is>
      </c>
      <c r="B1150" s="30" t="inlineStr">
        <is>
          <t>Areal</t>
        </is>
      </c>
      <c r="C1150" s="30" t="n">
        <v>79456748</v>
      </c>
      <c r="D1150" s="30">
        <f>"14120369000142"</f>
        <v/>
      </c>
      <c r="E1150" s="30" t="inlineStr">
        <is>
          <t>JARBAS GONCALVES DIAS EIRELI</t>
        </is>
      </c>
      <c r="F1150" s="30" t="inlineStr">
        <is>
          <t>2017</t>
        </is>
      </c>
      <c r="G1150" s="40" t="n">
        <v>0</v>
      </c>
    </row>
    <row r="1151" ht="12" customHeight="1">
      <c r="A1151" s="30" t="inlineStr">
        <is>
          <t>ARE</t>
        </is>
      </c>
      <c r="B1151" s="30" t="inlineStr">
        <is>
          <t>Areal</t>
        </is>
      </c>
      <c r="C1151" s="30" t="n">
        <v>79456748</v>
      </c>
      <c r="D1151" s="30">
        <f>"14120369000142"</f>
        <v/>
      </c>
      <c r="E1151" s="30" t="inlineStr">
        <is>
          <t>JARBAS GONCALVES DIAS EIRELI</t>
        </is>
      </c>
      <c r="F1151" s="30" t="inlineStr">
        <is>
          <t>2018</t>
        </is>
      </c>
      <c r="G1151" s="40" t="n">
        <v>90.51000000000001</v>
      </c>
    </row>
    <row r="1152" ht="12" customHeight="1">
      <c r="A1152" s="30" t="inlineStr">
        <is>
          <t>ARE</t>
        </is>
      </c>
      <c r="B1152" s="30" t="inlineStr">
        <is>
          <t>Areal</t>
        </is>
      </c>
      <c r="C1152" s="30" t="n">
        <v>79456748</v>
      </c>
      <c r="D1152" s="30">
        <f>"14120369000142"</f>
        <v/>
      </c>
      <c r="E1152" s="30" t="inlineStr">
        <is>
          <t>JARBAS GONCALVES DIAS EIRELI</t>
        </is>
      </c>
      <c r="F1152" s="30" t="inlineStr">
        <is>
          <t>2019</t>
        </is>
      </c>
      <c r="G1152" s="40" t="n">
        <v>0</v>
      </c>
    </row>
    <row r="1153" ht="12" customHeight="1">
      <c r="A1153" s="30" t="inlineStr">
        <is>
          <t>ARE</t>
        </is>
      </c>
      <c r="B1153" s="30" t="inlineStr">
        <is>
          <t>Areal</t>
        </is>
      </c>
      <c r="C1153" s="30" t="n">
        <v>79456748</v>
      </c>
      <c r="D1153" s="30">
        <f>"14120369000142"</f>
        <v/>
      </c>
      <c r="E1153" s="30" t="inlineStr">
        <is>
          <t>JARBAS GONCALVES DIAS EIRELI</t>
        </is>
      </c>
      <c r="F1153" s="30" t="inlineStr">
        <is>
          <t>2020</t>
        </is>
      </c>
      <c r="G1153" s="40" t="n">
        <v>0</v>
      </c>
    </row>
    <row r="1154" ht="12" customHeight="1">
      <c r="A1154" s="30" t="inlineStr">
        <is>
          <t>ARE</t>
        </is>
      </c>
      <c r="B1154" s="30" t="inlineStr">
        <is>
          <t>Areal</t>
        </is>
      </c>
      <c r="C1154" s="30" t="n">
        <v>79532320</v>
      </c>
      <c r="D1154" s="30">
        <f>"11799788000245"</f>
        <v/>
      </c>
      <c r="E1154" s="30" t="inlineStr">
        <is>
          <t>NESTLE SUDESTE ALIMENTOS E BEBIDAS LTDA</t>
        </is>
      </c>
      <c r="F1154" s="30" t="inlineStr">
        <is>
          <t>2017</t>
        </is>
      </c>
      <c r="G1154" s="40" t="n">
        <v>0</v>
      </c>
    </row>
    <row r="1155" ht="12" customHeight="1">
      <c r="A1155" s="30" t="inlineStr">
        <is>
          <t>ARE</t>
        </is>
      </c>
      <c r="B1155" s="30" t="inlineStr">
        <is>
          <t>Areal</t>
        </is>
      </c>
      <c r="C1155" s="30" t="n">
        <v>79532320</v>
      </c>
      <c r="D1155" s="30">
        <f>"11799788000245"</f>
        <v/>
      </c>
      <c r="E1155" s="30" t="inlineStr">
        <is>
          <t>NESTLE SUDESTE ALIMENTOS E BEBIDAS LTDA</t>
        </is>
      </c>
      <c r="F1155" s="30" t="inlineStr">
        <is>
          <t>2018</t>
        </is>
      </c>
      <c r="G1155" s="40" t="n">
        <v>0</v>
      </c>
    </row>
    <row r="1156" ht="12" customHeight="1">
      <c r="A1156" s="30" t="inlineStr">
        <is>
          <t>ARE</t>
        </is>
      </c>
      <c r="B1156" s="30" t="inlineStr">
        <is>
          <t>Areal</t>
        </is>
      </c>
      <c r="C1156" s="30" t="n">
        <v>79532320</v>
      </c>
      <c r="D1156" s="30">
        <f>"11799788000245"</f>
        <v/>
      </c>
      <c r="E1156" s="30" t="inlineStr">
        <is>
          <t>NESTLE SUDESTE ALIMENTOS E BEBIDAS LTDA</t>
        </is>
      </c>
      <c r="F1156" s="30" t="inlineStr">
        <is>
          <t>2019</t>
        </is>
      </c>
      <c r="G1156" s="40" t="n">
        <v>573977.09</v>
      </c>
    </row>
    <row r="1157" ht="12" customHeight="1">
      <c r="A1157" s="30" t="inlineStr">
        <is>
          <t>ARE</t>
        </is>
      </c>
      <c r="B1157" s="30" t="inlineStr">
        <is>
          <t>Areal</t>
        </is>
      </c>
      <c r="C1157" s="30" t="n">
        <v>79532320</v>
      </c>
      <c r="D1157" s="30">
        <f>"11799788000245"</f>
        <v/>
      </c>
      <c r="E1157" s="30" t="inlineStr">
        <is>
          <t>NESTLE SUDESTE ALIMENTOS E BEBIDAS LTDA</t>
        </is>
      </c>
      <c r="F1157" s="30" t="inlineStr">
        <is>
          <t>2020</t>
        </is>
      </c>
      <c r="G1157" s="40" t="n">
        <v>0</v>
      </c>
    </row>
    <row r="1158" ht="12" customHeight="1">
      <c r="A1158" s="30" t="inlineStr">
        <is>
          <t>ARE</t>
        </is>
      </c>
      <c r="B1158" s="30" t="inlineStr">
        <is>
          <t>Areal</t>
        </is>
      </c>
      <c r="C1158" s="30" t="n">
        <v>79532320</v>
      </c>
      <c r="D1158" s="30">
        <f>"11799788000245"</f>
        <v/>
      </c>
      <c r="E1158" s="30" t="inlineStr">
        <is>
          <t>NESTLE SUDESTE ALIMENTOS E BEBIDAS LTDA</t>
        </is>
      </c>
      <c r="F1158" s="30" t="inlineStr">
        <is>
          <t>2021</t>
        </is>
      </c>
      <c r="G1158" s="40" t="n">
        <v>0</v>
      </c>
    </row>
    <row r="1159" ht="12" customHeight="1">
      <c r="A1159" s="30" t="inlineStr">
        <is>
          <t>ARE</t>
        </is>
      </c>
      <c r="B1159" s="30" t="inlineStr">
        <is>
          <t>Areal</t>
        </is>
      </c>
      <c r="C1159" s="30" t="n">
        <v>79536644</v>
      </c>
      <c r="D1159" s="30">
        <f>"50935436003751"</f>
        <v/>
      </c>
      <c r="E1159" s="30" t="inlineStr">
        <is>
          <t>EXPRESSO JUNDIAI LOGISTICA E TRANSPORTE LTDA</t>
        </is>
      </c>
      <c r="F1159" s="30" t="inlineStr">
        <is>
          <t>2017</t>
        </is>
      </c>
      <c r="G1159" s="40" t="n">
        <v>72837.02</v>
      </c>
    </row>
    <row r="1160" ht="12" customHeight="1">
      <c r="A1160" s="30" t="inlineStr">
        <is>
          <t>ARE</t>
        </is>
      </c>
      <c r="B1160" s="30" t="inlineStr">
        <is>
          <t>Areal</t>
        </is>
      </c>
      <c r="C1160" s="30" t="n">
        <v>79536644</v>
      </c>
      <c r="D1160" s="30">
        <f>"50935436003751"</f>
        <v/>
      </c>
      <c r="E1160" s="30" t="inlineStr">
        <is>
          <t>EXPRESSO JUNDIAI LOGISTICA E TRANSPORTE LTDA</t>
        </is>
      </c>
      <c r="F1160" s="30" t="inlineStr">
        <is>
          <t>2018</t>
        </is>
      </c>
      <c r="G1160" s="40" t="n">
        <v>0</v>
      </c>
    </row>
    <row r="1161" ht="12" customHeight="1">
      <c r="A1161" s="30" t="inlineStr">
        <is>
          <t>ARE</t>
        </is>
      </c>
      <c r="B1161" s="30" t="inlineStr">
        <is>
          <t>Areal</t>
        </is>
      </c>
      <c r="C1161" s="30" t="n">
        <v>79536644</v>
      </c>
      <c r="D1161" s="30">
        <f>"50935436003751"</f>
        <v/>
      </c>
      <c r="E1161" s="30" t="inlineStr">
        <is>
          <t>EXPRESSO JUNDIAI LOGISTICA E TRANSPORTE LTDA</t>
        </is>
      </c>
      <c r="F1161" s="30" t="inlineStr">
        <is>
          <t>2019</t>
        </is>
      </c>
      <c r="G1161" s="40" t="n">
        <v>0</v>
      </c>
    </row>
    <row r="1162" ht="12" customHeight="1">
      <c r="A1162" s="30" t="inlineStr">
        <is>
          <t>ARE</t>
        </is>
      </c>
      <c r="B1162" s="30" t="inlineStr">
        <is>
          <t>Areal</t>
        </is>
      </c>
      <c r="C1162" s="30" t="n">
        <v>79537837</v>
      </c>
      <c r="D1162" s="30">
        <f>"33051491001120"</f>
        <v/>
      </c>
      <c r="E1162" s="30" t="inlineStr">
        <is>
          <t>LABORATORIOS PIERRE FABRE DO BRASIL LTDA</t>
        </is>
      </c>
      <c r="F1162" s="30" t="inlineStr">
        <is>
          <t>2017</t>
        </is>
      </c>
      <c r="G1162" s="40" t="n">
        <v>60473486.38</v>
      </c>
    </row>
    <row r="1163" ht="12" customHeight="1">
      <c r="A1163" s="30" t="inlineStr">
        <is>
          <t>ARE</t>
        </is>
      </c>
      <c r="B1163" s="30" t="inlineStr">
        <is>
          <t>Areal</t>
        </is>
      </c>
      <c r="C1163" s="30" t="n">
        <v>79537837</v>
      </c>
      <c r="D1163" s="30">
        <f>"33051491001120"</f>
        <v/>
      </c>
      <c r="E1163" s="30" t="inlineStr">
        <is>
          <t>LABORATORIOS PIERRE FABRE DO BRASIL LTDA</t>
        </is>
      </c>
      <c r="F1163" s="30" t="inlineStr">
        <is>
          <t>2018</t>
        </is>
      </c>
      <c r="G1163" s="40" t="n">
        <v>3618498.51</v>
      </c>
    </row>
    <row r="1164" ht="12" customHeight="1">
      <c r="A1164" s="30" t="inlineStr">
        <is>
          <t>ARE</t>
        </is>
      </c>
      <c r="B1164" s="30" t="inlineStr">
        <is>
          <t>Areal</t>
        </is>
      </c>
      <c r="C1164" s="30" t="n">
        <v>79537837</v>
      </c>
      <c r="D1164" s="30">
        <f>"33051491001120"</f>
        <v/>
      </c>
      <c r="E1164" s="30" t="inlineStr">
        <is>
          <t>LABORATORIOS PIERRE FABRE DO BRASIL LTDA</t>
        </is>
      </c>
      <c r="F1164" s="30" t="inlineStr">
        <is>
          <t>2019</t>
        </is>
      </c>
      <c r="G1164" s="40" t="n">
        <v>665870.09</v>
      </c>
    </row>
    <row r="1165" ht="12" customHeight="1">
      <c r="A1165" s="30" t="inlineStr">
        <is>
          <t>ARE</t>
        </is>
      </c>
      <c r="B1165" s="30" t="inlineStr">
        <is>
          <t>Areal</t>
        </is>
      </c>
      <c r="C1165" s="30" t="n">
        <v>79537837</v>
      </c>
      <c r="D1165" s="30">
        <f>"33051491001120"</f>
        <v/>
      </c>
      <c r="E1165" s="30" t="inlineStr">
        <is>
          <t>LABORATORIOS PIERRE FABRE DO BRASIL LTDA</t>
        </is>
      </c>
      <c r="F1165" s="30" t="inlineStr">
        <is>
          <t>2020</t>
        </is>
      </c>
      <c r="G1165" s="40" t="n">
        <v>2058664.88</v>
      </c>
    </row>
    <row r="1166" ht="12" customHeight="1">
      <c r="A1166" s="30" t="inlineStr">
        <is>
          <t>ARE</t>
        </is>
      </c>
      <c r="B1166" s="30" t="inlineStr">
        <is>
          <t>Areal</t>
        </is>
      </c>
      <c r="C1166" s="30" t="n">
        <v>79537837</v>
      </c>
      <c r="D1166" s="30">
        <f>"33051491001120"</f>
        <v/>
      </c>
      <c r="E1166" s="30" t="inlineStr">
        <is>
          <t>LABORATORIOS PIERRE FABRE DO BRASIL LTDA</t>
        </is>
      </c>
      <c r="F1166" s="30" t="inlineStr">
        <is>
          <t>2021</t>
        </is>
      </c>
      <c r="G1166" s="40" t="n">
        <v>7786954.17</v>
      </c>
    </row>
    <row r="1167" ht="12" customHeight="1">
      <c r="A1167" s="30" t="inlineStr">
        <is>
          <t>ARE</t>
        </is>
      </c>
      <c r="B1167" s="30" t="inlineStr">
        <is>
          <t>Areal</t>
        </is>
      </c>
      <c r="C1167" s="30" t="n">
        <v>79537837</v>
      </c>
      <c r="D1167" s="30">
        <f>"33051491001120"</f>
        <v/>
      </c>
      <c r="E1167" s="30" t="inlineStr">
        <is>
          <t>LABORATORIOS PIERRE FABRE DO BRASIL LTDA</t>
        </is>
      </c>
      <c r="F1167" s="30" t="inlineStr">
        <is>
          <t>2022</t>
        </is>
      </c>
      <c r="G1167" s="40" t="n">
        <v>0</v>
      </c>
    </row>
    <row r="1168" ht="12" customHeight="1">
      <c r="A1168" s="30" t="inlineStr">
        <is>
          <t>ARE</t>
        </is>
      </c>
      <c r="B1168" s="30" t="inlineStr">
        <is>
          <t>Areal</t>
        </is>
      </c>
      <c r="C1168" s="30" t="n">
        <v>79537837</v>
      </c>
      <c r="D1168" s="30">
        <f>"33051491001120"</f>
        <v/>
      </c>
      <c r="E1168" s="30" t="inlineStr">
        <is>
          <t>LABORATORIOS PIERRE FABRE DO BRASIL LTDA</t>
        </is>
      </c>
      <c r="F1168" s="30" t="inlineStr">
        <is>
          <t>2023</t>
        </is>
      </c>
      <c r="G1168" s="40" t="n">
        <v>0</v>
      </c>
    </row>
    <row r="1169" ht="12" customHeight="1">
      <c r="A1169" s="30" t="inlineStr">
        <is>
          <t>ARE</t>
        </is>
      </c>
      <c r="B1169" s="30" t="inlineStr">
        <is>
          <t>Areal</t>
        </is>
      </c>
      <c r="C1169" s="30" t="n">
        <v>79568600</v>
      </c>
      <c r="D1169" s="30">
        <f>"13547587000103"</f>
        <v/>
      </c>
      <c r="E1169" s="30" t="inlineStr">
        <is>
          <t>M3RX COMERCIO DE TELECOMUNICACOES LTDA</t>
        </is>
      </c>
      <c r="F1169" s="30" t="inlineStr">
        <is>
          <t>2017</t>
        </is>
      </c>
      <c r="G1169" s="40" t="n">
        <v>3152.79</v>
      </c>
    </row>
    <row r="1170" ht="12" customHeight="1">
      <c r="A1170" s="30" t="inlineStr">
        <is>
          <t>ARE</t>
        </is>
      </c>
      <c r="B1170" s="30" t="inlineStr">
        <is>
          <t>Areal</t>
        </is>
      </c>
      <c r="C1170" s="30" t="n">
        <v>79568600</v>
      </c>
      <c r="D1170" s="30">
        <f>"13547587000103"</f>
        <v/>
      </c>
      <c r="E1170" s="30" t="inlineStr">
        <is>
          <t>M3RX COMERCIO DE TELECOMUNICACOES LTDA</t>
        </is>
      </c>
      <c r="F1170" s="30" t="inlineStr">
        <is>
          <t>2018</t>
        </is>
      </c>
      <c r="G1170" s="40" t="n">
        <v>1684.68</v>
      </c>
    </row>
    <row r="1171" ht="12" customHeight="1">
      <c r="A1171" s="30" t="inlineStr">
        <is>
          <t>ARE</t>
        </is>
      </c>
      <c r="B1171" s="30" t="inlineStr">
        <is>
          <t>Areal</t>
        </is>
      </c>
      <c r="C1171" s="30" t="n">
        <v>79568600</v>
      </c>
      <c r="D1171" s="30">
        <f>"13547587000103"</f>
        <v/>
      </c>
      <c r="E1171" s="30" t="inlineStr">
        <is>
          <t>M3RX COMERCIO DE TELECOMUNICACOES LTDA</t>
        </is>
      </c>
      <c r="F1171" s="30" t="inlineStr">
        <is>
          <t>2019</t>
        </is>
      </c>
      <c r="G1171" s="40" t="n">
        <v>0</v>
      </c>
    </row>
    <row r="1172" ht="12" customHeight="1">
      <c r="A1172" s="30" t="inlineStr">
        <is>
          <t>ARE</t>
        </is>
      </c>
      <c r="B1172" s="30" t="inlineStr">
        <is>
          <t>Areal</t>
        </is>
      </c>
      <c r="C1172" s="30" t="n">
        <v>79568600</v>
      </c>
      <c r="D1172" s="30">
        <f>"13547587000103"</f>
        <v/>
      </c>
      <c r="E1172" s="30" t="inlineStr">
        <is>
          <t>M3RX COMERCIO DE TELECOMUNICACOES LTDA</t>
        </is>
      </c>
      <c r="F1172" s="30" t="inlineStr">
        <is>
          <t>2020</t>
        </is>
      </c>
      <c r="G1172" s="40" t="n">
        <v>0</v>
      </c>
    </row>
    <row r="1173" ht="12" customHeight="1">
      <c r="A1173" s="30" t="inlineStr">
        <is>
          <t>ARE</t>
        </is>
      </c>
      <c r="B1173" s="30" t="inlineStr">
        <is>
          <t>Areal</t>
        </is>
      </c>
      <c r="C1173" s="30" t="n">
        <v>79568600</v>
      </c>
      <c r="D1173" s="30">
        <f>"13547587000103"</f>
        <v/>
      </c>
      <c r="E1173" s="30" t="inlineStr">
        <is>
          <t>M3RX COMERCIO DE TELECOMUNICACOES LTDA</t>
        </is>
      </c>
      <c r="F1173" s="30" t="inlineStr">
        <is>
          <t>2021</t>
        </is>
      </c>
      <c r="G1173" s="40" t="n">
        <v>0</v>
      </c>
    </row>
    <row r="1174" ht="12" customHeight="1">
      <c r="A1174" s="30" t="inlineStr">
        <is>
          <t>ARE</t>
        </is>
      </c>
      <c r="B1174" s="30" t="inlineStr">
        <is>
          <t>Areal</t>
        </is>
      </c>
      <c r="C1174" s="30" t="n">
        <v>79568600</v>
      </c>
      <c r="D1174" s="30">
        <f>"13547587000103"</f>
        <v/>
      </c>
      <c r="E1174" s="30" t="inlineStr">
        <is>
          <t>M3RX COMERCIO DE TELECOMUNICACOES LTDA</t>
        </is>
      </c>
      <c r="F1174" s="30" t="inlineStr">
        <is>
          <t>2022</t>
        </is>
      </c>
      <c r="G1174" s="40" t="n">
        <v>0</v>
      </c>
    </row>
    <row r="1175" ht="12" customHeight="1">
      <c r="A1175" s="30" t="inlineStr">
        <is>
          <t>ARE</t>
        </is>
      </c>
      <c r="B1175" s="30" t="inlineStr">
        <is>
          <t>Areal</t>
        </is>
      </c>
      <c r="C1175" s="30" t="n">
        <v>79574783</v>
      </c>
      <c r="D1175" s="30">
        <f>"14856721000102"</f>
        <v/>
      </c>
      <c r="E1175" s="30" t="inlineStr">
        <is>
          <t>CORSINO MOVEIS E MADEIRAS LTDA ME</t>
        </is>
      </c>
      <c r="F1175" s="30" t="inlineStr">
        <is>
          <t>2017</t>
        </is>
      </c>
      <c r="G1175" s="40" t="n">
        <v>0</v>
      </c>
    </row>
    <row r="1176" ht="12" customHeight="1">
      <c r="A1176" s="30" t="inlineStr">
        <is>
          <t>ARE</t>
        </is>
      </c>
      <c r="B1176" s="30" t="inlineStr">
        <is>
          <t>Areal</t>
        </is>
      </c>
      <c r="C1176" s="30" t="n">
        <v>79574783</v>
      </c>
      <c r="D1176" s="30">
        <f>"14856721000102"</f>
        <v/>
      </c>
      <c r="E1176" s="30" t="inlineStr">
        <is>
          <t>CORSINO MOVEIS E MADEIRAS LTDA ME</t>
        </is>
      </c>
      <c r="F1176" s="30" t="inlineStr">
        <is>
          <t>2018</t>
        </is>
      </c>
      <c r="G1176" s="40" t="n">
        <v>0</v>
      </c>
    </row>
    <row r="1177" ht="12" customHeight="1">
      <c r="A1177" s="30" t="inlineStr">
        <is>
          <t>ARE</t>
        </is>
      </c>
      <c r="B1177" s="30" t="inlineStr">
        <is>
          <t>Areal</t>
        </is>
      </c>
      <c r="C1177" s="30" t="n">
        <v>79574783</v>
      </c>
      <c r="D1177" s="30">
        <f>"14856721000102"</f>
        <v/>
      </c>
      <c r="E1177" s="30" t="inlineStr">
        <is>
          <t>CORSINO MOVEIS E MADEIRAS LTDA ME</t>
        </is>
      </c>
      <c r="F1177" s="30" t="inlineStr">
        <is>
          <t>2019</t>
        </is>
      </c>
      <c r="G1177" s="40" t="n">
        <v>0</v>
      </c>
    </row>
    <row r="1178" ht="12" customHeight="1">
      <c r="A1178" s="30" t="inlineStr">
        <is>
          <t>ARE</t>
        </is>
      </c>
      <c r="B1178" s="30" t="inlineStr">
        <is>
          <t>Areal</t>
        </is>
      </c>
      <c r="C1178" s="30" t="n">
        <v>79582980</v>
      </c>
      <c r="D1178" s="30">
        <f>"78815958001280"</f>
        <v/>
      </c>
      <c r="E1178" s="30" t="inlineStr">
        <is>
          <t>JOSE OSVALDO DE OLIVEIRA EIRELI</t>
        </is>
      </c>
      <c r="F1178" s="30" t="inlineStr">
        <is>
          <t>2017</t>
        </is>
      </c>
      <c r="G1178" s="40" t="n">
        <v>0.12</v>
      </c>
    </row>
    <row r="1179" ht="12" customHeight="1">
      <c r="A1179" s="30" t="inlineStr">
        <is>
          <t>ARE</t>
        </is>
      </c>
      <c r="B1179" s="30" t="inlineStr">
        <is>
          <t>Areal</t>
        </is>
      </c>
      <c r="C1179" s="30" t="n">
        <v>79582980</v>
      </c>
      <c r="D1179" s="30">
        <f>"78815958001280"</f>
        <v/>
      </c>
      <c r="E1179" s="30" t="inlineStr">
        <is>
          <t>JOSE OSVALDO DE OLIVEIRA EIRELI</t>
        </is>
      </c>
      <c r="F1179" s="30" t="inlineStr">
        <is>
          <t>2018</t>
        </is>
      </c>
      <c r="G1179" s="40" t="n">
        <v>0</v>
      </c>
    </row>
    <row r="1180" ht="12" customHeight="1">
      <c r="A1180" s="30" t="inlineStr">
        <is>
          <t>ARE</t>
        </is>
      </c>
      <c r="B1180" s="30" t="inlineStr">
        <is>
          <t>Areal</t>
        </is>
      </c>
      <c r="C1180" s="30" t="n">
        <v>79582980</v>
      </c>
      <c r="D1180" s="30">
        <f>"78815958001280"</f>
        <v/>
      </c>
      <c r="E1180" s="30" t="inlineStr">
        <is>
          <t>JOSE OSVALDO DE OLIVEIRA EIRELI</t>
        </is>
      </c>
      <c r="F1180" s="30" t="inlineStr">
        <is>
          <t>2019</t>
        </is>
      </c>
      <c r="G1180" s="40" t="n">
        <v>0</v>
      </c>
    </row>
    <row r="1181" ht="12" customHeight="1">
      <c r="A1181" s="30" t="inlineStr">
        <is>
          <t>ARE</t>
        </is>
      </c>
      <c r="B1181" s="30" t="inlineStr">
        <is>
          <t>Areal</t>
        </is>
      </c>
      <c r="C1181" s="30" t="n">
        <v>79582980</v>
      </c>
      <c r="D1181" s="30">
        <f>"78815958001280"</f>
        <v/>
      </c>
      <c r="E1181" s="30" t="inlineStr">
        <is>
          <t>JOSE OSVALDO DE OLIVEIRA EIRELI</t>
        </is>
      </c>
      <c r="F1181" s="30" t="inlineStr">
        <is>
          <t>2020</t>
        </is>
      </c>
      <c r="G1181" s="40" t="n">
        <v>0</v>
      </c>
    </row>
    <row r="1182" ht="12" customHeight="1">
      <c r="A1182" s="30" t="inlineStr">
        <is>
          <t>ARE</t>
        </is>
      </c>
      <c r="B1182" s="30" t="inlineStr">
        <is>
          <t>Areal</t>
        </is>
      </c>
      <c r="C1182" s="30" t="n">
        <v>79582980</v>
      </c>
      <c r="D1182" s="30">
        <f>"78815958001280"</f>
        <v/>
      </c>
      <c r="E1182" s="30" t="inlineStr">
        <is>
          <t>JOSE OSVALDO DE OLIVEIRA EIRELI</t>
        </is>
      </c>
      <c r="F1182" s="30" t="inlineStr">
        <is>
          <t>2021</t>
        </is>
      </c>
      <c r="G1182" s="40" t="n">
        <v>0</v>
      </c>
    </row>
    <row r="1183" ht="12" customHeight="1">
      <c r="A1183" s="30" t="inlineStr">
        <is>
          <t>ARE</t>
        </is>
      </c>
      <c r="B1183" s="30" t="inlineStr">
        <is>
          <t>Areal</t>
        </is>
      </c>
      <c r="C1183" s="30" t="n">
        <v>79582980</v>
      </c>
      <c r="D1183" s="30">
        <f>"78815958001280"</f>
        <v/>
      </c>
      <c r="E1183" s="30" t="inlineStr">
        <is>
          <t>JOSE OSVALDO DE OLIVEIRA EIRELI</t>
        </is>
      </c>
      <c r="F1183" s="30" t="inlineStr">
        <is>
          <t>2022</t>
        </is>
      </c>
      <c r="G1183" s="40" t="n">
        <v>164.18</v>
      </c>
    </row>
    <row r="1184" ht="12" customHeight="1">
      <c r="A1184" s="30" t="inlineStr">
        <is>
          <t>ARE</t>
        </is>
      </c>
      <c r="B1184" s="30" t="inlineStr">
        <is>
          <t>Areal</t>
        </is>
      </c>
      <c r="C1184" s="30" t="n">
        <v>79582980</v>
      </c>
      <c r="D1184" s="30">
        <f>"78815958001280"</f>
        <v/>
      </c>
      <c r="E1184" s="30" t="inlineStr">
        <is>
          <t>JOSE OSVALDO DE OLIVEIRA EIRELI</t>
        </is>
      </c>
      <c r="F1184" s="30" t="inlineStr">
        <is>
          <t>2023</t>
        </is>
      </c>
      <c r="G1184" s="40" t="n">
        <v>146.9</v>
      </c>
    </row>
    <row r="1185" ht="12" customHeight="1">
      <c r="A1185" s="30" t="inlineStr">
        <is>
          <t>ARE</t>
        </is>
      </c>
      <c r="B1185" s="30" t="inlineStr">
        <is>
          <t>Areal</t>
        </is>
      </c>
      <c r="C1185" s="30" t="n">
        <v>79622761</v>
      </c>
      <c r="D1185" s="30">
        <f>"15163525000115"</f>
        <v/>
      </c>
      <c r="E1185" s="30" t="inlineStr">
        <is>
          <t>COTRIM TRANSPORTE E LOCACAO DE MAQUINAS EIRELI ME</t>
        </is>
      </c>
      <c r="F1185" s="30" t="inlineStr">
        <is>
          <t>2017</t>
        </is>
      </c>
      <c r="G1185" s="40" t="n">
        <v>0</v>
      </c>
    </row>
    <row r="1186" ht="12" customHeight="1">
      <c r="A1186" s="30" t="inlineStr">
        <is>
          <t>ARE</t>
        </is>
      </c>
      <c r="B1186" s="30" t="inlineStr">
        <is>
          <t>Areal</t>
        </is>
      </c>
      <c r="C1186" s="30" t="n">
        <v>79622761</v>
      </c>
      <c r="D1186" s="30">
        <f>"15163525000115"</f>
        <v/>
      </c>
      <c r="E1186" s="30" t="inlineStr">
        <is>
          <t>COTRIM TRANSPORTE E LOCACAO DE MAQUINAS EIRELI ME</t>
        </is>
      </c>
      <c r="F1186" s="30" t="inlineStr">
        <is>
          <t>2018</t>
        </is>
      </c>
      <c r="G1186" s="40" t="n">
        <v>1800</v>
      </c>
    </row>
    <row r="1187" ht="12" customHeight="1">
      <c r="A1187" s="30" t="inlineStr">
        <is>
          <t>ARE</t>
        </is>
      </c>
      <c r="B1187" s="30" t="inlineStr">
        <is>
          <t>Areal</t>
        </is>
      </c>
      <c r="C1187" s="30" t="n">
        <v>79622761</v>
      </c>
      <c r="D1187" s="30">
        <f>"15163525000115"</f>
        <v/>
      </c>
      <c r="E1187" s="30" t="inlineStr">
        <is>
          <t>COTRIM TRANSPORTE E LOCACAO DE MAQUINAS EIRELI ME</t>
        </is>
      </c>
      <c r="F1187" s="30" t="inlineStr">
        <is>
          <t>2019</t>
        </is>
      </c>
      <c r="G1187" s="40" t="n">
        <v>0</v>
      </c>
    </row>
    <row r="1188" ht="12" customHeight="1">
      <c r="A1188" s="30" t="inlineStr">
        <is>
          <t>ARE</t>
        </is>
      </c>
      <c r="B1188" s="30" t="inlineStr">
        <is>
          <t>Areal</t>
        </is>
      </c>
      <c r="C1188" s="30" t="n">
        <v>79622761</v>
      </c>
      <c r="D1188" s="30">
        <f>"15163525000115"</f>
        <v/>
      </c>
      <c r="E1188" s="30" t="inlineStr">
        <is>
          <t>COTRIM TRANSPORTE E LOCACAO DE MAQUINAS EIRELI ME</t>
        </is>
      </c>
      <c r="F1188" s="30" t="inlineStr">
        <is>
          <t>2020</t>
        </is>
      </c>
      <c r="G1188" s="40" t="n">
        <v>0</v>
      </c>
    </row>
    <row r="1189" ht="12" customHeight="1">
      <c r="A1189" s="30" t="inlineStr">
        <is>
          <t>ARE</t>
        </is>
      </c>
      <c r="B1189" s="30" t="inlineStr">
        <is>
          <t>Areal</t>
        </is>
      </c>
      <c r="C1189" s="30" t="n">
        <v>79639990</v>
      </c>
      <c r="D1189" s="30">
        <f>"04605519000235"</f>
        <v/>
      </c>
      <c r="E1189" s="30" t="inlineStr">
        <is>
          <t>TRANS TRUCK LOGISTICA E TRANSPORTES LTDA</t>
        </is>
      </c>
      <c r="F1189" s="30" t="inlineStr">
        <is>
          <t>2017</t>
        </is>
      </c>
      <c r="G1189" s="40" t="n">
        <v>0</v>
      </c>
    </row>
    <row r="1190" ht="12" customHeight="1">
      <c r="A1190" s="30" t="inlineStr">
        <is>
          <t>ARE</t>
        </is>
      </c>
      <c r="B1190" s="30" t="inlineStr">
        <is>
          <t>Areal</t>
        </is>
      </c>
      <c r="C1190" s="30" t="n">
        <v>79639990</v>
      </c>
      <c r="D1190" s="30">
        <f>"04605519000235"</f>
        <v/>
      </c>
      <c r="E1190" s="30" t="inlineStr">
        <is>
          <t>TRANS TRUCK LOGISTICA E TRANSPORTES LTDA</t>
        </is>
      </c>
      <c r="F1190" s="30" t="inlineStr">
        <is>
          <t>2018</t>
        </is>
      </c>
      <c r="G1190" s="40" t="n">
        <v>0</v>
      </c>
    </row>
    <row r="1191" ht="12" customHeight="1">
      <c r="A1191" s="30" t="inlineStr">
        <is>
          <t>ARE</t>
        </is>
      </c>
      <c r="B1191" s="30" t="inlineStr">
        <is>
          <t>Areal</t>
        </is>
      </c>
      <c r="C1191" s="30" t="n">
        <v>79639990</v>
      </c>
      <c r="D1191" s="30">
        <f>"04605519000235"</f>
        <v/>
      </c>
      <c r="E1191" s="30" t="inlineStr">
        <is>
          <t>TRANS TRUCK LOGISTICA E TRANSPORTES LTDA</t>
        </is>
      </c>
      <c r="F1191" s="30" t="inlineStr">
        <is>
          <t>2019</t>
        </is>
      </c>
      <c r="G1191" s="40" t="n">
        <v>58.52</v>
      </c>
    </row>
    <row r="1192" ht="12" customHeight="1">
      <c r="A1192" s="30" t="inlineStr">
        <is>
          <t>ARE</t>
        </is>
      </c>
      <c r="B1192" s="30" t="inlineStr">
        <is>
          <t>Areal</t>
        </is>
      </c>
      <c r="C1192" s="30" t="n">
        <v>79639990</v>
      </c>
      <c r="D1192" s="30">
        <f>"04605519000235"</f>
        <v/>
      </c>
      <c r="E1192" s="30" t="inlineStr">
        <is>
          <t>TRANS TRUCK LOGISTICA E TRANSPORTES LTDA</t>
        </is>
      </c>
      <c r="F1192" s="30" t="inlineStr">
        <is>
          <t>2020</t>
        </is>
      </c>
      <c r="G1192" s="40" t="n">
        <v>18.09</v>
      </c>
    </row>
    <row r="1193" ht="12" customHeight="1">
      <c r="A1193" s="30" t="inlineStr">
        <is>
          <t>ARE</t>
        </is>
      </c>
      <c r="B1193" s="30" t="inlineStr">
        <is>
          <t>Areal</t>
        </is>
      </c>
      <c r="C1193" s="30" t="n">
        <v>79639990</v>
      </c>
      <c r="D1193" s="30">
        <f>"04605519000235"</f>
        <v/>
      </c>
      <c r="E1193" s="30" t="inlineStr">
        <is>
          <t>TRANS TRUCK LOGISTICA E TRANSPORTES LTDA</t>
        </is>
      </c>
      <c r="F1193" s="30" t="inlineStr">
        <is>
          <t>2021</t>
        </is>
      </c>
      <c r="G1193" s="40" t="n">
        <v>0</v>
      </c>
    </row>
    <row r="1194" ht="12" customHeight="1">
      <c r="A1194" s="30" t="inlineStr">
        <is>
          <t>ARE</t>
        </is>
      </c>
      <c r="B1194" s="30" t="inlineStr">
        <is>
          <t>Areal</t>
        </is>
      </c>
      <c r="C1194" s="30" t="n">
        <v>79639990</v>
      </c>
      <c r="D1194" s="30">
        <f>"04605519000235"</f>
        <v/>
      </c>
      <c r="E1194" s="30" t="inlineStr">
        <is>
          <t>TRANS TRUCK LOGISTICA E TRANSPORTES LTDA</t>
        </is>
      </c>
      <c r="F1194" s="30" t="inlineStr">
        <is>
          <t>2022</t>
        </is>
      </c>
      <c r="G1194" s="40" t="n">
        <v>0</v>
      </c>
    </row>
    <row r="1195" ht="12" customHeight="1">
      <c r="A1195" s="30" t="inlineStr">
        <is>
          <t>ARE</t>
        </is>
      </c>
      <c r="B1195" s="30" t="inlineStr">
        <is>
          <t>Areal</t>
        </is>
      </c>
      <c r="C1195" s="30" t="n">
        <v>79653918</v>
      </c>
      <c r="D1195" s="30">
        <f>"12738343000137"</f>
        <v/>
      </c>
      <c r="E1195" s="30" t="inlineStr">
        <is>
          <t>ELISANDRO DE MELO P SERV ELET E COM DE PEC EM VEIC AUT ME</t>
        </is>
      </c>
      <c r="F1195" s="30" t="inlineStr">
        <is>
          <t>2018</t>
        </is>
      </c>
      <c r="G1195" s="40" t="n">
        <v>0</v>
      </c>
    </row>
    <row r="1196" ht="12" customHeight="1">
      <c r="A1196" s="30" t="inlineStr">
        <is>
          <t>ARE</t>
        </is>
      </c>
      <c r="B1196" s="30" t="inlineStr">
        <is>
          <t>Areal</t>
        </is>
      </c>
      <c r="C1196" s="30" t="n">
        <v>79653918</v>
      </c>
      <c r="D1196" s="30">
        <f>"12738343000137"</f>
        <v/>
      </c>
      <c r="E1196" s="30" t="inlineStr">
        <is>
          <t>ELISANDRO DE MELO P SERV ELET E COM DE PEC EM VEIC AUT ME</t>
        </is>
      </c>
      <c r="F1196" s="30" t="inlineStr">
        <is>
          <t>2019</t>
        </is>
      </c>
      <c r="G1196" s="40" t="n">
        <v>0</v>
      </c>
    </row>
    <row r="1197" ht="12" customHeight="1">
      <c r="A1197" s="30" t="inlineStr">
        <is>
          <t>ARE</t>
        </is>
      </c>
      <c r="B1197" s="30" t="inlineStr">
        <is>
          <t>Areal</t>
        </is>
      </c>
      <c r="C1197" s="30" t="n">
        <v>79653918</v>
      </c>
      <c r="D1197" s="30">
        <f>"12738343000137"</f>
        <v/>
      </c>
      <c r="E1197" s="30" t="inlineStr">
        <is>
          <t>ELISANDRO DE MELO P SERV ELET E COM DE PEC EM VEIC AUT ME</t>
        </is>
      </c>
      <c r="F1197" s="30" t="inlineStr">
        <is>
          <t>2020</t>
        </is>
      </c>
      <c r="G1197" s="40" t="n">
        <v>0</v>
      </c>
    </row>
    <row r="1198" ht="12" customHeight="1">
      <c r="A1198" s="30" t="inlineStr">
        <is>
          <t>ARE</t>
        </is>
      </c>
      <c r="B1198" s="30" t="inlineStr">
        <is>
          <t>Areal</t>
        </is>
      </c>
      <c r="C1198" s="30" t="n">
        <v>79653918</v>
      </c>
      <c r="D1198" s="30">
        <f>"12738343000137"</f>
        <v/>
      </c>
      <c r="E1198" s="30" t="inlineStr">
        <is>
          <t>ELISANDRO DE MELO P SERV ELET E COM DE PEC EM VEIC AUT ME</t>
        </is>
      </c>
      <c r="F1198" s="30" t="inlineStr">
        <is>
          <t>2021</t>
        </is>
      </c>
      <c r="G1198" s="40" t="n">
        <v>0</v>
      </c>
    </row>
    <row r="1199" ht="12" customHeight="1">
      <c r="A1199" s="30" t="inlineStr">
        <is>
          <t>ARE</t>
        </is>
      </c>
      <c r="B1199" s="30" t="inlineStr">
        <is>
          <t>Areal</t>
        </is>
      </c>
      <c r="C1199" s="30" t="n">
        <v>79653918</v>
      </c>
      <c r="D1199" s="30">
        <f>"12738343000137"</f>
        <v/>
      </c>
      <c r="E1199" s="30" t="inlineStr">
        <is>
          <t>ELISANDRO DE MELO P SERV ELET E COM DE PEC EM VEIC AUT ME</t>
        </is>
      </c>
      <c r="F1199" s="30" t="inlineStr">
        <is>
          <t>2022</t>
        </is>
      </c>
      <c r="G1199" s="40" t="n">
        <v>0</v>
      </c>
    </row>
    <row r="1200" ht="12" customHeight="1">
      <c r="A1200" s="30" t="inlineStr">
        <is>
          <t>ARE</t>
        </is>
      </c>
      <c r="B1200" s="30" t="inlineStr">
        <is>
          <t>Areal</t>
        </is>
      </c>
      <c r="C1200" s="30" t="n">
        <v>79722049</v>
      </c>
      <c r="D1200" s="30">
        <f>"16539434000102"</f>
        <v/>
      </c>
      <c r="E1200" s="30" t="inlineStr">
        <is>
          <t>CORTASIO COMERCIO DE VEICULOS EIRELI</t>
        </is>
      </c>
      <c r="F1200" s="30" t="inlineStr">
        <is>
          <t>2017</t>
        </is>
      </c>
      <c r="G1200" s="40" t="n">
        <v>173000</v>
      </c>
    </row>
    <row r="1201" ht="12" customHeight="1">
      <c r="A1201" s="30" t="inlineStr">
        <is>
          <t>ARE</t>
        </is>
      </c>
      <c r="B1201" s="30" t="inlineStr">
        <is>
          <t>Areal</t>
        </is>
      </c>
      <c r="C1201" s="30" t="n">
        <v>79722049</v>
      </c>
      <c r="D1201" s="30">
        <f>"16539434000102"</f>
        <v/>
      </c>
      <c r="E1201" s="30" t="inlineStr">
        <is>
          <t>CORTASIO COMERCIO DE VEICULOS EIRELI</t>
        </is>
      </c>
      <c r="F1201" s="30" t="inlineStr">
        <is>
          <t>2018</t>
        </is>
      </c>
      <c r="G1201" s="40" t="n">
        <v>205000</v>
      </c>
    </row>
    <row r="1202" ht="12" customHeight="1">
      <c r="A1202" s="30" t="inlineStr">
        <is>
          <t>ARE</t>
        </is>
      </c>
      <c r="B1202" s="30" t="inlineStr">
        <is>
          <t>Areal</t>
        </is>
      </c>
      <c r="C1202" s="30" t="n">
        <v>79722049</v>
      </c>
      <c r="D1202" s="30">
        <f>"16539434000102"</f>
        <v/>
      </c>
      <c r="E1202" s="30" t="inlineStr">
        <is>
          <t>CORTASIO COMERCIO DE VEICULOS EIRELI</t>
        </is>
      </c>
      <c r="F1202" s="30" t="inlineStr">
        <is>
          <t>2019</t>
        </is>
      </c>
      <c r="G1202" s="40" t="n">
        <v>217300</v>
      </c>
    </row>
    <row r="1203" ht="12" customHeight="1">
      <c r="A1203" s="30" t="inlineStr">
        <is>
          <t>ARE</t>
        </is>
      </c>
      <c r="B1203" s="30" t="inlineStr">
        <is>
          <t>Areal</t>
        </is>
      </c>
      <c r="C1203" s="30" t="n">
        <v>79722049</v>
      </c>
      <c r="D1203" s="30">
        <f>"16539434000102"</f>
        <v/>
      </c>
      <c r="E1203" s="30" t="inlineStr">
        <is>
          <t>CORTASIO COMERCIO DE VEICULOS EIRELI</t>
        </is>
      </c>
      <c r="F1203" s="30" t="inlineStr">
        <is>
          <t>2020</t>
        </is>
      </c>
      <c r="G1203" s="40" t="n">
        <v>188500</v>
      </c>
    </row>
    <row r="1204" ht="12" customHeight="1">
      <c r="A1204" s="30" t="inlineStr">
        <is>
          <t>ARE</t>
        </is>
      </c>
      <c r="B1204" s="30" t="inlineStr">
        <is>
          <t>Areal</t>
        </is>
      </c>
      <c r="C1204" s="30" t="n">
        <v>79722049</v>
      </c>
      <c r="D1204" s="30">
        <f>"16539434000102"</f>
        <v/>
      </c>
      <c r="E1204" s="30" t="inlineStr">
        <is>
          <t>CORTASIO COMERCIO DE VEICULOS EIRELI</t>
        </is>
      </c>
      <c r="F1204" s="30" t="inlineStr">
        <is>
          <t>2021</t>
        </is>
      </c>
      <c r="G1204" s="40" t="n">
        <v>85000</v>
      </c>
    </row>
    <row r="1205" ht="12" customHeight="1">
      <c r="A1205" s="30" t="inlineStr">
        <is>
          <t>ARE</t>
        </is>
      </c>
      <c r="B1205" s="30" t="inlineStr">
        <is>
          <t>Areal</t>
        </is>
      </c>
      <c r="C1205" s="30" t="n">
        <v>79722049</v>
      </c>
      <c r="D1205" s="30">
        <f>"16539434000102"</f>
        <v/>
      </c>
      <c r="E1205" s="30" t="inlineStr">
        <is>
          <t>CORTASIO COMERCIO DE VEICULOS EIRELI</t>
        </is>
      </c>
      <c r="F1205" s="30" t="inlineStr">
        <is>
          <t>2022</t>
        </is>
      </c>
      <c r="G1205" s="40" t="n">
        <v>169000</v>
      </c>
    </row>
    <row r="1206" ht="12" customHeight="1">
      <c r="A1206" s="30" t="inlineStr">
        <is>
          <t>ARE</t>
        </is>
      </c>
      <c r="B1206" s="30" t="inlineStr">
        <is>
          <t>Areal</t>
        </is>
      </c>
      <c r="C1206" s="30" t="n">
        <v>79722049</v>
      </c>
      <c r="D1206" s="30">
        <f>"16539434000102"</f>
        <v/>
      </c>
      <c r="E1206" s="30" t="inlineStr">
        <is>
          <t>CORTASIO COMERCIO DE VEICULOS EIRELI</t>
        </is>
      </c>
      <c r="F1206" s="30" t="inlineStr">
        <is>
          <t>2023</t>
        </is>
      </c>
      <c r="G1206" s="40" t="n">
        <v>269000</v>
      </c>
    </row>
    <row r="1207" ht="12" customHeight="1">
      <c r="A1207" s="30" t="inlineStr">
        <is>
          <t>ARE</t>
        </is>
      </c>
      <c r="B1207" s="30" t="inlineStr">
        <is>
          <t>Areal</t>
        </is>
      </c>
      <c r="C1207" s="30" t="n">
        <v>79747432</v>
      </c>
      <c r="D1207" s="30">
        <f>"16842610000172"</f>
        <v/>
      </c>
      <c r="E1207" s="30" t="inlineStr">
        <is>
          <t>P P M DE FREITAS REAL BAMBU</t>
        </is>
      </c>
      <c r="F1207" s="30" t="inlineStr">
        <is>
          <t>2017</t>
        </is>
      </c>
      <c r="G1207" s="40" t="n">
        <v>0</v>
      </c>
    </row>
    <row r="1208" ht="12" customHeight="1">
      <c r="A1208" s="30" t="inlineStr">
        <is>
          <t>ARE</t>
        </is>
      </c>
      <c r="B1208" s="30" t="inlineStr">
        <is>
          <t>Areal</t>
        </is>
      </c>
      <c r="C1208" s="30" t="n">
        <v>79747432</v>
      </c>
      <c r="D1208" s="30">
        <f>"16842610000172"</f>
        <v/>
      </c>
      <c r="E1208" s="30" t="inlineStr">
        <is>
          <t>P P M DE FREITAS REAL BAMBU</t>
        </is>
      </c>
      <c r="F1208" s="30" t="inlineStr">
        <is>
          <t>2018</t>
        </is>
      </c>
      <c r="G1208" s="40" t="n">
        <v>0</v>
      </c>
    </row>
    <row r="1209" ht="12" customHeight="1">
      <c r="A1209" s="30" t="inlineStr">
        <is>
          <t>ARE</t>
        </is>
      </c>
      <c r="B1209" s="30" t="inlineStr">
        <is>
          <t>Areal</t>
        </is>
      </c>
      <c r="C1209" s="30" t="n">
        <v>79747432</v>
      </c>
      <c r="D1209" s="30">
        <f>"16842610000172"</f>
        <v/>
      </c>
      <c r="E1209" s="30" t="inlineStr">
        <is>
          <t>P P M DE FREITAS REAL BAMBU</t>
        </is>
      </c>
      <c r="F1209" s="30" t="inlineStr">
        <is>
          <t>2019</t>
        </is>
      </c>
      <c r="G1209" s="40" t="n">
        <v>0</v>
      </c>
    </row>
    <row r="1210" ht="12" customHeight="1">
      <c r="A1210" s="30" t="inlineStr">
        <is>
          <t>ARE</t>
        </is>
      </c>
      <c r="B1210" s="30" t="inlineStr">
        <is>
          <t>Areal</t>
        </is>
      </c>
      <c r="C1210" s="30" t="n">
        <v>79757934</v>
      </c>
      <c r="D1210" s="30">
        <f>"16907562000153"</f>
        <v/>
      </c>
      <c r="E1210" s="30" t="inlineStr">
        <is>
          <t>VAREJAO SALDANHA LTDA EPP</t>
        </is>
      </c>
      <c r="F1210" s="30" t="inlineStr">
        <is>
          <t>2017</t>
        </is>
      </c>
      <c r="G1210" s="40" t="n">
        <v>0</v>
      </c>
    </row>
    <row r="1211" ht="12" customHeight="1">
      <c r="A1211" s="30" t="inlineStr">
        <is>
          <t>ARE</t>
        </is>
      </c>
      <c r="B1211" s="30" t="inlineStr">
        <is>
          <t>Areal</t>
        </is>
      </c>
      <c r="C1211" s="30" t="n">
        <v>79757934</v>
      </c>
      <c r="D1211" s="30">
        <f>"16907562000153"</f>
        <v/>
      </c>
      <c r="E1211" s="30" t="inlineStr">
        <is>
          <t>VAREJAO SALDANHA LTDA EPP</t>
        </is>
      </c>
      <c r="F1211" s="30" t="inlineStr">
        <is>
          <t>2018</t>
        </is>
      </c>
      <c r="G1211" s="40" t="n">
        <v>0</v>
      </c>
    </row>
    <row r="1212" ht="12" customHeight="1">
      <c r="A1212" s="30" t="inlineStr">
        <is>
          <t>ARE</t>
        </is>
      </c>
      <c r="B1212" s="30" t="inlineStr">
        <is>
          <t>Areal</t>
        </is>
      </c>
      <c r="C1212" s="30" t="n">
        <v>79757934</v>
      </c>
      <c r="D1212" s="30">
        <f>"16907562000153"</f>
        <v/>
      </c>
      <c r="E1212" s="30" t="inlineStr">
        <is>
          <t>VAREJAO SALDANHA LTDA EPP</t>
        </is>
      </c>
      <c r="F1212" s="30" t="inlineStr">
        <is>
          <t>2019</t>
        </is>
      </c>
      <c r="G1212" s="40" t="n">
        <v>0</v>
      </c>
    </row>
    <row r="1213" ht="12" customHeight="1">
      <c r="A1213" s="30" t="inlineStr">
        <is>
          <t>ARE</t>
        </is>
      </c>
      <c r="B1213" s="30" t="inlineStr">
        <is>
          <t>Areal</t>
        </is>
      </c>
      <c r="C1213" s="30" t="n">
        <v>79757934</v>
      </c>
      <c r="D1213" s="30">
        <f>"16907562000153"</f>
        <v/>
      </c>
      <c r="E1213" s="30" t="inlineStr">
        <is>
          <t>VAREJAO SALDANHA LTDA EPP</t>
        </is>
      </c>
      <c r="F1213" s="30" t="inlineStr">
        <is>
          <t>2020</t>
        </is>
      </c>
      <c r="G1213" s="40" t="n">
        <v>0</v>
      </c>
    </row>
    <row r="1214" ht="12" customHeight="1">
      <c r="A1214" s="30" t="inlineStr">
        <is>
          <t>ARE</t>
        </is>
      </c>
      <c r="B1214" s="30" t="inlineStr">
        <is>
          <t>Areal</t>
        </is>
      </c>
      <c r="C1214" s="30" t="n">
        <v>79757934</v>
      </c>
      <c r="D1214" s="30">
        <f>"16907562000153"</f>
        <v/>
      </c>
      <c r="E1214" s="30" t="inlineStr">
        <is>
          <t>VAREJAO SALDANHA LTDA EPP</t>
        </is>
      </c>
      <c r="F1214" s="30" t="inlineStr">
        <is>
          <t>2021</t>
        </is>
      </c>
      <c r="G1214" s="40" t="n">
        <v>0</v>
      </c>
    </row>
    <row r="1215" ht="12" customHeight="1">
      <c r="A1215" s="30" t="inlineStr">
        <is>
          <t>ARE</t>
        </is>
      </c>
      <c r="B1215" s="30" t="inlineStr">
        <is>
          <t>Areal</t>
        </is>
      </c>
      <c r="C1215" s="30" t="n">
        <v>79757934</v>
      </c>
      <c r="D1215" s="30">
        <f>"16907562000153"</f>
        <v/>
      </c>
      <c r="E1215" s="30" t="inlineStr">
        <is>
          <t>VAREJAO SALDANHA LTDA EPP</t>
        </is>
      </c>
      <c r="F1215" s="30" t="inlineStr">
        <is>
          <t>2022</t>
        </is>
      </c>
      <c r="G1215" s="40" t="n">
        <v>0</v>
      </c>
    </row>
    <row r="1216" ht="12" customHeight="1">
      <c r="A1216" s="30" t="inlineStr">
        <is>
          <t>ARE</t>
        </is>
      </c>
      <c r="B1216" s="30" t="inlineStr">
        <is>
          <t>Areal</t>
        </is>
      </c>
      <c r="C1216" s="30" t="n">
        <v>79757934</v>
      </c>
      <c r="D1216" s="30">
        <f>"16907562000153"</f>
        <v/>
      </c>
      <c r="E1216" s="30" t="inlineStr">
        <is>
          <t>VAREJAO SALDANHA LTDA EPP</t>
        </is>
      </c>
      <c r="F1216" s="30" t="inlineStr">
        <is>
          <t>2023</t>
        </is>
      </c>
      <c r="G1216" s="40" t="n">
        <v>0</v>
      </c>
    </row>
    <row r="1217" ht="12" customHeight="1">
      <c r="A1217" s="30" t="inlineStr">
        <is>
          <t>ARE</t>
        </is>
      </c>
      <c r="B1217" s="30" t="inlineStr">
        <is>
          <t>Areal</t>
        </is>
      </c>
      <c r="C1217" s="30" t="n">
        <v>79789461</v>
      </c>
      <c r="D1217" s="30">
        <f>"12842869000162"</f>
        <v/>
      </c>
      <c r="E1217" s="30" t="inlineStr">
        <is>
          <t>NEWSTEC - SERVICO TECNICO EM MONTAGEM, MANUTENCAO DE CALDEIRAS E CONSTRUCOES EIRELI</t>
        </is>
      </c>
      <c r="F1217" s="30" t="inlineStr">
        <is>
          <t>2017</t>
        </is>
      </c>
      <c r="G1217" s="40" t="n">
        <v>0</v>
      </c>
    </row>
    <row r="1218" ht="12" customHeight="1">
      <c r="A1218" s="30" t="inlineStr">
        <is>
          <t>ARE</t>
        </is>
      </c>
      <c r="B1218" s="30" t="inlineStr">
        <is>
          <t>Areal</t>
        </is>
      </c>
      <c r="C1218" s="30" t="n">
        <v>79789461</v>
      </c>
      <c r="D1218" s="30">
        <f>"12842869000162"</f>
        <v/>
      </c>
      <c r="E1218" s="30" t="inlineStr">
        <is>
          <t>NEWSTEC - SERVICO TECNICO EM MONTAGEM, MANUTENCAO DE CALDEIRAS E CONSTRUCOES EIRELI</t>
        </is>
      </c>
      <c r="F1218" s="30" t="inlineStr">
        <is>
          <t>2018</t>
        </is>
      </c>
      <c r="G1218" s="40" t="n">
        <v>0</v>
      </c>
    </row>
    <row r="1219" ht="12" customHeight="1">
      <c r="A1219" s="30" t="inlineStr">
        <is>
          <t>ARE</t>
        </is>
      </c>
      <c r="B1219" s="30" t="inlineStr">
        <is>
          <t>Areal</t>
        </is>
      </c>
      <c r="C1219" s="30" t="n">
        <v>79789461</v>
      </c>
      <c r="D1219" s="30">
        <f>"12842869000162"</f>
        <v/>
      </c>
      <c r="E1219" s="30" t="inlineStr">
        <is>
          <t>NEWSTEC - SERVICO TECNICO EM MONTAGEM, MANUTENCAO DE CALDEIRAS E CONSTRUCOES EIRELI</t>
        </is>
      </c>
      <c r="F1219" s="30" t="inlineStr">
        <is>
          <t>2019</t>
        </is>
      </c>
      <c r="G1219" s="40" t="n">
        <v>0</v>
      </c>
    </row>
    <row r="1220" ht="12" customHeight="1">
      <c r="A1220" s="30" t="inlineStr">
        <is>
          <t>ARE</t>
        </is>
      </c>
      <c r="B1220" s="30" t="inlineStr">
        <is>
          <t>Areal</t>
        </is>
      </c>
      <c r="C1220" s="30" t="n">
        <v>79789461</v>
      </c>
      <c r="D1220" s="30">
        <f>"12842869000162"</f>
        <v/>
      </c>
      <c r="E1220" s="30" t="inlineStr">
        <is>
          <t>NEWSTEC - SERVICO TECNICO EM MONTAGEM, MANUTENCAO DE CALDEIRAS E CONSTRUCOES EIRELI</t>
        </is>
      </c>
      <c r="F1220" s="30" t="inlineStr">
        <is>
          <t>2020</t>
        </is>
      </c>
      <c r="G1220" s="40" t="n">
        <v>360967.44</v>
      </c>
    </row>
    <row r="1221" ht="12" customHeight="1">
      <c r="A1221" s="30" t="inlineStr">
        <is>
          <t>ARE</t>
        </is>
      </c>
      <c r="B1221" s="30" t="inlineStr">
        <is>
          <t>Areal</t>
        </is>
      </c>
      <c r="C1221" s="30" t="n">
        <v>79789461</v>
      </c>
      <c r="D1221" s="30">
        <f>"12842869000162"</f>
        <v/>
      </c>
      <c r="E1221" s="30" t="inlineStr">
        <is>
          <t>NEWSTEC - SERVICO TECNICO EM MONTAGEM, MANUTENCAO DE CALDEIRAS E CONSTRUCOES EIRELI</t>
        </is>
      </c>
      <c r="F1221" s="30" t="inlineStr">
        <is>
          <t>2021</t>
        </is>
      </c>
      <c r="G1221" s="40" t="n">
        <v>0</v>
      </c>
    </row>
    <row r="1222" ht="12" customHeight="1">
      <c r="A1222" s="30" t="inlineStr">
        <is>
          <t>ARE</t>
        </is>
      </c>
      <c r="B1222" s="30" t="inlineStr">
        <is>
          <t>Areal</t>
        </is>
      </c>
      <c r="C1222" s="30" t="n">
        <v>79789461</v>
      </c>
      <c r="D1222" s="30">
        <f>"12842869000162"</f>
        <v/>
      </c>
      <c r="E1222" s="30" t="inlineStr">
        <is>
          <t>NEWSTEC - SERVICO TECNICO EM MONTAGEM, MANUTENCAO DE CALDEIRAS E CONSTRUCOES EIRELI</t>
        </is>
      </c>
      <c r="F1222" s="30" t="inlineStr">
        <is>
          <t>2022</t>
        </is>
      </c>
      <c r="G1222" s="40" t="n">
        <v>0</v>
      </c>
    </row>
    <row r="1223" ht="12" customHeight="1">
      <c r="A1223" s="30" t="inlineStr">
        <is>
          <t>ARE</t>
        </is>
      </c>
      <c r="B1223" s="30" t="inlineStr">
        <is>
          <t>Areal</t>
        </is>
      </c>
      <c r="C1223" s="30" t="n">
        <v>79789461</v>
      </c>
      <c r="D1223" s="30">
        <f>"12842869000162"</f>
        <v/>
      </c>
      <c r="E1223" s="30" t="inlineStr">
        <is>
          <t>NEWSTEC - SERVICO TECNICO EM MONTAGEM, MANUTENCAO DE CALDEIRAS E CONSTRUCOES EIRELI</t>
        </is>
      </c>
      <c r="F1223" s="30" t="inlineStr">
        <is>
          <t>2023</t>
        </is>
      </c>
      <c r="G1223" s="40" t="n">
        <v>1053476.25</v>
      </c>
    </row>
    <row r="1224" ht="12" customHeight="1">
      <c r="A1224" s="30" t="inlineStr">
        <is>
          <t>ARE</t>
        </is>
      </c>
      <c r="B1224" s="30" t="inlineStr">
        <is>
          <t>Areal</t>
        </is>
      </c>
      <c r="C1224" s="30" t="n">
        <v>79790869</v>
      </c>
      <c r="D1224" s="30">
        <f>"15694108000107"</f>
        <v/>
      </c>
      <c r="E1224" s="30" t="inlineStr">
        <is>
          <t>ARIEL DIAS CURVELLO CRIACAO DE CAVALOS</t>
        </is>
      </c>
      <c r="F1224" s="30" t="inlineStr">
        <is>
          <t>2017</t>
        </is>
      </c>
      <c r="G1224" s="40" t="n">
        <v>0</v>
      </c>
    </row>
    <row r="1225" ht="12" customHeight="1">
      <c r="A1225" s="30" t="inlineStr">
        <is>
          <t>ARE</t>
        </is>
      </c>
      <c r="B1225" s="30" t="inlineStr">
        <is>
          <t>Areal</t>
        </is>
      </c>
      <c r="C1225" s="30" t="n">
        <v>79790869</v>
      </c>
      <c r="D1225" s="30">
        <f>"15694108000107"</f>
        <v/>
      </c>
      <c r="E1225" s="30" t="inlineStr">
        <is>
          <t>ARIEL DIAS CURVELLO CRIACAO DE CAVALOS</t>
        </is>
      </c>
      <c r="F1225" s="30" t="inlineStr">
        <is>
          <t>2018</t>
        </is>
      </c>
      <c r="G1225" s="40" t="n">
        <v>0</v>
      </c>
    </row>
    <row r="1226" ht="12" customHeight="1">
      <c r="A1226" s="30" t="inlineStr">
        <is>
          <t>ARE</t>
        </is>
      </c>
      <c r="B1226" s="30" t="inlineStr">
        <is>
          <t>Areal</t>
        </is>
      </c>
      <c r="C1226" s="30" t="n">
        <v>79790869</v>
      </c>
      <c r="D1226" s="30">
        <f>"15694108000107"</f>
        <v/>
      </c>
      <c r="E1226" s="30" t="inlineStr">
        <is>
          <t>ARIEL DIAS CURVELLO CRIACAO DE CAVALOS</t>
        </is>
      </c>
      <c r="F1226" s="30" t="inlineStr">
        <is>
          <t>2019</t>
        </is>
      </c>
      <c r="G1226" s="40" t="n">
        <v>0</v>
      </c>
    </row>
    <row r="1227" ht="12" customHeight="1">
      <c r="A1227" s="30" t="inlineStr">
        <is>
          <t>ARE</t>
        </is>
      </c>
      <c r="B1227" s="30" t="inlineStr">
        <is>
          <t>Areal</t>
        </is>
      </c>
      <c r="C1227" s="30" t="n">
        <v>79790869</v>
      </c>
      <c r="D1227" s="30">
        <f>"15694108000107"</f>
        <v/>
      </c>
      <c r="E1227" s="30" t="inlineStr">
        <is>
          <t>ARIEL DIAS CURVELLO CRIACAO DE CAVALOS</t>
        </is>
      </c>
      <c r="F1227" s="30" t="inlineStr">
        <is>
          <t>2020</t>
        </is>
      </c>
      <c r="G1227" s="40" t="n">
        <v>0</v>
      </c>
    </row>
    <row r="1228" ht="12" customHeight="1">
      <c r="A1228" s="30" t="inlineStr">
        <is>
          <t>ARE</t>
        </is>
      </c>
      <c r="B1228" s="30" t="inlineStr">
        <is>
          <t>Areal</t>
        </is>
      </c>
      <c r="C1228" s="30" t="n">
        <v>79790869</v>
      </c>
      <c r="D1228" s="30">
        <f>"15694108000107"</f>
        <v/>
      </c>
      <c r="E1228" s="30" t="inlineStr">
        <is>
          <t>ARIEL DIAS CURVELLO CRIACAO DE CAVALOS</t>
        </is>
      </c>
      <c r="F1228" s="30" t="inlineStr">
        <is>
          <t>2021</t>
        </is>
      </c>
      <c r="G1228" s="40" t="n">
        <v>0</v>
      </c>
    </row>
    <row r="1229" ht="12" customHeight="1">
      <c r="A1229" s="30" t="inlineStr">
        <is>
          <t>ARE</t>
        </is>
      </c>
      <c r="B1229" s="30" t="inlineStr">
        <is>
          <t>Areal</t>
        </is>
      </c>
      <c r="C1229" s="30" t="n">
        <v>79790869</v>
      </c>
      <c r="D1229" s="30">
        <f>"15694108000107"</f>
        <v/>
      </c>
      <c r="E1229" s="30" t="inlineStr">
        <is>
          <t>ARIEL DIAS CURVELLO CRIACAO DE CAVALOS</t>
        </is>
      </c>
      <c r="F1229" s="30" t="inlineStr">
        <is>
          <t>2022</t>
        </is>
      </c>
      <c r="G1229" s="40" t="n">
        <v>0</v>
      </c>
    </row>
    <row r="1230" ht="12" customHeight="1">
      <c r="A1230" s="30" t="inlineStr">
        <is>
          <t>ARE</t>
        </is>
      </c>
      <c r="B1230" s="30" t="inlineStr">
        <is>
          <t>Areal</t>
        </is>
      </c>
      <c r="C1230" s="30" t="n">
        <v>79790869</v>
      </c>
      <c r="D1230" s="30">
        <f>"15694108000107"</f>
        <v/>
      </c>
      <c r="E1230" s="30" t="inlineStr">
        <is>
          <t>ARIEL DIAS CURVELLO CRIACAO DE CAVALOS</t>
        </is>
      </c>
      <c r="F1230" s="30" t="inlineStr">
        <is>
          <t>2023</t>
        </is>
      </c>
      <c r="G1230" s="40" t="n">
        <v>0</v>
      </c>
    </row>
    <row r="1231" ht="12" customHeight="1">
      <c r="A1231" s="30" t="inlineStr">
        <is>
          <t>ARE</t>
        </is>
      </c>
      <c r="B1231" s="30" t="inlineStr">
        <is>
          <t>Areal</t>
        </is>
      </c>
      <c r="C1231" s="30" t="n">
        <v>79798460</v>
      </c>
      <c r="D1231" s="30">
        <f>"05597965000470"</f>
        <v/>
      </c>
      <c r="E1231" s="30" t="inlineStr">
        <is>
          <t>KR TRANSPORTES E LOGISTICA LTDA</t>
        </is>
      </c>
      <c r="F1231" s="30" t="inlineStr">
        <is>
          <t>2021</t>
        </is>
      </c>
      <c r="G1231" s="40" t="n">
        <v>0</v>
      </c>
    </row>
    <row r="1232" ht="12" customHeight="1">
      <c r="A1232" s="30" t="inlineStr">
        <is>
          <t>ARE</t>
        </is>
      </c>
      <c r="B1232" s="30" t="inlineStr">
        <is>
          <t>Areal</t>
        </is>
      </c>
      <c r="C1232" s="30" t="n">
        <v>79798460</v>
      </c>
      <c r="D1232" s="30">
        <f>"05597965000470"</f>
        <v/>
      </c>
      <c r="E1232" s="30" t="inlineStr">
        <is>
          <t>KR TRANSPORTES E LOGISTICA LTDA</t>
        </is>
      </c>
      <c r="F1232" s="30" t="inlineStr">
        <is>
          <t>2022</t>
        </is>
      </c>
      <c r="G1232" s="40" t="n">
        <v>0</v>
      </c>
    </row>
    <row r="1233" ht="12" customHeight="1">
      <c r="A1233" s="30" t="inlineStr">
        <is>
          <t>ARE</t>
        </is>
      </c>
      <c r="B1233" s="30" t="inlineStr">
        <is>
          <t>Areal</t>
        </is>
      </c>
      <c r="C1233" s="30" t="n">
        <v>79798460</v>
      </c>
      <c r="D1233" s="30">
        <f>"05597965000470"</f>
        <v/>
      </c>
      <c r="E1233" s="30" t="inlineStr">
        <is>
          <t>KR TRANSPORTES E LOGISTICA LTDA</t>
        </is>
      </c>
      <c r="F1233" s="30" t="inlineStr">
        <is>
          <t>2023</t>
        </is>
      </c>
      <c r="G1233" s="40" t="n">
        <v>172.31</v>
      </c>
    </row>
    <row r="1234" ht="12" customHeight="1">
      <c r="A1234" s="30" t="inlineStr">
        <is>
          <t>ARE</t>
        </is>
      </c>
      <c r="B1234" s="30" t="inlineStr">
        <is>
          <t>Areal</t>
        </is>
      </c>
      <c r="C1234" s="30" t="n">
        <v>79810169</v>
      </c>
      <c r="D1234" s="30">
        <f>"01838723041311"</f>
        <v/>
      </c>
      <c r="E1234" s="30" t="inlineStr">
        <is>
          <t>BRF S A</t>
        </is>
      </c>
      <c r="F1234" s="30" t="inlineStr">
        <is>
          <t>2020</t>
        </is>
      </c>
      <c r="G1234" s="40" t="n">
        <v>0</v>
      </c>
    </row>
    <row r="1235" ht="12" customHeight="1">
      <c r="A1235" s="30" t="inlineStr">
        <is>
          <t>ARE</t>
        </is>
      </c>
      <c r="B1235" s="30" t="inlineStr">
        <is>
          <t>Areal</t>
        </is>
      </c>
      <c r="C1235" s="30" t="n">
        <v>79810169</v>
      </c>
      <c r="D1235" s="30">
        <f>"01838723041311"</f>
        <v/>
      </c>
      <c r="E1235" s="30" t="inlineStr">
        <is>
          <t>BRF S A</t>
        </is>
      </c>
      <c r="F1235" s="30" t="inlineStr">
        <is>
          <t>2021</t>
        </is>
      </c>
      <c r="G1235" s="40" t="n">
        <v>0</v>
      </c>
    </row>
    <row r="1236" ht="12" customHeight="1">
      <c r="A1236" s="30" t="inlineStr">
        <is>
          <t>ARE</t>
        </is>
      </c>
      <c r="B1236" s="30" t="inlineStr">
        <is>
          <t>Areal</t>
        </is>
      </c>
      <c r="C1236" s="30" t="n">
        <v>79810169</v>
      </c>
      <c r="D1236" s="30">
        <f>"01838723041311"</f>
        <v/>
      </c>
      <c r="E1236" s="30" t="inlineStr">
        <is>
          <t>BRF S A</t>
        </is>
      </c>
      <c r="F1236" s="30" t="inlineStr">
        <is>
          <t>2022</t>
        </is>
      </c>
      <c r="G1236" s="40" t="n">
        <v>22686.83</v>
      </c>
    </row>
    <row r="1237" ht="12" customHeight="1">
      <c r="A1237" s="30" t="inlineStr">
        <is>
          <t>ARE</t>
        </is>
      </c>
      <c r="B1237" s="30" t="inlineStr">
        <is>
          <t>Areal</t>
        </is>
      </c>
      <c r="C1237" s="30" t="n">
        <v>79810169</v>
      </c>
      <c r="D1237" s="30">
        <f>"01838723041311"</f>
        <v/>
      </c>
      <c r="E1237" s="30" t="inlineStr">
        <is>
          <t>BRF S A</t>
        </is>
      </c>
      <c r="F1237" s="30" t="inlineStr">
        <is>
          <t>2023</t>
        </is>
      </c>
      <c r="G1237" s="40" t="n">
        <v>94120.14999999999</v>
      </c>
    </row>
    <row r="1238" ht="12" customHeight="1">
      <c r="A1238" s="30" t="inlineStr">
        <is>
          <t>ARE</t>
        </is>
      </c>
      <c r="B1238" s="30" t="inlineStr">
        <is>
          <t>Areal</t>
        </is>
      </c>
      <c r="C1238" s="30" t="n">
        <v>79812927</v>
      </c>
      <c r="D1238" s="30">
        <f>"12591548000213"</f>
        <v/>
      </c>
      <c r="E1238" s="30" t="inlineStr">
        <is>
          <t>EFX TRANSPORTES E LOGISTICA LTDA</t>
        </is>
      </c>
      <c r="F1238" s="30" t="inlineStr">
        <is>
          <t>2017</t>
        </is>
      </c>
      <c r="G1238" s="40" t="n">
        <v>122.45</v>
      </c>
    </row>
    <row r="1239" ht="12" customHeight="1">
      <c r="A1239" s="30" t="inlineStr">
        <is>
          <t>ARE</t>
        </is>
      </c>
      <c r="B1239" s="30" t="inlineStr">
        <is>
          <t>Areal</t>
        </is>
      </c>
      <c r="C1239" s="30" t="n">
        <v>79812927</v>
      </c>
      <c r="D1239" s="30">
        <f>"12591548000213"</f>
        <v/>
      </c>
      <c r="E1239" s="30" t="inlineStr">
        <is>
          <t>EFX TRANSPORTES E LOGISTICA LTDA</t>
        </is>
      </c>
      <c r="F1239" s="30" t="inlineStr">
        <is>
          <t>2018</t>
        </is>
      </c>
      <c r="G1239" s="40" t="n">
        <v>0</v>
      </c>
    </row>
    <row r="1240" ht="12" customHeight="1">
      <c r="A1240" s="30" t="inlineStr">
        <is>
          <t>ARE</t>
        </is>
      </c>
      <c r="B1240" s="30" t="inlineStr">
        <is>
          <t>Areal</t>
        </is>
      </c>
      <c r="C1240" s="30" t="n">
        <v>79812927</v>
      </c>
      <c r="D1240" s="30">
        <f>"12591548000213"</f>
        <v/>
      </c>
      <c r="E1240" s="30" t="inlineStr">
        <is>
          <t>EFX TRANSPORTES E LOGISTICA LTDA</t>
        </is>
      </c>
      <c r="F1240" s="30" t="inlineStr">
        <is>
          <t>2019</t>
        </is>
      </c>
      <c r="G1240" s="40" t="n">
        <v>0</v>
      </c>
    </row>
    <row r="1241" ht="12" customHeight="1">
      <c r="A1241" s="30" t="inlineStr">
        <is>
          <t>ARE</t>
        </is>
      </c>
      <c r="B1241" s="30" t="inlineStr">
        <is>
          <t>Areal</t>
        </is>
      </c>
      <c r="C1241" s="30" t="n">
        <v>79816930</v>
      </c>
      <c r="D1241" s="30">
        <f>"05423963013361"</f>
        <v/>
      </c>
      <c r="E1241" s="30" t="inlineStr">
        <is>
          <t>OI MOVEL S.A. - EM RECUPERACAO JUDICIAL</t>
        </is>
      </c>
      <c r="F1241" s="30" t="inlineStr">
        <is>
          <t>2017</t>
        </is>
      </c>
      <c r="G1241" s="40" t="n">
        <v>600561.89</v>
      </c>
    </row>
    <row r="1242" ht="12" customHeight="1">
      <c r="A1242" s="30" t="inlineStr">
        <is>
          <t>ARE</t>
        </is>
      </c>
      <c r="B1242" s="30" t="inlineStr">
        <is>
          <t>Areal</t>
        </is>
      </c>
      <c r="C1242" s="30" t="n">
        <v>79816930</v>
      </c>
      <c r="D1242" s="30">
        <f>"05423963013361"</f>
        <v/>
      </c>
      <c r="E1242" s="30" t="inlineStr">
        <is>
          <t>OI MOVEL S.A. - EM RECUPERACAO JUDICIAL</t>
        </is>
      </c>
      <c r="F1242" s="30" t="inlineStr">
        <is>
          <t>2018</t>
        </is>
      </c>
      <c r="G1242" s="40" t="n">
        <v>547903.4</v>
      </c>
    </row>
    <row r="1243" ht="12" customHeight="1">
      <c r="A1243" s="30" t="inlineStr">
        <is>
          <t>ARE</t>
        </is>
      </c>
      <c r="B1243" s="30" t="inlineStr">
        <is>
          <t>Areal</t>
        </is>
      </c>
      <c r="C1243" s="30" t="n">
        <v>79816930</v>
      </c>
      <c r="D1243" s="30">
        <f>"05423963013361"</f>
        <v/>
      </c>
      <c r="E1243" s="30" t="inlineStr">
        <is>
          <t>OI MOVEL S.A. - EM RECUPERACAO JUDICIAL</t>
        </is>
      </c>
      <c r="F1243" s="30" t="inlineStr">
        <is>
          <t>2019</t>
        </is>
      </c>
      <c r="G1243" s="40" t="n">
        <v>496761.13</v>
      </c>
    </row>
    <row r="1244" ht="12" customHeight="1">
      <c r="A1244" s="30" t="inlineStr">
        <is>
          <t>ARE</t>
        </is>
      </c>
      <c r="B1244" s="30" t="inlineStr">
        <is>
          <t>Areal</t>
        </is>
      </c>
      <c r="C1244" s="30" t="n">
        <v>79816930</v>
      </c>
      <c r="D1244" s="30">
        <f>"05423963013361"</f>
        <v/>
      </c>
      <c r="E1244" s="30" t="inlineStr">
        <is>
          <t>OI MOVEL S.A. - EM RECUPERACAO JUDICIAL</t>
        </is>
      </c>
      <c r="F1244" s="30" t="inlineStr">
        <is>
          <t>2020</t>
        </is>
      </c>
      <c r="G1244" s="40" t="n">
        <v>504215.56</v>
      </c>
    </row>
    <row r="1245" ht="12" customHeight="1">
      <c r="A1245" s="30" t="inlineStr">
        <is>
          <t>ARE</t>
        </is>
      </c>
      <c r="B1245" s="30" t="inlineStr">
        <is>
          <t>Areal</t>
        </is>
      </c>
      <c r="C1245" s="30" t="n">
        <v>79816930</v>
      </c>
      <c r="D1245" s="30">
        <f>"05423963013361"</f>
        <v/>
      </c>
      <c r="E1245" s="30" t="inlineStr">
        <is>
          <t>OI MOVEL S.A. - EM RECUPERACAO JUDICIAL</t>
        </is>
      </c>
      <c r="F1245" s="30" t="inlineStr">
        <is>
          <t>2021</t>
        </is>
      </c>
      <c r="G1245" s="40" t="n">
        <v>526478.9399999999</v>
      </c>
    </row>
    <row r="1246" ht="12" customHeight="1">
      <c r="A1246" s="30" t="inlineStr">
        <is>
          <t>ARE</t>
        </is>
      </c>
      <c r="B1246" s="30" t="inlineStr">
        <is>
          <t>Areal</t>
        </is>
      </c>
      <c r="C1246" s="30" t="n">
        <v>79816930</v>
      </c>
      <c r="D1246" s="30">
        <f>"05423963013361"</f>
        <v/>
      </c>
      <c r="E1246" s="30" t="inlineStr">
        <is>
          <t>OI MOVEL S.A. - EM RECUPERACAO JUDICIAL</t>
        </is>
      </c>
      <c r="F1246" s="30" t="inlineStr">
        <is>
          <t>2022</t>
        </is>
      </c>
      <c r="G1246" s="40" t="n">
        <v>42641.45</v>
      </c>
    </row>
    <row r="1247" ht="12" customHeight="1">
      <c r="A1247" s="30" t="inlineStr">
        <is>
          <t>ARE</t>
        </is>
      </c>
      <c r="B1247" s="30" t="inlineStr">
        <is>
          <t>Areal</t>
        </is>
      </c>
      <c r="C1247" s="30" t="n">
        <v>79816930</v>
      </c>
      <c r="D1247" s="30">
        <f>"05423963013361"</f>
        <v/>
      </c>
      <c r="E1247" s="30" t="inlineStr">
        <is>
          <t>OI MOVEL S.A. - EM RECUPERACAO JUDICIAL</t>
        </is>
      </c>
      <c r="F1247" s="30" t="inlineStr">
        <is>
          <t>2023</t>
        </is>
      </c>
      <c r="G1247" s="40" t="n">
        <v>0</v>
      </c>
    </row>
    <row r="1248" ht="12" customHeight="1">
      <c r="A1248" s="30" t="inlineStr">
        <is>
          <t>ARE</t>
        </is>
      </c>
      <c r="B1248" s="30" t="inlineStr">
        <is>
          <t>Areal</t>
        </is>
      </c>
      <c r="C1248" s="30" t="n">
        <v>79825719</v>
      </c>
      <c r="D1248" s="30">
        <f>"11040609000100"</f>
        <v/>
      </c>
      <c r="E1248" s="30" t="inlineStr">
        <is>
          <t>H D LOG TRANSPORTES LTDA ME</t>
        </is>
      </c>
      <c r="F1248" s="30" t="inlineStr">
        <is>
          <t>2020</t>
        </is>
      </c>
      <c r="G1248" s="40" t="n">
        <v>0</v>
      </c>
    </row>
    <row r="1249" ht="12" customHeight="1">
      <c r="A1249" s="30" t="inlineStr">
        <is>
          <t>ARE</t>
        </is>
      </c>
      <c r="B1249" s="30" t="inlineStr">
        <is>
          <t>Areal</t>
        </is>
      </c>
      <c r="C1249" s="30" t="n">
        <v>79825719</v>
      </c>
      <c r="D1249" s="30">
        <f>"11040609000100"</f>
        <v/>
      </c>
      <c r="E1249" s="30" t="inlineStr">
        <is>
          <t>H D LOG TRANSPORTES LTDA ME</t>
        </is>
      </c>
      <c r="F1249" s="30" t="inlineStr">
        <is>
          <t>2021</t>
        </is>
      </c>
      <c r="G1249" s="40" t="n">
        <v>0</v>
      </c>
    </row>
    <row r="1250" ht="12" customHeight="1">
      <c r="A1250" s="30" t="inlineStr">
        <is>
          <t>ARE</t>
        </is>
      </c>
      <c r="B1250" s="30" t="inlineStr">
        <is>
          <t>Areal</t>
        </is>
      </c>
      <c r="C1250" s="30" t="n">
        <v>79825719</v>
      </c>
      <c r="D1250" s="30">
        <f>"11040609000100"</f>
        <v/>
      </c>
      <c r="E1250" s="30" t="inlineStr">
        <is>
          <t>H D LOG TRANSPORTES LTDA ME</t>
        </is>
      </c>
      <c r="F1250" s="30" t="inlineStr">
        <is>
          <t>2022</t>
        </is>
      </c>
      <c r="G1250" s="40" t="n">
        <v>486.37</v>
      </c>
    </row>
    <row r="1251" ht="12" customHeight="1">
      <c r="A1251" s="30" t="inlineStr">
        <is>
          <t>ARE</t>
        </is>
      </c>
      <c r="B1251" s="30" t="inlineStr">
        <is>
          <t>Areal</t>
        </is>
      </c>
      <c r="C1251" s="30" t="n">
        <v>79825719</v>
      </c>
      <c r="D1251" s="30">
        <f>"11040609000100"</f>
        <v/>
      </c>
      <c r="E1251" s="30" t="inlineStr">
        <is>
          <t>H D LOG TRANSPORTES LTDA ME</t>
        </is>
      </c>
      <c r="F1251" s="30" t="inlineStr">
        <is>
          <t>2023</t>
        </is>
      </c>
      <c r="G1251" s="40" t="n">
        <v>0</v>
      </c>
    </row>
    <row r="1252" ht="12" customHeight="1">
      <c r="A1252" s="30" t="inlineStr">
        <is>
          <t>ARE</t>
        </is>
      </c>
      <c r="B1252" s="30" t="inlineStr">
        <is>
          <t>Areal</t>
        </is>
      </c>
      <c r="C1252" s="30" t="n">
        <v>79893587</v>
      </c>
      <c r="D1252" s="30">
        <f>"17893044000190"</f>
        <v/>
      </c>
      <c r="E1252" s="30" t="inlineStr">
        <is>
          <t>RARO COMERCIO E SERVIÇOS EIRELI</t>
        </is>
      </c>
      <c r="F1252" s="30" t="inlineStr">
        <is>
          <t>2017</t>
        </is>
      </c>
      <c r="G1252" s="40" t="n">
        <v>0</v>
      </c>
    </row>
    <row r="1253" ht="12" customHeight="1">
      <c r="A1253" s="30" t="inlineStr">
        <is>
          <t>ARE</t>
        </is>
      </c>
      <c r="B1253" s="30" t="inlineStr">
        <is>
          <t>Areal</t>
        </is>
      </c>
      <c r="C1253" s="30" t="n">
        <v>79893587</v>
      </c>
      <c r="D1253" s="30">
        <f>"17893044000190"</f>
        <v/>
      </c>
      <c r="E1253" s="30" t="inlineStr">
        <is>
          <t>RARO COMERCIO E SERVIÇOS EIRELI</t>
        </is>
      </c>
      <c r="F1253" s="30" t="inlineStr">
        <is>
          <t>2018</t>
        </is>
      </c>
      <c r="G1253" s="40" t="n">
        <v>0</v>
      </c>
    </row>
    <row r="1254" ht="12" customHeight="1">
      <c r="A1254" s="30" t="inlineStr">
        <is>
          <t>ARE</t>
        </is>
      </c>
      <c r="B1254" s="30" t="inlineStr">
        <is>
          <t>Areal</t>
        </is>
      </c>
      <c r="C1254" s="30" t="n">
        <v>79893587</v>
      </c>
      <c r="D1254" s="30">
        <f>"17893044000190"</f>
        <v/>
      </c>
      <c r="E1254" s="30" t="inlineStr">
        <is>
          <t>RARO COMERCIO E SERVIÇOS EIRELI</t>
        </is>
      </c>
      <c r="F1254" s="30" t="inlineStr">
        <is>
          <t>2019</t>
        </is>
      </c>
      <c r="G1254" s="40" t="n">
        <v>1515462.29</v>
      </c>
    </row>
    <row r="1255" ht="12" customHeight="1">
      <c r="A1255" s="30" t="inlineStr">
        <is>
          <t>ARE</t>
        </is>
      </c>
      <c r="B1255" s="30" t="inlineStr">
        <is>
          <t>Areal</t>
        </is>
      </c>
      <c r="C1255" s="30" t="n">
        <v>79893587</v>
      </c>
      <c r="D1255" s="30">
        <f>"17893044000190"</f>
        <v/>
      </c>
      <c r="E1255" s="30" t="inlineStr">
        <is>
          <t>RARO COMERCIO E SERVIÇOS EIRELI</t>
        </is>
      </c>
      <c r="F1255" s="30" t="inlineStr">
        <is>
          <t>2020</t>
        </is>
      </c>
      <c r="G1255" s="40" t="n">
        <v>0</v>
      </c>
    </row>
    <row r="1256" ht="12" customHeight="1">
      <c r="A1256" s="30" t="inlineStr">
        <is>
          <t>ARE</t>
        </is>
      </c>
      <c r="B1256" s="30" t="inlineStr">
        <is>
          <t>Areal</t>
        </is>
      </c>
      <c r="C1256" s="30" t="n">
        <v>79893587</v>
      </c>
      <c r="D1256" s="30">
        <f>"17893044000190"</f>
        <v/>
      </c>
      <c r="E1256" s="30" t="inlineStr">
        <is>
          <t>RARO COMERCIO E SERVIÇOS EIRELI</t>
        </is>
      </c>
      <c r="F1256" s="30" t="inlineStr">
        <is>
          <t>2021</t>
        </is>
      </c>
      <c r="G1256" s="40" t="n">
        <v>0</v>
      </c>
    </row>
    <row r="1257" ht="12" customHeight="1">
      <c r="A1257" s="30" t="inlineStr">
        <is>
          <t>ARE</t>
        </is>
      </c>
      <c r="B1257" s="30" t="inlineStr">
        <is>
          <t>Areal</t>
        </is>
      </c>
      <c r="C1257" s="30" t="n">
        <v>79918768</v>
      </c>
      <c r="D1257" s="30">
        <f>"17636490000110"</f>
        <v/>
      </c>
      <c r="E1257" s="30" t="inlineStr">
        <is>
          <t>TMA TRANSPORTE LOTACAO E LOGISTICA LTDA</t>
        </is>
      </c>
      <c r="F1257" s="30" t="inlineStr">
        <is>
          <t>2017</t>
        </is>
      </c>
      <c r="G1257" s="40" t="n">
        <v>0</v>
      </c>
    </row>
    <row r="1258" ht="12" customHeight="1">
      <c r="A1258" s="30" t="inlineStr">
        <is>
          <t>ARE</t>
        </is>
      </c>
      <c r="B1258" s="30" t="inlineStr">
        <is>
          <t>Areal</t>
        </is>
      </c>
      <c r="C1258" s="30" t="n">
        <v>79918768</v>
      </c>
      <c r="D1258" s="30">
        <f>"17636490000110"</f>
        <v/>
      </c>
      <c r="E1258" s="30" t="inlineStr">
        <is>
          <t>TMA TRANSPORTE LOTACAO E LOGISTICA LTDA</t>
        </is>
      </c>
      <c r="F1258" s="30" t="inlineStr">
        <is>
          <t>2018</t>
        </is>
      </c>
      <c r="G1258" s="40" t="n">
        <v>288.79</v>
      </c>
    </row>
    <row r="1259" ht="12" customHeight="1">
      <c r="A1259" s="30" t="inlineStr">
        <is>
          <t>ARE</t>
        </is>
      </c>
      <c r="B1259" s="30" t="inlineStr">
        <is>
          <t>Areal</t>
        </is>
      </c>
      <c r="C1259" s="30" t="n">
        <v>79918768</v>
      </c>
      <c r="D1259" s="30">
        <f>"17636490000110"</f>
        <v/>
      </c>
      <c r="E1259" s="30" t="inlineStr">
        <is>
          <t>TMA TRANSPORTE LOTACAO E LOGISTICA LTDA</t>
        </is>
      </c>
      <c r="F1259" s="30" t="inlineStr">
        <is>
          <t>2019</t>
        </is>
      </c>
      <c r="G1259" s="40" t="n">
        <v>523.6900000000001</v>
      </c>
    </row>
    <row r="1260" ht="12" customHeight="1">
      <c r="A1260" s="30" t="inlineStr">
        <is>
          <t>ARE</t>
        </is>
      </c>
      <c r="B1260" s="30" t="inlineStr">
        <is>
          <t>Areal</t>
        </is>
      </c>
      <c r="C1260" s="30" t="n">
        <v>79918768</v>
      </c>
      <c r="D1260" s="30">
        <f>"17636490000110"</f>
        <v/>
      </c>
      <c r="E1260" s="30" t="inlineStr">
        <is>
          <t>TMA TRANSPORTE LOTACAO E LOGISTICA LTDA</t>
        </is>
      </c>
      <c r="F1260" s="30" t="inlineStr">
        <is>
          <t>2020</t>
        </is>
      </c>
      <c r="G1260" s="40" t="n">
        <v>125.53</v>
      </c>
    </row>
    <row r="1261" ht="12" customHeight="1">
      <c r="A1261" s="30" t="inlineStr">
        <is>
          <t>ARE</t>
        </is>
      </c>
      <c r="B1261" s="30" t="inlineStr">
        <is>
          <t>Areal</t>
        </is>
      </c>
      <c r="C1261" s="30" t="n">
        <v>79918768</v>
      </c>
      <c r="D1261" s="30">
        <f>"17636490000110"</f>
        <v/>
      </c>
      <c r="E1261" s="30" t="inlineStr">
        <is>
          <t>TMA TRANSPORTE LOTACAO E LOGISTICA LTDA</t>
        </is>
      </c>
      <c r="F1261" s="30" t="inlineStr">
        <is>
          <t>2021</t>
        </is>
      </c>
      <c r="G1261" s="40" t="n">
        <v>0</v>
      </c>
    </row>
    <row r="1262" ht="12" customHeight="1">
      <c r="A1262" s="30" t="inlineStr">
        <is>
          <t>ARE</t>
        </is>
      </c>
      <c r="B1262" s="30" t="inlineStr">
        <is>
          <t>Areal</t>
        </is>
      </c>
      <c r="C1262" s="30" t="n">
        <v>79918768</v>
      </c>
      <c r="D1262" s="30">
        <f>"17636490000110"</f>
        <v/>
      </c>
      <c r="E1262" s="30" t="inlineStr">
        <is>
          <t>TMA TRANSPORTE LOTACAO E LOGISTICA LTDA</t>
        </is>
      </c>
      <c r="F1262" s="30" t="inlineStr">
        <is>
          <t>2022</t>
        </is>
      </c>
      <c r="G1262" s="40" t="n">
        <v>0</v>
      </c>
    </row>
    <row r="1263" ht="12" customHeight="1">
      <c r="A1263" s="30" t="inlineStr">
        <is>
          <t>ARE</t>
        </is>
      </c>
      <c r="B1263" s="30" t="inlineStr">
        <is>
          <t>Areal</t>
        </is>
      </c>
      <c r="C1263" s="30" t="n">
        <v>79933635</v>
      </c>
      <c r="D1263" s="30">
        <f>"18265135000144"</f>
        <v/>
      </c>
      <c r="E1263" s="30" t="inlineStr">
        <is>
          <t>H TEIXEIRA NETO PRODUTOS DE LIMPEZA</t>
        </is>
      </c>
      <c r="F1263" s="30" t="inlineStr">
        <is>
          <t>2020</t>
        </is>
      </c>
      <c r="G1263" s="40" t="n">
        <v>0</v>
      </c>
    </row>
    <row r="1264" ht="12" customHeight="1">
      <c r="A1264" s="30" t="inlineStr">
        <is>
          <t>ARE</t>
        </is>
      </c>
      <c r="B1264" s="30" t="inlineStr">
        <is>
          <t>Areal</t>
        </is>
      </c>
      <c r="C1264" s="30" t="n">
        <v>79933635</v>
      </c>
      <c r="D1264" s="30">
        <f>"18265135000144"</f>
        <v/>
      </c>
      <c r="E1264" s="30" t="inlineStr">
        <is>
          <t>H TEIXEIRA NETO PRODUTOS DE LIMPEZA</t>
        </is>
      </c>
      <c r="F1264" s="30" t="inlineStr">
        <is>
          <t>2021</t>
        </is>
      </c>
      <c r="G1264" s="40" t="n">
        <v>0</v>
      </c>
    </row>
    <row r="1265" ht="12" customHeight="1">
      <c r="A1265" s="30" t="inlineStr">
        <is>
          <t>ARE</t>
        </is>
      </c>
      <c r="B1265" s="30" t="inlineStr">
        <is>
          <t>Areal</t>
        </is>
      </c>
      <c r="C1265" s="30" t="n">
        <v>79933635</v>
      </c>
      <c r="D1265" s="30">
        <f>"18265135000144"</f>
        <v/>
      </c>
      <c r="E1265" s="30" t="inlineStr">
        <is>
          <t>H TEIXEIRA NETO PRODUTOS DE LIMPEZA</t>
        </is>
      </c>
      <c r="F1265" s="30" t="inlineStr">
        <is>
          <t>2022</t>
        </is>
      </c>
      <c r="G1265" s="40" t="n">
        <v>0</v>
      </c>
    </row>
    <row r="1266" ht="12" customHeight="1">
      <c r="A1266" s="30" t="inlineStr">
        <is>
          <t>ARE</t>
        </is>
      </c>
      <c r="B1266" s="30" t="inlineStr">
        <is>
          <t>Areal</t>
        </is>
      </c>
      <c r="C1266" s="30" t="n">
        <v>79933635</v>
      </c>
      <c r="D1266" s="30">
        <f>"18265135000144"</f>
        <v/>
      </c>
      <c r="E1266" s="30" t="inlineStr">
        <is>
          <t>H TEIXEIRA NETO PRODUTOS DE LIMPEZA</t>
        </is>
      </c>
      <c r="F1266" s="30" t="inlineStr">
        <is>
          <t>2023</t>
        </is>
      </c>
      <c r="G1266" s="40" t="n">
        <v>0</v>
      </c>
    </row>
    <row r="1267" ht="12" customHeight="1">
      <c r="A1267" s="30" t="inlineStr">
        <is>
          <t>ARE</t>
        </is>
      </c>
      <c r="B1267" s="30" t="inlineStr">
        <is>
          <t>Areal</t>
        </is>
      </c>
      <c r="C1267" s="30" t="n">
        <v>79979619</v>
      </c>
      <c r="D1267" s="30">
        <f>"18485555000136"</f>
        <v/>
      </c>
      <c r="E1267" s="30" t="inlineStr">
        <is>
          <t>VELOEX LOGISTICA E TRANSPORTES DE CARGAS LTDA EPP</t>
        </is>
      </c>
      <c r="F1267" s="30" t="inlineStr">
        <is>
          <t>2018</t>
        </is>
      </c>
      <c r="G1267" s="40" t="n">
        <v>0</v>
      </c>
    </row>
    <row r="1268" ht="12" customHeight="1">
      <c r="A1268" s="30" t="inlineStr">
        <is>
          <t>ARE</t>
        </is>
      </c>
      <c r="B1268" s="30" t="inlineStr">
        <is>
          <t>Areal</t>
        </is>
      </c>
      <c r="C1268" s="30" t="n">
        <v>79979619</v>
      </c>
      <c r="D1268" s="30">
        <f>"18485555000136"</f>
        <v/>
      </c>
      <c r="E1268" s="30" t="inlineStr">
        <is>
          <t>VELOEX LOGISTICA E TRANSPORTES DE CARGAS LTDA EPP</t>
        </is>
      </c>
      <c r="F1268" s="30" t="inlineStr">
        <is>
          <t>2019</t>
        </is>
      </c>
      <c r="G1268" s="40" t="n">
        <v>0</v>
      </c>
    </row>
    <row r="1269" ht="12" customHeight="1">
      <c r="A1269" s="30" t="inlineStr">
        <is>
          <t>ARE</t>
        </is>
      </c>
      <c r="B1269" s="30" t="inlineStr">
        <is>
          <t>Areal</t>
        </is>
      </c>
      <c r="C1269" s="30" t="n">
        <v>79979619</v>
      </c>
      <c r="D1269" s="30">
        <f>"18485555000136"</f>
        <v/>
      </c>
      <c r="E1269" s="30" t="inlineStr">
        <is>
          <t>VELOEX LOGISTICA E TRANSPORTES DE CARGAS LTDA EPP</t>
        </is>
      </c>
      <c r="F1269" s="30" t="inlineStr">
        <is>
          <t>2020</t>
        </is>
      </c>
      <c r="G1269" s="40" t="n">
        <v>158.04</v>
      </c>
    </row>
    <row r="1270" ht="12" customHeight="1">
      <c r="A1270" s="30" t="inlineStr">
        <is>
          <t>ARE</t>
        </is>
      </c>
      <c r="B1270" s="30" t="inlineStr">
        <is>
          <t>Areal</t>
        </is>
      </c>
      <c r="C1270" s="30" t="n">
        <v>79979619</v>
      </c>
      <c r="D1270" s="30">
        <f>"18485555000136"</f>
        <v/>
      </c>
      <c r="E1270" s="30" t="inlineStr">
        <is>
          <t>VELOEX LOGISTICA E TRANSPORTES DE CARGAS LTDA EPP</t>
        </is>
      </c>
      <c r="F1270" s="30" t="inlineStr">
        <is>
          <t>2021</t>
        </is>
      </c>
      <c r="G1270" s="40" t="n">
        <v>0</v>
      </c>
    </row>
    <row r="1271" ht="12" customHeight="1">
      <c r="A1271" s="30" t="inlineStr">
        <is>
          <t>ARE</t>
        </is>
      </c>
      <c r="B1271" s="30" t="inlineStr">
        <is>
          <t>Areal</t>
        </is>
      </c>
      <c r="C1271" s="30" t="n">
        <v>79979619</v>
      </c>
      <c r="D1271" s="30">
        <f>"18485555000136"</f>
        <v/>
      </c>
      <c r="E1271" s="30" t="inlineStr">
        <is>
          <t>VELOEX LOGISTICA E TRANSPORTES DE CARGAS LTDA EPP</t>
        </is>
      </c>
      <c r="F1271" s="30" t="inlineStr">
        <is>
          <t>2022</t>
        </is>
      </c>
      <c r="G1271" s="40" t="n">
        <v>0</v>
      </c>
    </row>
    <row r="1272" ht="12" customHeight="1">
      <c r="A1272" s="30" t="inlineStr">
        <is>
          <t>ARE</t>
        </is>
      </c>
      <c r="B1272" s="30" t="inlineStr">
        <is>
          <t>Areal</t>
        </is>
      </c>
      <c r="C1272" s="30" t="n">
        <v>80046561</v>
      </c>
      <c r="D1272" s="30">
        <f>"33050071000158"</f>
        <v/>
      </c>
      <c r="E1272" s="30" t="inlineStr">
        <is>
          <t>AMPLA ENERGIA E SERVICOS S.A.</t>
        </is>
      </c>
      <c r="F1272" s="30" t="inlineStr">
        <is>
          <t>2017</t>
        </is>
      </c>
      <c r="G1272" s="40" t="n">
        <v>14897501.74</v>
      </c>
    </row>
    <row r="1273" ht="12" customHeight="1">
      <c r="A1273" s="30" t="inlineStr">
        <is>
          <t>ARE</t>
        </is>
      </c>
      <c r="B1273" s="30" t="inlineStr">
        <is>
          <t>Areal</t>
        </is>
      </c>
      <c r="C1273" s="30" t="n">
        <v>80046561</v>
      </c>
      <c r="D1273" s="30">
        <f>"33050071000158"</f>
        <v/>
      </c>
      <c r="E1273" s="30" t="inlineStr">
        <is>
          <t>AMPLA ENERGIA E SERVICOS S.A.</t>
        </is>
      </c>
      <c r="F1273" s="30" t="inlineStr">
        <is>
          <t>2018</t>
        </is>
      </c>
      <c r="G1273" s="40" t="n">
        <v>16794962.62</v>
      </c>
    </row>
    <row r="1274" ht="12" customHeight="1">
      <c r="A1274" s="30" t="inlineStr">
        <is>
          <t>ARE</t>
        </is>
      </c>
      <c r="B1274" s="30" t="inlineStr">
        <is>
          <t>Areal</t>
        </is>
      </c>
      <c r="C1274" s="30" t="n">
        <v>80046561</v>
      </c>
      <c r="D1274" s="30">
        <f>"33050071000158"</f>
        <v/>
      </c>
      <c r="E1274" s="30" t="inlineStr">
        <is>
          <t>AMPLA ENERGIA E SERVICOS S.A.</t>
        </is>
      </c>
      <c r="F1274" s="30" t="inlineStr">
        <is>
          <t>2019</t>
        </is>
      </c>
      <c r="G1274" s="40" t="n">
        <v>18304939.41</v>
      </c>
    </row>
    <row r="1275" ht="12" customHeight="1">
      <c r="A1275" s="30" t="inlineStr">
        <is>
          <t>ARE</t>
        </is>
      </c>
      <c r="B1275" s="30" t="inlineStr">
        <is>
          <t>Areal</t>
        </is>
      </c>
      <c r="C1275" s="30" t="n">
        <v>80046561</v>
      </c>
      <c r="D1275" s="30">
        <f>"33050071000158"</f>
        <v/>
      </c>
      <c r="E1275" s="30" t="inlineStr">
        <is>
          <t>AMPLA ENERGIA E SERVICOS S.A.</t>
        </is>
      </c>
      <c r="F1275" s="30" t="inlineStr">
        <is>
          <t>2020</t>
        </is>
      </c>
      <c r="G1275" s="40" t="n">
        <v>17820848.99</v>
      </c>
    </row>
    <row r="1276" ht="12" customHeight="1">
      <c r="A1276" s="30" t="inlineStr">
        <is>
          <t>ARE</t>
        </is>
      </c>
      <c r="B1276" s="30" t="inlineStr">
        <is>
          <t>Areal</t>
        </is>
      </c>
      <c r="C1276" s="30" t="n">
        <v>80046561</v>
      </c>
      <c r="D1276" s="30">
        <f>"33050071000158"</f>
        <v/>
      </c>
      <c r="E1276" s="30" t="inlineStr">
        <is>
          <t>AMPLA ENERGIA E SERVICOS S.A.</t>
        </is>
      </c>
      <c r="F1276" s="30" t="inlineStr">
        <is>
          <t>2021</t>
        </is>
      </c>
      <c r="G1276" s="40" t="n">
        <v>20486129.47</v>
      </c>
    </row>
    <row r="1277" ht="12" customHeight="1">
      <c r="A1277" s="30" t="inlineStr">
        <is>
          <t>ARE</t>
        </is>
      </c>
      <c r="B1277" s="30" t="inlineStr">
        <is>
          <t>Areal</t>
        </is>
      </c>
      <c r="C1277" s="30" t="n">
        <v>80046561</v>
      </c>
      <c r="D1277" s="30">
        <f>"33050071000158"</f>
        <v/>
      </c>
      <c r="E1277" s="30" t="inlineStr">
        <is>
          <t>AMPLA ENERGIA E SERVICOS S.A.</t>
        </is>
      </c>
      <c r="F1277" s="30" t="inlineStr">
        <is>
          <t>2022</t>
        </is>
      </c>
      <c r="G1277" s="40" t="n">
        <v>23195294.6</v>
      </c>
    </row>
    <row r="1278" ht="12" customHeight="1">
      <c r="A1278" s="30" t="inlineStr">
        <is>
          <t>ARE</t>
        </is>
      </c>
      <c r="B1278" s="30" t="inlineStr">
        <is>
          <t>Areal</t>
        </is>
      </c>
      <c r="C1278" s="30" t="n">
        <v>80046561</v>
      </c>
      <c r="D1278" s="30">
        <f>"33050071000158"</f>
        <v/>
      </c>
      <c r="E1278" s="30" t="inlineStr">
        <is>
          <t>AMPLA ENERGIA E SERVICOS S.A.</t>
        </is>
      </c>
      <c r="F1278" s="30" t="inlineStr">
        <is>
          <t>2023</t>
        </is>
      </c>
      <c r="G1278" s="40" t="n">
        <v>24647183.54</v>
      </c>
    </row>
    <row r="1279" ht="12" customHeight="1">
      <c r="A1279" s="30" t="inlineStr">
        <is>
          <t>ARE</t>
        </is>
      </c>
      <c r="B1279" s="30" t="inlineStr">
        <is>
          <t>Areal</t>
        </is>
      </c>
      <c r="C1279" s="30" t="n">
        <v>80048068</v>
      </c>
      <c r="D1279" s="30">
        <f>"30069314000101"</f>
        <v/>
      </c>
      <c r="E1279" s="30" t="inlineStr">
        <is>
          <t>AUTO VIACAO 1001 LTDA</t>
        </is>
      </c>
      <c r="F1279" s="30" t="inlineStr">
        <is>
          <t>2020</t>
        </is>
      </c>
      <c r="G1279" s="40" t="n">
        <v>0</v>
      </c>
    </row>
    <row r="1280" ht="12" customHeight="1">
      <c r="A1280" s="30" t="inlineStr">
        <is>
          <t>ARE</t>
        </is>
      </c>
      <c r="B1280" s="30" t="inlineStr">
        <is>
          <t>Areal</t>
        </is>
      </c>
      <c r="C1280" s="30" t="n">
        <v>80048068</v>
      </c>
      <c r="D1280" s="30">
        <f>"30069314000101"</f>
        <v/>
      </c>
      <c r="E1280" s="30" t="inlineStr">
        <is>
          <t>AUTO VIACAO 1001 LTDA</t>
        </is>
      </c>
      <c r="F1280" s="30" t="inlineStr">
        <is>
          <t>2021</t>
        </is>
      </c>
      <c r="G1280" s="40" t="n">
        <v>0</v>
      </c>
    </row>
    <row r="1281" ht="12" customHeight="1">
      <c r="A1281" s="30" t="inlineStr">
        <is>
          <t>ARE</t>
        </is>
      </c>
      <c r="B1281" s="30" t="inlineStr">
        <is>
          <t>Areal</t>
        </is>
      </c>
      <c r="C1281" s="30" t="n">
        <v>80048068</v>
      </c>
      <c r="D1281" s="30">
        <f>"30069314000101"</f>
        <v/>
      </c>
      <c r="E1281" s="30" t="inlineStr">
        <is>
          <t>AUTO VIACAO 1001 LTDA</t>
        </is>
      </c>
      <c r="F1281" s="30" t="inlineStr">
        <is>
          <t>2022</t>
        </is>
      </c>
      <c r="G1281" s="40" t="n">
        <v>3450</v>
      </c>
    </row>
    <row r="1282" ht="12" customHeight="1">
      <c r="A1282" s="30" t="inlineStr">
        <is>
          <t>ARE</t>
        </is>
      </c>
      <c r="B1282" s="30" t="inlineStr">
        <is>
          <t>Areal</t>
        </is>
      </c>
      <c r="C1282" s="30" t="n">
        <v>80048068</v>
      </c>
      <c r="D1282" s="30">
        <f>"30069314000101"</f>
        <v/>
      </c>
      <c r="E1282" s="30" t="inlineStr">
        <is>
          <t>AUTO VIACAO 1001 LTDA</t>
        </is>
      </c>
      <c r="F1282" s="30" t="inlineStr">
        <is>
          <t>2023</t>
        </is>
      </c>
      <c r="G1282" s="40" t="n">
        <v>0</v>
      </c>
    </row>
    <row r="1283" ht="12" customHeight="1">
      <c r="A1283" s="30" t="inlineStr">
        <is>
          <t>ARE</t>
        </is>
      </c>
      <c r="B1283" s="30" t="inlineStr">
        <is>
          <t>Areal</t>
        </is>
      </c>
      <c r="C1283" s="30" t="n">
        <v>80428197</v>
      </c>
      <c r="D1283" s="30">
        <f>"28568392000109"</f>
        <v/>
      </c>
      <c r="E1283" s="30" t="inlineStr">
        <is>
          <t>TRANSPORTADORA BARRENSE LTDA</t>
        </is>
      </c>
      <c r="F1283" s="30" t="inlineStr">
        <is>
          <t>2021</t>
        </is>
      </c>
      <c r="G1283" s="40" t="n">
        <v>0</v>
      </c>
    </row>
    <row r="1284" ht="12" customHeight="1">
      <c r="A1284" s="30" t="inlineStr">
        <is>
          <t>ARE</t>
        </is>
      </c>
      <c r="B1284" s="30" t="inlineStr">
        <is>
          <t>Areal</t>
        </is>
      </c>
      <c r="C1284" s="30" t="n">
        <v>80428197</v>
      </c>
      <c r="D1284" s="30">
        <f>"28568392000109"</f>
        <v/>
      </c>
      <c r="E1284" s="30" t="inlineStr">
        <is>
          <t>TRANSPORTADORA BARRENSE LTDA</t>
        </is>
      </c>
      <c r="F1284" s="30" t="inlineStr">
        <is>
          <t>2022</t>
        </is>
      </c>
      <c r="G1284" s="40" t="n">
        <v>0</v>
      </c>
    </row>
    <row r="1285" ht="12" customHeight="1">
      <c r="A1285" s="30" t="inlineStr">
        <is>
          <t>ARE</t>
        </is>
      </c>
      <c r="B1285" s="30" t="inlineStr">
        <is>
          <t>Areal</t>
        </is>
      </c>
      <c r="C1285" s="30" t="n">
        <v>80428197</v>
      </c>
      <c r="D1285" s="30">
        <f>"28568392000109"</f>
        <v/>
      </c>
      <c r="E1285" s="30" t="inlineStr">
        <is>
          <t>TRANSPORTADORA BARRENSE LTDA</t>
        </is>
      </c>
      <c r="F1285" s="30" t="inlineStr">
        <is>
          <t>2023</t>
        </is>
      </c>
      <c r="G1285" s="40" t="n">
        <v>2097.57</v>
      </c>
    </row>
    <row r="1286" ht="12" customHeight="1">
      <c r="A1286" s="30" t="inlineStr">
        <is>
          <t>ARE</t>
        </is>
      </c>
      <c r="B1286" s="30" t="inlineStr">
        <is>
          <t>Areal</t>
        </is>
      </c>
      <c r="C1286" s="30" t="n">
        <v>80530838</v>
      </c>
      <c r="D1286" s="30">
        <f>"29291184000178"</f>
        <v/>
      </c>
      <c r="E1286" s="30" t="inlineStr">
        <is>
          <t>TRANSPORTES TONIATO LTDA</t>
        </is>
      </c>
      <c r="F1286" s="30" t="inlineStr">
        <is>
          <t>2018</t>
        </is>
      </c>
      <c r="G1286" s="40" t="n">
        <v>0</v>
      </c>
    </row>
    <row r="1287" ht="12" customHeight="1">
      <c r="A1287" s="30" t="inlineStr">
        <is>
          <t>ARE</t>
        </is>
      </c>
      <c r="B1287" s="30" t="inlineStr">
        <is>
          <t>Areal</t>
        </is>
      </c>
      <c r="C1287" s="30" t="n">
        <v>80530838</v>
      </c>
      <c r="D1287" s="30">
        <f>"29291184000178"</f>
        <v/>
      </c>
      <c r="E1287" s="30" t="inlineStr">
        <is>
          <t>TRANSPORTES TONIATO LTDA</t>
        </is>
      </c>
      <c r="F1287" s="30" t="inlineStr">
        <is>
          <t>2019</t>
        </is>
      </c>
      <c r="G1287" s="40" t="n">
        <v>0</v>
      </c>
    </row>
    <row r="1288" ht="12" customHeight="1">
      <c r="A1288" s="30" t="inlineStr">
        <is>
          <t>ARE</t>
        </is>
      </c>
      <c r="B1288" s="30" t="inlineStr">
        <is>
          <t>Areal</t>
        </is>
      </c>
      <c r="C1288" s="30" t="n">
        <v>80530838</v>
      </c>
      <c r="D1288" s="30">
        <f>"29291184000178"</f>
        <v/>
      </c>
      <c r="E1288" s="30" t="inlineStr">
        <is>
          <t>TRANSPORTES TONIATO LTDA</t>
        </is>
      </c>
      <c r="F1288" s="30" t="inlineStr">
        <is>
          <t>2020</t>
        </is>
      </c>
      <c r="G1288" s="40" t="n">
        <v>140.41</v>
      </c>
    </row>
    <row r="1289" ht="12" customHeight="1">
      <c r="A1289" s="30" t="inlineStr">
        <is>
          <t>ARE</t>
        </is>
      </c>
      <c r="B1289" s="30" t="inlineStr">
        <is>
          <t>Areal</t>
        </is>
      </c>
      <c r="C1289" s="30" t="n">
        <v>80530838</v>
      </c>
      <c r="D1289" s="30">
        <f>"29291184000178"</f>
        <v/>
      </c>
      <c r="E1289" s="30" t="inlineStr">
        <is>
          <t>TRANSPORTES TONIATO LTDA</t>
        </is>
      </c>
      <c r="F1289" s="30" t="inlineStr">
        <is>
          <t>2021</t>
        </is>
      </c>
      <c r="G1289" s="40" t="n">
        <v>0</v>
      </c>
    </row>
    <row r="1290" ht="12" customHeight="1">
      <c r="A1290" s="30" t="inlineStr">
        <is>
          <t>ARE</t>
        </is>
      </c>
      <c r="B1290" s="30" t="inlineStr">
        <is>
          <t>Areal</t>
        </is>
      </c>
      <c r="C1290" s="30" t="n">
        <v>80530838</v>
      </c>
      <c r="D1290" s="30">
        <f>"29291184000178"</f>
        <v/>
      </c>
      <c r="E1290" s="30" t="inlineStr">
        <is>
          <t>TRANSPORTES TONIATO LTDA</t>
        </is>
      </c>
      <c r="F1290" s="30" t="inlineStr">
        <is>
          <t>2022</t>
        </is>
      </c>
      <c r="G1290" s="40" t="n">
        <v>1774.86</v>
      </c>
    </row>
    <row r="1291" ht="12" customHeight="1">
      <c r="A1291" s="30" t="inlineStr">
        <is>
          <t>ARE</t>
        </is>
      </c>
      <c r="B1291" s="30" t="inlineStr">
        <is>
          <t>Areal</t>
        </is>
      </c>
      <c r="C1291" s="30" t="n">
        <v>80530838</v>
      </c>
      <c r="D1291" s="30">
        <f>"29291184000178"</f>
        <v/>
      </c>
      <c r="E1291" s="30" t="inlineStr">
        <is>
          <t>TRANSPORTES TONIATO LTDA</t>
        </is>
      </c>
      <c r="F1291" s="30" t="inlineStr">
        <is>
          <t>2023</t>
        </is>
      </c>
      <c r="G1291" s="40" t="n">
        <v>3248.39</v>
      </c>
    </row>
    <row r="1292" ht="12" customHeight="1">
      <c r="A1292" s="30" t="inlineStr">
        <is>
          <t>ARE</t>
        </is>
      </c>
      <c r="B1292" s="30" t="inlineStr">
        <is>
          <t>Areal</t>
        </is>
      </c>
      <c r="C1292" s="30" t="n">
        <v>80710933</v>
      </c>
      <c r="D1292" s="30">
        <f>"28333011000102"</f>
        <v/>
      </c>
      <c r="E1292" s="30" t="inlineStr">
        <is>
          <t>IRMAG - INDUSTRIA E COMERCIO DE PLASTICOS LTDA - ME</t>
        </is>
      </c>
      <c r="F1292" s="30" t="inlineStr">
        <is>
          <t>2017</t>
        </is>
      </c>
      <c r="G1292" s="40" t="n">
        <v>0</v>
      </c>
    </row>
    <row r="1293" ht="12" customHeight="1">
      <c r="A1293" s="30" t="inlineStr">
        <is>
          <t>ARE</t>
        </is>
      </c>
      <c r="B1293" s="30" t="inlineStr">
        <is>
          <t>Areal</t>
        </is>
      </c>
      <c r="C1293" s="30" t="n">
        <v>80710933</v>
      </c>
      <c r="D1293" s="30">
        <f>"28333011000102"</f>
        <v/>
      </c>
      <c r="E1293" s="30" t="inlineStr">
        <is>
          <t>IRMAG - INDUSTRIA E COMERCIO DE PLASTICOS LTDA - ME</t>
        </is>
      </c>
      <c r="F1293" s="30" t="inlineStr">
        <is>
          <t>2018</t>
        </is>
      </c>
      <c r="G1293" s="40" t="n">
        <v>0</v>
      </c>
    </row>
    <row r="1294" ht="12" customHeight="1">
      <c r="A1294" s="30" t="inlineStr">
        <is>
          <t>ARE</t>
        </is>
      </c>
      <c r="B1294" s="30" t="inlineStr">
        <is>
          <t>Areal</t>
        </is>
      </c>
      <c r="C1294" s="30" t="n">
        <v>80710933</v>
      </c>
      <c r="D1294" s="30">
        <f>"28333011000102"</f>
        <v/>
      </c>
      <c r="E1294" s="30" t="inlineStr">
        <is>
          <t>IRMAG - INDUSTRIA E COMERCIO DE PLASTICOS LTDA - ME</t>
        </is>
      </c>
      <c r="F1294" s="30" t="inlineStr">
        <is>
          <t>2019</t>
        </is>
      </c>
      <c r="G1294" s="40" t="n">
        <v>0</v>
      </c>
    </row>
    <row r="1295" ht="12" customHeight="1">
      <c r="A1295" s="30" t="inlineStr">
        <is>
          <t>ARE</t>
        </is>
      </c>
      <c r="B1295" s="30" t="inlineStr">
        <is>
          <t>Areal</t>
        </is>
      </c>
      <c r="C1295" s="30" t="n">
        <v>80735936</v>
      </c>
      <c r="D1295" s="30">
        <f>"49930514002693"</f>
        <v/>
      </c>
      <c r="E1295" s="30" t="inlineStr">
        <is>
          <t>SODEXO DO BRASIL COMERCIAL S A</t>
        </is>
      </c>
      <c r="F1295" s="30" t="inlineStr">
        <is>
          <t>2018</t>
        </is>
      </c>
      <c r="G1295" s="40" t="n">
        <v>0</v>
      </c>
    </row>
    <row r="1296" ht="12" customHeight="1">
      <c r="A1296" s="30" t="inlineStr">
        <is>
          <t>ARE</t>
        </is>
      </c>
      <c r="B1296" s="30" t="inlineStr">
        <is>
          <t>Areal</t>
        </is>
      </c>
      <c r="C1296" s="30" t="n">
        <v>80735936</v>
      </c>
      <c r="D1296" s="30">
        <f>"49930514002693"</f>
        <v/>
      </c>
      <c r="E1296" s="30" t="inlineStr">
        <is>
          <t>SODEXO DO BRASIL COMERCIAL S A</t>
        </is>
      </c>
      <c r="F1296" s="30" t="inlineStr">
        <is>
          <t>2019</t>
        </is>
      </c>
      <c r="G1296" s="40" t="n">
        <v>0</v>
      </c>
    </row>
    <row r="1297" ht="12" customHeight="1">
      <c r="A1297" s="30" t="inlineStr">
        <is>
          <t>ARE</t>
        </is>
      </c>
      <c r="B1297" s="30" t="inlineStr">
        <is>
          <t>Areal</t>
        </is>
      </c>
      <c r="C1297" s="30" t="n">
        <v>80735936</v>
      </c>
      <c r="D1297" s="30">
        <f>"49930514002693"</f>
        <v/>
      </c>
      <c r="E1297" s="30" t="inlineStr">
        <is>
          <t>SODEXO DO BRASIL COMERCIAL S A</t>
        </is>
      </c>
      <c r="F1297" s="30" t="inlineStr">
        <is>
          <t>2020</t>
        </is>
      </c>
      <c r="G1297" s="40" t="n">
        <v>398224.44</v>
      </c>
    </row>
    <row r="1298" ht="12" customHeight="1">
      <c r="A1298" s="30" t="inlineStr">
        <is>
          <t>ARE</t>
        </is>
      </c>
      <c r="B1298" s="30" t="inlineStr">
        <is>
          <t>Areal</t>
        </is>
      </c>
      <c r="C1298" s="30" t="n">
        <v>80735936</v>
      </c>
      <c r="D1298" s="30">
        <f>"49930514002693"</f>
        <v/>
      </c>
      <c r="E1298" s="30" t="inlineStr">
        <is>
          <t>SODEXO DO BRASIL COMERCIAL S A</t>
        </is>
      </c>
      <c r="F1298" s="30" t="inlineStr">
        <is>
          <t>2021</t>
        </is>
      </c>
      <c r="G1298" s="40" t="n">
        <v>310256.76</v>
      </c>
    </row>
    <row r="1299" ht="12" customHeight="1">
      <c r="A1299" s="30" t="inlineStr">
        <is>
          <t>ARE</t>
        </is>
      </c>
      <c r="B1299" s="30" t="inlineStr">
        <is>
          <t>Areal</t>
        </is>
      </c>
      <c r="C1299" s="30" t="n">
        <v>80735936</v>
      </c>
      <c r="D1299" s="30">
        <f>"49930514002693"</f>
        <v/>
      </c>
      <c r="E1299" s="30" t="inlineStr">
        <is>
          <t>SODEXO DO BRASIL COMERCIAL S A</t>
        </is>
      </c>
      <c r="F1299" s="30" t="inlineStr">
        <is>
          <t>2022</t>
        </is>
      </c>
      <c r="G1299" s="40" t="n">
        <v>267616.11</v>
      </c>
    </row>
    <row r="1300" ht="12" customHeight="1">
      <c r="A1300" s="30" t="inlineStr">
        <is>
          <t>ARE</t>
        </is>
      </c>
      <c r="B1300" s="30" t="inlineStr">
        <is>
          <t>Areal</t>
        </is>
      </c>
      <c r="C1300" s="30" t="n">
        <v>80735936</v>
      </c>
      <c r="D1300" s="30">
        <f>"49930514002693"</f>
        <v/>
      </c>
      <c r="E1300" s="30" t="inlineStr">
        <is>
          <t>SODEXO DO BRASIL COMERCIAL S A</t>
        </is>
      </c>
      <c r="F1300" s="30" t="inlineStr">
        <is>
          <t>2023</t>
        </is>
      </c>
      <c r="G1300" s="40" t="n">
        <v>57321.77</v>
      </c>
    </row>
    <row r="1301" ht="12" customHeight="1">
      <c r="A1301" s="30" t="inlineStr">
        <is>
          <t>ARE</t>
        </is>
      </c>
      <c r="B1301" s="30" t="inlineStr">
        <is>
          <t>Areal</t>
        </is>
      </c>
      <c r="C1301" s="30" t="n">
        <v>80781431</v>
      </c>
      <c r="D1301" s="30">
        <f>"32285454000142"</f>
        <v/>
      </c>
      <c r="E1301" s="30" t="inlineStr">
        <is>
          <t>VIACAO SALUTARIS E TURISMO SA</t>
        </is>
      </c>
      <c r="F1301" s="30" t="inlineStr">
        <is>
          <t>2017</t>
        </is>
      </c>
      <c r="G1301" s="40" t="n">
        <v>49302.48</v>
      </c>
    </row>
    <row r="1302" ht="12" customHeight="1">
      <c r="A1302" s="30" t="inlineStr">
        <is>
          <t>ARE</t>
        </is>
      </c>
      <c r="B1302" s="30" t="inlineStr">
        <is>
          <t>Areal</t>
        </is>
      </c>
      <c r="C1302" s="30" t="n">
        <v>80781431</v>
      </c>
      <c r="D1302" s="30">
        <f>"32285454000142"</f>
        <v/>
      </c>
      <c r="E1302" s="30" t="inlineStr">
        <is>
          <t>VIACAO SALUTARIS E TURISMO SA</t>
        </is>
      </c>
      <c r="F1302" s="30" t="inlineStr">
        <is>
          <t>2018</t>
        </is>
      </c>
      <c r="G1302" s="40" t="n">
        <v>25184.97</v>
      </c>
    </row>
    <row r="1303" ht="12" customHeight="1">
      <c r="A1303" s="30" t="inlineStr">
        <is>
          <t>ARE</t>
        </is>
      </c>
      <c r="B1303" s="30" t="inlineStr">
        <is>
          <t>Areal</t>
        </is>
      </c>
      <c r="C1303" s="30" t="n">
        <v>80781431</v>
      </c>
      <c r="D1303" s="30">
        <f>"32285454000142"</f>
        <v/>
      </c>
      <c r="E1303" s="30" t="inlineStr">
        <is>
          <t>VIACAO SALUTARIS E TURISMO SA</t>
        </is>
      </c>
      <c r="F1303" s="30" t="inlineStr">
        <is>
          <t>2019</t>
        </is>
      </c>
      <c r="G1303" s="40" t="n">
        <v>69083.87</v>
      </c>
    </row>
    <row r="1304" ht="12" customHeight="1">
      <c r="A1304" s="30" t="inlineStr">
        <is>
          <t>ARE</t>
        </is>
      </c>
      <c r="B1304" s="30" t="inlineStr">
        <is>
          <t>Areal</t>
        </is>
      </c>
      <c r="C1304" s="30" t="n">
        <v>80781431</v>
      </c>
      <c r="D1304" s="30">
        <f>"32285454000142"</f>
        <v/>
      </c>
      <c r="E1304" s="30" t="inlineStr">
        <is>
          <t>VIACAO SALUTARIS E TURISMO SA</t>
        </is>
      </c>
      <c r="F1304" s="30" t="inlineStr">
        <is>
          <t>2020</t>
        </is>
      </c>
      <c r="G1304" s="40" t="n">
        <v>2894.34</v>
      </c>
    </row>
    <row r="1305" ht="12" customHeight="1">
      <c r="A1305" s="30" t="inlineStr">
        <is>
          <t>ARE</t>
        </is>
      </c>
      <c r="B1305" s="30" t="inlineStr">
        <is>
          <t>Areal</t>
        </is>
      </c>
      <c r="C1305" s="30" t="n">
        <v>80781431</v>
      </c>
      <c r="D1305" s="30">
        <f>"32285454000142"</f>
        <v/>
      </c>
      <c r="E1305" s="30" t="inlineStr">
        <is>
          <t>VIACAO SALUTARIS E TURISMO SA</t>
        </is>
      </c>
      <c r="F1305" s="30" t="inlineStr">
        <is>
          <t>2021</t>
        </is>
      </c>
      <c r="G1305" s="40" t="n">
        <v>26046.79</v>
      </c>
    </row>
    <row r="1306" ht="12" customHeight="1">
      <c r="A1306" s="30" t="inlineStr">
        <is>
          <t>ARE</t>
        </is>
      </c>
      <c r="B1306" s="30" t="inlineStr">
        <is>
          <t>Areal</t>
        </is>
      </c>
      <c r="C1306" s="30" t="n">
        <v>80781431</v>
      </c>
      <c r="D1306" s="30">
        <f>"32285454000142"</f>
        <v/>
      </c>
      <c r="E1306" s="30" t="inlineStr">
        <is>
          <t>VIACAO SALUTARIS E TURISMO SA</t>
        </is>
      </c>
      <c r="F1306" s="30" t="inlineStr">
        <is>
          <t>2022</t>
        </is>
      </c>
      <c r="G1306" s="40" t="n">
        <v>86502.46000000001</v>
      </c>
    </row>
    <row r="1307" ht="12" customHeight="1">
      <c r="A1307" s="30" t="inlineStr">
        <is>
          <t>ARE</t>
        </is>
      </c>
      <c r="B1307" s="30" t="inlineStr">
        <is>
          <t>Areal</t>
        </is>
      </c>
      <c r="C1307" s="30" t="n">
        <v>80781431</v>
      </c>
      <c r="D1307" s="30">
        <f>"32285454000142"</f>
        <v/>
      </c>
      <c r="E1307" s="30" t="inlineStr">
        <is>
          <t>VIACAO SALUTARIS E TURISMO SA</t>
        </is>
      </c>
      <c r="F1307" s="30" t="inlineStr">
        <is>
          <t>2023</t>
        </is>
      </c>
      <c r="G1307" s="40" t="n">
        <v>66099.03999999999</v>
      </c>
    </row>
    <row r="1308" ht="12" customHeight="1">
      <c r="A1308" s="30" t="inlineStr">
        <is>
          <t>ARE</t>
        </is>
      </c>
      <c r="B1308" s="30" t="inlineStr">
        <is>
          <t>Areal</t>
        </is>
      </c>
      <c r="C1308" s="30" t="n">
        <v>80820151</v>
      </c>
      <c r="D1308" s="30">
        <f>"32296378000251"</f>
        <v/>
      </c>
      <c r="E1308" s="30" t="inlineStr">
        <is>
          <t>CEREAIS BRAMIL LTDA</t>
        </is>
      </c>
      <c r="F1308" s="30" t="inlineStr">
        <is>
          <t>2017</t>
        </is>
      </c>
      <c r="G1308" s="40" t="n">
        <v>7408668.46</v>
      </c>
    </row>
    <row r="1309" ht="12" customHeight="1">
      <c r="A1309" s="30" t="inlineStr">
        <is>
          <t>ARE</t>
        </is>
      </c>
      <c r="B1309" s="30" t="inlineStr">
        <is>
          <t>Areal</t>
        </is>
      </c>
      <c r="C1309" s="30" t="n">
        <v>80820151</v>
      </c>
      <c r="D1309" s="30">
        <f>"32296378000251"</f>
        <v/>
      </c>
      <c r="E1309" s="30" t="inlineStr">
        <is>
          <t>CEREAIS BRAMIL LTDA</t>
        </is>
      </c>
      <c r="F1309" s="30" t="inlineStr">
        <is>
          <t>2018</t>
        </is>
      </c>
      <c r="G1309" s="40" t="n">
        <v>7058601.88</v>
      </c>
    </row>
    <row r="1310" ht="12" customHeight="1">
      <c r="A1310" s="30" t="inlineStr">
        <is>
          <t>ARE</t>
        </is>
      </c>
      <c r="B1310" s="30" t="inlineStr">
        <is>
          <t>Areal</t>
        </is>
      </c>
      <c r="C1310" s="30" t="n">
        <v>80820151</v>
      </c>
      <c r="D1310" s="30">
        <f>"32296378000251"</f>
        <v/>
      </c>
      <c r="E1310" s="30" t="inlineStr">
        <is>
          <t>CEREAIS BRAMIL LTDA</t>
        </is>
      </c>
      <c r="F1310" s="30" t="inlineStr">
        <is>
          <t>2019</t>
        </is>
      </c>
      <c r="G1310" s="40" t="n">
        <v>7282340.46</v>
      </c>
    </row>
    <row r="1311" ht="12" customHeight="1">
      <c r="A1311" s="30" t="inlineStr">
        <is>
          <t>ARE</t>
        </is>
      </c>
      <c r="B1311" s="30" t="inlineStr">
        <is>
          <t>Areal</t>
        </is>
      </c>
      <c r="C1311" s="30" t="n">
        <v>80820151</v>
      </c>
      <c r="D1311" s="30">
        <f>"32296378000251"</f>
        <v/>
      </c>
      <c r="E1311" s="30" t="inlineStr">
        <is>
          <t>CEREAIS BRAMIL LTDA</t>
        </is>
      </c>
      <c r="F1311" s="30" t="inlineStr">
        <is>
          <t>2020</t>
        </is>
      </c>
      <c r="G1311" s="40" t="n">
        <v>9161444.49</v>
      </c>
    </row>
    <row r="1312" ht="12" customHeight="1">
      <c r="A1312" s="30" t="inlineStr">
        <is>
          <t>ARE</t>
        </is>
      </c>
      <c r="B1312" s="30" t="inlineStr">
        <is>
          <t>Areal</t>
        </is>
      </c>
      <c r="C1312" s="30" t="n">
        <v>80820151</v>
      </c>
      <c r="D1312" s="30">
        <f>"32296378000251"</f>
        <v/>
      </c>
      <c r="E1312" s="30" t="inlineStr">
        <is>
          <t>CEREAIS BRAMIL LTDA</t>
        </is>
      </c>
      <c r="F1312" s="30" t="inlineStr">
        <is>
          <t>2021</t>
        </is>
      </c>
      <c r="G1312" s="40" t="n">
        <v>9088206.24</v>
      </c>
    </row>
    <row r="1313" ht="12" customHeight="1">
      <c r="A1313" s="30" t="inlineStr">
        <is>
          <t>ARE</t>
        </is>
      </c>
      <c r="B1313" s="30" t="inlineStr">
        <is>
          <t>Areal</t>
        </is>
      </c>
      <c r="C1313" s="30" t="n">
        <v>80820151</v>
      </c>
      <c r="D1313" s="30">
        <f>"32296378000251"</f>
        <v/>
      </c>
      <c r="E1313" s="30" t="inlineStr">
        <is>
          <t>CEREAIS BRAMIL LTDA</t>
        </is>
      </c>
      <c r="F1313" s="30" t="inlineStr">
        <is>
          <t>2022</t>
        </is>
      </c>
      <c r="G1313" s="40" t="n">
        <v>8560462.220000001</v>
      </c>
    </row>
    <row r="1314" ht="12" customHeight="1">
      <c r="A1314" s="30" t="inlineStr">
        <is>
          <t>ARE</t>
        </is>
      </c>
      <c r="B1314" s="30" t="inlineStr">
        <is>
          <t>Areal</t>
        </is>
      </c>
      <c r="C1314" s="30" t="n">
        <v>80820151</v>
      </c>
      <c r="D1314" s="30">
        <f>"32296378000251"</f>
        <v/>
      </c>
      <c r="E1314" s="30" t="inlineStr">
        <is>
          <t>CEREAIS BRAMIL LTDA</t>
        </is>
      </c>
      <c r="F1314" s="30" t="inlineStr">
        <is>
          <t>2023</t>
        </is>
      </c>
      <c r="G1314" s="40" t="n">
        <v>11826029.99</v>
      </c>
    </row>
    <row r="1315" ht="12" customHeight="1">
      <c r="A1315" s="30" t="inlineStr">
        <is>
          <t>ARE</t>
        </is>
      </c>
      <c r="B1315" s="30" t="inlineStr">
        <is>
          <t>Areal</t>
        </is>
      </c>
      <c r="C1315" s="30" t="n">
        <v>80824130</v>
      </c>
      <c r="D1315" s="30">
        <f>"32287369000113"</f>
        <v/>
      </c>
      <c r="E1315" s="30" t="inlineStr">
        <is>
          <t>POSTO DE SERVICO LIDER LTDA</t>
        </is>
      </c>
      <c r="F1315" s="30" t="inlineStr">
        <is>
          <t>2017</t>
        </is>
      </c>
      <c r="G1315" s="40" t="n">
        <v>425433.17</v>
      </c>
    </row>
    <row r="1316" ht="12" customHeight="1">
      <c r="A1316" s="30" t="inlineStr">
        <is>
          <t>ARE</t>
        </is>
      </c>
      <c r="B1316" s="30" t="inlineStr">
        <is>
          <t>Areal</t>
        </is>
      </c>
      <c r="C1316" s="30" t="n">
        <v>80824130</v>
      </c>
      <c r="D1316" s="30">
        <f>"32287369000113"</f>
        <v/>
      </c>
      <c r="E1316" s="30" t="inlineStr">
        <is>
          <t>POSTO DE SERVICO LIDER LTDA</t>
        </is>
      </c>
      <c r="F1316" s="30" t="inlineStr">
        <is>
          <t>2018</t>
        </is>
      </c>
      <c r="G1316" s="40" t="n">
        <v>0</v>
      </c>
    </row>
    <row r="1317" ht="12" customHeight="1">
      <c r="A1317" s="30" t="inlineStr">
        <is>
          <t>ARE</t>
        </is>
      </c>
      <c r="B1317" s="30" t="inlineStr">
        <is>
          <t>Areal</t>
        </is>
      </c>
      <c r="C1317" s="30" t="n">
        <v>80824130</v>
      </c>
      <c r="D1317" s="30">
        <f>"32287369000113"</f>
        <v/>
      </c>
      <c r="E1317" s="30" t="inlineStr">
        <is>
          <t>POSTO DE SERVICO LIDER LTDA</t>
        </is>
      </c>
      <c r="F1317" s="30" t="inlineStr">
        <is>
          <t>2019</t>
        </is>
      </c>
      <c r="G1317" s="40" t="n">
        <v>0</v>
      </c>
    </row>
    <row r="1318" ht="12" customHeight="1">
      <c r="A1318" s="30" t="inlineStr">
        <is>
          <t>ARE</t>
        </is>
      </c>
      <c r="B1318" s="30" t="inlineStr">
        <is>
          <t>Areal</t>
        </is>
      </c>
      <c r="C1318" s="30" t="n">
        <v>80824130</v>
      </c>
      <c r="D1318" s="30">
        <f>"32287369000113"</f>
        <v/>
      </c>
      <c r="E1318" s="30" t="inlineStr">
        <is>
          <t>POSTO DE SERVICO LIDER LTDA</t>
        </is>
      </c>
      <c r="F1318" s="30" t="inlineStr">
        <is>
          <t>2020</t>
        </is>
      </c>
      <c r="G1318" s="40" t="n">
        <v>0</v>
      </c>
    </row>
    <row r="1319" ht="12" customHeight="1">
      <c r="A1319" s="30" t="inlineStr">
        <is>
          <t>ARE</t>
        </is>
      </c>
      <c r="B1319" s="30" t="inlineStr">
        <is>
          <t>Areal</t>
        </is>
      </c>
      <c r="C1319" s="30" t="n">
        <v>80824335</v>
      </c>
      <c r="D1319" s="30">
        <f>"33051491000159"</f>
        <v/>
      </c>
      <c r="E1319" s="30" t="inlineStr">
        <is>
          <t>LABORATORIOS PIERRE FABRE DO BRASIL LTDA</t>
        </is>
      </c>
      <c r="F1319" s="30" t="inlineStr">
        <is>
          <t>2017</t>
        </is>
      </c>
      <c r="G1319" s="40" t="n">
        <v>98145244.69</v>
      </c>
    </row>
    <row r="1320" ht="12" customHeight="1">
      <c r="A1320" s="30" t="inlineStr">
        <is>
          <t>ARE</t>
        </is>
      </c>
      <c r="B1320" s="30" t="inlineStr">
        <is>
          <t>Areal</t>
        </is>
      </c>
      <c r="C1320" s="30" t="n">
        <v>80824335</v>
      </c>
      <c r="D1320" s="30">
        <f>"33051491000159"</f>
        <v/>
      </c>
      <c r="E1320" s="30" t="inlineStr">
        <is>
          <t>LABORATORIOS PIERRE FABRE DO BRASIL LTDA</t>
        </is>
      </c>
      <c r="F1320" s="30" t="inlineStr">
        <is>
          <t>2018</t>
        </is>
      </c>
      <c r="G1320" s="40" t="n">
        <v>119795784.15</v>
      </c>
    </row>
    <row r="1321" ht="12" customHeight="1">
      <c r="A1321" s="30" t="inlineStr">
        <is>
          <t>ARE</t>
        </is>
      </c>
      <c r="B1321" s="30" t="inlineStr">
        <is>
          <t>Areal</t>
        </is>
      </c>
      <c r="C1321" s="30" t="n">
        <v>80824335</v>
      </c>
      <c r="D1321" s="30">
        <f>"33051491000159"</f>
        <v/>
      </c>
      <c r="E1321" s="30" t="inlineStr">
        <is>
          <t>LABORATORIOS PIERRE FABRE DO BRASIL LTDA</t>
        </is>
      </c>
      <c r="F1321" s="30" t="inlineStr">
        <is>
          <t>2019</t>
        </is>
      </c>
      <c r="G1321" s="40" t="n">
        <v>151160530.12</v>
      </c>
    </row>
    <row r="1322" ht="12" customHeight="1">
      <c r="A1322" s="30" t="inlineStr">
        <is>
          <t>ARE</t>
        </is>
      </c>
      <c r="B1322" s="30" t="inlineStr">
        <is>
          <t>Areal</t>
        </is>
      </c>
      <c r="C1322" s="30" t="n">
        <v>80824335</v>
      </c>
      <c r="D1322" s="30">
        <f>"33051491000159"</f>
        <v/>
      </c>
      <c r="E1322" s="30" t="inlineStr">
        <is>
          <t>LABORATORIOS PIERRE FABRE DO BRASIL LTDA</t>
        </is>
      </c>
      <c r="F1322" s="30" t="inlineStr">
        <is>
          <t>2020</t>
        </is>
      </c>
      <c r="G1322" s="40" t="n">
        <v>169925024.06</v>
      </c>
    </row>
    <row r="1323" ht="12" customHeight="1">
      <c r="A1323" s="30" t="inlineStr">
        <is>
          <t>ARE</t>
        </is>
      </c>
      <c r="B1323" s="30" t="inlineStr">
        <is>
          <t>Areal</t>
        </is>
      </c>
      <c r="C1323" s="30" t="n">
        <v>80824335</v>
      </c>
      <c r="D1323" s="30">
        <f>"33051491000159"</f>
        <v/>
      </c>
      <c r="E1323" s="30" t="inlineStr">
        <is>
          <t>LABORATORIOS PIERRE FABRE DO BRASIL LTDA</t>
        </is>
      </c>
      <c r="F1323" s="30" t="inlineStr">
        <is>
          <t>2021</t>
        </is>
      </c>
      <c r="G1323" s="40" t="n">
        <v>254355647.01</v>
      </c>
    </row>
    <row r="1324" ht="12" customHeight="1">
      <c r="A1324" s="30" t="inlineStr">
        <is>
          <t>ARE</t>
        </is>
      </c>
      <c r="B1324" s="30" t="inlineStr">
        <is>
          <t>Areal</t>
        </is>
      </c>
      <c r="C1324" s="30" t="n">
        <v>80824335</v>
      </c>
      <c r="D1324" s="30">
        <f>"33051491000159"</f>
        <v/>
      </c>
      <c r="E1324" s="30" t="inlineStr">
        <is>
          <t>LABORATORIOS PIERRE FABRE DO BRASIL LTDA</t>
        </is>
      </c>
      <c r="F1324" s="30" t="inlineStr">
        <is>
          <t>2022</t>
        </is>
      </c>
      <c r="G1324" s="40" t="n">
        <v>362379432.97</v>
      </c>
    </row>
    <row r="1325" ht="12" customHeight="1">
      <c r="A1325" s="30" t="inlineStr">
        <is>
          <t>ARE</t>
        </is>
      </c>
      <c r="B1325" s="30" t="inlineStr">
        <is>
          <t>Areal</t>
        </is>
      </c>
      <c r="C1325" s="30" t="n">
        <v>80824335</v>
      </c>
      <c r="D1325" s="30">
        <f>"33051491000159"</f>
        <v/>
      </c>
      <c r="E1325" s="30" t="inlineStr">
        <is>
          <t>LABORATORIOS PIERRE FABRE DO BRASIL LTDA</t>
        </is>
      </c>
      <c r="F1325" s="30" t="inlineStr">
        <is>
          <t>2023</t>
        </is>
      </c>
      <c r="G1325" s="40" t="n">
        <v>446037285.42</v>
      </c>
    </row>
    <row r="1326" ht="12" customHeight="1">
      <c r="A1326" s="30" t="inlineStr">
        <is>
          <t>ARE</t>
        </is>
      </c>
      <c r="B1326" s="30" t="inlineStr">
        <is>
          <t>Areal</t>
        </is>
      </c>
      <c r="C1326" s="30" t="n">
        <v>80825323</v>
      </c>
      <c r="D1326" s="30">
        <f>"29148210000103"</f>
        <v/>
      </c>
      <c r="E1326" s="30" t="inlineStr">
        <is>
          <t>AREAL MATERIAL DE CONSTRUCAO LTDA</t>
        </is>
      </c>
      <c r="F1326" s="30" t="inlineStr">
        <is>
          <t>2017</t>
        </is>
      </c>
      <c r="G1326" s="40" t="n">
        <v>907810.65</v>
      </c>
    </row>
    <row r="1327" ht="12" customHeight="1">
      <c r="A1327" s="30" t="inlineStr">
        <is>
          <t>ARE</t>
        </is>
      </c>
      <c r="B1327" s="30" t="inlineStr">
        <is>
          <t>Areal</t>
        </is>
      </c>
      <c r="C1327" s="30" t="n">
        <v>80825323</v>
      </c>
      <c r="D1327" s="30">
        <f>"29148210000103"</f>
        <v/>
      </c>
      <c r="E1327" s="30" t="inlineStr">
        <is>
          <t>AREAL MATERIAL DE CONSTRUCAO LTDA</t>
        </is>
      </c>
      <c r="F1327" s="30" t="inlineStr">
        <is>
          <t>2018</t>
        </is>
      </c>
      <c r="G1327" s="40" t="n">
        <v>779724.49</v>
      </c>
    </row>
    <row r="1328" ht="12" customHeight="1">
      <c r="A1328" s="30" t="inlineStr">
        <is>
          <t>ARE</t>
        </is>
      </c>
      <c r="B1328" s="30" t="inlineStr">
        <is>
          <t>Areal</t>
        </is>
      </c>
      <c r="C1328" s="30" t="n">
        <v>80825323</v>
      </c>
      <c r="D1328" s="30">
        <f>"29148210000103"</f>
        <v/>
      </c>
      <c r="E1328" s="30" t="inlineStr">
        <is>
          <t>AREAL MATERIAL DE CONSTRUCAO LTDA</t>
        </is>
      </c>
      <c r="F1328" s="30" t="inlineStr">
        <is>
          <t>2019</t>
        </is>
      </c>
      <c r="G1328" s="40" t="n">
        <v>1295605.1</v>
      </c>
    </row>
    <row r="1329" ht="12" customHeight="1">
      <c r="A1329" s="30" t="inlineStr">
        <is>
          <t>ARE</t>
        </is>
      </c>
      <c r="B1329" s="30" t="inlineStr">
        <is>
          <t>Areal</t>
        </is>
      </c>
      <c r="C1329" s="30" t="n">
        <v>80825323</v>
      </c>
      <c r="D1329" s="30">
        <f>"29148210000103"</f>
        <v/>
      </c>
      <c r="E1329" s="30" t="inlineStr">
        <is>
          <t>AREAL MATERIAL DE CONSTRUCAO LTDA</t>
        </is>
      </c>
      <c r="F1329" s="30" t="inlineStr">
        <is>
          <t>2020</t>
        </is>
      </c>
      <c r="G1329" s="40" t="n">
        <v>1004685.25</v>
      </c>
    </row>
    <row r="1330" ht="12" customHeight="1">
      <c r="A1330" s="30" t="inlineStr">
        <is>
          <t>ARE</t>
        </is>
      </c>
      <c r="B1330" s="30" t="inlineStr">
        <is>
          <t>Areal</t>
        </is>
      </c>
      <c r="C1330" s="30" t="n">
        <v>80825323</v>
      </c>
      <c r="D1330" s="30">
        <f>"29148210000103"</f>
        <v/>
      </c>
      <c r="E1330" s="30" t="inlineStr">
        <is>
          <t>AREAL MATERIAL DE CONSTRUCAO LTDA</t>
        </is>
      </c>
      <c r="F1330" s="30" t="inlineStr">
        <is>
          <t>2021</t>
        </is>
      </c>
      <c r="G1330" s="40" t="n">
        <v>1068716.47</v>
      </c>
    </row>
    <row r="1331" ht="12" customHeight="1">
      <c r="A1331" s="30" t="inlineStr">
        <is>
          <t>ARE</t>
        </is>
      </c>
      <c r="B1331" s="30" t="inlineStr">
        <is>
          <t>Areal</t>
        </is>
      </c>
      <c r="C1331" s="30" t="n">
        <v>80825323</v>
      </c>
      <c r="D1331" s="30">
        <f>"29148210000103"</f>
        <v/>
      </c>
      <c r="E1331" s="30" t="inlineStr">
        <is>
          <t>AREAL MATERIAL DE CONSTRUCAO LTDA</t>
        </is>
      </c>
      <c r="F1331" s="30" t="inlineStr">
        <is>
          <t>2022</t>
        </is>
      </c>
      <c r="G1331" s="40" t="n">
        <v>1370103.15</v>
      </c>
    </row>
    <row r="1332" ht="12" customHeight="1">
      <c r="A1332" s="30" t="inlineStr">
        <is>
          <t>ARE</t>
        </is>
      </c>
      <c r="B1332" s="30" t="inlineStr">
        <is>
          <t>Areal</t>
        </is>
      </c>
      <c r="C1332" s="30" t="n">
        <v>80825323</v>
      </c>
      <c r="D1332" s="30">
        <f>"29148210000103"</f>
        <v/>
      </c>
      <c r="E1332" s="30" t="inlineStr">
        <is>
          <t>AREAL MATERIAL DE CONSTRUCAO LTDA</t>
        </is>
      </c>
      <c r="F1332" s="30" t="inlineStr">
        <is>
          <t>2023</t>
        </is>
      </c>
      <c r="G1332" s="40" t="n">
        <v>1388749.01</v>
      </c>
    </row>
    <row r="1333" ht="12" customHeight="1">
      <c r="A1333" s="30" t="inlineStr">
        <is>
          <t>ARE</t>
        </is>
      </c>
      <c r="B1333" s="30" t="inlineStr">
        <is>
          <t>Areal</t>
        </is>
      </c>
      <c r="C1333" s="30" t="n">
        <v>80826834</v>
      </c>
      <c r="D1333" s="30">
        <f>"29157872000140"</f>
        <v/>
      </c>
      <c r="E1333" s="30" t="inlineStr">
        <is>
          <t>FARMACIA CENTRO AREALENSE LTDA</t>
        </is>
      </c>
      <c r="F1333" s="30" t="inlineStr">
        <is>
          <t>2021</t>
        </is>
      </c>
      <c r="G1333" s="40" t="n">
        <v>0</v>
      </c>
    </row>
    <row r="1334" ht="12" customHeight="1">
      <c r="A1334" s="30" t="inlineStr">
        <is>
          <t>ARE</t>
        </is>
      </c>
      <c r="B1334" s="30" t="inlineStr">
        <is>
          <t>Areal</t>
        </is>
      </c>
      <c r="C1334" s="30" t="n">
        <v>80826834</v>
      </c>
      <c r="D1334" s="30">
        <f>"29157872000140"</f>
        <v/>
      </c>
      <c r="E1334" s="30" t="inlineStr">
        <is>
          <t>FARMACIA CENTRO AREALENSE LTDA</t>
        </is>
      </c>
      <c r="F1334" s="30" t="inlineStr">
        <is>
          <t>2022</t>
        </is>
      </c>
      <c r="G1334" s="40" t="n">
        <v>0</v>
      </c>
    </row>
    <row r="1335" ht="12" customHeight="1">
      <c r="A1335" s="30" t="inlineStr">
        <is>
          <t>ARE</t>
        </is>
      </c>
      <c r="B1335" s="30" t="inlineStr">
        <is>
          <t>Areal</t>
        </is>
      </c>
      <c r="C1335" s="30" t="n">
        <v>80826834</v>
      </c>
      <c r="D1335" s="30">
        <f>"29157872000140"</f>
        <v/>
      </c>
      <c r="E1335" s="30" t="inlineStr">
        <is>
          <t>FARMACIA CENTRO AREALENSE LTDA</t>
        </is>
      </c>
      <c r="F1335" s="30" t="inlineStr">
        <is>
          <t>2023</t>
        </is>
      </c>
      <c r="G1335" s="40" t="n">
        <v>0</v>
      </c>
    </row>
    <row r="1336" ht="12" customHeight="1">
      <c r="A1336" s="30" t="inlineStr">
        <is>
          <t>ARE</t>
        </is>
      </c>
      <c r="B1336" s="30" t="inlineStr">
        <is>
          <t>Areal</t>
        </is>
      </c>
      <c r="C1336" s="30" t="n">
        <v>80829795</v>
      </c>
      <c r="D1336" s="30">
        <f>"32404063000108"</f>
        <v/>
      </c>
      <c r="E1336" s="30" t="inlineStr">
        <is>
          <t>VIACAO PROGRESSO E TURISMO S/A</t>
        </is>
      </c>
      <c r="F1336" s="30" t="inlineStr">
        <is>
          <t>2017</t>
        </is>
      </c>
      <c r="G1336" s="40" t="n">
        <v>600652.66</v>
      </c>
    </row>
    <row r="1337" ht="12" customHeight="1">
      <c r="A1337" s="30" t="inlineStr">
        <is>
          <t>ARE</t>
        </is>
      </c>
      <c r="B1337" s="30" t="inlineStr">
        <is>
          <t>Areal</t>
        </is>
      </c>
      <c r="C1337" s="30" t="n">
        <v>80829795</v>
      </c>
      <c r="D1337" s="30">
        <f>"32404063000108"</f>
        <v/>
      </c>
      <c r="E1337" s="30" t="inlineStr">
        <is>
          <t>VIACAO PROGRESSO E TURISMO S/A</t>
        </is>
      </c>
      <c r="F1337" s="30" t="inlineStr">
        <is>
          <t>2018</t>
        </is>
      </c>
      <c r="G1337" s="40" t="n">
        <v>836497.77</v>
      </c>
    </row>
    <row r="1338" ht="12" customHeight="1">
      <c r="A1338" s="30" t="inlineStr">
        <is>
          <t>ARE</t>
        </is>
      </c>
      <c r="B1338" s="30" t="inlineStr">
        <is>
          <t>Areal</t>
        </is>
      </c>
      <c r="C1338" s="30" t="n">
        <v>80829795</v>
      </c>
      <c r="D1338" s="30">
        <f>"32404063000108"</f>
        <v/>
      </c>
      <c r="E1338" s="30" t="inlineStr">
        <is>
          <t>VIACAO PROGRESSO E TURISMO S/A</t>
        </is>
      </c>
      <c r="F1338" s="30" t="inlineStr">
        <is>
          <t>2019</t>
        </is>
      </c>
      <c r="G1338" s="40" t="n">
        <v>796807.52</v>
      </c>
    </row>
    <row r="1339" ht="12" customHeight="1">
      <c r="A1339" s="30" t="inlineStr">
        <is>
          <t>ARE</t>
        </is>
      </c>
      <c r="B1339" s="30" t="inlineStr">
        <is>
          <t>Areal</t>
        </is>
      </c>
      <c r="C1339" s="30" t="n">
        <v>80829795</v>
      </c>
      <c r="D1339" s="30">
        <f>"32404063000108"</f>
        <v/>
      </c>
      <c r="E1339" s="30" t="inlineStr">
        <is>
          <t>VIACAO PROGRESSO E TURISMO S/A</t>
        </is>
      </c>
      <c r="F1339" s="30" t="inlineStr">
        <is>
          <t>2020</t>
        </is>
      </c>
      <c r="G1339" s="40" t="n">
        <v>341840.16</v>
      </c>
    </row>
    <row r="1340" ht="12" customHeight="1">
      <c r="A1340" s="30" t="inlineStr">
        <is>
          <t>ARE</t>
        </is>
      </c>
      <c r="B1340" s="30" t="inlineStr">
        <is>
          <t>Areal</t>
        </is>
      </c>
      <c r="C1340" s="30" t="n">
        <v>80829795</v>
      </c>
      <c r="D1340" s="30">
        <f>"32404063000108"</f>
        <v/>
      </c>
      <c r="E1340" s="30" t="inlineStr">
        <is>
          <t>VIACAO PROGRESSO E TURISMO S/A</t>
        </is>
      </c>
      <c r="F1340" s="30" t="inlineStr">
        <is>
          <t>2021</t>
        </is>
      </c>
      <c r="G1340" s="40" t="n">
        <v>321652.03</v>
      </c>
    </row>
    <row r="1341" ht="12" customHeight="1">
      <c r="A1341" s="30" t="inlineStr">
        <is>
          <t>ARE</t>
        </is>
      </c>
      <c r="B1341" s="30" t="inlineStr">
        <is>
          <t>Areal</t>
        </is>
      </c>
      <c r="C1341" s="30" t="n">
        <v>80829795</v>
      </c>
      <c r="D1341" s="30">
        <f>"32404063000108"</f>
        <v/>
      </c>
      <c r="E1341" s="30" t="inlineStr">
        <is>
          <t>VIACAO PROGRESSO E TURISMO S/A</t>
        </is>
      </c>
      <c r="F1341" s="30" t="inlineStr">
        <is>
          <t>2022</t>
        </is>
      </c>
      <c r="G1341" s="40" t="n">
        <v>319251.82</v>
      </c>
    </row>
    <row r="1342" ht="12" customHeight="1">
      <c r="A1342" s="30" t="inlineStr">
        <is>
          <t>ARE</t>
        </is>
      </c>
      <c r="B1342" s="30" t="inlineStr">
        <is>
          <t>Areal</t>
        </is>
      </c>
      <c r="C1342" s="30" t="n">
        <v>80829795</v>
      </c>
      <c r="D1342" s="30">
        <f>"32404063000108"</f>
        <v/>
      </c>
      <c r="E1342" s="30" t="inlineStr">
        <is>
          <t>VIACAO PROGRESSO E TURISMO S/A</t>
        </is>
      </c>
      <c r="F1342" s="30" t="inlineStr">
        <is>
          <t>2023</t>
        </is>
      </c>
      <c r="G1342" s="40" t="n">
        <v>1408176.45</v>
      </c>
    </row>
    <row r="1343" ht="12" customHeight="1">
      <c r="A1343" s="30" t="inlineStr">
        <is>
          <t>ARE</t>
        </is>
      </c>
      <c r="B1343" s="30" t="inlineStr">
        <is>
          <t>Areal</t>
        </is>
      </c>
      <c r="C1343" s="30" t="n">
        <v>80832982</v>
      </c>
      <c r="D1343" s="30">
        <f>"30893010000164"</f>
        <v/>
      </c>
      <c r="E1343" s="30" t="inlineStr">
        <is>
          <t>JARDINARTE PAISAGISMO LTDA</t>
        </is>
      </c>
      <c r="F1343" s="30" t="inlineStr">
        <is>
          <t>2017</t>
        </is>
      </c>
      <c r="G1343" s="40" t="n">
        <v>0</v>
      </c>
    </row>
    <row r="1344" ht="12" customHeight="1">
      <c r="A1344" s="30" t="inlineStr">
        <is>
          <t>ARE</t>
        </is>
      </c>
      <c r="B1344" s="30" t="inlineStr">
        <is>
          <t>Areal</t>
        </is>
      </c>
      <c r="C1344" s="30" t="n">
        <v>80832982</v>
      </c>
      <c r="D1344" s="30">
        <f>"30893010000164"</f>
        <v/>
      </c>
      <c r="E1344" s="30" t="inlineStr">
        <is>
          <t>JARDINARTE PAISAGISMO LTDA</t>
        </is>
      </c>
      <c r="F1344" s="30" t="inlineStr">
        <is>
          <t>2018</t>
        </is>
      </c>
      <c r="G1344" s="40" t="n">
        <v>0</v>
      </c>
    </row>
    <row r="1345" ht="12" customHeight="1">
      <c r="A1345" s="30" t="inlineStr">
        <is>
          <t>ARE</t>
        </is>
      </c>
      <c r="B1345" s="30" t="inlineStr">
        <is>
          <t>Areal</t>
        </is>
      </c>
      <c r="C1345" s="30" t="n">
        <v>80832982</v>
      </c>
      <c r="D1345" s="30">
        <f>"30893010000164"</f>
        <v/>
      </c>
      <c r="E1345" s="30" t="inlineStr">
        <is>
          <t>JARDINARTE PAISAGISMO LTDA</t>
        </is>
      </c>
      <c r="F1345" s="30" t="inlineStr">
        <is>
          <t>2019</t>
        </is>
      </c>
      <c r="G1345" s="40" t="n">
        <v>0</v>
      </c>
    </row>
    <row r="1346" ht="12" customHeight="1">
      <c r="A1346" s="30" t="inlineStr">
        <is>
          <t>ARE</t>
        </is>
      </c>
      <c r="B1346" s="30" t="inlineStr">
        <is>
          <t>Areal</t>
        </is>
      </c>
      <c r="C1346" s="30" t="n">
        <v>80832982</v>
      </c>
      <c r="D1346" s="30">
        <f>"30893010000164"</f>
        <v/>
      </c>
      <c r="E1346" s="30" t="inlineStr">
        <is>
          <t>JARDINARTE PAISAGISMO LTDA</t>
        </is>
      </c>
      <c r="F1346" s="30" t="inlineStr">
        <is>
          <t>2020</t>
        </is>
      </c>
      <c r="G1346" s="40" t="n">
        <v>0</v>
      </c>
    </row>
    <row r="1347" ht="12" customHeight="1">
      <c r="A1347" s="30" t="inlineStr">
        <is>
          <t>ARE</t>
        </is>
      </c>
      <c r="B1347" s="30" t="inlineStr">
        <is>
          <t>Areal</t>
        </is>
      </c>
      <c r="C1347" s="30" t="n">
        <v>80832982</v>
      </c>
      <c r="D1347" s="30">
        <f>"30893010000164"</f>
        <v/>
      </c>
      <c r="E1347" s="30" t="inlineStr">
        <is>
          <t>JARDINARTE PAISAGISMO LTDA</t>
        </is>
      </c>
      <c r="F1347" s="30" t="inlineStr">
        <is>
          <t>2021</t>
        </is>
      </c>
      <c r="G1347" s="40" t="n">
        <v>0</v>
      </c>
    </row>
    <row r="1348" ht="12" customHeight="1">
      <c r="A1348" s="30" t="inlineStr">
        <is>
          <t>ARE</t>
        </is>
      </c>
      <c r="B1348" s="30" t="inlineStr">
        <is>
          <t>Areal</t>
        </is>
      </c>
      <c r="C1348" s="30" t="n">
        <v>80832982</v>
      </c>
      <c r="D1348" s="30">
        <f>"30893010000164"</f>
        <v/>
      </c>
      <c r="E1348" s="30" t="inlineStr">
        <is>
          <t>JARDINARTE PAISAGISMO LTDA</t>
        </is>
      </c>
      <c r="F1348" s="30" t="inlineStr">
        <is>
          <t>2022</t>
        </is>
      </c>
      <c r="G1348" s="40" t="n">
        <v>0</v>
      </c>
    </row>
    <row r="1349" ht="12" customHeight="1">
      <c r="A1349" s="30" t="inlineStr">
        <is>
          <t>ARE</t>
        </is>
      </c>
      <c r="B1349" s="30" t="inlineStr">
        <is>
          <t>Areal</t>
        </is>
      </c>
      <c r="C1349" s="30" t="n">
        <v>80832982</v>
      </c>
      <c r="D1349" s="30">
        <f>"30893010000164"</f>
        <v/>
      </c>
      <c r="E1349" s="30" t="inlineStr">
        <is>
          <t>JARDINARTE PAISAGISMO LTDA</t>
        </is>
      </c>
      <c r="F1349" s="30" t="inlineStr">
        <is>
          <t>2023</t>
        </is>
      </c>
      <c r="G1349" s="40" t="n">
        <v>0</v>
      </c>
    </row>
    <row r="1350" ht="12" customHeight="1">
      <c r="A1350" s="30" t="inlineStr">
        <is>
          <t>ARE</t>
        </is>
      </c>
      <c r="B1350" s="30" t="inlineStr">
        <is>
          <t>Areal</t>
        </is>
      </c>
      <c r="C1350" s="30" t="n">
        <v>81258872</v>
      </c>
      <c r="D1350" s="30">
        <f>"87183570000738"</f>
        <v/>
      </c>
      <c r="E1350" s="30" t="inlineStr">
        <is>
          <t>TRANSPORTADORA MINUANO LTDA</t>
        </is>
      </c>
      <c r="F1350" s="30" t="inlineStr">
        <is>
          <t>2017</t>
        </is>
      </c>
      <c r="G1350" s="40" t="n">
        <v>0</v>
      </c>
    </row>
    <row r="1351" ht="12" customHeight="1">
      <c r="A1351" s="30" t="inlineStr">
        <is>
          <t>ARE</t>
        </is>
      </c>
      <c r="B1351" s="30" t="inlineStr">
        <is>
          <t>Areal</t>
        </is>
      </c>
      <c r="C1351" s="30" t="n">
        <v>81258872</v>
      </c>
      <c r="D1351" s="30">
        <f>"87183570000738"</f>
        <v/>
      </c>
      <c r="E1351" s="30" t="inlineStr">
        <is>
          <t>TRANSPORTADORA MINUANO LTDA</t>
        </is>
      </c>
      <c r="F1351" s="30" t="inlineStr">
        <is>
          <t>2018</t>
        </is>
      </c>
      <c r="G1351" s="40" t="n">
        <v>0</v>
      </c>
    </row>
    <row r="1352" ht="12" customHeight="1">
      <c r="A1352" s="30" t="inlineStr">
        <is>
          <t>ARE</t>
        </is>
      </c>
      <c r="B1352" s="30" t="inlineStr">
        <is>
          <t>Areal</t>
        </is>
      </c>
      <c r="C1352" s="30" t="n">
        <v>81258872</v>
      </c>
      <c r="D1352" s="30">
        <f>"87183570000738"</f>
        <v/>
      </c>
      <c r="E1352" s="30" t="inlineStr">
        <is>
          <t>TRANSPORTADORA MINUANO LTDA</t>
        </is>
      </c>
      <c r="F1352" s="30" t="inlineStr">
        <is>
          <t>2019</t>
        </is>
      </c>
      <c r="G1352" s="40" t="n">
        <v>2209.64</v>
      </c>
    </row>
    <row r="1353" ht="12" customHeight="1">
      <c r="A1353" s="30" t="inlineStr">
        <is>
          <t>ARE</t>
        </is>
      </c>
      <c r="B1353" s="30" t="inlineStr">
        <is>
          <t>Areal</t>
        </is>
      </c>
      <c r="C1353" s="30" t="n">
        <v>81258872</v>
      </c>
      <c r="D1353" s="30">
        <f>"87183570000738"</f>
        <v/>
      </c>
      <c r="E1353" s="30" t="inlineStr">
        <is>
          <t>TRANSPORTADORA MINUANO LTDA</t>
        </is>
      </c>
      <c r="F1353" s="30" t="inlineStr">
        <is>
          <t>2020</t>
        </is>
      </c>
      <c r="G1353" s="40" t="n">
        <v>160</v>
      </c>
    </row>
    <row r="1354" ht="12" customHeight="1">
      <c r="A1354" s="30" t="inlineStr">
        <is>
          <t>ARE</t>
        </is>
      </c>
      <c r="B1354" s="30" t="inlineStr">
        <is>
          <t>Areal</t>
        </is>
      </c>
      <c r="C1354" s="30" t="n">
        <v>81258872</v>
      </c>
      <c r="D1354" s="30">
        <f>"87183570000738"</f>
        <v/>
      </c>
      <c r="E1354" s="30" t="inlineStr">
        <is>
          <t>TRANSPORTADORA MINUANO LTDA</t>
        </is>
      </c>
      <c r="F1354" s="30" t="inlineStr">
        <is>
          <t>2021</t>
        </is>
      </c>
      <c r="G1354" s="40" t="n">
        <v>795.24</v>
      </c>
    </row>
    <row r="1355" ht="12" customHeight="1">
      <c r="A1355" s="30" t="inlineStr">
        <is>
          <t>ARE</t>
        </is>
      </c>
      <c r="B1355" s="30" t="inlineStr">
        <is>
          <t>Areal</t>
        </is>
      </c>
      <c r="C1355" s="30" t="n">
        <v>81258872</v>
      </c>
      <c r="D1355" s="30">
        <f>"87183570000738"</f>
        <v/>
      </c>
      <c r="E1355" s="30" t="inlineStr">
        <is>
          <t>TRANSPORTADORA MINUANO LTDA</t>
        </is>
      </c>
      <c r="F1355" s="30" t="inlineStr">
        <is>
          <t>2022</t>
        </is>
      </c>
      <c r="G1355" s="40" t="n">
        <v>410.23</v>
      </c>
    </row>
    <row r="1356" ht="12" customHeight="1">
      <c r="A1356" s="30" t="inlineStr">
        <is>
          <t>ARE</t>
        </is>
      </c>
      <c r="B1356" s="30" t="inlineStr">
        <is>
          <t>Areal</t>
        </is>
      </c>
      <c r="C1356" s="30" t="n">
        <v>81258872</v>
      </c>
      <c r="D1356" s="30">
        <f>"87183570000738"</f>
        <v/>
      </c>
      <c r="E1356" s="30" t="inlineStr">
        <is>
          <t>TRANSPORTADORA MINUANO LTDA</t>
        </is>
      </c>
      <c r="F1356" s="30" t="inlineStr">
        <is>
          <t>2023</t>
        </is>
      </c>
      <c r="G1356" s="40" t="n">
        <v>315.52</v>
      </c>
    </row>
    <row r="1357" ht="12" customHeight="1">
      <c r="A1357" s="30" t="inlineStr">
        <is>
          <t>ARE</t>
        </is>
      </c>
      <c r="B1357" s="30" t="inlineStr">
        <is>
          <t>Areal</t>
        </is>
      </c>
      <c r="C1357" s="30" t="n">
        <v>81330174</v>
      </c>
      <c r="D1357" s="30">
        <f>"02905110001957"</f>
        <v/>
      </c>
      <c r="E1357" s="30" t="inlineStr">
        <is>
          <t>GR SERVICOS E ALIMENTACAO LTDA</t>
        </is>
      </c>
      <c r="F1357" s="30" t="inlineStr">
        <is>
          <t>2021</t>
        </is>
      </c>
      <c r="G1357" s="40" t="n">
        <v>0</v>
      </c>
    </row>
    <row r="1358" ht="12" customHeight="1">
      <c r="A1358" s="30" t="inlineStr">
        <is>
          <t>ARE</t>
        </is>
      </c>
      <c r="B1358" s="30" t="inlineStr">
        <is>
          <t>Areal</t>
        </is>
      </c>
      <c r="C1358" s="30" t="n">
        <v>81330174</v>
      </c>
      <c r="D1358" s="30">
        <f>"02905110001957"</f>
        <v/>
      </c>
      <c r="E1358" s="30" t="inlineStr">
        <is>
          <t>GR SERVICOS E ALIMENTACAO LTDA</t>
        </is>
      </c>
      <c r="F1358" s="30" t="inlineStr">
        <is>
          <t>2022</t>
        </is>
      </c>
      <c r="G1358" s="40" t="n">
        <v>0</v>
      </c>
    </row>
    <row r="1359" ht="12" customHeight="1">
      <c r="A1359" s="30" t="inlineStr">
        <is>
          <t>ARE</t>
        </is>
      </c>
      <c r="B1359" s="30" t="inlineStr">
        <is>
          <t>Areal</t>
        </is>
      </c>
      <c r="C1359" s="30" t="n">
        <v>81330174</v>
      </c>
      <c r="D1359" s="30">
        <f>"02905110001957"</f>
        <v/>
      </c>
      <c r="E1359" s="30" t="inlineStr">
        <is>
          <t>GR SERVICOS E ALIMENTACAO LTDA</t>
        </is>
      </c>
      <c r="F1359" s="30" t="inlineStr">
        <is>
          <t>2023</t>
        </is>
      </c>
      <c r="G1359" s="40" t="n">
        <v>904397.74</v>
      </c>
    </row>
    <row r="1360" ht="12" customHeight="1">
      <c r="A1360" s="30" t="inlineStr">
        <is>
          <t>ARE</t>
        </is>
      </c>
      <c r="B1360" s="30" t="inlineStr">
        <is>
          <t>Areal</t>
        </is>
      </c>
      <c r="C1360" s="30" t="n">
        <v>81613524</v>
      </c>
      <c r="D1360" s="30">
        <f>"34028316000294"</f>
        <v/>
      </c>
      <c r="E1360" s="30" t="inlineStr">
        <is>
          <t>EMPRESA BRASILEIRA DE CORREIOS E TELEGRAFOS</t>
        </is>
      </c>
      <c r="F1360" s="30" t="inlineStr">
        <is>
          <t>2017</t>
        </is>
      </c>
      <c r="G1360" s="40" t="n">
        <v>646.6</v>
      </c>
    </row>
    <row r="1361" ht="12" customHeight="1">
      <c r="A1361" s="30" t="inlineStr">
        <is>
          <t>ARE</t>
        </is>
      </c>
      <c r="B1361" s="30" t="inlineStr">
        <is>
          <t>Areal</t>
        </is>
      </c>
      <c r="C1361" s="30" t="n">
        <v>81613524</v>
      </c>
      <c r="D1361" s="30">
        <f>"34028316000294"</f>
        <v/>
      </c>
      <c r="E1361" s="30" t="inlineStr">
        <is>
          <t>EMPRESA BRASILEIRA DE CORREIOS E TELEGRAFOS</t>
        </is>
      </c>
      <c r="F1361" s="30" t="inlineStr">
        <is>
          <t>2018</t>
        </is>
      </c>
      <c r="G1361" s="40" t="n">
        <v>376.3</v>
      </c>
    </row>
    <row r="1362" ht="12" customHeight="1">
      <c r="A1362" s="30" t="inlineStr">
        <is>
          <t>ARE</t>
        </is>
      </c>
      <c r="B1362" s="30" t="inlineStr">
        <is>
          <t>Areal</t>
        </is>
      </c>
      <c r="C1362" s="30" t="n">
        <v>81613524</v>
      </c>
      <c r="D1362" s="30">
        <f>"34028316000294"</f>
        <v/>
      </c>
      <c r="E1362" s="30" t="inlineStr">
        <is>
          <t>EMPRESA BRASILEIRA DE CORREIOS E TELEGRAFOS</t>
        </is>
      </c>
      <c r="F1362" s="30" t="inlineStr">
        <is>
          <t>2019</t>
        </is>
      </c>
      <c r="G1362" s="40" t="n">
        <v>1907.6</v>
      </c>
    </row>
    <row r="1363" ht="12" customHeight="1">
      <c r="A1363" s="30" t="inlineStr">
        <is>
          <t>ARE</t>
        </is>
      </c>
      <c r="B1363" s="30" t="inlineStr">
        <is>
          <t>Areal</t>
        </is>
      </c>
      <c r="C1363" s="30" t="n">
        <v>81613524</v>
      </c>
      <c r="D1363" s="30">
        <f>"34028316000294"</f>
        <v/>
      </c>
      <c r="E1363" s="30" t="inlineStr">
        <is>
          <t>EMPRESA BRASILEIRA DE CORREIOS E TELEGRAFOS</t>
        </is>
      </c>
      <c r="F1363" s="30" t="inlineStr">
        <is>
          <t>2020</t>
        </is>
      </c>
      <c r="G1363" s="40" t="n">
        <v>4285.53</v>
      </c>
    </row>
    <row r="1364" ht="12" customHeight="1">
      <c r="A1364" s="30" t="inlineStr">
        <is>
          <t>ARE</t>
        </is>
      </c>
      <c r="B1364" s="30" t="inlineStr">
        <is>
          <t>Areal</t>
        </is>
      </c>
      <c r="C1364" s="30" t="n">
        <v>81613524</v>
      </c>
      <c r="D1364" s="30">
        <f>"34028316000294"</f>
        <v/>
      </c>
      <c r="E1364" s="30" t="inlineStr">
        <is>
          <t>EMPRESA BRASILEIRA DE CORREIOS E TELEGRAFOS</t>
        </is>
      </c>
      <c r="F1364" s="30" t="inlineStr">
        <is>
          <t>2021</t>
        </is>
      </c>
      <c r="G1364" s="40" t="n">
        <v>4002.98</v>
      </c>
    </row>
    <row r="1365" ht="12" customHeight="1">
      <c r="A1365" s="30" t="inlineStr">
        <is>
          <t>ARE</t>
        </is>
      </c>
      <c r="B1365" s="30" t="inlineStr">
        <is>
          <t>Areal</t>
        </is>
      </c>
      <c r="C1365" s="30" t="n">
        <v>81613524</v>
      </c>
      <c r="D1365" s="30">
        <f>"34028316000294"</f>
        <v/>
      </c>
      <c r="E1365" s="30" t="inlineStr">
        <is>
          <t>EMPRESA BRASILEIRA DE CORREIOS E TELEGRAFOS</t>
        </is>
      </c>
      <c r="F1365" s="30" t="inlineStr">
        <is>
          <t>2022</t>
        </is>
      </c>
      <c r="G1365" s="40" t="n">
        <v>4437.11</v>
      </c>
    </row>
    <row r="1366" ht="12" customHeight="1">
      <c r="A1366" s="30" t="inlineStr">
        <is>
          <t>ARE</t>
        </is>
      </c>
      <c r="B1366" s="30" t="inlineStr">
        <is>
          <t>Areal</t>
        </is>
      </c>
      <c r="C1366" s="30" t="n">
        <v>81613524</v>
      </c>
      <c r="D1366" s="30">
        <f>"34028316000294"</f>
        <v/>
      </c>
      <c r="E1366" s="30" t="inlineStr">
        <is>
          <t>EMPRESA BRASILEIRA DE CORREIOS E TELEGRAFOS</t>
        </is>
      </c>
      <c r="F1366" s="30" t="inlineStr">
        <is>
          <t>2023</t>
        </is>
      </c>
      <c r="G1366" s="40" t="n">
        <v>3741.72</v>
      </c>
    </row>
    <row r="1367" ht="12" customHeight="1">
      <c r="A1367" s="30" t="inlineStr">
        <is>
          <t>ARE</t>
        </is>
      </c>
      <c r="B1367" s="30" t="inlineStr">
        <is>
          <t>Areal</t>
        </is>
      </c>
      <c r="C1367" s="30" t="n">
        <v>81615470</v>
      </c>
      <c r="D1367" s="30">
        <f>"28141158000281"</f>
        <v/>
      </c>
      <c r="E1367" s="30" t="inlineStr">
        <is>
          <t>TRANSPORTADORA CONTINENTAL LTDA</t>
        </is>
      </c>
      <c r="F1367" s="30" t="inlineStr">
        <is>
          <t>2017</t>
        </is>
      </c>
      <c r="G1367" s="40" t="n">
        <v>1100.34</v>
      </c>
    </row>
    <row r="1368" ht="12" customHeight="1">
      <c r="A1368" s="30" t="inlineStr">
        <is>
          <t>ARE</t>
        </is>
      </c>
      <c r="B1368" s="30" t="inlineStr">
        <is>
          <t>Areal</t>
        </is>
      </c>
      <c r="C1368" s="30" t="n">
        <v>81615470</v>
      </c>
      <c r="D1368" s="30">
        <f>"28141158000281"</f>
        <v/>
      </c>
      <c r="E1368" s="30" t="inlineStr">
        <is>
          <t>TRANSPORTADORA CONTINENTAL LTDA</t>
        </is>
      </c>
      <c r="F1368" s="30" t="inlineStr">
        <is>
          <t>2018</t>
        </is>
      </c>
      <c r="G1368" s="40" t="n">
        <v>1478.48</v>
      </c>
    </row>
    <row r="1369" ht="12" customHeight="1">
      <c r="A1369" s="30" t="inlineStr">
        <is>
          <t>ARE</t>
        </is>
      </c>
      <c r="B1369" s="30" t="inlineStr">
        <is>
          <t>Areal</t>
        </is>
      </c>
      <c r="C1369" s="30" t="n">
        <v>81615470</v>
      </c>
      <c r="D1369" s="30">
        <f>"28141158000281"</f>
        <v/>
      </c>
      <c r="E1369" s="30" t="inlineStr">
        <is>
          <t>TRANSPORTADORA CONTINENTAL LTDA</t>
        </is>
      </c>
      <c r="F1369" s="30" t="inlineStr">
        <is>
          <t>2019</t>
        </is>
      </c>
      <c r="G1369" s="40" t="n">
        <v>5189.09</v>
      </c>
    </row>
    <row r="1370" ht="12" customHeight="1">
      <c r="A1370" s="30" t="inlineStr">
        <is>
          <t>ARE</t>
        </is>
      </c>
      <c r="B1370" s="30" t="inlineStr">
        <is>
          <t>Areal</t>
        </is>
      </c>
      <c r="C1370" s="30" t="n">
        <v>81615470</v>
      </c>
      <c r="D1370" s="30">
        <f>"28141158000281"</f>
        <v/>
      </c>
      <c r="E1370" s="30" t="inlineStr">
        <is>
          <t>TRANSPORTADORA CONTINENTAL LTDA</t>
        </is>
      </c>
      <c r="F1370" s="30" t="inlineStr">
        <is>
          <t>2020</t>
        </is>
      </c>
      <c r="G1370" s="40" t="n">
        <v>0</v>
      </c>
    </row>
    <row r="1371" ht="12" customHeight="1">
      <c r="A1371" s="30" t="inlineStr">
        <is>
          <t>ARE</t>
        </is>
      </c>
      <c r="B1371" s="30" t="inlineStr">
        <is>
          <t>Areal</t>
        </is>
      </c>
      <c r="C1371" s="30" t="n">
        <v>81615470</v>
      </c>
      <c r="D1371" s="30">
        <f>"28141158000281"</f>
        <v/>
      </c>
      <c r="E1371" s="30" t="inlineStr">
        <is>
          <t>TRANSPORTADORA CONTINENTAL LTDA</t>
        </is>
      </c>
      <c r="F1371" s="30" t="inlineStr">
        <is>
          <t>2021</t>
        </is>
      </c>
      <c r="G1371" s="40" t="n">
        <v>358</v>
      </c>
    </row>
    <row r="1372" ht="12" customHeight="1">
      <c r="A1372" s="30" t="inlineStr">
        <is>
          <t>ARE</t>
        </is>
      </c>
      <c r="B1372" s="30" t="inlineStr">
        <is>
          <t>Areal</t>
        </is>
      </c>
      <c r="C1372" s="30" t="n">
        <v>81615470</v>
      </c>
      <c r="D1372" s="30">
        <f>"28141158000281"</f>
        <v/>
      </c>
      <c r="E1372" s="30" t="inlineStr">
        <is>
          <t>TRANSPORTADORA CONTINENTAL LTDA</t>
        </is>
      </c>
      <c r="F1372" s="30" t="inlineStr">
        <is>
          <t>2022</t>
        </is>
      </c>
      <c r="G1372" s="40" t="n">
        <v>0</v>
      </c>
    </row>
    <row r="1373" ht="12" customHeight="1">
      <c r="A1373" s="30" t="inlineStr">
        <is>
          <t>ARE</t>
        </is>
      </c>
      <c r="B1373" s="30" t="inlineStr">
        <is>
          <t>Areal</t>
        </is>
      </c>
      <c r="C1373" s="30" t="n">
        <v>81615470</v>
      </c>
      <c r="D1373" s="30">
        <f>"28141158000281"</f>
        <v/>
      </c>
      <c r="E1373" s="30" t="inlineStr">
        <is>
          <t>TRANSPORTADORA CONTINENTAL LTDA</t>
        </is>
      </c>
      <c r="F1373" s="30" t="inlineStr">
        <is>
          <t>2023</t>
        </is>
      </c>
      <c r="G1373" s="40" t="n">
        <v>10.76</v>
      </c>
    </row>
    <row r="1374" ht="12" customHeight="1">
      <c r="A1374" s="30" t="inlineStr">
        <is>
          <t>ARE</t>
        </is>
      </c>
      <c r="B1374" s="30" t="inlineStr">
        <is>
          <t>Areal</t>
        </is>
      </c>
      <c r="C1374" s="30" t="n">
        <v>81680469</v>
      </c>
      <c r="D1374" s="30">
        <f>"33000118000179"</f>
        <v/>
      </c>
      <c r="E1374" s="30" t="inlineStr">
        <is>
          <t>TELEMAR NORTE LESTE S/A EM RECUPERACAO JUDICIAL</t>
        </is>
      </c>
      <c r="F1374" s="30" t="inlineStr">
        <is>
          <t>2017</t>
        </is>
      </c>
      <c r="G1374" s="40" t="n">
        <v>947835.88</v>
      </c>
    </row>
    <row r="1375" ht="12" customHeight="1">
      <c r="A1375" s="30" t="inlineStr">
        <is>
          <t>ARE</t>
        </is>
      </c>
      <c r="B1375" s="30" t="inlineStr">
        <is>
          <t>Areal</t>
        </is>
      </c>
      <c r="C1375" s="30" t="n">
        <v>81680469</v>
      </c>
      <c r="D1375" s="30">
        <f>"33000118000179"</f>
        <v/>
      </c>
      <c r="E1375" s="30" t="inlineStr">
        <is>
          <t>TELEMAR NORTE LESTE S/A EM RECUPERACAO JUDICIAL</t>
        </is>
      </c>
      <c r="F1375" s="30" t="inlineStr">
        <is>
          <t>2018</t>
        </is>
      </c>
      <c r="G1375" s="40" t="n">
        <v>752945.53</v>
      </c>
    </row>
    <row r="1376" ht="12" customHeight="1">
      <c r="A1376" s="30" t="inlineStr">
        <is>
          <t>ARE</t>
        </is>
      </c>
      <c r="B1376" s="30" t="inlineStr">
        <is>
          <t>Areal</t>
        </is>
      </c>
      <c r="C1376" s="30" t="n">
        <v>81680469</v>
      </c>
      <c r="D1376" s="30">
        <f>"33000118000179"</f>
        <v/>
      </c>
      <c r="E1376" s="30" t="inlineStr">
        <is>
          <t>TELEMAR NORTE LESTE S/A EM RECUPERACAO JUDICIAL</t>
        </is>
      </c>
      <c r="F1376" s="30" t="inlineStr">
        <is>
          <t>2019</t>
        </is>
      </c>
      <c r="G1376" s="40" t="n">
        <v>616703.79</v>
      </c>
    </row>
    <row r="1377" ht="12" customHeight="1">
      <c r="A1377" s="30" t="inlineStr">
        <is>
          <t>ARE</t>
        </is>
      </c>
      <c r="B1377" s="30" t="inlineStr">
        <is>
          <t>Areal</t>
        </is>
      </c>
      <c r="C1377" s="30" t="n">
        <v>81680469</v>
      </c>
      <c r="D1377" s="30">
        <f>"33000118000179"</f>
        <v/>
      </c>
      <c r="E1377" s="30" t="inlineStr">
        <is>
          <t>TELEMAR NORTE LESTE S/A EM RECUPERACAO JUDICIAL</t>
        </is>
      </c>
      <c r="F1377" s="30" t="inlineStr">
        <is>
          <t>2020</t>
        </is>
      </c>
      <c r="G1377" s="40" t="n">
        <v>514910.62</v>
      </c>
    </row>
    <row r="1378" ht="12" customHeight="1">
      <c r="A1378" s="30" t="inlineStr">
        <is>
          <t>ARE</t>
        </is>
      </c>
      <c r="B1378" s="30" t="inlineStr">
        <is>
          <t>Areal</t>
        </is>
      </c>
      <c r="C1378" s="30" t="n">
        <v>81680469</v>
      </c>
      <c r="D1378" s="30">
        <f>"33000118000179"</f>
        <v/>
      </c>
      <c r="E1378" s="30" t="inlineStr">
        <is>
          <t>TELEMAR NORTE LESTE S/A EM RECUPERACAO JUDICIAL</t>
        </is>
      </c>
      <c r="F1378" s="30" t="inlineStr">
        <is>
          <t>2021</t>
        </is>
      </c>
      <c r="G1378" s="40" t="n">
        <v>143731.07</v>
      </c>
    </row>
    <row r="1379" ht="12" customHeight="1">
      <c r="A1379" s="30" t="inlineStr">
        <is>
          <t>ARE</t>
        </is>
      </c>
      <c r="B1379" s="30" t="inlineStr">
        <is>
          <t>Areal</t>
        </is>
      </c>
      <c r="C1379" s="30" t="n">
        <v>81680469</v>
      </c>
      <c r="D1379" s="30">
        <f>"33000118000179"</f>
        <v/>
      </c>
      <c r="E1379" s="30" t="inlineStr">
        <is>
          <t>TELEMAR NORTE LESTE S/A EM RECUPERACAO JUDICIAL</t>
        </is>
      </c>
      <c r="F1379" s="30" t="inlineStr">
        <is>
          <t>2022</t>
        </is>
      </c>
      <c r="G1379" s="40" t="n">
        <v>0</v>
      </c>
    </row>
    <row r="1380" ht="12" customHeight="1">
      <c r="A1380" s="30" t="inlineStr">
        <is>
          <t>ARE</t>
        </is>
      </c>
      <c r="B1380" s="30" t="inlineStr">
        <is>
          <t>Areal</t>
        </is>
      </c>
      <c r="C1380" s="30" t="n">
        <v>81680469</v>
      </c>
      <c r="D1380" s="30">
        <f>"33000118000179"</f>
        <v/>
      </c>
      <c r="E1380" s="30" t="inlineStr">
        <is>
          <t>TELEMAR NORTE LESTE S/A EM RECUPERACAO JUDICIAL</t>
        </is>
      </c>
      <c r="F1380" s="30" t="inlineStr">
        <is>
          <t>2023</t>
        </is>
      </c>
      <c r="G1380" s="40" t="n">
        <v>0</v>
      </c>
    </row>
    <row r="1381" ht="12" customHeight="1">
      <c r="A1381" s="30" t="inlineStr">
        <is>
          <t>ARE</t>
        </is>
      </c>
      <c r="B1381" s="30" t="inlineStr">
        <is>
          <t>Areal</t>
        </is>
      </c>
      <c r="C1381" s="30" t="n">
        <v>81797013</v>
      </c>
      <c r="D1381" s="30">
        <f>"33570797000111"</f>
        <v/>
      </c>
      <c r="E1381" s="30" t="inlineStr">
        <is>
          <t>TRANSPORTES CARVALHO LTDA</t>
        </is>
      </c>
      <c r="F1381" s="30" t="inlineStr">
        <is>
          <t>2018</t>
        </is>
      </c>
      <c r="G1381" s="40" t="n">
        <v>0</v>
      </c>
    </row>
    <row r="1382" ht="12" customHeight="1">
      <c r="A1382" s="30" t="inlineStr">
        <is>
          <t>ARE</t>
        </is>
      </c>
      <c r="B1382" s="30" t="inlineStr">
        <is>
          <t>Areal</t>
        </is>
      </c>
      <c r="C1382" s="30" t="n">
        <v>81797013</v>
      </c>
      <c r="D1382" s="30">
        <f>"33570797000111"</f>
        <v/>
      </c>
      <c r="E1382" s="30" t="inlineStr">
        <is>
          <t>TRANSPORTES CARVALHO LTDA</t>
        </is>
      </c>
      <c r="F1382" s="30" t="inlineStr">
        <is>
          <t>2019</t>
        </is>
      </c>
      <c r="G1382" s="40" t="n">
        <v>0</v>
      </c>
    </row>
    <row r="1383" ht="12" customHeight="1">
      <c r="A1383" s="30" t="inlineStr">
        <is>
          <t>ARE</t>
        </is>
      </c>
      <c r="B1383" s="30" t="inlineStr">
        <is>
          <t>Areal</t>
        </is>
      </c>
      <c r="C1383" s="30" t="n">
        <v>81797013</v>
      </c>
      <c r="D1383" s="30">
        <f>"33570797000111"</f>
        <v/>
      </c>
      <c r="E1383" s="30" t="inlineStr">
        <is>
          <t>TRANSPORTES CARVALHO LTDA</t>
        </is>
      </c>
      <c r="F1383" s="30" t="inlineStr">
        <is>
          <t>2020</t>
        </is>
      </c>
      <c r="G1383" s="40" t="n">
        <v>2949.25</v>
      </c>
    </row>
    <row r="1384" ht="12" customHeight="1">
      <c r="A1384" s="30" t="inlineStr">
        <is>
          <t>ARE</t>
        </is>
      </c>
      <c r="B1384" s="30" t="inlineStr">
        <is>
          <t>Areal</t>
        </is>
      </c>
      <c r="C1384" s="30" t="n">
        <v>81797013</v>
      </c>
      <c r="D1384" s="30">
        <f>"33570797000111"</f>
        <v/>
      </c>
      <c r="E1384" s="30" t="inlineStr">
        <is>
          <t>TRANSPORTES CARVALHO LTDA</t>
        </is>
      </c>
      <c r="F1384" s="30" t="inlineStr">
        <is>
          <t>2021</t>
        </is>
      </c>
      <c r="G1384" s="40" t="n">
        <v>0</v>
      </c>
    </row>
    <row r="1385" ht="12" customHeight="1">
      <c r="A1385" s="30" t="inlineStr">
        <is>
          <t>ARE</t>
        </is>
      </c>
      <c r="B1385" s="30" t="inlineStr">
        <is>
          <t>Areal</t>
        </is>
      </c>
      <c r="C1385" s="30" t="n">
        <v>81797013</v>
      </c>
      <c r="D1385" s="30">
        <f>"33570797000111"</f>
        <v/>
      </c>
      <c r="E1385" s="30" t="inlineStr">
        <is>
          <t>TRANSPORTES CARVALHO LTDA</t>
        </is>
      </c>
      <c r="F1385" s="30" t="inlineStr">
        <is>
          <t>2022</t>
        </is>
      </c>
      <c r="G1385" s="40" t="n">
        <v>0</v>
      </c>
    </row>
    <row r="1386" ht="12" customHeight="1">
      <c r="A1386" s="30" t="inlineStr">
        <is>
          <t>ARE</t>
        </is>
      </c>
      <c r="B1386" s="30" t="inlineStr">
        <is>
          <t>Areal</t>
        </is>
      </c>
      <c r="C1386" s="30" t="n">
        <v>81827028</v>
      </c>
      <c r="D1386" s="30">
        <f>"21570775000172"</f>
        <v/>
      </c>
      <c r="E1386" s="30" t="inlineStr">
        <is>
          <t>PICORELLI S/A TRANSPORTES</t>
        </is>
      </c>
      <c r="F1386" s="30" t="inlineStr">
        <is>
          <t>2021</t>
        </is>
      </c>
      <c r="G1386" s="40" t="n">
        <v>0</v>
      </c>
    </row>
    <row r="1387" ht="12" customHeight="1">
      <c r="A1387" s="30" t="inlineStr">
        <is>
          <t>ARE</t>
        </is>
      </c>
      <c r="B1387" s="30" t="inlineStr">
        <is>
          <t>Areal</t>
        </is>
      </c>
      <c r="C1387" s="30" t="n">
        <v>81827028</v>
      </c>
      <c r="D1387" s="30">
        <f>"21570775000172"</f>
        <v/>
      </c>
      <c r="E1387" s="30" t="inlineStr">
        <is>
          <t>PICORELLI S/A TRANSPORTES</t>
        </is>
      </c>
      <c r="F1387" s="30" t="inlineStr">
        <is>
          <t>2022</t>
        </is>
      </c>
      <c r="G1387" s="40" t="n">
        <v>0</v>
      </c>
    </row>
    <row r="1388" ht="12" customHeight="1">
      <c r="A1388" s="30" t="inlineStr">
        <is>
          <t>ARE</t>
        </is>
      </c>
      <c r="B1388" s="30" t="inlineStr">
        <is>
          <t>Areal</t>
        </is>
      </c>
      <c r="C1388" s="30" t="n">
        <v>81827028</v>
      </c>
      <c r="D1388" s="30">
        <f>"21570775000172"</f>
        <v/>
      </c>
      <c r="E1388" s="30" t="inlineStr">
        <is>
          <t>PICORELLI S/A TRANSPORTES</t>
        </is>
      </c>
      <c r="F1388" s="30" t="inlineStr">
        <is>
          <t>2023</t>
        </is>
      </c>
      <c r="G1388" s="40" t="n">
        <v>105.05</v>
      </c>
    </row>
    <row r="1389" ht="12" customHeight="1">
      <c r="A1389" s="30" t="inlineStr">
        <is>
          <t>ARE</t>
        </is>
      </c>
      <c r="B1389" s="30" t="inlineStr">
        <is>
          <t>Areal</t>
        </is>
      </c>
      <c r="C1389" s="30" t="n">
        <v>81830010</v>
      </c>
      <c r="D1389" s="30">
        <f>"29516838000114"</f>
        <v/>
      </c>
      <c r="E1389" s="30" t="inlineStr">
        <is>
          <t>RIO LOPES TRANSPORTES LTDA</t>
        </is>
      </c>
      <c r="F1389" s="30" t="inlineStr">
        <is>
          <t>2017</t>
        </is>
      </c>
      <c r="G1389" s="40" t="n">
        <v>14868.32</v>
      </c>
    </row>
    <row r="1390" ht="12" customHeight="1">
      <c r="A1390" s="30" t="inlineStr">
        <is>
          <t>ARE</t>
        </is>
      </c>
      <c r="B1390" s="30" t="inlineStr">
        <is>
          <t>Areal</t>
        </is>
      </c>
      <c r="C1390" s="30" t="n">
        <v>81830010</v>
      </c>
      <c r="D1390" s="30">
        <f>"29516838000114"</f>
        <v/>
      </c>
      <c r="E1390" s="30" t="inlineStr">
        <is>
          <t>RIO LOPES TRANSPORTES LTDA</t>
        </is>
      </c>
      <c r="F1390" s="30" t="inlineStr">
        <is>
          <t>2018</t>
        </is>
      </c>
      <c r="G1390" s="40" t="n">
        <v>0</v>
      </c>
    </row>
    <row r="1391" ht="12" customHeight="1">
      <c r="A1391" s="30" t="inlineStr">
        <is>
          <t>ARE</t>
        </is>
      </c>
      <c r="B1391" s="30" t="inlineStr">
        <is>
          <t>Areal</t>
        </is>
      </c>
      <c r="C1391" s="30" t="n">
        <v>81830010</v>
      </c>
      <c r="D1391" s="30">
        <f>"29516838000114"</f>
        <v/>
      </c>
      <c r="E1391" s="30" t="inlineStr">
        <is>
          <t>RIO LOPES TRANSPORTES LTDA</t>
        </is>
      </c>
      <c r="F1391" s="30" t="inlineStr">
        <is>
          <t>2019</t>
        </is>
      </c>
      <c r="G1391" s="40" t="n">
        <v>3442.15</v>
      </c>
    </row>
    <row r="1392" ht="12" customHeight="1">
      <c r="A1392" s="30" t="inlineStr">
        <is>
          <t>ARE</t>
        </is>
      </c>
      <c r="B1392" s="30" t="inlineStr">
        <is>
          <t>Areal</t>
        </is>
      </c>
      <c r="C1392" s="30" t="n">
        <v>81830010</v>
      </c>
      <c r="D1392" s="30">
        <f>"29516838000114"</f>
        <v/>
      </c>
      <c r="E1392" s="30" t="inlineStr">
        <is>
          <t>RIO LOPES TRANSPORTES LTDA</t>
        </is>
      </c>
      <c r="F1392" s="30" t="inlineStr">
        <is>
          <t>2020</t>
        </is>
      </c>
      <c r="G1392" s="40" t="n">
        <v>0</v>
      </c>
    </row>
    <row r="1393" ht="12" customHeight="1">
      <c r="A1393" s="30" t="inlineStr">
        <is>
          <t>ARE</t>
        </is>
      </c>
      <c r="B1393" s="30" t="inlineStr">
        <is>
          <t>Areal</t>
        </is>
      </c>
      <c r="C1393" s="30" t="n">
        <v>81830010</v>
      </c>
      <c r="D1393" s="30">
        <f>"29516838000114"</f>
        <v/>
      </c>
      <c r="E1393" s="30" t="inlineStr">
        <is>
          <t>RIO LOPES TRANSPORTES LTDA</t>
        </is>
      </c>
      <c r="F1393" s="30" t="inlineStr">
        <is>
          <t>2021</t>
        </is>
      </c>
      <c r="G1393" s="40" t="n">
        <v>0</v>
      </c>
    </row>
    <row r="1394" ht="12" customHeight="1">
      <c r="A1394" s="30" t="inlineStr">
        <is>
          <t>ARE</t>
        </is>
      </c>
      <c r="B1394" s="30" t="inlineStr">
        <is>
          <t>Areal</t>
        </is>
      </c>
      <c r="C1394" s="30" t="n">
        <v>81832331</v>
      </c>
      <c r="D1394" s="30">
        <f>"43025774000503"</f>
        <v/>
      </c>
      <c r="E1394" s="30" t="inlineStr">
        <is>
          <t>RODOVIARIO BEDIN LTDA</t>
        </is>
      </c>
      <c r="F1394" s="30" t="inlineStr">
        <is>
          <t>2017</t>
        </is>
      </c>
      <c r="G1394" s="40" t="n">
        <v>0</v>
      </c>
    </row>
    <row r="1395" ht="12" customHeight="1">
      <c r="A1395" s="30" t="inlineStr">
        <is>
          <t>ARE</t>
        </is>
      </c>
      <c r="B1395" s="30" t="inlineStr">
        <is>
          <t>Areal</t>
        </is>
      </c>
      <c r="C1395" s="30" t="n">
        <v>81832331</v>
      </c>
      <c r="D1395" s="30">
        <f>"43025774000503"</f>
        <v/>
      </c>
      <c r="E1395" s="30" t="inlineStr">
        <is>
          <t>RODOVIARIO BEDIN LTDA</t>
        </is>
      </c>
      <c r="F1395" s="30" t="inlineStr">
        <is>
          <t>2018</t>
        </is>
      </c>
      <c r="G1395" s="40" t="n">
        <v>0</v>
      </c>
    </row>
    <row r="1396" ht="12" customHeight="1">
      <c r="A1396" s="30" t="inlineStr">
        <is>
          <t>ARE</t>
        </is>
      </c>
      <c r="B1396" s="30" t="inlineStr">
        <is>
          <t>Areal</t>
        </is>
      </c>
      <c r="C1396" s="30" t="n">
        <v>81832331</v>
      </c>
      <c r="D1396" s="30">
        <f>"43025774000503"</f>
        <v/>
      </c>
      <c r="E1396" s="30" t="inlineStr">
        <is>
          <t>RODOVIARIO BEDIN LTDA</t>
        </is>
      </c>
      <c r="F1396" s="30" t="inlineStr">
        <is>
          <t>2019</t>
        </is>
      </c>
      <c r="G1396" s="40" t="n">
        <v>131.55</v>
      </c>
    </row>
    <row r="1397" ht="12" customHeight="1">
      <c r="A1397" s="30" t="inlineStr">
        <is>
          <t>ARE</t>
        </is>
      </c>
      <c r="B1397" s="30" t="inlineStr">
        <is>
          <t>Areal</t>
        </is>
      </c>
      <c r="C1397" s="30" t="n">
        <v>81832331</v>
      </c>
      <c r="D1397" s="30">
        <f>"43025774000503"</f>
        <v/>
      </c>
      <c r="E1397" s="30" t="inlineStr">
        <is>
          <t>RODOVIARIO BEDIN LTDA</t>
        </is>
      </c>
      <c r="F1397" s="30" t="inlineStr">
        <is>
          <t>2020</t>
        </is>
      </c>
      <c r="G1397" s="40" t="n">
        <v>276.25</v>
      </c>
    </row>
    <row r="1398" ht="12" customHeight="1">
      <c r="A1398" s="30" t="inlineStr">
        <is>
          <t>ARE</t>
        </is>
      </c>
      <c r="B1398" s="30" t="inlineStr">
        <is>
          <t>Areal</t>
        </is>
      </c>
      <c r="C1398" s="30" t="n">
        <v>81832331</v>
      </c>
      <c r="D1398" s="30">
        <f>"43025774000503"</f>
        <v/>
      </c>
      <c r="E1398" s="30" t="inlineStr">
        <is>
          <t>RODOVIARIO BEDIN LTDA</t>
        </is>
      </c>
      <c r="F1398" s="30" t="inlineStr">
        <is>
          <t>2021</t>
        </is>
      </c>
      <c r="G1398" s="40" t="n">
        <v>1199.87</v>
      </c>
    </row>
    <row r="1399" ht="12" customHeight="1">
      <c r="A1399" s="30" t="inlineStr">
        <is>
          <t>ARE</t>
        </is>
      </c>
      <c r="B1399" s="30" t="inlineStr">
        <is>
          <t>Areal</t>
        </is>
      </c>
      <c r="C1399" s="30" t="n">
        <v>81832331</v>
      </c>
      <c r="D1399" s="30">
        <f>"43025774000503"</f>
        <v/>
      </c>
      <c r="E1399" s="30" t="inlineStr">
        <is>
          <t>RODOVIARIO BEDIN LTDA</t>
        </is>
      </c>
      <c r="F1399" s="30" t="inlineStr">
        <is>
          <t>2022</t>
        </is>
      </c>
      <c r="G1399" s="40" t="n">
        <v>579.3200000000001</v>
      </c>
    </row>
    <row r="1400" ht="12" customHeight="1">
      <c r="A1400" s="30" t="inlineStr">
        <is>
          <t>ARE</t>
        </is>
      </c>
      <c r="B1400" s="30" t="inlineStr">
        <is>
          <t>Areal</t>
        </is>
      </c>
      <c r="C1400" s="30" t="n">
        <v>81832331</v>
      </c>
      <c r="D1400" s="30">
        <f>"43025774000503"</f>
        <v/>
      </c>
      <c r="E1400" s="30" t="inlineStr">
        <is>
          <t>RODOVIARIO BEDIN LTDA</t>
        </is>
      </c>
      <c r="F1400" s="30" t="inlineStr">
        <is>
          <t>2023</t>
        </is>
      </c>
      <c r="G1400" s="40" t="n">
        <v>304.28</v>
      </c>
    </row>
    <row r="1401" ht="12" customHeight="1">
      <c r="A1401" s="30" t="inlineStr">
        <is>
          <t>ARE</t>
        </is>
      </c>
      <c r="B1401" s="30" t="inlineStr">
        <is>
          <t>Areal</t>
        </is>
      </c>
      <c r="C1401" s="30" t="n">
        <v>81853053</v>
      </c>
      <c r="D1401" s="30">
        <f>"17463456000271"</f>
        <v/>
      </c>
      <c r="E1401" s="30" t="inlineStr">
        <is>
          <t>PATRUS TRANSPORTES LTDA</t>
        </is>
      </c>
      <c r="F1401" s="30" t="inlineStr">
        <is>
          <t>2017</t>
        </is>
      </c>
      <c r="G1401" s="40" t="n">
        <v>860.85</v>
      </c>
    </row>
    <row r="1402" ht="12" customHeight="1">
      <c r="A1402" s="30" t="inlineStr">
        <is>
          <t>ARE</t>
        </is>
      </c>
      <c r="B1402" s="30" t="inlineStr">
        <is>
          <t>Areal</t>
        </is>
      </c>
      <c r="C1402" s="30" t="n">
        <v>81853053</v>
      </c>
      <c r="D1402" s="30">
        <f>"17463456000271"</f>
        <v/>
      </c>
      <c r="E1402" s="30" t="inlineStr">
        <is>
          <t>PATRUS TRANSPORTES LTDA</t>
        </is>
      </c>
      <c r="F1402" s="30" t="inlineStr">
        <is>
          <t>2018</t>
        </is>
      </c>
      <c r="G1402" s="40" t="n">
        <v>167.02</v>
      </c>
    </row>
    <row r="1403" ht="12" customHeight="1">
      <c r="A1403" s="30" t="inlineStr">
        <is>
          <t>ARE</t>
        </is>
      </c>
      <c r="B1403" s="30" t="inlineStr">
        <is>
          <t>Areal</t>
        </is>
      </c>
      <c r="C1403" s="30" t="n">
        <v>81853053</v>
      </c>
      <c r="D1403" s="30">
        <f>"17463456000271"</f>
        <v/>
      </c>
      <c r="E1403" s="30" t="inlineStr">
        <is>
          <t>PATRUS TRANSPORTES LTDA</t>
        </is>
      </c>
      <c r="F1403" s="30" t="inlineStr">
        <is>
          <t>2019</t>
        </is>
      </c>
      <c r="G1403" s="40" t="n">
        <v>162.65</v>
      </c>
    </row>
    <row r="1404" ht="12" customHeight="1">
      <c r="A1404" s="30" t="inlineStr">
        <is>
          <t>ARE</t>
        </is>
      </c>
      <c r="B1404" s="30" t="inlineStr">
        <is>
          <t>Areal</t>
        </is>
      </c>
      <c r="C1404" s="30" t="n">
        <v>81853053</v>
      </c>
      <c r="D1404" s="30">
        <f>"17463456000271"</f>
        <v/>
      </c>
      <c r="E1404" s="30" t="inlineStr">
        <is>
          <t>PATRUS TRANSPORTES LTDA</t>
        </is>
      </c>
      <c r="F1404" s="30" t="inlineStr">
        <is>
          <t>2020</t>
        </is>
      </c>
      <c r="G1404" s="40" t="n">
        <v>267.47</v>
      </c>
    </row>
    <row r="1405" ht="12" customHeight="1">
      <c r="A1405" s="30" t="inlineStr">
        <is>
          <t>ARE</t>
        </is>
      </c>
      <c r="B1405" s="30" t="inlineStr">
        <is>
          <t>Areal</t>
        </is>
      </c>
      <c r="C1405" s="30" t="n">
        <v>81853053</v>
      </c>
      <c r="D1405" s="30">
        <f>"17463456000271"</f>
        <v/>
      </c>
      <c r="E1405" s="30" t="inlineStr">
        <is>
          <t>PATRUS TRANSPORTES LTDA</t>
        </is>
      </c>
      <c r="F1405" s="30" t="inlineStr">
        <is>
          <t>2021</t>
        </is>
      </c>
      <c r="G1405" s="40" t="n">
        <v>240.36</v>
      </c>
    </row>
    <row r="1406" ht="12" customHeight="1">
      <c r="A1406" s="30" t="inlineStr">
        <is>
          <t>ARE</t>
        </is>
      </c>
      <c r="B1406" s="30" t="inlineStr">
        <is>
          <t>Areal</t>
        </is>
      </c>
      <c r="C1406" s="30" t="n">
        <v>81853053</v>
      </c>
      <c r="D1406" s="30">
        <f>"17463456000271"</f>
        <v/>
      </c>
      <c r="E1406" s="30" t="inlineStr">
        <is>
          <t>PATRUS TRANSPORTES LTDA</t>
        </is>
      </c>
      <c r="F1406" s="30" t="inlineStr">
        <is>
          <t>2022</t>
        </is>
      </c>
      <c r="G1406" s="40" t="n">
        <v>0</v>
      </c>
    </row>
    <row r="1407" ht="12" customHeight="1">
      <c r="A1407" s="30" t="inlineStr">
        <is>
          <t>ARE</t>
        </is>
      </c>
      <c r="B1407" s="30" t="inlineStr">
        <is>
          <t>Areal</t>
        </is>
      </c>
      <c r="C1407" s="30" t="n">
        <v>81853053</v>
      </c>
      <c r="D1407" s="30">
        <f>"17463456000271"</f>
        <v/>
      </c>
      <c r="E1407" s="30" t="inlineStr">
        <is>
          <t>PATRUS TRANSPORTES LTDA</t>
        </is>
      </c>
      <c r="F1407" s="30" t="inlineStr">
        <is>
          <t>2023</t>
        </is>
      </c>
      <c r="G1407" s="40" t="n">
        <v>130.72</v>
      </c>
    </row>
    <row r="1408" ht="12" customHeight="1">
      <c r="A1408" s="30" t="inlineStr">
        <is>
          <t>ARE</t>
        </is>
      </c>
      <c r="B1408" s="30" t="inlineStr">
        <is>
          <t>Areal</t>
        </is>
      </c>
      <c r="C1408" s="30" t="n">
        <v>81909032</v>
      </c>
      <c r="D1408" s="30">
        <f>"95591723001190"</f>
        <v/>
      </c>
      <c r="E1408" s="30" t="inlineStr">
        <is>
          <t>TNT MERCURIO CARGAS E ENCOMENDAS EXPRESSAS LTDA</t>
        </is>
      </c>
      <c r="F1408" s="30" t="inlineStr">
        <is>
          <t>2017</t>
        </is>
      </c>
      <c r="G1408" s="40" t="n">
        <v>943.77</v>
      </c>
    </row>
    <row r="1409" ht="12" customHeight="1">
      <c r="A1409" s="30" t="inlineStr">
        <is>
          <t>ARE</t>
        </is>
      </c>
      <c r="B1409" s="30" t="inlineStr">
        <is>
          <t>Areal</t>
        </is>
      </c>
      <c r="C1409" s="30" t="n">
        <v>81909032</v>
      </c>
      <c r="D1409" s="30">
        <f>"95591723001190"</f>
        <v/>
      </c>
      <c r="E1409" s="30" t="inlineStr">
        <is>
          <t>TNT MERCURIO CARGAS E ENCOMENDAS EXPRESSAS LTDA</t>
        </is>
      </c>
      <c r="F1409" s="30" t="inlineStr">
        <is>
          <t>2018</t>
        </is>
      </c>
      <c r="G1409" s="40" t="n">
        <v>94.47</v>
      </c>
    </row>
    <row r="1410" ht="12" customHeight="1">
      <c r="A1410" s="30" t="inlineStr">
        <is>
          <t>ARE</t>
        </is>
      </c>
      <c r="B1410" s="30" t="inlineStr">
        <is>
          <t>Areal</t>
        </is>
      </c>
      <c r="C1410" s="30" t="n">
        <v>81909032</v>
      </c>
      <c r="D1410" s="30">
        <f>"95591723001190"</f>
        <v/>
      </c>
      <c r="E1410" s="30" t="inlineStr">
        <is>
          <t>TNT MERCURIO CARGAS E ENCOMENDAS EXPRESSAS LTDA</t>
        </is>
      </c>
      <c r="F1410" s="30" t="inlineStr">
        <is>
          <t>2019</t>
        </is>
      </c>
      <c r="G1410" s="40" t="n">
        <v>223827.73</v>
      </c>
    </row>
    <row r="1411" ht="12" customHeight="1">
      <c r="A1411" s="30" t="inlineStr">
        <is>
          <t>ARE</t>
        </is>
      </c>
      <c r="B1411" s="30" t="inlineStr">
        <is>
          <t>Areal</t>
        </is>
      </c>
      <c r="C1411" s="30" t="n">
        <v>81909032</v>
      </c>
      <c r="D1411" s="30">
        <f>"95591723001190"</f>
        <v/>
      </c>
      <c r="E1411" s="30" t="inlineStr">
        <is>
          <t>TNT MERCURIO CARGAS E ENCOMENDAS EXPRESSAS LTDA</t>
        </is>
      </c>
      <c r="F1411" s="30" t="inlineStr">
        <is>
          <t>2020</t>
        </is>
      </c>
      <c r="G1411" s="40" t="n">
        <v>387954.72</v>
      </c>
    </row>
    <row r="1412" ht="12" customHeight="1">
      <c r="A1412" s="30" t="inlineStr">
        <is>
          <t>ARE</t>
        </is>
      </c>
      <c r="B1412" s="30" t="inlineStr">
        <is>
          <t>Areal</t>
        </is>
      </c>
      <c r="C1412" s="30" t="n">
        <v>81909032</v>
      </c>
      <c r="D1412" s="30">
        <f>"95591723001190"</f>
        <v/>
      </c>
      <c r="E1412" s="30" t="inlineStr">
        <is>
          <t>TNT MERCURIO CARGAS E ENCOMENDAS EXPRESSAS LTDA</t>
        </is>
      </c>
      <c r="F1412" s="30" t="inlineStr">
        <is>
          <t>2021</t>
        </is>
      </c>
      <c r="G1412" s="40" t="n">
        <v>727495.3</v>
      </c>
    </row>
    <row r="1413" ht="12" customHeight="1">
      <c r="A1413" s="30" t="inlineStr">
        <is>
          <t>ARE</t>
        </is>
      </c>
      <c r="B1413" s="30" t="inlineStr">
        <is>
          <t>Areal</t>
        </is>
      </c>
      <c r="C1413" s="30" t="n">
        <v>81909032</v>
      </c>
      <c r="D1413" s="30">
        <f>"95591723001190"</f>
        <v/>
      </c>
      <c r="E1413" s="30" t="inlineStr">
        <is>
          <t>TNT MERCURIO CARGAS E ENCOMENDAS EXPRESSAS LTDA</t>
        </is>
      </c>
      <c r="F1413" s="30" t="inlineStr">
        <is>
          <t>2022</t>
        </is>
      </c>
      <c r="G1413" s="40" t="n">
        <v>898076.98</v>
      </c>
    </row>
    <row r="1414" ht="12" customHeight="1">
      <c r="A1414" s="30" t="inlineStr">
        <is>
          <t>ARE</t>
        </is>
      </c>
      <c r="B1414" s="30" t="inlineStr">
        <is>
          <t>Areal</t>
        </is>
      </c>
      <c r="C1414" s="30" t="n">
        <v>81909032</v>
      </c>
      <c r="D1414" s="30">
        <f>"95591723001190"</f>
        <v/>
      </c>
      <c r="E1414" s="30" t="inlineStr">
        <is>
          <t>TNT MERCURIO CARGAS E ENCOMENDAS EXPRESSAS LTDA</t>
        </is>
      </c>
      <c r="F1414" s="30" t="inlineStr">
        <is>
          <t>2023</t>
        </is>
      </c>
      <c r="G1414" s="40" t="n">
        <v>120157.52</v>
      </c>
    </row>
    <row r="1415" ht="12" customHeight="1">
      <c r="A1415" s="30" t="inlineStr">
        <is>
          <t>ARE</t>
        </is>
      </c>
      <c r="B1415" s="30" t="inlineStr">
        <is>
          <t>Areal</t>
        </is>
      </c>
      <c r="C1415" s="30" t="n">
        <v>81920184</v>
      </c>
      <c r="D1415" s="30">
        <f>"29291184000259"</f>
        <v/>
      </c>
      <c r="E1415" s="30" t="inlineStr">
        <is>
          <t>TRANSPORTES TONIATO LTDA</t>
        </is>
      </c>
      <c r="F1415" s="30" t="inlineStr">
        <is>
          <t>2017</t>
        </is>
      </c>
      <c r="G1415" s="40" t="n">
        <v>0</v>
      </c>
    </row>
    <row r="1416" ht="12" customHeight="1">
      <c r="A1416" s="30" t="inlineStr">
        <is>
          <t>ARE</t>
        </is>
      </c>
      <c r="B1416" s="30" t="inlineStr">
        <is>
          <t>Areal</t>
        </is>
      </c>
      <c r="C1416" s="30" t="n">
        <v>81920184</v>
      </c>
      <c r="D1416" s="30">
        <f>"29291184000259"</f>
        <v/>
      </c>
      <c r="E1416" s="30" t="inlineStr">
        <is>
          <t>TRANSPORTES TONIATO LTDA</t>
        </is>
      </c>
      <c r="F1416" s="30" t="inlineStr">
        <is>
          <t>2018</t>
        </is>
      </c>
      <c r="G1416" s="40" t="n">
        <v>132.07</v>
      </c>
    </row>
    <row r="1417" ht="12" customHeight="1">
      <c r="A1417" s="30" t="inlineStr">
        <is>
          <t>ARE</t>
        </is>
      </c>
      <c r="B1417" s="30" t="inlineStr">
        <is>
          <t>Areal</t>
        </is>
      </c>
      <c r="C1417" s="30" t="n">
        <v>81920184</v>
      </c>
      <c r="D1417" s="30">
        <f>"29291184000259"</f>
        <v/>
      </c>
      <c r="E1417" s="30" t="inlineStr">
        <is>
          <t>TRANSPORTES TONIATO LTDA</t>
        </is>
      </c>
      <c r="F1417" s="30" t="inlineStr">
        <is>
          <t>2019</t>
        </is>
      </c>
      <c r="G1417" s="40" t="n">
        <v>646.8200000000001</v>
      </c>
    </row>
    <row r="1418" ht="12" customHeight="1">
      <c r="A1418" s="30" t="inlineStr">
        <is>
          <t>ARE</t>
        </is>
      </c>
      <c r="B1418" s="30" t="inlineStr">
        <is>
          <t>Areal</t>
        </is>
      </c>
      <c r="C1418" s="30" t="n">
        <v>81920184</v>
      </c>
      <c r="D1418" s="30">
        <f>"29291184000259"</f>
        <v/>
      </c>
      <c r="E1418" s="30" t="inlineStr">
        <is>
          <t>TRANSPORTES TONIATO LTDA</t>
        </is>
      </c>
      <c r="F1418" s="30" t="inlineStr">
        <is>
          <t>2020</t>
        </is>
      </c>
      <c r="G1418" s="40" t="n">
        <v>0</v>
      </c>
    </row>
    <row r="1419" ht="12" customHeight="1">
      <c r="A1419" s="30" t="inlineStr">
        <is>
          <t>ARE</t>
        </is>
      </c>
      <c r="B1419" s="30" t="inlineStr">
        <is>
          <t>Areal</t>
        </is>
      </c>
      <c r="C1419" s="30" t="n">
        <v>81920184</v>
      </c>
      <c r="D1419" s="30">
        <f>"29291184000259"</f>
        <v/>
      </c>
      <c r="E1419" s="30" t="inlineStr">
        <is>
          <t>TRANSPORTES TONIATO LTDA</t>
        </is>
      </c>
      <c r="F1419" s="30" t="inlineStr">
        <is>
          <t>2021</t>
        </is>
      </c>
      <c r="G1419" s="40" t="n">
        <v>0</v>
      </c>
    </row>
    <row r="1420" ht="12" customHeight="1">
      <c r="A1420" s="30" t="inlineStr">
        <is>
          <t>ARE</t>
        </is>
      </c>
      <c r="B1420" s="30" t="inlineStr">
        <is>
          <t>Areal</t>
        </is>
      </c>
      <c r="C1420" s="30" t="n">
        <v>81920184</v>
      </c>
      <c r="D1420" s="30">
        <f>"29291184000259"</f>
        <v/>
      </c>
      <c r="E1420" s="30" t="inlineStr">
        <is>
          <t>TRANSPORTES TONIATO LTDA</t>
        </is>
      </c>
      <c r="F1420" s="30" t="inlineStr">
        <is>
          <t>2022</t>
        </is>
      </c>
      <c r="G1420" s="40" t="n">
        <v>120249.38</v>
      </c>
    </row>
    <row r="1421" ht="12" customHeight="1">
      <c r="A1421" s="30" t="inlineStr">
        <is>
          <t>ARE</t>
        </is>
      </c>
      <c r="B1421" s="30" t="inlineStr">
        <is>
          <t>Areal</t>
        </is>
      </c>
      <c r="C1421" s="30" t="n">
        <v>81920184</v>
      </c>
      <c r="D1421" s="30">
        <f>"29291184000259"</f>
        <v/>
      </c>
      <c r="E1421" s="30" t="inlineStr">
        <is>
          <t>TRANSPORTES TONIATO LTDA</t>
        </is>
      </c>
      <c r="F1421" s="30" t="inlineStr">
        <is>
          <t>2023</t>
        </is>
      </c>
      <c r="G1421" s="40" t="n">
        <v>23857.8</v>
      </c>
    </row>
    <row r="1422" ht="12" customHeight="1">
      <c r="A1422" s="30" t="inlineStr">
        <is>
          <t>ARE</t>
        </is>
      </c>
      <c r="B1422" s="30" t="inlineStr">
        <is>
          <t>Areal</t>
        </is>
      </c>
      <c r="C1422" s="30" t="n">
        <v>81921490</v>
      </c>
      <c r="D1422" s="30">
        <f>"10970887000870"</f>
        <v/>
      </c>
      <c r="E1422" s="30" t="inlineStr">
        <is>
          <t>FEDEX BRASIL LOGISTICA E TRANSPORTE LTDA</t>
        </is>
      </c>
      <c r="F1422" s="30" t="inlineStr">
        <is>
          <t>2017</t>
        </is>
      </c>
      <c r="G1422" s="40" t="n">
        <v>4950.83</v>
      </c>
    </row>
    <row r="1423" ht="12" customHeight="1">
      <c r="A1423" s="30" t="inlineStr">
        <is>
          <t>ARE</t>
        </is>
      </c>
      <c r="B1423" s="30" t="inlineStr">
        <is>
          <t>Areal</t>
        </is>
      </c>
      <c r="C1423" s="30" t="n">
        <v>81921490</v>
      </c>
      <c r="D1423" s="30">
        <f>"10970887000870"</f>
        <v/>
      </c>
      <c r="E1423" s="30" t="inlineStr">
        <is>
          <t>FEDEX BRASIL LOGISTICA E TRANSPORTE LTDA</t>
        </is>
      </c>
      <c r="F1423" s="30" t="inlineStr">
        <is>
          <t>2018</t>
        </is>
      </c>
      <c r="G1423" s="40" t="n">
        <v>274.14</v>
      </c>
    </row>
    <row r="1424" ht="12" customHeight="1">
      <c r="A1424" s="30" t="inlineStr">
        <is>
          <t>ARE</t>
        </is>
      </c>
      <c r="B1424" s="30" t="inlineStr">
        <is>
          <t>Areal</t>
        </is>
      </c>
      <c r="C1424" s="30" t="n">
        <v>81921490</v>
      </c>
      <c r="D1424" s="30">
        <f>"10970887000870"</f>
        <v/>
      </c>
      <c r="E1424" s="30" t="inlineStr">
        <is>
          <t>FEDEX BRASIL LOGISTICA E TRANSPORTE LTDA</t>
        </is>
      </c>
      <c r="F1424" s="30" t="inlineStr">
        <is>
          <t>2019</t>
        </is>
      </c>
      <c r="G1424" s="40" t="n">
        <v>0</v>
      </c>
    </row>
    <row r="1425" ht="12" customHeight="1">
      <c r="A1425" s="30" t="inlineStr">
        <is>
          <t>ARE</t>
        </is>
      </c>
      <c r="B1425" s="30" t="inlineStr">
        <is>
          <t>Areal</t>
        </is>
      </c>
      <c r="C1425" s="30" t="n">
        <v>81921490</v>
      </c>
      <c r="D1425" s="30">
        <f>"10970887000870"</f>
        <v/>
      </c>
      <c r="E1425" s="30" t="inlineStr">
        <is>
          <t>FEDEX BRASIL LOGISTICA E TRANSPORTE LTDA</t>
        </is>
      </c>
      <c r="F1425" s="30" t="inlineStr">
        <is>
          <t>2020</t>
        </is>
      </c>
      <c r="G1425" s="40" t="n">
        <v>0</v>
      </c>
    </row>
    <row r="1426" ht="12" customHeight="1">
      <c r="A1426" s="30" t="inlineStr">
        <is>
          <t>ARE</t>
        </is>
      </c>
      <c r="B1426" s="30" t="inlineStr">
        <is>
          <t>Areal</t>
        </is>
      </c>
      <c r="C1426" s="30" t="n">
        <v>81926743</v>
      </c>
      <c r="D1426" s="30">
        <f>"20147617001113"</f>
        <v/>
      </c>
      <c r="E1426" s="30" t="inlineStr">
        <is>
          <t>JAMEF TRANSPORTES EIRELI</t>
        </is>
      </c>
      <c r="F1426" s="30" t="inlineStr">
        <is>
          <t>2017</t>
        </is>
      </c>
      <c r="G1426" s="40" t="n">
        <v>1560.4</v>
      </c>
    </row>
    <row r="1427" ht="12" customHeight="1">
      <c r="A1427" s="30" t="inlineStr">
        <is>
          <t>ARE</t>
        </is>
      </c>
      <c r="B1427" s="30" t="inlineStr">
        <is>
          <t>Areal</t>
        </is>
      </c>
      <c r="C1427" s="30" t="n">
        <v>81926743</v>
      </c>
      <c r="D1427" s="30">
        <f>"20147617001113"</f>
        <v/>
      </c>
      <c r="E1427" s="30" t="inlineStr">
        <is>
          <t>JAMEF TRANSPORTES EIRELI</t>
        </is>
      </c>
      <c r="F1427" s="30" t="inlineStr">
        <is>
          <t>2018</t>
        </is>
      </c>
      <c r="G1427" s="40" t="n">
        <v>4877.26</v>
      </c>
    </row>
    <row r="1428" ht="12" customHeight="1">
      <c r="A1428" s="30" t="inlineStr">
        <is>
          <t>ARE</t>
        </is>
      </c>
      <c r="B1428" s="30" t="inlineStr">
        <is>
          <t>Areal</t>
        </is>
      </c>
      <c r="C1428" s="30" t="n">
        <v>81926743</v>
      </c>
      <c r="D1428" s="30">
        <f>"20147617001113"</f>
        <v/>
      </c>
      <c r="E1428" s="30" t="inlineStr">
        <is>
          <t>JAMEF TRANSPORTES EIRELI</t>
        </is>
      </c>
      <c r="F1428" s="30" t="inlineStr">
        <is>
          <t>2019</t>
        </is>
      </c>
      <c r="G1428" s="40" t="n">
        <v>1889.29</v>
      </c>
    </row>
    <row r="1429" ht="12" customHeight="1">
      <c r="A1429" s="30" t="inlineStr">
        <is>
          <t>ARE</t>
        </is>
      </c>
      <c r="B1429" s="30" t="inlineStr">
        <is>
          <t>Areal</t>
        </is>
      </c>
      <c r="C1429" s="30" t="n">
        <v>81926743</v>
      </c>
      <c r="D1429" s="30">
        <f>"20147617001113"</f>
        <v/>
      </c>
      <c r="E1429" s="30" t="inlineStr">
        <is>
          <t>JAMEF TRANSPORTES EIRELI</t>
        </is>
      </c>
      <c r="F1429" s="30" t="inlineStr">
        <is>
          <t>2020</t>
        </is>
      </c>
      <c r="G1429" s="40" t="n">
        <v>1579.42</v>
      </c>
    </row>
    <row r="1430" ht="12" customHeight="1">
      <c r="A1430" s="30" t="inlineStr">
        <is>
          <t>ARE</t>
        </is>
      </c>
      <c r="B1430" s="30" t="inlineStr">
        <is>
          <t>Areal</t>
        </is>
      </c>
      <c r="C1430" s="30" t="n">
        <v>81926743</v>
      </c>
      <c r="D1430" s="30">
        <f>"20147617001113"</f>
        <v/>
      </c>
      <c r="E1430" s="30" t="inlineStr">
        <is>
          <t>JAMEF TRANSPORTES EIRELI</t>
        </is>
      </c>
      <c r="F1430" s="30" t="inlineStr">
        <is>
          <t>2021</t>
        </is>
      </c>
      <c r="G1430" s="40" t="n">
        <v>2077.08</v>
      </c>
    </row>
    <row r="1431" ht="12" customHeight="1">
      <c r="A1431" s="30" t="inlineStr">
        <is>
          <t>ARE</t>
        </is>
      </c>
      <c r="B1431" s="30" t="inlineStr">
        <is>
          <t>Areal</t>
        </is>
      </c>
      <c r="C1431" s="30" t="n">
        <v>81926743</v>
      </c>
      <c r="D1431" s="30">
        <f>"20147617001113"</f>
        <v/>
      </c>
      <c r="E1431" s="30" t="inlineStr">
        <is>
          <t>JAMEF TRANSPORTES EIRELI</t>
        </is>
      </c>
      <c r="F1431" s="30" t="inlineStr">
        <is>
          <t>2022</t>
        </is>
      </c>
      <c r="G1431" s="40" t="n">
        <v>8794.389999999999</v>
      </c>
    </row>
    <row r="1432" ht="12" customHeight="1">
      <c r="A1432" s="30" t="inlineStr">
        <is>
          <t>ARE</t>
        </is>
      </c>
      <c r="B1432" s="30" t="inlineStr">
        <is>
          <t>Areal</t>
        </is>
      </c>
      <c r="C1432" s="30" t="n">
        <v>81926743</v>
      </c>
      <c r="D1432" s="30">
        <f>"20147617001113"</f>
        <v/>
      </c>
      <c r="E1432" s="30" t="inlineStr">
        <is>
          <t>JAMEF TRANSPORTES EIRELI</t>
        </is>
      </c>
      <c r="F1432" s="30" t="inlineStr">
        <is>
          <t>2023</t>
        </is>
      </c>
      <c r="G1432" s="40" t="n">
        <v>6151.74</v>
      </c>
    </row>
    <row r="1433" ht="12" customHeight="1">
      <c r="A1433" s="30" t="inlineStr">
        <is>
          <t>ARE</t>
        </is>
      </c>
      <c r="B1433" s="30" t="inlineStr">
        <is>
          <t>Areal</t>
        </is>
      </c>
      <c r="C1433" s="30" t="n">
        <v>81955018</v>
      </c>
      <c r="D1433" s="30">
        <f>"29370103000125"</f>
        <v/>
      </c>
      <c r="E1433" s="30" t="inlineStr">
        <is>
          <t>SILTRAN RODOVIARIO EIRELI</t>
        </is>
      </c>
      <c r="F1433" s="30" t="inlineStr">
        <is>
          <t>2017</t>
        </is>
      </c>
      <c r="G1433" s="40" t="n">
        <v>0</v>
      </c>
    </row>
    <row r="1434" ht="12" customHeight="1">
      <c r="A1434" s="30" t="inlineStr">
        <is>
          <t>ARE</t>
        </is>
      </c>
      <c r="B1434" s="30" t="inlineStr">
        <is>
          <t>Areal</t>
        </is>
      </c>
      <c r="C1434" s="30" t="n">
        <v>81955018</v>
      </c>
      <c r="D1434" s="30">
        <f>"29370103000125"</f>
        <v/>
      </c>
      <c r="E1434" s="30" t="inlineStr">
        <is>
          <t>SILTRAN RODOVIARIO EIRELI</t>
        </is>
      </c>
      <c r="F1434" s="30" t="inlineStr">
        <is>
          <t>2018</t>
        </is>
      </c>
      <c r="G1434" s="40" t="n">
        <v>500</v>
      </c>
    </row>
    <row r="1435" ht="12" customHeight="1">
      <c r="A1435" s="30" t="inlineStr">
        <is>
          <t>ARE</t>
        </is>
      </c>
      <c r="B1435" s="30" t="inlineStr">
        <is>
          <t>Areal</t>
        </is>
      </c>
      <c r="C1435" s="30" t="n">
        <v>81955018</v>
      </c>
      <c r="D1435" s="30">
        <f>"29370103000125"</f>
        <v/>
      </c>
      <c r="E1435" s="30" t="inlineStr">
        <is>
          <t>SILTRAN RODOVIARIO EIRELI</t>
        </is>
      </c>
      <c r="F1435" s="30" t="inlineStr">
        <is>
          <t>2019</t>
        </is>
      </c>
      <c r="G1435" s="40" t="n">
        <v>500</v>
      </c>
    </row>
    <row r="1436" ht="12" customHeight="1">
      <c r="A1436" s="30" t="inlineStr">
        <is>
          <t>ARE</t>
        </is>
      </c>
      <c r="B1436" s="30" t="inlineStr">
        <is>
          <t>Areal</t>
        </is>
      </c>
      <c r="C1436" s="30" t="n">
        <v>81955018</v>
      </c>
      <c r="D1436" s="30">
        <f>"29370103000125"</f>
        <v/>
      </c>
      <c r="E1436" s="30" t="inlineStr">
        <is>
          <t>SILTRAN RODOVIARIO EIRELI</t>
        </is>
      </c>
      <c r="F1436" s="30" t="inlineStr">
        <is>
          <t>2020</t>
        </is>
      </c>
      <c r="G1436" s="40" t="n">
        <v>0</v>
      </c>
    </row>
    <row r="1437" ht="12" customHeight="1">
      <c r="A1437" s="30" t="inlineStr">
        <is>
          <t>ARE</t>
        </is>
      </c>
      <c r="B1437" s="30" t="inlineStr">
        <is>
          <t>Areal</t>
        </is>
      </c>
      <c r="C1437" s="30" t="n">
        <v>81955018</v>
      </c>
      <c r="D1437" s="30">
        <f>"29370103000125"</f>
        <v/>
      </c>
      <c r="E1437" s="30" t="inlineStr">
        <is>
          <t>SILTRAN RODOVIARIO EIRELI</t>
        </is>
      </c>
      <c r="F1437" s="30" t="inlineStr">
        <is>
          <t>2021</t>
        </is>
      </c>
      <c r="G1437" s="40" t="n">
        <v>0</v>
      </c>
    </row>
    <row r="1438" ht="12" customHeight="1">
      <c r="A1438" s="30" t="inlineStr">
        <is>
          <t>ARE</t>
        </is>
      </c>
      <c r="B1438" s="30" t="inlineStr">
        <is>
          <t>Areal</t>
        </is>
      </c>
      <c r="C1438" s="30" t="n">
        <v>83511621</v>
      </c>
      <c r="D1438" s="30">
        <f>"36147437000108"</f>
        <v/>
      </c>
      <c r="E1438" s="30" t="inlineStr">
        <is>
          <t>COMERCIO DE ALIMENTOS SAO JORGE DO AREAL LTDA ME</t>
        </is>
      </c>
      <c r="F1438" s="30" t="inlineStr">
        <is>
          <t>2017</t>
        </is>
      </c>
      <c r="G1438" s="40" t="n">
        <v>0</v>
      </c>
    </row>
    <row r="1439" ht="12" customHeight="1">
      <c r="A1439" s="30" t="inlineStr">
        <is>
          <t>ARE</t>
        </is>
      </c>
      <c r="B1439" s="30" t="inlineStr">
        <is>
          <t>Areal</t>
        </is>
      </c>
      <c r="C1439" s="30" t="n">
        <v>83511621</v>
      </c>
      <c r="D1439" s="30">
        <f>"36147437000108"</f>
        <v/>
      </c>
      <c r="E1439" s="30" t="inlineStr">
        <is>
          <t>COMERCIO DE ALIMENTOS SAO JORGE DO AREAL LTDA ME</t>
        </is>
      </c>
      <c r="F1439" s="30" t="inlineStr">
        <is>
          <t>2018</t>
        </is>
      </c>
      <c r="G1439" s="40" t="n">
        <v>0</v>
      </c>
    </row>
    <row r="1440" ht="12" customHeight="1">
      <c r="A1440" s="30" t="inlineStr">
        <is>
          <t>ARE</t>
        </is>
      </c>
      <c r="B1440" s="30" t="inlineStr">
        <is>
          <t>Areal</t>
        </is>
      </c>
      <c r="C1440" s="30" t="n">
        <v>83511621</v>
      </c>
      <c r="D1440" s="30">
        <f>"36147437000108"</f>
        <v/>
      </c>
      <c r="E1440" s="30" t="inlineStr">
        <is>
          <t>COMERCIO DE ALIMENTOS SAO JORGE DO AREAL LTDA ME</t>
        </is>
      </c>
      <c r="F1440" s="30" t="inlineStr">
        <is>
          <t>2019</t>
        </is>
      </c>
      <c r="G1440" s="40" t="n">
        <v>89608.24000000001</v>
      </c>
    </row>
    <row r="1441" ht="12" customHeight="1">
      <c r="A1441" s="30" t="inlineStr">
        <is>
          <t>ARE</t>
        </is>
      </c>
      <c r="B1441" s="30" t="inlineStr">
        <is>
          <t>Areal</t>
        </is>
      </c>
      <c r="C1441" s="30" t="n">
        <v>83511621</v>
      </c>
      <c r="D1441" s="30">
        <f>"36147437000108"</f>
        <v/>
      </c>
      <c r="E1441" s="30" t="inlineStr">
        <is>
          <t>COMERCIO DE ALIMENTOS SAO JORGE DO AREAL LTDA ME</t>
        </is>
      </c>
      <c r="F1441" s="30" t="inlineStr">
        <is>
          <t>2020</t>
        </is>
      </c>
      <c r="G1441" s="40" t="n">
        <v>0</v>
      </c>
    </row>
    <row r="1442" ht="12" customHeight="1">
      <c r="A1442" s="30" t="inlineStr">
        <is>
          <t>ARE</t>
        </is>
      </c>
      <c r="B1442" s="30" t="inlineStr">
        <is>
          <t>Areal</t>
        </is>
      </c>
      <c r="C1442" s="30" t="n">
        <v>83511621</v>
      </c>
      <c r="D1442" s="30">
        <f>"36147437000108"</f>
        <v/>
      </c>
      <c r="E1442" s="30" t="inlineStr">
        <is>
          <t>COMERCIO DE ALIMENTOS SAO JORGE DO AREAL LTDA ME</t>
        </is>
      </c>
      <c r="F1442" s="30" t="inlineStr">
        <is>
          <t>2021</t>
        </is>
      </c>
      <c r="G1442" s="40" t="n">
        <v>0</v>
      </c>
    </row>
    <row r="1443" ht="12" customHeight="1">
      <c r="A1443" s="30" t="inlineStr">
        <is>
          <t>ARE</t>
        </is>
      </c>
      <c r="B1443" s="30" t="inlineStr">
        <is>
          <t>Areal</t>
        </is>
      </c>
      <c r="C1443" s="30" t="n">
        <v>83649569</v>
      </c>
      <c r="D1443" s="30">
        <f>"21562418000324"</f>
        <v/>
      </c>
      <c r="E1443" s="30" t="inlineStr">
        <is>
          <t>COOPERATIVA TRANSPORTADORA DE PETROLEO E DERIVADOS LTDA</t>
        </is>
      </c>
      <c r="F1443" s="30" t="inlineStr">
        <is>
          <t>2018</t>
        </is>
      </c>
      <c r="G1443" s="40" t="n">
        <v>0</v>
      </c>
    </row>
    <row r="1444" ht="12" customHeight="1">
      <c r="A1444" s="30" t="inlineStr">
        <is>
          <t>ARE</t>
        </is>
      </c>
      <c r="B1444" s="30" t="inlineStr">
        <is>
          <t>Areal</t>
        </is>
      </c>
      <c r="C1444" s="30" t="n">
        <v>83649569</v>
      </c>
      <c r="D1444" s="30">
        <f>"21562418000324"</f>
        <v/>
      </c>
      <c r="E1444" s="30" t="inlineStr">
        <is>
          <t>COOPERATIVA TRANSPORTADORA DE PETROLEO E DERIVADOS LTDA</t>
        </is>
      </c>
      <c r="F1444" s="30" t="inlineStr">
        <is>
          <t>2019</t>
        </is>
      </c>
      <c r="G1444" s="40" t="n">
        <v>0</v>
      </c>
    </row>
    <row r="1445" ht="12" customHeight="1">
      <c r="A1445" s="30" t="inlineStr">
        <is>
          <t>ARE</t>
        </is>
      </c>
      <c r="B1445" s="30" t="inlineStr">
        <is>
          <t>Areal</t>
        </is>
      </c>
      <c r="C1445" s="30" t="n">
        <v>83649569</v>
      </c>
      <c r="D1445" s="30">
        <f>"21562418000324"</f>
        <v/>
      </c>
      <c r="E1445" s="30" t="inlineStr">
        <is>
          <t>COOPERATIVA TRANSPORTADORA DE PETROLEO E DERIVADOS LTDA</t>
        </is>
      </c>
      <c r="F1445" s="30" t="inlineStr">
        <is>
          <t>2020</t>
        </is>
      </c>
      <c r="G1445" s="40" t="n">
        <v>150096</v>
      </c>
    </row>
    <row r="1446" ht="12" customHeight="1">
      <c r="A1446" s="30" t="inlineStr">
        <is>
          <t>ARE</t>
        </is>
      </c>
      <c r="B1446" s="30" t="inlineStr">
        <is>
          <t>Areal</t>
        </is>
      </c>
      <c r="C1446" s="30" t="n">
        <v>83649569</v>
      </c>
      <c r="D1446" s="30">
        <f>"21562418000324"</f>
        <v/>
      </c>
      <c r="E1446" s="30" t="inlineStr">
        <is>
          <t>COOPERATIVA TRANSPORTADORA DE PETROLEO E DERIVADOS LTDA</t>
        </is>
      </c>
      <c r="F1446" s="30" t="inlineStr">
        <is>
          <t>2021</t>
        </is>
      </c>
      <c r="G1446" s="40" t="n">
        <v>159049</v>
      </c>
    </row>
    <row r="1447" ht="12" customHeight="1">
      <c r="A1447" s="30" t="inlineStr">
        <is>
          <t>ARE</t>
        </is>
      </c>
      <c r="B1447" s="30" t="inlineStr">
        <is>
          <t>Areal</t>
        </is>
      </c>
      <c r="C1447" s="30" t="n">
        <v>83649569</v>
      </c>
      <c r="D1447" s="30">
        <f>"21562418000324"</f>
        <v/>
      </c>
      <c r="E1447" s="30" t="inlineStr">
        <is>
          <t>COOPERATIVA TRANSPORTADORA DE PETROLEO E DERIVADOS LTDA</t>
        </is>
      </c>
      <c r="F1447" s="30" t="inlineStr">
        <is>
          <t>2022</t>
        </is>
      </c>
      <c r="G1447" s="40" t="n">
        <v>138163.66</v>
      </c>
    </row>
    <row r="1448" ht="12" customHeight="1">
      <c r="A1448" s="30" t="inlineStr">
        <is>
          <t>ARE</t>
        </is>
      </c>
      <c r="B1448" s="30" t="inlineStr">
        <is>
          <t>Areal</t>
        </is>
      </c>
      <c r="C1448" s="30" t="n">
        <v>83649569</v>
      </c>
      <c r="D1448" s="30">
        <f>"21562418000324"</f>
        <v/>
      </c>
      <c r="E1448" s="30" t="inlineStr">
        <is>
          <t>COOPERATIVA TRANSPORTADORA DE PETROLEO E DERIVADOS LTDA</t>
        </is>
      </c>
      <c r="F1448" s="30" t="inlineStr">
        <is>
          <t>2023</t>
        </is>
      </c>
      <c r="G1448" s="40" t="n">
        <v>19764.51</v>
      </c>
    </row>
    <row r="1449" ht="12" customHeight="1">
      <c r="A1449" s="30" t="inlineStr">
        <is>
          <t>ARE</t>
        </is>
      </c>
      <c r="B1449" s="30" t="inlineStr">
        <is>
          <t>Areal</t>
        </is>
      </c>
      <c r="C1449" s="30" t="n">
        <v>83788658</v>
      </c>
      <c r="D1449" s="30">
        <f>"29453826000279"</f>
        <v/>
      </c>
      <c r="E1449" s="30" t="inlineStr">
        <is>
          <t>TRANSPORTE GENEROSO LTDA</t>
        </is>
      </c>
      <c r="F1449" s="30" t="inlineStr">
        <is>
          <t>2020</t>
        </is>
      </c>
      <c r="G1449" s="40" t="n">
        <v>0</v>
      </c>
    </row>
    <row r="1450" ht="12" customHeight="1">
      <c r="A1450" s="30" t="inlineStr">
        <is>
          <t>ARE</t>
        </is>
      </c>
      <c r="B1450" s="30" t="inlineStr">
        <is>
          <t>Areal</t>
        </is>
      </c>
      <c r="C1450" s="30" t="n">
        <v>83788658</v>
      </c>
      <c r="D1450" s="30">
        <f>"29453826000279"</f>
        <v/>
      </c>
      <c r="E1450" s="30" t="inlineStr">
        <is>
          <t>TRANSPORTE GENEROSO LTDA</t>
        </is>
      </c>
      <c r="F1450" s="30" t="inlineStr">
        <is>
          <t>2021</t>
        </is>
      </c>
      <c r="G1450" s="40" t="n">
        <v>0</v>
      </c>
    </row>
    <row r="1451" ht="12" customHeight="1">
      <c r="A1451" s="30" t="inlineStr">
        <is>
          <t>ARE</t>
        </is>
      </c>
      <c r="B1451" s="30" t="inlineStr">
        <is>
          <t>Areal</t>
        </is>
      </c>
      <c r="C1451" s="30" t="n">
        <v>83788658</v>
      </c>
      <c r="D1451" s="30">
        <f>"29453826000279"</f>
        <v/>
      </c>
      <c r="E1451" s="30" t="inlineStr">
        <is>
          <t>TRANSPORTE GENEROSO LTDA</t>
        </is>
      </c>
      <c r="F1451" s="30" t="inlineStr">
        <is>
          <t>2022</t>
        </is>
      </c>
      <c r="G1451" s="40" t="n">
        <v>3012.11</v>
      </c>
    </row>
    <row r="1452" ht="12" customHeight="1">
      <c r="A1452" s="30" t="inlineStr">
        <is>
          <t>ARE</t>
        </is>
      </c>
      <c r="B1452" s="30" t="inlineStr">
        <is>
          <t>Areal</t>
        </is>
      </c>
      <c r="C1452" s="30" t="n">
        <v>83788658</v>
      </c>
      <c r="D1452" s="30">
        <f>"29453826000279"</f>
        <v/>
      </c>
      <c r="E1452" s="30" t="inlineStr">
        <is>
          <t>TRANSPORTE GENEROSO LTDA</t>
        </is>
      </c>
      <c r="F1452" s="30" t="inlineStr">
        <is>
          <t>2023</t>
        </is>
      </c>
      <c r="G1452" s="40" t="n">
        <v>920</v>
      </c>
    </row>
    <row r="1453" ht="12" customHeight="1">
      <c r="A1453" s="30" t="inlineStr">
        <is>
          <t>ARE</t>
        </is>
      </c>
      <c r="B1453" s="30" t="inlineStr">
        <is>
          <t>Areal</t>
        </is>
      </c>
      <c r="C1453" s="30" t="n">
        <v>83799366</v>
      </c>
      <c r="D1453" s="30">
        <f>"60860087000360"</f>
        <v/>
      </c>
      <c r="E1453" s="30" t="inlineStr">
        <is>
          <t>BRINK"S SEGURANCA E TRANSPORTE DE VALORES LTDA</t>
        </is>
      </c>
      <c r="F1453" s="30" t="inlineStr">
        <is>
          <t>2020</t>
        </is>
      </c>
      <c r="G1453" s="40" t="n">
        <v>0</v>
      </c>
    </row>
    <row r="1454" ht="12" customHeight="1">
      <c r="A1454" s="30" t="inlineStr">
        <is>
          <t>ARE</t>
        </is>
      </c>
      <c r="B1454" s="30" t="inlineStr">
        <is>
          <t>Areal</t>
        </is>
      </c>
      <c r="C1454" s="30" t="n">
        <v>83799366</v>
      </c>
      <c r="D1454" s="30">
        <f>"60860087000360"</f>
        <v/>
      </c>
      <c r="E1454" s="30" t="inlineStr">
        <is>
          <t>BRINK"S SEGURANCA E TRANSPORTE DE VALORES LTDA</t>
        </is>
      </c>
      <c r="F1454" s="30" t="inlineStr">
        <is>
          <t>2021</t>
        </is>
      </c>
      <c r="G1454" s="40" t="n">
        <v>0</v>
      </c>
    </row>
    <row r="1455" ht="12" customHeight="1">
      <c r="A1455" s="30" t="inlineStr">
        <is>
          <t>ARE</t>
        </is>
      </c>
      <c r="B1455" s="30" t="inlineStr">
        <is>
          <t>Areal</t>
        </is>
      </c>
      <c r="C1455" s="30" t="n">
        <v>83799366</v>
      </c>
      <c r="D1455" s="30">
        <f>"60860087000360"</f>
        <v/>
      </c>
      <c r="E1455" s="30" t="inlineStr">
        <is>
          <t>BRINK"S SEGURANCA E TRANSPORTE DE VALORES LTDA</t>
        </is>
      </c>
      <c r="F1455" s="30" t="inlineStr">
        <is>
          <t>2022</t>
        </is>
      </c>
      <c r="G1455" s="40" t="n">
        <v>2245.89</v>
      </c>
    </row>
    <row r="1456" ht="12" customHeight="1">
      <c r="A1456" s="30" t="inlineStr">
        <is>
          <t>ARE</t>
        </is>
      </c>
      <c r="B1456" s="30" t="inlineStr">
        <is>
          <t>Areal</t>
        </is>
      </c>
      <c r="C1456" s="30" t="n">
        <v>83799366</v>
      </c>
      <c r="D1456" s="30">
        <f>"60860087000360"</f>
        <v/>
      </c>
      <c r="E1456" s="30" t="inlineStr">
        <is>
          <t>BRINK"S SEGURANCA E TRANSPORTE DE VALORES LTDA</t>
        </is>
      </c>
      <c r="F1456" s="30" t="inlineStr">
        <is>
          <t>2023</t>
        </is>
      </c>
      <c r="G1456" s="40" t="n">
        <v>0</v>
      </c>
    </row>
    <row r="1457" ht="12" customHeight="1">
      <c r="A1457" s="30" t="inlineStr">
        <is>
          <t>ARE</t>
        </is>
      </c>
      <c r="B1457" s="30" t="inlineStr">
        <is>
          <t>Areal</t>
        </is>
      </c>
      <c r="C1457" s="30" t="n">
        <v>83824735</v>
      </c>
      <c r="D1457" s="30">
        <f>"34146175000123"</f>
        <v/>
      </c>
      <c r="E1457" s="30" t="inlineStr">
        <is>
          <t>EMPRESA DE TRANSPORTE ANGELA LTDA ME</t>
        </is>
      </c>
      <c r="F1457" s="30" t="inlineStr">
        <is>
          <t>2020</t>
        </is>
      </c>
      <c r="G1457" s="40" t="n">
        <v>0</v>
      </c>
    </row>
    <row r="1458" ht="12" customHeight="1">
      <c r="A1458" s="30" t="inlineStr">
        <is>
          <t>ARE</t>
        </is>
      </c>
      <c r="B1458" s="30" t="inlineStr">
        <is>
          <t>Areal</t>
        </is>
      </c>
      <c r="C1458" s="30" t="n">
        <v>83824735</v>
      </c>
      <c r="D1458" s="30">
        <f>"34146175000123"</f>
        <v/>
      </c>
      <c r="E1458" s="30" t="inlineStr">
        <is>
          <t>EMPRESA DE TRANSPORTE ANGELA LTDA ME</t>
        </is>
      </c>
      <c r="F1458" s="30" t="inlineStr">
        <is>
          <t>2021</t>
        </is>
      </c>
      <c r="G1458" s="40" t="n">
        <v>0</v>
      </c>
    </row>
    <row r="1459" ht="12" customHeight="1">
      <c r="A1459" s="30" t="inlineStr">
        <is>
          <t>ARE</t>
        </is>
      </c>
      <c r="B1459" s="30" t="inlineStr">
        <is>
          <t>Areal</t>
        </is>
      </c>
      <c r="C1459" s="30" t="n">
        <v>83824735</v>
      </c>
      <c r="D1459" s="30">
        <f>"34146175000123"</f>
        <v/>
      </c>
      <c r="E1459" s="30" t="inlineStr">
        <is>
          <t>EMPRESA DE TRANSPORTE ANGELA LTDA ME</t>
        </is>
      </c>
      <c r="F1459" s="30" t="inlineStr">
        <is>
          <t>2022</t>
        </is>
      </c>
      <c r="G1459" s="40" t="n">
        <v>3900</v>
      </c>
    </row>
    <row r="1460" ht="12" customHeight="1">
      <c r="A1460" s="30" t="inlineStr">
        <is>
          <t>ARE</t>
        </is>
      </c>
      <c r="B1460" s="30" t="inlineStr">
        <is>
          <t>Areal</t>
        </is>
      </c>
      <c r="C1460" s="30" t="n">
        <v>83824735</v>
      </c>
      <c r="D1460" s="30">
        <f>"34146175000123"</f>
        <v/>
      </c>
      <c r="E1460" s="30" t="inlineStr">
        <is>
          <t>EMPRESA DE TRANSPORTE ANGELA LTDA ME</t>
        </is>
      </c>
      <c r="F1460" s="30" t="inlineStr">
        <is>
          <t>2023</t>
        </is>
      </c>
      <c r="G1460" s="40" t="n">
        <v>0</v>
      </c>
    </row>
    <row r="1461" ht="12" customHeight="1">
      <c r="A1461" s="30" t="inlineStr">
        <is>
          <t>ARE</t>
        </is>
      </c>
      <c r="B1461" s="30" t="inlineStr">
        <is>
          <t>Areal</t>
        </is>
      </c>
      <c r="C1461" s="30" t="n">
        <v>83848413</v>
      </c>
      <c r="D1461" s="30">
        <f>"31134885000145"</f>
        <v/>
      </c>
      <c r="E1461" s="30" t="inlineStr">
        <is>
          <t>TRANSPORTES UNICA PETROPOLIS LTDA</t>
        </is>
      </c>
      <c r="F1461" s="30" t="inlineStr">
        <is>
          <t>2018</t>
        </is>
      </c>
      <c r="G1461" s="40" t="n">
        <v>0</v>
      </c>
    </row>
    <row r="1462" ht="12" customHeight="1">
      <c r="A1462" s="30" t="inlineStr">
        <is>
          <t>ARE</t>
        </is>
      </c>
      <c r="B1462" s="30" t="inlineStr">
        <is>
          <t>Areal</t>
        </is>
      </c>
      <c r="C1462" s="30" t="n">
        <v>83848413</v>
      </c>
      <c r="D1462" s="30">
        <f>"31134885000145"</f>
        <v/>
      </c>
      <c r="E1462" s="30" t="inlineStr">
        <is>
          <t>TRANSPORTES UNICA PETROPOLIS LTDA</t>
        </is>
      </c>
      <c r="F1462" s="30" t="inlineStr">
        <is>
          <t>2019</t>
        </is>
      </c>
      <c r="G1462" s="40" t="n">
        <v>0</v>
      </c>
    </row>
    <row r="1463" ht="12" customHeight="1">
      <c r="A1463" s="30" t="inlineStr">
        <is>
          <t>ARE</t>
        </is>
      </c>
      <c r="B1463" s="30" t="inlineStr">
        <is>
          <t>Areal</t>
        </is>
      </c>
      <c r="C1463" s="30" t="n">
        <v>83848413</v>
      </c>
      <c r="D1463" s="30">
        <f>"31134885000145"</f>
        <v/>
      </c>
      <c r="E1463" s="30" t="inlineStr">
        <is>
          <t>TRANSPORTES UNICA PETROPOLIS LTDA</t>
        </is>
      </c>
      <c r="F1463" s="30" t="inlineStr">
        <is>
          <t>2020</t>
        </is>
      </c>
      <c r="G1463" s="40" t="n">
        <v>44.82</v>
      </c>
    </row>
    <row r="1464" ht="12" customHeight="1">
      <c r="A1464" s="30" t="inlineStr">
        <is>
          <t>ARE</t>
        </is>
      </c>
      <c r="B1464" s="30" t="inlineStr">
        <is>
          <t>Areal</t>
        </is>
      </c>
      <c r="C1464" s="30" t="n">
        <v>83848413</v>
      </c>
      <c r="D1464" s="30">
        <f>"31134885000145"</f>
        <v/>
      </c>
      <c r="E1464" s="30" t="inlineStr">
        <is>
          <t>TRANSPORTES UNICA PETROPOLIS LTDA</t>
        </is>
      </c>
      <c r="F1464" s="30" t="inlineStr">
        <is>
          <t>2021</t>
        </is>
      </c>
      <c r="G1464" s="40" t="n">
        <v>44.82</v>
      </c>
    </row>
    <row r="1465" ht="12" customHeight="1">
      <c r="A1465" s="30" t="inlineStr">
        <is>
          <t>ARE</t>
        </is>
      </c>
      <c r="B1465" s="30" t="inlineStr">
        <is>
          <t>Areal</t>
        </is>
      </c>
      <c r="C1465" s="30" t="n">
        <v>83848413</v>
      </c>
      <c r="D1465" s="30">
        <f>"31134885000145"</f>
        <v/>
      </c>
      <c r="E1465" s="30" t="inlineStr">
        <is>
          <t>TRANSPORTES UNICA PETROPOLIS LTDA</t>
        </is>
      </c>
      <c r="F1465" s="30" t="inlineStr">
        <is>
          <t>2022</t>
        </is>
      </c>
      <c r="G1465" s="40" t="n">
        <v>274.8</v>
      </c>
    </row>
    <row r="1466" ht="12" customHeight="1">
      <c r="A1466" s="30" t="inlineStr">
        <is>
          <t>ARE</t>
        </is>
      </c>
      <c r="B1466" s="30" t="inlineStr">
        <is>
          <t>Areal</t>
        </is>
      </c>
      <c r="C1466" s="30" t="n">
        <v>83848413</v>
      </c>
      <c r="D1466" s="30">
        <f>"31134885000145"</f>
        <v/>
      </c>
      <c r="E1466" s="30" t="inlineStr">
        <is>
          <t>TRANSPORTES UNICA PETROPOLIS LTDA</t>
        </is>
      </c>
      <c r="F1466" s="30" t="inlineStr">
        <is>
          <t>2023</t>
        </is>
      </c>
      <c r="G1466" s="40" t="n">
        <v>413.62</v>
      </c>
    </row>
    <row r="1467" ht="12" customHeight="1">
      <c r="A1467" s="30" t="inlineStr">
        <is>
          <t>ARE</t>
        </is>
      </c>
      <c r="B1467" s="30" t="inlineStr">
        <is>
          <t>Areal</t>
        </is>
      </c>
      <c r="C1467" s="30" t="n">
        <v>83878312</v>
      </c>
      <c r="D1467" s="30">
        <f>"28702777000117"</f>
        <v/>
      </c>
      <c r="E1467" s="30" t="inlineStr">
        <is>
          <t>TRANSPORTE ESCOLAR E TURISMO TIO ZE LTDA</t>
        </is>
      </c>
      <c r="F1467" s="30" t="inlineStr">
        <is>
          <t>2017</t>
        </is>
      </c>
      <c r="G1467" s="40" t="n">
        <v>1460</v>
      </c>
    </row>
    <row r="1468" ht="12" customHeight="1">
      <c r="A1468" s="30" t="inlineStr">
        <is>
          <t>ARE</t>
        </is>
      </c>
      <c r="B1468" s="30" t="inlineStr">
        <is>
          <t>Areal</t>
        </is>
      </c>
      <c r="C1468" s="30" t="n">
        <v>83878312</v>
      </c>
      <c r="D1468" s="30">
        <f>"28702777000117"</f>
        <v/>
      </c>
      <c r="E1468" s="30" t="inlineStr">
        <is>
          <t>TRANSPORTE ESCOLAR E TURISMO TIO ZE LTDA</t>
        </is>
      </c>
      <c r="F1468" s="30" t="inlineStr">
        <is>
          <t>2018</t>
        </is>
      </c>
      <c r="G1468" s="40" t="n">
        <v>0</v>
      </c>
    </row>
    <row r="1469" ht="12" customHeight="1">
      <c r="A1469" s="30" t="inlineStr">
        <is>
          <t>ARE</t>
        </is>
      </c>
      <c r="B1469" s="30" t="inlineStr">
        <is>
          <t>Areal</t>
        </is>
      </c>
      <c r="C1469" s="30" t="n">
        <v>83878312</v>
      </c>
      <c r="D1469" s="30">
        <f>"28702777000117"</f>
        <v/>
      </c>
      <c r="E1469" s="30" t="inlineStr">
        <is>
          <t>TRANSPORTE ESCOLAR E TURISMO TIO ZE LTDA</t>
        </is>
      </c>
      <c r="F1469" s="30" t="inlineStr">
        <is>
          <t>2019</t>
        </is>
      </c>
      <c r="G1469" s="40" t="n">
        <v>0</v>
      </c>
    </row>
    <row r="1470" ht="12" customHeight="1">
      <c r="A1470" s="30" t="inlineStr">
        <is>
          <t>ARE</t>
        </is>
      </c>
      <c r="B1470" s="30" t="inlineStr">
        <is>
          <t>Areal</t>
        </is>
      </c>
      <c r="C1470" s="30" t="n">
        <v>84089109</v>
      </c>
      <c r="D1470" s="30">
        <f>"17191172000516"</f>
        <v/>
      </c>
      <c r="E1470" s="30" t="inlineStr">
        <is>
          <t>EMPRESA DE TRANSPORTES MARTINS LTDA</t>
        </is>
      </c>
      <c r="F1470" s="30" t="inlineStr">
        <is>
          <t>2019</t>
        </is>
      </c>
      <c r="G1470" s="40" t="n">
        <v>0</v>
      </c>
    </row>
    <row r="1471" ht="12" customHeight="1">
      <c r="A1471" s="30" t="inlineStr">
        <is>
          <t>ARE</t>
        </is>
      </c>
      <c r="B1471" s="30" t="inlineStr">
        <is>
          <t>Areal</t>
        </is>
      </c>
      <c r="C1471" s="30" t="n">
        <v>84089109</v>
      </c>
      <c r="D1471" s="30">
        <f>"17191172000516"</f>
        <v/>
      </c>
      <c r="E1471" s="30" t="inlineStr">
        <is>
          <t>EMPRESA DE TRANSPORTES MARTINS LTDA</t>
        </is>
      </c>
      <c r="F1471" s="30" t="inlineStr">
        <is>
          <t>2020</t>
        </is>
      </c>
      <c r="G1471" s="40" t="n">
        <v>0</v>
      </c>
    </row>
    <row r="1472" ht="12" customHeight="1">
      <c r="A1472" s="30" t="inlineStr">
        <is>
          <t>ARE</t>
        </is>
      </c>
      <c r="B1472" s="30" t="inlineStr">
        <is>
          <t>Areal</t>
        </is>
      </c>
      <c r="C1472" s="30" t="n">
        <v>84089109</v>
      </c>
      <c r="D1472" s="30">
        <f>"17191172000516"</f>
        <v/>
      </c>
      <c r="E1472" s="30" t="inlineStr">
        <is>
          <t>EMPRESA DE TRANSPORTES MARTINS LTDA</t>
        </is>
      </c>
      <c r="F1472" s="30" t="inlineStr">
        <is>
          <t>2021</t>
        </is>
      </c>
      <c r="G1472" s="40" t="n">
        <v>1134.16</v>
      </c>
    </row>
    <row r="1473" ht="12" customHeight="1">
      <c r="A1473" s="30" t="inlineStr">
        <is>
          <t>ARE</t>
        </is>
      </c>
      <c r="B1473" s="30" t="inlineStr">
        <is>
          <t>Areal</t>
        </is>
      </c>
      <c r="C1473" s="30" t="n">
        <v>84089109</v>
      </c>
      <c r="D1473" s="30">
        <f>"17191172000516"</f>
        <v/>
      </c>
      <c r="E1473" s="30" t="inlineStr">
        <is>
          <t>EMPRESA DE TRANSPORTES MARTINS LTDA</t>
        </is>
      </c>
      <c r="F1473" s="30" t="inlineStr">
        <is>
          <t>2022</t>
        </is>
      </c>
      <c r="G1473" s="40" t="n">
        <v>156.67</v>
      </c>
    </row>
    <row r="1474" ht="12" customHeight="1">
      <c r="A1474" s="30" t="inlineStr">
        <is>
          <t>ARE</t>
        </is>
      </c>
      <c r="B1474" s="30" t="inlineStr">
        <is>
          <t>Areal</t>
        </is>
      </c>
      <c r="C1474" s="30" t="n">
        <v>84089109</v>
      </c>
      <c r="D1474" s="30">
        <f>"17191172000516"</f>
        <v/>
      </c>
      <c r="E1474" s="30" t="inlineStr">
        <is>
          <t>EMPRESA DE TRANSPORTES MARTINS LTDA</t>
        </is>
      </c>
      <c r="F1474" s="30" t="inlineStr">
        <is>
          <t>2023</t>
        </is>
      </c>
      <c r="G1474" s="40" t="n">
        <v>0</v>
      </c>
    </row>
    <row r="1475" ht="12" customHeight="1">
      <c r="A1475" s="30" t="inlineStr">
        <is>
          <t>ARE</t>
        </is>
      </c>
      <c r="B1475" s="30" t="inlineStr">
        <is>
          <t>Areal</t>
        </is>
      </c>
      <c r="C1475" s="30" t="n">
        <v>84200395</v>
      </c>
      <c r="D1475" s="30">
        <f>"17676693000130"</f>
        <v/>
      </c>
      <c r="E1475" s="30" t="inlineStr">
        <is>
          <t>M W TRANSPORTES LTDA</t>
        </is>
      </c>
      <c r="F1475" s="30" t="inlineStr">
        <is>
          <t>2017</t>
        </is>
      </c>
      <c r="G1475" s="40" t="n">
        <v>0</v>
      </c>
    </row>
    <row r="1476" ht="12" customHeight="1">
      <c r="A1476" s="30" t="inlineStr">
        <is>
          <t>ARE</t>
        </is>
      </c>
      <c r="B1476" s="30" t="inlineStr">
        <is>
          <t>Areal</t>
        </is>
      </c>
      <c r="C1476" s="30" t="n">
        <v>84200395</v>
      </c>
      <c r="D1476" s="30">
        <f>"17676693000130"</f>
        <v/>
      </c>
      <c r="E1476" s="30" t="inlineStr">
        <is>
          <t>M W TRANSPORTES LTDA</t>
        </is>
      </c>
      <c r="F1476" s="30" t="inlineStr">
        <is>
          <t>2018</t>
        </is>
      </c>
      <c r="G1476" s="40" t="n">
        <v>112.74</v>
      </c>
    </row>
    <row r="1477" ht="12" customHeight="1">
      <c r="A1477" s="30" t="inlineStr">
        <is>
          <t>ARE</t>
        </is>
      </c>
      <c r="B1477" s="30" t="inlineStr">
        <is>
          <t>Areal</t>
        </is>
      </c>
      <c r="C1477" s="30" t="n">
        <v>84200395</v>
      </c>
      <c r="D1477" s="30">
        <f>"17676693000130"</f>
        <v/>
      </c>
      <c r="E1477" s="30" t="inlineStr">
        <is>
          <t>M W TRANSPORTES LTDA</t>
        </is>
      </c>
      <c r="F1477" s="30" t="inlineStr">
        <is>
          <t>2019</t>
        </is>
      </c>
      <c r="G1477" s="40" t="n">
        <v>458.74</v>
      </c>
    </row>
    <row r="1478" ht="12" customHeight="1">
      <c r="A1478" s="30" t="inlineStr">
        <is>
          <t>ARE</t>
        </is>
      </c>
      <c r="B1478" s="30" t="inlineStr">
        <is>
          <t>Areal</t>
        </is>
      </c>
      <c r="C1478" s="30" t="n">
        <v>84200395</v>
      </c>
      <c r="D1478" s="30">
        <f>"17676693000130"</f>
        <v/>
      </c>
      <c r="E1478" s="30" t="inlineStr">
        <is>
          <t>M W TRANSPORTES LTDA</t>
        </is>
      </c>
      <c r="F1478" s="30" t="inlineStr">
        <is>
          <t>2020</t>
        </is>
      </c>
      <c r="G1478" s="40" t="n">
        <v>330.88</v>
      </c>
    </row>
    <row r="1479" ht="12" customHeight="1">
      <c r="A1479" s="30" t="inlineStr">
        <is>
          <t>ARE</t>
        </is>
      </c>
      <c r="B1479" s="30" t="inlineStr">
        <is>
          <t>Areal</t>
        </is>
      </c>
      <c r="C1479" s="30" t="n">
        <v>84200395</v>
      </c>
      <c r="D1479" s="30">
        <f>"17676693000130"</f>
        <v/>
      </c>
      <c r="E1479" s="30" t="inlineStr">
        <is>
          <t>M W TRANSPORTES LTDA</t>
        </is>
      </c>
      <c r="F1479" s="30" t="inlineStr">
        <is>
          <t>2021</t>
        </is>
      </c>
      <c r="G1479" s="40" t="n">
        <v>0</v>
      </c>
    </row>
    <row r="1480" ht="12" customHeight="1">
      <c r="A1480" s="30" t="inlineStr">
        <is>
          <t>ARE</t>
        </is>
      </c>
      <c r="B1480" s="30" t="inlineStr">
        <is>
          <t>Areal</t>
        </is>
      </c>
      <c r="C1480" s="30" t="n">
        <v>84200395</v>
      </c>
      <c r="D1480" s="30">
        <f>"17676693000130"</f>
        <v/>
      </c>
      <c r="E1480" s="30" t="inlineStr">
        <is>
          <t>M W TRANSPORTES LTDA</t>
        </is>
      </c>
      <c r="F1480" s="30" t="inlineStr">
        <is>
          <t>2022</t>
        </is>
      </c>
      <c r="G1480" s="40" t="n">
        <v>0</v>
      </c>
    </row>
    <row r="1481" ht="12" customHeight="1">
      <c r="A1481" s="30" t="inlineStr">
        <is>
          <t>ARE</t>
        </is>
      </c>
      <c r="B1481" s="30" t="inlineStr">
        <is>
          <t>Areal</t>
        </is>
      </c>
      <c r="C1481" s="30" t="n">
        <v>84326992</v>
      </c>
      <c r="D1481" s="30">
        <f>"32314247000179"</f>
        <v/>
      </c>
      <c r="E1481" s="30" t="inlineStr">
        <is>
          <t>MTD TRANSPORTES LTDA</t>
        </is>
      </c>
      <c r="F1481" s="30" t="inlineStr">
        <is>
          <t>2017</t>
        </is>
      </c>
      <c r="G1481" s="40" t="n">
        <v>0</v>
      </c>
    </row>
    <row r="1482" ht="12" customHeight="1">
      <c r="A1482" s="30" t="inlineStr">
        <is>
          <t>ARE</t>
        </is>
      </c>
      <c r="B1482" s="30" t="inlineStr">
        <is>
          <t>Areal</t>
        </is>
      </c>
      <c r="C1482" s="30" t="n">
        <v>84326992</v>
      </c>
      <c r="D1482" s="30">
        <f>"32314247000179"</f>
        <v/>
      </c>
      <c r="E1482" s="30" t="inlineStr">
        <is>
          <t>MTD TRANSPORTES LTDA</t>
        </is>
      </c>
      <c r="F1482" s="30" t="inlineStr">
        <is>
          <t>2018</t>
        </is>
      </c>
      <c r="G1482" s="40" t="n">
        <v>53.75</v>
      </c>
    </row>
    <row r="1483" ht="12" customHeight="1">
      <c r="A1483" s="30" t="inlineStr">
        <is>
          <t>ARE</t>
        </is>
      </c>
      <c r="B1483" s="30" t="inlineStr">
        <is>
          <t>Areal</t>
        </is>
      </c>
      <c r="C1483" s="30" t="n">
        <v>84326992</v>
      </c>
      <c r="D1483" s="30">
        <f>"32314247000179"</f>
        <v/>
      </c>
      <c r="E1483" s="30" t="inlineStr">
        <is>
          <t>MTD TRANSPORTES LTDA</t>
        </is>
      </c>
      <c r="F1483" s="30" t="inlineStr">
        <is>
          <t>2019</t>
        </is>
      </c>
      <c r="G1483" s="40" t="n">
        <v>0</v>
      </c>
    </row>
    <row r="1484" ht="12" customHeight="1">
      <c r="A1484" s="30" t="inlineStr">
        <is>
          <t>ARE</t>
        </is>
      </c>
      <c r="B1484" s="30" t="inlineStr">
        <is>
          <t>Areal</t>
        </is>
      </c>
      <c r="C1484" s="30" t="n">
        <v>84326992</v>
      </c>
      <c r="D1484" s="30">
        <f>"32314247000179"</f>
        <v/>
      </c>
      <c r="E1484" s="30" t="inlineStr">
        <is>
          <t>MTD TRANSPORTES LTDA</t>
        </is>
      </c>
      <c r="F1484" s="30" t="inlineStr">
        <is>
          <t>2020</t>
        </is>
      </c>
      <c r="G1484" s="40" t="n">
        <v>0</v>
      </c>
    </row>
    <row r="1485" ht="12" customHeight="1">
      <c r="A1485" s="30" t="inlineStr">
        <is>
          <t>ARE</t>
        </is>
      </c>
      <c r="B1485" s="30" t="inlineStr">
        <is>
          <t>Areal</t>
        </is>
      </c>
      <c r="C1485" s="30" t="n">
        <v>84326992</v>
      </c>
      <c r="D1485" s="30">
        <f>"32314247000179"</f>
        <v/>
      </c>
      <c r="E1485" s="30" t="inlineStr">
        <is>
          <t>MTD TRANSPORTES LTDA</t>
        </is>
      </c>
      <c r="F1485" s="30" t="inlineStr">
        <is>
          <t>2021</t>
        </is>
      </c>
      <c r="G1485" s="40" t="n">
        <v>23.13</v>
      </c>
    </row>
    <row r="1486" ht="12" customHeight="1">
      <c r="A1486" s="30" t="inlineStr">
        <is>
          <t>ARE</t>
        </is>
      </c>
      <c r="B1486" s="30" t="inlineStr">
        <is>
          <t>Areal</t>
        </is>
      </c>
      <c r="C1486" s="30" t="n">
        <v>84326992</v>
      </c>
      <c r="D1486" s="30">
        <f>"32314247000179"</f>
        <v/>
      </c>
      <c r="E1486" s="30" t="inlineStr">
        <is>
          <t>MTD TRANSPORTES LTDA</t>
        </is>
      </c>
      <c r="F1486" s="30" t="inlineStr">
        <is>
          <t>2022</t>
        </is>
      </c>
      <c r="G1486" s="40" t="n">
        <v>0</v>
      </c>
    </row>
    <row r="1487" ht="12" customHeight="1">
      <c r="A1487" s="30" t="inlineStr">
        <is>
          <t>ARE</t>
        </is>
      </c>
      <c r="B1487" s="30" t="inlineStr">
        <is>
          <t>Areal</t>
        </is>
      </c>
      <c r="C1487" s="30" t="n">
        <v>84326992</v>
      </c>
      <c r="D1487" s="30">
        <f>"32314247000179"</f>
        <v/>
      </c>
      <c r="E1487" s="30" t="inlineStr">
        <is>
          <t>MTD TRANSPORTES LTDA</t>
        </is>
      </c>
      <c r="F1487" s="30" t="inlineStr">
        <is>
          <t>2023</t>
        </is>
      </c>
      <c r="G1487" s="40" t="n">
        <v>0</v>
      </c>
    </row>
    <row r="1488" ht="12" customHeight="1">
      <c r="A1488" s="30" t="inlineStr">
        <is>
          <t>ARE</t>
        </is>
      </c>
      <c r="B1488" s="30" t="inlineStr">
        <is>
          <t>Areal</t>
        </is>
      </c>
      <c r="C1488" s="30" t="n">
        <v>84327093</v>
      </c>
      <c r="D1488" s="30">
        <f>"66199068000311"</f>
        <v/>
      </c>
      <c r="E1488" s="30" t="inlineStr">
        <is>
          <t>RAPIDO ALEM PARAIBA LTDA</t>
        </is>
      </c>
      <c r="F1488" s="30" t="inlineStr">
        <is>
          <t>2017</t>
        </is>
      </c>
      <c r="G1488" s="40" t="n">
        <v>0</v>
      </c>
    </row>
    <row r="1489" ht="12" customHeight="1">
      <c r="A1489" s="30" t="inlineStr">
        <is>
          <t>ARE</t>
        </is>
      </c>
      <c r="B1489" s="30" t="inlineStr">
        <is>
          <t>Areal</t>
        </is>
      </c>
      <c r="C1489" s="30" t="n">
        <v>84327093</v>
      </c>
      <c r="D1489" s="30">
        <f>"66199068000311"</f>
        <v/>
      </c>
      <c r="E1489" s="30" t="inlineStr">
        <is>
          <t>RAPIDO ALEM PARAIBA LTDA</t>
        </is>
      </c>
      <c r="F1489" s="30" t="inlineStr">
        <is>
          <t>2018</t>
        </is>
      </c>
      <c r="G1489" s="40" t="n">
        <v>111</v>
      </c>
    </row>
    <row r="1490" ht="12" customHeight="1">
      <c r="A1490" s="30" t="inlineStr">
        <is>
          <t>ARE</t>
        </is>
      </c>
      <c r="B1490" s="30" t="inlineStr">
        <is>
          <t>Areal</t>
        </is>
      </c>
      <c r="C1490" s="30" t="n">
        <v>84327093</v>
      </c>
      <c r="D1490" s="30">
        <f>"66199068000311"</f>
        <v/>
      </c>
      <c r="E1490" s="30" t="inlineStr">
        <is>
          <t>RAPIDO ALEM PARAIBA LTDA</t>
        </is>
      </c>
      <c r="F1490" s="30" t="inlineStr">
        <is>
          <t>2019</t>
        </is>
      </c>
      <c r="G1490" s="40" t="n">
        <v>0</v>
      </c>
    </row>
    <row r="1491" ht="12" customHeight="1">
      <c r="A1491" s="30" t="inlineStr">
        <is>
          <t>ARE</t>
        </is>
      </c>
      <c r="B1491" s="30" t="inlineStr">
        <is>
          <t>Areal</t>
        </is>
      </c>
      <c r="C1491" s="30" t="n">
        <v>84327093</v>
      </c>
      <c r="D1491" s="30">
        <f>"66199068000311"</f>
        <v/>
      </c>
      <c r="E1491" s="30" t="inlineStr">
        <is>
          <t>RAPIDO ALEM PARAIBA LTDA</t>
        </is>
      </c>
      <c r="F1491" s="30" t="inlineStr">
        <is>
          <t>2020</t>
        </is>
      </c>
      <c r="G1491" s="40" t="n">
        <v>0</v>
      </c>
    </row>
    <row r="1492" ht="12" customHeight="1">
      <c r="A1492" s="30" t="inlineStr">
        <is>
          <t>ARE</t>
        </is>
      </c>
      <c r="B1492" s="30" t="inlineStr">
        <is>
          <t>Areal</t>
        </is>
      </c>
      <c r="C1492" s="30" t="n">
        <v>84327565</v>
      </c>
      <c r="D1492" s="30">
        <f>"19451038000370"</f>
        <v/>
      </c>
      <c r="E1492" s="30" t="inlineStr">
        <is>
          <t>RODOVIARIO CAMILO DOS SANTOS FILHO LTDA</t>
        </is>
      </c>
      <c r="F1492" s="30" t="inlineStr">
        <is>
          <t>2017</t>
        </is>
      </c>
      <c r="G1492" s="40" t="n">
        <v>0</v>
      </c>
    </row>
    <row r="1493" ht="12" customHeight="1">
      <c r="A1493" s="30" t="inlineStr">
        <is>
          <t>ARE</t>
        </is>
      </c>
      <c r="B1493" s="30" t="inlineStr">
        <is>
          <t>Areal</t>
        </is>
      </c>
      <c r="C1493" s="30" t="n">
        <v>84327565</v>
      </c>
      <c r="D1493" s="30">
        <f>"19451038000370"</f>
        <v/>
      </c>
      <c r="E1493" s="30" t="inlineStr">
        <is>
          <t>RODOVIARIO CAMILO DOS SANTOS FILHO LTDA</t>
        </is>
      </c>
      <c r="F1493" s="30" t="inlineStr">
        <is>
          <t>2018</t>
        </is>
      </c>
      <c r="G1493" s="40" t="n">
        <v>45.55</v>
      </c>
    </row>
    <row r="1494" ht="12" customHeight="1">
      <c r="A1494" s="30" t="inlineStr">
        <is>
          <t>ARE</t>
        </is>
      </c>
      <c r="B1494" s="30" t="inlineStr">
        <is>
          <t>Areal</t>
        </is>
      </c>
      <c r="C1494" s="30" t="n">
        <v>84327565</v>
      </c>
      <c r="D1494" s="30">
        <f>"19451038000370"</f>
        <v/>
      </c>
      <c r="E1494" s="30" t="inlineStr">
        <is>
          <t>RODOVIARIO CAMILO DOS SANTOS FILHO LTDA</t>
        </is>
      </c>
      <c r="F1494" s="30" t="inlineStr">
        <is>
          <t>2019</t>
        </is>
      </c>
      <c r="G1494" s="40" t="n">
        <v>0</v>
      </c>
    </row>
    <row r="1495" ht="12" customHeight="1">
      <c r="A1495" s="30" t="inlineStr">
        <is>
          <t>ARE</t>
        </is>
      </c>
      <c r="B1495" s="30" t="inlineStr">
        <is>
          <t>Areal</t>
        </is>
      </c>
      <c r="C1495" s="30" t="n">
        <v>84327565</v>
      </c>
      <c r="D1495" s="30">
        <f>"19451038000370"</f>
        <v/>
      </c>
      <c r="E1495" s="30" t="inlineStr">
        <is>
          <t>RODOVIARIO CAMILO DOS SANTOS FILHO LTDA</t>
        </is>
      </c>
      <c r="F1495" s="30" t="inlineStr">
        <is>
          <t>2020</t>
        </is>
      </c>
      <c r="G1495" s="40" t="n">
        <v>0</v>
      </c>
    </row>
    <row r="1496" ht="12" customHeight="1">
      <c r="A1496" s="30" t="inlineStr">
        <is>
          <t>ARE</t>
        </is>
      </c>
      <c r="B1496" s="30" t="inlineStr">
        <is>
          <t>Areal</t>
        </is>
      </c>
      <c r="C1496" s="30" t="n">
        <v>84327565</v>
      </c>
      <c r="D1496" s="30">
        <f>"19451038000370"</f>
        <v/>
      </c>
      <c r="E1496" s="30" t="inlineStr">
        <is>
          <t>RODOVIARIO CAMILO DOS SANTOS FILHO LTDA</t>
        </is>
      </c>
      <c r="F1496" s="30" t="inlineStr">
        <is>
          <t>2021</t>
        </is>
      </c>
      <c r="G1496" s="40" t="n">
        <v>0</v>
      </c>
    </row>
    <row r="1497" ht="12" customHeight="1">
      <c r="A1497" s="30" t="inlineStr">
        <is>
          <t>ARE</t>
        </is>
      </c>
      <c r="B1497" s="30" t="inlineStr">
        <is>
          <t>Areal</t>
        </is>
      </c>
      <c r="C1497" s="30" t="n">
        <v>84327565</v>
      </c>
      <c r="D1497" s="30">
        <f>"19451038000370"</f>
        <v/>
      </c>
      <c r="E1497" s="30" t="inlineStr">
        <is>
          <t>RODOVIARIO CAMILO DOS SANTOS FILHO LTDA</t>
        </is>
      </c>
      <c r="F1497" s="30" t="inlineStr">
        <is>
          <t>2022</t>
        </is>
      </c>
      <c r="G1497" s="40" t="n">
        <v>485.64</v>
      </c>
    </row>
    <row r="1498" ht="12" customHeight="1">
      <c r="A1498" s="30" t="inlineStr">
        <is>
          <t>ARE</t>
        </is>
      </c>
      <c r="B1498" s="30" t="inlineStr">
        <is>
          <t>Areal</t>
        </is>
      </c>
      <c r="C1498" s="30" t="n">
        <v>84327565</v>
      </c>
      <c r="D1498" s="30">
        <f>"19451038000370"</f>
        <v/>
      </c>
      <c r="E1498" s="30" t="inlineStr">
        <is>
          <t>RODOVIARIO CAMILO DOS SANTOS FILHO LTDA</t>
        </is>
      </c>
      <c r="F1498" s="30" t="inlineStr">
        <is>
          <t>2023</t>
        </is>
      </c>
      <c r="G1498" s="40" t="n">
        <v>386.2</v>
      </c>
    </row>
    <row r="1499" ht="12" customHeight="1">
      <c r="A1499" s="30" t="inlineStr">
        <is>
          <t>ARE</t>
        </is>
      </c>
      <c r="B1499" s="30" t="inlineStr">
        <is>
          <t>Areal</t>
        </is>
      </c>
      <c r="C1499" s="30" t="n">
        <v>84422681</v>
      </c>
      <c r="D1499" s="30">
        <f>"68654987000100"</f>
        <v/>
      </c>
      <c r="E1499" s="30" t="inlineStr">
        <is>
          <t>SATEC TERRAPLENAGEM E CONSTRUCAO LTDA</t>
        </is>
      </c>
      <c r="F1499" s="30" t="inlineStr">
        <is>
          <t>2017</t>
        </is>
      </c>
      <c r="G1499" s="40" t="n">
        <v>0</v>
      </c>
    </row>
    <row r="1500" ht="12" customHeight="1">
      <c r="A1500" s="30" t="inlineStr">
        <is>
          <t>ARE</t>
        </is>
      </c>
      <c r="B1500" s="30" t="inlineStr">
        <is>
          <t>Areal</t>
        </is>
      </c>
      <c r="C1500" s="30" t="n">
        <v>84422681</v>
      </c>
      <c r="D1500" s="30">
        <f>"68654987000100"</f>
        <v/>
      </c>
      <c r="E1500" s="30" t="inlineStr">
        <is>
          <t>SATEC TERRAPLENAGEM E CONSTRUCAO LTDA</t>
        </is>
      </c>
      <c r="F1500" s="30" t="inlineStr">
        <is>
          <t>2018</t>
        </is>
      </c>
      <c r="G1500" s="40" t="n">
        <v>0</v>
      </c>
    </row>
    <row r="1501" ht="12" customHeight="1">
      <c r="A1501" s="30" t="inlineStr">
        <is>
          <t>ARE</t>
        </is>
      </c>
      <c r="B1501" s="30" t="inlineStr">
        <is>
          <t>Areal</t>
        </is>
      </c>
      <c r="C1501" s="30" t="n">
        <v>84422681</v>
      </c>
      <c r="D1501" s="30">
        <f>"68654987000100"</f>
        <v/>
      </c>
      <c r="E1501" s="30" t="inlineStr">
        <is>
          <t>SATEC TERRAPLENAGEM E CONSTRUCAO LTDA</t>
        </is>
      </c>
      <c r="F1501" s="30" t="inlineStr">
        <is>
          <t>2019</t>
        </is>
      </c>
      <c r="G1501" s="40" t="n">
        <v>0</v>
      </c>
    </row>
    <row r="1502" ht="12" customHeight="1">
      <c r="A1502" s="30" t="inlineStr">
        <is>
          <t>ARE</t>
        </is>
      </c>
      <c r="B1502" s="30" t="inlineStr">
        <is>
          <t>Areal</t>
        </is>
      </c>
      <c r="C1502" s="30" t="n">
        <v>84422681</v>
      </c>
      <c r="D1502" s="30">
        <f>"68654987000100"</f>
        <v/>
      </c>
      <c r="E1502" s="30" t="inlineStr">
        <is>
          <t>SATEC TERRAPLENAGEM E CONSTRUCAO LTDA</t>
        </is>
      </c>
      <c r="F1502" s="30" t="inlineStr">
        <is>
          <t>2020</t>
        </is>
      </c>
      <c r="G1502" s="40" t="n">
        <v>0</v>
      </c>
    </row>
    <row r="1503" ht="12" customHeight="1">
      <c r="A1503" s="30" t="inlineStr">
        <is>
          <t>ARE</t>
        </is>
      </c>
      <c r="B1503" s="30" t="inlineStr">
        <is>
          <t>Areal</t>
        </is>
      </c>
      <c r="C1503" s="30" t="n">
        <v>84422681</v>
      </c>
      <c r="D1503" s="30">
        <f>"68654987000100"</f>
        <v/>
      </c>
      <c r="E1503" s="30" t="inlineStr">
        <is>
          <t>SATEC TERRAPLENAGEM E CONSTRUCAO LTDA</t>
        </is>
      </c>
      <c r="F1503" s="30" t="inlineStr">
        <is>
          <t>2021</t>
        </is>
      </c>
      <c r="G1503" s="40" t="n">
        <v>0</v>
      </c>
    </row>
    <row r="1504" ht="12" customHeight="1">
      <c r="A1504" s="30" t="inlineStr">
        <is>
          <t>ARE</t>
        </is>
      </c>
      <c r="B1504" s="30" t="inlineStr">
        <is>
          <t>Areal</t>
        </is>
      </c>
      <c r="C1504" s="30" t="n">
        <v>84494968</v>
      </c>
      <c r="D1504" s="30">
        <f>"01472702000130"</f>
        <v/>
      </c>
      <c r="E1504" s="30" t="inlineStr">
        <is>
          <t>C COMTELECOM SERVICOS LTDA ME</t>
        </is>
      </c>
      <c r="F1504" s="30" t="inlineStr">
        <is>
          <t>2020</t>
        </is>
      </c>
      <c r="G1504" s="40" t="n">
        <v>0</v>
      </c>
    </row>
    <row r="1505" ht="12" customHeight="1">
      <c r="A1505" s="30" t="inlineStr">
        <is>
          <t>ARE</t>
        </is>
      </c>
      <c r="B1505" s="30" t="inlineStr">
        <is>
          <t>Areal</t>
        </is>
      </c>
      <c r="C1505" s="30" t="n">
        <v>84494968</v>
      </c>
      <c r="D1505" s="30">
        <f>"01472702000130"</f>
        <v/>
      </c>
      <c r="E1505" s="30" t="inlineStr">
        <is>
          <t>C COMTELECOM SERVICOS LTDA ME</t>
        </is>
      </c>
      <c r="F1505" s="30" t="inlineStr">
        <is>
          <t>2021</t>
        </is>
      </c>
      <c r="G1505" s="40" t="n">
        <v>0</v>
      </c>
    </row>
    <row r="1506" ht="12" customHeight="1">
      <c r="A1506" s="30" t="inlineStr">
        <is>
          <t>ARE</t>
        </is>
      </c>
      <c r="B1506" s="30" t="inlineStr">
        <is>
          <t>Areal</t>
        </is>
      </c>
      <c r="C1506" s="30" t="n">
        <v>84494968</v>
      </c>
      <c r="D1506" s="30">
        <f>"01472702000130"</f>
        <v/>
      </c>
      <c r="E1506" s="30" t="inlineStr">
        <is>
          <t>C COMTELECOM SERVICOS LTDA ME</t>
        </is>
      </c>
      <c r="F1506" s="30" t="inlineStr">
        <is>
          <t>2022</t>
        </is>
      </c>
      <c r="G1506" s="40" t="n">
        <v>708484.22</v>
      </c>
    </row>
    <row r="1507" ht="12" customHeight="1">
      <c r="A1507" s="30" t="inlineStr">
        <is>
          <t>ARE</t>
        </is>
      </c>
      <c r="B1507" s="30" t="inlineStr">
        <is>
          <t>Areal</t>
        </is>
      </c>
      <c r="C1507" s="30" t="n">
        <v>84494968</v>
      </c>
      <c r="D1507" s="30">
        <f>"01472702000130"</f>
        <v/>
      </c>
      <c r="E1507" s="30" t="inlineStr">
        <is>
          <t>C COMTELECOM SERVICOS LTDA ME</t>
        </is>
      </c>
      <c r="F1507" s="30" t="inlineStr">
        <is>
          <t>2023</t>
        </is>
      </c>
      <c r="G1507" s="40" t="n">
        <v>208214.74</v>
      </c>
    </row>
    <row r="1508" ht="12" customHeight="1">
      <c r="A1508" s="30" t="inlineStr">
        <is>
          <t>ARE</t>
        </is>
      </c>
      <c r="B1508" s="30" t="inlineStr">
        <is>
          <t>Areal</t>
        </is>
      </c>
      <c r="C1508" s="30" t="n">
        <v>84510874</v>
      </c>
      <c r="D1508" s="30">
        <f>"40442949000166"</f>
        <v/>
      </c>
      <c r="E1508" s="30" t="inlineStr">
        <is>
          <t>TRANSPORTADORA XARA RIO EIRELI</t>
        </is>
      </c>
      <c r="F1508" s="30" t="inlineStr">
        <is>
          <t>2018</t>
        </is>
      </c>
      <c r="G1508" s="40" t="n">
        <v>0</v>
      </c>
    </row>
    <row r="1509" ht="12" customHeight="1">
      <c r="A1509" s="30" t="inlineStr">
        <is>
          <t>ARE</t>
        </is>
      </c>
      <c r="B1509" s="30" t="inlineStr">
        <is>
          <t>Areal</t>
        </is>
      </c>
      <c r="C1509" s="30" t="n">
        <v>84510874</v>
      </c>
      <c r="D1509" s="30">
        <f>"40442949000166"</f>
        <v/>
      </c>
      <c r="E1509" s="30" t="inlineStr">
        <is>
          <t>TRANSPORTADORA XARA RIO EIRELI</t>
        </is>
      </c>
      <c r="F1509" s="30" t="inlineStr">
        <is>
          <t>2019</t>
        </is>
      </c>
      <c r="G1509" s="40" t="n">
        <v>0</v>
      </c>
    </row>
    <row r="1510" ht="12" customHeight="1">
      <c r="A1510" s="30" t="inlineStr">
        <is>
          <t>ARE</t>
        </is>
      </c>
      <c r="B1510" s="30" t="inlineStr">
        <is>
          <t>Areal</t>
        </is>
      </c>
      <c r="C1510" s="30" t="n">
        <v>84510874</v>
      </c>
      <c r="D1510" s="30">
        <f>"40442949000166"</f>
        <v/>
      </c>
      <c r="E1510" s="30" t="inlineStr">
        <is>
          <t>TRANSPORTADORA XARA RIO EIRELI</t>
        </is>
      </c>
      <c r="F1510" s="30" t="inlineStr">
        <is>
          <t>2020</t>
        </is>
      </c>
      <c r="G1510" s="40" t="n">
        <v>107.16</v>
      </c>
    </row>
    <row r="1511" ht="12" customHeight="1">
      <c r="A1511" s="30" t="inlineStr">
        <is>
          <t>ARE</t>
        </is>
      </c>
      <c r="B1511" s="30" t="inlineStr">
        <is>
          <t>Areal</t>
        </is>
      </c>
      <c r="C1511" s="30" t="n">
        <v>84510874</v>
      </c>
      <c r="D1511" s="30">
        <f>"40442949000166"</f>
        <v/>
      </c>
      <c r="E1511" s="30" t="inlineStr">
        <is>
          <t>TRANSPORTADORA XARA RIO EIRELI</t>
        </is>
      </c>
      <c r="F1511" s="30" t="inlineStr">
        <is>
          <t>2021</t>
        </is>
      </c>
      <c r="G1511" s="40" t="n">
        <v>4431.69</v>
      </c>
    </row>
    <row r="1512" ht="12" customHeight="1">
      <c r="A1512" s="30" t="inlineStr">
        <is>
          <t>ARE</t>
        </is>
      </c>
      <c r="B1512" s="30" t="inlineStr">
        <is>
          <t>Areal</t>
        </is>
      </c>
      <c r="C1512" s="30" t="n">
        <v>84510874</v>
      </c>
      <c r="D1512" s="30">
        <f>"40442949000166"</f>
        <v/>
      </c>
      <c r="E1512" s="30" t="inlineStr">
        <is>
          <t>TRANSPORTADORA XARA RIO EIRELI</t>
        </is>
      </c>
      <c r="F1512" s="30" t="inlineStr">
        <is>
          <t>2022</t>
        </is>
      </c>
      <c r="G1512" s="40" t="n">
        <v>0</v>
      </c>
    </row>
    <row r="1513" ht="12" customHeight="1">
      <c r="A1513" s="30" t="inlineStr">
        <is>
          <t>ARE</t>
        </is>
      </c>
      <c r="B1513" s="30" t="inlineStr">
        <is>
          <t>Areal</t>
        </is>
      </c>
      <c r="C1513" s="30" t="n">
        <v>84510874</v>
      </c>
      <c r="D1513" s="30">
        <f>"40442949000166"</f>
        <v/>
      </c>
      <c r="E1513" s="30" t="inlineStr">
        <is>
          <t>TRANSPORTADORA XARA RIO EIRELI</t>
        </is>
      </c>
      <c r="F1513" s="30" t="inlineStr">
        <is>
          <t>2023</t>
        </is>
      </c>
      <c r="G1513" s="40" t="n">
        <v>0</v>
      </c>
    </row>
    <row r="1514" ht="12" customHeight="1">
      <c r="A1514" s="30" t="inlineStr">
        <is>
          <t>ARE</t>
        </is>
      </c>
      <c r="B1514" s="30" t="inlineStr">
        <is>
          <t>Areal</t>
        </is>
      </c>
      <c r="C1514" s="30" t="n">
        <v>84702021</v>
      </c>
      <c r="D1514" s="30">
        <f>"43035146002048"</f>
        <v/>
      </c>
      <c r="E1514" s="30" t="inlineStr">
        <is>
          <t>PROTEGE SOCIEDADE ANONIMA PROTECAO E TRANSPORTE DE VALORES</t>
        </is>
      </c>
      <c r="F1514" s="30" t="inlineStr">
        <is>
          <t>2017</t>
        </is>
      </c>
      <c r="G1514" s="40" t="n">
        <v>119566.85</v>
      </c>
    </row>
    <row r="1515" ht="12" customHeight="1">
      <c r="A1515" s="30" t="inlineStr">
        <is>
          <t>ARE</t>
        </is>
      </c>
      <c r="B1515" s="30" t="inlineStr">
        <is>
          <t>Areal</t>
        </is>
      </c>
      <c r="C1515" s="30" t="n">
        <v>84702021</v>
      </c>
      <c r="D1515" s="30">
        <f>"43035146002048"</f>
        <v/>
      </c>
      <c r="E1515" s="30" t="inlineStr">
        <is>
          <t>PROTEGE SOCIEDADE ANONIMA PROTECAO E TRANSPORTE DE VALORES</t>
        </is>
      </c>
      <c r="F1515" s="30" t="inlineStr">
        <is>
          <t>2018</t>
        </is>
      </c>
      <c r="G1515" s="40" t="n">
        <v>139928.9</v>
      </c>
    </row>
    <row r="1516" ht="12" customHeight="1">
      <c r="A1516" s="30" t="inlineStr">
        <is>
          <t>ARE</t>
        </is>
      </c>
      <c r="B1516" s="30" t="inlineStr">
        <is>
          <t>Areal</t>
        </is>
      </c>
      <c r="C1516" s="30" t="n">
        <v>84702021</v>
      </c>
      <c r="D1516" s="30">
        <f>"43035146002048"</f>
        <v/>
      </c>
      <c r="E1516" s="30" t="inlineStr">
        <is>
          <t>PROTEGE SOCIEDADE ANONIMA PROTECAO E TRANSPORTE DE VALORES</t>
        </is>
      </c>
      <c r="F1516" s="30" t="inlineStr">
        <is>
          <t>2019</t>
        </is>
      </c>
      <c r="G1516" s="40" t="n">
        <v>144782.95</v>
      </c>
    </row>
    <row r="1517" ht="12" customHeight="1">
      <c r="A1517" s="30" t="inlineStr">
        <is>
          <t>ARE</t>
        </is>
      </c>
      <c r="B1517" s="30" t="inlineStr">
        <is>
          <t>Areal</t>
        </is>
      </c>
      <c r="C1517" s="30" t="n">
        <v>84702021</v>
      </c>
      <c r="D1517" s="30">
        <f>"43035146002048"</f>
        <v/>
      </c>
      <c r="E1517" s="30" t="inlineStr">
        <is>
          <t>PROTEGE SOCIEDADE ANONIMA PROTECAO E TRANSPORTE DE VALORES</t>
        </is>
      </c>
      <c r="F1517" s="30" t="inlineStr">
        <is>
          <t>2020</t>
        </is>
      </c>
      <c r="G1517" s="40" t="n">
        <v>142857.99</v>
      </c>
    </row>
    <row r="1518" ht="12" customHeight="1">
      <c r="A1518" s="30" t="inlineStr">
        <is>
          <t>ARE</t>
        </is>
      </c>
      <c r="B1518" s="30" t="inlineStr">
        <is>
          <t>Areal</t>
        </is>
      </c>
      <c r="C1518" s="30" t="n">
        <v>84702021</v>
      </c>
      <c r="D1518" s="30">
        <f>"43035146002048"</f>
        <v/>
      </c>
      <c r="E1518" s="30" t="inlineStr">
        <is>
          <t>PROTEGE SOCIEDADE ANONIMA PROTECAO E TRANSPORTE DE VALORES</t>
        </is>
      </c>
      <c r="F1518" s="30" t="inlineStr">
        <is>
          <t>2021</t>
        </is>
      </c>
      <c r="G1518" s="40" t="n">
        <v>124851.08</v>
      </c>
    </row>
    <row r="1519" ht="12" customHeight="1">
      <c r="A1519" s="30" t="inlineStr">
        <is>
          <t>ARE</t>
        </is>
      </c>
      <c r="B1519" s="30" t="inlineStr">
        <is>
          <t>Areal</t>
        </is>
      </c>
      <c r="C1519" s="30" t="n">
        <v>84702021</v>
      </c>
      <c r="D1519" s="30">
        <f>"43035146002048"</f>
        <v/>
      </c>
      <c r="E1519" s="30" t="inlineStr">
        <is>
          <t>PROTEGE SOCIEDADE ANONIMA PROTECAO E TRANSPORTE DE VALORES</t>
        </is>
      </c>
      <c r="F1519" s="30" t="inlineStr">
        <is>
          <t>2022</t>
        </is>
      </c>
      <c r="G1519" s="40" t="n">
        <v>91681.41</v>
      </c>
    </row>
    <row r="1520" ht="12" customHeight="1">
      <c r="A1520" s="30" t="inlineStr">
        <is>
          <t>ARE</t>
        </is>
      </c>
      <c r="B1520" s="30" t="inlineStr">
        <is>
          <t>Areal</t>
        </is>
      </c>
      <c r="C1520" s="30" t="n">
        <v>84702021</v>
      </c>
      <c r="D1520" s="30">
        <f>"43035146002048"</f>
        <v/>
      </c>
      <c r="E1520" s="30" t="inlineStr">
        <is>
          <t>PROTEGE SOCIEDADE ANONIMA PROTECAO E TRANSPORTE DE VALORES</t>
        </is>
      </c>
      <c r="F1520" s="30" t="inlineStr">
        <is>
          <t>2023</t>
        </is>
      </c>
      <c r="G1520" s="40" t="n">
        <v>0</v>
      </c>
    </row>
    <row r="1521" ht="12" customHeight="1">
      <c r="A1521" s="30" t="inlineStr">
        <is>
          <t>ARE</t>
        </is>
      </c>
      <c r="B1521" s="30" t="inlineStr">
        <is>
          <t>Areal</t>
        </is>
      </c>
      <c r="C1521" s="30" t="n">
        <v>85071424</v>
      </c>
      <c r="D1521" s="30">
        <f>"73222150000113"</f>
        <v/>
      </c>
      <c r="E1521" s="30" t="inlineStr">
        <is>
          <t>C W I POUSADA LTDA</t>
        </is>
      </c>
      <c r="F1521" s="30" t="inlineStr">
        <is>
          <t>2017</t>
        </is>
      </c>
      <c r="G1521" s="40" t="n">
        <v>0</v>
      </c>
    </row>
    <row r="1522" ht="12" customHeight="1">
      <c r="A1522" s="30" t="inlineStr">
        <is>
          <t>ARE</t>
        </is>
      </c>
      <c r="B1522" s="30" t="inlineStr">
        <is>
          <t>Areal</t>
        </is>
      </c>
      <c r="C1522" s="30" t="n">
        <v>85071424</v>
      </c>
      <c r="D1522" s="30">
        <f>"73222150000113"</f>
        <v/>
      </c>
      <c r="E1522" s="30" t="inlineStr">
        <is>
          <t>C W I POUSADA LTDA</t>
        </is>
      </c>
      <c r="F1522" s="30" t="inlineStr">
        <is>
          <t>2018</t>
        </is>
      </c>
      <c r="G1522" s="40" t="n">
        <v>0</v>
      </c>
    </row>
    <row r="1523" ht="12" customHeight="1">
      <c r="A1523" s="30" t="inlineStr">
        <is>
          <t>ARE</t>
        </is>
      </c>
      <c r="B1523" s="30" t="inlineStr">
        <is>
          <t>Areal</t>
        </is>
      </c>
      <c r="C1523" s="30" t="n">
        <v>85071424</v>
      </c>
      <c r="D1523" s="30">
        <f>"73222150000113"</f>
        <v/>
      </c>
      <c r="E1523" s="30" t="inlineStr">
        <is>
          <t>C W I POUSADA LTDA</t>
        </is>
      </c>
      <c r="F1523" s="30" t="inlineStr">
        <is>
          <t>2019</t>
        </is>
      </c>
      <c r="G1523" s="40" t="n">
        <v>0</v>
      </c>
    </row>
    <row r="1524" ht="12" customHeight="1">
      <c r="A1524" s="30" t="inlineStr">
        <is>
          <t>ARE</t>
        </is>
      </c>
      <c r="B1524" s="30" t="inlineStr">
        <is>
          <t>Areal</t>
        </is>
      </c>
      <c r="C1524" s="30" t="n">
        <v>85071491</v>
      </c>
      <c r="D1524" s="30">
        <f>"39754031000173"</f>
        <v/>
      </c>
      <c r="E1524" s="30" t="inlineStr">
        <is>
          <t>ELUMAX MATERIAIS ELETRICOS HIDRAULICOS E DE CONSTRUCAO LTDA ME</t>
        </is>
      </c>
      <c r="F1524" s="30" t="inlineStr">
        <is>
          <t>2017</t>
        </is>
      </c>
      <c r="G1524" s="40" t="n">
        <v>0</v>
      </c>
    </row>
    <row r="1525" ht="12" customHeight="1">
      <c r="A1525" s="30" t="inlineStr">
        <is>
          <t>ARE</t>
        </is>
      </c>
      <c r="B1525" s="30" t="inlineStr">
        <is>
          <t>Areal</t>
        </is>
      </c>
      <c r="C1525" s="30" t="n">
        <v>85071491</v>
      </c>
      <c r="D1525" s="30">
        <f>"39754031000173"</f>
        <v/>
      </c>
      <c r="E1525" s="30" t="inlineStr">
        <is>
          <t>ELUMAX MATERIAIS ELETRICOS HIDRAULICOS E DE CONSTRUCAO LTDA ME</t>
        </is>
      </c>
      <c r="F1525" s="30" t="inlineStr">
        <is>
          <t>2018</t>
        </is>
      </c>
      <c r="G1525" s="40" t="n">
        <v>1543.81</v>
      </c>
    </row>
    <row r="1526" ht="12" customHeight="1">
      <c r="A1526" s="30" t="inlineStr">
        <is>
          <t>ARE</t>
        </is>
      </c>
      <c r="B1526" s="30" t="inlineStr">
        <is>
          <t>Areal</t>
        </is>
      </c>
      <c r="C1526" s="30" t="n">
        <v>85071491</v>
      </c>
      <c r="D1526" s="30">
        <f>"39754031000173"</f>
        <v/>
      </c>
      <c r="E1526" s="30" t="inlineStr">
        <is>
          <t>ELUMAX MATERIAIS ELETRICOS HIDRAULICOS E DE CONSTRUCAO LTDA ME</t>
        </is>
      </c>
      <c r="F1526" s="30" t="inlineStr">
        <is>
          <t>2019</t>
        </is>
      </c>
      <c r="G1526" s="40" t="n">
        <v>0</v>
      </c>
    </row>
    <row r="1527" ht="12" customHeight="1">
      <c r="A1527" s="30" t="inlineStr">
        <is>
          <t>ARE</t>
        </is>
      </c>
      <c r="B1527" s="30" t="inlineStr">
        <is>
          <t>Areal</t>
        </is>
      </c>
      <c r="C1527" s="30" t="n">
        <v>85071491</v>
      </c>
      <c r="D1527" s="30">
        <f>"39754031000173"</f>
        <v/>
      </c>
      <c r="E1527" s="30" t="inlineStr">
        <is>
          <t>ELUMAX MATERIAIS ELETRICOS HIDRAULICOS E DE CONSTRUCAO LTDA ME</t>
        </is>
      </c>
      <c r="F1527" s="30" t="inlineStr">
        <is>
          <t>2020</t>
        </is>
      </c>
      <c r="G1527" s="40" t="n">
        <v>69048.53999999999</v>
      </c>
    </row>
    <row r="1528" ht="12" customHeight="1">
      <c r="A1528" s="30" t="inlineStr">
        <is>
          <t>ARE</t>
        </is>
      </c>
      <c r="B1528" s="30" t="inlineStr">
        <is>
          <t>Areal</t>
        </is>
      </c>
      <c r="C1528" s="30" t="n">
        <v>85071491</v>
      </c>
      <c r="D1528" s="30">
        <f>"39754031000173"</f>
        <v/>
      </c>
      <c r="E1528" s="30" t="inlineStr">
        <is>
          <t>ELUMAX MATERIAIS ELETRICOS HIDRAULICOS E DE CONSTRUCAO LTDA ME</t>
        </is>
      </c>
      <c r="F1528" s="30" t="inlineStr">
        <is>
          <t>2021</t>
        </is>
      </c>
      <c r="G1528" s="40" t="n">
        <v>33059.24</v>
      </c>
    </row>
    <row r="1529" ht="12" customHeight="1">
      <c r="A1529" s="30" t="inlineStr">
        <is>
          <t>ARE</t>
        </is>
      </c>
      <c r="B1529" s="30" t="inlineStr">
        <is>
          <t>Areal</t>
        </is>
      </c>
      <c r="C1529" s="30" t="n">
        <v>85071491</v>
      </c>
      <c r="D1529" s="30">
        <f>"39754031000173"</f>
        <v/>
      </c>
      <c r="E1529" s="30" t="inlineStr">
        <is>
          <t>ELUMAX MATERIAIS ELETRICOS HIDRAULICOS E DE CONSTRUCAO LTDA ME</t>
        </is>
      </c>
      <c r="F1529" s="30" t="inlineStr">
        <is>
          <t>2022</t>
        </is>
      </c>
      <c r="G1529" s="40" t="n">
        <v>46467.34</v>
      </c>
    </row>
    <row r="1530" ht="12" customHeight="1">
      <c r="A1530" s="30" t="inlineStr">
        <is>
          <t>ARE</t>
        </is>
      </c>
      <c r="B1530" s="30" t="inlineStr">
        <is>
          <t>Areal</t>
        </is>
      </c>
      <c r="C1530" s="30" t="n">
        <v>85071491</v>
      </c>
      <c r="D1530" s="30">
        <f>"39754031000173"</f>
        <v/>
      </c>
      <c r="E1530" s="30" t="inlineStr">
        <is>
          <t>ELUMAX MATERIAIS ELETRICOS HIDRAULICOS E DE CONSTRUCAO LTDA ME</t>
        </is>
      </c>
      <c r="F1530" s="30" t="inlineStr">
        <is>
          <t>2023</t>
        </is>
      </c>
      <c r="G1530" s="40" t="n">
        <v>0</v>
      </c>
    </row>
    <row r="1531" ht="12" customHeight="1">
      <c r="A1531" s="30" t="inlineStr">
        <is>
          <t>ARE</t>
        </is>
      </c>
      <c r="B1531" s="30" t="inlineStr">
        <is>
          <t>Areal</t>
        </is>
      </c>
      <c r="C1531" s="30" t="n">
        <v>85071742</v>
      </c>
      <c r="D1531" s="30">
        <f>"00165085000168"</f>
        <v/>
      </c>
      <c r="E1531" s="30" t="inlineStr">
        <is>
          <t>F.A.S KAPPLER COMÉRCIO EIRELI</t>
        </is>
      </c>
      <c r="F1531" s="30" t="inlineStr">
        <is>
          <t>2017</t>
        </is>
      </c>
      <c r="G1531" s="40" t="n">
        <v>111741.01</v>
      </c>
    </row>
    <row r="1532" ht="12" customHeight="1">
      <c r="A1532" s="30" t="inlineStr">
        <is>
          <t>ARE</t>
        </is>
      </c>
      <c r="B1532" s="30" t="inlineStr">
        <is>
          <t>Areal</t>
        </is>
      </c>
      <c r="C1532" s="30" t="n">
        <v>85071742</v>
      </c>
      <c r="D1532" s="30">
        <f>"00165085000168"</f>
        <v/>
      </c>
      <c r="E1532" s="30" t="inlineStr">
        <is>
          <t>F.A.S KAPPLER COMÉRCIO EIRELI</t>
        </is>
      </c>
      <c r="F1532" s="30" t="inlineStr">
        <is>
          <t>2018</t>
        </is>
      </c>
      <c r="G1532" s="40" t="n">
        <v>0</v>
      </c>
    </row>
    <row r="1533" ht="12" customHeight="1">
      <c r="A1533" s="30" t="inlineStr">
        <is>
          <t>ARE</t>
        </is>
      </c>
      <c r="B1533" s="30" t="inlineStr">
        <is>
          <t>Areal</t>
        </is>
      </c>
      <c r="C1533" s="30" t="n">
        <v>85071742</v>
      </c>
      <c r="D1533" s="30">
        <f>"00165085000168"</f>
        <v/>
      </c>
      <c r="E1533" s="30" t="inlineStr">
        <is>
          <t>F.A.S KAPPLER COMÉRCIO EIRELI</t>
        </is>
      </c>
      <c r="F1533" s="30" t="inlineStr">
        <is>
          <t>2019</t>
        </is>
      </c>
      <c r="G1533" s="40" t="n">
        <v>0</v>
      </c>
    </row>
    <row r="1534" ht="12" customHeight="1">
      <c r="A1534" s="30" t="inlineStr">
        <is>
          <t>ARE</t>
        </is>
      </c>
      <c r="B1534" s="30" t="inlineStr">
        <is>
          <t>Areal</t>
        </is>
      </c>
      <c r="C1534" s="30" t="n">
        <v>85071742</v>
      </c>
      <c r="D1534" s="30">
        <f>"00165085000168"</f>
        <v/>
      </c>
      <c r="E1534" s="30" t="inlineStr">
        <is>
          <t>F.A.S KAPPLER COMÉRCIO EIRELI</t>
        </is>
      </c>
      <c r="F1534" s="30" t="inlineStr">
        <is>
          <t>2020</t>
        </is>
      </c>
      <c r="G1534" s="40" t="n">
        <v>0</v>
      </c>
    </row>
    <row r="1535" ht="12" customHeight="1">
      <c r="A1535" s="30" t="inlineStr">
        <is>
          <t>ARE</t>
        </is>
      </c>
      <c r="B1535" s="30" t="inlineStr">
        <is>
          <t>Areal</t>
        </is>
      </c>
      <c r="C1535" s="30" t="n">
        <v>85072188</v>
      </c>
      <c r="D1535" s="30">
        <f>"01083133000131"</f>
        <v/>
      </c>
      <c r="E1535" s="30" t="inlineStr">
        <is>
          <t>AREAL - SAT ELETROMOVEIS LTDA ME</t>
        </is>
      </c>
      <c r="F1535" s="30" t="inlineStr">
        <is>
          <t>2017</t>
        </is>
      </c>
      <c r="G1535" s="40" t="n">
        <v>0</v>
      </c>
    </row>
    <row r="1536" ht="12" customHeight="1">
      <c r="A1536" s="30" t="inlineStr">
        <is>
          <t>ARE</t>
        </is>
      </c>
      <c r="B1536" s="30" t="inlineStr">
        <is>
          <t>Areal</t>
        </is>
      </c>
      <c r="C1536" s="30" t="n">
        <v>85072188</v>
      </c>
      <c r="D1536" s="30">
        <f>"01083133000131"</f>
        <v/>
      </c>
      <c r="E1536" s="30" t="inlineStr">
        <is>
          <t>AREAL - SAT ELETROMOVEIS LTDA ME</t>
        </is>
      </c>
      <c r="F1536" s="30" t="inlineStr">
        <is>
          <t>2018</t>
        </is>
      </c>
      <c r="G1536" s="40" t="n">
        <v>0</v>
      </c>
    </row>
    <row r="1537" ht="12" customHeight="1">
      <c r="A1537" s="30" t="inlineStr">
        <is>
          <t>ARE</t>
        </is>
      </c>
      <c r="B1537" s="30" t="inlineStr">
        <is>
          <t>Areal</t>
        </is>
      </c>
      <c r="C1537" s="30" t="n">
        <v>85072188</v>
      </c>
      <c r="D1537" s="30">
        <f>"01083133000131"</f>
        <v/>
      </c>
      <c r="E1537" s="30" t="inlineStr">
        <is>
          <t>AREAL - SAT ELETROMOVEIS LTDA ME</t>
        </is>
      </c>
      <c r="F1537" s="30" t="inlineStr">
        <is>
          <t>2019</t>
        </is>
      </c>
      <c r="G1537" s="40" t="n">
        <v>0</v>
      </c>
    </row>
    <row r="1538" ht="12" customHeight="1">
      <c r="A1538" s="30" t="inlineStr">
        <is>
          <t>ARE</t>
        </is>
      </c>
      <c r="B1538" s="30" t="inlineStr">
        <is>
          <t>Areal</t>
        </is>
      </c>
      <c r="C1538" s="30" t="n">
        <v>85072188</v>
      </c>
      <c r="D1538" s="30">
        <f>"01083133000131"</f>
        <v/>
      </c>
      <c r="E1538" s="30" t="inlineStr">
        <is>
          <t>AREAL - SAT ELETROMOVEIS LTDA ME</t>
        </is>
      </c>
      <c r="F1538" s="30" t="inlineStr">
        <is>
          <t>2020</t>
        </is>
      </c>
      <c r="G1538" s="40" t="n">
        <v>0</v>
      </c>
    </row>
    <row r="1539" ht="12" customHeight="1">
      <c r="A1539" s="30" t="inlineStr">
        <is>
          <t>ARE</t>
        </is>
      </c>
      <c r="B1539" s="30" t="inlineStr">
        <is>
          <t>Areal</t>
        </is>
      </c>
      <c r="C1539" s="30" t="n">
        <v>85072188</v>
      </c>
      <c r="D1539" s="30">
        <f>"01083133000131"</f>
        <v/>
      </c>
      <c r="E1539" s="30" t="inlineStr">
        <is>
          <t>AREAL - SAT ELETROMOVEIS LTDA ME</t>
        </is>
      </c>
      <c r="F1539" s="30" t="inlineStr">
        <is>
          <t>2021</t>
        </is>
      </c>
      <c r="G1539" s="40" t="n">
        <v>0</v>
      </c>
    </row>
    <row r="1540" ht="12" customHeight="1">
      <c r="A1540" s="30" t="inlineStr">
        <is>
          <t>ARE</t>
        </is>
      </c>
      <c r="B1540" s="30" t="inlineStr">
        <is>
          <t>Areal</t>
        </is>
      </c>
      <c r="C1540" s="30" t="n">
        <v>85152785</v>
      </c>
      <c r="D1540" s="30">
        <f>"01370655000114"</f>
        <v/>
      </c>
      <c r="E1540" s="30" t="inlineStr">
        <is>
          <t>VALE DAS BATATAS ALIMENTOS LTDA</t>
        </is>
      </c>
      <c r="F1540" s="30" t="inlineStr">
        <is>
          <t>2017</t>
        </is>
      </c>
      <c r="G1540" s="40" t="n">
        <v>0</v>
      </c>
    </row>
    <row r="1541" ht="12" customHeight="1">
      <c r="A1541" s="30" t="inlineStr">
        <is>
          <t>ARE</t>
        </is>
      </c>
      <c r="B1541" s="30" t="inlineStr">
        <is>
          <t>Areal</t>
        </is>
      </c>
      <c r="C1541" s="30" t="n">
        <v>85152785</v>
      </c>
      <c r="D1541" s="30">
        <f>"01370655000114"</f>
        <v/>
      </c>
      <c r="E1541" s="30" t="inlineStr">
        <is>
          <t>VALE DAS BATATAS ALIMENTOS LTDA</t>
        </is>
      </c>
      <c r="F1541" s="30" t="inlineStr">
        <is>
          <t>2018</t>
        </is>
      </c>
      <c r="G1541" s="40" t="n">
        <v>0</v>
      </c>
    </row>
    <row r="1542" ht="12" customHeight="1">
      <c r="A1542" s="30" t="inlineStr">
        <is>
          <t>ARE</t>
        </is>
      </c>
      <c r="B1542" s="30" t="inlineStr">
        <is>
          <t>Areal</t>
        </is>
      </c>
      <c r="C1542" s="30" t="n">
        <v>85152785</v>
      </c>
      <c r="D1542" s="30">
        <f>"01370655000114"</f>
        <v/>
      </c>
      <c r="E1542" s="30" t="inlineStr">
        <is>
          <t>VALE DAS BATATAS ALIMENTOS LTDA</t>
        </is>
      </c>
      <c r="F1542" s="30" t="inlineStr">
        <is>
          <t>2019</t>
        </is>
      </c>
      <c r="G1542" s="40" t="n">
        <v>0</v>
      </c>
    </row>
    <row r="1543" ht="12" customHeight="1">
      <c r="A1543" s="30" t="inlineStr">
        <is>
          <t>ARE</t>
        </is>
      </c>
      <c r="B1543" s="30" t="inlineStr">
        <is>
          <t>Areal</t>
        </is>
      </c>
      <c r="C1543" s="30" t="n">
        <v>85152785</v>
      </c>
      <c r="D1543" s="30">
        <f>"01370655000114"</f>
        <v/>
      </c>
      <c r="E1543" s="30" t="inlineStr">
        <is>
          <t>VALE DAS BATATAS ALIMENTOS LTDA</t>
        </is>
      </c>
      <c r="F1543" s="30" t="inlineStr">
        <is>
          <t>2020</t>
        </is>
      </c>
      <c r="G1543" s="40" t="n">
        <v>102478.76</v>
      </c>
    </row>
    <row r="1544" ht="12" customHeight="1">
      <c r="A1544" s="30" t="inlineStr">
        <is>
          <t>ARE</t>
        </is>
      </c>
      <c r="B1544" s="30" t="inlineStr">
        <is>
          <t>Areal</t>
        </is>
      </c>
      <c r="C1544" s="30" t="n">
        <v>85152785</v>
      </c>
      <c r="D1544" s="30">
        <f>"01370655000114"</f>
        <v/>
      </c>
      <c r="E1544" s="30" t="inlineStr">
        <is>
          <t>VALE DAS BATATAS ALIMENTOS LTDA</t>
        </is>
      </c>
      <c r="F1544" s="30" t="inlineStr">
        <is>
          <t>2021</t>
        </is>
      </c>
      <c r="G1544" s="40" t="n">
        <v>255942.79</v>
      </c>
    </row>
    <row r="1545" ht="12" customHeight="1">
      <c r="A1545" s="30" t="inlineStr">
        <is>
          <t>ARE</t>
        </is>
      </c>
      <c r="B1545" s="30" t="inlineStr">
        <is>
          <t>Areal</t>
        </is>
      </c>
      <c r="C1545" s="30" t="n">
        <v>85152785</v>
      </c>
      <c r="D1545" s="30">
        <f>"01370655000114"</f>
        <v/>
      </c>
      <c r="E1545" s="30" t="inlineStr">
        <is>
          <t>VALE DAS BATATAS ALIMENTOS LTDA</t>
        </is>
      </c>
      <c r="F1545" s="30" t="inlineStr">
        <is>
          <t>2022</t>
        </is>
      </c>
      <c r="G1545" s="40" t="n">
        <v>252338.49</v>
      </c>
    </row>
    <row r="1546" ht="12" customHeight="1">
      <c r="A1546" s="30" t="inlineStr">
        <is>
          <t>ARE</t>
        </is>
      </c>
      <c r="B1546" s="30" t="inlineStr">
        <is>
          <t>Areal</t>
        </is>
      </c>
      <c r="C1546" s="30" t="n">
        <v>85152785</v>
      </c>
      <c r="D1546" s="30">
        <f>"01370655000114"</f>
        <v/>
      </c>
      <c r="E1546" s="30" t="inlineStr">
        <is>
          <t>VALE DAS BATATAS ALIMENTOS LTDA</t>
        </is>
      </c>
      <c r="F1546" s="30" t="inlineStr">
        <is>
          <t>2023</t>
        </is>
      </c>
      <c r="G1546" s="40" t="n">
        <v>586417.5600000001</v>
      </c>
    </row>
    <row r="1547" ht="12" customHeight="1">
      <c r="A1547" s="30" t="inlineStr">
        <is>
          <t>ARE</t>
        </is>
      </c>
      <c r="B1547" s="30" t="inlineStr">
        <is>
          <t>Areal</t>
        </is>
      </c>
      <c r="C1547" s="30" t="n">
        <v>85153668</v>
      </c>
      <c r="D1547" s="30">
        <f>"03328332000198"</f>
        <v/>
      </c>
      <c r="E1547" s="30" t="inlineStr">
        <is>
          <t>CONCRETAO MATERIIAS DE CONSTRUCAO LTDA ME</t>
        </is>
      </c>
      <c r="F1547" s="30" t="inlineStr">
        <is>
          <t>2017</t>
        </is>
      </c>
      <c r="G1547" s="40" t="n">
        <v>0</v>
      </c>
    </row>
    <row r="1548" ht="12" customHeight="1">
      <c r="A1548" s="30" t="inlineStr">
        <is>
          <t>ARE</t>
        </is>
      </c>
      <c r="B1548" s="30" t="inlineStr">
        <is>
          <t>Areal</t>
        </is>
      </c>
      <c r="C1548" s="30" t="n">
        <v>85153668</v>
      </c>
      <c r="D1548" s="30">
        <f>"03328332000198"</f>
        <v/>
      </c>
      <c r="E1548" s="30" t="inlineStr">
        <is>
          <t>CONCRETAO MATERIIAS DE CONSTRUCAO LTDA ME</t>
        </is>
      </c>
      <c r="F1548" s="30" t="inlineStr">
        <is>
          <t>2018</t>
        </is>
      </c>
      <c r="G1548" s="40" t="n">
        <v>0</v>
      </c>
    </row>
    <row r="1549" ht="12" customHeight="1">
      <c r="A1549" s="30" t="inlineStr">
        <is>
          <t>ARE</t>
        </is>
      </c>
      <c r="B1549" s="30" t="inlineStr">
        <is>
          <t>Areal</t>
        </is>
      </c>
      <c r="C1549" s="30" t="n">
        <v>85153668</v>
      </c>
      <c r="D1549" s="30">
        <f>"03328332000198"</f>
        <v/>
      </c>
      <c r="E1549" s="30" t="inlineStr">
        <is>
          <t>CONCRETAO MATERIIAS DE CONSTRUCAO LTDA ME</t>
        </is>
      </c>
      <c r="F1549" s="30" t="inlineStr">
        <is>
          <t>2019</t>
        </is>
      </c>
      <c r="G1549" s="40" t="n">
        <v>0</v>
      </c>
    </row>
    <row r="1550" ht="12" customHeight="1">
      <c r="A1550" s="30" t="inlineStr">
        <is>
          <t>ARE</t>
        </is>
      </c>
      <c r="B1550" s="30" t="inlineStr">
        <is>
          <t>Areal</t>
        </is>
      </c>
      <c r="C1550" s="30" t="n">
        <v>85153668</v>
      </c>
      <c r="D1550" s="30">
        <f>"03328332000198"</f>
        <v/>
      </c>
      <c r="E1550" s="30" t="inlineStr">
        <is>
          <t>CONCRETAO MATERIIAS DE CONSTRUCAO LTDA ME</t>
        </is>
      </c>
      <c r="F1550" s="30" t="inlineStr">
        <is>
          <t>2020</t>
        </is>
      </c>
      <c r="G1550" s="40" t="n">
        <v>0</v>
      </c>
    </row>
    <row r="1551" ht="12" customHeight="1">
      <c r="A1551" s="30" t="inlineStr">
        <is>
          <t>ARE</t>
        </is>
      </c>
      <c r="B1551" s="30" t="inlineStr">
        <is>
          <t>Areal</t>
        </is>
      </c>
      <c r="C1551" s="30" t="n">
        <v>85153846</v>
      </c>
      <c r="D1551" s="30">
        <f>"02728331000178"</f>
        <v/>
      </c>
      <c r="E1551" s="30" t="inlineStr">
        <is>
          <t>STAMP COR INDUSTRIA E COMERCIO DE PRODUTOS SERIGRAFICOS LTDA ME</t>
        </is>
      </c>
      <c r="F1551" s="30" t="inlineStr">
        <is>
          <t>2019</t>
        </is>
      </c>
      <c r="G1551" s="40" t="n">
        <v>0</v>
      </c>
    </row>
    <row r="1552" ht="12" customHeight="1">
      <c r="A1552" s="30" t="inlineStr">
        <is>
          <t>ARE</t>
        </is>
      </c>
      <c r="B1552" s="30" t="inlineStr">
        <is>
          <t>Areal</t>
        </is>
      </c>
      <c r="C1552" s="30" t="n">
        <v>85153846</v>
      </c>
      <c r="D1552" s="30">
        <f>"02728331000178"</f>
        <v/>
      </c>
      <c r="E1552" s="30" t="inlineStr">
        <is>
          <t>STAMP COR INDUSTRIA E COMERCIO DE PRODUTOS SERIGRAFICOS LTDA ME</t>
        </is>
      </c>
      <c r="F1552" s="30" t="inlineStr">
        <is>
          <t>2020</t>
        </is>
      </c>
      <c r="G1552" s="40" t="n">
        <v>0</v>
      </c>
    </row>
    <row r="1553" ht="12" customHeight="1">
      <c r="A1553" s="30" t="inlineStr">
        <is>
          <t>ARE</t>
        </is>
      </c>
      <c r="B1553" s="30" t="inlineStr">
        <is>
          <t>Areal</t>
        </is>
      </c>
      <c r="C1553" s="30" t="n">
        <v>85153846</v>
      </c>
      <c r="D1553" s="30">
        <f>"02728331000178"</f>
        <v/>
      </c>
      <c r="E1553" s="30" t="inlineStr">
        <is>
          <t>STAMP COR INDUSTRIA E COMERCIO DE PRODUTOS SERIGRAFICOS LTDA ME</t>
        </is>
      </c>
      <c r="F1553" s="30" t="inlineStr">
        <is>
          <t>2021</t>
        </is>
      </c>
      <c r="G1553" s="40" t="n">
        <v>245998.35</v>
      </c>
    </row>
    <row r="1554" ht="12" customHeight="1">
      <c r="A1554" s="30" t="inlineStr">
        <is>
          <t>ARE</t>
        </is>
      </c>
      <c r="B1554" s="30" t="inlineStr">
        <is>
          <t>Areal</t>
        </is>
      </c>
      <c r="C1554" s="30" t="n">
        <v>85153846</v>
      </c>
      <c r="D1554" s="30">
        <f>"02728331000178"</f>
        <v/>
      </c>
      <c r="E1554" s="30" t="inlineStr">
        <is>
          <t>STAMP COR INDUSTRIA E COMERCIO DE PRODUTOS SERIGRAFICOS LTDA ME</t>
        </is>
      </c>
      <c r="F1554" s="30" t="inlineStr">
        <is>
          <t>2022</t>
        </is>
      </c>
      <c r="G1554" s="40" t="n">
        <v>0</v>
      </c>
    </row>
    <row r="1555" ht="12" customHeight="1">
      <c r="A1555" s="30" t="inlineStr">
        <is>
          <t>ARE</t>
        </is>
      </c>
      <c r="B1555" s="30" t="inlineStr">
        <is>
          <t>Areal</t>
        </is>
      </c>
      <c r="C1555" s="30" t="n">
        <v>85153846</v>
      </c>
      <c r="D1555" s="30">
        <f>"02728331000178"</f>
        <v/>
      </c>
      <c r="E1555" s="30" t="inlineStr">
        <is>
          <t>STAMP COR INDUSTRIA E COMERCIO DE PRODUTOS SERIGRAFICOS LTDA ME</t>
        </is>
      </c>
      <c r="F1555" s="30" t="inlineStr">
        <is>
          <t>2023</t>
        </is>
      </c>
      <c r="G1555" s="40" t="n">
        <v>0</v>
      </c>
    </row>
    <row r="1556" ht="12" customHeight="1">
      <c r="A1556" s="30" t="inlineStr">
        <is>
          <t>ARE</t>
        </is>
      </c>
      <c r="B1556" s="30" t="inlineStr">
        <is>
          <t>Areal</t>
        </is>
      </c>
      <c r="C1556" s="30" t="n">
        <v>85153862</v>
      </c>
      <c r="D1556" s="30">
        <f>"03646695000171"</f>
        <v/>
      </c>
      <c r="E1556" s="30" t="inlineStr">
        <is>
          <t>AUTO POSTO ROTA 40 LTDA</t>
        </is>
      </c>
      <c r="F1556" s="30" t="inlineStr">
        <is>
          <t>2017</t>
        </is>
      </c>
      <c r="G1556" s="40" t="n">
        <v>130145.28</v>
      </c>
    </row>
    <row r="1557" ht="12" customHeight="1">
      <c r="A1557" s="30" t="inlineStr">
        <is>
          <t>ARE</t>
        </is>
      </c>
      <c r="B1557" s="30" t="inlineStr">
        <is>
          <t>Areal</t>
        </is>
      </c>
      <c r="C1557" s="30" t="n">
        <v>85153862</v>
      </c>
      <c r="D1557" s="30">
        <f>"03646695000171"</f>
        <v/>
      </c>
      <c r="E1557" s="30" t="inlineStr">
        <is>
          <t>AUTO POSTO ROTA 40 LTDA</t>
        </is>
      </c>
      <c r="F1557" s="30" t="inlineStr">
        <is>
          <t>2018</t>
        </is>
      </c>
      <c r="G1557" s="40" t="n">
        <v>832871.51</v>
      </c>
    </row>
    <row r="1558" ht="12" customHeight="1">
      <c r="A1558" s="30" t="inlineStr">
        <is>
          <t>ARE</t>
        </is>
      </c>
      <c r="B1558" s="30" t="inlineStr">
        <is>
          <t>Areal</t>
        </is>
      </c>
      <c r="C1558" s="30" t="n">
        <v>85153862</v>
      </c>
      <c r="D1558" s="30">
        <f>"03646695000171"</f>
        <v/>
      </c>
      <c r="E1558" s="30" t="inlineStr">
        <is>
          <t>AUTO POSTO ROTA 40 LTDA</t>
        </is>
      </c>
      <c r="F1558" s="30" t="inlineStr">
        <is>
          <t>2019</t>
        </is>
      </c>
      <c r="G1558" s="40" t="n">
        <v>905552.28</v>
      </c>
    </row>
    <row r="1559" ht="12" customHeight="1">
      <c r="A1559" s="30" t="inlineStr">
        <is>
          <t>ARE</t>
        </is>
      </c>
      <c r="B1559" s="30" t="inlineStr">
        <is>
          <t>Areal</t>
        </is>
      </c>
      <c r="C1559" s="30" t="n">
        <v>85153862</v>
      </c>
      <c r="D1559" s="30">
        <f>"03646695000171"</f>
        <v/>
      </c>
      <c r="E1559" s="30" t="inlineStr">
        <is>
          <t>AUTO POSTO ROTA 40 LTDA</t>
        </is>
      </c>
      <c r="F1559" s="30" t="inlineStr">
        <is>
          <t>2020</t>
        </is>
      </c>
      <c r="G1559" s="40" t="n">
        <v>684484.36</v>
      </c>
    </row>
    <row r="1560" ht="12" customHeight="1">
      <c r="A1560" s="30" t="inlineStr">
        <is>
          <t>ARE</t>
        </is>
      </c>
      <c r="B1560" s="30" t="inlineStr">
        <is>
          <t>Areal</t>
        </is>
      </c>
      <c r="C1560" s="30" t="n">
        <v>85153862</v>
      </c>
      <c r="D1560" s="30">
        <f>"03646695000171"</f>
        <v/>
      </c>
      <c r="E1560" s="30" t="inlineStr">
        <is>
          <t>AUTO POSTO ROTA 40 LTDA</t>
        </is>
      </c>
      <c r="F1560" s="30" t="inlineStr">
        <is>
          <t>2021</t>
        </is>
      </c>
      <c r="G1560" s="40" t="n">
        <v>886361.37</v>
      </c>
    </row>
    <row r="1561" ht="12" customHeight="1">
      <c r="A1561" s="30" t="inlineStr">
        <is>
          <t>ARE</t>
        </is>
      </c>
      <c r="B1561" s="30" t="inlineStr">
        <is>
          <t>Areal</t>
        </is>
      </c>
      <c r="C1561" s="30" t="n">
        <v>85153862</v>
      </c>
      <c r="D1561" s="30">
        <f>"03646695000171"</f>
        <v/>
      </c>
      <c r="E1561" s="30" t="inlineStr">
        <is>
          <t>AUTO POSTO ROTA 40 LTDA</t>
        </is>
      </c>
      <c r="F1561" s="30" t="inlineStr">
        <is>
          <t>2022</t>
        </is>
      </c>
      <c r="G1561" s="40" t="n">
        <v>523487.72</v>
      </c>
    </row>
    <row r="1562" ht="12" customHeight="1">
      <c r="A1562" s="30" t="inlineStr">
        <is>
          <t>ARE</t>
        </is>
      </c>
      <c r="B1562" s="30" t="inlineStr">
        <is>
          <t>Areal</t>
        </is>
      </c>
      <c r="C1562" s="30" t="n">
        <v>85153862</v>
      </c>
      <c r="D1562" s="30">
        <f>"03646695000171"</f>
        <v/>
      </c>
      <c r="E1562" s="30" t="inlineStr">
        <is>
          <t>AUTO POSTO ROTA 40 LTDA</t>
        </is>
      </c>
      <c r="F1562" s="30" t="inlineStr">
        <is>
          <t>2023</t>
        </is>
      </c>
      <c r="G1562" s="40" t="n">
        <v>0</v>
      </c>
    </row>
    <row r="1563" ht="12" customHeight="1">
      <c r="A1563" s="30" t="inlineStr">
        <is>
          <t>ARE</t>
        </is>
      </c>
      <c r="B1563" s="30" t="inlineStr">
        <is>
          <t>Areal</t>
        </is>
      </c>
      <c r="C1563" s="30" t="n">
        <v>85154117</v>
      </c>
      <c r="D1563" s="30">
        <f>"04264441000151"</f>
        <v/>
      </c>
      <c r="E1563" s="30" t="inlineStr">
        <is>
          <t>MMS DISTRIBUIDORA LTDA</t>
        </is>
      </c>
      <c r="F1563" s="30" t="inlineStr">
        <is>
          <t>2018</t>
        </is>
      </c>
      <c r="G1563" s="40" t="n">
        <v>0</v>
      </c>
    </row>
    <row r="1564" ht="12" customHeight="1">
      <c r="A1564" s="30" t="inlineStr">
        <is>
          <t>ARE</t>
        </is>
      </c>
      <c r="B1564" s="30" t="inlineStr">
        <is>
          <t>Areal</t>
        </is>
      </c>
      <c r="C1564" s="30" t="n">
        <v>85154117</v>
      </c>
      <c r="D1564" s="30">
        <f>"04264441000151"</f>
        <v/>
      </c>
      <c r="E1564" s="30" t="inlineStr">
        <is>
          <t>MMS DISTRIBUIDORA LTDA</t>
        </is>
      </c>
      <c r="F1564" s="30" t="inlineStr">
        <is>
          <t>2019</t>
        </is>
      </c>
      <c r="G1564" s="40" t="n">
        <v>0</v>
      </c>
    </row>
    <row r="1565" ht="12" customHeight="1">
      <c r="A1565" s="30" t="inlineStr">
        <is>
          <t>ARE</t>
        </is>
      </c>
      <c r="B1565" s="30" t="inlineStr">
        <is>
          <t>Areal</t>
        </is>
      </c>
      <c r="C1565" s="30" t="n">
        <v>85154117</v>
      </c>
      <c r="D1565" s="30">
        <f>"04264441000151"</f>
        <v/>
      </c>
      <c r="E1565" s="30" t="inlineStr">
        <is>
          <t>MMS DISTRIBUIDORA LTDA</t>
        </is>
      </c>
      <c r="F1565" s="30" t="inlineStr">
        <is>
          <t>2020</t>
        </is>
      </c>
      <c r="G1565" s="40" t="n">
        <v>50951.67</v>
      </c>
    </row>
    <row r="1566" ht="12" customHeight="1">
      <c r="A1566" s="30" t="inlineStr">
        <is>
          <t>ARE</t>
        </is>
      </c>
      <c r="B1566" s="30" t="inlineStr">
        <is>
          <t>Areal</t>
        </is>
      </c>
      <c r="C1566" s="30" t="n">
        <v>85154117</v>
      </c>
      <c r="D1566" s="30">
        <f>"04264441000151"</f>
        <v/>
      </c>
      <c r="E1566" s="30" t="inlineStr">
        <is>
          <t>MMS DISTRIBUIDORA LTDA</t>
        </is>
      </c>
      <c r="F1566" s="30" t="inlineStr">
        <is>
          <t>2021</t>
        </is>
      </c>
      <c r="G1566" s="40" t="n">
        <v>0</v>
      </c>
    </row>
    <row r="1567" ht="12" customHeight="1">
      <c r="A1567" s="30" t="inlineStr">
        <is>
          <t>ARE</t>
        </is>
      </c>
      <c r="B1567" s="30" t="inlineStr">
        <is>
          <t>Areal</t>
        </is>
      </c>
      <c r="C1567" s="30" t="n">
        <v>85154117</v>
      </c>
      <c r="D1567" s="30">
        <f>"04264441000151"</f>
        <v/>
      </c>
      <c r="E1567" s="30" t="inlineStr">
        <is>
          <t>MMS DISTRIBUIDORA LTDA</t>
        </is>
      </c>
      <c r="F1567" s="30" t="inlineStr">
        <is>
          <t>2022</t>
        </is>
      </c>
      <c r="G1567" s="40" t="n">
        <v>51007.19</v>
      </c>
    </row>
    <row r="1568" ht="12" customHeight="1">
      <c r="A1568" s="30" t="inlineStr">
        <is>
          <t>ARE</t>
        </is>
      </c>
      <c r="B1568" s="30" t="inlineStr">
        <is>
          <t>Areal</t>
        </is>
      </c>
      <c r="C1568" s="30" t="n">
        <v>85154117</v>
      </c>
      <c r="D1568" s="30">
        <f>"04264441000151"</f>
        <v/>
      </c>
      <c r="E1568" s="30" t="inlineStr">
        <is>
          <t>MMS DISTRIBUIDORA LTDA</t>
        </is>
      </c>
      <c r="F1568" s="30" t="inlineStr">
        <is>
          <t>2023</t>
        </is>
      </c>
      <c r="G1568" s="40" t="n">
        <v>0</v>
      </c>
    </row>
    <row r="1569" ht="12" customHeight="1">
      <c r="A1569" s="30" t="inlineStr">
        <is>
          <t>ARE</t>
        </is>
      </c>
      <c r="B1569" s="30" t="inlineStr">
        <is>
          <t>Areal</t>
        </is>
      </c>
      <c r="C1569" s="30" t="n">
        <v>85206672</v>
      </c>
      <c r="D1569" s="30">
        <f>"88009030000452"</f>
        <v/>
      </c>
      <c r="E1569" s="30" t="inlineStr">
        <is>
          <t>MODULAR TRANSPORTES LTDA</t>
        </is>
      </c>
      <c r="F1569" s="30" t="inlineStr">
        <is>
          <t>2020</t>
        </is>
      </c>
      <c r="G1569" s="40" t="n">
        <v>0</v>
      </c>
    </row>
    <row r="1570" ht="12" customHeight="1">
      <c r="A1570" s="30" t="inlineStr">
        <is>
          <t>ARE</t>
        </is>
      </c>
      <c r="B1570" s="30" t="inlineStr">
        <is>
          <t>Areal</t>
        </is>
      </c>
      <c r="C1570" s="30" t="n">
        <v>85206672</v>
      </c>
      <c r="D1570" s="30">
        <f>"88009030000452"</f>
        <v/>
      </c>
      <c r="E1570" s="30" t="inlineStr">
        <is>
          <t>MODULAR TRANSPORTES LTDA</t>
        </is>
      </c>
      <c r="F1570" s="30" t="inlineStr">
        <is>
          <t>2021</t>
        </is>
      </c>
      <c r="G1570" s="40" t="n">
        <v>0</v>
      </c>
    </row>
    <row r="1571" ht="12" customHeight="1">
      <c r="A1571" s="30" t="inlineStr">
        <is>
          <t>ARE</t>
        </is>
      </c>
      <c r="B1571" s="30" t="inlineStr">
        <is>
          <t>Areal</t>
        </is>
      </c>
      <c r="C1571" s="30" t="n">
        <v>85206672</v>
      </c>
      <c r="D1571" s="30">
        <f>"88009030000452"</f>
        <v/>
      </c>
      <c r="E1571" s="30" t="inlineStr">
        <is>
          <t>MODULAR TRANSPORTES LTDA</t>
        </is>
      </c>
      <c r="F1571" s="30" t="inlineStr">
        <is>
          <t>2022</t>
        </is>
      </c>
      <c r="G1571" s="40" t="n">
        <v>810</v>
      </c>
    </row>
    <row r="1572" ht="12" customHeight="1">
      <c r="A1572" s="30" t="inlineStr">
        <is>
          <t>ARE</t>
        </is>
      </c>
      <c r="B1572" s="30" t="inlineStr">
        <is>
          <t>Areal</t>
        </is>
      </c>
      <c r="C1572" s="30" t="n">
        <v>85206672</v>
      </c>
      <c r="D1572" s="30">
        <f>"88009030000452"</f>
        <v/>
      </c>
      <c r="E1572" s="30" t="inlineStr">
        <is>
          <t>MODULAR TRANSPORTES LTDA</t>
        </is>
      </c>
      <c r="F1572" s="30" t="inlineStr">
        <is>
          <t>2023</t>
        </is>
      </c>
      <c r="G1572" s="40" t="n">
        <v>0</v>
      </c>
    </row>
    <row r="1573" ht="12" customHeight="1">
      <c r="A1573" s="30" t="inlineStr">
        <is>
          <t>ARE</t>
        </is>
      </c>
      <c r="B1573" s="30" t="inlineStr">
        <is>
          <t>Areal</t>
        </is>
      </c>
      <c r="C1573" s="30" t="n">
        <v>85206729</v>
      </c>
      <c r="D1573" s="30">
        <f>"29553609000170"</f>
        <v/>
      </c>
      <c r="E1573" s="30" t="inlineStr">
        <is>
          <t>AUTO ONIBUS FAGUNDES LTDA</t>
        </is>
      </c>
      <c r="F1573" s="30" t="inlineStr">
        <is>
          <t>2017</t>
        </is>
      </c>
      <c r="G1573" s="40" t="n">
        <v>1420</v>
      </c>
    </row>
    <row r="1574" ht="12" customHeight="1">
      <c r="A1574" s="30" t="inlineStr">
        <is>
          <t>ARE</t>
        </is>
      </c>
      <c r="B1574" s="30" t="inlineStr">
        <is>
          <t>Areal</t>
        </is>
      </c>
      <c r="C1574" s="30" t="n">
        <v>85206729</v>
      </c>
      <c r="D1574" s="30">
        <f>"29553609000170"</f>
        <v/>
      </c>
      <c r="E1574" s="30" t="inlineStr">
        <is>
          <t>AUTO ONIBUS FAGUNDES LTDA</t>
        </is>
      </c>
      <c r="F1574" s="30" t="inlineStr">
        <is>
          <t>2018</t>
        </is>
      </c>
      <c r="G1574" s="40" t="n">
        <v>0</v>
      </c>
    </row>
    <row r="1575" ht="12" customHeight="1">
      <c r="A1575" s="30" t="inlineStr">
        <is>
          <t>ARE</t>
        </is>
      </c>
      <c r="B1575" s="30" t="inlineStr">
        <is>
          <t>Areal</t>
        </is>
      </c>
      <c r="C1575" s="30" t="n">
        <v>85206729</v>
      </c>
      <c r="D1575" s="30">
        <f>"29553609000170"</f>
        <v/>
      </c>
      <c r="E1575" s="30" t="inlineStr">
        <is>
          <t>AUTO ONIBUS FAGUNDES LTDA</t>
        </is>
      </c>
      <c r="F1575" s="30" t="inlineStr">
        <is>
          <t>2019</t>
        </is>
      </c>
      <c r="G1575" s="40" t="n">
        <v>1660</v>
      </c>
    </row>
    <row r="1576" ht="12" customHeight="1">
      <c r="A1576" s="30" t="inlineStr">
        <is>
          <t>ARE</t>
        </is>
      </c>
      <c r="B1576" s="30" t="inlineStr">
        <is>
          <t>Areal</t>
        </is>
      </c>
      <c r="C1576" s="30" t="n">
        <v>85206729</v>
      </c>
      <c r="D1576" s="30">
        <f>"29553609000170"</f>
        <v/>
      </c>
      <c r="E1576" s="30" t="inlineStr">
        <is>
          <t>AUTO ONIBUS FAGUNDES LTDA</t>
        </is>
      </c>
      <c r="F1576" s="30" t="inlineStr">
        <is>
          <t>2020</t>
        </is>
      </c>
      <c r="G1576" s="40" t="n">
        <v>0</v>
      </c>
    </row>
    <row r="1577" ht="12" customHeight="1">
      <c r="A1577" s="30" t="inlineStr">
        <is>
          <t>ARE</t>
        </is>
      </c>
      <c r="B1577" s="30" t="inlineStr">
        <is>
          <t>Areal</t>
        </is>
      </c>
      <c r="C1577" s="30" t="n">
        <v>85206729</v>
      </c>
      <c r="D1577" s="30">
        <f>"29553609000170"</f>
        <v/>
      </c>
      <c r="E1577" s="30" t="inlineStr">
        <is>
          <t>AUTO ONIBUS FAGUNDES LTDA</t>
        </is>
      </c>
      <c r="F1577" s="30" t="inlineStr">
        <is>
          <t>2021</t>
        </is>
      </c>
      <c r="G1577" s="40" t="n">
        <v>0</v>
      </c>
    </row>
    <row r="1578" ht="12" customHeight="1">
      <c r="A1578" s="30" t="inlineStr">
        <is>
          <t>ARE</t>
        </is>
      </c>
      <c r="B1578" s="30" t="inlineStr">
        <is>
          <t>Areal</t>
        </is>
      </c>
      <c r="C1578" s="30" t="n">
        <v>85208527</v>
      </c>
      <c r="D1578" s="30">
        <f>"23864838000633"</f>
        <v/>
      </c>
      <c r="E1578" s="30" t="inlineStr">
        <is>
          <t>MOVVI LOGISTICA LTDA</t>
        </is>
      </c>
      <c r="F1578" s="30" t="inlineStr">
        <is>
          <t>2017</t>
        </is>
      </c>
      <c r="G1578" s="40" t="n">
        <v>4316.83</v>
      </c>
    </row>
    <row r="1579" ht="12" customHeight="1">
      <c r="A1579" s="30" t="inlineStr">
        <is>
          <t>ARE</t>
        </is>
      </c>
      <c r="B1579" s="30" t="inlineStr">
        <is>
          <t>Areal</t>
        </is>
      </c>
      <c r="C1579" s="30" t="n">
        <v>85208527</v>
      </c>
      <c r="D1579" s="30">
        <f>"23864838000633"</f>
        <v/>
      </c>
      <c r="E1579" s="30" t="inlineStr">
        <is>
          <t>MOVVI LOGISTICA LTDA</t>
        </is>
      </c>
      <c r="F1579" s="30" t="inlineStr">
        <is>
          <t>2018</t>
        </is>
      </c>
      <c r="G1579" s="40" t="n">
        <v>554.5700000000001</v>
      </c>
    </row>
    <row r="1580" ht="12" customHeight="1">
      <c r="A1580" s="30" t="inlineStr">
        <is>
          <t>ARE</t>
        </is>
      </c>
      <c r="B1580" s="30" t="inlineStr">
        <is>
          <t>Areal</t>
        </is>
      </c>
      <c r="C1580" s="30" t="n">
        <v>85208527</v>
      </c>
      <c r="D1580" s="30">
        <f>"23864838000633"</f>
        <v/>
      </c>
      <c r="E1580" s="30" t="inlineStr">
        <is>
          <t>MOVVI LOGISTICA LTDA</t>
        </is>
      </c>
      <c r="F1580" s="30" t="inlineStr">
        <is>
          <t>2019</t>
        </is>
      </c>
      <c r="G1580" s="40" t="n">
        <v>133.57</v>
      </c>
    </row>
    <row r="1581" ht="12" customHeight="1">
      <c r="A1581" s="30" t="inlineStr">
        <is>
          <t>ARE</t>
        </is>
      </c>
      <c r="B1581" s="30" t="inlineStr">
        <is>
          <t>Areal</t>
        </is>
      </c>
      <c r="C1581" s="30" t="n">
        <v>85208527</v>
      </c>
      <c r="D1581" s="30">
        <f>"23864838000633"</f>
        <v/>
      </c>
      <c r="E1581" s="30" t="inlineStr">
        <is>
          <t>MOVVI LOGISTICA LTDA</t>
        </is>
      </c>
      <c r="F1581" s="30" t="inlineStr">
        <is>
          <t>2020</t>
        </is>
      </c>
      <c r="G1581" s="40" t="n">
        <v>99.78</v>
      </c>
    </row>
    <row r="1582" ht="12" customHeight="1">
      <c r="A1582" s="30" t="inlineStr">
        <is>
          <t>ARE</t>
        </is>
      </c>
      <c r="B1582" s="30" t="inlineStr">
        <is>
          <t>Areal</t>
        </is>
      </c>
      <c r="C1582" s="30" t="n">
        <v>85208527</v>
      </c>
      <c r="D1582" s="30">
        <f>"23864838000633"</f>
        <v/>
      </c>
      <c r="E1582" s="30" t="inlineStr">
        <is>
          <t>MOVVI LOGISTICA LTDA</t>
        </is>
      </c>
      <c r="F1582" s="30" t="inlineStr">
        <is>
          <t>2021</t>
        </is>
      </c>
      <c r="G1582" s="40" t="n">
        <v>67.84</v>
      </c>
    </row>
    <row r="1583" ht="12" customHeight="1">
      <c r="A1583" s="30" t="inlineStr">
        <is>
          <t>ARE</t>
        </is>
      </c>
      <c r="B1583" s="30" t="inlineStr">
        <is>
          <t>Areal</t>
        </is>
      </c>
      <c r="C1583" s="30" t="n">
        <v>85208527</v>
      </c>
      <c r="D1583" s="30">
        <f>"23864838000633"</f>
        <v/>
      </c>
      <c r="E1583" s="30" t="inlineStr">
        <is>
          <t>MOVVI LOGISTICA LTDA</t>
        </is>
      </c>
      <c r="F1583" s="30" t="inlineStr">
        <is>
          <t>2022</t>
        </is>
      </c>
      <c r="G1583" s="40" t="n">
        <v>1800</v>
      </c>
    </row>
    <row r="1584" ht="12" customHeight="1">
      <c r="A1584" s="30" t="inlineStr">
        <is>
          <t>ARE</t>
        </is>
      </c>
      <c r="B1584" s="30" t="inlineStr">
        <is>
          <t>Areal</t>
        </is>
      </c>
      <c r="C1584" s="30" t="n">
        <v>85208527</v>
      </c>
      <c r="D1584" s="30">
        <f>"23864838000633"</f>
        <v/>
      </c>
      <c r="E1584" s="30" t="inlineStr">
        <is>
          <t>MOVVI LOGISTICA LTDA</t>
        </is>
      </c>
      <c r="F1584" s="30" t="inlineStr">
        <is>
          <t>2023</t>
        </is>
      </c>
      <c r="G1584" s="40" t="n">
        <v>233.67</v>
      </c>
    </row>
    <row r="1585" ht="12" customHeight="1">
      <c r="A1585" s="30" t="inlineStr">
        <is>
          <t>ARE</t>
        </is>
      </c>
      <c r="B1585" s="30" t="inlineStr">
        <is>
          <t>Areal</t>
        </is>
      </c>
      <c r="C1585" s="30" t="n">
        <v>85390449</v>
      </c>
      <c r="D1585" s="30">
        <f>"17428731005447"</f>
        <v/>
      </c>
      <c r="E1585" s="30" t="inlineStr">
        <is>
          <t>PROSEGUR BRASIL S/A</t>
        </is>
      </c>
      <c r="F1585" s="30" t="inlineStr">
        <is>
          <t>2019</t>
        </is>
      </c>
      <c r="G1585" s="40" t="n">
        <v>0</v>
      </c>
    </row>
    <row r="1586" ht="12" customHeight="1">
      <c r="A1586" s="30" t="inlineStr">
        <is>
          <t>ARE</t>
        </is>
      </c>
      <c r="B1586" s="30" t="inlineStr">
        <is>
          <t>Areal</t>
        </is>
      </c>
      <c r="C1586" s="30" t="n">
        <v>85390449</v>
      </c>
      <c r="D1586" s="30">
        <f>"17428731005447"</f>
        <v/>
      </c>
      <c r="E1586" s="30" t="inlineStr">
        <is>
          <t>PROSEGUR BRASIL S/A</t>
        </is>
      </c>
      <c r="F1586" s="30" t="inlineStr">
        <is>
          <t>2020</t>
        </is>
      </c>
      <c r="G1586" s="40" t="n">
        <v>0</v>
      </c>
    </row>
    <row r="1587" ht="12" customHeight="1">
      <c r="A1587" s="30" t="inlineStr">
        <is>
          <t>ARE</t>
        </is>
      </c>
      <c r="B1587" s="30" t="inlineStr">
        <is>
          <t>Areal</t>
        </is>
      </c>
      <c r="C1587" s="30" t="n">
        <v>85390449</v>
      </c>
      <c r="D1587" s="30">
        <f>"17428731005447"</f>
        <v/>
      </c>
      <c r="E1587" s="30" t="inlineStr">
        <is>
          <t>PROSEGUR BRASIL S/A</t>
        </is>
      </c>
      <c r="F1587" s="30" t="inlineStr">
        <is>
          <t>2021</t>
        </is>
      </c>
      <c r="G1587" s="40" t="n">
        <v>22489.72</v>
      </c>
    </row>
    <row r="1588" ht="12" customHeight="1">
      <c r="A1588" s="30" t="inlineStr">
        <is>
          <t>ARE</t>
        </is>
      </c>
      <c r="B1588" s="30" t="inlineStr">
        <is>
          <t>Areal</t>
        </is>
      </c>
      <c r="C1588" s="30" t="n">
        <v>85390449</v>
      </c>
      <c r="D1588" s="30">
        <f>"17428731005447"</f>
        <v/>
      </c>
      <c r="E1588" s="30" t="inlineStr">
        <is>
          <t>PROSEGUR BRASIL S/A</t>
        </is>
      </c>
      <c r="F1588" s="30" t="inlineStr">
        <is>
          <t>2022</t>
        </is>
      </c>
      <c r="G1588" s="40" t="n">
        <v>67073.85000000001</v>
      </c>
    </row>
    <row r="1589" ht="12" customHeight="1">
      <c r="A1589" s="30" t="inlineStr">
        <is>
          <t>ARE</t>
        </is>
      </c>
      <c r="B1589" s="30" t="inlineStr">
        <is>
          <t>Areal</t>
        </is>
      </c>
      <c r="C1589" s="30" t="n">
        <v>85390449</v>
      </c>
      <c r="D1589" s="30">
        <f>"17428731005447"</f>
        <v/>
      </c>
      <c r="E1589" s="30" t="inlineStr">
        <is>
          <t>PROSEGUR BRASIL S/A</t>
        </is>
      </c>
      <c r="F1589" s="30" t="inlineStr">
        <is>
          <t>2023</t>
        </is>
      </c>
      <c r="G1589" s="40" t="n">
        <v>5396.14</v>
      </c>
    </row>
    <row r="1590" ht="12" customHeight="1">
      <c r="A1590" s="30" t="inlineStr">
        <is>
          <t>ARE</t>
        </is>
      </c>
      <c r="B1590" s="30" t="inlineStr">
        <is>
          <t>Areal</t>
        </is>
      </c>
      <c r="C1590" s="30" t="n">
        <v>85454455</v>
      </c>
      <c r="D1590" s="30">
        <f>"00468285000190"</f>
        <v/>
      </c>
      <c r="E1590" s="30" t="inlineStr">
        <is>
          <t>TRANZIRAN TRANSPORTES EIRELI</t>
        </is>
      </c>
      <c r="F1590" s="30" t="inlineStr">
        <is>
          <t>2017</t>
        </is>
      </c>
      <c r="G1590" s="40" t="n">
        <v>2711.03</v>
      </c>
    </row>
    <row r="1591" ht="12" customHeight="1">
      <c r="A1591" s="30" t="inlineStr">
        <is>
          <t>ARE</t>
        </is>
      </c>
      <c r="B1591" s="30" t="inlineStr">
        <is>
          <t>Areal</t>
        </is>
      </c>
      <c r="C1591" s="30" t="n">
        <v>85454455</v>
      </c>
      <c r="D1591" s="30">
        <f>"00468285000190"</f>
        <v/>
      </c>
      <c r="E1591" s="30" t="inlineStr">
        <is>
          <t>TRANZIRAN TRANSPORTES EIRELI</t>
        </is>
      </c>
      <c r="F1591" s="30" t="inlineStr">
        <is>
          <t>2018</t>
        </is>
      </c>
      <c r="G1591" s="40" t="n">
        <v>0</v>
      </c>
    </row>
    <row r="1592" ht="12" customHeight="1">
      <c r="A1592" s="30" t="inlineStr">
        <is>
          <t>ARE</t>
        </is>
      </c>
      <c r="B1592" s="30" t="inlineStr">
        <is>
          <t>Areal</t>
        </is>
      </c>
      <c r="C1592" s="30" t="n">
        <v>85454455</v>
      </c>
      <c r="D1592" s="30">
        <f>"00468285000190"</f>
        <v/>
      </c>
      <c r="E1592" s="30" t="inlineStr">
        <is>
          <t>TRANZIRAN TRANSPORTES EIRELI</t>
        </is>
      </c>
      <c r="F1592" s="30" t="inlineStr">
        <is>
          <t>2019</t>
        </is>
      </c>
      <c r="G1592" s="40" t="n">
        <v>0</v>
      </c>
    </row>
    <row r="1593" ht="12" customHeight="1">
      <c r="A1593" s="30" t="inlineStr">
        <is>
          <t>ARE</t>
        </is>
      </c>
      <c r="B1593" s="30" t="inlineStr">
        <is>
          <t>Areal</t>
        </is>
      </c>
      <c r="C1593" s="30" t="n">
        <v>85647148</v>
      </c>
      <c r="D1593" s="30">
        <f>"09411448000504"</f>
        <v/>
      </c>
      <c r="E1593" s="30" t="inlineStr">
        <is>
          <t>LDB TRANSPORTES DE CARGAS LTDA</t>
        </is>
      </c>
      <c r="F1593" s="30" t="inlineStr">
        <is>
          <t>2017</t>
        </is>
      </c>
      <c r="G1593" s="40" t="n">
        <v>0</v>
      </c>
    </row>
    <row r="1594" ht="12" customHeight="1">
      <c r="A1594" s="30" t="inlineStr">
        <is>
          <t>ARE</t>
        </is>
      </c>
      <c r="B1594" s="30" t="inlineStr">
        <is>
          <t>Areal</t>
        </is>
      </c>
      <c r="C1594" s="30" t="n">
        <v>85647148</v>
      </c>
      <c r="D1594" s="30">
        <f>"09411448000504"</f>
        <v/>
      </c>
      <c r="E1594" s="30" t="inlineStr">
        <is>
          <t>LDB TRANSPORTES DE CARGAS LTDA</t>
        </is>
      </c>
      <c r="F1594" s="30" t="inlineStr">
        <is>
          <t>2018</t>
        </is>
      </c>
      <c r="G1594" s="40" t="n">
        <v>139.04</v>
      </c>
    </row>
    <row r="1595" ht="12" customHeight="1">
      <c r="A1595" s="30" t="inlineStr">
        <is>
          <t>ARE</t>
        </is>
      </c>
      <c r="B1595" s="30" t="inlineStr">
        <is>
          <t>Areal</t>
        </is>
      </c>
      <c r="C1595" s="30" t="n">
        <v>85647148</v>
      </c>
      <c r="D1595" s="30">
        <f>"09411448000504"</f>
        <v/>
      </c>
      <c r="E1595" s="30" t="inlineStr">
        <is>
          <t>LDB TRANSPORTES DE CARGAS LTDA</t>
        </is>
      </c>
      <c r="F1595" s="30" t="inlineStr">
        <is>
          <t>2019</t>
        </is>
      </c>
      <c r="G1595" s="40" t="n">
        <v>0</v>
      </c>
    </row>
    <row r="1596" ht="12" customHeight="1">
      <c r="A1596" s="30" t="inlineStr">
        <is>
          <t>ARE</t>
        </is>
      </c>
      <c r="B1596" s="30" t="inlineStr">
        <is>
          <t>Areal</t>
        </is>
      </c>
      <c r="C1596" s="30" t="n">
        <v>85647148</v>
      </c>
      <c r="D1596" s="30">
        <f>"09411448000504"</f>
        <v/>
      </c>
      <c r="E1596" s="30" t="inlineStr">
        <is>
          <t>LDB TRANSPORTES DE CARGAS LTDA</t>
        </is>
      </c>
      <c r="F1596" s="30" t="inlineStr">
        <is>
          <t>2020</t>
        </is>
      </c>
      <c r="G1596" s="40" t="n">
        <v>0</v>
      </c>
    </row>
    <row r="1597" ht="12" customHeight="1">
      <c r="A1597" s="30" t="inlineStr">
        <is>
          <t>ARE</t>
        </is>
      </c>
      <c r="B1597" s="30" t="inlineStr">
        <is>
          <t>Areal</t>
        </is>
      </c>
      <c r="C1597" s="30" t="n">
        <v>85682636</v>
      </c>
      <c r="D1597" s="30">
        <f>"52134798000249"</f>
        <v/>
      </c>
      <c r="E1597" s="30" t="inlineStr">
        <is>
          <t>INTEC INTEGRACAO NACIONAL DE TRANSPORTES DE ENCOMENDAS E C LTDA</t>
        </is>
      </c>
      <c r="F1597" s="30" t="inlineStr">
        <is>
          <t>2021</t>
        </is>
      </c>
      <c r="G1597" s="40" t="n">
        <v>0</v>
      </c>
    </row>
    <row r="1598" ht="12" customHeight="1">
      <c r="A1598" s="30" t="inlineStr">
        <is>
          <t>ARE</t>
        </is>
      </c>
      <c r="B1598" s="30" t="inlineStr">
        <is>
          <t>Areal</t>
        </is>
      </c>
      <c r="C1598" s="30" t="n">
        <v>85682636</v>
      </c>
      <c r="D1598" s="30">
        <f>"52134798000249"</f>
        <v/>
      </c>
      <c r="E1598" s="30" t="inlineStr">
        <is>
          <t>INTEC INTEGRACAO NACIONAL DE TRANSPORTES DE ENCOMENDAS E C LTDA</t>
        </is>
      </c>
      <c r="F1598" s="30" t="inlineStr">
        <is>
          <t>2022</t>
        </is>
      </c>
      <c r="G1598" s="40" t="n">
        <v>0</v>
      </c>
    </row>
    <row r="1599" ht="12" customHeight="1">
      <c r="A1599" s="30" t="inlineStr">
        <is>
          <t>ARE</t>
        </is>
      </c>
      <c r="B1599" s="30" t="inlineStr">
        <is>
          <t>Areal</t>
        </is>
      </c>
      <c r="C1599" s="30" t="n">
        <v>85682636</v>
      </c>
      <c r="D1599" s="30">
        <f>"52134798000249"</f>
        <v/>
      </c>
      <c r="E1599" s="30" t="inlineStr">
        <is>
          <t>INTEC INTEGRACAO NACIONAL DE TRANSPORTES DE ENCOMENDAS E C LTDA</t>
        </is>
      </c>
      <c r="F1599" s="30" t="inlineStr">
        <is>
          <t>2023</t>
        </is>
      </c>
      <c r="G1599" s="40" t="n">
        <v>20641.95</v>
      </c>
    </row>
    <row r="1600" ht="12" customHeight="1">
      <c r="A1600" s="30" t="inlineStr">
        <is>
          <t>ARE</t>
        </is>
      </c>
      <c r="B1600" s="30" t="inlineStr">
        <is>
          <t>Areal</t>
        </is>
      </c>
      <c r="C1600" s="30" t="n">
        <v>85727028</v>
      </c>
      <c r="D1600" s="30">
        <f>"66970229001139"</f>
        <v/>
      </c>
      <c r="E1600" s="30" t="inlineStr">
        <is>
          <t>NEXTEL TELECOMUNICACOES LTDA.</t>
        </is>
      </c>
      <c r="F1600" s="30" t="inlineStr">
        <is>
          <t>2017</t>
        </is>
      </c>
      <c r="G1600" s="40" t="n">
        <v>67743.03</v>
      </c>
    </row>
    <row r="1601" ht="12" customHeight="1">
      <c r="A1601" s="30" t="inlineStr">
        <is>
          <t>ARE</t>
        </is>
      </c>
      <c r="B1601" s="30" t="inlineStr">
        <is>
          <t>Areal</t>
        </is>
      </c>
      <c r="C1601" s="30" t="n">
        <v>85727028</v>
      </c>
      <c r="D1601" s="30">
        <f>"66970229001139"</f>
        <v/>
      </c>
      <c r="E1601" s="30" t="inlineStr">
        <is>
          <t>NEXTEL TELECOMUNICACOES LTDA.</t>
        </is>
      </c>
      <c r="F1601" s="30" t="inlineStr">
        <is>
          <t>2018</t>
        </is>
      </c>
      <c r="G1601" s="40" t="n">
        <v>64115.77</v>
      </c>
    </row>
    <row r="1602" ht="12" customHeight="1">
      <c r="A1602" s="30" t="inlineStr">
        <is>
          <t>ARE</t>
        </is>
      </c>
      <c r="B1602" s="30" t="inlineStr">
        <is>
          <t>Areal</t>
        </is>
      </c>
      <c r="C1602" s="30" t="n">
        <v>85727028</v>
      </c>
      <c r="D1602" s="30">
        <f>"66970229001139"</f>
        <v/>
      </c>
      <c r="E1602" s="30" t="inlineStr">
        <is>
          <t>NEXTEL TELECOMUNICACOES LTDA.</t>
        </is>
      </c>
      <c r="F1602" s="30" t="inlineStr">
        <is>
          <t>2019</t>
        </is>
      </c>
      <c r="G1602" s="40" t="n">
        <v>79765.59</v>
      </c>
    </row>
    <row r="1603" ht="12" customHeight="1">
      <c r="A1603" s="30" t="inlineStr">
        <is>
          <t>ARE</t>
        </is>
      </c>
      <c r="B1603" s="30" t="inlineStr">
        <is>
          <t>Areal</t>
        </is>
      </c>
      <c r="C1603" s="30" t="n">
        <v>85727028</v>
      </c>
      <c r="D1603" s="30">
        <f>"66970229001139"</f>
        <v/>
      </c>
      <c r="E1603" s="30" t="inlineStr">
        <is>
          <t>NEXTEL TELECOMUNICACOES LTDA.</t>
        </is>
      </c>
      <c r="F1603" s="30" t="inlineStr">
        <is>
          <t>2020</t>
        </is>
      </c>
      <c r="G1603" s="40" t="n">
        <v>87590.56</v>
      </c>
    </row>
    <row r="1604" ht="12" customHeight="1">
      <c r="A1604" s="30" t="inlineStr">
        <is>
          <t>ARE</t>
        </is>
      </c>
      <c r="B1604" s="30" t="inlineStr">
        <is>
          <t>Areal</t>
        </is>
      </c>
      <c r="C1604" s="30" t="n">
        <v>85727028</v>
      </c>
      <c r="D1604" s="30">
        <f>"66970229001139"</f>
        <v/>
      </c>
      <c r="E1604" s="30" t="inlineStr">
        <is>
          <t>NEXTEL TELECOMUNICACOES LTDA.</t>
        </is>
      </c>
      <c r="F1604" s="30" t="inlineStr">
        <is>
          <t>2021</t>
        </is>
      </c>
      <c r="G1604" s="40" t="n">
        <v>861030.25</v>
      </c>
    </row>
    <row r="1605" ht="12" customHeight="1">
      <c r="A1605" s="30" t="inlineStr">
        <is>
          <t>ARE</t>
        </is>
      </c>
      <c r="B1605" s="30" t="inlineStr">
        <is>
          <t>Areal</t>
        </is>
      </c>
      <c r="C1605" s="30" t="n">
        <v>85727028</v>
      </c>
      <c r="D1605" s="30">
        <f>"66970229001139"</f>
        <v/>
      </c>
      <c r="E1605" s="30" t="inlineStr">
        <is>
          <t>NEXTEL TELECOMUNICACOES LTDA.</t>
        </is>
      </c>
      <c r="F1605" s="30" t="inlineStr">
        <is>
          <t>2022</t>
        </is>
      </c>
      <c r="G1605" s="40" t="n">
        <v>1505997.81</v>
      </c>
    </row>
    <row r="1606" ht="12" customHeight="1">
      <c r="A1606" s="30" t="inlineStr">
        <is>
          <t>ARE</t>
        </is>
      </c>
      <c r="B1606" s="30" t="inlineStr">
        <is>
          <t>Areal</t>
        </is>
      </c>
      <c r="C1606" s="30" t="n">
        <v>85727028</v>
      </c>
      <c r="D1606" s="30">
        <f>"66970229001139"</f>
        <v/>
      </c>
      <c r="E1606" s="30" t="inlineStr">
        <is>
          <t>NEXTEL TELECOMUNICACOES LTDA.</t>
        </is>
      </c>
      <c r="F1606" s="30" t="inlineStr">
        <is>
          <t>2023</t>
        </is>
      </c>
      <c r="G1606" s="40" t="n">
        <v>1431769.43</v>
      </c>
    </row>
    <row r="1607" ht="12" customHeight="1">
      <c r="A1607" s="30" t="inlineStr">
        <is>
          <t>ARE</t>
        </is>
      </c>
      <c r="B1607" s="30" t="inlineStr">
        <is>
          <t>Areal</t>
        </is>
      </c>
      <c r="C1607" s="30" t="n">
        <v>86038870</v>
      </c>
      <c r="D1607" s="30">
        <f>"01562471000156"</f>
        <v/>
      </c>
      <c r="E1607" s="30" t="inlineStr">
        <is>
          <t>LUCAS E JUNIOR TRANSPORTADORA LTDA</t>
        </is>
      </c>
      <c r="F1607" s="30" t="inlineStr">
        <is>
          <t>2018</t>
        </is>
      </c>
      <c r="G1607" s="40" t="n">
        <v>0</v>
      </c>
    </row>
    <row r="1608" ht="12" customHeight="1">
      <c r="A1608" s="30" t="inlineStr">
        <is>
          <t>ARE</t>
        </is>
      </c>
      <c r="B1608" s="30" t="inlineStr">
        <is>
          <t>Areal</t>
        </is>
      </c>
      <c r="C1608" s="30" t="n">
        <v>86038870</v>
      </c>
      <c r="D1608" s="30">
        <f>"01562471000156"</f>
        <v/>
      </c>
      <c r="E1608" s="30" t="inlineStr">
        <is>
          <t>LUCAS E JUNIOR TRANSPORTADORA LTDA</t>
        </is>
      </c>
      <c r="F1608" s="30" t="inlineStr">
        <is>
          <t>2019</t>
        </is>
      </c>
      <c r="G1608" s="40" t="n">
        <v>0</v>
      </c>
    </row>
    <row r="1609" ht="12" customHeight="1">
      <c r="A1609" s="30" t="inlineStr">
        <is>
          <t>ARE</t>
        </is>
      </c>
      <c r="B1609" s="30" t="inlineStr">
        <is>
          <t>Areal</t>
        </is>
      </c>
      <c r="C1609" s="30" t="n">
        <v>86038870</v>
      </c>
      <c r="D1609" s="30">
        <f>"01562471000156"</f>
        <v/>
      </c>
      <c r="E1609" s="30" t="inlineStr">
        <is>
          <t>LUCAS E JUNIOR TRANSPORTADORA LTDA</t>
        </is>
      </c>
      <c r="F1609" s="30" t="inlineStr">
        <is>
          <t>2020</t>
        </is>
      </c>
      <c r="G1609" s="40" t="n">
        <v>5960.46</v>
      </c>
    </row>
    <row r="1610" ht="12" customHeight="1">
      <c r="A1610" s="30" t="inlineStr">
        <is>
          <t>ARE</t>
        </is>
      </c>
      <c r="B1610" s="30" t="inlineStr">
        <is>
          <t>Areal</t>
        </is>
      </c>
      <c r="C1610" s="30" t="n">
        <v>86038870</v>
      </c>
      <c r="D1610" s="30">
        <f>"01562471000156"</f>
        <v/>
      </c>
      <c r="E1610" s="30" t="inlineStr">
        <is>
          <t>LUCAS E JUNIOR TRANSPORTADORA LTDA</t>
        </is>
      </c>
      <c r="F1610" s="30" t="inlineStr">
        <is>
          <t>2021</t>
        </is>
      </c>
      <c r="G1610" s="40" t="n">
        <v>9667.379999999999</v>
      </c>
    </row>
    <row r="1611" ht="12" customHeight="1">
      <c r="A1611" s="30" t="inlineStr">
        <is>
          <t>ARE</t>
        </is>
      </c>
      <c r="B1611" s="30" t="inlineStr">
        <is>
          <t>Areal</t>
        </is>
      </c>
      <c r="C1611" s="30" t="n">
        <v>86038870</v>
      </c>
      <c r="D1611" s="30">
        <f>"01562471000156"</f>
        <v/>
      </c>
      <c r="E1611" s="30" t="inlineStr">
        <is>
          <t>LUCAS E JUNIOR TRANSPORTADORA LTDA</t>
        </is>
      </c>
      <c r="F1611" s="30" t="inlineStr">
        <is>
          <t>2022</t>
        </is>
      </c>
      <c r="G1611" s="40" t="n">
        <v>0</v>
      </c>
    </row>
    <row r="1612" ht="12" customHeight="1">
      <c r="A1612" s="30" t="inlineStr">
        <is>
          <t>ARE</t>
        </is>
      </c>
      <c r="B1612" s="30" t="inlineStr">
        <is>
          <t>Areal</t>
        </is>
      </c>
      <c r="C1612" s="30" t="n">
        <v>86038870</v>
      </c>
      <c r="D1612" s="30">
        <f>"01562471000156"</f>
        <v/>
      </c>
      <c r="E1612" s="30" t="inlineStr">
        <is>
          <t>LUCAS E JUNIOR TRANSPORTADORA LTDA</t>
        </is>
      </c>
      <c r="F1612" s="30" t="inlineStr">
        <is>
          <t>2023</t>
        </is>
      </c>
      <c r="G1612" s="40" t="n">
        <v>238098.94</v>
      </c>
    </row>
    <row r="1613" ht="12" customHeight="1">
      <c r="A1613" s="30" t="inlineStr">
        <is>
          <t>ARE</t>
        </is>
      </c>
      <c r="B1613" s="30" t="inlineStr">
        <is>
          <t>Areal</t>
        </is>
      </c>
      <c r="C1613" s="30" t="n">
        <v>86039281</v>
      </c>
      <c r="D1613" s="30">
        <f>"19451038000702"</f>
        <v/>
      </c>
      <c r="E1613" s="30" t="inlineStr">
        <is>
          <t>RODOVIARIO CAMILO DOS SANTOS FILHO LTDA</t>
        </is>
      </c>
      <c r="F1613" s="30" t="inlineStr">
        <is>
          <t>2017</t>
        </is>
      </c>
      <c r="G1613" s="40" t="n">
        <v>40748.5</v>
      </c>
    </row>
    <row r="1614" ht="12" customHeight="1">
      <c r="A1614" s="30" t="inlineStr">
        <is>
          <t>ARE</t>
        </is>
      </c>
      <c r="B1614" s="30" t="inlineStr">
        <is>
          <t>Areal</t>
        </is>
      </c>
      <c r="C1614" s="30" t="n">
        <v>86039281</v>
      </c>
      <c r="D1614" s="30">
        <f>"19451038000702"</f>
        <v/>
      </c>
      <c r="E1614" s="30" t="inlineStr">
        <is>
          <t>RODOVIARIO CAMILO DOS SANTOS FILHO LTDA</t>
        </is>
      </c>
      <c r="F1614" s="30" t="inlineStr">
        <is>
          <t>2018</t>
        </is>
      </c>
      <c r="G1614" s="40" t="n">
        <v>16294.84</v>
      </c>
    </row>
    <row r="1615" ht="12" customHeight="1">
      <c r="A1615" s="30" t="inlineStr">
        <is>
          <t>ARE</t>
        </is>
      </c>
      <c r="B1615" s="30" t="inlineStr">
        <is>
          <t>Areal</t>
        </is>
      </c>
      <c r="C1615" s="30" t="n">
        <v>86039281</v>
      </c>
      <c r="D1615" s="30">
        <f>"19451038000702"</f>
        <v/>
      </c>
      <c r="E1615" s="30" t="inlineStr">
        <is>
          <t>RODOVIARIO CAMILO DOS SANTOS FILHO LTDA</t>
        </is>
      </c>
      <c r="F1615" s="30" t="inlineStr">
        <is>
          <t>2019</t>
        </is>
      </c>
      <c r="G1615" s="40" t="n">
        <v>18788.92</v>
      </c>
    </row>
    <row r="1616" ht="12" customHeight="1">
      <c r="A1616" s="30" t="inlineStr">
        <is>
          <t>ARE</t>
        </is>
      </c>
      <c r="B1616" s="30" t="inlineStr">
        <is>
          <t>Areal</t>
        </is>
      </c>
      <c r="C1616" s="30" t="n">
        <v>86039281</v>
      </c>
      <c r="D1616" s="30">
        <f>"19451038000702"</f>
        <v/>
      </c>
      <c r="E1616" s="30" t="inlineStr">
        <is>
          <t>RODOVIARIO CAMILO DOS SANTOS FILHO LTDA</t>
        </is>
      </c>
      <c r="F1616" s="30" t="inlineStr">
        <is>
          <t>2020</t>
        </is>
      </c>
      <c r="G1616" s="40" t="n">
        <v>22110.92</v>
      </c>
    </row>
    <row r="1617" ht="12" customHeight="1">
      <c r="A1617" s="30" t="inlineStr">
        <is>
          <t>ARE</t>
        </is>
      </c>
      <c r="B1617" s="30" t="inlineStr">
        <is>
          <t>Areal</t>
        </is>
      </c>
      <c r="C1617" s="30" t="n">
        <v>86039281</v>
      </c>
      <c r="D1617" s="30">
        <f>"19451038000702"</f>
        <v/>
      </c>
      <c r="E1617" s="30" t="inlineStr">
        <is>
          <t>RODOVIARIO CAMILO DOS SANTOS FILHO LTDA</t>
        </is>
      </c>
      <c r="F1617" s="30" t="inlineStr">
        <is>
          <t>2021</t>
        </is>
      </c>
      <c r="G1617" s="40" t="n">
        <v>32655.18</v>
      </c>
    </row>
    <row r="1618" ht="12" customHeight="1">
      <c r="A1618" s="30" t="inlineStr">
        <is>
          <t>ARE</t>
        </is>
      </c>
      <c r="B1618" s="30" t="inlineStr">
        <is>
          <t>Areal</t>
        </is>
      </c>
      <c r="C1618" s="30" t="n">
        <v>86039281</v>
      </c>
      <c r="D1618" s="30">
        <f>"19451038000702"</f>
        <v/>
      </c>
      <c r="E1618" s="30" t="inlineStr">
        <is>
          <t>RODOVIARIO CAMILO DOS SANTOS FILHO LTDA</t>
        </is>
      </c>
      <c r="F1618" s="30" t="inlineStr">
        <is>
          <t>2022</t>
        </is>
      </c>
      <c r="G1618" s="40" t="n">
        <v>39463.24</v>
      </c>
    </row>
    <row r="1619" ht="12" customHeight="1">
      <c r="A1619" s="30" t="inlineStr">
        <is>
          <t>ARE</t>
        </is>
      </c>
      <c r="B1619" s="30" t="inlineStr">
        <is>
          <t>Areal</t>
        </is>
      </c>
      <c r="C1619" s="30" t="n">
        <v>86039281</v>
      </c>
      <c r="D1619" s="30">
        <f>"19451038000702"</f>
        <v/>
      </c>
      <c r="E1619" s="30" t="inlineStr">
        <is>
          <t>RODOVIARIO CAMILO DOS SANTOS FILHO LTDA</t>
        </is>
      </c>
      <c r="F1619" s="30" t="inlineStr">
        <is>
          <t>2023</t>
        </is>
      </c>
      <c r="G1619" s="40" t="n">
        <v>56109.06</v>
      </c>
    </row>
    <row r="1620" ht="12" customHeight="1">
      <c r="A1620" s="30" t="inlineStr">
        <is>
          <t>ARE</t>
        </is>
      </c>
      <c r="B1620" s="30" t="inlineStr">
        <is>
          <t>Areal</t>
        </is>
      </c>
      <c r="C1620" s="30" t="n">
        <v>86039842</v>
      </c>
      <c r="D1620" s="30">
        <f>"86442720000203"</f>
        <v/>
      </c>
      <c r="E1620" s="30" t="inlineStr">
        <is>
          <t>COOPERATIVA RIOBRANQUENSE DE TRANSPORTES LTDA</t>
        </is>
      </c>
      <c r="F1620" s="30" t="inlineStr">
        <is>
          <t>2017</t>
        </is>
      </c>
      <c r="G1620" s="40" t="n">
        <v>5000</v>
      </c>
    </row>
    <row r="1621" ht="12" customHeight="1">
      <c r="A1621" s="30" t="inlineStr">
        <is>
          <t>ARE</t>
        </is>
      </c>
      <c r="B1621" s="30" t="inlineStr">
        <is>
          <t>Areal</t>
        </is>
      </c>
      <c r="C1621" s="30" t="n">
        <v>86039842</v>
      </c>
      <c r="D1621" s="30">
        <f>"86442720000203"</f>
        <v/>
      </c>
      <c r="E1621" s="30" t="inlineStr">
        <is>
          <t>COOPERATIVA RIOBRANQUENSE DE TRANSPORTES LTDA</t>
        </is>
      </c>
      <c r="F1621" s="30" t="inlineStr">
        <is>
          <t>2018</t>
        </is>
      </c>
      <c r="G1621" s="40" t="n">
        <v>0</v>
      </c>
    </row>
    <row r="1622" ht="12" customHeight="1">
      <c r="A1622" s="30" t="inlineStr">
        <is>
          <t>ARE</t>
        </is>
      </c>
      <c r="B1622" s="30" t="inlineStr">
        <is>
          <t>Areal</t>
        </is>
      </c>
      <c r="C1622" s="30" t="n">
        <v>86039842</v>
      </c>
      <c r="D1622" s="30">
        <f>"86442720000203"</f>
        <v/>
      </c>
      <c r="E1622" s="30" t="inlineStr">
        <is>
          <t>COOPERATIVA RIOBRANQUENSE DE TRANSPORTES LTDA</t>
        </is>
      </c>
      <c r="F1622" s="30" t="inlineStr">
        <is>
          <t>2019</t>
        </is>
      </c>
      <c r="G1622" s="40" t="n">
        <v>0</v>
      </c>
    </row>
    <row r="1623" ht="12" customHeight="1">
      <c r="A1623" s="30" t="inlineStr">
        <is>
          <t>ARE</t>
        </is>
      </c>
      <c r="B1623" s="30" t="inlineStr">
        <is>
          <t>Areal</t>
        </is>
      </c>
      <c r="C1623" s="30" t="n">
        <v>86039842</v>
      </c>
      <c r="D1623" s="30">
        <f>"86442720000203"</f>
        <v/>
      </c>
      <c r="E1623" s="30" t="inlineStr">
        <is>
          <t>COOPERATIVA RIOBRANQUENSE DE TRANSPORTES LTDA</t>
        </is>
      </c>
      <c r="F1623" s="30" t="inlineStr">
        <is>
          <t>2020</t>
        </is>
      </c>
      <c r="G1623" s="40" t="n">
        <v>0</v>
      </c>
    </row>
    <row r="1624" ht="12" customHeight="1">
      <c r="A1624" s="30" t="inlineStr">
        <is>
          <t>ARE</t>
        </is>
      </c>
      <c r="B1624" s="30" t="inlineStr">
        <is>
          <t>Areal</t>
        </is>
      </c>
      <c r="C1624" s="30" t="n">
        <v>86039842</v>
      </c>
      <c r="D1624" s="30">
        <f>"86442720000203"</f>
        <v/>
      </c>
      <c r="E1624" s="30" t="inlineStr">
        <is>
          <t>COOPERATIVA RIOBRANQUENSE DE TRANSPORTES LTDA</t>
        </is>
      </c>
      <c r="F1624" s="30" t="inlineStr">
        <is>
          <t>2021</t>
        </is>
      </c>
      <c r="G1624" s="40" t="n">
        <v>0</v>
      </c>
    </row>
    <row r="1625" ht="12" customHeight="1">
      <c r="A1625" s="30" t="inlineStr">
        <is>
          <t>ARE</t>
        </is>
      </c>
      <c r="B1625" s="30" t="inlineStr">
        <is>
          <t>Areal</t>
        </is>
      </c>
      <c r="C1625" s="30" t="n">
        <v>86039842</v>
      </c>
      <c r="D1625" s="30">
        <f>"86442720000203"</f>
        <v/>
      </c>
      <c r="E1625" s="30" t="inlineStr">
        <is>
          <t>COOPERATIVA RIOBRANQUENSE DE TRANSPORTES LTDA</t>
        </is>
      </c>
      <c r="F1625" s="30" t="inlineStr">
        <is>
          <t>2022</t>
        </is>
      </c>
      <c r="G1625" s="40" t="n">
        <v>13127</v>
      </c>
    </row>
    <row r="1626" ht="12" customHeight="1">
      <c r="A1626" s="30" t="inlineStr">
        <is>
          <t>ARE</t>
        </is>
      </c>
      <c r="B1626" s="30" t="inlineStr">
        <is>
          <t>Areal</t>
        </is>
      </c>
      <c r="C1626" s="30" t="n">
        <v>86039842</v>
      </c>
      <c r="D1626" s="30">
        <f>"86442720000203"</f>
        <v/>
      </c>
      <c r="E1626" s="30" t="inlineStr">
        <is>
          <t>COOPERATIVA RIOBRANQUENSE DE TRANSPORTES LTDA</t>
        </is>
      </c>
      <c r="F1626" s="30" t="inlineStr">
        <is>
          <t>2023</t>
        </is>
      </c>
      <c r="G1626" s="40" t="n">
        <v>0</v>
      </c>
    </row>
    <row r="1627" ht="12" customHeight="1">
      <c r="A1627" s="30" t="inlineStr">
        <is>
          <t>ARE</t>
        </is>
      </c>
      <c r="B1627" s="30" t="inlineStr">
        <is>
          <t>Areal</t>
        </is>
      </c>
      <c r="C1627" s="30" t="n">
        <v>86092085</v>
      </c>
      <c r="D1627" s="30">
        <f>"02421421000111"</f>
        <v/>
      </c>
      <c r="E1627" s="30" t="inlineStr">
        <is>
          <t>TIM S.A.</t>
        </is>
      </c>
      <c r="F1627" s="30" t="inlineStr">
        <is>
          <t>2017</t>
        </is>
      </c>
      <c r="G1627" s="40" t="n">
        <v>424434.14</v>
      </c>
    </row>
    <row r="1628" ht="12" customHeight="1">
      <c r="A1628" s="30" t="inlineStr">
        <is>
          <t>ARE</t>
        </is>
      </c>
      <c r="B1628" s="30" t="inlineStr">
        <is>
          <t>Areal</t>
        </is>
      </c>
      <c r="C1628" s="30" t="n">
        <v>86092085</v>
      </c>
      <c r="D1628" s="30">
        <f>"02421421000111"</f>
        <v/>
      </c>
      <c r="E1628" s="30" t="inlineStr">
        <is>
          <t>TIM S.A.</t>
        </is>
      </c>
      <c r="F1628" s="30" t="inlineStr">
        <is>
          <t>2018</t>
        </is>
      </c>
      <c r="G1628" s="40" t="n">
        <v>859694.53</v>
      </c>
    </row>
    <row r="1629" ht="12" customHeight="1">
      <c r="A1629" s="30" t="inlineStr">
        <is>
          <t>ARE</t>
        </is>
      </c>
      <c r="B1629" s="30" t="inlineStr">
        <is>
          <t>Areal</t>
        </is>
      </c>
      <c r="C1629" s="30" t="n">
        <v>86092085</v>
      </c>
      <c r="D1629" s="30">
        <f>"02421421000111"</f>
        <v/>
      </c>
      <c r="E1629" s="30" t="inlineStr">
        <is>
          <t>TIM S.A.</t>
        </is>
      </c>
      <c r="F1629" s="30" t="inlineStr">
        <is>
          <t>2019</t>
        </is>
      </c>
      <c r="G1629" s="40" t="n">
        <v>3133427.57</v>
      </c>
    </row>
    <row r="1630" ht="12" customHeight="1">
      <c r="A1630" s="30" t="inlineStr">
        <is>
          <t>ARE</t>
        </is>
      </c>
      <c r="B1630" s="30" t="inlineStr">
        <is>
          <t>Areal</t>
        </is>
      </c>
      <c r="C1630" s="30" t="n">
        <v>86092085</v>
      </c>
      <c r="D1630" s="30">
        <f>"02421421000111"</f>
        <v/>
      </c>
      <c r="E1630" s="30" t="inlineStr">
        <is>
          <t>TIM S.A.</t>
        </is>
      </c>
      <c r="F1630" s="30" t="inlineStr">
        <is>
          <t>2020</t>
        </is>
      </c>
      <c r="G1630" s="40" t="n">
        <v>3049786.87</v>
      </c>
    </row>
    <row r="1631" ht="12" customHeight="1">
      <c r="A1631" s="30" t="inlineStr">
        <is>
          <t>ARE</t>
        </is>
      </c>
      <c r="B1631" s="30" t="inlineStr">
        <is>
          <t>Areal</t>
        </is>
      </c>
      <c r="C1631" s="30" t="n">
        <v>86092085</v>
      </c>
      <c r="D1631" s="30">
        <f>"02421421000111"</f>
        <v/>
      </c>
      <c r="E1631" s="30" t="inlineStr">
        <is>
          <t>TIM S.A.</t>
        </is>
      </c>
      <c r="F1631" s="30" t="inlineStr">
        <is>
          <t>2021</t>
        </is>
      </c>
      <c r="G1631" s="40" t="n">
        <v>3315255.96</v>
      </c>
    </row>
    <row r="1632" ht="12" customHeight="1">
      <c r="A1632" s="30" t="inlineStr">
        <is>
          <t>ARE</t>
        </is>
      </c>
      <c r="B1632" s="30" t="inlineStr">
        <is>
          <t>Areal</t>
        </is>
      </c>
      <c r="C1632" s="30" t="n">
        <v>86092085</v>
      </c>
      <c r="D1632" s="30">
        <f>"02421421000111"</f>
        <v/>
      </c>
      <c r="E1632" s="30" t="inlineStr">
        <is>
          <t>TIM S.A.</t>
        </is>
      </c>
      <c r="F1632" s="30" t="inlineStr">
        <is>
          <t>2022</t>
        </is>
      </c>
      <c r="G1632" s="40" t="n">
        <v>3052291.59</v>
      </c>
    </row>
    <row r="1633" ht="12" customHeight="1">
      <c r="A1633" s="30" t="inlineStr">
        <is>
          <t>ARE</t>
        </is>
      </c>
      <c r="B1633" s="30" t="inlineStr">
        <is>
          <t>Areal</t>
        </is>
      </c>
      <c r="C1633" s="30" t="n">
        <v>86092085</v>
      </c>
      <c r="D1633" s="30">
        <f>"02421421000111"</f>
        <v/>
      </c>
      <c r="E1633" s="30" t="inlineStr">
        <is>
          <t>TIM S.A.</t>
        </is>
      </c>
      <c r="F1633" s="30" t="inlineStr">
        <is>
          <t>2023</t>
        </is>
      </c>
      <c r="G1633" s="40" t="n">
        <v>3849479.97</v>
      </c>
    </row>
    <row r="1634" ht="12" customHeight="1">
      <c r="A1634" s="30" t="inlineStr">
        <is>
          <t>ARE</t>
        </is>
      </c>
      <c r="B1634" s="30" t="inlineStr">
        <is>
          <t>Areal</t>
        </is>
      </c>
      <c r="C1634" s="30" t="n">
        <v>86160919</v>
      </c>
      <c r="D1634" s="30">
        <f>"01682917000186"</f>
        <v/>
      </c>
      <c r="E1634" s="30" t="inlineStr">
        <is>
          <t>COUTRANS TRANSPORTES E SERVICOS LTDA</t>
        </is>
      </c>
      <c r="F1634" s="30" t="inlineStr">
        <is>
          <t>2017</t>
        </is>
      </c>
      <c r="G1634" s="40" t="n">
        <v>0</v>
      </c>
    </row>
    <row r="1635" ht="12" customHeight="1">
      <c r="A1635" s="30" t="inlineStr">
        <is>
          <t>ARE</t>
        </is>
      </c>
      <c r="B1635" s="30" t="inlineStr">
        <is>
          <t>Areal</t>
        </is>
      </c>
      <c r="C1635" s="30" t="n">
        <v>86160919</v>
      </c>
      <c r="D1635" s="30">
        <f>"01682917000186"</f>
        <v/>
      </c>
      <c r="E1635" s="30" t="inlineStr">
        <is>
          <t>COUTRANS TRANSPORTES E SERVICOS LTDA</t>
        </is>
      </c>
      <c r="F1635" s="30" t="inlineStr">
        <is>
          <t>2018</t>
        </is>
      </c>
      <c r="G1635" s="40" t="n">
        <v>952.75</v>
      </c>
    </row>
    <row r="1636" ht="12" customHeight="1">
      <c r="A1636" s="30" t="inlineStr">
        <is>
          <t>ARE</t>
        </is>
      </c>
      <c r="B1636" s="30" t="inlineStr">
        <is>
          <t>Areal</t>
        </is>
      </c>
      <c r="C1636" s="30" t="n">
        <v>86160919</v>
      </c>
      <c r="D1636" s="30">
        <f>"01682917000186"</f>
        <v/>
      </c>
      <c r="E1636" s="30" t="inlineStr">
        <is>
          <t>COUTRANS TRANSPORTES E SERVICOS LTDA</t>
        </is>
      </c>
      <c r="F1636" s="30" t="inlineStr">
        <is>
          <t>2019</t>
        </is>
      </c>
      <c r="G1636" s="40" t="n">
        <v>227.25</v>
      </c>
    </row>
    <row r="1637" ht="12" customHeight="1">
      <c r="A1637" s="30" t="inlineStr">
        <is>
          <t>ARE</t>
        </is>
      </c>
      <c r="B1637" s="30" t="inlineStr">
        <is>
          <t>Areal</t>
        </is>
      </c>
      <c r="C1637" s="30" t="n">
        <v>86160919</v>
      </c>
      <c r="D1637" s="30">
        <f>"01682917000186"</f>
        <v/>
      </c>
      <c r="E1637" s="30" t="inlineStr">
        <is>
          <t>COUTRANS TRANSPORTES E SERVICOS LTDA</t>
        </is>
      </c>
      <c r="F1637" s="30" t="inlineStr">
        <is>
          <t>2020</t>
        </is>
      </c>
      <c r="G1637" s="40" t="n">
        <v>0</v>
      </c>
    </row>
    <row r="1638" ht="12" customHeight="1">
      <c r="A1638" s="30" t="inlineStr">
        <is>
          <t>ARE</t>
        </is>
      </c>
      <c r="B1638" s="30" t="inlineStr">
        <is>
          <t>Areal</t>
        </is>
      </c>
      <c r="C1638" s="30" t="n">
        <v>86160919</v>
      </c>
      <c r="D1638" s="30">
        <f>"01682917000186"</f>
        <v/>
      </c>
      <c r="E1638" s="30" t="inlineStr">
        <is>
          <t>COUTRANS TRANSPORTES E SERVICOS LTDA</t>
        </is>
      </c>
      <c r="F1638" s="30" t="inlineStr">
        <is>
          <t>2021</t>
        </is>
      </c>
      <c r="G1638" s="40" t="n">
        <v>212.1</v>
      </c>
    </row>
    <row r="1639" ht="12" customHeight="1">
      <c r="A1639" s="30" t="inlineStr">
        <is>
          <t>ARE</t>
        </is>
      </c>
      <c r="B1639" s="30" t="inlineStr">
        <is>
          <t>Areal</t>
        </is>
      </c>
      <c r="C1639" s="30" t="n">
        <v>86160919</v>
      </c>
      <c r="D1639" s="30">
        <f>"01682917000186"</f>
        <v/>
      </c>
      <c r="E1639" s="30" t="inlineStr">
        <is>
          <t>COUTRANS TRANSPORTES E SERVICOS LTDA</t>
        </is>
      </c>
      <c r="F1639" s="30" t="inlineStr">
        <is>
          <t>2022</t>
        </is>
      </c>
      <c r="G1639" s="40" t="n">
        <v>279.32</v>
      </c>
    </row>
    <row r="1640" ht="12" customHeight="1">
      <c r="A1640" s="30" t="inlineStr">
        <is>
          <t>ARE</t>
        </is>
      </c>
      <c r="B1640" s="30" t="inlineStr">
        <is>
          <t>Areal</t>
        </is>
      </c>
      <c r="C1640" s="30" t="n">
        <v>86160919</v>
      </c>
      <c r="D1640" s="30">
        <f>"01682917000186"</f>
        <v/>
      </c>
      <c r="E1640" s="30" t="inlineStr">
        <is>
          <t>COUTRANS TRANSPORTES E SERVICOS LTDA</t>
        </is>
      </c>
      <c r="F1640" s="30" t="inlineStr">
        <is>
          <t>2023</t>
        </is>
      </c>
      <c r="G1640" s="40" t="n">
        <v>0</v>
      </c>
    </row>
    <row r="1641" ht="12" customHeight="1">
      <c r="A1641" s="30" t="inlineStr">
        <is>
          <t>ARE</t>
        </is>
      </c>
      <c r="B1641" s="30" t="inlineStr">
        <is>
          <t>Areal</t>
        </is>
      </c>
      <c r="C1641" s="30" t="n">
        <v>86273004</v>
      </c>
      <c r="D1641" s="30">
        <f>"03113442000132"</f>
        <v/>
      </c>
      <c r="E1641" s="30" t="inlineStr">
        <is>
          <t>AGMSBS TRANSPORTES LTDA</t>
        </is>
      </c>
      <c r="F1641" s="30" t="inlineStr">
        <is>
          <t>2017</t>
        </is>
      </c>
      <c r="G1641" s="40" t="n">
        <v>0</v>
      </c>
    </row>
    <row r="1642" ht="12" customHeight="1">
      <c r="A1642" s="30" t="inlineStr">
        <is>
          <t>ARE</t>
        </is>
      </c>
      <c r="B1642" s="30" t="inlineStr">
        <is>
          <t>Areal</t>
        </is>
      </c>
      <c r="C1642" s="30" t="n">
        <v>86273004</v>
      </c>
      <c r="D1642" s="30">
        <f>"03113442000132"</f>
        <v/>
      </c>
      <c r="E1642" s="30" t="inlineStr">
        <is>
          <t>AGMSBS TRANSPORTES LTDA</t>
        </is>
      </c>
      <c r="F1642" s="30" t="inlineStr">
        <is>
          <t>2018</t>
        </is>
      </c>
      <c r="G1642" s="40" t="n">
        <v>0</v>
      </c>
    </row>
    <row r="1643" ht="12" customHeight="1">
      <c r="A1643" s="30" t="inlineStr">
        <is>
          <t>ARE</t>
        </is>
      </c>
      <c r="B1643" s="30" t="inlineStr">
        <is>
          <t>Areal</t>
        </is>
      </c>
      <c r="C1643" s="30" t="n">
        <v>86273004</v>
      </c>
      <c r="D1643" s="30">
        <f>"03113442000132"</f>
        <v/>
      </c>
      <c r="E1643" s="30" t="inlineStr">
        <is>
          <t>AGMSBS TRANSPORTES LTDA</t>
        </is>
      </c>
      <c r="F1643" s="30" t="inlineStr">
        <is>
          <t>2019</t>
        </is>
      </c>
      <c r="G1643" s="40" t="n">
        <v>1022.83</v>
      </c>
    </row>
    <row r="1644" ht="12" customHeight="1">
      <c r="A1644" s="30" t="inlineStr">
        <is>
          <t>ARE</t>
        </is>
      </c>
      <c r="B1644" s="30" t="inlineStr">
        <is>
          <t>Areal</t>
        </is>
      </c>
      <c r="C1644" s="30" t="n">
        <v>86273004</v>
      </c>
      <c r="D1644" s="30">
        <f>"03113442000132"</f>
        <v/>
      </c>
      <c r="E1644" s="30" t="inlineStr">
        <is>
          <t>AGMSBS TRANSPORTES LTDA</t>
        </is>
      </c>
      <c r="F1644" s="30" t="inlineStr">
        <is>
          <t>2020</t>
        </is>
      </c>
      <c r="G1644" s="40" t="n">
        <v>0</v>
      </c>
    </row>
    <row r="1645" ht="12" customHeight="1">
      <c r="A1645" s="30" t="inlineStr">
        <is>
          <t>ARE</t>
        </is>
      </c>
      <c r="B1645" s="30" t="inlineStr">
        <is>
          <t>Areal</t>
        </is>
      </c>
      <c r="C1645" s="30" t="n">
        <v>86273004</v>
      </c>
      <c r="D1645" s="30">
        <f>"03113442000132"</f>
        <v/>
      </c>
      <c r="E1645" s="30" t="inlineStr">
        <is>
          <t>AGMSBS TRANSPORTES LTDA</t>
        </is>
      </c>
      <c r="F1645" s="30" t="inlineStr">
        <is>
          <t>2021</t>
        </is>
      </c>
      <c r="G1645" s="40" t="n">
        <v>0</v>
      </c>
    </row>
    <row r="1646" ht="12" customHeight="1">
      <c r="A1646" s="30" t="inlineStr">
        <is>
          <t>ARE</t>
        </is>
      </c>
      <c r="B1646" s="30" t="inlineStr">
        <is>
          <t>Areal</t>
        </is>
      </c>
      <c r="C1646" s="30" t="n">
        <v>86288796</v>
      </c>
      <c r="D1646" s="30">
        <f>"01679681000200"</f>
        <v/>
      </c>
      <c r="E1646" s="30" t="inlineStr">
        <is>
          <t>HAMBURGO CARGAS LTDA</t>
        </is>
      </c>
      <c r="F1646" s="30" t="inlineStr">
        <is>
          <t>2017</t>
        </is>
      </c>
      <c r="G1646" s="40" t="n">
        <v>108.2</v>
      </c>
    </row>
    <row r="1647" ht="12" customHeight="1">
      <c r="A1647" s="30" t="inlineStr">
        <is>
          <t>ARE</t>
        </is>
      </c>
      <c r="B1647" s="30" t="inlineStr">
        <is>
          <t>Areal</t>
        </is>
      </c>
      <c r="C1647" s="30" t="n">
        <v>86288796</v>
      </c>
      <c r="D1647" s="30">
        <f>"01679681000200"</f>
        <v/>
      </c>
      <c r="E1647" s="30" t="inlineStr">
        <is>
          <t>HAMBURGO CARGAS LTDA</t>
        </is>
      </c>
      <c r="F1647" s="30" t="inlineStr">
        <is>
          <t>2018</t>
        </is>
      </c>
      <c r="G1647" s="40" t="n">
        <v>0</v>
      </c>
    </row>
    <row r="1648" ht="12" customHeight="1">
      <c r="A1648" s="30" t="inlineStr">
        <is>
          <t>ARE</t>
        </is>
      </c>
      <c r="B1648" s="30" t="inlineStr">
        <is>
          <t>Areal</t>
        </is>
      </c>
      <c r="C1648" s="30" t="n">
        <v>86288796</v>
      </c>
      <c r="D1648" s="30">
        <f>"01679681000200"</f>
        <v/>
      </c>
      <c r="E1648" s="30" t="inlineStr">
        <is>
          <t>HAMBURGO CARGAS LTDA</t>
        </is>
      </c>
      <c r="F1648" s="30" t="inlineStr">
        <is>
          <t>2019</t>
        </is>
      </c>
      <c r="G1648" s="40" t="n">
        <v>0</v>
      </c>
    </row>
    <row r="1649" ht="12" customHeight="1">
      <c r="A1649" s="30" t="inlineStr">
        <is>
          <t>ARE</t>
        </is>
      </c>
      <c r="B1649" s="30" t="inlineStr">
        <is>
          <t>Areal</t>
        </is>
      </c>
      <c r="C1649" s="30" t="n">
        <v>86288796</v>
      </c>
      <c r="D1649" s="30">
        <f>"01679681000200"</f>
        <v/>
      </c>
      <c r="E1649" s="30" t="inlineStr">
        <is>
          <t>HAMBURGO CARGAS LTDA</t>
        </is>
      </c>
      <c r="F1649" s="30" t="inlineStr">
        <is>
          <t>2020</t>
        </is>
      </c>
      <c r="G1649" s="40" t="n">
        <v>0</v>
      </c>
    </row>
    <row r="1650" ht="12" customHeight="1">
      <c r="A1650" s="30" t="inlineStr">
        <is>
          <t>ARE</t>
        </is>
      </c>
      <c r="B1650" s="30" t="inlineStr">
        <is>
          <t>Areal</t>
        </is>
      </c>
      <c r="C1650" s="30" t="n">
        <v>86288796</v>
      </c>
      <c r="D1650" s="30">
        <f>"01679681000200"</f>
        <v/>
      </c>
      <c r="E1650" s="30" t="inlineStr">
        <is>
          <t>HAMBURGO CARGAS LTDA</t>
        </is>
      </c>
      <c r="F1650" s="30" t="inlineStr">
        <is>
          <t>2021</t>
        </is>
      </c>
      <c r="G1650" s="40" t="n">
        <v>0</v>
      </c>
    </row>
    <row r="1651" ht="12" customHeight="1">
      <c r="A1651" s="30" t="inlineStr">
        <is>
          <t>ARE</t>
        </is>
      </c>
      <c r="B1651" s="30" t="inlineStr">
        <is>
          <t>Areal</t>
        </is>
      </c>
      <c r="C1651" s="30" t="n">
        <v>86288796</v>
      </c>
      <c r="D1651" s="30">
        <f>"01679681000200"</f>
        <v/>
      </c>
      <c r="E1651" s="30" t="inlineStr">
        <is>
          <t>HAMBURGO CARGAS LTDA</t>
        </is>
      </c>
      <c r="F1651" s="30" t="inlineStr">
        <is>
          <t>2022</t>
        </is>
      </c>
      <c r="G1651" s="40" t="n">
        <v>192.11</v>
      </c>
    </row>
    <row r="1652" ht="12" customHeight="1">
      <c r="A1652" s="30" t="inlineStr">
        <is>
          <t>ARE</t>
        </is>
      </c>
      <c r="B1652" s="30" t="inlineStr">
        <is>
          <t>Areal</t>
        </is>
      </c>
      <c r="C1652" s="30" t="n">
        <v>86288796</v>
      </c>
      <c r="D1652" s="30">
        <f>"01679681000200"</f>
        <v/>
      </c>
      <c r="E1652" s="30" t="inlineStr">
        <is>
          <t>HAMBURGO CARGAS LTDA</t>
        </is>
      </c>
      <c r="F1652" s="30" t="inlineStr">
        <is>
          <t>2023</t>
        </is>
      </c>
      <c r="G1652" s="40" t="n">
        <v>0</v>
      </c>
    </row>
    <row r="1653" ht="12" customHeight="1">
      <c r="A1653" s="30" t="inlineStr">
        <is>
          <t>ARE</t>
        </is>
      </c>
      <c r="B1653" s="30" t="inlineStr">
        <is>
          <t>Areal</t>
        </is>
      </c>
      <c r="C1653" s="30" t="n">
        <v>86374005</v>
      </c>
      <c r="D1653" s="30">
        <f>"02277810000115"</f>
        <v/>
      </c>
      <c r="E1653" s="30" t="inlineStr">
        <is>
          <t>A L MONCAO PINTO ME</t>
        </is>
      </c>
      <c r="F1653" s="30" t="inlineStr">
        <is>
          <t>2017</t>
        </is>
      </c>
      <c r="G1653" s="40" t="n">
        <v>350</v>
      </c>
    </row>
    <row r="1654" ht="12" customHeight="1">
      <c r="A1654" s="30" t="inlineStr">
        <is>
          <t>ARE</t>
        </is>
      </c>
      <c r="B1654" s="30" t="inlineStr">
        <is>
          <t>Areal</t>
        </is>
      </c>
      <c r="C1654" s="30" t="n">
        <v>86374005</v>
      </c>
      <c r="D1654" s="30">
        <f>"02277810000115"</f>
        <v/>
      </c>
      <c r="E1654" s="30" t="inlineStr">
        <is>
          <t>A L MONCAO PINTO ME</t>
        </is>
      </c>
      <c r="F1654" s="30" t="inlineStr">
        <is>
          <t>2018</t>
        </is>
      </c>
      <c r="G1654" s="40" t="n">
        <v>0</v>
      </c>
    </row>
    <row r="1655" ht="12" customHeight="1">
      <c r="A1655" s="30" t="inlineStr">
        <is>
          <t>ARE</t>
        </is>
      </c>
      <c r="B1655" s="30" t="inlineStr">
        <is>
          <t>Areal</t>
        </is>
      </c>
      <c r="C1655" s="30" t="n">
        <v>86374005</v>
      </c>
      <c r="D1655" s="30">
        <f>"02277810000115"</f>
        <v/>
      </c>
      <c r="E1655" s="30" t="inlineStr">
        <is>
          <t>A L MONCAO PINTO ME</t>
        </is>
      </c>
      <c r="F1655" s="30" t="inlineStr">
        <is>
          <t>2019</t>
        </is>
      </c>
      <c r="G1655" s="40" t="n">
        <v>0</v>
      </c>
    </row>
    <row r="1656" ht="12" customHeight="1">
      <c r="A1656" s="30" t="inlineStr">
        <is>
          <t>ARE</t>
        </is>
      </c>
      <c r="B1656" s="30" t="inlineStr">
        <is>
          <t>Areal</t>
        </is>
      </c>
      <c r="C1656" s="30" t="n">
        <v>86374005</v>
      </c>
      <c r="D1656" s="30">
        <f>"02277810000115"</f>
        <v/>
      </c>
      <c r="E1656" s="30" t="inlineStr">
        <is>
          <t>A L MONCAO PINTO ME</t>
        </is>
      </c>
      <c r="F1656" s="30" t="inlineStr">
        <is>
          <t>2020</t>
        </is>
      </c>
      <c r="G1656" s="40" t="n">
        <v>0</v>
      </c>
    </row>
    <row r="1657" ht="12" customHeight="1">
      <c r="A1657" s="30" t="inlineStr">
        <is>
          <t>ARE</t>
        </is>
      </c>
      <c r="B1657" s="30" t="inlineStr">
        <is>
          <t>Areal</t>
        </is>
      </c>
      <c r="C1657" s="30" t="n">
        <v>86374005</v>
      </c>
      <c r="D1657" s="30">
        <f>"02277810000115"</f>
        <v/>
      </c>
      <c r="E1657" s="30" t="inlineStr">
        <is>
          <t>A L MONCAO PINTO ME</t>
        </is>
      </c>
      <c r="F1657" s="30" t="inlineStr">
        <is>
          <t>2021</t>
        </is>
      </c>
      <c r="G1657" s="40" t="n">
        <v>3500</v>
      </c>
    </row>
    <row r="1658" ht="12" customHeight="1">
      <c r="A1658" s="30" t="inlineStr">
        <is>
          <t>ARE</t>
        </is>
      </c>
      <c r="B1658" s="30" t="inlineStr">
        <is>
          <t>Areal</t>
        </is>
      </c>
      <c r="C1658" s="30" t="n">
        <v>86374005</v>
      </c>
      <c r="D1658" s="30">
        <f>"02277810000115"</f>
        <v/>
      </c>
      <c r="E1658" s="30" t="inlineStr">
        <is>
          <t>A L MONCAO PINTO ME</t>
        </is>
      </c>
      <c r="F1658" s="30" t="inlineStr">
        <is>
          <t>2022</t>
        </is>
      </c>
      <c r="G1658" s="40" t="n">
        <v>0</v>
      </c>
    </row>
    <row r="1659" ht="12" customHeight="1">
      <c r="A1659" s="30" t="inlineStr">
        <is>
          <t>ARE</t>
        </is>
      </c>
      <c r="B1659" s="30" t="inlineStr">
        <is>
          <t>Areal</t>
        </is>
      </c>
      <c r="C1659" s="30" t="n">
        <v>86374005</v>
      </c>
      <c r="D1659" s="30">
        <f>"02277810000115"</f>
        <v/>
      </c>
      <c r="E1659" s="30" t="inlineStr">
        <is>
          <t>A L MONCAO PINTO ME</t>
        </is>
      </c>
      <c r="F1659" s="30" t="inlineStr">
        <is>
          <t>2023</t>
        </is>
      </c>
      <c r="G1659" s="40" t="n">
        <v>0</v>
      </c>
    </row>
    <row r="1660" ht="12" customHeight="1">
      <c r="A1660" s="30" t="inlineStr">
        <is>
          <t>ARE</t>
        </is>
      </c>
      <c r="B1660" s="30" t="inlineStr">
        <is>
          <t>Areal</t>
        </is>
      </c>
      <c r="C1660" s="30" t="n">
        <v>86542072</v>
      </c>
      <c r="D1660" s="30">
        <f>"08062253000444"</f>
        <v/>
      </c>
      <c r="E1660" s="30" t="inlineStr">
        <is>
          <t>CAMBRIDGE TELECOMUNICACOES LTDA</t>
        </is>
      </c>
      <c r="F1660" s="30" t="inlineStr">
        <is>
          <t>2017</t>
        </is>
      </c>
      <c r="G1660" s="40" t="n">
        <v>3871.3</v>
      </c>
    </row>
    <row r="1661" ht="12" customHeight="1">
      <c r="A1661" s="30" t="inlineStr">
        <is>
          <t>ARE</t>
        </is>
      </c>
      <c r="B1661" s="30" t="inlineStr">
        <is>
          <t>Areal</t>
        </is>
      </c>
      <c r="C1661" s="30" t="n">
        <v>86542072</v>
      </c>
      <c r="D1661" s="30">
        <f>"08062253000444"</f>
        <v/>
      </c>
      <c r="E1661" s="30" t="inlineStr">
        <is>
          <t>CAMBRIDGE TELECOMUNICACOES LTDA</t>
        </is>
      </c>
      <c r="F1661" s="30" t="inlineStr">
        <is>
          <t>2018</t>
        </is>
      </c>
      <c r="G1661" s="40" t="n">
        <v>77.01000000000001</v>
      </c>
    </row>
    <row r="1662" ht="12" customHeight="1">
      <c r="A1662" s="30" t="inlineStr">
        <is>
          <t>ARE</t>
        </is>
      </c>
      <c r="B1662" s="30" t="inlineStr">
        <is>
          <t>Areal</t>
        </is>
      </c>
      <c r="C1662" s="30" t="n">
        <v>86542072</v>
      </c>
      <c r="D1662" s="30">
        <f>"08062253000444"</f>
        <v/>
      </c>
      <c r="E1662" s="30" t="inlineStr">
        <is>
          <t>CAMBRIDGE TELECOMUNICACOES LTDA</t>
        </is>
      </c>
      <c r="F1662" s="30" t="inlineStr">
        <is>
          <t>2019</t>
        </is>
      </c>
      <c r="G1662" s="40" t="n">
        <v>66.95</v>
      </c>
    </row>
    <row r="1663" ht="12" customHeight="1">
      <c r="A1663" s="30" t="inlineStr">
        <is>
          <t>ARE</t>
        </is>
      </c>
      <c r="B1663" s="30" t="inlineStr">
        <is>
          <t>Areal</t>
        </is>
      </c>
      <c r="C1663" s="30" t="n">
        <v>86542072</v>
      </c>
      <c r="D1663" s="30">
        <f>"08062253000444"</f>
        <v/>
      </c>
      <c r="E1663" s="30" t="inlineStr">
        <is>
          <t>CAMBRIDGE TELECOMUNICACOES LTDA</t>
        </is>
      </c>
      <c r="F1663" s="30" t="inlineStr">
        <is>
          <t>2020</t>
        </is>
      </c>
      <c r="G1663" s="40" t="n">
        <v>0</v>
      </c>
    </row>
    <row r="1664" ht="12" customHeight="1">
      <c r="A1664" s="30" t="inlineStr">
        <is>
          <t>ARE</t>
        </is>
      </c>
      <c r="B1664" s="30" t="inlineStr">
        <is>
          <t>Areal</t>
        </is>
      </c>
      <c r="C1664" s="30" t="n">
        <v>86542072</v>
      </c>
      <c r="D1664" s="30">
        <f>"08062253000444"</f>
        <v/>
      </c>
      <c r="E1664" s="30" t="inlineStr">
        <is>
          <t>CAMBRIDGE TELECOMUNICACOES LTDA</t>
        </is>
      </c>
      <c r="F1664" s="30" t="inlineStr">
        <is>
          <t>2021</t>
        </is>
      </c>
      <c r="G1664" s="40" t="n">
        <v>0</v>
      </c>
    </row>
    <row r="1665" ht="12" customHeight="1">
      <c r="A1665" s="30" t="inlineStr">
        <is>
          <t>ARE</t>
        </is>
      </c>
      <c r="B1665" s="30" t="inlineStr">
        <is>
          <t>Areal</t>
        </is>
      </c>
      <c r="C1665" s="30" t="n">
        <v>86566877</v>
      </c>
      <c r="D1665" s="30">
        <f>"19223780000167"</f>
        <v/>
      </c>
      <c r="E1665" s="30" t="inlineStr">
        <is>
          <t>LLF MATHIAS VIAS DE TRANSPORTES RODOVI?RIOS EIRELI</t>
        </is>
      </c>
      <c r="F1665" s="30" t="inlineStr">
        <is>
          <t>2017</t>
        </is>
      </c>
      <c r="G1665" s="40" t="n">
        <v>0</v>
      </c>
    </row>
    <row r="1666" ht="12" customHeight="1">
      <c r="A1666" s="30" t="inlineStr">
        <is>
          <t>ARE</t>
        </is>
      </c>
      <c r="B1666" s="30" t="inlineStr">
        <is>
          <t>Areal</t>
        </is>
      </c>
      <c r="C1666" s="30" t="n">
        <v>86566877</v>
      </c>
      <c r="D1666" s="30">
        <f>"19223780000167"</f>
        <v/>
      </c>
      <c r="E1666" s="30" t="inlineStr">
        <is>
          <t>LLF MATHIAS VIAS DE TRANSPORTES RODOVI?RIOS EIRELI</t>
        </is>
      </c>
      <c r="F1666" s="30" t="inlineStr">
        <is>
          <t>2018</t>
        </is>
      </c>
      <c r="G1666" s="40" t="n">
        <v>18.8</v>
      </c>
    </row>
    <row r="1667" ht="12" customHeight="1">
      <c r="A1667" s="30" t="inlineStr">
        <is>
          <t>ARE</t>
        </is>
      </c>
      <c r="B1667" s="30" t="inlineStr">
        <is>
          <t>Areal</t>
        </is>
      </c>
      <c r="C1667" s="30" t="n">
        <v>86566877</v>
      </c>
      <c r="D1667" s="30">
        <f>"19223780000167"</f>
        <v/>
      </c>
      <c r="E1667" s="30" t="inlineStr">
        <is>
          <t>LLF MATHIAS VIAS DE TRANSPORTES RODOVI?RIOS EIRELI</t>
        </is>
      </c>
      <c r="F1667" s="30" t="inlineStr">
        <is>
          <t>2019</t>
        </is>
      </c>
      <c r="G1667" s="40" t="n">
        <v>0</v>
      </c>
    </row>
    <row r="1668" ht="12" customHeight="1">
      <c r="A1668" s="30" t="inlineStr">
        <is>
          <t>ARE</t>
        </is>
      </c>
      <c r="B1668" s="30" t="inlineStr">
        <is>
          <t>Areal</t>
        </is>
      </c>
      <c r="C1668" s="30" t="n">
        <v>86566877</v>
      </c>
      <c r="D1668" s="30">
        <f>"19223780000167"</f>
        <v/>
      </c>
      <c r="E1668" s="30" t="inlineStr">
        <is>
          <t>LLF MATHIAS VIAS DE TRANSPORTES RODOVI?RIOS EIRELI</t>
        </is>
      </c>
      <c r="F1668" s="30" t="inlineStr">
        <is>
          <t>2020</t>
        </is>
      </c>
      <c r="G1668" s="40" t="n">
        <v>0</v>
      </c>
    </row>
    <row r="1669" ht="12" customHeight="1">
      <c r="A1669" s="30" t="inlineStr">
        <is>
          <t>ARE</t>
        </is>
      </c>
      <c r="B1669" s="30" t="inlineStr">
        <is>
          <t>Areal</t>
        </is>
      </c>
      <c r="C1669" s="30" t="n">
        <v>86652579</v>
      </c>
      <c r="D1669" s="30">
        <f>"19869884000143"</f>
        <v/>
      </c>
      <c r="E1669" s="30" t="inlineStr">
        <is>
          <t>WEBNUTRITION COMERCIO DE ALIMENTOS LTDA</t>
        </is>
      </c>
      <c r="F1669" s="30" t="inlineStr">
        <is>
          <t>2017</t>
        </is>
      </c>
      <c r="G1669" s="40" t="n">
        <v>65272.44</v>
      </c>
    </row>
    <row r="1670" ht="12" customHeight="1">
      <c r="A1670" s="30" t="inlineStr">
        <is>
          <t>ARE</t>
        </is>
      </c>
      <c r="B1670" s="30" t="inlineStr">
        <is>
          <t>Areal</t>
        </is>
      </c>
      <c r="C1670" s="30" t="n">
        <v>86652579</v>
      </c>
      <c r="D1670" s="30">
        <f>"19869884000143"</f>
        <v/>
      </c>
      <c r="E1670" s="30" t="inlineStr">
        <is>
          <t>WEBNUTRITION COMERCIO DE ALIMENTOS LTDA</t>
        </is>
      </c>
      <c r="F1670" s="30" t="inlineStr">
        <is>
          <t>2018</t>
        </is>
      </c>
      <c r="G1670" s="40" t="n">
        <v>31429</v>
      </c>
    </row>
    <row r="1671" ht="12" customHeight="1">
      <c r="A1671" s="30" t="inlineStr">
        <is>
          <t>ARE</t>
        </is>
      </c>
      <c r="B1671" s="30" t="inlineStr">
        <is>
          <t>Areal</t>
        </is>
      </c>
      <c r="C1671" s="30" t="n">
        <v>86652579</v>
      </c>
      <c r="D1671" s="30">
        <f>"19869884000143"</f>
        <v/>
      </c>
      <c r="E1671" s="30" t="inlineStr">
        <is>
          <t>WEBNUTRITION COMERCIO DE ALIMENTOS LTDA</t>
        </is>
      </c>
      <c r="F1671" s="30" t="inlineStr">
        <is>
          <t>2019</t>
        </is>
      </c>
      <c r="G1671" s="40" t="n">
        <v>23857.06</v>
      </c>
    </row>
    <row r="1672" ht="12" customHeight="1">
      <c r="A1672" s="30" t="inlineStr">
        <is>
          <t>ARE</t>
        </is>
      </c>
      <c r="B1672" s="30" t="inlineStr">
        <is>
          <t>Areal</t>
        </is>
      </c>
      <c r="C1672" s="30" t="n">
        <v>86652579</v>
      </c>
      <c r="D1672" s="30">
        <f>"19869884000143"</f>
        <v/>
      </c>
      <c r="E1672" s="30" t="inlineStr">
        <is>
          <t>WEBNUTRITION COMERCIO DE ALIMENTOS LTDA</t>
        </is>
      </c>
      <c r="F1672" s="30" t="inlineStr">
        <is>
          <t>2020</t>
        </is>
      </c>
      <c r="G1672" s="40" t="n">
        <v>380086.41</v>
      </c>
    </row>
    <row r="1673" ht="12" customHeight="1">
      <c r="A1673" s="30" t="inlineStr">
        <is>
          <t>ARE</t>
        </is>
      </c>
      <c r="B1673" s="30" t="inlineStr">
        <is>
          <t>Areal</t>
        </is>
      </c>
      <c r="C1673" s="30" t="n">
        <v>86652579</v>
      </c>
      <c r="D1673" s="30">
        <f>"19869884000143"</f>
        <v/>
      </c>
      <c r="E1673" s="30" t="inlineStr">
        <is>
          <t>WEBNUTRITION COMERCIO DE ALIMENTOS LTDA</t>
        </is>
      </c>
      <c r="F1673" s="30" t="inlineStr">
        <is>
          <t>2021</t>
        </is>
      </c>
      <c r="G1673" s="40" t="n">
        <v>396841.84</v>
      </c>
    </row>
    <row r="1674" ht="12" customHeight="1">
      <c r="A1674" s="30" t="inlineStr">
        <is>
          <t>ARE</t>
        </is>
      </c>
      <c r="B1674" s="30" t="inlineStr">
        <is>
          <t>Areal</t>
        </is>
      </c>
      <c r="C1674" s="30" t="n">
        <v>86652579</v>
      </c>
      <c r="D1674" s="30">
        <f>"19869884000143"</f>
        <v/>
      </c>
      <c r="E1674" s="30" t="inlineStr">
        <is>
          <t>WEBNUTRITION COMERCIO DE ALIMENTOS LTDA</t>
        </is>
      </c>
      <c r="F1674" s="30" t="inlineStr">
        <is>
          <t>2022</t>
        </is>
      </c>
      <c r="G1674" s="40" t="n">
        <v>0</v>
      </c>
    </row>
    <row r="1675" ht="12" customHeight="1">
      <c r="A1675" s="30" t="inlineStr">
        <is>
          <t>ARE</t>
        </is>
      </c>
      <c r="B1675" s="30" t="inlineStr">
        <is>
          <t>Areal</t>
        </is>
      </c>
      <c r="C1675" s="30" t="n">
        <v>86652579</v>
      </c>
      <c r="D1675" s="30">
        <f>"19869884000143"</f>
        <v/>
      </c>
      <c r="E1675" s="30" t="inlineStr">
        <is>
          <t>WEBNUTRITION COMERCIO DE ALIMENTOS LTDA</t>
        </is>
      </c>
      <c r="F1675" s="30" t="inlineStr">
        <is>
          <t>2023</t>
        </is>
      </c>
      <c r="G1675" s="40" t="n">
        <v>54037.61</v>
      </c>
    </row>
    <row r="1676" ht="12" customHeight="1">
      <c r="A1676" s="30" t="inlineStr">
        <is>
          <t>ARE</t>
        </is>
      </c>
      <c r="B1676" s="30" t="inlineStr">
        <is>
          <t>Areal</t>
        </is>
      </c>
      <c r="C1676" s="30" t="n">
        <v>86665913</v>
      </c>
      <c r="D1676" s="30">
        <f>"19727878000313"</f>
        <v/>
      </c>
      <c r="E1676" s="30" t="inlineStr">
        <is>
          <t>TOPCARGAS LOGISTICA E TRANSPORTE RODOVIARIO LTDA</t>
        </is>
      </c>
      <c r="F1676" s="30" t="inlineStr">
        <is>
          <t>2017</t>
        </is>
      </c>
      <c r="G1676" s="40" t="n">
        <v>0</v>
      </c>
    </row>
    <row r="1677" ht="12" customHeight="1">
      <c r="A1677" s="30" t="inlineStr">
        <is>
          <t>ARE</t>
        </is>
      </c>
      <c r="B1677" s="30" t="inlineStr">
        <is>
          <t>Areal</t>
        </is>
      </c>
      <c r="C1677" s="30" t="n">
        <v>86665913</v>
      </c>
      <c r="D1677" s="30">
        <f>"19727878000313"</f>
        <v/>
      </c>
      <c r="E1677" s="30" t="inlineStr">
        <is>
          <t>TOPCARGAS LOGISTICA E TRANSPORTE RODOVIARIO LTDA</t>
        </is>
      </c>
      <c r="F1677" s="30" t="inlineStr">
        <is>
          <t>2018</t>
        </is>
      </c>
      <c r="G1677" s="40" t="n">
        <v>0</v>
      </c>
    </row>
    <row r="1678" ht="12" customHeight="1">
      <c r="A1678" s="30" t="inlineStr">
        <is>
          <t>ARE</t>
        </is>
      </c>
      <c r="B1678" s="30" t="inlineStr">
        <is>
          <t>Areal</t>
        </is>
      </c>
      <c r="C1678" s="30" t="n">
        <v>86665913</v>
      </c>
      <c r="D1678" s="30">
        <f>"19727878000313"</f>
        <v/>
      </c>
      <c r="E1678" s="30" t="inlineStr">
        <is>
          <t>TOPCARGAS LOGISTICA E TRANSPORTE RODOVIARIO LTDA</t>
        </is>
      </c>
      <c r="F1678" s="30" t="inlineStr">
        <is>
          <t>2019</t>
        </is>
      </c>
      <c r="G1678" s="40" t="n">
        <v>97.58</v>
      </c>
    </row>
    <row r="1679" ht="12" customHeight="1">
      <c r="A1679" s="30" t="inlineStr">
        <is>
          <t>ARE</t>
        </is>
      </c>
      <c r="B1679" s="30" t="inlineStr">
        <is>
          <t>Areal</t>
        </is>
      </c>
      <c r="C1679" s="30" t="n">
        <v>86665913</v>
      </c>
      <c r="D1679" s="30">
        <f>"19727878000313"</f>
        <v/>
      </c>
      <c r="E1679" s="30" t="inlineStr">
        <is>
          <t>TOPCARGAS LOGISTICA E TRANSPORTE RODOVIARIO LTDA</t>
        </is>
      </c>
      <c r="F1679" s="30" t="inlineStr">
        <is>
          <t>2020</t>
        </is>
      </c>
      <c r="G1679" s="40" t="n">
        <v>0</v>
      </c>
    </row>
    <row r="1680" ht="12" customHeight="1">
      <c r="A1680" s="30" t="inlineStr">
        <is>
          <t>ARE</t>
        </is>
      </c>
      <c r="B1680" s="30" t="inlineStr">
        <is>
          <t>Areal</t>
        </is>
      </c>
      <c r="C1680" s="30" t="n">
        <v>86665913</v>
      </c>
      <c r="D1680" s="30">
        <f>"19727878000313"</f>
        <v/>
      </c>
      <c r="E1680" s="30" t="inlineStr">
        <is>
          <t>TOPCARGAS LOGISTICA E TRANSPORTE RODOVIARIO LTDA</t>
        </is>
      </c>
      <c r="F1680" s="30" t="inlineStr">
        <is>
          <t>2021</t>
        </is>
      </c>
      <c r="G1680" s="40" t="n">
        <v>0</v>
      </c>
    </row>
    <row r="1681" ht="12" customHeight="1">
      <c r="A1681" s="30" t="inlineStr">
        <is>
          <t>ARE</t>
        </is>
      </c>
      <c r="B1681" s="30" t="inlineStr">
        <is>
          <t>Areal</t>
        </is>
      </c>
      <c r="C1681" s="30" t="n">
        <v>86682060</v>
      </c>
      <c r="D1681" s="30">
        <f>"07956015000339"</f>
        <v/>
      </c>
      <c r="E1681" s="30" t="inlineStr">
        <is>
          <t>MARLOG BRASIL LOGISTICA E ARMAZENAGEM LTDA</t>
        </is>
      </c>
      <c r="F1681" s="30" t="inlineStr">
        <is>
          <t>2019</t>
        </is>
      </c>
      <c r="G1681" s="40" t="n">
        <v>0</v>
      </c>
    </row>
    <row r="1682" ht="12" customHeight="1">
      <c r="A1682" s="30" t="inlineStr">
        <is>
          <t>ARE</t>
        </is>
      </c>
      <c r="B1682" s="30" t="inlineStr">
        <is>
          <t>Areal</t>
        </is>
      </c>
      <c r="C1682" s="30" t="n">
        <v>86682060</v>
      </c>
      <c r="D1682" s="30">
        <f>"07956015000339"</f>
        <v/>
      </c>
      <c r="E1682" s="30" t="inlineStr">
        <is>
          <t>MARLOG BRASIL LOGISTICA E ARMAZENAGEM LTDA</t>
        </is>
      </c>
      <c r="F1682" s="30" t="inlineStr">
        <is>
          <t>2020</t>
        </is>
      </c>
      <c r="G1682" s="40" t="n">
        <v>0</v>
      </c>
    </row>
    <row r="1683" ht="12" customHeight="1">
      <c r="A1683" s="30" t="inlineStr">
        <is>
          <t>ARE</t>
        </is>
      </c>
      <c r="B1683" s="30" t="inlineStr">
        <is>
          <t>Areal</t>
        </is>
      </c>
      <c r="C1683" s="30" t="n">
        <v>86682060</v>
      </c>
      <c r="D1683" s="30">
        <f>"07956015000339"</f>
        <v/>
      </c>
      <c r="E1683" s="30" t="inlineStr">
        <is>
          <t>MARLOG BRASIL LOGISTICA E ARMAZENAGEM LTDA</t>
        </is>
      </c>
      <c r="F1683" s="30" t="inlineStr">
        <is>
          <t>2021</t>
        </is>
      </c>
      <c r="G1683" s="40" t="n">
        <v>109.26</v>
      </c>
    </row>
    <row r="1684" ht="12" customHeight="1">
      <c r="A1684" s="30" t="inlineStr">
        <is>
          <t>ARE</t>
        </is>
      </c>
      <c r="B1684" s="30" t="inlineStr">
        <is>
          <t>Areal</t>
        </is>
      </c>
      <c r="C1684" s="30" t="n">
        <v>86682060</v>
      </c>
      <c r="D1684" s="30">
        <f>"07956015000339"</f>
        <v/>
      </c>
      <c r="E1684" s="30" t="inlineStr">
        <is>
          <t>MARLOG BRASIL LOGISTICA E ARMAZENAGEM LTDA</t>
        </is>
      </c>
      <c r="F1684" s="30" t="inlineStr">
        <is>
          <t>2022</t>
        </is>
      </c>
      <c r="G1684" s="40" t="n">
        <v>997.78</v>
      </c>
    </row>
    <row r="1685" ht="12" customHeight="1">
      <c r="A1685" s="30" t="inlineStr">
        <is>
          <t>ARE</t>
        </is>
      </c>
      <c r="B1685" s="30" t="inlineStr">
        <is>
          <t>Areal</t>
        </is>
      </c>
      <c r="C1685" s="30" t="n">
        <v>86682060</v>
      </c>
      <c r="D1685" s="30">
        <f>"07956015000339"</f>
        <v/>
      </c>
      <c r="E1685" s="30" t="inlineStr">
        <is>
          <t>MARLOG BRASIL LOGISTICA E ARMAZENAGEM LTDA</t>
        </is>
      </c>
      <c r="F1685" s="30" t="inlineStr">
        <is>
          <t>2023</t>
        </is>
      </c>
      <c r="G1685" s="40" t="n">
        <v>0</v>
      </c>
    </row>
    <row r="1686" ht="12" customHeight="1">
      <c r="A1686" s="30" t="inlineStr">
        <is>
          <t>ARE</t>
        </is>
      </c>
      <c r="B1686" s="30" t="inlineStr">
        <is>
          <t>Areal</t>
        </is>
      </c>
      <c r="C1686" s="30" t="n">
        <v>86686783</v>
      </c>
      <c r="D1686" s="30">
        <f>"19275618000516"</f>
        <v/>
      </c>
      <c r="E1686" s="30" t="inlineStr">
        <is>
          <t>INOVA LOGISTICA INTEGRADA LTDA</t>
        </is>
      </c>
      <c r="F1686" s="30" t="inlineStr">
        <is>
          <t>2019</t>
        </is>
      </c>
      <c r="G1686" s="40" t="n">
        <v>0</v>
      </c>
    </row>
    <row r="1687" ht="12" customHeight="1">
      <c r="A1687" s="30" t="inlineStr">
        <is>
          <t>ARE</t>
        </is>
      </c>
      <c r="B1687" s="30" t="inlineStr">
        <is>
          <t>Areal</t>
        </is>
      </c>
      <c r="C1687" s="30" t="n">
        <v>86686783</v>
      </c>
      <c r="D1687" s="30">
        <f>"19275618000516"</f>
        <v/>
      </c>
      <c r="E1687" s="30" t="inlineStr">
        <is>
          <t>INOVA LOGISTICA INTEGRADA LTDA</t>
        </is>
      </c>
      <c r="F1687" s="30" t="inlineStr">
        <is>
          <t>2020</t>
        </is>
      </c>
      <c r="G1687" s="40" t="n">
        <v>0</v>
      </c>
    </row>
    <row r="1688" ht="12" customHeight="1">
      <c r="A1688" s="30" t="inlineStr">
        <is>
          <t>ARE</t>
        </is>
      </c>
      <c r="B1688" s="30" t="inlineStr">
        <is>
          <t>Areal</t>
        </is>
      </c>
      <c r="C1688" s="30" t="n">
        <v>86686783</v>
      </c>
      <c r="D1688" s="30">
        <f>"19275618000516"</f>
        <v/>
      </c>
      <c r="E1688" s="30" t="inlineStr">
        <is>
          <t>INOVA LOGISTICA INTEGRADA LTDA</t>
        </is>
      </c>
      <c r="F1688" s="30" t="inlineStr">
        <is>
          <t>2021</t>
        </is>
      </c>
      <c r="G1688" s="40" t="n">
        <v>29.09</v>
      </c>
    </row>
    <row r="1689" ht="12" customHeight="1">
      <c r="A1689" s="30" t="inlineStr">
        <is>
          <t>ARE</t>
        </is>
      </c>
      <c r="B1689" s="30" t="inlineStr">
        <is>
          <t>Areal</t>
        </is>
      </c>
      <c r="C1689" s="30" t="n">
        <v>86686783</v>
      </c>
      <c r="D1689" s="30">
        <f>"19275618000516"</f>
        <v/>
      </c>
      <c r="E1689" s="30" t="inlineStr">
        <is>
          <t>INOVA LOGISTICA INTEGRADA LTDA</t>
        </is>
      </c>
      <c r="F1689" s="30" t="inlineStr">
        <is>
          <t>2022</t>
        </is>
      </c>
      <c r="G1689" s="40" t="n">
        <v>0</v>
      </c>
    </row>
    <row r="1690" ht="12" customHeight="1">
      <c r="A1690" s="30" t="inlineStr">
        <is>
          <t>ARE</t>
        </is>
      </c>
      <c r="B1690" s="30" t="inlineStr">
        <is>
          <t>Areal</t>
        </is>
      </c>
      <c r="C1690" s="30" t="n">
        <v>86686783</v>
      </c>
      <c r="D1690" s="30">
        <f>"19275618000516"</f>
        <v/>
      </c>
      <c r="E1690" s="30" t="inlineStr">
        <is>
          <t>INOVA LOGISTICA INTEGRADA LTDA</t>
        </is>
      </c>
      <c r="F1690" s="30" t="inlineStr">
        <is>
          <t>2023</t>
        </is>
      </c>
      <c r="G1690" s="40" t="n">
        <v>0</v>
      </c>
    </row>
    <row r="1691" ht="12" customHeight="1">
      <c r="A1691" s="30" t="inlineStr">
        <is>
          <t>ARE</t>
        </is>
      </c>
      <c r="B1691" s="30" t="inlineStr">
        <is>
          <t>Areal</t>
        </is>
      </c>
      <c r="C1691" s="30" t="n">
        <v>86718774</v>
      </c>
      <c r="D1691" s="30">
        <f>"30689889000550"</f>
        <v/>
      </c>
      <c r="E1691" s="30" t="inlineStr">
        <is>
          <t>TRANSPORTES POLONI LTDA</t>
        </is>
      </c>
      <c r="F1691" s="30" t="inlineStr">
        <is>
          <t>2018</t>
        </is>
      </c>
      <c r="G1691" s="40" t="n">
        <v>0</v>
      </c>
    </row>
    <row r="1692" ht="12" customHeight="1">
      <c r="A1692" s="30" t="inlineStr">
        <is>
          <t>ARE</t>
        </is>
      </c>
      <c r="B1692" s="30" t="inlineStr">
        <is>
          <t>Areal</t>
        </is>
      </c>
      <c r="C1692" s="30" t="n">
        <v>86718774</v>
      </c>
      <c r="D1692" s="30">
        <f>"30689889000550"</f>
        <v/>
      </c>
      <c r="E1692" s="30" t="inlineStr">
        <is>
          <t>TRANSPORTES POLONI LTDA</t>
        </is>
      </c>
      <c r="F1692" s="30" t="inlineStr">
        <is>
          <t>2019</t>
        </is>
      </c>
      <c r="G1692" s="40" t="n">
        <v>0</v>
      </c>
    </row>
    <row r="1693" ht="12" customHeight="1">
      <c r="A1693" s="30" t="inlineStr">
        <is>
          <t>ARE</t>
        </is>
      </c>
      <c r="B1693" s="30" t="inlineStr">
        <is>
          <t>Areal</t>
        </is>
      </c>
      <c r="C1693" s="30" t="n">
        <v>86718774</v>
      </c>
      <c r="D1693" s="30">
        <f>"30689889000550"</f>
        <v/>
      </c>
      <c r="E1693" s="30" t="inlineStr">
        <is>
          <t>TRANSPORTES POLONI LTDA</t>
        </is>
      </c>
      <c r="F1693" s="30" t="inlineStr">
        <is>
          <t>2020</t>
        </is>
      </c>
      <c r="G1693" s="40" t="n">
        <v>6482.41</v>
      </c>
    </row>
    <row r="1694" ht="12" customHeight="1">
      <c r="A1694" s="30" t="inlineStr">
        <is>
          <t>ARE</t>
        </is>
      </c>
      <c r="B1694" s="30" t="inlineStr">
        <is>
          <t>Areal</t>
        </is>
      </c>
      <c r="C1694" s="30" t="n">
        <v>86718774</v>
      </c>
      <c r="D1694" s="30">
        <f>"30689889000550"</f>
        <v/>
      </c>
      <c r="E1694" s="30" t="inlineStr">
        <is>
          <t>TRANSPORTES POLONI LTDA</t>
        </is>
      </c>
      <c r="F1694" s="30" t="inlineStr">
        <is>
          <t>2021</t>
        </is>
      </c>
      <c r="G1694" s="40" t="n">
        <v>0</v>
      </c>
    </row>
    <row r="1695" ht="12" customHeight="1">
      <c r="A1695" s="30" t="inlineStr">
        <is>
          <t>ARE</t>
        </is>
      </c>
      <c r="B1695" s="30" t="inlineStr">
        <is>
          <t>Areal</t>
        </is>
      </c>
      <c r="C1695" s="30" t="n">
        <v>86718774</v>
      </c>
      <c r="D1695" s="30">
        <f>"30689889000550"</f>
        <v/>
      </c>
      <c r="E1695" s="30" t="inlineStr">
        <is>
          <t>TRANSPORTES POLONI LTDA</t>
        </is>
      </c>
      <c r="F1695" s="30" t="inlineStr">
        <is>
          <t>2022</t>
        </is>
      </c>
      <c r="G1695" s="40" t="n">
        <v>0</v>
      </c>
    </row>
    <row r="1696" ht="12" customHeight="1">
      <c r="A1696" s="30" t="inlineStr">
        <is>
          <t>ARE</t>
        </is>
      </c>
      <c r="B1696" s="30" t="inlineStr">
        <is>
          <t>Areal</t>
        </is>
      </c>
      <c r="C1696" s="30" t="n">
        <v>86728915</v>
      </c>
      <c r="D1696" s="30">
        <f>"20632141000134"</f>
        <v/>
      </c>
      <c r="E1696" s="30" t="inlineStr">
        <is>
          <t>TRANSPORTADORA EXPRESSO ELOIM EIRELI ME</t>
        </is>
      </c>
      <c r="F1696" s="30" t="inlineStr">
        <is>
          <t>2020</t>
        </is>
      </c>
      <c r="G1696" s="40" t="n">
        <v>0</v>
      </c>
    </row>
    <row r="1697" ht="12" customHeight="1">
      <c r="A1697" s="30" t="inlineStr">
        <is>
          <t>ARE</t>
        </is>
      </c>
      <c r="B1697" s="30" t="inlineStr">
        <is>
          <t>Areal</t>
        </is>
      </c>
      <c r="C1697" s="30" t="n">
        <v>86728915</v>
      </c>
      <c r="D1697" s="30">
        <f>"20632141000134"</f>
        <v/>
      </c>
      <c r="E1697" s="30" t="inlineStr">
        <is>
          <t>TRANSPORTADORA EXPRESSO ELOIM EIRELI ME</t>
        </is>
      </c>
      <c r="F1697" s="30" t="inlineStr">
        <is>
          <t>2021</t>
        </is>
      </c>
      <c r="G1697" s="40" t="n">
        <v>0</v>
      </c>
    </row>
    <row r="1698" ht="12" customHeight="1">
      <c r="A1698" s="30" t="inlineStr">
        <is>
          <t>ARE</t>
        </is>
      </c>
      <c r="B1698" s="30" t="inlineStr">
        <is>
          <t>Areal</t>
        </is>
      </c>
      <c r="C1698" s="30" t="n">
        <v>86728915</v>
      </c>
      <c r="D1698" s="30">
        <f>"20632141000134"</f>
        <v/>
      </c>
      <c r="E1698" s="30" t="inlineStr">
        <is>
          <t>TRANSPORTADORA EXPRESSO ELOIM EIRELI ME</t>
        </is>
      </c>
      <c r="F1698" s="30" t="inlineStr">
        <is>
          <t>2022</t>
        </is>
      </c>
      <c r="G1698" s="40" t="n">
        <v>499121.25</v>
      </c>
    </row>
    <row r="1699" ht="12" customHeight="1">
      <c r="A1699" s="30" t="inlineStr">
        <is>
          <t>ARE</t>
        </is>
      </c>
      <c r="B1699" s="30" t="inlineStr">
        <is>
          <t>Areal</t>
        </is>
      </c>
      <c r="C1699" s="30" t="n">
        <v>86728915</v>
      </c>
      <c r="D1699" s="30">
        <f>"20632141000134"</f>
        <v/>
      </c>
      <c r="E1699" s="30" t="inlineStr">
        <is>
          <t>TRANSPORTADORA EXPRESSO ELOIM EIRELI ME</t>
        </is>
      </c>
      <c r="F1699" s="30" t="inlineStr">
        <is>
          <t>2023</t>
        </is>
      </c>
      <c r="G1699" s="40" t="n">
        <v>490272.15</v>
      </c>
    </row>
    <row r="1700" ht="12" customHeight="1">
      <c r="A1700" s="30" t="inlineStr">
        <is>
          <t>ARE</t>
        </is>
      </c>
      <c r="B1700" s="30" t="inlineStr">
        <is>
          <t>Areal</t>
        </is>
      </c>
      <c r="C1700" s="30" t="n">
        <v>86747383</v>
      </c>
      <c r="D1700" s="30">
        <f>"20768061000100"</f>
        <v/>
      </c>
      <c r="E1700" s="30" t="inlineStr">
        <is>
          <t>CANTO COMERCIO ATACADISTA DE HORTIFRUTI EIRELI EPP</t>
        </is>
      </c>
      <c r="F1700" s="30" t="inlineStr">
        <is>
          <t>2017</t>
        </is>
      </c>
      <c r="G1700" s="40" t="n">
        <v>3526914.93</v>
      </c>
    </row>
    <row r="1701" ht="12" customHeight="1">
      <c r="A1701" s="30" t="inlineStr">
        <is>
          <t>ARE</t>
        </is>
      </c>
      <c r="B1701" s="30" t="inlineStr">
        <is>
          <t>Areal</t>
        </is>
      </c>
      <c r="C1701" s="30" t="n">
        <v>86747383</v>
      </c>
      <c r="D1701" s="30">
        <f>"20768061000100"</f>
        <v/>
      </c>
      <c r="E1701" s="30" t="inlineStr">
        <is>
          <t>CANTO COMERCIO ATACADISTA DE HORTIFRUTI EIRELI EPP</t>
        </is>
      </c>
      <c r="F1701" s="30" t="inlineStr">
        <is>
          <t>2018</t>
        </is>
      </c>
      <c r="G1701" s="40" t="n">
        <v>3626439.93</v>
      </c>
    </row>
    <row r="1702" ht="12" customHeight="1">
      <c r="A1702" s="30" t="inlineStr">
        <is>
          <t>ARE</t>
        </is>
      </c>
      <c r="B1702" s="30" t="inlineStr">
        <is>
          <t>Areal</t>
        </is>
      </c>
      <c r="C1702" s="30" t="n">
        <v>86747383</v>
      </c>
      <c r="D1702" s="30">
        <f>"20768061000100"</f>
        <v/>
      </c>
      <c r="E1702" s="30" t="inlineStr">
        <is>
          <t>CANTO COMERCIO ATACADISTA DE HORTIFRUTI EIRELI EPP</t>
        </is>
      </c>
      <c r="F1702" s="30" t="inlineStr">
        <is>
          <t>2019</t>
        </is>
      </c>
      <c r="G1702" s="40" t="n">
        <v>3719014.95</v>
      </c>
    </row>
    <row r="1703" ht="12" customHeight="1">
      <c r="A1703" s="30" t="inlineStr">
        <is>
          <t>ARE</t>
        </is>
      </c>
      <c r="B1703" s="30" t="inlineStr">
        <is>
          <t>Areal</t>
        </is>
      </c>
      <c r="C1703" s="30" t="n">
        <v>86747383</v>
      </c>
      <c r="D1703" s="30">
        <f>"20768061000100"</f>
        <v/>
      </c>
      <c r="E1703" s="30" t="inlineStr">
        <is>
          <t>CANTO COMERCIO ATACADISTA DE HORTIFRUTI EIRELI EPP</t>
        </is>
      </c>
      <c r="F1703" s="30" t="inlineStr">
        <is>
          <t>2020</t>
        </is>
      </c>
      <c r="G1703" s="40" t="n">
        <v>1299518.51</v>
      </c>
    </row>
    <row r="1704" ht="12" customHeight="1">
      <c r="A1704" s="30" t="inlineStr">
        <is>
          <t>ARE</t>
        </is>
      </c>
      <c r="B1704" s="30" t="inlineStr">
        <is>
          <t>Areal</t>
        </is>
      </c>
      <c r="C1704" s="30" t="n">
        <v>86747383</v>
      </c>
      <c r="D1704" s="30">
        <f>"20768061000100"</f>
        <v/>
      </c>
      <c r="E1704" s="30" t="inlineStr">
        <is>
          <t>CANTO COMERCIO ATACADISTA DE HORTIFRUTI EIRELI EPP</t>
        </is>
      </c>
      <c r="F1704" s="30" t="inlineStr">
        <is>
          <t>2021</t>
        </is>
      </c>
      <c r="G1704" s="40" t="n">
        <v>86882.33</v>
      </c>
    </row>
    <row r="1705" ht="12" customHeight="1">
      <c r="A1705" s="30" t="inlineStr">
        <is>
          <t>ARE</t>
        </is>
      </c>
      <c r="B1705" s="30" t="inlineStr">
        <is>
          <t>Areal</t>
        </is>
      </c>
      <c r="C1705" s="30" t="n">
        <v>86747383</v>
      </c>
      <c r="D1705" s="30">
        <f>"20768061000100"</f>
        <v/>
      </c>
      <c r="E1705" s="30" t="inlineStr">
        <is>
          <t>CANTO COMERCIO ATACADISTA DE HORTIFRUTI EIRELI EPP</t>
        </is>
      </c>
      <c r="F1705" s="30" t="inlineStr">
        <is>
          <t>2022</t>
        </is>
      </c>
      <c r="G1705" s="40" t="n">
        <v>0</v>
      </c>
    </row>
    <row r="1706" ht="12" customHeight="1">
      <c r="A1706" s="30" t="inlineStr">
        <is>
          <t>ARE</t>
        </is>
      </c>
      <c r="B1706" s="30" t="inlineStr">
        <is>
          <t>Areal</t>
        </is>
      </c>
      <c r="C1706" s="30" t="n">
        <v>86747383</v>
      </c>
      <c r="D1706" s="30">
        <f>"20768061000100"</f>
        <v/>
      </c>
      <c r="E1706" s="30" t="inlineStr">
        <is>
          <t>CANTO COMERCIO ATACADISTA DE HORTIFRUTI EIRELI EPP</t>
        </is>
      </c>
      <c r="F1706" s="30" t="inlineStr">
        <is>
          <t>2023</t>
        </is>
      </c>
      <c r="G1706" s="40" t="n">
        <v>530709.84</v>
      </c>
    </row>
    <row r="1707" ht="12" customHeight="1">
      <c r="A1707" s="30" t="inlineStr">
        <is>
          <t>ARE</t>
        </is>
      </c>
      <c r="B1707" s="30" t="inlineStr">
        <is>
          <t>Areal</t>
        </is>
      </c>
      <c r="C1707" s="30" t="n">
        <v>86789477</v>
      </c>
      <c r="D1707" s="30">
        <f>"04887927001541"</f>
        <v/>
      </c>
      <c r="E1707" s="30" t="inlineStr">
        <is>
          <t>ANDREANI LOGISTICA LTDA</t>
        </is>
      </c>
      <c r="F1707" s="30" t="inlineStr">
        <is>
          <t>2017</t>
        </is>
      </c>
      <c r="G1707" s="40" t="n">
        <v>2656214.46</v>
      </c>
    </row>
    <row r="1708" ht="12" customHeight="1">
      <c r="A1708" s="30" t="inlineStr">
        <is>
          <t>ARE</t>
        </is>
      </c>
      <c r="B1708" s="30" t="inlineStr">
        <is>
          <t>Areal</t>
        </is>
      </c>
      <c r="C1708" s="30" t="n">
        <v>86789477</v>
      </c>
      <c r="D1708" s="30">
        <f>"04887927001541"</f>
        <v/>
      </c>
      <c r="E1708" s="30" t="inlineStr">
        <is>
          <t>ANDREANI LOGISTICA LTDA</t>
        </is>
      </c>
      <c r="F1708" s="30" t="inlineStr">
        <is>
          <t>2018</t>
        </is>
      </c>
      <c r="G1708" s="40" t="n">
        <v>275572.38</v>
      </c>
    </row>
    <row r="1709" ht="12" customHeight="1">
      <c r="A1709" s="30" t="inlineStr">
        <is>
          <t>ARE</t>
        </is>
      </c>
      <c r="B1709" s="30" t="inlineStr">
        <is>
          <t>Areal</t>
        </is>
      </c>
      <c r="C1709" s="30" t="n">
        <v>86789477</v>
      </c>
      <c r="D1709" s="30">
        <f>"04887927001541"</f>
        <v/>
      </c>
      <c r="E1709" s="30" t="inlineStr">
        <is>
          <t>ANDREANI LOGISTICA LTDA</t>
        </is>
      </c>
      <c r="F1709" s="30" t="inlineStr">
        <is>
          <t>2019</t>
        </is>
      </c>
      <c r="G1709" s="40" t="n">
        <v>208129.11</v>
      </c>
    </row>
    <row r="1710" ht="12" customHeight="1">
      <c r="A1710" s="30" t="inlineStr">
        <is>
          <t>ARE</t>
        </is>
      </c>
      <c r="B1710" s="30" t="inlineStr">
        <is>
          <t>Areal</t>
        </is>
      </c>
      <c r="C1710" s="30" t="n">
        <v>86789477</v>
      </c>
      <c r="D1710" s="30">
        <f>"04887927001541"</f>
        <v/>
      </c>
      <c r="E1710" s="30" t="inlineStr">
        <is>
          <t>ANDREANI LOGISTICA LTDA</t>
        </is>
      </c>
      <c r="F1710" s="30" t="inlineStr">
        <is>
          <t>2020</t>
        </is>
      </c>
      <c r="G1710" s="40" t="n">
        <v>179681.9</v>
      </c>
    </row>
    <row r="1711" ht="12" customHeight="1">
      <c r="A1711" s="30" t="inlineStr">
        <is>
          <t>ARE</t>
        </is>
      </c>
      <c r="B1711" s="30" t="inlineStr">
        <is>
          <t>Areal</t>
        </is>
      </c>
      <c r="C1711" s="30" t="n">
        <v>86789477</v>
      </c>
      <c r="D1711" s="30">
        <f>"04887927001541"</f>
        <v/>
      </c>
      <c r="E1711" s="30" t="inlineStr">
        <is>
          <t>ANDREANI LOGISTICA LTDA</t>
        </is>
      </c>
      <c r="F1711" s="30" t="inlineStr">
        <is>
          <t>2021</t>
        </is>
      </c>
      <c r="G1711" s="40" t="n">
        <v>52698.93</v>
      </c>
    </row>
    <row r="1712" ht="12" customHeight="1">
      <c r="A1712" s="30" t="inlineStr">
        <is>
          <t>ARE</t>
        </is>
      </c>
      <c r="B1712" s="30" t="inlineStr">
        <is>
          <t>Areal</t>
        </is>
      </c>
      <c r="C1712" s="30" t="n">
        <v>86789477</v>
      </c>
      <c r="D1712" s="30">
        <f>"04887927001541"</f>
        <v/>
      </c>
      <c r="E1712" s="30" t="inlineStr">
        <is>
          <t>ANDREANI LOGISTICA LTDA</t>
        </is>
      </c>
      <c r="F1712" s="30" t="inlineStr">
        <is>
          <t>2022</t>
        </is>
      </c>
      <c r="G1712" s="40" t="n">
        <v>1780474.74</v>
      </c>
    </row>
    <row r="1713" ht="12" customHeight="1">
      <c r="A1713" s="30" t="inlineStr">
        <is>
          <t>ARE</t>
        </is>
      </c>
      <c r="B1713" s="30" t="inlineStr">
        <is>
          <t>Areal</t>
        </is>
      </c>
      <c r="C1713" s="30" t="n">
        <v>86789477</v>
      </c>
      <c r="D1713" s="30">
        <f>"04887927001541"</f>
        <v/>
      </c>
      <c r="E1713" s="30" t="inlineStr">
        <is>
          <t>ANDREANI LOGISTICA LTDA</t>
        </is>
      </c>
      <c r="F1713" s="30" t="inlineStr">
        <is>
          <t>2023</t>
        </is>
      </c>
      <c r="G1713" s="40" t="n">
        <v>2077162.87</v>
      </c>
    </row>
    <row r="1714" ht="12" customHeight="1">
      <c r="A1714" s="30" t="inlineStr">
        <is>
          <t>ARE</t>
        </is>
      </c>
      <c r="B1714" s="30" t="inlineStr">
        <is>
          <t>Areal</t>
        </is>
      </c>
      <c r="C1714" s="30" t="n">
        <v>86810999</v>
      </c>
      <c r="D1714" s="30">
        <f>"03867580005095"</f>
        <v/>
      </c>
      <c r="E1714" s="30" t="inlineStr">
        <is>
          <t>PRONTO EXPRESS LOGISTICA SA</t>
        </is>
      </c>
      <c r="F1714" s="30" t="inlineStr">
        <is>
          <t>2017</t>
        </is>
      </c>
      <c r="G1714" s="40" t="n">
        <v>24.34</v>
      </c>
    </row>
    <row r="1715" ht="12" customHeight="1">
      <c r="A1715" s="30" t="inlineStr">
        <is>
          <t>ARE</t>
        </is>
      </c>
      <c r="B1715" s="30" t="inlineStr">
        <is>
          <t>Areal</t>
        </is>
      </c>
      <c r="C1715" s="30" t="n">
        <v>86810999</v>
      </c>
      <c r="D1715" s="30">
        <f>"03867580005095"</f>
        <v/>
      </c>
      <c r="E1715" s="30" t="inlineStr">
        <is>
          <t>PRONTO EXPRESS LOGISTICA SA</t>
        </is>
      </c>
      <c r="F1715" s="30" t="inlineStr">
        <is>
          <t>2018</t>
        </is>
      </c>
      <c r="G1715" s="40" t="n">
        <v>0</v>
      </c>
    </row>
    <row r="1716" ht="12" customHeight="1">
      <c r="A1716" s="30" t="inlineStr">
        <is>
          <t>ARE</t>
        </is>
      </c>
      <c r="B1716" s="30" t="inlineStr">
        <is>
          <t>Areal</t>
        </is>
      </c>
      <c r="C1716" s="30" t="n">
        <v>86810999</v>
      </c>
      <c r="D1716" s="30">
        <f>"03867580005095"</f>
        <v/>
      </c>
      <c r="E1716" s="30" t="inlineStr">
        <is>
          <t>PRONTO EXPRESS LOGISTICA SA</t>
        </is>
      </c>
      <c r="F1716" s="30" t="inlineStr">
        <is>
          <t>2019</t>
        </is>
      </c>
      <c r="G1716" s="40" t="n">
        <v>0</v>
      </c>
    </row>
    <row r="1717" ht="12" customHeight="1">
      <c r="A1717" s="30" t="inlineStr">
        <is>
          <t>ARE</t>
        </is>
      </c>
      <c r="B1717" s="30" t="inlineStr">
        <is>
          <t>Areal</t>
        </is>
      </c>
      <c r="C1717" s="30" t="n">
        <v>86828383</v>
      </c>
      <c r="D1717" s="30">
        <f>"00497373002082"</f>
        <v/>
      </c>
      <c r="E1717" s="30" t="inlineStr">
        <is>
          <t>SKY SERVICOS DE BANDA LARGA LTDA.</t>
        </is>
      </c>
      <c r="F1717" s="30" t="inlineStr">
        <is>
          <t>2017</t>
        </is>
      </c>
      <c r="G1717" s="40" t="n">
        <v>50</v>
      </c>
    </row>
    <row r="1718" ht="12" customHeight="1">
      <c r="A1718" s="30" t="inlineStr">
        <is>
          <t>ARE</t>
        </is>
      </c>
      <c r="B1718" s="30" t="inlineStr">
        <is>
          <t>Areal</t>
        </is>
      </c>
      <c r="C1718" s="30" t="n">
        <v>86828383</v>
      </c>
      <c r="D1718" s="30">
        <f>"00497373002082"</f>
        <v/>
      </c>
      <c r="E1718" s="30" t="inlineStr">
        <is>
          <t>SKY SERVICOS DE BANDA LARGA LTDA.</t>
        </is>
      </c>
      <c r="F1718" s="30" t="inlineStr">
        <is>
          <t>2018</t>
        </is>
      </c>
      <c r="G1718" s="40" t="n">
        <v>0</v>
      </c>
    </row>
    <row r="1719" ht="12" customHeight="1">
      <c r="A1719" s="30" t="inlineStr">
        <is>
          <t>ARE</t>
        </is>
      </c>
      <c r="B1719" s="30" t="inlineStr">
        <is>
          <t>Areal</t>
        </is>
      </c>
      <c r="C1719" s="30" t="n">
        <v>86828383</v>
      </c>
      <c r="D1719" s="30">
        <f>"00497373002082"</f>
        <v/>
      </c>
      <c r="E1719" s="30" t="inlineStr">
        <is>
          <t>SKY SERVICOS DE BANDA LARGA LTDA.</t>
        </is>
      </c>
      <c r="F1719" s="30" t="inlineStr">
        <is>
          <t>2019</t>
        </is>
      </c>
      <c r="G1719" s="40" t="n">
        <v>16.67</v>
      </c>
    </row>
    <row r="1720" ht="12" customHeight="1">
      <c r="A1720" s="30" t="inlineStr">
        <is>
          <t>ARE</t>
        </is>
      </c>
      <c r="B1720" s="30" t="inlineStr">
        <is>
          <t>Areal</t>
        </is>
      </c>
      <c r="C1720" s="30" t="n">
        <v>86828383</v>
      </c>
      <c r="D1720" s="30">
        <f>"00497373002082"</f>
        <v/>
      </c>
      <c r="E1720" s="30" t="inlineStr">
        <is>
          <t>SKY SERVICOS DE BANDA LARGA LTDA.</t>
        </is>
      </c>
      <c r="F1720" s="30" t="inlineStr">
        <is>
          <t>2020</t>
        </is>
      </c>
      <c r="G1720" s="40" t="n">
        <v>0</v>
      </c>
    </row>
    <row r="1721" ht="12" customHeight="1">
      <c r="A1721" s="30" t="inlineStr">
        <is>
          <t>ARE</t>
        </is>
      </c>
      <c r="B1721" s="30" t="inlineStr">
        <is>
          <t>Areal</t>
        </is>
      </c>
      <c r="C1721" s="30" t="n">
        <v>86828383</v>
      </c>
      <c r="D1721" s="30">
        <f>"00497373002082"</f>
        <v/>
      </c>
      <c r="E1721" s="30" t="inlineStr">
        <is>
          <t>SKY SERVICOS DE BANDA LARGA LTDA.</t>
        </is>
      </c>
      <c r="F1721" s="30" t="inlineStr">
        <is>
          <t>2021</t>
        </is>
      </c>
      <c r="G1721" s="40" t="n">
        <v>0</v>
      </c>
    </row>
    <row r="1722" ht="12" customHeight="1">
      <c r="A1722" s="30" t="inlineStr">
        <is>
          <t>ARE</t>
        </is>
      </c>
      <c r="B1722" s="30" t="inlineStr">
        <is>
          <t>Areal</t>
        </is>
      </c>
      <c r="C1722" s="30" t="n">
        <v>86831295</v>
      </c>
      <c r="D1722" s="30">
        <f>"03509101000180"</f>
        <v/>
      </c>
      <c r="E1722" s="30" t="inlineStr">
        <is>
          <t>BRASIPAN SERVIÇOS E LOGÍSTICA EIRELI</t>
        </is>
      </c>
      <c r="F1722" s="30" t="inlineStr">
        <is>
          <t>2020</t>
        </is>
      </c>
      <c r="G1722" s="40" t="n">
        <v>0</v>
      </c>
    </row>
    <row r="1723" ht="12" customHeight="1">
      <c r="A1723" s="30" t="inlineStr">
        <is>
          <t>ARE</t>
        </is>
      </c>
      <c r="B1723" s="30" t="inlineStr">
        <is>
          <t>Areal</t>
        </is>
      </c>
      <c r="C1723" s="30" t="n">
        <v>86831295</v>
      </c>
      <c r="D1723" s="30">
        <f>"03509101000180"</f>
        <v/>
      </c>
      <c r="E1723" s="30" t="inlineStr">
        <is>
          <t>BRASIPAN SERVIÇOS E LOGÍSTICA EIRELI</t>
        </is>
      </c>
      <c r="F1723" s="30" t="inlineStr">
        <is>
          <t>2021</t>
        </is>
      </c>
      <c r="G1723" s="40" t="n">
        <v>0</v>
      </c>
    </row>
    <row r="1724" ht="12" customHeight="1">
      <c r="A1724" s="30" t="inlineStr">
        <is>
          <t>ARE</t>
        </is>
      </c>
      <c r="B1724" s="30" t="inlineStr">
        <is>
          <t>Areal</t>
        </is>
      </c>
      <c r="C1724" s="30" t="n">
        <v>86831295</v>
      </c>
      <c r="D1724" s="30">
        <f>"03509101000180"</f>
        <v/>
      </c>
      <c r="E1724" s="30" t="inlineStr">
        <is>
          <t>BRASIPAN SERVIÇOS E LOGÍSTICA EIRELI</t>
        </is>
      </c>
      <c r="F1724" s="30" t="inlineStr">
        <is>
          <t>2022</t>
        </is>
      </c>
      <c r="G1724" s="40" t="n">
        <v>10897.62</v>
      </c>
    </row>
    <row r="1725" ht="12" customHeight="1">
      <c r="A1725" s="30" t="inlineStr">
        <is>
          <t>ARE</t>
        </is>
      </c>
      <c r="B1725" s="30" t="inlineStr">
        <is>
          <t>Areal</t>
        </is>
      </c>
      <c r="C1725" s="30" t="n">
        <v>86831295</v>
      </c>
      <c r="D1725" s="30">
        <f>"03509101000180"</f>
        <v/>
      </c>
      <c r="E1725" s="30" t="inlineStr">
        <is>
          <t>BRASIPAN SERVIÇOS E LOGÍSTICA EIRELI</t>
        </is>
      </c>
      <c r="F1725" s="30" t="inlineStr">
        <is>
          <t>2023</t>
        </is>
      </c>
      <c r="G1725" s="40" t="n">
        <v>0</v>
      </c>
    </row>
    <row r="1726" ht="12" customHeight="1">
      <c r="A1726" s="30" t="inlineStr">
        <is>
          <t>ARE</t>
        </is>
      </c>
      <c r="B1726" s="30" t="inlineStr">
        <is>
          <t>Areal</t>
        </is>
      </c>
      <c r="C1726" s="30" t="n">
        <v>86848970</v>
      </c>
      <c r="D1726" s="30">
        <f>"21352355000110"</f>
        <v/>
      </c>
      <c r="E1726" s="30" t="inlineStr">
        <is>
          <t>MIMOS DA SERRA INDUSTRIA E COMERCIO DE BEBIDAS E ALIMENTOS LTDA</t>
        </is>
      </c>
      <c r="F1726" s="30" t="inlineStr">
        <is>
          <t>2020</t>
        </is>
      </c>
      <c r="G1726" s="40" t="n">
        <v>0</v>
      </c>
    </row>
    <row r="1727" ht="12" customHeight="1">
      <c r="A1727" s="30" t="inlineStr">
        <is>
          <t>ARE</t>
        </is>
      </c>
      <c r="B1727" s="30" t="inlineStr">
        <is>
          <t>Areal</t>
        </is>
      </c>
      <c r="C1727" s="30" t="n">
        <v>86848970</v>
      </c>
      <c r="D1727" s="30">
        <f>"21352355000110"</f>
        <v/>
      </c>
      <c r="E1727" s="30" t="inlineStr">
        <is>
          <t>MIMOS DA SERRA INDUSTRIA E COMERCIO DE BEBIDAS E ALIMENTOS LTDA</t>
        </is>
      </c>
      <c r="F1727" s="30" t="inlineStr">
        <is>
          <t>2021</t>
        </is>
      </c>
      <c r="G1727" s="40" t="n">
        <v>0</v>
      </c>
    </row>
    <row r="1728" ht="12" customHeight="1">
      <c r="A1728" s="30" t="inlineStr">
        <is>
          <t>ARE</t>
        </is>
      </c>
      <c r="B1728" s="30" t="inlineStr">
        <is>
          <t>Areal</t>
        </is>
      </c>
      <c r="C1728" s="30" t="n">
        <v>86848970</v>
      </c>
      <c r="D1728" s="30">
        <f>"21352355000110"</f>
        <v/>
      </c>
      <c r="E1728" s="30" t="inlineStr">
        <is>
          <t>MIMOS DA SERRA INDUSTRIA E COMERCIO DE BEBIDAS E ALIMENTOS LTDA</t>
        </is>
      </c>
      <c r="F1728" s="30" t="inlineStr">
        <is>
          <t>2022</t>
        </is>
      </c>
      <c r="G1728" s="40" t="n">
        <v>0</v>
      </c>
    </row>
    <row r="1729" ht="12" customHeight="1">
      <c r="A1729" s="30" t="inlineStr">
        <is>
          <t>ARE</t>
        </is>
      </c>
      <c r="B1729" s="30" t="inlineStr">
        <is>
          <t>Areal</t>
        </is>
      </c>
      <c r="C1729" s="30" t="n">
        <v>86848970</v>
      </c>
      <c r="D1729" s="30">
        <f>"21352355000110"</f>
        <v/>
      </c>
      <c r="E1729" s="30" t="inlineStr">
        <is>
          <t>MIMOS DA SERRA INDUSTRIA E COMERCIO DE BEBIDAS E ALIMENTOS LTDA</t>
        </is>
      </c>
      <c r="F1729" s="30" t="inlineStr">
        <is>
          <t>2023</t>
        </is>
      </c>
      <c r="G1729" s="40" t="n">
        <v>0</v>
      </c>
    </row>
    <row r="1730" ht="12" customHeight="1">
      <c r="A1730" s="30" t="inlineStr">
        <is>
          <t>ARE</t>
        </is>
      </c>
      <c r="B1730" s="30" t="inlineStr">
        <is>
          <t>Areal</t>
        </is>
      </c>
      <c r="C1730" s="30" t="n">
        <v>86863707</v>
      </c>
      <c r="D1730" s="30">
        <f>"21602262000104"</f>
        <v/>
      </c>
      <c r="E1730" s="30" t="inlineStr">
        <is>
          <t>BETEL TRANSPORTE RODOVIARIO DE CARGA EIRELI</t>
        </is>
      </c>
      <c r="F1730" s="30" t="inlineStr">
        <is>
          <t>2018</t>
        </is>
      </c>
      <c r="G1730" s="40" t="n">
        <v>0</v>
      </c>
    </row>
    <row r="1731" ht="12" customHeight="1">
      <c r="A1731" s="30" t="inlineStr">
        <is>
          <t>ARE</t>
        </is>
      </c>
      <c r="B1731" s="30" t="inlineStr">
        <is>
          <t>Areal</t>
        </is>
      </c>
      <c r="C1731" s="30" t="n">
        <v>86863707</v>
      </c>
      <c r="D1731" s="30">
        <f>"21602262000104"</f>
        <v/>
      </c>
      <c r="E1731" s="30" t="inlineStr">
        <is>
          <t>BETEL TRANSPORTE RODOVIARIO DE CARGA EIRELI</t>
        </is>
      </c>
      <c r="F1731" s="30" t="inlineStr">
        <is>
          <t>2019</t>
        </is>
      </c>
      <c r="G1731" s="40" t="n">
        <v>0</v>
      </c>
    </row>
    <row r="1732" ht="12" customHeight="1">
      <c r="A1732" s="30" t="inlineStr">
        <is>
          <t>ARE</t>
        </is>
      </c>
      <c r="B1732" s="30" t="inlineStr">
        <is>
          <t>Areal</t>
        </is>
      </c>
      <c r="C1732" s="30" t="n">
        <v>86863707</v>
      </c>
      <c r="D1732" s="30">
        <f>"21602262000104"</f>
        <v/>
      </c>
      <c r="E1732" s="30" t="inlineStr">
        <is>
          <t>BETEL TRANSPORTE RODOVIARIO DE CARGA EIRELI</t>
        </is>
      </c>
      <c r="F1732" s="30" t="inlineStr">
        <is>
          <t>2020</t>
        </is>
      </c>
      <c r="G1732" s="40" t="n">
        <v>431</v>
      </c>
    </row>
    <row r="1733" ht="12" customHeight="1">
      <c r="A1733" s="30" t="inlineStr">
        <is>
          <t>ARE</t>
        </is>
      </c>
      <c r="B1733" s="30" t="inlineStr">
        <is>
          <t>Areal</t>
        </is>
      </c>
      <c r="C1733" s="30" t="n">
        <v>86863707</v>
      </c>
      <c r="D1733" s="30">
        <f>"21602262000104"</f>
        <v/>
      </c>
      <c r="E1733" s="30" t="inlineStr">
        <is>
          <t>BETEL TRANSPORTE RODOVIARIO DE CARGA EIRELI</t>
        </is>
      </c>
      <c r="F1733" s="30" t="inlineStr">
        <is>
          <t>2021</t>
        </is>
      </c>
      <c r="G1733" s="40" t="n">
        <v>0</v>
      </c>
    </row>
    <row r="1734" ht="12" customHeight="1">
      <c r="A1734" s="30" t="inlineStr">
        <is>
          <t>ARE</t>
        </is>
      </c>
      <c r="B1734" s="30" t="inlineStr">
        <is>
          <t>Areal</t>
        </is>
      </c>
      <c r="C1734" s="30" t="n">
        <v>86863707</v>
      </c>
      <c r="D1734" s="30">
        <f>"21602262000104"</f>
        <v/>
      </c>
      <c r="E1734" s="30" t="inlineStr">
        <is>
          <t>BETEL TRANSPORTE RODOVIARIO DE CARGA EIRELI</t>
        </is>
      </c>
      <c r="F1734" s="30" t="inlineStr">
        <is>
          <t>2022</t>
        </is>
      </c>
      <c r="G1734" s="40" t="n">
        <v>0</v>
      </c>
    </row>
    <row r="1735" ht="12" customHeight="1">
      <c r="A1735" s="30" t="inlineStr">
        <is>
          <t>ARE</t>
        </is>
      </c>
      <c r="B1735" s="30" t="inlineStr">
        <is>
          <t>Areal</t>
        </is>
      </c>
      <c r="C1735" s="30" t="n">
        <v>86879344</v>
      </c>
      <c r="D1735" s="30">
        <f>"05886614003666"</f>
        <v/>
      </c>
      <c r="E1735" s="30" t="inlineStr">
        <is>
          <t>DIRECT EXPRESS LOGISTICA INTEGRADA S/A</t>
        </is>
      </c>
      <c r="F1735" s="30" t="inlineStr">
        <is>
          <t>2017</t>
        </is>
      </c>
      <c r="G1735" s="40" t="n">
        <v>26.57</v>
      </c>
    </row>
    <row r="1736" ht="12" customHeight="1">
      <c r="A1736" s="30" t="inlineStr">
        <is>
          <t>ARE</t>
        </is>
      </c>
      <c r="B1736" s="30" t="inlineStr">
        <is>
          <t>Areal</t>
        </is>
      </c>
      <c r="C1736" s="30" t="n">
        <v>86879344</v>
      </c>
      <c r="D1736" s="30">
        <f>"05886614003666"</f>
        <v/>
      </c>
      <c r="E1736" s="30" t="inlineStr">
        <is>
          <t>DIRECT EXPRESS LOGISTICA INTEGRADA S/A</t>
        </is>
      </c>
      <c r="F1736" s="30" t="inlineStr">
        <is>
          <t>2018</t>
        </is>
      </c>
      <c r="G1736" s="40" t="n">
        <v>0</v>
      </c>
    </row>
    <row r="1737" ht="12" customHeight="1">
      <c r="A1737" s="30" t="inlineStr">
        <is>
          <t>ARE</t>
        </is>
      </c>
      <c r="B1737" s="30" t="inlineStr">
        <is>
          <t>Areal</t>
        </is>
      </c>
      <c r="C1737" s="30" t="n">
        <v>86879344</v>
      </c>
      <c r="D1737" s="30">
        <f>"05886614003666"</f>
        <v/>
      </c>
      <c r="E1737" s="30" t="inlineStr">
        <is>
          <t>DIRECT EXPRESS LOGISTICA INTEGRADA S/A</t>
        </is>
      </c>
      <c r="F1737" s="30" t="inlineStr">
        <is>
          <t>2019</t>
        </is>
      </c>
      <c r="G1737" s="40" t="n">
        <v>0</v>
      </c>
    </row>
    <row r="1738" ht="12" customHeight="1">
      <c r="A1738" s="30" t="inlineStr">
        <is>
          <t>ARE</t>
        </is>
      </c>
      <c r="B1738" s="30" t="inlineStr">
        <is>
          <t>Areal</t>
        </is>
      </c>
      <c r="C1738" s="30" t="n">
        <v>86911922</v>
      </c>
      <c r="D1738" s="30">
        <f>"05593147000660"</f>
        <v/>
      </c>
      <c r="E1738" s="30" t="inlineStr">
        <is>
          <t>VELTEN LOGISTICA E TRANSPORTE LTDA EPP</t>
        </is>
      </c>
      <c r="F1738" s="30" t="inlineStr">
        <is>
          <t>2017</t>
        </is>
      </c>
      <c r="G1738" s="40" t="n">
        <v>58467.27</v>
      </c>
    </row>
    <row r="1739" ht="12" customHeight="1">
      <c r="A1739" s="30" t="inlineStr">
        <is>
          <t>ARE</t>
        </is>
      </c>
      <c r="B1739" s="30" t="inlineStr">
        <is>
          <t>Areal</t>
        </is>
      </c>
      <c r="C1739" s="30" t="n">
        <v>86911922</v>
      </c>
      <c r="D1739" s="30">
        <f>"05593147000660"</f>
        <v/>
      </c>
      <c r="E1739" s="30" t="inlineStr">
        <is>
          <t>VELTEN LOGISTICA E TRANSPORTE LTDA EPP</t>
        </is>
      </c>
      <c r="F1739" s="30" t="inlineStr">
        <is>
          <t>2018</t>
        </is>
      </c>
      <c r="G1739" s="40" t="n">
        <v>0</v>
      </c>
    </row>
    <row r="1740" ht="12" customHeight="1">
      <c r="A1740" s="30" t="inlineStr">
        <is>
          <t>ARE</t>
        </is>
      </c>
      <c r="B1740" s="30" t="inlineStr">
        <is>
          <t>Areal</t>
        </is>
      </c>
      <c r="C1740" s="30" t="n">
        <v>86911922</v>
      </c>
      <c r="D1740" s="30">
        <f>"05593147000660"</f>
        <v/>
      </c>
      <c r="E1740" s="30" t="inlineStr">
        <is>
          <t>VELTEN LOGISTICA E TRANSPORTE LTDA EPP</t>
        </is>
      </c>
      <c r="F1740" s="30" t="inlineStr">
        <is>
          <t>2019</t>
        </is>
      </c>
      <c r="G1740" s="40" t="n">
        <v>0</v>
      </c>
    </row>
    <row r="1741" ht="12" customHeight="1">
      <c r="A1741" s="30" t="inlineStr">
        <is>
          <t>ARE</t>
        </is>
      </c>
      <c r="B1741" s="30" t="inlineStr">
        <is>
          <t>Areal</t>
        </is>
      </c>
      <c r="C1741" s="30" t="n">
        <v>86917106</v>
      </c>
      <c r="D1741" s="30">
        <f>"18764174000196"</f>
        <v/>
      </c>
      <c r="E1741" s="30" t="inlineStr">
        <is>
          <t>TECNO - VAPOR SERV TECNICO EM MONTAGEM E MANUT DE CALDEIRAS LTDA</t>
        </is>
      </c>
      <c r="F1741" s="30" t="inlineStr">
        <is>
          <t>2018</t>
        </is>
      </c>
      <c r="G1741" s="40" t="n">
        <v>0</v>
      </c>
    </row>
    <row r="1742" ht="12" customHeight="1">
      <c r="A1742" s="30" t="inlineStr">
        <is>
          <t>ARE</t>
        </is>
      </c>
      <c r="B1742" s="30" t="inlineStr">
        <is>
          <t>Areal</t>
        </is>
      </c>
      <c r="C1742" s="30" t="n">
        <v>86917106</v>
      </c>
      <c r="D1742" s="30">
        <f>"18764174000196"</f>
        <v/>
      </c>
      <c r="E1742" s="30" t="inlineStr">
        <is>
          <t>TECNO - VAPOR SERV TECNICO EM MONTAGEM E MANUT DE CALDEIRAS LTDA</t>
        </is>
      </c>
      <c r="F1742" s="30" t="inlineStr">
        <is>
          <t>2019</t>
        </is>
      </c>
      <c r="G1742" s="40" t="n">
        <v>0</v>
      </c>
    </row>
    <row r="1743" ht="12" customHeight="1">
      <c r="A1743" s="30" t="inlineStr">
        <is>
          <t>ARE</t>
        </is>
      </c>
      <c r="B1743" s="30" t="inlineStr">
        <is>
          <t>Areal</t>
        </is>
      </c>
      <c r="C1743" s="30" t="n">
        <v>86917106</v>
      </c>
      <c r="D1743" s="30">
        <f>"18764174000196"</f>
        <v/>
      </c>
      <c r="E1743" s="30" t="inlineStr">
        <is>
          <t>TECNO - VAPOR SERV TECNICO EM MONTAGEM E MANUT DE CALDEIRAS LTDA</t>
        </is>
      </c>
      <c r="F1743" s="30" t="inlineStr">
        <is>
          <t>2020</t>
        </is>
      </c>
      <c r="G1743" s="40" t="n">
        <v>0</v>
      </c>
    </row>
    <row r="1744" ht="12" customHeight="1">
      <c r="A1744" s="30" t="inlineStr">
        <is>
          <t>ARE</t>
        </is>
      </c>
      <c r="B1744" s="30" t="inlineStr">
        <is>
          <t>Areal</t>
        </is>
      </c>
      <c r="C1744" s="30" t="n">
        <v>86917106</v>
      </c>
      <c r="D1744" s="30">
        <f>"18764174000196"</f>
        <v/>
      </c>
      <c r="E1744" s="30" t="inlineStr">
        <is>
          <t>TECNO - VAPOR SERV TECNICO EM MONTAGEM E MANUT DE CALDEIRAS LTDA</t>
        </is>
      </c>
      <c r="F1744" s="30" t="inlineStr">
        <is>
          <t>2021</t>
        </is>
      </c>
      <c r="G1744" s="40" t="n">
        <v>0</v>
      </c>
    </row>
    <row r="1745" ht="12" customHeight="1">
      <c r="A1745" s="30" t="inlineStr">
        <is>
          <t>ARE</t>
        </is>
      </c>
      <c r="B1745" s="30" t="inlineStr">
        <is>
          <t>Areal</t>
        </is>
      </c>
      <c r="C1745" s="30" t="n">
        <v>86917106</v>
      </c>
      <c r="D1745" s="30">
        <f>"18764174000196"</f>
        <v/>
      </c>
      <c r="E1745" s="30" t="inlineStr">
        <is>
          <t>TECNO - VAPOR SERV TECNICO EM MONTAGEM E MANUT DE CALDEIRAS LTDA</t>
        </is>
      </c>
      <c r="F1745" s="30" t="inlineStr">
        <is>
          <t>2022</t>
        </is>
      </c>
      <c r="G1745" s="40" t="n">
        <v>0</v>
      </c>
    </row>
    <row r="1746" ht="12" customHeight="1">
      <c r="A1746" s="30" t="inlineStr">
        <is>
          <t>ARE</t>
        </is>
      </c>
      <c r="B1746" s="30" t="inlineStr">
        <is>
          <t>Areal</t>
        </is>
      </c>
      <c r="C1746" s="30" t="n">
        <v>86917106</v>
      </c>
      <c r="D1746" s="30">
        <f>"18764174000196"</f>
        <v/>
      </c>
      <c r="E1746" s="30" t="inlineStr">
        <is>
          <t>TECNO - VAPOR SERV TECNICO EM MONTAGEM E MANUT DE CALDEIRAS LTDA</t>
        </is>
      </c>
      <c r="F1746" s="30" t="inlineStr">
        <is>
          <t>2023</t>
        </is>
      </c>
      <c r="G1746" s="40" t="n">
        <v>0</v>
      </c>
    </row>
    <row r="1747" ht="12" customHeight="1">
      <c r="A1747" s="30" t="inlineStr">
        <is>
          <t>ARE</t>
        </is>
      </c>
      <c r="B1747" s="30" t="inlineStr">
        <is>
          <t>Areal</t>
        </is>
      </c>
      <c r="C1747" s="30" t="n">
        <v>86924595</v>
      </c>
      <c r="D1747" s="30">
        <f>"22031941000125"</f>
        <v/>
      </c>
      <c r="E1747" s="30" t="inlineStr">
        <is>
          <t>COOPERATIVA DE TRAB DOS CATADORES DE MAT RECICLAVEIS LUZ DO SOL</t>
        </is>
      </c>
      <c r="F1747" s="30" t="inlineStr">
        <is>
          <t>2017</t>
        </is>
      </c>
      <c r="G1747" s="40" t="n">
        <v>0</v>
      </c>
    </row>
    <row r="1748" ht="12" customHeight="1">
      <c r="A1748" s="30" t="inlineStr">
        <is>
          <t>ARE</t>
        </is>
      </c>
      <c r="B1748" s="30" t="inlineStr">
        <is>
          <t>Areal</t>
        </is>
      </c>
      <c r="C1748" s="30" t="n">
        <v>86924595</v>
      </c>
      <c r="D1748" s="30">
        <f>"22031941000125"</f>
        <v/>
      </c>
      <c r="E1748" s="30" t="inlineStr">
        <is>
          <t>COOPERATIVA DE TRAB DOS CATADORES DE MAT RECICLAVEIS LUZ DO SOL</t>
        </is>
      </c>
      <c r="F1748" s="30" t="inlineStr">
        <is>
          <t>2018</t>
        </is>
      </c>
      <c r="G1748" s="40" t="n">
        <v>0</v>
      </c>
    </row>
    <row r="1749" ht="12" customHeight="1">
      <c r="A1749" s="30" t="inlineStr">
        <is>
          <t>ARE</t>
        </is>
      </c>
      <c r="B1749" s="30" t="inlineStr">
        <is>
          <t>Areal</t>
        </is>
      </c>
      <c r="C1749" s="30" t="n">
        <v>86924595</v>
      </c>
      <c r="D1749" s="30">
        <f>"22031941000125"</f>
        <v/>
      </c>
      <c r="E1749" s="30" t="inlineStr">
        <is>
          <t>COOPERATIVA DE TRAB DOS CATADORES DE MAT RECICLAVEIS LUZ DO SOL</t>
        </is>
      </c>
      <c r="F1749" s="30" t="inlineStr">
        <is>
          <t>2019</t>
        </is>
      </c>
      <c r="G1749" s="40" t="n">
        <v>0</v>
      </c>
    </row>
    <row r="1750" ht="12" customHeight="1">
      <c r="A1750" s="30" t="inlineStr">
        <is>
          <t>ARE</t>
        </is>
      </c>
      <c r="B1750" s="30" t="inlineStr">
        <is>
          <t>Areal</t>
        </is>
      </c>
      <c r="C1750" s="30" t="n">
        <v>86924595</v>
      </c>
      <c r="D1750" s="30">
        <f>"22031941000125"</f>
        <v/>
      </c>
      <c r="E1750" s="30" t="inlineStr">
        <is>
          <t>COOPERATIVA DE TRAB DOS CATADORES DE MAT RECICLAVEIS LUZ DO SOL</t>
        </is>
      </c>
      <c r="F1750" s="30" t="inlineStr">
        <is>
          <t>2020</t>
        </is>
      </c>
      <c r="G1750" s="40" t="n">
        <v>0</v>
      </c>
    </row>
    <row r="1751" ht="12" customHeight="1">
      <c r="A1751" s="30" t="inlineStr">
        <is>
          <t>ARE</t>
        </is>
      </c>
      <c r="B1751" s="30" t="inlineStr">
        <is>
          <t>Areal</t>
        </is>
      </c>
      <c r="C1751" s="30" t="n">
        <v>86924595</v>
      </c>
      <c r="D1751" s="30">
        <f>"22031941000125"</f>
        <v/>
      </c>
      <c r="E1751" s="30" t="inlineStr">
        <is>
          <t>COOPERATIVA DE TRAB DOS CATADORES DE MAT RECICLAVEIS LUZ DO SOL</t>
        </is>
      </c>
      <c r="F1751" s="30" t="inlineStr">
        <is>
          <t>2021</t>
        </is>
      </c>
      <c r="G1751" s="40" t="n">
        <v>7620.7</v>
      </c>
    </row>
    <row r="1752" ht="12" customHeight="1">
      <c r="A1752" s="30" t="inlineStr">
        <is>
          <t>ARE</t>
        </is>
      </c>
      <c r="B1752" s="30" t="inlineStr">
        <is>
          <t>Areal</t>
        </is>
      </c>
      <c r="C1752" s="30" t="n">
        <v>86924595</v>
      </c>
      <c r="D1752" s="30">
        <f>"22031941000125"</f>
        <v/>
      </c>
      <c r="E1752" s="30" t="inlineStr">
        <is>
          <t>COOPERATIVA DE TRAB DOS CATADORES DE MAT RECICLAVEIS LUZ DO SOL</t>
        </is>
      </c>
      <c r="F1752" s="30" t="inlineStr">
        <is>
          <t>2022</t>
        </is>
      </c>
      <c r="G1752" s="40" t="n">
        <v>0</v>
      </c>
    </row>
    <row r="1753" ht="12" customHeight="1">
      <c r="A1753" s="30" t="inlineStr">
        <is>
          <t>ARE</t>
        </is>
      </c>
      <c r="B1753" s="30" t="inlineStr">
        <is>
          <t>Areal</t>
        </is>
      </c>
      <c r="C1753" s="30" t="n">
        <v>86924595</v>
      </c>
      <c r="D1753" s="30">
        <f>"22031941000125"</f>
        <v/>
      </c>
      <c r="E1753" s="30" t="inlineStr">
        <is>
          <t>COOPERATIVA DE TRAB DOS CATADORES DE MAT RECICLAVEIS LUZ DO SOL</t>
        </is>
      </c>
      <c r="F1753" s="30" t="inlineStr">
        <is>
          <t>2023</t>
        </is>
      </c>
      <c r="G1753" s="40" t="n">
        <v>0</v>
      </c>
    </row>
    <row r="1754" ht="12" customHeight="1">
      <c r="A1754" s="30" t="inlineStr">
        <is>
          <t>ARE</t>
        </is>
      </c>
      <c r="B1754" s="30" t="inlineStr">
        <is>
          <t>Areal</t>
        </is>
      </c>
      <c r="C1754" s="30" t="n">
        <v>86940701</v>
      </c>
      <c r="D1754" s="30">
        <f>"21747713000193"</f>
        <v/>
      </c>
      <c r="E1754" s="30" t="inlineStr">
        <is>
          <t>HARAS HARI CRIACAO E TREINAMENTO S A</t>
        </is>
      </c>
      <c r="F1754" s="30" t="inlineStr">
        <is>
          <t>2017</t>
        </is>
      </c>
      <c r="G1754" s="40" t="n">
        <v>0</v>
      </c>
    </row>
    <row r="1755" ht="12" customHeight="1">
      <c r="A1755" s="30" t="inlineStr">
        <is>
          <t>ARE</t>
        </is>
      </c>
      <c r="B1755" s="30" t="inlineStr">
        <is>
          <t>Areal</t>
        </is>
      </c>
      <c r="C1755" s="30" t="n">
        <v>86940701</v>
      </c>
      <c r="D1755" s="30">
        <f>"21747713000193"</f>
        <v/>
      </c>
      <c r="E1755" s="30" t="inlineStr">
        <is>
          <t>HARAS HARI CRIACAO E TREINAMENTO S A</t>
        </is>
      </c>
      <c r="F1755" s="30" t="inlineStr">
        <is>
          <t>2018</t>
        </is>
      </c>
      <c r="G1755" s="40" t="n">
        <v>0</v>
      </c>
    </row>
    <row r="1756" ht="12" customHeight="1">
      <c r="A1756" s="30" t="inlineStr">
        <is>
          <t>ARE</t>
        </is>
      </c>
      <c r="B1756" s="30" t="inlineStr">
        <is>
          <t>Areal</t>
        </is>
      </c>
      <c r="C1756" s="30" t="n">
        <v>86940701</v>
      </c>
      <c r="D1756" s="30">
        <f>"21747713000193"</f>
        <v/>
      </c>
      <c r="E1756" s="30" t="inlineStr">
        <is>
          <t>HARAS HARI CRIACAO E TREINAMENTO S A</t>
        </is>
      </c>
      <c r="F1756" s="30" t="inlineStr">
        <is>
          <t>2019</t>
        </is>
      </c>
      <c r="G1756" s="40" t="n">
        <v>0</v>
      </c>
    </row>
    <row r="1757" ht="12" customHeight="1">
      <c r="A1757" s="30" t="inlineStr">
        <is>
          <t>ARE</t>
        </is>
      </c>
      <c r="B1757" s="30" t="inlineStr">
        <is>
          <t>Areal</t>
        </is>
      </c>
      <c r="C1757" s="30" t="n">
        <v>86940701</v>
      </c>
      <c r="D1757" s="30">
        <f>"21747713000193"</f>
        <v/>
      </c>
      <c r="E1757" s="30" t="inlineStr">
        <is>
          <t>HARAS HARI CRIACAO E TREINAMENTO S A</t>
        </is>
      </c>
      <c r="F1757" s="30" t="inlineStr">
        <is>
          <t>2020</t>
        </is>
      </c>
      <c r="G1757" s="40" t="n">
        <v>0</v>
      </c>
    </row>
    <row r="1758" ht="12" customHeight="1">
      <c r="A1758" s="30" t="inlineStr">
        <is>
          <t>ARE</t>
        </is>
      </c>
      <c r="B1758" s="30" t="inlineStr">
        <is>
          <t>Areal</t>
        </is>
      </c>
      <c r="C1758" s="30" t="n">
        <v>86940701</v>
      </c>
      <c r="D1758" s="30">
        <f>"21747713000193"</f>
        <v/>
      </c>
      <c r="E1758" s="30" t="inlineStr">
        <is>
          <t>HARAS HARI CRIACAO E TREINAMENTO S A</t>
        </is>
      </c>
      <c r="F1758" s="30" t="inlineStr">
        <is>
          <t>2021</t>
        </is>
      </c>
      <c r="G1758" s="40" t="n">
        <v>0</v>
      </c>
    </row>
    <row r="1759" ht="12" customHeight="1">
      <c r="A1759" s="30" t="inlineStr">
        <is>
          <t>ARE</t>
        </is>
      </c>
      <c r="B1759" s="30" t="inlineStr">
        <is>
          <t>Areal</t>
        </is>
      </c>
      <c r="C1759" s="30" t="n">
        <v>86940701</v>
      </c>
      <c r="D1759" s="30">
        <f>"21747713000193"</f>
        <v/>
      </c>
      <c r="E1759" s="30" t="inlineStr">
        <is>
          <t>HARAS HARI CRIACAO E TREINAMENTO S A</t>
        </is>
      </c>
      <c r="F1759" s="30" t="inlineStr">
        <is>
          <t>2022</t>
        </is>
      </c>
      <c r="G1759" s="40" t="n">
        <v>0</v>
      </c>
    </row>
    <row r="1760" ht="12" customHeight="1">
      <c r="A1760" s="30" t="inlineStr">
        <is>
          <t>ARE</t>
        </is>
      </c>
      <c r="B1760" s="30" t="inlineStr">
        <is>
          <t>Areal</t>
        </is>
      </c>
      <c r="C1760" s="30" t="n">
        <v>86940701</v>
      </c>
      <c r="D1760" s="30">
        <f>"21747713000193"</f>
        <v/>
      </c>
      <c r="E1760" s="30" t="inlineStr">
        <is>
          <t>HARAS HARI CRIACAO E TREINAMENTO S A</t>
        </is>
      </c>
      <c r="F1760" s="30" t="inlineStr">
        <is>
          <t>2023</t>
        </is>
      </c>
      <c r="G1760" s="40" t="n">
        <v>0</v>
      </c>
    </row>
    <row r="1761" ht="12" customHeight="1">
      <c r="A1761" s="30" t="inlineStr">
        <is>
          <t>ARE</t>
        </is>
      </c>
      <c r="B1761" s="30" t="inlineStr">
        <is>
          <t>Areal</t>
        </is>
      </c>
      <c r="C1761" s="30" t="n">
        <v>86994178</v>
      </c>
      <c r="D1761" s="30">
        <f>"53237962003140"</f>
        <v/>
      </c>
      <c r="E1761" s="30" t="inlineStr">
        <is>
          <t>EMPRESA DE TRANSPORTES PAJUCARA LTDA</t>
        </is>
      </c>
      <c r="F1761" s="30" t="inlineStr">
        <is>
          <t>2017</t>
        </is>
      </c>
      <c r="G1761" s="40" t="n">
        <v>80.73999999999999</v>
      </c>
    </row>
    <row r="1762" ht="12" customHeight="1">
      <c r="A1762" s="30" t="inlineStr">
        <is>
          <t>ARE</t>
        </is>
      </c>
      <c r="B1762" s="30" t="inlineStr">
        <is>
          <t>Areal</t>
        </is>
      </c>
      <c r="C1762" s="30" t="n">
        <v>86994178</v>
      </c>
      <c r="D1762" s="30">
        <f>"53237962003140"</f>
        <v/>
      </c>
      <c r="E1762" s="30" t="inlineStr">
        <is>
          <t>EMPRESA DE TRANSPORTES PAJUCARA LTDA</t>
        </is>
      </c>
      <c r="F1762" s="30" t="inlineStr">
        <is>
          <t>2018</t>
        </is>
      </c>
      <c r="G1762" s="40" t="n">
        <v>0</v>
      </c>
    </row>
    <row r="1763" ht="12" customHeight="1">
      <c r="A1763" s="30" t="inlineStr">
        <is>
          <t>ARE</t>
        </is>
      </c>
      <c r="B1763" s="30" t="inlineStr">
        <is>
          <t>Areal</t>
        </is>
      </c>
      <c r="C1763" s="30" t="n">
        <v>86994178</v>
      </c>
      <c r="D1763" s="30">
        <f>"53237962003140"</f>
        <v/>
      </c>
      <c r="E1763" s="30" t="inlineStr">
        <is>
          <t>EMPRESA DE TRANSPORTES PAJUCARA LTDA</t>
        </is>
      </c>
      <c r="F1763" s="30" t="inlineStr">
        <is>
          <t>2019</t>
        </is>
      </c>
      <c r="G1763" s="40" t="n">
        <v>64.17</v>
      </c>
    </row>
    <row r="1764" ht="12" customHeight="1">
      <c r="A1764" s="30" t="inlineStr">
        <is>
          <t>ARE</t>
        </is>
      </c>
      <c r="B1764" s="30" t="inlineStr">
        <is>
          <t>Areal</t>
        </is>
      </c>
      <c r="C1764" s="30" t="n">
        <v>86994178</v>
      </c>
      <c r="D1764" s="30">
        <f>"53237962003140"</f>
        <v/>
      </c>
      <c r="E1764" s="30" t="inlineStr">
        <is>
          <t>EMPRESA DE TRANSPORTES PAJUCARA LTDA</t>
        </is>
      </c>
      <c r="F1764" s="30" t="inlineStr">
        <is>
          <t>2020</t>
        </is>
      </c>
      <c r="G1764" s="40" t="n">
        <v>193.69</v>
      </c>
    </row>
    <row r="1765" ht="12" customHeight="1">
      <c r="A1765" s="30" t="inlineStr">
        <is>
          <t>ARE</t>
        </is>
      </c>
      <c r="B1765" s="30" t="inlineStr">
        <is>
          <t>Areal</t>
        </is>
      </c>
      <c r="C1765" s="30" t="n">
        <v>86994178</v>
      </c>
      <c r="D1765" s="30">
        <f>"53237962003140"</f>
        <v/>
      </c>
      <c r="E1765" s="30" t="inlineStr">
        <is>
          <t>EMPRESA DE TRANSPORTES PAJUCARA LTDA</t>
        </is>
      </c>
      <c r="F1765" s="30" t="inlineStr">
        <is>
          <t>2021</t>
        </is>
      </c>
      <c r="G1765" s="40" t="n">
        <v>304.14</v>
      </c>
    </row>
    <row r="1766" ht="12" customHeight="1">
      <c r="A1766" s="30" t="inlineStr">
        <is>
          <t>ARE</t>
        </is>
      </c>
      <c r="B1766" s="30" t="inlineStr">
        <is>
          <t>Areal</t>
        </is>
      </c>
      <c r="C1766" s="30" t="n">
        <v>86994178</v>
      </c>
      <c r="D1766" s="30">
        <f>"53237962003140"</f>
        <v/>
      </c>
      <c r="E1766" s="30" t="inlineStr">
        <is>
          <t>EMPRESA DE TRANSPORTES PAJUCARA LTDA</t>
        </is>
      </c>
      <c r="F1766" s="30" t="inlineStr">
        <is>
          <t>2022</t>
        </is>
      </c>
      <c r="G1766" s="40" t="n">
        <v>119.08</v>
      </c>
    </row>
    <row r="1767" ht="12" customHeight="1">
      <c r="A1767" s="30" t="inlineStr">
        <is>
          <t>ARE</t>
        </is>
      </c>
      <c r="B1767" s="30" t="inlineStr">
        <is>
          <t>Areal</t>
        </is>
      </c>
      <c r="C1767" s="30" t="n">
        <v>86994178</v>
      </c>
      <c r="D1767" s="30">
        <f>"53237962003140"</f>
        <v/>
      </c>
      <c r="E1767" s="30" t="inlineStr">
        <is>
          <t>EMPRESA DE TRANSPORTES PAJUCARA LTDA</t>
        </is>
      </c>
      <c r="F1767" s="30" t="inlineStr">
        <is>
          <t>2023</t>
        </is>
      </c>
      <c r="G1767" s="40" t="n">
        <v>0</v>
      </c>
    </row>
    <row r="1768" ht="12" customHeight="1">
      <c r="A1768" s="30" t="inlineStr">
        <is>
          <t>ARE</t>
        </is>
      </c>
      <c r="B1768" s="30" t="inlineStr">
        <is>
          <t>Areal</t>
        </is>
      </c>
      <c r="C1768" s="30" t="n">
        <v>87020592</v>
      </c>
      <c r="D1768" s="30">
        <f>"23392260000155"</f>
        <v/>
      </c>
      <c r="E1768" s="30" t="inlineStr">
        <is>
          <t>RIOCARGAS DISTRIBUICAO E LOGISTICA LTDA ME</t>
        </is>
      </c>
      <c r="F1768" s="30" t="inlineStr">
        <is>
          <t>2017</t>
        </is>
      </c>
      <c r="G1768" s="40" t="n">
        <v>0</v>
      </c>
    </row>
    <row r="1769" ht="12" customHeight="1">
      <c r="A1769" s="30" t="inlineStr">
        <is>
          <t>ARE</t>
        </is>
      </c>
      <c r="B1769" s="30" t="inlineStr">
        <is>
          <t>Areal</t>
        </is>
      </c>
      <c r="C1769" s="30" t="n">
        <v>87020592</v>
      </c>
      <c r="D1769" s="30">
        <f>"23392260000155"</f>
        <v/>
      </c>
      <c r="E1769" s="30" t="inlineStr">
        <is>
          <t>RIOCARGAS DISTRIBUICAO E LOGISTICA LTDA ME</t>
        </is>
      </c>
      <c r="F1769" s="30" t="inlineStr">
        <is>
          <t>2018</t>
        </is>
      </c>
      <c r="G1769" s="40" t="n">
        <v>42</v>
      </c>
    </row>
    <row r="1770" ht="12" customHeight="1">
      <c r="A1770" s="30" t="inlineStr">
        <is>
          <t>ARE</t>
        </is>
      </c>
      <c r="B1770" s="30" t="inlineStr">
        <is>
          <t>Areal</t>
        </is>
      </c>
      <c r="C1770" s="30" t="n">
        <v>87020592</v>
      </c>
      <c r="D1770" s="30">
        <f>"23392260000155"</f>
        <v/>
      </c>
      <c r="E1770" s="30" t="inlineStr">
        <is>
          <t>RIOCARGAS DISTRIBUICAO E LOGISTICA LTDA ME</t>
        </is>
      </c>
      <c r="F1770" s="30" t="inlineStr">
        <is>
          <t>2019</t>
        </is>
      </c>
      <c r="G1770" s="40" t="n">
        <v>0</v>
      </c>
    </row>
    <row r="1771" ht="12" customHeight="1">
      <c r="A1771" s="30" t="inlineStr">
        <is>
          <t>ARE</t>
        </is>
      </c>
      <c r="B1771" s="30" t="inlineStr">
        <is>
          <t>Areal</t>
        </is>
      </c>
      <c r="C1771" s="30" t="n">
        <v>87020592</v>
      </c>
      <c r="D1771" s="30">
        <f>"23392260000155"</f>
        <v/>
      </c>
      <c r="E1771" s="30" t="inlineStr">
        <is>
          <t>RIOCARGAS DISTRIBUICAO E LOGISTICA LTDA ME</t>
        </is>
      </c>
      <c r="F1771" s="30" t="inlineStr">
        <is>
          <t>2020</t>
        </is>
      </c>
      <c r="G1771" s="40" t="n">
        <v>0</v>
      </c>
    </row>
    <row r="1772" ht="12" customHeight="1">
      <c r="A1772" s="30" t="inlineStr">
        <is>
          <t>ARE</t>
        </is>
      </c>
      <c r="B1772" s="30" t="inlineStr">
        <is>
          <t>Areal</t>
        </is>
      </c>
      <c r="C1772" s="30" t="n">
        <v>87035794</v>
      </c>
      <c r="D1772" s="30">
        <f>"05872814000300"</f>
        <v/>
      </c>
      <c r="E1772" s="30" t="inlineStr">
        <is>
          <t>VOGEL SOLUCOES EM TELECOMUNICACOES E INFORMATICA S.A.</t>
        </is>
      </c>
      <c r="F1772" s="30" t="inlineStr">
        <is>
          <t>2021</t>
        </is>
      </c>
      <c r="G1772" s="40" t="n">
        <v>0</v>
      </c>
    </row>
    <row r="1773" ht="12" customHeight="1">
      <c r="A1773" s="30" t="inlineStr">
        <is>
          <t>ARE</t>
        </is>
      </c>
      <c r="B1773" s="30" t="inlineStr">
        <is>
          <t>Areal</t>
        </is>
      </c>
      <c r="C1773" s="30" t="n">
        <v>87035794</v>
      </c>
      <c r="D1773" s="30">
        <f>"05872814000300"</f>
        <v/>
      </c>
      <c r="E1773" s="30" t="inlineStr">
        <is>
          <t>VOGEL SOLUCOES EM TELECOMUNICACOES E INFORMATICA S.A.</t>
        </is>
      </c>
      <c r="F1773" s="30" t="inlineStr">
        <is>
          <t>2022</t>
        </is>
      </c>
      <c r="G1773" s="40" t="n">
        <v>0</v>
      </c>
    </row>
    <row r="1774" ht="12" customHeight="1">
      <c r="A1774" s="30" t="inlineStr">
        <is>
          <t>ARE</t>
        </is>
      </c>
      <c r="B1774" s="30" t="inlineStr">
        <is>
          <t>Areal</t>
        </is>
      </c>
      <c r="C1774" s="30" t="n">
        <v>87035794</v>
      </c>
      <c r="D1774" s="30">
        <f>"05872814000300"</f>
        <v/>
      </c>
      <c r="E1774" s="30" t="inlineStr">
        <is>
          <t>VOGEL SOLUCOES EM TELECOMUNICACOES E INFORMATICA S.A.</t>
        </is>
      </c>
      <c r="F1774" s="30" t="inlineStr">
        <is>
          <t>2023</t>
        </is>
      </c>
      <c r="G1774" s="40" t="n">
        <v>1576.8</v>
      </c>
    </row>
    <row r="1775" ht="12" customHeight="1">
      <c r="A1775" s="30" t="inlineStr">
        <is>
          <t>ARE</t>
        </is>
      </c>
      <c r="B1775" s="30" t="inlineStr">
        <is>
          <t>Areal</t>
        </is>
      </c>
      <c r="C1775" s="30" t="n">
        <v>87043045</v>
      </c>
      <c r="D1775" s="30">
        <f>"23140384000143"</f>
        <v/>
      </c>
      <c r="E1775" s="30" t="inlineStr">
        <is>
          <t>REM EMBUTIDOS E DEFUMADOS LTDA ME</t>
        </is>
      </c>
      <c r="F1775" s="30" t="inlineStr">
        <is>
          <t>2017</t>
        </is>
      </c>
      <c r="G1775" s="40" t="n">
        <v>1435.92</v>
      </c>
    </row>
    <row r="1776" ht="12" customHeight="1">
      <c r="A1776" s="30" t="inlineStr">
        <is>
          <t>ARE</t>
        </is>
      </c>
      <c r="B1776" s="30" t="inlineStr">
        <is>
          <t>Areal</t>
        </is>
      </c>
      <c r="C1776" s="30" t="n">
        <v>87043045</v>
      </c>
      <c r="D1776" s="30">
        <f>"23140384000143"</f>
        <v/>
      </c>
      <c r="E1776" s="30" t="inlineStr">
        <is>
          <t>REM EMBUTIDOS E DEFUMADOS LTDA ME</t>
        </is>
      </c>
      <c r="F1776" s="30" t="inlineStr">
        <is>
          <t>2018</t>
        </is>
      </c>
      <c r="G1776" s="40" t="n">
        <v>0</v>
      </c>
    </row>
    <row r="1777" ht="12" customHeight="1">
      <c r="A1777" s="30" t="inlineStr">
        <is>
          <t>ARE</t>
        </is>
      </c>
      <c r="B1777" s="30" t="inlineStr">
        <is>
          <t>Areal</t>
        </is>
      </c>
      <c r="C1777" s="30" t="n">
        <v>87043045</v>
      </c>
      <c r="D1777" s="30">
        <f>"23140384000143"</f>
        <v/>
      </c>
      <c r="E1777" s="30" t="inlineStr">
        <is>
          <t>REM EMBUTIDOS E DEFUMADOS LTDA ME</t>
        </is>
      </c>
      <c r="F1777" s="30" t="inlineStr">
        <is>
          <t>2019</t>
        </is>
      </c>
      <c r="G1777" s="40" t="n">
        <v>0</v>
      </c>
    </row>
    <row r="1778" ht="12" customHeight="1">
      <c r="A1778" s="30" t="inlineStr">
        <is>
          <t>ARE</t>
        </is>
      </c>
      <c r="B1778" s="30" t="inlineStr">
        <is>
          <t>Areal</t>
        </is>
      </c>
      <c r="C1778" s="30" t="n">
        <v>87074587</v>
      </c>
      <c r="D1778" s="30">
        <f>"23786432000256"</f>
        <v/>
      </c>
      <c r="E1778" s="30" t="inlineStr">
        <is>
          <t>FAZENDA E HARAS STUD BRASIL AGROPECUARIA LTDA</t>
        </is>
      </c>
      <c r="F1778" s="30" t="inlineStr">
        <is>
          <t>2017</t>
        </is>
      </c>
      <c r="G1778" s="40" t="n">
        <v>0</v>
      </c>
    </row>
    <row r="1779" ht="12" customHeight="1">
      <c r="A1779" s="30" t="inlineStr">
        <is>
          <t>ARE</t>
        </is>
      </c>
      <c r="B1779" s="30" t="inlineStr">
        <is>
          <t>Areal</t>
        </is>
      </c>
      <c r="C1779" s="30" t="n">
        <v>87074587</v>
      </c>
      <c r="D1779" s="30">
        <f>"23786432000256"</f>
        <v/>
      </c>
      <c r="E1779" s="30" t="inlineStr">
        <is>
          <t>FAZENDA E HARAS STUD BRASIL AGROPECUARIA LTDA</t>
        </is>
      </c>
      <c r="F1779" s="30" t="inlineStr">
        <is>
          <t>2018</t>
        </is>
      </c>
      <c r="G1779" s="40" t="n">
        <v>0</v>
      </c>
    </row>
    <row r="1780" ht="12" customHeight="1">
      <c r="A1780" s="30" t="inlineStr">
        <is>
          <t>ARE</t>
        </is>
      </c>
      <c r="B1780" s="30" t="inlineStr">
        <is>
          <t>Areal</t>
        </is>
      </c>
      <c r="C1780" s="30" t="n">
        <v>87074587</v>
      </c>
      <c r="D1780" s="30">
        <f>"23786432000256"</f>
        <v/>
      </c>
      <c r="E1780" s="30" t="inlineStr">
        <is>
          <t>FAZENDA E HARAS STUD BRASIL AGROPECUARIA LTDA</t>
        </is>
      </c>
      <c r="F1780" s="30" t="inlineStr">
        <is>
          <t>2019</t>
        </is>
      </c>
      <c r="G1780" s="40" t="n">
        <v>0</v>
      </c>
    </row>
    <row r="1781" ht="12" customHeight="1">
      <c r="A1781" s="30" t="inlineStr">
        <is>
          <t>ARE</t>
        </is>
      </c>
      <c r="B1781" s="30" t="inlineStr">
        <is>
          <t>Areal</t>
        </is>
      </c>
      <c r="C1781" s="30" t="n">
        <v>87074587</v>
      </c>
      <c r="D1781" s="30">
        <f>"23786432000256"</f>
        <v/>
      </c>
      <c r="E1781" s="30" t="inlineStr">
        <is>
          <t>FAZENDA E HARAS STUD BRASIL AGROPECUARIA LTDA</t>
        </is>
      </c>
      <c r="F1781" s="30" t="inlineStr">
        <is>
          <t>2020</t>
        </is>
      </c>
      <c r="G1781" s="40" t="n">
        <v>0</v>
      </c>
    </row>
    <row r="1782" ht="12" customHeight="1">
      <c r="A1782" s="30" t="inlineStr">
        <is>
          <t>ARE</t>
        </is>
      </c>
      <c r="B1782" s="30" t="inlineStr">
        <is>
          <t>Areal</t>
        </is>
      </c>
      <c r="C1782" s="30" t="n">
        <v>87074587</v>
      </c>
      <c r="D1782" s="30">
        <f>"23786432000256"</f>
        <v/>
      </c>
      <c r="E1782" s="30" t="inlineStr">
        <is>
          <t>FAZENDA E HARAS STUD BRASIL AGROPECUARIA LTDA</t>
        </is>
      </c>
      <c r="F1782" s="30" t="inlineStr">
        <is>
          <t>2021</t>
        </is>
      </c>
      <c r="G1782" s="40" t="n">
        <v>0</v>
      </c>
    </row>
    <row r="1783" ht="12" customHeight="1">
      <c r="A1783" s="30" t="inlineStr">
        <is>
          <t>ARE</t>
        </is>
      </c>
      <c r="B1783" s="30" t="inlineStr">
        <is>
          <t>Areal</t>
        </is>
      </c>
      <c r="C1783" s="30" t="n">
        <v>87074587</v>
      </c>
      <c r="D1783" s="30">
        <f>"23786432000256"</f>
        <v/>
      </c>
      <c r="E1783" s="30" t="inlineStr">
        <is>
          <t>FAZENDA E HARAS STUD BRASIL AGROPECUARIA LTDA</t>
        </is>
      </c>
      <c r="F1783" s="30" t="inlineStr">
        <is>
          <t>2022</t>
        </is>
      </c>
      <c r="G1783" s="40" t="n">
        <v>0</v>
      </c>
    </row>
    <row r="1784" ht="12" customHeight="1">
      <c r="A1784" s="30" t="inlineStr">
        <is>
          <t>ARE</t>
        </is>
      </c>
      <c r="B1784" s="30" t="inlineStr">
        <is>
          <t>Areal</t>
        </is>
      </c>
      <c r="C1784" s="30" t="n">
        <v>87074587</v>
      </c>
      <c r="D1784" s="30">
        <f>"23786432000256"</f>
        <v/>
      </c>
      <c r="E1784" s="30" t="inlineStr">
        <is>
          <t>FAZENDA E HARAS STUD BRASIL AGROPECUARIA LTDA</t>
        </is>
      </c>
      <c r="F1784" s="30" t="inlineStr">
        <is>
          <t>2023</t>
        </is>
      </c>
      <c r="G1784" s="40" t="n">
        <v>539661.79</v>
      </c>
    </row>
    <row r="1785" ht="12" customHeight="1">
      <c r="A1785" s="30" t="inlineStr">
        <is>
          <t>ARE</t>
        </is>
      </c>
      <c r="B1785" s="30" t="inlineStr">
        <is>
          <t>Areal</t>
        </is>
      </c>
      <c r="C1785" s="30" t="n">
        <v>87074609</v>
      </c>
      <c r="D1785" s="30">
        <f>"23800488000137"</f>
        <v/>
      </c>
      <c r="E1785" s="30" t="inlineStr">
        <is>
          <t>D FARAJ RESTAURANTE E PIZZARIA LTDA</t>
        </is>
      </c>
      <c r="F1785" s="30" t="inlineStr">
        <is>
          <t>2017</t>
        </is>
      </c>
      <c r="G1785" s="40" t="n">
        <v>0</v>
      </c>
    </row>
    <row r="1786" ht="12" customHeight="1">
      <c r="A1786" s="30" t="inlineStr">
        <is>
          <t>ARE</t>
        </is>
      </c>
      <c r="B1786" s="30" t="inlineStr">
        <is>
          <t>Areal</t>
        </is>
      </c>
      <c r="C1786" s="30" t="n">
        <v>87074609</v>
      </c>
      <c r="D1786" s="30">
        <f>"23800488000137"</f>
        <v/>
      </c>
      <c r="E1786" s="30" t="inlineStr">
        <is>
          <t>D FARAJ RESTAURANTE E PIZZARIA LTDA</t>
        </is>
      </c>
      <c r="F1786" s="30" t="inlineStr">
        <is>
          <t>2018</t>
        </is>
      </c>
      <c r="G1786" s="40" t="n">
        <v>0</v>
      </c>
    </row>
    <row r="1787" ht="12" customHeight="1">
      <c r="A1787" s="30" t="inlineStr">
        <is>
          <t>ARE</t>
        </is>
      </c>
      <c r="B1787" s="30" t="inlineStr">
        <is>
          <t>Areal</t>
        </is>
      </c>
      <c r="C1787" s="30" t="n">
        <v>87074609</v>
      </c>
      <c r="D1787" s="30">
        <f>"23800488000137"</f>
        <v/>
      </c>
      <c r="E1787" s="30" t="inlineStr">
        <is>
          <t>D FARAJ RESTAURANTE E PIZZARIA LTDA</t>
        </is>
      </c>
      <c r="F1787" s="30" t="inlineStr">
        <is>
          <t>2019</t>
        </is>
      </c>
      <c r="G1787" s="40" t="n">
        <v>0</v>
      </c>
    </row>
    <row r="1788" ht="12" customHeight="1">
      <c r="A1788" s="30" t="inlineStr">
        <is>
          <t>ARE</t>
        </is>
      </c>
      <c r="B1788" s="30" t="inlineStr">
        <is>
          <t>Areal</t>
        </is>
      </c>
      <c r="C1788" s="30" t="n">
        <v>87074609</v>
      </c>
      <c r="D1788" s="30">
        <f>"23800488000137"</f>
        <v/>
      </c>
      <c r="E1788" s="30" t="inlineStr">
        <is>
          <t>D FARAJ RESTAURANTE E PIZZARIA LTDA</t>
        </is>
      </c>
      <c r="F1788" s="30" t="inlineStr">
        <is>
          <t>2020</t>
        </is>
      </c>
      <c r="G1788" s="40" t="n">
        <v>0</v>
      </c>
    </row>
    <row r="1789" ht="12" customHeight="1">
      <c r="A1789" s="30" t="inlineStr">
        <is>
          <t>ARE</t>
        </is>
      </c>
      <c r="B1789" s="30" t="inlineStr">
        <is>
          <t>Areal</t>
        </is>
      </c>
      <c r="C1789" s="30" t="n">
        <v>87074609</v>
      </c>
      <c r="D1789" s="30">
        <f>"23800488000137"</f>
        <v/>
      </c>
      <c r="E1789" s="30" t="inlineStr">
        <is>
          <t>D FARAJ RESTAURANTE E PIZZARIA LTDA</t>
        </is>
      </c>
      <c r="F1789" s="30" t="inlineStr">
        <is>
          <t>2021</t>
        </is>
      </c>
      <c r="G1789" s="40" t="n">
        <v>0</v>
      </c>
    </row>
    <row r="1790" ht="12" customHeight="1">
      <c r="A1790" s="30" t="inlineStr">
        <is>
          <t>ARE</t>
        </is>
      </c>
      <c r="B1790" s="30" t="inlineStr">
        <is>
          <t>Areal</t>
        </is>
      </c>
      <c r="C1790" s="30" t="n">
        <v>87077187</v>
      </c>
      <c r="D1790" s="30">
        <f>"01599101002056"</f>
        <v/>
      </c>
      <c r="E1790" s="30" t="inlineStr">
        <is>
          <t>SEQUOIA LOGISTICA E TRANSPORTES S.A.</t>
        </is>
      </c>
      <c r="F1790" s="30" t="inlineStr">
        <is>
          <t>2018</t>
        </is>
      </c>
      <c r="G1790" s="40" t="n">
        <v>0</v>
      </c>
    </row>
    <row r="1791" ht="12" customHeight="1">
      <c r="A1791" s="30" t="inlineStr">
        <is>
          <t>ARE</t>
        </is>
      </c>
      <c r="B1791" s="30" t="inlineStr">
        <is>
          <t>Areal</t>
        </is>
      </c>
      <c r="C1791" s="30" t="n">
        <v>87077187</v>
      </c>
      <c r="D1791" s="30">
        <f>"01599101002056"</f>
        <v/>
      </c>
      <c r="E1791" s="30" t="inlineStr">
        <is>
          <t>SEQUOIA LOGISTICA E TRANSPORTES S.A.</t>
        </is>
      </c>
      <c r="F1791" s="30" t="inlineStr">
        <is>
          <t>2019</t>
        </is>
      </c>
      <c r="G1791" s="40" t="n">
        <v>0</v>
      </c>
    </row>
    <row r="1792" ht="12" customHeight="1">
      <c r="A1792" s="30" t="inlineStr">
        <is>
          <t>ARE</t>
        </is>
      </c>
      <c r="B1792" s="30" t="inlineStr">
        <is>
          <t>Areal</t>
        </is>
      </c>
      <c r="C1792" s="30" t="n">
        <v>87077187</v>
      </c>
      <c r="D1792" s="30">
        <f>"01599101002056"</f>
        <v/>
      </c>
      <c r="E1792" s="30" t="inlineStr">
        <is>
          <t>SEQUOIA LOGISTICA E TRANSPORTES S.A.</t>
        </is>
      </c>
      <c r="F1792" s="30" t="inlineStr">
        <is>
          <t>2020</t>
        </is>
      </c>
      <c r="G1792" s="40" t="n">
        <v>14278.11</v>
      </c>
    </row>
    <row r="1793" ht="12" customHeight="1">
      <c r="A1793" s="30" t="inlineStr">
        <is>
          <t>ARE</t>
        </is>
      </c>
      <c r="B1793" s="30" t="inlineStr">
        <is>
          <t>Areal</t>
        </is>
      </c>
      <c r="C1793" s="30" t="n">
        <v>87077187</v>
      </c>
      <c r="D1793" s="30">
        <f>"01599101002056"</f>
        <v/>
      </c>
      <c r="E1793" s="30" t="inlineStr">
        <is>
          <t>SEQUOIA LOGISTICA E TRANSPORTES S.A.</t>
        </is>
      </c>
      <c r="F1793" s="30" t="inlineStr">
        <is>
          <t>2021</t>
        </is>
      </c>
      <c r="G1793" s="40" t="n">
        <v>6071.92</v>
      </c>
    </row>
    <row r="1794" ht="12" customHeight="1">
      <c r="A1794" s="30" t="inlineStr">
        <is>
          <t>ARE</t>
        </is>
      </c>
      <c r="B1794" s="30" t="inlineStr">
        <is>
          <t>Areal</t>
        </is>
      </c>
      <c r="C1794" s="30" t="n">
        <v>87077187</v>
      </c>
      <c r="D1794" s="30">
        <f>"01599101002056"</f>
        <v/>
      </c>
      <c r="E1794" s="30" t="inlineStr">
        <is>
          <t>SEQUOIA LOGISTICA E TRANSPORTES S.A.</t>
        </is>
      </c>
      <c r="F1794" s="30" t="inlineStr">
        <is>
          <t>2022</t>
        </is>
      </c>
      <c r="G1794" s="40" t="n">
        <v>5724.39</v>
      </c>
    </row>
    <row r="1795" ht="12" customHeight="1">
      <c r="A1795" s="30" t="inlineStr">
        <is>
          <t>ARE</t>
        </is>
      </c>
      <c r="B1795" s="30" t="inlineStr">
        <is>
          <t>Areal</t>
        </is>
      </c>
      <c r="C1795" s="30" t="n">
        <v>87077187</v>
      </c>
      <c r="D1795" s="30">
        <f>"01599101002056"</f>
        <v/>
      </c>
      <c r="E1795" s="30" t="inlineStr">
        <is>
          <t>SEQUOIA LOGISTICA E TRANSPORTES S.A.</t>
        </is>
      </c>
      <c r="F1795" s="30" t="inlineStr">
        <is>
          <t>2023</t>
        </is>
      </c>
      <c r="G1795" s="40" t="n">
        <v>459.61</v>
      </c>
    </row>
    <row r="1796" ht="12" customHeight="1">
      <c r="A1796" s="30" t="inlineStr">
        <is>
          <t>ARE</t>
        </is>
      </c>
      <c r="B1796" s="30" t="inlineStr">
        <is>
          <t>Areal</t>
        </is>
      </c>
      <c r="C1796" s="30" t="n">
        <v>87081192</v>
      </c>
      <c r="D1796" s="30">
        <f>"23872454000158"</f>
        <v/>
      </c>
      <c r="E1796" s="30" t="inlineStr">
        <is>
          <t>ARE-AUTOS COMERCIO E LOCACAO DE VEICULOS - EIRELI -ME</t>
        </is>
      </c>
      <c r="F1796" s="30" t="inlineStr">
        <is>
          <t>2017</t>
        </is>
      </c>
      <c r="G1796" s="40" t="n">
        <v>0</v>
      </c>
    </row>
    <row r="1797" ht="12" customHeight="1">
      <c r="A1797" s="30" t="inlineStr">
        <is>
          <t>ARE</t>
        </is>
      </c>
      <c r="B1797" s="30" t="inlineStr">
        <is>
          <t>Areal</t>
        </is>
      </c>
      <c r="C1797" s="30" t="n">
        <v>87081192</v>
      </c>
      <c r="D1797" s="30">
        <f>"23872454000158"</f>
        <v/>
      </c>
      <c r="E1797" s="30" t="inlineStr">
        <is>
          <t>ARE-AUTOS COMERCIO E LOCACAO DE VEICULOS - EIRELI -ME</t>
        </is>
      </c>
      <c r="F1797" s="30" t="inlineStr">
        <is>
          <t>2018</t>
        </is>
      </c>
      <c r="G1797" s="40" t="n">
        <v>0</v>
      </c>
    </row>
    <row r="1798" ht="12" customHeight="1">
      <c r="A1798" s="30" t="inlineStr">
        <is>
          <t>ARE</t>
        </is>
      </c>
      <c r="B1798" s="30" t="inlineStr">
        <is>
          <t>Areal</t>
        </is>
      </c>
      <c r="C1798" s="30" t="n">
        <v>87081192</v>
      </c>
      <c r="D1798" s="30">
        <f>"23872454000158"</f>
        <v/>
      </c>
      <c r="E1798" s="30" t="inlineStr">
        <is>
          <t>ARE-AUTOS COMERCIO E LOCACAO DE VEICULOS - EIRELI -ME</t>
        </is>
      </c>
      <c r="F1798" s="30" t="inlineStr">
        <is>
          <t>2019</t>
        </is>
      </c>
      <c r="G1798" s="40" t="n">
        <v>0</v>
      </c>
    </row>
    <row r="1799" ht="12" customHeight="1">
      <c r="A1799" s="30" t="inlineStr">
        <is>
          <t>ARE</t>
        </is>
      </c>
      <c r="B1799" s="30" t="inlineStr">
        <is>
          <t>Areal</t>
        </is>
      </c>
      <c r="C1799" s="30" t="n">
        <v>87081192</v>
      </c>
      <c r="D1799" s="30">
        <f>"23872454000158"</f>
        <v/>
      </c>
      <c r="E1799" s="30" t="inlineStr">
        <is>
          <t>ARE-AUTOS COMERCIO E LOCACAO DE VEICULOS - EIRELI -ME</t>
        </is>
      </c>
      <c r="F1799" s="30" t="inlineStr">
        <is>
          <t>2020</t>
        </is>
      </c>
      <c r="G1799" s="40" t="n">
        <v>0</v>
      </c>
    </row>
    <row r="1800" ht="12" customHeight="1">
      <c r="A1800" s="30" t="inlineStr">
        <is>
          <t>ARE</t>
        </is>
      </c>
      <c r="B1800" s="30" t="inlineStr">
        <is>
          <t>Areal</t>
        </is>
      </c>
      <c r="C1800" s="30" t="n">
        <v>87081192</v>
      </c>
      <c r="D1800" s="30">
        <f>"23872454000158"</f>
        <v/>
      </c>
      <c r="E1800" s="30" t="inlineStr">
        <is>
          <t>ARE-AUTOS COMERCIO E LOCACAO DE VEICULOS - EIRELI -ME</t>
        </is>
      </c>
      <c r="F1800" s="30" t="inlineStr">
        <is>
          <t>2021</t>
        </is>
      </c>
      <c r="G1800" s="40" t="n">
        <v>0</v>
      </c>
    </row>
    <row r="1801" ht="12" customHeight="1">
      <c r="A1801" s="30" t="inlineStr">
        <is>
          <t>ARE</t>
        </is>
      </c>
      <c r="B1801" s="30" t="inlineStr">
        <is>
          <t>Areal</t>
        </is>
      </c>
      <c r="C1801" s="30" t="n">
        <v>87081192</v>
      </c>
      <c r="D1801" s="30">
        <f>"23872454000158"</f>
        <v/>
      </c>
      <c r="E1801" s="30" t="inlineStr">
        <is>
          <t>ARE-AUTOS COMERCIO E LOCACAO DE VEICULOS - EIRELI -ME</t>
        </is>
      </c>
      <c r="F1801" s="30" t="inlineStr">
        <is>
          <t>2022</t>
        </is>
      </c>
      <c r="G1801" s="40" t="n">
        <v>0</v>
      </c>
    </row>
    <row r="1802" ht="12" customHeight="1">
      <c r="A1802" s="30" t="inlineStr">
        <is>
          <t>ARE</t>
        </is>
      </c>
      <c r="B1802" s="30" t="inlineStr">
        <is>
          <t>Areal</t>
        </is>
      </c>
      <c r="C1802" s="30" t="n">
        <v>87081192</v>
      </c>
      <c r="D1802" s="30">
        <f>"23872454000158"</f>
        <v/>
      </c>
      <c r="E1802" s="30" t="inlineStr">
        <is>
          <t>ARE-AUTOS COMERCIO E LOCACAO DE VEICULOS - EIRELI -ME</t>
        </is>
      </c>
      <c r="F1802" s="30" t="inlineStr">
        <is>
          <t>2023</t>
        </is>
      </c>
      <c r="G1802" s="40" t="n">
        <v>0</v>
      </c>
    </row>
    <row r="1803" ht="12" customHeight="1">
      <c r="A1803" s="30" t="inlineStr">
        <is>
          <t>ARE</t>
        </is>
      </c>
      <c r="B1803" s="30" t="inlineStr">
        <is>
          <t>Areal</t>
        </is>
      </c>
      <c r="C1803" s="30" t="n">
        <v>87097013</v>
      </c>
      <c r="D1803" s="30">
        <f>"11337163000180"</f>
        <v/>
      </c>
      <c r="E1803" s="30" t="inlineStr">
        <is>
          <t>SIGMA AREAL INDÚSTRIA E COMÉRCIO DE COSMÉTICOS E SANEANTES EIRELI</t>
        </is>
      </c>
      <c r="F1803" s="30" t="inlineStr">
        <is>
          <t>2018</t>
        </is>
      </c>
      <c r="G1803" s="40" t="n">
        <v>0</v>
      </c>
    </row>
    <row r="1804" ht="12" customHeight="1">
      <c r="A1804" s="30" t="inlineStr">
        <is>
          <t>ARE</t>
        </is>
      </c>
      <c r="B1804" s="30" t="inlineStr">
        <is>
          <t>Areal</t>
        </is>
      </c>
      <c r="C1804" s="30" t="n">
        <v>87097013</v>
      </c>
      <c r="D1804" s="30">
        <f>"11337163000180"</f>
        <v/>
      </c>
      <c r="E1804" s="30" t="inlineStr">
        <is>
          <t>SIGMA AREAL INDÚSTRIA E COMÉRCIO DE COSMÉTICOS E SANEANTES EIRELI</t>
        </is>
      </c>
      <c r="F1804" s="30" t="inlineStr">
        <is>
          <t>2019</t>
        </is>
      </c>
      <c r="G1804" s="40" t="n">
        <v>0</v>
      </c>
    </row>
    <row r="1805" ht="12" customHeight="1">
      <c r="A1805" s="30" t="inlineStr">
        <is>
          <t>ARE</t>
        </is>
      </c>
      <c r="B1805" s="30" t="inlineStr">
        <is>
          <t>Areal</t>
        </is>
      </c>
      <c r="C1805" s="30" t="n">
        <v>87097013</v>
      </c>
      <c r="D1805" s="30">
        <f>"11337163000180"</f>
        <v/>
      </c>
      <c r="E1805" s="30" t="inlineStr">
        <is>
          <t>SIGMA AREAL INDÚSTRIA E COMÉRCIO DE COSMÉTICOS E SANEANTES EIRELI</t>
        </is>
      </c>
      <c r="F1805" s="30" t="inlineStr">
        <is>
          <t>2020</t>
        </is>
      </c>
      <c r="G1805" s="40" t="n">
        <v>0</v>
      </c>
    </row>
    <row r="1806" ht="12" customHeight="1">
      <c r="A1806" s="30" t="inlineStr">
        <is>
          <t>ARE</t>
        </is>
      </c>
      <c r="B1806" s="30" t="inlineStr">
        <is>
          <t>Areal</t>
        </is>
      </c>
      <c r="C1806" s="30" t="n">
        <v>87097013</v>
      </c>
      <c r="D1806" s="30">
        <f>"11337163000180"</f>
        <v/>
      </c>
      <c r="E1806" s="30" t="inlineStr">
        <is>
          <t>SIGMA AREAL INDÚSTRIA E COMÉRCIO DE COSMÉTICOS E SANEANTES EIRELI</t>
        </is>
      </c>
      <c r="F1806" s="30" t="inlineStr">
        <is>
          <t>2021</t>
        </is>
      </c>
      <c r="G1806" s="40" t="n">
        <v>0</v>
      </c>
    </row>
    <row r="1807" ht="12" customHeight="1">
      <c r="A1807" s="30" t="inlineStr">
        <is>
          <t>ARE</t>
        </is>
      </c>
      <c r="B1807" s="30" t="inlineStr">
        <is>
          <t>Areal</t>
        </is>
      </c>
      <c r="C1807" s="30" t="n">
        <v>87097013</v>
      </c>
      <c r="D1807" s="30">
        <f>"11337163000180"</f>
        <v/>
      </c>
      <c r="E1807" s="30" t="inlineStr">
        <is>
          <t>SIGMA AREAL INDÚSTRIA E COMÉRCIO DE COSMÉTICOS E SANEANTES EIRELI</t>
        </is>
      </c>
      <c r="F1807" s="30" t="inlineStr">
        <is>
          <t>2022</t>
        </is>
      </c>
      <c r="G1807" s="40" t="n">
        <v>0</v>
      </c>
    </row>
    <row r="1808" ht="12" customHeight="1">
      <c r="A1808" s="30" t="inlineStr">
        <is>
          <t>ARE</t>
        </is>
      </c>
      <c r="B1808" s="30" t="inlineStr">
        <is>
          <t>Areal</t>
        </is>
      </c>
      <c r="C1808" s="30" t="n">
        <v>87097013</v>
      </c>
      <c r="D1808" s="30">
        <f>"11337163000180"</f>
        <v/>
      </c>
      <c r="E1808" s="30" t="inlineStr">
        <is>
          <t>SIGMA AREAL INDÚSTRIA E COMÉRCIO DE COSMÉTICOS E SANEANTES EIRELI</t>
        </is>
      </c>
      <c r="F1808" s="30" t="inlineStr">
        <is>
          <t>2023</t>
        </is>
      </c>
      <c r="G1808" s="40" t="n">
        <v>345186.44</v>
      </c>
    </row>
    <row r="1809" ht="12" customHeight="1">
      <c r="A1809" s="30" t="inlineStr">
        <is>
          <t>ARE</t>
        </is>
      </c>
      <c r="B1809" s="30" t="inlineStr">
        <is>
          <t>Areal</t>
        </is>
      </c>
      <c r="C1809" s="30" t="n">
        <v>87105938</v>
      </c>
      <c r="D1809" s="30">
        <f>"17619009000773"</f>
        <v/>
      </c>
      <c r="E1809" s="30" t="inlineStr">
        <is>
          <t>VENKON EXPRESS TRANSPORTES EIRELI EPP</t>
        </is>
      </c>
      <c r="F1809" s="30" t="inlineStr">
        <is>
          <t>2018</t>
        </is>
      </c>
      <c r="G1809" s="40" t="n">
        <v>0</v>
      </c>
    </row>
    <row r="1810" ht="12" customHeight="1">
      <c r="A1810" s="30" t="inlineStr">
        <is>
          <t>ARE</t>
        </is>
      </c>
      <c r="B1810" s="30" t="inlineStr">
        <is>
          <t>Areal</t>
        </is>
      </c>
      <c r="C1810" s="30" t="n">
        <v>87105938</v>
      </c>
      <c r="D1810" s="30">
        <f>"17619009000773"</f>
        <v/>
      </c>
      <c r="E1810" s="30" t="inlineStr">
        <is>
          <t>VENKON EXPRESS TRANSPORTES EIRELI EPP</t>
        </is>
      </c>
      <c r="F1810" s="30" t="inlineStr">
        <is>
          <t>2019</t>
        </is>
      </c>
      <c r="G1810" s="40" t="n">
        <v>0</v>
      </c>
    </row>
    <row r="1811" ht="12" customHeight="1">
      <c r="A1811" s="30" t="inlineStr">
        <is>
          <t>ARE</t>
        </is>
      </c>
      <c r="B1811" s="30" t="inlineStr">
        <is>
          <t>Areal</t>
        </is>
      </c>
      <c r="C1811" s="30" t="n">
        <v>87105938</v>
      </c>
      <c r="D1811" s="30">
        <f>"17619009000773"</f>
        <v/>
      </c>
      <c r="E1811" s="30" t="inlineStr">
        <is>
          <t>VENKON EXPRESS TRANSPORTES EIRELI EPP</t>
        </is>
      </c>
      <c r="F1811" s="30" t="inlineStr">
        <is>
          <t>2020</t>
        </is>
      </c>
      <c r="G1811" s="40" t="n">
        <v>4989.26</v>
      </c>
    </row>
    <row r="1812" ht="12" customHeight="1">
      <c r="A1812" s="30" t="inlineStr">
        <is>
          <t>ARE</t>
        </is>
      </c>
      <c r="B1812" s="30" t="inlineStr">
        <is>
          <t>Areal</t>
        </is>
      </c>
      <c r="C1812" s="30" t="n">
        <v>87105938</v>
      </c>
      <c r="D1812" s="30">
        <f>"17619009000773"</f>
        <v/>
      </c>
      <c r="E1812" s="30" t="inlineStr">
        <is>
          <t>VENKON EXPRESS TRANSPORTES EIRELI EPP</t>
        </is>
      </c>
      <c r="F1812" s="30" t="inlineStr">
        <is>
          <t>2021</t>
        </is>
      </c>
      <c r="G1812" s="40" t="n">
        <v>5588.77</v>
      </c>
    </row>
    <row r="1813" ht="12" customHeight="1">
      <c r="A1813" s="30" t="inlineStr">
        <is>
          <t>ARE</t>
        </is>
      </c>
      <c r="B1813" s="30" t="inlineStr">
        <is>
          <t>Areal</t>
        </is>
      </c>
      <c r="C1813" s="30" t="n">
        <v>87105938</v>
      </c>
      <c r="D1813" s="30">
        <f>"17619009000773"</f>
        <v/>
      </c>
      <c r="E1813" s="30" t="inlineStr">
        <is>
          <t>VENKON EXPRESS TRANSPORTES EIRELI EPP</t>
        </is>
      </c>
      <c r="F1813" s="30" t="inlineStr">
        <is>
          <t>2022</t>
        </is>
      </c>
      <c r="G1813" s="40" t="n">
        <v>0</v>
      </c>
    </row>
    <row r="1814" ht="12" customHeight="1">
      <c r="A1814" s="30" t="inlineStr">
        <is>
          <t>ARE</t>
        </is>
      </c>
      <c r="B1814" s="30" t="inlineStr">
        <is>
          <t>Areal</t>
        </is>
      </c>
      <c r="C1814" s="30" t="n">
        <v>87105938</v>
      </c>
      <c r="D1814" s="30">
        <f>"17619009000773"</f>
        <v/>
      </c>
      <c r="E1814" s="30" t="inlineStr">
        <is>
          <t>VENKON EXPRESS TRANSPORTES EIRELI EPP</t>
        </is>
      </c>
      <c r="F1814" s="30" t="inlineStr">
        <is>
          <t>2023</t>
        </is>
      </c>
      <c r="G1814" s="40" t="n">
        <v>0</v>
      </c>
    </row>
    <row r="1815" ht="12" customHeight="1">
      <c r="A1815" s="30" t="inlineStr">
        <is>
          <t>ARE</t>
        </is>
      </c>
      <c r="B1815" s="30" t="inlineStr">
        <is>
          <t>Areal</t>
        </is>
      </c>
      <c r="C1815" s="30" t="n">
        <v>87111903</v>
      </c>
      <c r="D1815" s="30">
        <f>"24331201000130"</f>
        <v/>
      </c>
      <c r="E1815" s="30" t="inlineStr">
        <is>
          <t>CA SS AÇOUGUE EIRELI</t>
        </is>
      </c>
      <c r="F1815" s="30" t="inlineStr">
        <is>
          <t>2021</t>
        </is>
      </c>
      <c r="G1815" s="40" t="n">
        <v>0</v>
      </c>
    </row>
    <row r="1816" ht="12" customHeight="1">
      <c r="A1816" s="30" t="inlineStr">
        <is>
          <t>ARE</t>
        </is>
      </c>
      <c r="B1816" s="30" t="inlineStr">
        <is>
          <t>Areal</t>
        </is>
      </c>
      <c r="C1816" s="30" t="n">
        <v>87111903</v>
      </c>
      <c r="D1816" s="30">
        <f>"24331201000130"</f>
        <v/>
      </c>
      <c r="E1816" s="30" t="inlineStr">
        <is>
          <t>CA SS AÇOUGUE EIRELI</t>
        </is>
      </c>
      <c r="F1816" s="30" t="inlineStr">
        <is>
          <t>2022</t>
        </is>
      </c>
      <c r="G1816" s="40" t="n">
        <v>0</v>
      </c>
    </row>
    <row r="1817" ht="12" customHeight="1">
      <c r="A1817" s="30" t="inlineStr">
        <is>
          <t>ARE</t>
        </is>
      </c>
      <c r="B1817" s="30" t="inlineStr">
        <is>
          <t>Areal</t>
        </is>
      </c>
      <c r="C1817" s="30" t="n">
        <v>87111903</v>
      </c>
      <c r="D1817" s="30">
        <f>"24331201000130"</f>
        <v/>
      </c>
      <c r="E1817" s="30" t="inlineStr">
        <is>
          <t>CA SS AÇOUGUE EIRELI</t>
        </is>
      </c>
      <c r="F1817" s="30" t="inlineStr">
        <is>
          <t>2023</t>
        </is>
      </c>
      <c r="G1817" s="40" t="n">
        <v>0</v>
      </c>
    </row>
    <row r="1818" ht="12" customHeight="1">
      <c r="A1818" s="30" t="inlineStr">
        <is>
          <t>ARE</t>
        </is>
      </c>
      <c r="B1818" s="30" t="inlineStr">
        <is>
          <t>Areal</t>
        </is>
      </c>
      <c r="C1818" s="30" t="n">
        <v>87141691</v>
      </c>
      <c r="D1818" s="30">
        <f>"00367894001558"</f>
        <v/>
      </c>
      <c r="E1818" s="30" t="inlineStr">
        <is>
          <t>TRANSPORTADORA REAL 94 LTDA EPP</t>
        </is>
      </c>
      <c r="F1818" s="30" t="inlineStr">
        <is>
          <t>2019</t>
        </is>
      </c>
      <c r="G1818" s="40" t="n">
        <v>0</v>
      </c>
    </row>
    <row r="1819" ht="12" customHeight="1">
      <c r="A1819" s="30" t="inlineStr">
        <is>
          <t>ARE</t>
        </is>
      </c>
      <c r="B1819" s="30" t="inlineStr">
        <is>
          <t>Areal</t>
        </is>
      </c>
      <c r="C1819" s="30" t="n">
        <v>87141691</v>
      </c>
      <c r="D1819" s="30">
        <f>"00367894001558"</f>
        <v/>
      </c>
      <c r="E1819" s="30" t="inlineStr">
        <is>
          <t>TRANSPORTADORA REAL 94 LTDA EPP</t>
        </is>
      </c>
      <c r="F1819" s="30" t="inlineStr">
        <is>
          <t>2020</t>
        </is>
      </c>
      <c r="G1819" s="40" t="n">
        <v>0</v>
      </c>
    </row>
    <row r="1820" ht="12" customHeight="1">
      <c r="A1820" s="30" t="inlineStr">
        <is>
          <t>ARE</t>
        </is>
      </c>
      <c r="B1820" s="30" t="inlineStr">
        <is>
          <t>Areal</t>
        </is>
      </c>
      <c r="C1820" s="30" t="n">
        <v>87141691</v>
      </c>
      <c r="D1820" s="30">
        <f>"00367894001558"</f>
        <v/>
      </c>
      <c r="E1820" s="30" t="inlineStr">
        <is>
          <t>TRANSPORTADORA REAL 94 LTDA EPP</t>
        </is>
      </c>
      <c r="F1820" s="30" t="inlineStr">
        <is>
          <t>2021</t>
        </is>
      </c>
      <c r="G1820" s="40" t="n">
        <v>3675.72</v>
      </c>
    </row>
    <row r="1821" ht="12" customHeight="1">
      <c r="A1821" s="30" t="inlineStr">
        <is>
          <t>ARE</t>
        </is>
      </c>
      <c r="B1821" s="30" t="inlineStr">
        <is>
          <t>Areal</t>
        </is>
      </c>
      <c r="C1821" s="30" t="n">
        <v>87141691</v>
      </c>
      <c r="D1821" s="30">
        <f>"00367894001558"</f>
        <v/>
      </c>
      <c r="E1821" s="30" t="inlineStr">
        <is>
          <t>TRANSPORTADORA REAL 94 LTDA EPP</t>
        </is>
      </c>
      <c r="F1821" s="30" t="inlineStr">
        <is>
          <t>2022</t>
        </is>
      </c>
      <c r="G1821" s="40" t="n">
        <v>0</v>
      </c>
    </row>
    <row r="1822" ht="12" customHeight="1">
      <c r="A1822" s="30" t="inlineStr">
        <is>
          <t>ARE</t>
        </is>
      </c>
      <c r="B1822" s="30" t="inlineStr">
        <is>
          <t>Areal</t>
        </is>
      </c>
      <c r="C1822" s="30" t="n">
        <v>87141691</v>
      </c>
      <c r="D1822" s="30">
        <f>"00367894001558"</f>
        <v/>
      </c>
      <c r="E1822" s="30" t="inlineStr">
        <is>
          <t>TRANSPORTADORA REAL 94 LTDA EPP</t>
        </is>
      </c>
      <c r="F1822" s="30" t="inlineStr">
        <is>
          <t>2023</t>
        </is>
      </c>
      <c r="G1822" s="40" t="n">
        <v>0</v>
      </c>
    </row>
    <row r="1823" ht="12" customHeight="1">
      <c r="A1823" s="30" t="inlineStr">
        <is>
          <t>ARE</t>
        </is>
      </c>
      <c r="B1823" s="30" t="inlineStr">
        <is>
          <t>Areal</t>
        </is>
      </c>
      <c r="C1823" s="30" t="n">
        <v>87158543</v>
      </c>
      <c r="D1823" s="30">
        <f>"24966233000101"</f>
        <v/>
      </c>
      <c r="E1823" s="30" t="inlineStr">
        <is>
          <t>TARGETS TRANSPORTES EIRELI</t>
        </is>
      </c>
      <c r="F1823" s="30" t="inlineStr">
        <is>
          <t>2019</t>
        </is>
      </c>
      <c r="G1823" s="40" t="n">
        <v>0</v>
      </c>
    </row>
    <row r="1824" ht="12" customHeight="1">
      <c r="A1824" s="30" t="inlineStr">
        <is>
          <t>ARE</t>
        </is>
      </c>
      <c r="B1824" s="30" t="inlineStr">
        <is>
          <t>Areal</t>
        </is>
      </c>
      <c r="C1824" s="30" t="n">
        <v>87158543</v>
      </c>
      <c r="D1824" s="30">
        <f>"24966233000101"</f>
        <v/>
      </c>
      <c r="E1824" s="30" t="inlineStr">
        <is>
          <t>TARGETS TRANSPORTES EIRELI</t>
        </is>
      </c>
      <c r="F1824" s="30" t="inlineStr">
        <is>
          <t>2020</t>
        </is>
      </c>
      <c r="G1824" s="40" t="n">
        <v>0</v>
      </c>
    </row>
    <row r="1825" ht="12" customHeight="1">
      <c r="A1825" s="30" t="inlineStr">
        <is>
          <t>ARE</t>
        </is>
      </c>
      <c r="B1825" s="30" t="inlineStr">
        <is>
          <t>Areal</t>
        </is>
      </c>
      <c r="C1825" s="30" t="n">
        <v>87158543</v>
      </c>
      <c r="D1825" s="30">
        <f>"24966233000101"</f>
        <v/>
      </c>
      <c r="E1825" s="30" t="inlineStr">
        <is>
          <t>TARGETS TRANSPORTES EIRELI</t>
        </is>
      </c>
      <c r="F1825" s="30" t="inlineStr">
        <is>
          <t>2021</t>
        </is>
      </c>
      <c r="G1825" s="40" t="n">
        <v>257.26</v>
      </c>
    </row>
    <row r="1826" ht="12" customHeight="1">
      <c r="A1826" s="30" t="inlineStr">
        <is>
          <t>ARE</t>
        </is>
      </c>
      <c r="B1826" s="30" t="inlineStr">
        <is>
          <t>Areal</t>
        </is>
      </c>
      <c r="C1826" s="30" t="n">
        <v>87158543</v>
      </c>
      <c r="D1826" s="30">
        <f>"24966233000101"</f>
        <v/>
      </c>
      <c r="E1826" s="30" t="inlineStr">
        <is>
          <t>TARGETS TRANSPORTES EIRELI</t>
        </is>
      </c>
      <c r="F1826" s="30" t="inlineStr">
        <is>
          <t>2022</t>
        </is>
      </c>
      <c r="G1826" s="40" t="n">
        <v>0</v>
      </c>
    </row>
    <row r="1827" ht="12" customHeight="1">
      <c r="A1827" s="30" t="inlineStr">
        <is>
          <t>ARE</t>
        </is>
      </c>
      <c r="B1827" s="30" t="inlineStr">
        <is>
          <t>Areal</t>
        </is>
      </c>
      <c r="C1827" s="30" t="n">
        <v>87158543</v>
      </c>
      <c r="D1827" s="30">
        <f>"24966233000101"</f>
        <v/>
      </c>
      <c r="E1827" s="30" t="inlineStr">
        <is>
          <t>TARGETS TRANSPORTES EIRELI</t>
        </is>
      </c>
      <c r="F1827" s="30" t="inlineStr">
        <is>
          <t>2023</t>
        </is>
      </c>
      <c r="G1827" s="40" t="n">
        <v>625</v>
      </c>
    </row>
    <row r="1828" ht="12" customHeight="1">
      <c r="A1828" s="30" t="inlineStr">
        <is>
          <t>ARE</t>
        </is>
      </c>
      <c r="B1828" s="30" t="inlineStr">
        <is>
          <t>Areal</t>
        </is>
      </c>
      <c r="C1828" s="30" t="n">
        <v>87159183</v>
      </c>
      <c r="D1828" s="30">
        <f>"22044907000276"</f>
        <v/>
      </c>
      <c r="E1828" s="30" t="inlineStr">
        <is>
          <t>LOGMED RIO ARMAZENAGEM E TRANSPORTE LTDA</t>
        </is>
      </c>
      <c r="F1828" s="30" t="inlineStr">
        <is>
          <t>2019</t>
        </is>
      </c>
      <c r="G1828" s="40" t="n">
        <v>0</v>
      </c>
    </row>
    <row r="1829" ht="12" customHeight="1">
      <c r="A1829" s="30" t="inlineStr">
        <is>
          <t>ARE</t>
        </is>
      </c>
      <c r="B1829" s="30" t="inlineStr">
        <is>
          <t>Areal</t>
        </is>
      </c>
      <c r="C1829" s="30" t="n">
        <v>87159183</v>
      </c>
      <c r="D1829" s="30">
        <f>"22044907000276"</f>
        <v/>
      </c>
      <c r="E1829" s="30" t="inlineStr">
        <is>
          <t>LOGMED RIO ARMAZENAGEM E TRANSPORTE LTDA</t>
        </is>
      </c>
      <c r="F1829" s="30" t="inlineStr">
        <is>
          <t>2020</t>
        </is>
      </c>
      <c r="G1829" s="40" t="n">
        <v>0</v>
      </c>
    </row>
    <row r="1830" ht="12" customHeight="1">
      <c r="A1830" s="30" t="inlineStr">
        <is>
          <t>ARE</t>
        </is>
      </c>
      <c r="B1830" s="30" t="inlineStr">
        <is>
          <t>Areal</t>
        </is>
      </c>
      <c r="C1830" s="30" t="n">
        <v>87159183</v>
      </c>
      <c r="D1830" s="30">
        <f>"22044907000276"</f>
        <v/>
      </c>
      <c r="E1830" s="30" t="inlineStr">
        <is>
          <t>LOGMED RIO ARMAZENAGEM E TRANSPORTE LTDA</t>
        </is>
      </c>
      <c r="F1830" s="30" t="inlineStr">
        <is>
          <t>2021</t>
        </is>
      </c>
      <c r="G1830" s="40" t="n">
        <v>270.75</v>
      </c>
    </row>
    <row r="1831" ht="12" customHeight="1">
      <c r="A1831" s="30" t="inlineStr">
        <is>
          <t>ARE</t>
        </is>
      </c>
      <c r="B1831" s="30" t="inlineStr">
        <is>
          <t>Areal</t>
        </is>
      </c>
      <c r="C1831" s="30" t="n">
        <v>87159183</v>
      </c>
      <c r="D1831" s="30">
        <f>"22044907000276"</f>
        <v/>
      </c>
      <c r="E1831" s="30" t="inlineStr">
        <is>
          <t>LOGMED RIO ARMAZENAGEM E TRANSPORTE LTDA</t>
        </is>
      </c>
      <c r="F1831" s="30" t="inlineStr">
        <is>
          <t>2022</t>
        </is>
      </c>
      <c r="G1831" s="40" t="n">
        <v>0</v>
      </c>
    </row>
    <row r="1832" ht="12" customHeight="1">
      <c r="A1832" s="30" t="inlineStr">
        <is>
          <t>ARE</t>
        </is>
      </c>
      <c r="B1832" s="30" t="inlineStr">
        <is>
          <t>Areal</t>
        </is>
      </c>
      <c r="C1832" s="30" t="n">
        <v>87159183</v>
      </c>
      <c r="D1832" s="30">
        <f>"22044907000276"</f>
        <v/>
      </c>
      <c r="E1832" s="30" t="inlineStr">
        <is>
          <t>LOGMED RIO ARMAZENAGEM E TRANSPORTE LTDA</t>
        </is>
      </c>
      <c r="F1832" s="30" t="inlineStr">
        <is>
          <t>2023</t>
        </is>
      </c>
      <c r="G1832" s="40" t="n">
        <v>0</v>
      </c>
    </row>
    <row r="1833" ht="12" customHeight="1">
      <c r="A1833" s="30" t="inlineStr">
        <is>
          <t>ARE</t>
        </is>
      </c>
      <c r="B1833" s="30" t="inlineStr">
        <is>
          <t>Areal</t>
        </is>
      </c>
      <c r="C1833" s="30" t="n">
        <v>87162389</v>
      </c>
      <c r="D1833" s="30">
        <f>"15587873000543"</f>
        <v/>
      </c>
      <c r="E1833" s="30" t="inlineStr">
        <is>
          <t>TFT EXPRESS LOGISTICA E TRANSPORTES LTDA ME</t>
        </is>
      </c>
      <c r="F1833" s="30" t="inlineStr">
        <is>
          <t>2018</t>
        </is>
      </c>
      <c r="G1833" s="40" t="n">
        <v>0</v>
      </c>
    </row>
    <row r="1834" ht="12" customHeight="1">
      <c r="A1834" s="30" t="inlineStr">
        <is>
          <t>ARE</t>
        </is>
      </c>
      <c r="B1834" s="30" t="inlineStr">
        <is>
          <t>Areal</t>
        </is>
      </c>
      <c r="C1834" s="30" t="n">
        <v>87162389</v>
      </c>
      <c r="D1834" s="30">
        <f>"15587873000543"</f>
        <v/>
      </c>
      <c r="E1834" s="30" t="inlineStr">
        <is>
          <t>TFT EXPRESS LOGISTICA E TRANSPORTES LTDA ME</t>
        </is>
      </c>
      <c r="F1834" s="30" t="inlineStr">
        <is>
          <t>2019</t>
        </is>
      </c>
      <c r="G1834" s="40" t="n">
        <v>0</v>
      </c>
    </row>
    <row r="1835" ht="12" customHeight="1">
      <c r="A1835" s="30" t="inlineStr">
        <is>
          <t>ARE</t>
        </is>
      </c>
      <c r="B1835" s="30" t="inlineStr">
        <is>
          <t>Areal</t>
        </is>
      </c>
      <c r="C1835" s="30" t="n">
        <v>87162389</v>
      </c>
      <c r="D1835" s="30">
        <f>"15587873000543"</f>
        <v/>
      </c>
      <c r="E1835" s="30" t="inlineStr">
        <is>
          <t>TFT EXPRESS LOGISTICA E TRANSPORTES LTDA ME</t>
        </is>
      </c>
      <c r="F1835" s="30" t="inlineStr">
        <is>
          <t>2020</t>
        </is>
      </c>
      <c r="G1835" s="40" t="n">
        <v>62.5</v>
      </c>
    </row>
    <row r="1836" ht="12" customHeight="1">
      <c r="A1836" s="30" t="inlineStr">
        <is>
          <t>ARE</t>
        </is>
      </c>
      <c r="B1836" s="30" t="inlineStr">
        <is>
          <t>Areal</t>
        </is>
      </c>
      <c r="C1836" s="30" t="n">
        <v>87162389</v>
      </c>
      <c r="D1836" s="30">
        <f>"15587873000543"</f>
        <v/>
      </c>
      <c r="E1836" s="30" t="inlineStr">
        <is>
          <t>TFT EXPRESS LOGISTICA E TRANSPORTES LTDA ME</t>
        </is>
      </c>
      <c r="F1836" s="30" t="inlineStr">
        <is>
          <t>2021</t>
        </is>
      </c>
      <c r="G1836" s="40" t="n">
        <v>0</v>
      </c>
    </row>
    <row r="1837" ht="12" customHeight="1">
      <c r="A1837" s="30" t="inlineStr">
        <is>
          <t>ARE</t>
        </is>
      </c>
      <c r="B1837" s="30" t="inlineStr">
        <is>
          <t>Areal</t>
        </is>
      </c>
      <c r="C1837" s="30" t="n">
        <v>87162389</v>
      </c>
      <c r="D1837" s="30">
        <f>"15587873000543"</f>
        <v/>
      </c>
      <c r="E1837" s="30" t="inlineStr">
        <is>
          <t>TFT EXPRESS LOGISTICA E TRANSPORTES LTDA ME</t>
        </is>
      </c>
      <c r="F1837" s="30" t="inlineStr">
        <is>
          <t>2022</t>
        </is>
      </c>
      <c r="G1837" s="40" t="n">
        <v>0</v>
      </c>
    </row>
    <row r="1838" ht="12" customHeight="1">
      <c r="A1838" s="30" t="inlineStr">
        <is>
          <t>ARE</t>
        </is>
      </c>
      <c r="B1838" s="30" t="inlineStr">
        <is>
          <t>Areal</t>
        </is>
      </c>
      <c r="C1838" s="30" t="n">
        <v>87163326</v>
      </c>
      <c r="D1838" s="30">
        <f>"25022472000176"</f>
        <v/>
      </c>
      <c r="E1838" s="30" t="inlineStr">
        <is>
          <t>FREDBIER CERVEJARIA AREALENSE EIRELI ME</t>
        </is>
      </c>
      <c r="F1838" s="30" t="inlineStr">
        <is>
          <t>2017</t>
        </is>
      </c>
      <c r="G1838" s="40" t="n">
        <v>26584.67</v>
      </c>
    </row>
    <row r="1839" ht="12" customHeight="1">
      <c r="A1839" s="30" t="inlineStr">
        <is>
          <t>ARE</t>
        </is>
      </c>
      <c r="B1839" s="30" t="inlineStr">
        <is>
          <t>Areal</t>
        </is>
      </c>
      <c r="C1839" s="30" t="n">
        <v>87163326</v>
      </c>
      <c r="D1839" s="30">
        <f>"25022472000176"</f>
        <v/>
      </c>
      <c r="E1839" s="30" t="inlineStr">
        <is>
          <t>FREDBIER CERVEJARIA AREALENSE EIRELI ME</t>
        </is>
      </c>
      <c r="F1839" s="30" t="inlineStr">
        <is>
          <t>2018</t>
        </is>
      </c>
      <c r="G1839" s="40" t="n">
        <v>0</v>
      </c>
    </row>
    <row r="1840" ht="12" customHeight="1">
      <c r="A1840" s="30" t="inlineStr">
        <is>
          <t>ARE</t>
        </is>
      </c>
      <c r="B1840" s="30" t="inlineStr">
        <is>
          <t>Areal</t>
        </is>
      </c>
      <c r="C1840" s="30" t="n">
        <v>87163326</v>
      </c>
      <c r="D1840" s="30">
        <f>"25022472000176"</f>
        <v/>
      </c>
      <c r="E1840" s="30" t="inlineStr">
        <is>
          <t>FREDBIER CERVEJARIA AREALENSE EIRELI ME</t>
        </is>
      </c>
      <c r="F1840" s="30" t="inlineStr">
        <is>
          <t>2019</t>
        </is>
      </c>
      <c r="G1840" s="40" t="n">
        <v>0</v>
      </c>
    </row>
    <row r="1841" ht="12" customHeight="1">
      <c r="A1841" s="30" t="inlineStr">
        <is>
          <t>ARE</t>
        </is>
      </c>
      <c r="B1841" s="30" t="inlineStr">
        <is>
          <t>Areal</t>
        </is>
      </c>
      <c r="C1841" s="30" t="n">
        <v>87163326</v>
      </c>
      <c r="D1841" s="30">
        <f>"25022472000176"</f>
        <v/>
      </c>
      <c r="E1841" s="30" t="inlineStr">
        <is>
          <t>FREDBIER CERVEJARIA AREALENSE EIRELI ME</t>
        </is>
      </c>
      <c r="F1841" s="30" t="inlineStr">
        <is>
          <t>2020</t>
        </is>
      </c>
      <c r="G1841" s="40" t="n">
        <v>0</v>
      </c>
    </row>
    <row r="1842" ht="12" customHeight="1">
      <c r="A1842" s="30" t="inlineStr">
        <is>
          <t>ARE</t>
        </is>
      </c>
      <c r="B1842" s="30" t="inlineStr">
        <is>
          <t>Areal</t>
        </is>
      </c>
      <c r="C1842" s="30" t="n">
        <v>87163326</v>
      </c>
      <c r="D1842" s="30">
        <f>"25022472000176"</f>
        <v/>
      </c>
      <c r="E1842" s="30" t="inlineStr">
        <is>
          <t>FREDBIER CERVEJARIA AREALENSE EIRELI ME</t>
        </is>
      </c>
      <c r="F1842" s="30" t="inlineStr">
        <is>
          <t>2021</t>
        </is>
      </c>
      <c r="G1842" s="40" t="n">
        <v>0</v>
      </c>
    </row>
    <row r="1843" ht="12" customHeight="1">
      <c r="A1843" s="30" t="inlineStr">
        <is>
          <t>ARE</t>
        </is>
      </c>
      <c r="B1843" s="30" t="inlineStr">
        <is>
          <t>Areal</t>
        </is>
      </c>
      <c r="C1843" s="30" t="n">
        <v>87163326</v>
      </c>
      <c r="D1843" s="30">
        <f>"25022472000176"</f>
        <v/>
      </c>
      <c r="E1843" s="30" t="inlineStr">
        <is>
          <t>FREDBIER CERVEJARIA AREALENSE EIRELI ME</t>
        </is>
      </c>
      <c r="F1843" s="30" t="inlineStr">
        <is>
          <t>2022</t>
        </is>
      </c>
      <c r="G1843" s="40" t="n">
        <v>0</v>
      </c>
    </row>
    <row r="1844" ht="12" customHeight="1">
      <c r="A1844" s="30" t="inlineStr">
        <is>
          <t>ARE</t>
        </is>
      </c>
      <c r="B1844" s="30" t="inlineStr">
        <is>
          <t>Areal</t>
        </is>
      </c>
      <c r="C1844" s="30" t="n">
        <v>87163326</v>
      </c>
      <c r="D1844" s="30">
        <f>"25022472000176"</f>
        <v/>
      </c>
      <c r="E1844" s="30" t="inlineStr">
        <is>
          <t>FREDBIER CERVEJARIA AREALENSE EIRELI ME</t>
        </is>
      </c>
      <c r="F1844" s="30" t="inlineStr">
        <is>
          <t>2023</t>
        </is>
      </c>
      <c r="G1844" s="40" t="n">
        <v>0</v>
      </c>
    </row>
    <row r="1845" ht="12" customHeight="1">
      <c r="A1845" s="30" t="inlineStr">
        <is>
          <t>ARE</t>
        </is>
      </c>
      <c r="B1845" s="30" t="inlineStr">
        <is>
          <t>Areal</t>
        </is>
      </c>
      <c r="C1845" s="30" t="n">
        <v>87173585</v>
      </c>
      <c r="D1845" s="30">
        <f>"20854761000118"</f>
        <v/>
      </c>
      <c r="E1845" s="30" t="inlineStr">
        <is>
          <t>YAH TELECOMUNICACOES LTDA</t>
        </is>
      </c>
      <c r="F1845" s="30" t="inlineStr">
        <is>
          <t>2018</t>
        </is>
      </c>
      <c r="G1845" s="40" t="n">
        <v>0</v>
      </c>
    </row>
    <row r="1846" ht="12" customHeight="1">
      <c r="A1846" s="30" t="inlineStr">
        <is>
          <t>ARE</t>
        </is>
      </c>
      <c r="B1846" s="30" t="inlineStr">
        <is>
          <t>Areal</t>
        </is>
      </c>
      <c r="C1846" s="30" t="n">
        <v>87173585</v>
      </c>
      <c r="D1846" s="30">
        <f>"20854761000118"</f>
        <v/>
      </c>
      <c r="E1846" s="30" t="inlineStr">
        <is>
          <t>YAH TELECOMUNICACOES LTDA</t>
        </is>
      </c>
      <c r="F1846" s="30" t="inlineStr">
        <is>
          <t>2019</t>
        </is>
      </c>
      <c r="G1846" s="40" t="n">
        <v>0</v>
      </c>
    </row>
    <row r="1847" ht="12" customHeight="1">
      <c r="A1847" s="30" t="inlineStr">
        <is>
          <t>ARE</t>
        </is>
      </c>
      <c r="B1847" s="30" t="inlineStr">
        <is>
          <t>Areal</t>
        </is>
      </c>
      <c r="C1847" s="30" t="n">
        <v>87173585</v>
      </c>
      <c r="D1847" s="30">
        <f>"20854761000118"</f>
        <v/>
      </c>
      <c r="E1847" s="30" t="inlineStr">
        <is>
          <t>YAH TELECOMUNICACOES LTDA</t>
        </is>
      </c>
      <c r="F1847" s="30" t="inlineStr">
        <is>
          <t>2020</t>
        </is>
      </c>
      <c r="G1847" s="40" t="n">
        <v>24.83</v>
      </c>
    </row>
    <row r="1848" ht="12" customHeight="1">
      <c r="A1848" s="30" t="inlineStr">
        <is>
          <t>ARE</t>
        </is>
      </c>
      <c r="B1848" s="30" t="inlineStr">
        <is>
          <t>Areal</t>
        </is>
      </c>
      <c r="C1848" s="30" t="n">
        <v>87173585</v>
      </c>
      <c r="D1848" s="30">
        <f>"20854761000118"</f>
        <v/>
      </c>
      <c r="E1848" s="30" t="inlineStr">
        <is>
          <t>YAH TELECOMUNICACOES LTDA</t>
        </is>
      </c>
      <c r="F1848" s="30" t="inlineStr">
        <is>
          <t>2021</t>
        </is>
      </c>
      <c r="G1848" s="40" t="n">
        <v>0</v>
      </c>
    </row>
    <row r="1849" ht="12" customHeight="1">
      <c r="A1849" s="30" t="inlineStr">
        <is>
          <t>ARE</t>
        </is>
      </c>
      <c r="B1849" s="30" t="inlineStr">
        <is>
          <t>Areal</t>
        </is>
      </c>
      <c r="C1849" s="30" t="n">
        <v>87173585</v>
      </c>
      <c r="D1849" s="30">
        <f>"20854761000118"</f>
        <v/>
      </c>
      <c r="E1849" s="30" t="inlineStr">
        <is>
          <t>YAH TELECOMUNICACOES LTDA</t>
        </is>
      </c>
      <c r="F1849" s="30" t="inlineStr">
        <is>
          <t>2022</t>
        </is>
      </c>
      <c r="G1849" s="40" t="n">
        <v>0</v>
      </c>
    </row>
    <row r="1850" ht="12" customHeight="1">
      <c r="A1850" s="30" t="inlineStr">
        <is>
          <t>ARE</t>
        </is>
      </c>
      <c r="B1850" s="30" t="inlineStr">
        <is>
          <t>Areal</t>
        </is>
      </c>
      <c r="C1850" s="30" t="n">
        <v>87181855</v>
      </c>
      <c r="D1850" s="30">
        <f>"24484514000128"</f>
        <v/>
      </c>
      <c r="E1850" s="30" t="inlineStr">
        <is>
          <t>CONATUS  CONSULTORIA E TREINAMENTO EMPRESARIAL EIRELI</t>
        </is>
      </c>
      <c r="F1850" s="30" t="inlineStr">
        <is>
          <t>2017</t>
        </is>
      </c>
      <c r="G1850" s="40" t="n">
        <v>0</v>
      </c>
    </row>
    <row r="1851" ht="12" customHeight="1">
      <c r="A1851" s="30" t="inlineStr">
        <is>
          <t>ARE</t>
        </is>
      </c>
      <c r="B1851" s="30" t="inlineStr">
        <is>
          <t>Areal</t>
        </is>
      </c>
      <c r="C1851" s="30" t="n">
        <v>87181855</v>
      </c>
      <c r="D1851" s="30">
        <f>"24484514000128"</f>
        <v/>
      </c>
      <c r="E1851" s="30" t="inlineStr">
        <is>
          <t>CONATUS  CONSULTORIA E TREINAMENTO EMPRESARIAL EIRELI</t>
        </is>
      </c>
      <c r="F1851" s="30" t="inlineStr">
        <is>
          <t>2018</t>
        </is>
      </c>
      <c r="G1851" s="40" t="n">
        <v>0</v>
      </c>
    </row>
    <row r="1852" ht="12" customHeight="1">
      <c r="A1852" s="30" t="inlineStr">
        <is>
          <t>ARE</t>
        </is>
      </c>
      <c r="B1852" s="30" t="inlineStr">
        <is>
          <t>Areal</t>
        </is>
      </c>
      <c r="C1852" s="30" t="n">
        <v>87181855</v>
      </c>
      <c r="D1852" s="30">
        <f>"24484514000128"</f>
        <v/>
      </c>
      <c r="E1852" s="30" t="inlineStr">
        <is>
          <t>CONATUS  CONSULTORIA E TREINAMENTO EMPRESARIAL EIRELI</t>
        </is>
      </c>
      <c r="F1852" s="30" t="inlineStr">
        <is>
          <t>2019</t>
        </is>
      </c>
      <c r="G1852" s="40" t="n">
        <v>0</v>
      </c>
    </row>
    <row r="1853" ht="12" customHeight="1">
      <c r="A1853" s="30" t="inlineStr">
        <is>
          <t>ARE</t>
        </is>
      </c>
      <c r="B1853" s="30" t="inlineStr">
        <is>
          <t>Areal</t>
        </is>
      </c>
      <c r="C1853" s="30" t="n">
        <v>87181855</v>
      </c>
      <c r="D1853" s="30">
        <f>"24484514000128"</f>
        <v/>
      </c>
      <c r="E1853" s="30" t="inlineStr">
        <is>
          <t>CONATUS  CONSULTORIA E TREINAMENTO EMPRESARIAL EIRELI</t>
        </is>
      </c>
      <c r="F1853" s="30" t="inlineStr">
        <is>
          <t>2020</t>
        </is>
      </c>
      <c r="G1853" s="40" t="n">
        <v>0</v>
      </c>
    </row>
    <row r="1854" ht="12" customHeight="1">
      <c r="A1854" s="30" t="inlineStr">
        <is>
          <t>ARE</t>
        </is>
      </c>
      <c r="B1854" s="30" t="inlineStr">
        <is>
          <t>Areal</t>
        </is>
      </c>
      <c r="C1854" s="30" t="n">
        <v>87190587</v>
      </c>
      <c r="D1854" s="30">
        <f>"09262608000754"</f>
        <v/>
      </c>
      <c r="E1854" s="30" t="inlineStr">
        <is>
          <t>TBFORTE SEGURANCA E TRANSPORTE DE VALORES LTDA</t>
        </is>
      </c>
      <c r="F1854" s="30" t="inlineStr">
        <is>
          <t>2020</t>
        </is>
      </c>
      <c r="G1854" s="40" t="n">
        <v>0</v>
      </c>
    </row>
    <row r="1855" ht="12" customHeight="1">
      <c r="A1855" s="30" t="inlineStr">
        <is>
          <t>ARE</t>
        </is>
      </c>
      <c r="B1855" s="30" t="inlineStr">
        <is>
          <t>Areal</t>
        </is>
      </c>
      <c r="C1855" s="30" t="n">
        <v>87190587</v>
      </c>
      <c r="D1855" s="30">
        <f>"09262608000754"</f>
        <v/>
      </c>
      <c r="E1855" s="30" t="inlineStr">
        <is>
          <t>TBFORTE SEGURANCA E TRANSPORTE DE VALORES LTDA</t>
        </is>
      </c>
      <c r="F1855" s="30" t="inlineStr">
        <is>
          <t>2021</t>
        </is>
      </c>
      <c r="G1855" s="40" t="n">
        <v>0</v>
      </c>
    </row>
    <row r="1856" ht="12" customHeight="1">
      <c r="A1856" s="30" t="inlineStr">
        <is>
          <t>ARE</t>
        </is>
      </c>
      <c r="B1856" s="30" t="inlineStr">
        <is>
          <t>Areal</t>
        </is>
      </c>
      <c r="C1856" s="30" t="n">
        <v>87190587</v>
      </c>
      <c r="D1856" s="30">
        <f>"09262608000754"</f>
        <v/>
      </c>
      <c r="E1856" s="30" t="inlineStr">
        <is>
          <t>TBFORTE SEGURANCA E TRANSPORTE DE VALORES LTDA</t>
        </is>
      </c>
      <c r="F1856" s="30" t="inlineStr">
        <is>
          <t>2022</t>
        </is>
      </c>
      <c r="G1856" s="40" t="n">
        <v>14180.06</v>
      </c>
    </row>
    <row r="1857" ht="12" customHeight="1">
      <c r="A1857" s="30" t="inlineStr">
        <is>
          <t>ARE</t>
        </is>
      </c>
      <c r="B1857" s="30" t="inlineStr">
        <is>
          <t>Areal</t>
        </is>
      </c>
      <c r="C1857" s="30" t="n">
        <v>87190587</v>
      </c>
      <c r="D1857" s="30">
        <f>"09262608000754"</f>
        <v/>
      </c>
      <c r="E1857" s="30" t="inlineStr">
        <is>
          <t>TBFORTE SEGURANCA E TRANSPORTE DE VALORES LTDA</t>
        </is>
      </c>
      <c r="F1857" s="30" t="inlineStr">
        <is>
          <t>2023</t>
        </is>
      </c>
      <c r="G1857" s="40" t="n">
        <v>27650.18</v>
      </c>
    </row>
    <row r="1858" ht="12" customHeight="1">
      <c r="A1858" s="30" t="inlineStr">
        <is>
          <t>ARE</t>
        </is>
      </c>
      <c r="B1858" s="30" t="inlineStr">
        <is>
          <t>Areal</t>
        </is>
      </c>
      <c r="C1858" s="30" t="n">
        <v>87198120</v>
      </c>
      <c r="D1858" s="30">
        <f>"23349580000475"</f>
        <v/>
      </c>
      <c r="E1858" s="30" t="inlineStr">
        <is>
          <t>LOTUS LOGISTICA INTEGRADA LTDA</t>
        </is>
      </c>
      <c r="F1858" s="30" t="inlineStr">
        <is>
          <t>2017</t>
        </is>
      </c>
      <c r="G1858" s="40" t="n">
        <v>0</v>
      </c>
    </row>
    <row r="1859" ht="12" customHeight="1">
      <c r="A1859" s="30" t="inlineStr">
        <is>
          <t>ARE</t>
        </is>
      </c>
      <c r="B1859" s="30" t="inlineStr">
        <is>
          <t>Areal</t>
        </is>
      </c>
      <c r="C1859" s="30" t="n">
        <v>87198120</v>
      </c>
      <c r="D1859" s="30">
        <f>"23349580000475"</f>
        <v/>
      </c>
      <c r="E1859" s="30" t="inlineStr">
        <is>
          <t>LOTUS LOGISTICA INTEGRADA LTDA</t>
        </is>
      </c>
      <c r="F1859" s="30" t="inlineStr">
        <is>
          <t>2018</t>
        </is>
      </c>
      <c r="G1859" s="40" t="n">
        <v>156.35</v>
      </c>
    </row>
    <row r="1860" ht="12" customHeight="1">
      <c r="A1860" s="30" t="inlineStr">
        <is>
          <t>ARE</t>
        </is>
      </c>
      <c r="B1860" s="30" t="inlineStr">
        <is>
          <t>Areal</t>
        </is>
      </c>
      <c r="C1860" s="30" t="n">
        <v>87198120</v>
      </c>
      <c r="D1860" s="30">
        <f>"23349580000475"</f>
        <v/>
      </c>
      <c r="E1860" s="30" t="inlineStr">
        <is>
          <t>LOTUS LOGISTICA INTEGRADA LTDA</t>
        </is>
      </c>
      <c r="F1860" s="30" t="inlineStr">
        <is>
          <t>2019</t>
        </is>
      </c>
      <c r="G1860" s="40" t="n">
        <v>0</v>
      </c>
    </row>
    <row r="1861" ht="12" customHeight="1">
      <c r="A1861" s="30" t="inlineStr">
        <is>
          <t>ARE</t>
        </is>
      </c>
      <c r="B1861" s="30" t="inlineStr">
        <is>
          <t>Areal</t>
        </is>
      </c>
      <c r="C1861" s="30" t="n">
        <v>87198120</v>
      </c>
      <c r="D1861" s="30">
        <f>"23349580000475"</f>
        <v/>
      </c>
      <c r="E1861" s="30" t="inlineStr">
        <is>
          <t>LOTUS LOGISTICA INTEGRADA LTDA</t>
        </is>
      </c>
      <c r="F1861" s="30" t="inlineStr">
        <is>
          <t>2020</t>
        </is>
      </c>
      <c r="G1861" s="40" t="n">
        <v>0</v>
      </c>
    </row>
    <row r="1862" ht="12" customHeight="1">
      <c r="A1862" s="30" t="inlineStr">
        <is>
          <t>ARE</t>
        </is>
      </c>
      <c r="B1862" s="30" t="inlineStr">
        <is>
          <t>Areal</t>
        </is>
      </c>
      <c r="C1862" s="30" t="n">
        <v>87213641</v>
      </c>
      <c r="D1862" s="30">
        <f>"74443623000418"</f>
        <v/>
      </c>
      <c r="E1862" s="30" t="inlineStr">
        <is>
          <t>OSAKA TRANSPORTES LTDA</t>
        </is>
      </c>
      <c r="F1862" s="30" t="inlineStr">
        <is>
          <t>2019</t>
        </is>
      </c>
      <c r="G1862" s="40" t="n">
        <v>0</v>
      </c>
    </row>
    <row r="1863" ht="12" customHeight="1">
      <c r="A1863" s="30" t="inlineStr">
        <is>
          <t>ARE</t>
        </is>
      </c>
      <c r="B1863" s="30" t="inlineStr">
        <is>
          <t>Areal</t>
        </is>
      </c>
      <c r="C1863" s="30" t="n">
        <v>87213641</v>
      </c>
      <c r="D1863" s="30">
        <f>"74443623000418"</f>
        <v/>
      </c>
      <c r="E1863" s="30" t="inlineStr">
        <is>
          <t>OSAKA TRANSPORTES LTDA</t>
        </is>
      </c>
      <c r="F1863" s="30" t="inlineStr">
        <is>
          <t>2020</t>
        </is>
      </c>
      <c r="G1863" s="40" t="n">
        <v>0</v>
      </c>
    </row>
    <row r="1864" ht="12" customHeight="1">
      <c r="A1864" s="30" t="inlineStr">
        <is>
          <t>ARE</t>
        </is>
      </c>
      <c r="B1864" s="30" t="inlineStr">
        <is>
          <t>Areal</t>
        </is>
      </c>
      <c r="C1864" s="30" t="n">
        <v>87213641</v>
      </c>
      <c r="D1864" s="30">
        <f>"74443623000418"</f>
        <v/>
      </c>
      <c r="E1864" s="30" t="inlineStr">
        <is>
          <t>OSAKA TRANSPORTES LTDA</t>
        </is>
      </c>
      <c r="F1864" s="30" t="inlineStr">
        <is>
          <t>2021</t>
        </is>
      </c>
      <c r="G1864" s="40" t="n">
        <v>187.5</v>
      </c>
    </row>
    <row r="1865" ht="12" customHeight="1">
      <c r="A1865" s="30" t="inlineStr">
        <is>
          <t>ARE</t>
        </is>
      </c>
      <c r="B1865" s="30" t="inlineStr">
        <is>
          <t>Areal</t>
        </is>
      </c>
      <c r="C1865" s="30" t="n">
        <v>87213641</v>
      </c>
      <c r="D1865" s="30">
        <f>"74443623000418"</f>
        <v/>
      </c>
      <c r="E1865" s="30" t="inlineStr">
        <is>
          <t>OSAKA TRANSPORTES LTDA</t>
        </is>
      </c>
      <c r="F1865" s="30" t="inlineStr">
        <is>
          <t>2022</t>
        </is>
      </c>
      <c r="G1865" s="40" t="n">
        <v>0</v>
      </c>
    </row>
    <row r="1866" ht="12" customHeight="1">
      <c r="A1866" s="30" t="inlineStr">
        <is>
          <t>ARE</t>
        </is>
      </c>
      <c r="B1866" s="30" t="inlineStr">
        <is>
          <t>Areal</t>
        </is>
      </c>
      <c r="C1866" s="30" t="n">
        <v>87213641</v>
      </c>
      <c r="D1866" s="30">
        <f>"74443623000418"</f>
        <v/>
      </c>
      <c r="E1866" s="30" t="inlineStr">
        <is>
          <t>OSAKA TRANSPORTES LTDA</t>
        </is>
      </c>
      <c r="F1866" s="30" t="inlineStr">
        <is>
          <t>2023</t>
        </is>
      </c>
      <c r="G1866" s="40" t="n">
        <v>0</v>
      </c>
    </row>
    <row r="1867" ht="12" customHeight="1">
      <c r="A1867" s="30" t="inlineStr">
        <is>
          <t>ARE</t>
        </is>
      </c>
      <c r="B1867" s="30" t="inlineStr">
        <is>
          <t>Areal</t>
        </is>
      </c>
      <c r="C1867" s="30" t="n">
        <v>87295168</v>
      </c>
      <c r="D1867" s="30">
        <f>"26711190000149"</f>
        <v/>
      </c>
      <c r="E1867" s="30" t="inlineStr">
        <is>
          <t>ATIVA SAUDE E NUTRICAO ANIMAL COMERCIO E REPRESENTACAO EIRELI ME</t>
        </is>
      </c>
      <c r="F1867" s="30" t="inlineStr">
        <is>
          <t>2017</t>
        </is>
      </c>
      <c r="G1867" s="40" t="n">
        <v>838.8</v>
      </c>
    </row>
    <row r="1868" ht="12" customHeight="1">
      <c r="A1868" s="30" t="inlineStr">
        <is>
          <t>ARE</t>
        </is>
      </c>
      <c r="B1868" s="30" t="inlineStr">
        <is>
          <t>Areal</t>
        </is>
      </c>
      <c r="C1868" s="30" t="n">
        <v>87295168</v>
      </c>
      <c r="D1868" s="30">
        <f>"26711190000149"</f>
        <v/>
      </c>
      <c r="E1868" s="30" t="inlineStr">
        <is>
          <t>ATIVA SAUDE E NUTRICAO ANIMAL COMERCIO E REPRESENTACAO EIRELI ME</t>
        </is>
      </c>
      <c r="F1868" s="30" t="inlineStr">
        <is>
          <t>2018</t>
        </is>
      </c>
      <c r="G1868" s="40" t="n">
        <v>0</v>
      </c>
    </row>
    <row r="1869" ht="12" customHeight="1">
      <c r="A1869" s="30" t="inlineStr">
        <is>
          <t>ARE</t>
        </is>
      </c>
      <c r="B1869" s="30" t="inlineStr">
        <is>
          <t>Areal</t>
        </is>
      </c>
      <c r="C1869" s="30" t="n">
        <v>87295168</v>
      </c>
      <c r="D1869" s="30">
        <f>"26711190000149"</f>
        <v/>
      </c>
      <c r="E1869" s="30" t="inlineStr">
        <is>
          <t>ATIVA SAUDE E NUTRICAO ANIMAL COMERCIO E REPRESENTACAO EIRELI ME</t>
        </is>
      </c>
      <c r="F1869" s="30" t="inlineStr">
        <is>
          <t>2019</t>
        </is>
      </c>
      <c r="G1869" s="40" t="n">
        <v>0</v>
      </c>
    </row>
    <row r="1870" ht="12" customHeight="1">
      <c r="A1870" s="30" t="inlineStr">
        <is>
          <t>ARE</t>
        </is>
      </c>
      <c r="B1870" s="30" t="inlineStr">
        <is>
          <t>Areal</t>
        </is>
      </c>
      <c r="C1870" s="30" t="n">
        <v>87300439</v>
      </c>
      <c r="D1870" s="30">
        <f>"26753406000139"</f>
        <v/>
      </c>
      <c r="E1870" s="30" t="inlineStr">
        <is>
          <t>TRUCK CAR TRANSPORTES DE VEICULOS E EQUIP EM GERAL LTDA-ME</t>
        </is>
      </c>
      <c r="F1870" s="30" t="inlineStr">
        <is>
          <t>2017</t>
        </is>
      </c>
      <c r="G1870" s="40" t="n">
        <v>0</v>
      </c>
    </row>
    <row r="1871" ht="12" customHeight="1">
      <c r="A1871" s="30" t="inlineStr">
        <is>
          <t>ARE</t>
        </is>
      </c>
      <c r="B1871" s="30" t="inlineStr">
        <is>
          <t>Areal</t>
        </is>
      </c>
      <c r="C1871" s="30" t="n">
        <v>87300439</v>
      </c>
      <c r="D1871" s="30">
        <f>"26753406000139"</f>
        <v/>
      </c>
      <c r="E1871" s="30" t="inlineStr">
        <is>
          <t>TRUCK CAR TRANSPORTES DE VEICULOS E EQUIP EM GERAL LTDA-ME</t>
        </is>
      </c>
      <c r="F1871" s="30" t="inlineStr">
        <is>
          <t>2018</t>
        </is>
      </c>
      <c r="G1871" s="40" t="n">
        <v>0</v>
      </c>
    </row>
    <row r="1872" ht="12" customHeight="1">
      <c r="A1872" s="30" t="inlineStr">
        <is>
          <t>ARE</t>
        </is>
      </c>
      <c r="B1872" s="30" t="inlineStr">
        <is>
          <t>Areal</t>
        </is>
      </c>
      <c r="C1872" s="30" t="n">
        <v>87300439</v>
      </c>
      <c r="D1872" s="30">
        <f>"26753406000139"</f>
        <v/>
      </c>
      <c r="E1872" s="30" t="inlineStr">
        <is>
          <t>TRUCK CAR TRANSPORTES DE VEICULOS E EQUIP EM GERAL LTDA-ME</t>
        </is>
      </c>
      <c r="F1872" s="30" t="inlineStr">
        <is>
          <t>2019</t>
        </is>
      </c>
      <c r="G1872" s="40" t="n">
        <v>0</v>
      </c>
    </row>
    <row r="1873" ht="12" customHeight="1">
      <c r="A1873" s="30" t="inlineStr">
        <is>
          <t>ARE</t>
        </is>
      </c>
      <c r="B1873" s="30" t="inlineStr">
        <is>
          <t>Areal</t>
        </is>
      </c>
      <c r="C1873" s="30" t="n">
        <v>87300439</v>
      </c>
      <c r="D1873" s="30">
        <f>"26753406000139"</f>
        <v/>
      </c>
      <c r="E1873" s="30" t="inlineStr">
        <is>
          <t>TRUCK CAR TRANSPORTES DE VEICULOS E EQUIP EM GERAL LTDA-ME</t>
        </is>
      </c>
      <c r="F1873" s="30" t="inlineStr">
        <is>
          <t>2020</t>
        </is>
      </c>
      <c r="G1873" s="40" t="n">
        <v>0</v>
      </c>
    </row>
    <row r="1874" ht="12" customHeight="1">
      <c r="A1874" s="30" t="inlineStr">
        <is>
          <t>ARE</t>
        </is>
      </c>
      <c r="B1874" s="30" t="inlineStr">
        <is>
          <t>Areal</t>
        </is>
      </c>
      <c r="C1874" s="30" t="n">
        <v>87300439</v>
      </c>
      <c r="D1874" s="30">
        <f>"26753406000139"</f>
        <v/>
      </c>
      <c r="E1874" s="30" t="inlineStr">
        <is>
          <t>TRUCK CAR TRANSPORTES DE VEICULOS E EQUIP EM GERAL LTDA-ME</t>
        </is>
      </c>
      <c r="F1874" s="30" t="inlineStr">
        <is>
          <t>2021</t>
        </is>
      </c>
      <c r="G1874" s="40" t="n">
        <v>0</v>
      </c>
    </row>
    <row r="1875" ht="12" customHeight="1">
      <c r="A1875" s="30" t="inlineStr">
        <is>
          <t>ARE</t>
        </is>
      </c>
      <c r="B1875" s="30" t="inlineStr">
        <is>
          <t>Areal</t>
        </is>
      </c>
      <c r="C1875" s="30" t="n">
        <v>87300439</v>
      </c>
      <c r="D1875" s="30">
        <f>"26753406000139"</f>
        <v/>
      </c>
      <c r="E1875" s="30" t="inlineStr">
        <is>
          <t>TRUCK CAR TRANSPORTES DE VEICULOS E EQUIP EM GERAL LTDA-ME</t>
        </is>
      </c>
      <c r="F1875" s="30" t="inlineStr">
        <is>
          <t>2022</t>
        </is>
      </c>
      <c r="G1875" s="40" t="n">
        <v>0</v>
      </c>
    </row>
    <row r="1876" ht="12" customHeight="1">
      <c r="A1876" s="30" t="inlineStr">
        <is>
          <t>ARE</t>
        </is>
      </c>
      <c r="B1876" s="30" t="inlineStr">
        <is>
          <t>Areal</t>
        </is>
      </c>
      <c r="C1876" s="30" t="n">
        <v>87300439</v>
      </c>
      <c r="D1876" s="30">
        <f>"26753406000139"</f>
        <v/>
      </c>
      <c r="E1876" s="30" t="inlineStr">
        <is>
          <t>TRUCK CAR TRANSPORTES DE VEICULOS E EQUIP EM GERAL LTDA-ME</t>
        </is>
      </c>
      <c r="F1876" s="30" t="inlineStr">
        <is>
          <t>2023</t>
        </is>
      </c>
      <c r="G1876" s="40" t="n">
        <v>0</v>
      </c>
    </row>
    <row r="1877" ht="12" customHeight="1">
      <c r="A1877" s="30" t="inlineStr">
        <is>
          <t>ARE</t>
        </is>
      </c>
      <c r="B1877" s="30" t="inlineStr">
        <is>
          <t>Areal</t>
        </is>
      </c>
      <c r="C1877" s="30" t="n">
        <v>87310620</v>
      </c>
      <c r="D1877" s="30">
        <f>"01991170000148"</f>
        <v/>
      </c>
      <c r="E1877" s="30" t="inlineStr">
        <is>
          <t>ANSWER CONSULTORIA LTDA - ME</t>
        </is>
      </c>
      <c r="F1877" s="30" t="inlineStr">
        <is>
          <t>2017</t>
        </is>
      </c>
      <c r="G1877" s="40" t="n">
        <v>30612.69</v>
      </c>
    </row>
    <row r="1878" ht="12" customHeight="1">
      <c r="A1878" s="30" t="inlineStr">
        <is>
          <t>ARE</t>
        </is>
      </c>
      <c r="B1878" s="30" t="inlineStr">
        <is>
          <t>Areal</t>
        </is>
      </c>
      <c r="C1878" s="30" t="n">
        <v>87310620</v>
      </c>
      <c r="D1878" s="30">
        <f>"01991170000148"</f>
        <v/>
      </c>
      <c r="E1878" s="30" t="inlineStr">
        <is>
          <t>ANSWER CONSULTORIA LTDA - ME</t>
        </is>
      </c>
      <c r="F1878" s="30" t="inlineStr">
        <is>
          <t>2018</t>
        </is>
      </c>
      <c r="G1878" s="40" t="n">
        <v>0</v>
      </c>
    </row>
    <row r="1879" ht="12" customHeight="1">
      <c r="A1879" s="30" t="inlineStr">
        <is>
          <t>ARE</t>
        </is>
      </c>
      <c r="B1879" s="30" t="inlineStr">
        <is>
          <t>Areal</t>
        </is>
      </c>
      <c r="C1879" s="30" t="n">
        <v>87310620</v>
      </c>
      <c r="D1879" s="30">
        <f>"01991170000148"</f>
        <v/>
      </c>
      <c r="E1879" s="30" t="inlineStr">
        <is>
          <t>ANSWER CONSULTORIA LTDA - ME</t>
        </is>
      </c>
      <c r="F1879" s="30" t="inlineStr">
        <is>
          <t>2019</t>
        </is>
      </c>
      <c r="G1879" s="40" t="n">
        <v>0</v>
      </c>
    </row>
    <row r="1880" ht="12" customHeight="1">
      <c r="A1880" s="30" t="inlineStr">
        <is>
          <t>ARE</t>
        </is>
      </c>
      <c r="B1880" s="30" t="inlineStr">
        <is>
          <t>Areal</t>
        </is>
      </c>
      <c r="C1880" s="30" t="n">
        <v>87321177</v>
      </c>
      <c r="D1880" s="30">
        <f>"57906711000228"</f>
        <v/>
      </c>
      <c r="E1880" s="30" t="inlineStr">
        <is>
          <t>TDB TRANSPORTE E DISTRIBUICAO DE BENS LTDA</t>
        </is>
      </c>
      <c r="F1880" s="30" t="inlineStr">
        <is>
          <t>2017</t>
        </is>
      </c>
      <c r="G1880" s="40" t="n">
        <v>0</v>
      </c>
    </row>
    <row r="1881" ht="12" customHeight="1">
      <c r="A1881" s="30" t="inlineStr">
        <is>
          <t>ARE</t>
        </is>
      </c>
      <c r="B1881" s="30" t="inlineStr">
        <is>
          <t>Areal</t>
        </is>
      </c>
      <c r="C1881" s="30" t="n">
        <v>87321177</v>
      </c>
      <c r="D1881" s="30">
        <f>"57906711000228"</f>
        <v/>
      </c>
      <c r="E1881" s="30" t="inlineStr">
        <is>
          <t>TDB TRANSPORTE E DISTRIBUICAO DE BENS LTDA</t>
        </is>
      </c>
      <c r="F1881" s="30" t="inlineStr">
        <is>
          <t>2018</t>
        </is>
      </c>
      <c r="G1881" s="40" t="n">
        <v>0</v>
      </c>
    </row>
    <row r="1882" ht="12" customHeight="1">
      <c r="A1882" s="30" t="inlineStr">
        <is>
          <t>ARE</t>
        </is>
      </c>
      <c r="B1882" s="30" t="inlineStr">
        <is>
          <t>Areal</t>
        </is>
      </c>
      <c r="C1882" s="30" t="n">
        <v>87321177</v>
      </c>
      <c r="D1882" s="30">
        <f>"57906711000228"</f>
        <v/>
      </c>
      <c r="E1882" s="30" t="inlineStr">
        <is>
          <t>TDB TRANSPORTE E DISTRIBUICAO DE BENS LTDA</t>
        </is>
      </c>
      <c r="F1882" s="30" t="inlineStr">
        <is>
          <t>2019</t>
        </is>
      </c>
      <c r="G1882" s="40" t="n">
        <v>54.86</v>
      </c>
    </row>
    <row r="1883" ht="12" customHeight="1">
      <c r="A1883" s="30" t="inlineStr">
        <is>
          <t>ARE</t>
        </is>
      </c>
      <c r="B1883" s="30" t="inlineStr">
        <is>
          <t>Areal</t>
        </is>
      </c>
      <c r="C1883" s="30" t="n">
        <v>87321177</v>
      </c>
      <c r="D1883" s="30">
        <f>"57906711000228"</f>
        <v/>
      </c>
      <c r="E1883" s="30" t="inlineStr">
        <is>
          <t>TDB TRANSPORTE E DISTRIBUICAO DE BENS LTDA</t>
        </is>
      </c>
      <c r="F1883" s="30" t="inlineStr">
        <is>
          <t>2020</t>
        </is>
      </c>
      <c r="G1883" s="40" t="n">
        <v>0</v>
      </c>
    </row>
    <row r="1884" ht="12" customHeight="1">
      <c r="A1884" s="30" t="inlineStr">
        <is>
          <t>ARE</t>
        </is>
      </c>
      <c r="B1884" s="30" t="inlineStr">
        <is>
          <t>Areal</t>
        </is>
      </c>
      <c r="C1884" s="30" t="n">
        <v>87321177</v>
      </c>
      <c r="D1884" s="30">
        <f>"57906711000228"</f>
        <v/>
      </c>
      <c r="E1884" s="30" t="inlineStr">
        <is>
          <t>TDB TRANSPORTE E DISTRIBUICAO DE BENS LTDA</t>
        </is>
      </c>
      <c r="F1884" s="30" t="inlineStr">
        <is>
          <t>2021</t>
        </is>
      </c>
      <c r="G1884" s="40" t="n">
        <v>0</v>
      </c>
    </row>
    <row r="1885" ht="12" customHeight="1">
      <c r="A1885" s="30" t="inlineStr">
        <is>
          <t>ARE</t>
        </is>
      </c>
      <c r="B1885" s="30" t="inlineStr">
        <is>
          <t>Areal</t>
        </is>
      </c>
      <c r="C1885" s="30" t="n">
        <v>87326543</v>
      </c>
      <c r="D1885" s="30">
        <f>"13214075000117"</f>
        <v/>
      </c>
      <c r="E1885" s="30" t="inlineStr">
        <is>
          <t>PROLOG TRANSPORTES E LOGISTICA LTDA ME</t>
        </is>
      </c>
      <c r="F1885" s="30" t="inlineStr">
        <is>
          <t>2021</t>
        </is>
      </c>
      <c r="G1885" s="40" t="n">
        <v>0</v>
      </c>
    </row>
    <row r="1886" ht="12" customHeight="1">
      <c r="A1886" s="30" t="inlineStr">
        <is>
          <t>ARE</t>
        </is>
      </c>
      <c r="B1886" s="30" t="inlineStr">
        <is>
          <t>Areal</t>
        </is>
      </c>
      <c r="C1886" s="30" t="n">
        <v>87326543</v>
      </c>
      <c r="D1886" s="30">
        <f>"13214075000117"</f>
        <v/>
      </c>
      <c r="E1886" s="30" t="inlineStr">
        <is>
          <t>PROLOG TRANSPORTES E LOGISTICA LTDA ME</t>
        </is>
      </c>
      <c r="F1886" s="30" t="inlineStr">
        <is>
          <t>2022</t>
        </is>
      </c>
      <c r="G1886" s="40" t="n">
        <v>0</v>
      </c>
    </row>
    <row r="1887" ht="12" customHeight="1">
      <c r="A1887" s="30" t="inlineStr">
        <is>
          <t>ARE</t>
        </is>
      </c>
      <c r="B1887" s="30" t="inlineStr">
        <is>
          <t>Areal</t>
        </is>
      </c>
      <c r="C1887" s="30" t="n">
        <v>87326543</v>
      </c>
      <c r="D1887" s="30">
        <f>"13214075000117"</f>
        <v/>
      </c>
      <c r="E1887" s="30" t="inlineStr">
        <is>
          <t>PROLOG TRANSPORTES E LOGISTICA LTDA ME</t>
        </is>
      </c>
      <c r="F1887" s="30" t="inlineStr">
        <is>
          <t>2023</t>
        </is>
      </c>
      <c r="G1887" s="40" t="n">
        <v>50</v>
      </c>
    </row>
    <row r="1888" ht="12" customHeight="1">
      <c r="A1888" s="30" t="inlineStr">
        <is>
          <t>ARE</t>
        </is>
      </c>
      <c r="B1888" s="30" t="inlineStr">
        <is>
          <t>Areal</t>
        </is>
      </c>
      <c r="C1888" s="30" t="n">
        <v>87331059</v>
      </c>
      <c r="D1888" s="30">
        <f>"27310529000168"</f>
        <v/>
      </c>
      <c r="E1888" s="30" t="inlineStr">
        <is>
          <t>SH TRANSPORTE E LOGISTICA EIRELI ME</t>
        </is>
      </c>
      <c r="F1888" s="30" t="inlineStr">
        <is>
          <t>2021</t>
        </is>
      </c>
      <c r="G1888" s="40" t="n">
        <v>0</v>
      </c>
    </row>
    <row r="1889" ht="12" customHeight="1">
      <c r="A1889" s="30" t="inlineStr">
        <is>
          <t>ARE</t>
        </is>
      </c>
      <c r="B1889" s="30" t="inlineStr">
        <is>
          <t>Areal</t>
        </is>
      </c>
      <c r="C1889" s="30" t="n">
        <v>87331059</v>
      </c>
      <c r="D1889" s="30">
        <f>"27310529000168"</f>
        <v/>
      </c>
      <c r="E1889" s="30" t="inlineStr">
        <is>
          <t>SH TRANSPORTE E LOGISTICA EIRELI ME</t>
        </is>
      </c>
      <c r="F1889" s="30" t="inlineStr">
        <is>
          <t>2022</t>
        </is>
      </c>
      <c r="G1889" s="40" t="n">
        <v>0</v>
      </c>
    </row>
    <row r="1890" ht="12" customHeight="1">
      <c r="A1890" s="30" t="inlineStr">
        <is>
          <t>ARE</t>
        </is>
      </c>
      <c r="B1890" s="30" t="inlineStr">
        <is>
          <t>Areal</t>
        </is>
      </c>
      <c r="C1890" s="30" t="n">
        <v>87331059</v>
      </c>
      <c r="D1890" s="30">
        <f>"27310529000168"</f>
        <v/>
      </c>
      <c r="E1890" s="30" t="inlineStr">
        <is>
          <t>SH TRANSPORTE E LOGISTICA EIRELI ME</t>
        </is>
      </c>
      <c r="F1890" s="30" t="inlineStr">
        <is>
          <t>2023</t>
        </is>
      </c>
      <c r="G1890" s="40" t="n">
        <v>8085.33</v>
      </c>
    </row>
    <row r="1891" ht="12" customHeight="1">
      <c r="A1891" s="30" t="inlineStr">
        <is>
          <t>ARE</t>
        </is>
      </c>
      <c r="B1891" s="30" t="inlineStr">
        <is>
          <t>Areal</t>
        </is>
      </c>
      <c r="C1891" s="30" t="n">
        <v>87342425</v>
      </c>
      <c r="D1891" s="30">
        <f>"14120369000223"</f>
        <v/>
      </c>
      <c r="E1891" s="30" t="inlineStr">
        <is>
          <t>JARBAS GONCALVES DIAS EIRELI</t>
        </is>
      </c>
      <c r="F1891" s="30" t="inlineStr">
        <is>
          <t>2017</t>
        </is>
      </c>
      <c r="G1891" s="40" t="n">
        <v>0</v>
      </c>
    </row>
    <row r="1892" ht="12" customHeight="1">
      <c r="A1892" s="30" t="inlineStr">
        <is>
          <t>ARE</t>
        </is>
      </c>
      <c r="B1892" s="30" t="inlineStr">
        <is>
          <t>Areal</t>
        </is>
      </c>
      <c r="C1892" s="30" t="n">
        <v>87342425</v>
      </c>
      <c r="D1892" s="30">
        <f>"14120369000223"</f>
        <v/>
      </c>
      <c r="E1892" s="30" t="inlineStr">
        <is>
          <t>JARBAS GONCALVES DIAS EIRELI</t>
        </is>
      </c>
      <c r="F1892" s="30" t="inlineStr">
        <is>
          <t>2018</t>
        </is>
      </c>
      <c r="G1892" s="40" t="n">
        <v>110.01</v>
      </c>
    </row>
    <row r="1893" ht="12" customHeight="1">
      <c r="A1893" s="30" t="inlineStr">
        <is>
          <t>ARE</t>
        </is>
      </c>
      <c r="B1893" s="30" t="inlineStr">
        <is>
          <t>Areal</t>
        </is>
      </c>
      <c r="C1893" s="30" t="n">
        <v>87342425</v>
      </c>
      <c r="D1893" s="30">
        <f>"14120369000223"</f>
        <v/>
      </c>
      <c r="E1893" s="30" t="inlineStr">
        <is>
          <t>JARBAS GONCALVES DIAS EIRELI</t>
        </is>
      </c>
      <c r="F1893" s="30" t="inlineStr">
        <is>
          <t>2019</t>
        </is>
      </c>
      <c r="G1893" s="40" t="n">
        <v>0</v>
      </c>
    </row>
    <row r="1894" ht="12" customHeight="1">
      <c r="A1894" s="30" t="inlineStr">
        <is>
          <t>ARE</t>
        </is>
      </c>
      <c r="B1894" s="30" t="inlineStr">
        <is>
          <t>Areal</t>
        </is>
      </c>
      <c r="C1894" s="30" t="n">
        <v>87342425</v>
      </c>
      <c r="D1894" s="30">
        <f>"14120369000223"</f>
        <v/>
      </c>
      <c r="E1894" s="30" t="inlineStr">
        <is>
          <t>JARBAS GONCALVES DIAS EIRELI</t>
        </is>
      </c>
      <c r="F1894" s="30" t="inlineStr">
        <is>
          <t>2020</t>
        </is>
      </c>
      <c r="G1894" s="40" t="n">
        <v>0</v>
      </c>
    </row>
    <row r="1895" ht="12" customHeight="1">
      <c r="A1895" s="30" t="inlineStr">
        <is>
          <t>ARE</t>
        </is>
      </c>
      <c r="B1895" s="30" t="inlineStr">
        <is>
          <t>Areal</t>
        </is>
      </c>
      <c r="C1895" s="30" t="n">
        <v>87354741</v>
      </c>
      <c r="D1895" s="30">
        <f>"89823918003755"</f>
        <v/>
      </c>
      <c r="E1895" s="30" t="inlineStr">
        <is>
          <t>TRANSPORTES TRANSLOVATO LTDA</t>
        </is>
      </c>
      <c r="F1895" s="30" t="inlineStr">
        <is>
          <t>2020</t>
        </is>
      </c>
      <c r="G1895" s="40" t="n">
        <v>0</v>
      </c>
    </row>
    <row r="1896" ht="12" customHeight="1">
      <c r="A1896" s="30" t="inlineStr">
        <is>
          <t>ARE</t>
        </is>
      </c>
      <c r="B1896" s="30" t="inlineStr">
        <is>
          <t>Areal</t>
        </is>
      </c>
      <c r="C1896" s="30" t="n">
        <v>87354741</v>
      </c>
      <c r="D1896" s="30">
        <f>"89823918003755"</f>
        <v/>
      </c>
      <c r="E1896" s="30" t="inlineStr">
        <is>
          <t>TRANSPORTES TRANSLOVATO LTDA</t>
        </is>
      </c>
      <c r="F1896" s="30" t="inlineStr">
        <is>
          <t>2021</t>
        </is>
      </c>
      <c r="G1896" s="40" t="n">
        <v>0</v>
      </c>
    </row>
    <row r="1897" ht="12" customHeight="1">
      <c r="A1897" s="30" t="inlineStr">
        <is>
          <t>ARE</t>
        </is>
      </c>
      <c r="B1897" s="30" t="inlineStr">
        <is>
          <t>Areal</t>
        </is>
      </c>
      <c r="C1897" s="30" t="n">
        <v>87354741</v>
      </c>
      <c r="D1897" s="30">
        <f>"89823918003755"</f>
        <v/>
      </c>
      <c r="E1897" s="30" t="inlineStr">
        <is>
          <t>TRANSPORTES TRANSLOVATO LTDA</t>
        </is>
      </c>
      <c r="F1897" s="30" t="inlineStr">
        <is>
          <t>2022</t>
        </is>
      </c>
      <c r="G1897" s="40" t="n">
        <v>81.75</v>
      </c>
    </row>
    <row r="1898" ht="12" customHeight="1">
      <c r="A1898" s="30" t="inlineStr">
        <is>
          <t>ARE</t>
        </is>
      </c>
      <c r="B1898" s="30" t="inlineStr">
        <is>
          <t>Areal</t>
        </is>
      </c>
      <c r="C1898" s="30" t="n">
        <v>87354741</v>
      </c>
      <c r="D1898" s="30">
        <f>"89823918003755"</f>
        <v/>
      </c>
      <c r="E1898" s="30" t="inlineStr">
        <is>
          <t>TRANSPORTES TRANSLOVATO LTDA</t>
        </is>
      </c>
      <c r="F1898" s="30" t="inlineStr">
        <is>
          <t>2023</t>
        </is>
      </c>
      <c r="G1898" s="40" t="n">
        <v>97.3</v>
      </c>
    </row>
    <row r="1899" ht="12" customHeight="1">
      <c r="A1899" s="30" t="inlineStr">
        <is>
          <t>ARE</t>
        </is>
      </c>
      <c r="B1899" s="30" t="inlineStr">
        <is>
          <t>Areal</t>
        </is>
      </c>
      <c r="C1899" s="30" t="n">
        <v>87363210</v>
      </c>
      <c r="D1899" s="30">
        <f>"27376400000152"</f>
        <v/>
      </c>
      <c r="E1899" s="30" t="inlineStr">
        <is>
          <t>DREAM FARM AGRONEGOCIOS LTDA</t>
        </is>
      </c>
      <c r="F1899" s="30" t="inlineStr">
        <is>
          <t>2017</t>
        </is>
      </c>
      <c r="G1899" s="40" t="n">
        <v>0</v>
      </c>
    </row>
    <row r="1900" ht="12" customHeight="1">
      <c r="A1900" s="30" t="inlineStr">
        <is>
          <t>ARE</t>
        </is>
      </c>
      <c r="B1900" s="30" t="inlineStr">
        <is>
          <t>Areal</t>
        </is>
      </c>
      <c r="C1900" s="30" t="n">
        <v>87363210</v>
      </c>
      <c r="D1900" s="30">
        <f>"27376400000152"</f>
        <v/>
      </c>
      <c r="E1900" s="30" t="inlineStr">
        <is>
          <t>DREAM FARM AGRONEGOCIOS LTDA</t>
        </is>
      </c>
      <c r="F1900" s="30" t="inlineStr">
        <is>
          <t>2018</t>
        </is>
      </c>
      <c r="G1900" s="40" t="n">
        <v>0</v>
      </c>
    </row>
    <row r="1901" ht="12" customHeight="1">
      <c r="A1901" s="30" t="inlineStr">
        <is>
          <t>ARE</t>
        </is>
      </c>
      <c r="B1901" s="30" t="inlineStr">
        <is>
          <t>Areal</t>
        </is>
      </c>
      <c r="C1901" s="30" t="n">
        <v>87363210</v>
      </c>
      <c r="D1901" s="30">
        <f>"27376400000152"</f>
        <v/>
      </c>
      <c r="E1901" s="30" t="inlineStr">
        <is>
          <t>DREAM FARM AGRONEGOCIOS LTDA</t>
        </is>
      </c>
      <c r="F1901" s="30" t="inlineStr">
        <is>
          <t>2019</t>
        </is>
      </c>
      <c r="G1901" s="40" t="n">
        <v>0</v>
      </c>
    </row>
    <row r="1902" ht="12" customHeight="1">
      <c r="A1902" s="30" t="inlineStr">
        <is>
          <t>ARE</t>
        </is>
      </c>
      <c r="B1902" s="30" t="inlineStr">
        <is>
          <t>Areal</t>
        </is>
      </c>
      <c r="C1902" s="30" t="n">
        <v>87363210</v>
      </c>
      <c r="D1902" s="30">
        <f>"27376400000152"</f>
        <v/>
      </c>
      <c r="E1902" s="30" t="inlineStr">
        <is>
          <t>DREAM FARM AGRONEGOCIOS LTDA</t>
        </is>
      </c>
      <c r="F1902" s="30" t="inlineStr">
        <is>
          <t>2020</t>
        </is>
      </c>
      <c r="G1902" s="40" t="n">
        <v>0</v>
      </c>
    </row>
    <row r="1903" ht="12" customHeight="1">
      <c r="A1903" s="30" t="inlineStr">
        <is>
          <t>ARE</t>
        </is>
      </c>
      <c r="B1903" s="30" t="inlineStr">
        <is>
          <t>Areal</t>
        </is>
      </c>
      <c r="C1903" s="30" t="n">
        <v>87363210</v>
      </c>
      <c r="D1903" s="30">
        <f>"27376400000152"</f>
        <v/>
      </c>
      <c r="E1903" s="30" t="inlineStr">
        <is>
          <t>DREAM FARM AGRONEGOCIOS LTDA</t>
        </is>
      </c>
      <c r="F1903" s="30" t="inlineStr">
        <is>
          <t>2021</t>
        </is>
      </c>
      <c r="G1903" s="40" t="n">
        <v>0</v>
      </c>
    </row>
    <row r="1904" ht="12" customHeight="1">
      <c r="A1904" s="30" t="inlineStr">
        <is>
          <t>ARE</t>
        </is>
      </c>
      <c r="B1904" s="30" t="inlineStr">
        <is>
          <t>Areal</t>
        </is>
      </c>
      <c r="C1904" s="30" t="n">
        <v>87363210</v>
      </c>
      <c r="D1904" s="30">
        <f>"27376400000152"</f>
        <v/>
      </c>
      <c r="E1904" s="30" t="inlineStr">
        <is>
          <t>DREAM FARM AGRONEGOCIOS LTDA</t>
        </is>
      </c>
      <c r="F1904" s="30" t="inlineStr">
        <is>
          <t>2022</t>
        </is>
      </c>
      <c r="G1904" s="40" t="n">
        <v>0</v>
      </c>
    </row>
    <row r="1905" ht="12" customHeight="1">
      <c r="A1905" s="30" t="inlineStr">
        <is>
          <t>ARE</t>
        </is>
      </c>
      <c r="B1905" s="30" t="inlineStr">
        <is>
          <t>Areal</t>
        </is>
      </c>
      <c r="C1905" s="30" t="n">
        <v>87363210</v>
      </c>
      <c r="D1905" s="30">
        <f>"27376400000152"</f>
        <v/>
      </c>
      <c r="E1905" s="30" t="inlineStr">
        <is>
          <t>DREAM FARM AGRONEGOCIOS LTDA</t>
        </is>
      </c>
      <c r="F1905" s="30" t="inlineStr">
        <is>
          <t>2023</t>
        </is>
      </c>
      <c r="G1905" s="40" t="n">
        <v>0</v>
      </c>
    </row>
    <row r="1906" ht="12" customHeight="1">
      <c r="A1906" s="30" t="inlineStr">
        <is>
          <t>ARE</t>
        </is>
      </c>
      <c r="B1906" s="30" t="inlineStr">
        <is>
          <t>Areal</t>
        </is>
      </c>
      <c r="C1906" s="30" t="n">
        <v>87379582</v>
      </c>
      <c r="D1906" s="30">
        <f>"18233211001535"</f>
        <v/>
      </c>
      <c r="E1906" s="30" t="inlineStr">
        <is>
          <t>FL BRASIL HOLDING LOGISTICA E TRANSPORTE LTDA</t>
        </is>
      </c>
      <c r="F1906" s="30" t="inlineStr">
        <is>
          <t>2017</t>
        </is>
      </c>
      <c r="G1906" s="40" t="n">
        <v>0</v>
      </c>
    </row>
    <row r="1907" ht="12" customHeight="1">
      <c r="A1907" s="30" t="inlineStr">
        <is>
          <t>ARE</t>
        </is>
      </c>
      <c r="B1907" s="30" t="inlineStr">
        <is>
          <t>Areal</t>
        </is>
      </c>
      <c r="C1907" s="30" t="n">
        <v>87379582</v>
      </c>
      <c r="D1907" s="30">
        <f>"18233211001535"</f>
        <v/>
      </c>
      <c r="E1907" s="30" t="inlineStr">
        <is>
          <t>FL BRASIL HOLDING LOGISTICA E TRANSPORTE LTDA</t>
        </is>
      </c>
      <c r="F1907" s="30" t="inlineStr">
        <is>
          <t>2018</t>
        </is>
      </c>
      <c r="G1907" s="40" t="n">
        <v>27397.95</v>
      </c>
    </row>
    <row r="1908" ht="12" customHeight="1">
      <c r="A1908" s="30" t="inlineStr">
        <is>
          <t>ARE</t>
        </is>
      </c>
      <c r="B1908" s="30" t="inlineStr">
        <is>
          <t>Areal</t>
        </is>
      </c>
      <c r="C1908" s="30" t="n">
        <v>87379582</v>
      </c>
      <c r="D1908" s="30">
        <f>"18233211001535"</f>
        <v/>
      </c>
      <c r="E1908" s="30" t="inlineStr">
        <is>
          <t>FL BRASIL HOLDING LOGISTICA E TRANSPORTE LTDA</t>
        </is>
      </c>
      <c r="F1908" s="30" t="inlineStr">
        <is>
          <t>2019</t>
        </is>
      </c>
      <c r="G1908" s="40" t="n">
        <v>76370.86</v>
      </c>
    </row>
    <row r="1909" ht="12" customHeight="1">
      <c r="A1909" s="30" t="inlineStr">
        <is>
          <t>ARE</t>
        </is>
      </c>
      <c r="B1909" s="30" t="inlineStr">
        <is>
          <t>Areal</t>
        </is>
      </c>
      <c r="C1909" s="30" t="n">
        <v>87379582</v>
      </c>
      <c r="D1909" s="30">
        <f>"18233211001535"</f>
        <v/>
      </c>
      <c r="E1909" s="30" t="inlineStr">
        <is>
          <t>FL BRASIL HOLDING LOGISTICA E TRANSPORTE LTDA</t>
        </is>
      </c>
      <c r="F1909" s="30" t="inlineStr">
        <is>
          <t>2020</t>
        </is>
      </c>
      <c r="G1909" s="40" t="n">
        <v>2782.34</v>
      </c>
    </row>
    <row r="1910" ht="12" customHeight="1">
      <c r="A1910" s="30" t="inlineStr">
        <is>
          <t>ARE</t>
        </is>
      </c>
      <c r="B1910" s="30" t="inlineStr">
        <is>
          <t>Areal</t>
        </is>
      </c>
      <c r="C1910" s="30" t="n">
        <v>87379582</v>
      </c>
      <c r="D1910" s="30">
        <f>"18233211001535"</f>
        <v/>
      </c>
      <c r="E1910" s="30" t="inlineStr">
        <is>
          <t>FL BRASIL HOLDING LOGISTICA E TRANSPORTE LTDA</t>
        </is>
      </c>
      <c r="F1910" s="30" t="inlineStr">
        <is>
          <t>2021</t>
        </is>
      </c>
      <c r="G1910" s="40" t="n">
        <v>18958.34</v>
      </c>
    </row>
    <row r="1911" ht="12" customHeight="1">
      <c r="A1911" s="30" t="inlineStr">
        <is>
          <t>ARE</t>
        </is>
      </c>
      <c r="B1911" s="30" t="inlineStr">
        <is>
          <t>Areal</t>
        </is>
      </c>
      <c r="C1911" s="30" t="n">
        <v>87379582</v>
      </c>
      <c r="D1911" s="30">
        <f>"18233211001535"</f>
        <v/>
      </c>
      <c r="E1911" s="30" t="inlineStr">
        <is>
          <t>FL BRASIL HOLDING LOGISTICA E TRANSPORTE LTDA</t>
        </is>
      </c>
      <c r="F1911" s="30" t="inlineStr">
        <is>
          <t>2022</t>
        </is>
      </c>
      <c r="G1911" s="40" t="n">
        <v>566.79</v>
      </c>
    </row>
    <row r="1912" ht="12" customHeight="1">
      <c r="A1912" s="30" t="inlineStr">
        <is>
          <t>ARE</t>
        </is>
      </c>
      <c r="B1912" s="30" t="inlineStr">
        <is>
          <t>Areal</t>
        </is>
      </c>
      <c r="C1912" s="30" t="n">
        <v>87379582</v>
      </c>
      <c r="D1912" s="30">
        <f>"18233211001535"</f>
        <v/>
      </c>
      <c r="E1912" s="30" t="inlineStr">
        <is>
          <t>FL BRASIL HOLDING LOGISTICA E TRANSPORTE LTDA</t>
        </is>
      </c>
      <c r="F1912" s="30" t="inlineStr">
        <is>
          <t>2023</t>
        </is>
      </c>
      <c r="G1912" s="40" t="n">
        <v>50964.39</v>
      </c>
    </row>
    <row r="1913" ht="12" customHeight="1">
      <c r="A1913" s="30" t="inlineStr">
        <is>
          <t>ARE</t>
        </is>
      </c>
      <c r="B1913" s="30" t="inlineStr">
        <is>
          <t>Areal</t>
        </is>
      </c>
      <c r="C1913" s="30" t="n">
        <v>87399680</v>
      </c>
      <c r="D1913" s="30">
        <f>"11928716000331"</f>
        <v/>
      </c>
      <c r="E1913" s="30" t="inlineStr">
        <is>
          <t>NIQUINI LOGISTICA E ADMINISTRACAO LTDA</t>
        </is>
      </c>
      <c r="F1913" s="30" t="inlineStr">
        <is>
          <t>2018</t>
        </is>
      </c>
      <c r="G1913" s="40" t="n">
        <v>0</v>
      </c>
    </row>
    <row r="1914" ht="12" customHeight="1">
      <c r="A1914" s="30" t="inlineStr">
        <is>
          <t>ARE</t>
        </is>
      </c>
      <c r="B1914" s="30" t="inlineStr">
        <is>
          <t>Areal</t>
        </is>
      </c>
      <c r="C1914" s="30" t="n">
        <v>87399680</v>
      </c>
      <c r="D1914" s="30">
        <f>"11928716000331"</f>
        <v/>
      </c>
      <c r="E1914" s="30" t="inlineStr">
        <is>
          <t>NIQUINI LOGISTICA E ADMINISTRACAO LTDA</t>
        </is>
      </c>
      <c r="F1914" s="30" t="inlineStr">
        <is>
          <t>2019</t>
        </is>
      </c>
      <c r="G1914" s="40" t="n">
        <v>0</v>
      </c>
    </row>
    <row r="1915" ht="12" customHeight="1">
      <c r="A1915" s="30" t="inlineStr">
        <is>
          <t>ARE</t>
        </is>
      </c>
      <c r="B1915" s="30" t="inlineStr">
        <is>
          <t>Areal</t>
        </is>
      </c>
      <c r="C1915" s="30" t="n">
        <v>87399680</v>
      </c>
      <c r="D1915" s="30">
        <f>"11928716000331"</f>
        <v/>
      </c>
      <c r="E1915" s="30" t="inlineStr">
        <is>
          <t>NIQUINI LOGISTICA E ADMINISTRACAO LTDA</t>
        </is>
      </c>
      <c r="F1915" s="30" t="inlineStr">
        <is>
          <t>2020</t>
        </is>
      </c>
      <c r="G1915" s="40" t="n">
        <v>272.83</v>
      </c>
    </row>
    <row r="1916" ht="12" customHeight="1">
      <c r="A1916" s="30" t="inlineStr">
        <is>
          <t>ARE</t>
        </is>
      </c>
      <c r="B1916" s="30" t="inlineStr">
        <is>
          <t>Areal</t>
        </is>
      </c>
      <c r="C1916" s="30" t="n">
        <v>87399680</v>
      </c>
      <c r="D1916" s="30">
        <f>"11928716000331"</f>
        <v/>
      </c>
      <c r="E1916" s="30" t="inlineStr">
        <is>
          <t>NIQUINI LOGISTICA E ADMINISTRACAO LTDA</t>
        </is>
      </c>
      <c r="F1916" s="30" t="inlineStr">
        <is>
          <t>2021</t>
        </is>
      </c>
      <c r="G1916" s="40" t="n">
        <v>272.83</v>
      </c>
    </row>
    <row r="1917" ht="12" customHeight="1">
      <c r="A1917" s="30" t="inlineStr">
        <is>
          <t>ARE</t>
        </is>
      </c>
      <c r="B1917" s="30" t="inlineStr">
        <is>
          <t>Areal</t>
        </is>
      </c>
      <c r="C1917" s="30" t="n">
        <v>87399680</v>
      </c>
      <c r="D1917" s="30">
        <f>"11928716000331"</f>
        <v/>
      </c>
      <c r="E1917" s="30" t="inlineStr">
        <is>
          <t>NIQUINI LOGISTICA E ADMINISTRACAO LTDA</t>
        </is>
      </c>
      <c r="F1917" s="30" t="inlineStr">
        <is>
          <t>2022</t>
        </is>
      </c>
      <c r="G1917" s="40" t="n">
        <v>0</v>
      </c>
    </row>
    <row r="1918" ht="12" customHeight="1">
      <c r="A1918" s="30" t="inlineStr">
        <is>
          <t>ARE</t>
        </is>
      </c>
      <c r="B1918" s="30" t="inlineStr">
        <is>
          <t>Areal</t>
        </is>
      </c>
      <c r="C1918" s="30" t="n">
        <v>87399680</v>
      </c>
      <c r="D1918" s="30">
        <f>"11928716000331"</f>
        <v/>
      </c>
      <c r="E1918" s="30" t="inlineStr">
        <is>
          <t>NIQUINI LOGISTICA E ADMINISTRACAO LTDA</t>
        </is>
      </c>
      <c r="F1918" s="30" t="inlineStr">
        <is>
          <t>2023</t>
        </is>
      </c>
      <c r="G1918" s="40" t="n">
        <v>0</v>
      </c>
    </row>
    <row r="1919" ht="12" customHeight="1">
      <c r="A1919" s="30" t="inlineStr">
        <is>
          <t>ARE</t>
        </is>
      </c>
      <c r="B1919" s="30" t="inlineStr">
        <is>
          <t>Areal</t>
        </is>
      </c>
      <c r="C1919" s="30" t="n">
        <v>87427978</v>
      </c>
      <c r="D1919" s="30">
        <f>"24217653000357"</f>
        <v/>
      </c>
      <c r="E1919" s="30" t="inlineStr">
        <is>
          <t>L4B LOGISTICA LTDA</t>
        </is>
      </c>
      <c r="F1919" s="30" t="inlineStr">
        <is>
          <t>2020</t>
        </is>
      </c>
      <c r="G1919" s="40" t="n">
        <v>0</v>
      </c>
    </row>
    <row r="1920" ht="12" customHeight="1">
      <c r="A1920" s="30" t="inlineStr">
        <is>
          <t>ARE</t>
        </is>
      </c>
      <c r="B1920" s="30" t="inlineStr">
        <is>
          <t>Areal</t>
        </is>
      </c>
      <c r="C1920" s="30" t="n">
        <v>87427978</v>
      </c>
      <c r="D1920" s="30">
        <f>"24217653000357"</f>
        <v/>
      </c>
      <c r="E1920" s="30" t="inlineStr">
        <is>
          <t>L4B LOGISTICA LTDA</t>
        </is>
      </c>
      <c r="F1920" s="30" t="inlineStr">
        <is>
          <t>2021</t>
        </is>
      </c>
      <c r="G1920" s="40" t="n">
        <v>0</v>
      </c>
    </row>
    <row r="1921" ht="12" customHeight="1">
      <c r="A1921" s="30" t="inlineStr">
        <is>
          <t>ARE</t>
        </is>
      </c>
      <c r="B1921" s="30" t="inlineStr">
        <is>
          <t>Areal</t>
        </is>
      </c>
      <c r="C1921" s="30" t="n">
        <v>87427978</v>
      </c>
      <c r="D1921" s="30">
        <f>"24217653000357"</f>
        <v/>
      </c>
      <c r="E1921" s="30" t="inlineStr">
        <is>
          <t>L4B LOGISTICA LTDA</t>
        </is>
      </c>
      <c r="F1921" s="30" t="inlineStr">
        <is>
          <t>2022</t>
        </is>
      </c>
      <c r="G1921" s="40" t="n">
        <v>15497.5</v>
      </c>
    </row>
    <row r="1922" ht="12" customHeight="1">
      <c r="A1922" s="30" t="inlineStr">
        <is>
          <t>ARE</t>
        </is>
      </c>
      <c r="B1922" s="30" t="inlineStr">
        <is>
          <t>Areal</t>
        </is>
      </c>
      <c r="C1922" s="30" t="n">
        <v>87427978</v>
      </c>
      <c r="D1922" s="30">
        <f>"24217653000357"</f>
        <v/>
      </c>
      <c r="E1922" s="30" t="inlineStr">
        <is>
          <t>L4B LOGISTICA LTDA</t>
        </is>
      </c>
      <c r="F1922" s="30" t="inlineStr">
        <is>
          <t>2023</t>
        </is>
      </c>
      <c r="G1922" s="40" t="n">
        <v>16050.08</v>
      </c>
    </row>
    <row r="1923" ht="12" customHeight="1">
      <c r="A1923" s="30" t="inlineStr">
        <is>
          <t>ARE</t>
        </is>
      </c>
      <c r="B1923" s="30" t="inlineStr">
        <is>
          <t>Areal</t>
        </is>
      </c>
      <c r="C1923" s="30" t="n">
        <v>92002420</v>
      </c>
      <c r="D1923" s="30">
        <f>"00497373000110"</f>
        <v/>
      </c>
      <c r="E1923" s="30" t="inlineStr">
        <is>
          <t>SKY SERVICOS DE BANDA LARGA LTDA.</t>
        </is>
      </c>
      <c r="F1923" s="30" t="inlineStr">
        <is>
          <t>2017</t>
        </is>
      </c>
      <c r="G1923" s="40" t="n">
        <v>330496.5</v>
      </c>
    </row>
    <row r="1924" ht="12" customHeight="1">
      <c r="A1924" s="30" t="inlineStr">
        <is>
          <t>ARE</t>
        </is>
      </c>
      <c r="B1924" s="30" t="inlineStr">
        <is>
          <t>Areal</t>
        </is>
      </c>
      <c r="C1924" s="30" t="n">
        <v>92002420</v>
      </c>
      <c r="D1924" s="30">
        <f>"00497373000110"</f>
        <v/>
      </c>
      <c r="E1924" s="30" t="inlineStr">
        <is>
          <t>SKY SERVICOS DE BANDA LARGA LTDA.</t>
        </is>
      </c>
      <c r="F1924" s="30" t="inlineStr">
        <is>
          <t>2018</t>
        </is>
      </c>
      <c r="G1924" s="40" t="n">
        <v>460113.87</v>
      </c>
    </row>
    <row r="1925" ht="12" customHeight="1">
      <c r="A1925" s="30" t="inlineStr">
        <is>
          <t>ARE</t>
        </is>
      </c>
      <c r="B1925" s="30" t="inlineStr">
        <is>
          <t>Areal</t>
        </is>
      </c>
      <c r="C1925" s="30" t="n">
        <v>92002420</v>
      </c>
      <c r="D1925" s="30">
        <f>"00497373000110"</f>
        <v/>
      </c>
      <c r="E1925" s="30" t="inlineStr">
        <is>
          <t>SKY SERVICOS DE BANDA LARGA LTDA.</t>
        </is>
      </c>
      <c r="F1925" s="30" t="inlineStr">
        <is>
          <t>2019</t>
        </is>
      </c>
      <c r="G1925" s="40" t="n">
        <v>537787.85</v>
      </c>
    </row>
    <row r="1926" ht="12" customHeight="1">
      <c r="A1926" s="30" t="inlineStr">
        <is>
          <t>ARE</t>
        </is>
      </c>
      <c r="B1926" s="30" t="inlineStr">
        <is>
          <t>Areal</t>
        </is>
      </c>
      <c r="C1926" s="30" t="n">
        <v>92002420</v>
      </c>
      <c r="D1926" s="30">
        <f>"00497373000110"</f>
        <v/>
      </c>
      <c r="E1926" s="30" t="inlineStr">
        <is>
          <t>SKY SERVICOS DE BANDA LARGA LTDA.</t>
        </is>
      </c>
      <c r="F1926" s="30" t="inlineStr">
        <is>
          <t>2020</t>
        </is>
      </c>
      <c r="G1926" s="40" t="n">
        <v>533817.12</v>
      </c>
    </row>
    <row r="1927" ht="12" customHeight="1">
      <c r="A1927" s="30" t="inlineStr">
        <is>
          <t>ARE</t>
        </is>
      </c>
      <c r="B1927" s="30" t="inlineStr">
        <is>
          <t>Areal</t>
        </is>
      </c>
      <c r="C1927" s="30" t="n">
        <v>92002420</v>
      </c>
      <c r="D1927" s="30">
        <f>"00497373000110"</f>
        <v/>
      </c>
      <c r="E1927" s="30" t="inlineStr">
        <is>
          <t>SKY SERVICOS DE BANDA LARGA LTDA.</t>
        </is>
      </c>
      <c r="F1927" s="30" t="inlineStr">
        <is>
          <t>2021</t>
        </is>
      </c>
      <c r="G1927" s="40" t="n">
        <v>492526.12</v>
      </c>
    </row>
    <row r="1928" ht="12" customHeight="1">
      <c r="A1928" s="30" t="inlineStr">
        <is>
          <t>ARE</t>
        </is>
      </c>
      <c r="B1928" s="30" t="inlineStr">
        <is>
          <t>Areal</t>
        </is>
      </c>
      <c r="C1928" s="30" t="n">
        <v>92002420</v>
      </c>
      <c r="D1928" s="30">
        <f>"00497373000110"</f>
        <v/>
      </c>
      <c r="E1928" s="30" t="inlineStr">
        <is>
          <t>SKY SERVICOS DE BANDA LARGA LTDA.</t>
        </is>
      </c>
      <c r="F1928" s="30" t="inlineStr">
        <is>
          <t>2022</t>
        </is>
      </c>
      <c r="G1928" s="40" t="n">
        <v>450767.64</v>
      </c>
    </row>
    <row r="1929" ht="12" customHeight="1">
      <c r="A1929" s="30" t="inlineStr">
        <is>
          <t>ARE</t>
        </is>
      </c>
      <c r="B1929" s="30" t="inlineStr">
        <is>
          <t>Areal</t>
        </is>
      </c>
      <c r="C1929" s="30" t="n">
        <v>92002420</v>
      </c>
      <c r="D1929" s="30">
        <f>"00497373000110"</f>
        <v/>
      </c>
      <c r="E1929" s="30" t="inlineStr">
        <is>
          <t>SKY SERVICOS DE BANDA LARGA LTDA.</t>
        </is>
      </c>
      <c r="F1929" s="30" t="inlineStr">
        <is>
          <t>2023</t>
        </is>
      </c>
      <c r="G1929" s="40" t="n">
        <v>408679.14</v>
      </c>
    </row>
    <row r="1930" ht="12" customHeight="1">
      <c r="A1930" s="30" t="inlineStr">
        <is>
          <t>ARE</t>
        </is>
      </c>
      <c r="B1930" s="30" t="inlineStr">
        <is>
          <t>Areal</t>
        </is>
      </c>
      <c r="C1930" s="30" t="n">
        <v>92006654</v>
      </c>
      <c r="D1930" s="30">
        <f>"72820822000120"</f>
        <v/>
      </c>
      <c r="E1930" s="30" t="inlineStr">
        <is>
          <t>SKY BRASIL SERVICOS LTDA</t>
        </is>
      </c>
      <c r="F1930" s="30" t="inlineStr">
        <is>
          <t>2017</t>
        </is>
      </c>
      <c r="G1930" s="40" t="n">
        <v>30151.29</v>
      </c>
    </row>
    <row r="1931" ht="12" customHeight="1">
      <c r="A1931" s="30" t="inlineStr">
        <is>
          <t>ARE</t>
        </is>
      </c>
      <c r="B1931" s="30" t="inlineStr">
        <is>
          <t>Areal</t>
        </is>
      </c>
      <c r="C1931" s="30" t="n">
        <v>92006654</v>
      </c>
      <c r="D1931" s="30">
        <f>"72820822000120"</f>
        <v/>
      </c>
      <c r="E1931" s="30" t="inlineStr">
        <is>
          <t>SKY BRASIL SERVICOS LTDA</t>
        </is>
      </c>
      <c r="F1931" s="30" t="inlineStr">
        <is>
          <t>2018</t>
        </is>
      </c>
      <c r="G1931" s="40" t="n">
        <v>0</v>
      </c>
    </row>
    <row r="1932" ht="12" customHeight="1">
      <c r="A1932" s="30" t="inlineStr">
        <is>
          <t>ARE</t>
        </is>
      </c>
      <c r="B1932" s="30" t="inlineStr">
        <is>
          <t>Areal</t>
        </is>
      </c>
      <c r="C1932" s="30" t="n">
        <v>92006654</v>
      </c>
      <c r="D1932" s="30">
        <f>"72820822000120"</f>
        <v/>
      </c>
      <c r="E1932" s="30" t="inlineStr">
        <is>
          <t>SKY BRASIL SERVICOS LTDA</t>
        </is>
      </c>
      <c r="F1932" s="30" t="inlineStr">
        <is>
          <t>2019</t>
        </is>
      </c>
      <c r="G1932" s="40" t="n">
        <v>0</v>
      </c>
    </row>
    <row r="1933" ht="12" customHeight="1">
      <c r="A1933" s="30" t="inlineStr">
        <is>
          <t>ARE</t>
        </is>
      </c>
      <c r="B1933" s="30" t="inlineStr">
        <is>
          <t>Areal</t>
        </is>
      </c>
      <c r="C1933" s="30" t="n">
        <v>92035956</v>
      </c>
      <c r="D1933" s="30">
        <f>"05206385000404"</f>
        <v/>
      </c>
      <c r="E1933" s="30" t="inlineStr">
        <is>
          <t>HUGHES TELECOMUNICACOES DO BRASIL LTDA.</t>
        </is>
      </c>
      <c r="F1933" s="30" t="inlineStr">
        <is>
          <t>2017</t>
        </is>
      </c>
      <c r="G1933" s="40" t="n">
        <v>49271.21</v>
      </c>
    </row>
    <row r="1934" ht="12" customHeight="1">
      <c r="A1934" s="30" t="inlineStr">
        <is>
          <t>ARE</t>
        </is>
      </c>
      <c r="B1934" s="30" t="inlineStr">
        <is>
          <t>Areal</t>
        </is>
      </c>
      <c r="C1934" s="30" t="n">
        <v>92035956</v>
      </c>
      <c r="D1934" s="30">
        <f>"05206385000404"</f>
        <v/>
      </c>
      <c r="E1934" s="30" t="inlineStr">
        <is>
          <t>HUGHES TELECOMUNICACOES DO BRASIL LTDA.</t>
        </is>
      </c>
      <c r="F1934" s="30" t="inlineStr">
        <is>
          <t>2018</t>
        </is>
      </c>
      <c r="G1934" s="40" t="n">
        <v>99205.53999999999</v>
      </c>
    </row>
    <row r="1935" ht="12" customHeight="1">
      <c r="A1935" s="30" t="inlineStr">
        <is>
          <t>ARE</t>
        </is>
      </c>
      <c r="B1935" s="30" t="inlineStr">
        <is>
          <t>Areal</t>
        </is>
      </c>
      <c r="C1935" s="30" t="n">
        <v>92035956</v>
      </c>
      <c r="D1935" s="30">
        <f>"05206385000404"</f>
        <v/>
      </c>
      <c r="E1935" s="30" t="inlineStr">
        <is>
          <t>HUGHES TELECOMUNICACOES DO BRASIL LTDA.</t>
        </is>
      </c>
      <c r="F1935" s="30" t="inlineStr">
        <is>
          <t>2019</t>
        </is>
      </c>
      <c r="G1935" s="40" t="n">
        <v>118937.04</v>
      </c>
    </row>
    <row r="1936" ht="12" customHeight="1">
      <c r="A1936" s="30" t="inlineStr">
        <is>
          <t>ARE</t>
        </is>
      </c>
      <c r="B1936" s="30" t="inlineStr">
        <is>
          <t>Areal</t>
        </is>
      </c>
      <c r="C1936" s="30" t="n">
        <v>92035956</v>
      </c>
      <c r="D1936" s="30">
        <f>"05206385000404"</f>
        <v/>
      </c>
      <c r="E1936" s="30" t="inlineStr">
        <is>
          <t>HUGHES TELECOMUNICACOES DO BRASIL LTDA.</t>
        </is>
      </c>
      <c r="F1936" s="30" t="inlineStr">
        <is>
          <t>2020</t>
        </is>
      </c>
      <c r="G1936" s="40" t="n">
        <v>97189.78</v>
      </c>
    </row>
    <row r="1937" ht="12" customHeight="1">
      <c r="A1937" s="30" t="inlineStr">
        <is>
          <t>ARE</t>
        </is>
      </c>
      <c r="B1937" s="30" t="inlineStr">
        <is>
          <t>Areal</t>
        </is>
      </c>
      <c r="C1937" s="30" t="n">
        <v>92035956</v>
      </c>
      <c r="D1937" s="30">
        <f>"05206385000404"</f>
        <v/>
      </c>
      <c r="E1937" s="30" t="inlineStr">
        <is>
          <t>HUGHES TELECOMUNICACOES DO BRASIL LTDA.</t>
        </is>
      </c>
      <c r="F1937" s="30" t="inlineStr">
        <is>
          <t>2021</t>
        </is>
      </c>
      <c r="G1937" s="40" t="n">
        <v>0</v>
      </c>
    </row>
    <row r="1938" ht="12" customHeight="1">
      <c r="A1938" s="30" t="inlineStr">
        <is>
          <t>ARE</t>
        </is>
      </c>
      <c r="B1938" s="30" t="inlineStr">
        <is>
          <t>Areal</t>
        </is>
      </c>
      <c r="C1938" s="30" t="n">
        <v>92035956</v>
      </c>
      <c r="D1938" s="30">
        <f>"05206385000404"</f>
        <v/>
      </c>
      <c r="E1938" s="30" t="inlineStr">
        <is>
          <t>HUGHES TELECOMUNICACOES DO BRASIL LTDA.</t>
        </is>
      </c>
      <c r="F1938" s="30" t="inlineStr">
        <is>
          <t>2022</t>
        </is>
      </c>
      <c r="G1938" s="40" t="n">
        <v>0</v>
      </c>
    </row>
    <row r="1939" ht="12" customHeight="1">
      <c r="A1939" s="30" t="inlineStr">
        <is>
          <t>ARE</t>
        </is>
      </c>
      <c r="B1939" s="30" t="inlineStr">
        <is>
          <t>Areal</t>
        </is>
      </c>
      <c r="C1939" s="30" t="n">
        <v>99199997</v>
      </c>
      <c r="D1939" s="30">
        <f>"42498675000152"</f>
        <v/>
      </c>
      <c r="E1939" s="30" t="inlineStr">
        <is>
          <t>RF 9999 SUPERINTENDENCIA ESTADUAL CADASTRO E INF ECON FISCAIS</t>
        </is>
      </c>
      <c r="F1939" s="30" t="inlineStr">
        <is>
          <t>2017</t>
        </is>
      </c>
      <c r="G1939" s="40" t="n">
        <v>366546.2</v>
      </c>
    </row>
    <row r="1940" ht="12" customHeight="1">
      <c r="A1940" s="30" t="inlineStr">
        <is>
          <t>ARE</t>
        </is>
      </c>
      <c r="B1940" s="30" t="inlineStr">
        <is>
          <t>Areal</t>
        </is>
      </c>
      <c r="C1940" s="30" t="n">
        <v>99199997</v>
      </c>
      <c r="D1940" s="30">
        <f>"42498675000152"</f>
        <v/>
      </c>
      <c r="E1940" s="30" t="inlineStr">
        <is>
          <t>RF 9999 SUPERINTENDENCIA ESTADUAL CADASTRO E INF ECON FISCAIS</t>
        </is>
      </c>
      <c r="F1940" s="30" t="inlineStr">
        <is>
          <t>2018</t>
        </is>
      </c>
      <c r="G1940" s="40" t="n">
        <v>2566015.19</v>
      </c>
    </row>
    <row r="1941" ht="12" customHeight="1">
      <c r="A1941" s="30" t="inlineStr">
        <is>
          <t>ARE</t>
        </is>
      </c>
      <c r="B1941" s="30" t="inlineStr">
        <is>
          <t>Areal</t>
        </is>
      </c>
      <c r="C1941" s="30" t="n">
        <v>99199997</v>
      </c>
      <c r="D1941" s="30">
        <f>"42498675000152"</f>
        <v/>
      </c>
      <c r="E1941" s="30" t="inlineStr">
        <is>
          <t>RF 9999 SUPERINTENDENCIA ESTADUAL CADASTRO E INF ECON FISCAIS</t>
        </is>
      </c>
      <c r="F1941" s="30" t="inlineStr">
        <is>
          <t>2019</t>
        </is>
      </c>
      <c r="G1941" s="40" t="n">
        <v>2780153.23</v>
      </c>
    </row>
    <row r="1942" ht="12" customHeight="1">
      <c r="A1942" s="30" t="inlineStr">
        <is>
          <t>ARE</t>
        </is>
      </c>
      <c r="B1942" s="30" t="inlineStr">
        <is>
          <t>Areal</t>
        </is>
      </c>
      <c r="C1942" s="30" t="n">
        <v>99199997</v>
      </c>
      <c r="D1942" s="30">
        <f>"42498675000152"</f>
        <v/>
      </c>
      <c r="E1942" s="30" t="inlineStr">
        <is>
          <t>RF 9999 SUPERINTENDENCIA ESTADUAL CADASTRO E INF ECON FISCAIS</t>
        </is>
      </c>
      <c r="F1942" s="30" t="inlineStr">
        <is>
          <t>2020</t>
        </is>
      </c>
      <c r="G1942" s="40" t="n">
        <v>1975554.9</v>
      </c>
    </row>
    <row r="1943" ht="12" customHeight="1">
      <c r="A1943" s="30" t="inlineStr">
        <is>
          <t>ARE</t>
        </is>
      </c>
      <c r="B1943" s="30" t="inlineStr">
        <is>
          <t>Areal</t>
        </is>
      </c>
      <c r="C1943" s="30" t="n">
        <v>99199997</v>
      </c>
      <c r="D1943" s="30">
        <f>"42498675000152"</f>
        <v/>
      </c>
      <c r="E1943" s="30" t="inlineStr">
        <is>
          <t>RF 9999 SUPERINTENDENCIA ESTADUAL CADASTRO E INF ECON FISCAIS</t>
        </is>
      </c>
      <c r="F1943" s="30" t="inlineStr">
        <is>
          <t>2021</t>
        </is>
      </c>
      <c r="G1943" s="40" t="n">
        <v>2060691.15</v>
      </c>
    </row>
    <row r="1944" ht="12" customHeight="1">
      <c r="A1944" s="30" t="inlineStr">
        <is>
          <t>ARE</t>
        </is>
      </c>
      <c r="B1944" s="30" t="inlineStr">
        <is>
          <t>Areal</t>
        </is>
      </c>
      <c r="C1944" s="30" t="n">
        <v>99199997</v>
      </c>
      <c r="D1944" s="30">
        <f>"42498675000152"</f>
        <v/>
      </c>
      <c r="E1944" s="30" t="inlineStr">
        <is>
          <t>RF 9999 SUPERINTENDENCIA ESTADUAL CADASTRO E INF ECON FISCAIS</t>
        </is>
      </c>
      <c r="F1944" s="30" t="inlineStr">
        <is>
          <t>2022</t>
        </is>
      </c>
      <c r="G1944" s="40" t="n">
        <v>2674852.57</v>
      </c>
    </row>
    <row r="1945" ht="12" customHeight="1">
      <c r="A1945" s="30" t="inlineStr">
        <is>
          <t>ARE</t>
        </is>
      </c>
      <c r="B1945" s="30" t="inlineStr">
        <is>
          <t>Areal</t>
        </is>
      </c>
      <c r="C1945" s="30" t="n">
        <v>99199997</v>
      </c>
      <c r="D1945" s="30">
        <f>"42498675000152"</f>
        <v/>
      </c>
      <c r="E1945" s="30" t="inlineStr">
        <is>
          <t>RF 9999 SUPERINTENDENCIA ESTADUAL CADASTRO E INF ECON FISCAIS</t>
        </is>
      </c>
      <c r="F1945" s="30" t="inlineStr">
        <is>
          <t>2023</t>
        </is>
      </c>
      <c r="G1945" s="40" t="n">
        <v>2877669.86</v>
      </c>
    </row>
    <row r="1946" ht="12" customHeight="1">
      <c r="A1946" s="30" t="inlineStr">
        <is>
          <t>ITG</t>
        </is>
      </c>
      <c r="B1946" s="30" t="inlineStr">
        <is>
          <t>Itaguai</t>
        </is>
      </c>
      <c r="C1946" s="30" t="n">
        <v>11008160</v>
      </c>
      <c r="D1946" s="30">
        <f>"23791339000159"</f>
        <v/>
      </c>
      <c r="E1946" s="30" t="inlineStr">
        <is>
          <t>SAO FERNANDO EMPREENDIMENTOS IMOBILIARIOS SPE LTDA</t>
        </is>
      </c>
      <c r="F1946" s="30" t="inlineStr">
        <is>
          <t>2017</t>
        </is>
      </c>
      <c r="G1946" s="40" t="n">
        <v>0</v>
      </c>
    </row>
    <row r="1947" ht="12" customHeight="1">
      <c r="A1947" s="30" t="inlineStr">
        <is>
          <t>ITG</t>
        </is>
      </c>
      <c r="B1947" s="30" t="inlineStr">
        <is>
          <t>Itaguai</t>
        </is>
      </c>
      <c r="C1947" s="30" t="n">
        <v>11008160</v>
      </c>
      <c r="D1947" s="30">
        <f>"23791339000159"</f>
        <v/>
      </c>
      <c r="E1947" s="30" t="inlineStr">
        <is>
          <t>SAO FERNANDO EMPREENDIMENTOS IMOBILIARIOS SPE LTDA</t>
        </is>
      </c>
      <c r="F1947" s="30" t="inlineStr">
        <is>
          <t>2018</t>
        </is>
      </c>
      <c r="G1947" s="40" t="n">
        <v>0</v>
      </c>
    </row>
    <row r="1948" ht="12" customHeight="1">
      <c r="A1948" s="30" t="inlineStr">
        <is>
          <t>ITG</t>
        </is>
      </c>
      <c r="B1948" s="30" t="inlineStr">
        <is>
          <t>Itaguai</t>
        </is>
      </c>
      <c r="C1948" s="30" t="n">
        <v>11008160</v>
      </c>
      <c r="D1948" s="30">
        <f>"23791339000159"</f>
        <v/>
      </c>
      <c r="E1948" s="30" t="inlineStr">
        <is>
          <t>SAO FERNANDO EMPREENDIMENTOS IMOBILIARIOS SPE LTDA</t>
        </is>
      </c>
      <c r="F1948" s="30" t="inlineStr">
        <is>
          <t>2019</t>
        </is>
      </c>
      <c r="G1948" s="40" t="n">
        <v>0</v>
      </c>
    </row>
    <row r="1949" ht="12" customHeight="1">
      <c r="A1949" s="30" t="inlineStr">
        <is>
          <t>ITG</t>
        </is>
      </c>
      <c r="B1949" s="30" t="inlineStr">
        <is>
          <t>Itaguai</t>
        </is>
      </c>
      <c r="C1949" s="30" t="n">
        <v>11008160</v>
      </c>
      <c r="D1949" s="30">
        <f>"23791339000159"</f>
        <v/>
      </c>
      <c r="E1949" s="30" t="inlineStr">
        <is>
          <t>SAO FERNANDO EMPREENDIMENTOS IMOBILIARIOS SPE LTDA</t>
        </is>
      </c>
      <c r="F1949" s="30" t="inlineStr">
        <is>
          <t>2020</t>
        </is>
      </c>
      <c r="G1949" s="40" t="n">
        <v>0</v>
      </c>
    </row>
    <row r="1950" ht="12" customHeight="1">
      <c r="A1950" s="30" t="inlineStr">
        <is>
          <t>ITG</t>
        </is>
      </c>
      <c r="B1950" s="30" t="inlineStr">
        <is>
          <t>Itaguai</t>
        </is>
      </c>
      <c r="C1950" s="30" t="n">
        <v>11024602</v>
      </c>
      <c r="D1950" s="30">
        <f>"29268750000120"</f>
        <v/>
      </c>
      <c r="E1950" s="30" t="inlineStr">
        <is>
          <t>M. P. DE GASPERI RESTAURANTE EIRELI</t>
        </is>
      </c>
      <c r="F1950" s="30" t="inlineStr">
        <is>
          <t>2017</t>
        </is>
      </c>
      <c r="G1950" s="40" t="n">
        <v>0</v>
      </c>
    </row>
    <row r="1951" ht="12" customHeight="1">
      <c r="A1951" s="30" t="inlineStr">
        <is>
          <t>ITG</t>
        </is>
      </c>
      <c r="B1951" s="30" t="inlineStr">
        <is>
          <t>Itaguai</t>
        </is>
      </c>
      <c r="C1951" s="30" t="n">
        <v>11024602</v>
      </c>
      <c r="D1951" s="30">
        <f>"29268750000120"</f>
        <v/>
      </c>
      <c r="E1951" s="30" t="inlineStr">
        <is>
          <t>M. P. DE GASPERI RESTAURANTE EIRELI</t>
        </is>
      </c>
      <c r="F1951" s="30" t="inlineStr">
        <is>
          <t>2018</t>
        </is>
      </c>
      <c r="G1951" s="40" t="n">
        <v>0</v>
      </c>
    </row>
    <row r="1952" ht="12" customHeight="1">
      <c r="A1952" s="30" t="inlineStr">
        <is>
          <t>ITG</t>
        </is>
      </c>
      <c r="B1952" s="30" t="inlineStr">
        <is>
          <t>Itaguai</t>
        </is>
      </c>
      <c r="C1952" s="30" t="n">
        <v>11024602</v>
      </c>
      <c r="D1952" s="30">
        <f>"29268750000120"</f>
        <v/>
      </c>
      <c r="E1952" s="30" t="inlineStr">
        <is>
          <t>M. P. DE GASPERI RESTAURANTE EIRELI</t>
        </is>
      </c>
      <c r="F1952" s="30" t="inlineStr">
        <is>
          <t>2019</t>
        </is>
      </c>
      <c r="G1952" s="40" t="n">
        <v>0</v>
      </c>
    </row>
    <row r="1953" ht="12" customHeight="1">
      <c r="A1953" s="30" t="inlineStr">
        <is>
          <t>ITG</t>
        </is>
      </c>
      <c r="B1953" s="30" t="inlineStr">
        <is>
          <t>Itaguai</t>
        </is>
      </c>
      <c r="C1953" s="30" t="n">
        <v>11024602</v>
      </c>
      <c r="D1953" s="30">
        <f>"29268750000120"</f>
        <v/>
      </c>
      <c r="E1953" s="30" t="inlineStr">
        <is>
          <t>M. P. DE GASPERI RESTAURANTE EIRELI</t>
        </is>
      </c>
      <c r="F1953" s="30" t="inlineStr">
        <is>
          <t>2020</t>
        </is>
      </c>
      <c r="G1953" s="40" t="n">
        <v>0</v>
      </c>
    </row>
    <row r="1954" ht="12" customHeight="1">
      <c r="A1954" s="30" t="inlineStr">
        <is>
          <t>ITG</t>
        </is>
      </c>
      <c r="B1954" s="30" t="inlineStr">
        <is>
          <t>Itaguai</t>
        </is>
      </c>
      <c r="C1954" s="30" t="n">
        <v>11025641</v>
      </c>
      <c r="D1954" s="30">
        <f>"22883593001196"</f>
        <v/>
      </c>
      <c r="E1954" s="30" t="inlineStr">
        <is>
          <t>EFFICAX TRANSPORTES LTDA</t>
        </is>
      </c>
      <c r="F1954" s="30" t="inlineStr">
        <is>
          <t>2017</t>
        </is>
      </c>
      <c r="G1954" s="40" t="n">
        <v>0</v>
      </c>
    </row>
    <row r="1955" ht="12" customHeight="1">
      <c r="A1955" s="30" t="inlineStr">
        <is>
          <t>ITG</t>
        </is>
      </c>
      <c r="B1955" s="30" t="inlineStr">
        <is>
          <t>Itaguai</t>
        </is>
      </c>
      <c r="C1955" s="30" t="n">
        <v>11025641</v>
      </c>
      <c r="D1955" s="30">
        <f>"22883593001196"</f>
        <v/>
      </c>
      <c r="E1955" s="30" t="inlineStr">
        <is>
          <t>EFFICAX TRANSPORTES LTDA</t>
        </is>
      </c>
      <c r="F1955" s="30" t="inlineStr">
        <is>
          <t>2018</t>
        </is>
      </c>
      <c r="G1955" s="40" t="n">
        <v>24676.65</v>
      </c>
    </row>
    <row r="1956" ht="12" customHeight="1">
      <c r="A1956" s="30" t="inlineStr">
        <is>
          <t>ITG</t>
        </is>
      </c>
      <c r="B1956" s="30" t="inlineStr">
        <is>
          <t>Itaguai</t>
        </is>
      </c>
      <c r="C1956" s="30" t="n">
        <v>11025641</v>
      </c>
      <c r="D1956" s="30">
        <f>"22883593001196"</f>
        <v/>
      </c>
      <c r="E1956" s="30" t="inlineStr">
        <is>
          <t>EFFICAX TRANSPORTES LTDA</t>
        </is>
      </c>
      <c r="F1956" s="30" t="inlineStr">
        <is>
          <t>2019</t>
        </is>
      </c>
      <c r="G1956" s="40" t="n">
        <v>0</v>
      </c>
    </row>
    <row r="1957" ht="12" customHeight="1">
      <c r="A1957" s="30" t="inlineStr">
        <is>
          <t>ITG</t>
        </is>
      </c>
      <c r="B1957" s="30" t="inlineStr">
        <is>
          <t>Itaguai</t>
        </is>
      </c>
      <c r="C1957" s="30" t="n">
        <v>11025641</v>
      </c>
      <c r="D1957" s="30">
        <f>"22883593001196"</f>
        <v/>
      </c>
      <c r="E1957" s="30" t="inlineStr">
        <is>
          <t>EFFICAX TRANSPORTES LTDA</t>
        </is>
      </c>
      <c r="F1957" s="30" t="inlineStr">
        <is>
          <t>2020</t>
        </is>
      </c>
      <c r="G1957" s="40" t="n">
        <v>0</v>
      </c>
    </row>
    <row r="1958" ht="12" customHeight="1">
      <c r="A1958" s="30" t="inlineStr">
        <is>
          <t>ITG</t>
        </is>
      </c>
      <c r="B1958" s="30" t="inlineStr">
        <is>
          <t>Itaguai</t>
        </is>
      </c>
      <c r="C1958" s="30" t="n">
        <v>11032265</v>
      </c>
      <c r="D1958" s="30">
        <f>"29301507000167"</f>
        <v/>
      </c>
      <c r="E1958" s="30" t="inlineStr">
        <is>
          <t>ENGLOC ENGENHARIA E LOCA??O EIRELI</t>
        </is>
      </c>
      <c r="F1958" s="30" t="inlineStr">
        <is>
          <t>2017</t>
        </is>
      </c>
      <c r="G1958" s="40" t="n">
        <v>0</v>
      </c>
    </row>
    <row r="1959" ht="12" customHeight="1">
      <c r="A1959" s="30" t="inlineStr">
        <is>
          <t>ITG</t>
        </is>
      </c>
      <c r="B1959" s="30" t="inlineStr">
        <is>
          <t>Itaguai</t>
        </is>
      </c>
      <c r="C1959" s="30" t="n">
        <v>11032265</v>
      </c>
      <c r="D1959" s="30">
        <f>"29301507000167"</f>
        <v/>
      </c>
      <c r="E1959" s="30" t="inlineStr">
        <is>
          <t>ENGLOC ENGENHARIA E LOCA??O EIRELI</t>
        </is>
      </c>
      <c r="F1959" s="30" t="inlineStr">
        <is>
          <t>2018</t>
        </is>
      </c>
      <c r="G1959" s="40" t="n">
        <v>0</v>
      </c>
    </row>
    <row r="1960" ht="12" customHeight="1">
      <c r="A1960" s="30" t="inlineStr">
        <is>
          <t>ITG</t>
        </is>
      </c>
      <c r="B1960" s="30" t="inlineStr">
        <is>
          <t>Itaguai</t>
        </is>
      </c>
      <c r="C1960" s="30" t="n">
        <v>11032265</v>
      </c>
      <c r="D1960" s="30">
        <f>"29301507000167"</f>
        <v/>
      </c>
      <c r="E1960" s="30" t="inlineStr">
        <is>
          <t>ENGLOC ENGENHARIA E LOCA??O EIRELI</t>
        </is>
      </c>
      <c r="F1960" s="30" t="inlineStr">
        <is>
          <t>2019</t>
        </is>
      </c>
      <c r="G1960" s="40" t="n">
        <v>0</v>
      </c>
    </row>
    <row r="1961" ht="12" customHeight="1">
      <c r="A1961" s="30" t="inlineStr">
        <is>
          <t>ITG</t>
        </is>
      </c>
      <c r="B1961" s="30" t="inlineStr">
        <is>
          <t>Itaguai</t>
        </is>
      </c>
      <c r="C1961" s="30" t="n">
        <v>11032265</v>
      </c>
      <c r="D1961" s="30">
        <f>"29301507000167"</f>
        <v/>
      </c>
      <c r="E1961" s="30" t="inlineStr">
        <is>
          <t>ENGLOC ENGENHARIA E LOCA??O EIRELI</t>
        </is>
      </c>
      <c r="F1961" s="30" t="inlineStr">
        <is>
          <t>2020</t>
        </is>
      </c>
      <c r="G1961" s="40" t="n">
        <v>0</v>
      </c>
    </row>
    <row r="1962" ht="12" customHeight="1">
      <c r="A1962" s="30" t="inlineStr">
        <is>
          <t>ITG</t>
        </is>
      </c>
      <c r="B1962" s="30" t="inlineStr">
        <is>
          <t>Itaguai</t>
        </is>
      </c>
      <c r="C1962" s="30" t="n">
        <v>11037194</v>
      </c>
      <c r="D1962" s="30">
        <f>"29319163000113"</f>
        <v/>
      </c>
      <c r="E1962" s="30" t="inlineStr">
        <is>
          <t>DROGARIA PARQUE PRIMAVERA LTDA ME</t>
        </is>
      </c>
      <c r="F1962" s="30" t="inlineStr">
        <is>
          <t>2017</t>
        </is>
      </c>
      <c r="G1962" s="40" t="n">
        <v>0</v>
      </c>
    </row>
    <row r="1963" ht="12" customHeight="1">
      <c r="A1963" s="30" t="inlineStr">
        <is>
          <t>ITG</t>
        </is>
      </c>
      <c r="B1963" s="30" t="inlineStr">
        <is>
          <t>Itaguai</t>
        </is>
      </c>
      <c r="C1963" s="30" t="n">
        <v>11037194</v>
      </c>
      <c r="D1963" s="30">
        <f>"29319163000113"</f>
        <v/>
      </c>
      <c r="E1963" s="30" t="inlineStr">
        <is>
          <t>DROGARIA PARQUE PRIMAVERA LTDA ME</t>
        </is>
      </c>
      <c r="F1963" s="30" t="inlineStr">
        <is>
          <t>2018</t>
        </is>
      </c>
      <c r="G1963" s="40" t="n">
        <v>0</v>
      </c>
    </row>
    <row r="1964" ht="12" customHeight="1">
      <c r="A1964" s="30" t="inlineStr">
        <is>
          <t>ITG</t>
        </is>
      </c>
      <c r="B1964" s="30" t="inlineStr">
        <is>
          <t>Itaguai</t>
        </is>
      </c>
      <c r="C1964" s="30" t="n">
        <v>11037194</v>
      </c>
      <c r="D1964" s="30">
        <f>"29319163000113"</f>
        <v/>
      </c>
      <c r="E1964" s="30" t="inlineStr">
        <is>
          <t>DROGARIA PARQUE PRIMAVERA LTDA ME</t>
        </is>
      </c>
      <c r="F1964" s="30" t="inlineStr">
        <is>
          <t>2019</t>
        </is>
      </c>
      <c r="G1964" s="40" t="n">
        <v>0</v>
      </c>
    </row>
    <row r="1965" ht="12" customHeight="1">
      <c r="A1965" s="30" t="inlineStr">
        <is>
          <t>ITG</t>
        </is>
      </c>
      <c r="B1965" s="30" t="inlineStr">
        <is>
          <t>Itaguai</t>
        </is>
      </c>
      <c r="C1965" s="30" t="n">
        <v>11037194</v>
      </c>
      <c r="D1965" s="30">
        <f>"29319163000113"</f>
        <v/>
      </c>
      <c r="E1965" s="30" t="inlineStr">
        <is>
          <t>DROGARIA PARQUE PRIMAVERA LTDA ME</t>
        </is>
      </c>
      <c r="F1965" s="30" t="inlineStr">
        <is>
          <t>2020</t>
        </is>
      </c>
      <c r="G1965" s="40" t="n">
        <v>0</v>
      </c>
    </row>
    <row r="1966" ht="12" customHeight="1">
      <c r="A1966" s="30" t="inlineStr">
        <is>
          <t>ITG</t>
        </is>
      </c>
      <c r="B1966" s="30" t="inlineStr">
        <is>
          <t>Itaguai</t>
        </is>
      </c>
      <c r="C1966" s="30" t="n">
        <v>11039723</v>
      </c>
      <c r="D1966" s="30">
        <f>"29254052000176"</f>
        <v/>
      </c>
      <c r="E1966" s="30" t="inlineStr">
        <is>
          <t>MERCADO O FAMILIÃO DE ITAGUAI EIRELI ME</t>
        </is>
      </c>
      <c r="F1966" s="30" t="inlineStr">
        <is>
          <t>2018</t>
        </is>
      </c>
      <c r="G1966" s="40" t="n">
        <v>0</v>
      </c>
    </row>
    <row r="1967" ht="12" customHeight="1">
      <c r="A1967" s="30" t="inlineStr">
        <is>
          <t>ITG</t>
        </is>
      </c>
      <c r="B1967" s="30" t="inlineStr">
        <is>
          <t>Itaguai</t>
        </is>
      </c>
      <c r="C1967" s="30" t="n">
        <v>11039723</v>
      </c>
      <c r="D1967" s="30">
        <f>"29254052000176"</f>
        <v/>
      </c>
      <c r="E1967" s="30" t="inlineStr">
        <is>
          <t>MERCADO O FAMILIÃO DE ITAGUAI EIRELI ME</t>
        </is>
      </c>
      <c r="F1967" s="30" t="inlineStr">
        <is>
          <t>2019</t>
        </is>
      </c>
      <c r="G1967" s="40" t="n">
        <v>0</v>
      </c>
    </row>
    <row r="1968" ht="12" customHeight="1">
      <c r="A1968" s="30" t="inlineStr">
        <is>
          <t>ITG</t>
        </is>
      </c>
      <c r="B1968" s="30" t="inlineStr">
        <is>
          <t>Itaguai</t>
        </is>
      </c>
      <c r="C1968" s="30" t="n">
        <v>11039723</v>
      </c>
      <c r="D1968" s="30">
        <f>"29254052000176"</f>
        <v/>
      </c>
      <c r="E1968" s="30" t="inlineStr">
        <is>
          <t>MERCADO O FAMILIÃO DE ITAGUAI EIRELI ME</t>
        </is>
      </c>
      <c r="F1968" s="30" t="inlineStr">
        <is>
          <t>2020</t>
        </is>
      </c>
      <c r="G1968" s="40" t="n">
        <v>0</v>
      </c>
    </row>
    <row r="1969" ht="12" customHeight="1">
      <c r="A1969" s="30" t="inlineStr">
        <is>
          <t>ITG</t>
        </is>
      </c>
      <c r="B1969" s="30" t="inlineStr">
        <is>
          <t>Itaguai</t>
        </is>
      </c>
      <c r="C1969" s="30" t="n">
        <v>11039723</v>
      </c>
      <c r="D1969" s="30">
        <f>"29254052000176"</f>
        <v/>
      </c>
      <c r="E1969" s="30" t="inlineStr">
        <is>
          <t>MERCADO O FAMILIÃO DE ITAGUAI EIRELI ME</t>
        </is>
      </c>
      <c r="F1969" s="30" t="inlineStr">
        <is>
          <t>2021</t>
        </is>
      </c>
      <c r="G1969" s="40" t="n">
        <v>0</v>
      </c>
    </row>
    <row r="1970" ht="12" customHeight="1">
      <c r="A1970" s="30" t="inlineStr">
        <is>
          <t>ITG</t>
        </is>
      </c>
      <c r="B1970" s="30" t="inlineStr">
        <is>
          <t>Itaguai</t>
        </is>
      </c>
      <c r="C1970" s="30" t="n">
        <v>11039723</v>
      </c>
      <c r="D1970" s="30">
        <f>"29254052000176"</f>
        <v/>
      </c>
      <c r="E1970" s="30" t="inlineStr">
        <is>
          <t>MERCADO O FAMILIÃO DE ITAGUAI EIRELI ME</t>
        </is>
      </c>
      <c r="F1970" s="30" t="inlineStr">
        <is>
          <t>2022</t>
        </is>
      </c>
      <c r="G1970" s="40" t="n">
        <v>0</v>
      </c>
    </row>
    <row r="1971" ht="12" customHeight="1">
      <c r="A1971" s="30" t="inlineStr">
        <is>
          <t>ITG</t>
        </is>
      </c>
      <c r="B1971" s="30" t="inlineStr">
        <is>
          <t>Itaguai</t>
        </is>
      </c>
      <c r="C1971" s="30" t="n">
        <v>11039723</v>
      </c>
      <c r="D1971" s="30">
        <f>"29254052000176"</f>
        <v/>
      </c>
      <c r="E1971" s="30" t="inlineStr">
        <is>
          <t>MERCADO O FAMILIÃO DE ITAGUAI EIRELI ME</t>
        </is>
      </c>
      <c r="F1971" s="30" t="inlineStr">
        <is>
          <t>2023</t>
        </is>
      </c>
      <c r="G1971" s="40" t="n">
        <v>0</v>
      </c>
    </row>
    <row r="1972" ht="12" customHeight="1">
      <c r="A1972" s="30" t="inlineStr">
        <is>
          <t>ITG</t>
        </is>
      </c>
      <c r="B1972" s="30" t="inlineStr">
        <is>
          <t>Itaguai</t>
        </is>
      </c>
      <c r="C1972" s="30" t="n">
        <v>11054242</v>
      </c>
      <c r="D1972" s="30">
        <f>"08295837000389"</f>
        <v/>
      </c>
      <c r="E1972" s="30" t="inlineStr">
        <is>
          <t>ZIRANLOG LOGISTICA E TRANSPORTES EIRELI - ME</t>
        </is>
      </c>
      <c r="F1972" s="30" t="inlineStr">
        <is>
          <t>2020</t>
        </is>
      </c>
      <c r="G1972" s="40" t="n">
        <v>0</v>
      </c>
    </row>
    <row r="1973" ht="12" customHeight="1">
      <c r="A1973" s="30" t="inlineStr">
        <is>
          <t>ITG</t>
        </is>
      </c>
      <c r="B1973" s="30" t="inlineStr">
        <is>
          <t>Itaguai</t>
        </is>
      </c>
      <c r="C1973" s="30" t="n">
        <v>11054242</v>
      </c>
      <c r="D1973" s="30">
        <f>"08295837000389"</f>
        <v/>
      </c>
      <c r="E1973" s="30" t="inlineStr">
        <is>
          <t>ZIRANLOG LOGISTICA E TRANSPORTES EIRELI - ME</t>
        </is>
      </c>
      <c r="F1973" s="30" t="inlineStr">
        <is>
          <t>2021</t>
        </is>
      </c>
      <c r="G1973" s="40" t="n">
        <v>0</v>
      </c>
    </row>
    <row r="1974" ht="12" customHeight="1">
      <c r="A1974" s="30" t="inlineStr">
        <is>
          <t>ITG</t>
        </is>
      </c>
      <c r="B1974" s="30" t="inlineStr">
        <is>
          <t>Itaguai</t>
        </is>
      </c>
      <c r="C1974" s="30" t="n">
        <v>11054242</v>
      </c>
      <c r="D1974" s="30">
        <f>"08295837000389"</f>
        <v/>
      </c>
      <c r="E1974" s="30" t="inlineStr">
        <is>
          <t>ZIRANLOG LOGISTICA E TRANSPORTES EIRELI - ME</t>
        </is>
      </c>
      <c r="F1974" s="30" t="inlineStr">
        <is>
          <t>2022</t>
        </is>
      </c>
      <c r="G1974" s="40" t="n">
        <v>10709.6</v>
      </c>
    </row>
    <row r="1975" ht="12" customHeight="1">
      <c r="A1975" s="30" t="inlineStr">
        <is>
          <t>ITG</t>
        </is>
      </c>
      <c r="B1975" s="30" t="inlineStr">
        <is>
          <t>Itaguai</t>
        </is>
      </c>
      <c r="C1975" s="30" t="n">
        <v>11054242</v>
      </c>
      <c r="D1975" s="30">
        <f>"08295837000389"</f>
        <v/>
      </c>
      <c r="E1975" s="30" t="inlineStr">
        <is>
          <t>ZIRANLOG LOGISTICA E TRANSPORTES EIRELI - ME</t>
        </is>
      </c>
      <c r="F1975" s="30" t="inlineStr">
        <is>
          <t>2023</t>
        </is>
      </c>
      <c r="G1975" s="40" t="n">
        <v>246898.37</v>
      </c>
    </row>
    <row r="1976" ht="12" customHeight="1">
      <c r="A1976" s="30" t="inlineStr">
        <is>
          <t>ITG</t>
        </is>
      </c>
      <c r="B1976" s="30" t="inlineStr">
        <is>
          <t>Itaguai</t>
        </is>
      </c>
      <c r="C1976" s="30" t="n">
        <v>11057802</v>
      </c>
      <c r="D1976" s="30">
        <f>"02287193000210"</f>
        <v/>
      </c>
      <c r="E1976" s="30" t="inlineStr">
        <is>
          <t>UNICOLOR TINTAS LTDA</t>
        </is>
      </c>
      <c r="F1976" s="30" t="inlineStr">
        <is>
          <t>2017</t>
        </is>
      </c>
      <c r="G1976" s="40" t="n">
        <v>0</v>
      </c>
    </row>
    <row r="1977" ht="12" customHeight="1">
      <c r="A1977" s="30" t="inlineStr">
        <is>
          <t>ITG</t>
        </is>
      </c>
      <c r="B1977" s="30" t="inlineStr">
        <is>
          <t>Itaguai</t>
        </is>
      </c>
      <c r="C1977" s="30" t="n">
        <v>11057802</v>
      </c>
      <c r="D1977" s="30">
        <f>"02287193000210"</f>
        <v/>
      </c>
      <c r="E1977" s="30" t="inlineStr">
        <is>
          <t>UNICOLOR TINTAS LTDA</t>
        </is>
      </c>
      <c r="F1977" s="30" t="inlineStr">
        <is>
          <t>2018</t>
        </is>
      </c>
      <c r="G1977" s="40" t="n">
        <v>898476.9399999999</v>
      </c>
    </row>
    <row r="1978" ht="12" customHeight="1">
      <c r="A1978" s="30" t="inlineStr">
        <is>
          <t>ITG</t>
        </is>
      </c>
      <c r="B1978" s="30" t="inlineStr">
        <is>
          <t>Itaguai</t>
        </is>
      </c>
      <c r="C1978" s="30" t="n">
        <v>11057802</v>
      </c>
      <c r="D1978" s="30">
        <f>"02287193000210"</f>
        <v/>
      </c>
      <c r="E1978" s="30" t="inlineStr">
        <is>
          <t>UNICOLOR TINTAS LTDA</t>
        </is>
      </c>
      <c r="F1978" s="30" t="inlineStr">
        <is>
          <t>2019</t>
        </is>
      </c>
      <c r="G1978" s="40" t="n">
        <v>3442155.81</v>
      </c>
    </row>
    <row r="1979" ht="12" customHeight="1">
      <c r="A1979" s="30" t="inlineStr">
        <is>
          <t>ITG</t>
        </is>
      </c>
      <c r="B1979" s="30" t="inlineStr">
        <is>
          <t>Itaguai</t>
        </is>
      </c>
      <c r="C1979" s="30" t="n">
        <v>11057802</v>
      </c>
      <c r="D1979" s="30">
        <f>"02287193000210"</f>
        <v/>
      </c>
      <c r="E1979" s="30" t="inlineStr">
        <is>
          <t>UNICOLOR TINTAS LTDA</t>
        </is>
      </c>
      <c r="F1979" s="30" t="inlineStr">
        <is>
          <t>2020</t>
        </is>
      </c>
      <c r="G1979" s="40" t="n">
        <v>1756296.22</v>
      </c>
    </row>
    <row r="1980" ht="12" customHeight="1">
      <c r="A1980" s="30" t="inlineStr">
        <is>
          <t>ITG</t>
        </is>
      </c>
      <c r="B1980" s="30" t="inlineStr">
        <is>
          <t>Itaguai</t>
        </is>
      </c>
      <c r="C1980" s="30" t="n">
        <v>11057802</v>
      </c>
      <c r="D1980" s="30">
        <f>"02287193000210"</f>
        <v/>
      </c>
      <c r="E1980" s="30" t="inlineStr">
        <is>
          <t>UNICOLOR TINTAS LTDA</t>
        </is>
      </c>
      <c r="F1980" s="30" t="inlineStr">
        <is>
          <t>2021</t>
        </is>
      </c>
      <c r="G1980" s="40" t="n">
        <v>3722713.92</v>
      </c>
    </row>
    <row r="1981" ht="12" customHeight="1">
      <c r="A1981" s="30" t="inlineStr">
        <is>
          <t>ITG</t>
        </is>
      </c>
      <c r="B1981" s="30" t="inlineStr">
        <is>
          <t>Itaguai</t>
        </is>
      </c>
      <c r="C1981" s="30" t="n">
        <v>11057802</v>
      </c>
      <c r="D1981" s="30">
        <f>"02287193000210"</f>
        <v/>
      </c>
      <c r="E1981" s="30" t="inlineStr">
        <is>
          <t>UNICOLOR TINTAS LTDA</t>
        </is>
      </c>
      <c r="F1981" s="30" t="inlineStr">
        <is>
          <t>2022</t>
        </is>
      </c>
      <c r="G1981" s="40" t="n">
        <v>3824714.21</v>
      </c>
    </row>
    <row r="1982" ht="12" customHeight="1">
      <c r="A1982" s="30" t="inlineStr">
        <is>
          <t>ITG</t>
        </is>
      </c>
      <c r="B1982" s="30" t="inlineStr">
        <is>
          <t>Itaguai</t>
        </is>
      </c>
      <c r="C1982" s="30" t="n">
        <v>11057802</v>
      </c>
      <c r="D1982" s="30">
        <f>"02287193000210"</f>
        <v/>
      </c>
      <c r="E1982" s="30" t="inlineStr">
        <is>
          <t>UNICOLOR TINTAS LTDA</t>
        </is>
      </c>
      <c r="F1982" s="30" t="inlineStr">
        <is>
          <t>2023</t>
        </is>
      </c>
      <c r="G1982" s="40" t="n">
        <v>5655598.01</v>
      </c>
    </row>
    <row r="1983" ht="12" customHeight="1">
      <c r="A1983" s="30" t="inlineStr">
        <is>
          <t>ITG</t>
        </is>
      </c>
      <c r="B1983" s="30" t="inlineStr">
        <is>
          <t>Itaguai</t>
        </is>
      </c>
      <c r="C1983" s="30" t="n">
        <v>11061702</v>
      </c>
      <c r="D1983" s="30">
        <f>"29327548000122"</f>
        <v/>
      </c>
      <c r="E1983" s="30" t="inlineStr">
        <is>
          <t>ITXGAS REVENDEDORA DE GAS E AGUA LTDA ME</t>
        </is>
      </c>
      <c r="F1983" s="30" t="inlineStr">
        <is>
          <t>2017</t>
        </is>
      </c>
      <c r="G1983" s="40" t="n">
        <v>0</v>
      </c>
    </row>
    <row r="1984" ht="12" customHeight="1">
      <c r="A1984" s="30" t="inlineStr">
        <is>
          <t>ITG</t>
        </is>
      </c>
      <c r="B1984" s="30" t="inlineStr">
        <is>
          <t>Itaguai</t>
        </is>
      </c>
      <c r="C1984" s="30" t="n">
        <v>11061702</v>
      </c>
      <c r="D1984" s="30">
        <f>"29327548000122"</f>
        <v/>
      </c>
      <c r="E1984" s="30" t="inlineStr">
        <is>
          <t>ITXGAS REVENDEDORA DE GAS E AGUA LTDA ME</t>
        </is>
      </c>
      <c r="F1984" s="30" t="inlineStr">
        <is>
          <t>2018</t>
        </is>
      </c>
      <c r="G1984" s="40" t="n">
        <v>0</v>
      </c>
    </row>
    <row r="1985" ht="12" customHeight="1">
      <c r="A1985" s="30" t="inlineStr">
        <is>
          <t>ITG</t>
        </is>
      </c>
      <c r="B1985" s="30" t="inlineStr">
        <is>
          <t>Itaguai</t>
        </is>
      </c>
      <c r="C1985" s="30" t="n">
        <v>11061702</v>
      </c>
      <c r="D1985" s="30">
        <f>"29327548000122"</f>
        <v/>
      </c>
      <c r="E1985" s="30" t="inlineStr">
        <is>
          <t>ITXGAS REVENDEDORA DE GAS E AGUA LTDA ME</t>
        </is>
      </c>
      <c r="F1985" s="30" t="inlineStr">
        <is>
          <t>2019</t>
        </is>
      </c>
      <c r="G1985" s="40" t="n">
        <v>0</v>
      </c>
    </row>
    <row r="1986" ht="12" customHeight="1">
      <c r="A1986" s="30" t="inlineStr">
        <is>
          <t>ITG</t>
        </is>
      </c>
      <c r="B1986" s="30" t="inlineStr">
        <is>
          <t>Itaguai</t>
        </is>
      </c>
      <c r="C1986" s="30" t="n">
        <v>11061702</v>
      </c>
      <c r="D1986" s="30">
        <f>"29327548000122"</f>
        <v/>
      </c>
      <c r="E1986" s="30" t="inlineStr">
        <is>
          <t>ITXGAS REVENDEDORA DE GAS E AGUA LTDA ME</t>
        </is>
      </c>
      <c r="F1986" s="30" t="inlineStr">
        <is>
          <t>2020</t>
        </is>
      </c>
      <c r="G1986" s="40" t="n">
        <v>0</v>
      </c>
    </row>
    <row r="1987" ht="12" customHeight="1">
      <c r="A1987" s="30" t="inlineStr">
        <is>
          <t>ITG</t>
        </is>
      </c>
      <c r="B1987" s="30" t="inlineStr">
        <is>
          <t>Itaguai</t>
        </is>
      </c>
      <c r="C1987" s="30" t="n">
        <v>11061702</v>
      </c>
      <c r="D1987" s="30">
        <f>"29327548000122"</f>
        <v/>
      </c>
      <c r="E1987" s="30" t="inlineStr">
        <is>
          <t>ITXGAS REVENDEDORA DE GAS E AGUA LTDA ME</t>
        </is>
      </c>
      <c r="F1987" s="30" t="inlineStr">
        <is>
          <t>2021</t>
        </is>
      </c>
      <c r="G1987" s="40" t="n">
        <v>0</v>
      </c>
    </row>
    <row r="1988" ht="12" customHeight="1">
      <c r="A1988" s="30" t="inlineStr">
        <is>
          <t>ITG</t>
        </is>
      </c>
      <c r="B1988" s="30" t="inlineStr">
        <is>
          <t>Itaguai</t>
        </is>
      </c>
      <c r="C1988" s="30" t="n">
        <v>11061702</v>
      </c>
      <c r="D1988" s="30">
        <f>"29327548000122"</f>
        <v/>
      </c>
      <c r="E1988" s="30" t="inlineStr">
        <is>
          <t>ITXGAS REVENDEDORA DE GAS E AGUA LTDA ME</t>
        </is>
      </c>
      <c r="F1988" s="30" t="inlineStr">
        <is>
          <t>2022</t>
        </is>
      </c>
      <c r="G1988" s="40" t="n">
        <v>0</v>
      </c>
    </row>
    <row r="1989" ht="12" customHeight="1">
      <c r="A1989" s="30" t="inlineStr">
        <is>
          <t>ITG</t>
        </is>
      </c>
      <c r="B1989" s="30" t="inlineStr">
        <is>
          <t>Itaguai</t>
        </is>
      </c>
      <c r="C1989" s="30" t="n">
        <v>11061702</v>
      </c>
      <c r="D1989" s="30">
        <f>"29327548000122"</f>
        <v/>
      </c>
      <c r="E1989" s="30" t="inlineStr">
        <is>
          <t>ITXGAS REVENDEDORA DE GAS E AGUA LTDA ME</t>
        </is>
      </c>
      <c r="F1989" s="30" t="inlineStr">
        <is>
          <t>2023</t>
        </is>
      </c>
      <c r="G1989" s="40" t="n">
        <v>0</v>
      </c>
    </row>
    <row r="1990" ht="12" customHeight="1">
      <c r="A1990" s="30" t="inlineStr">
        <is>
          <t>ITG</t>
        </is>
      </c>
      <c r="B1990" s="30" t="inlineStr">
        <is>
          <t>Itaguai</t>
        </is>
      </c>
      <c r="C1990" s="30" t="n">
        <v>11066100</v>
      </c>
      <c r="D1990" s="30">
        <f>"10970887010167"</f>
        <v/>
      </c>
      <c r="E1990" s="30" t="inlineStr">
        <is>
          <t>FEDEX BRASIL LOGISTICA E TRANSPORTE LTDA</t>
        </is>
      </c>
      <c r="F1990" s="30" t="inlineStr">
        <is>
          <t>2018</t>
        </is>
      </c>
      <c r="G1990" s="40" t="n">
        <v>0</v>
      </c>
    </row>
    <row r="1991" ht="12" customHeight="1">
      <c r="A1991" s="30" t="inlineStr">
        <is>
          <t>ITG</t>
        </is>
      </c>
      <c r="B1991" s="30" t="inlineStr">
        <is>
          <t>Itaguai</t>
        </is>
      </c>
      <c r="C1991" s="30" t="n">
        <v>11066100</v>
      </c>
      <c r="D1991" s="30">
        <f>"10970887010167"</f>
        <v/>
      </c>
      <c r="E1991" s="30" t="inlineStr">
        <is>
          <t>FEDEX BRASIL LOGISTICA E TRANSPORTE LTDA</t>
        </is>
      </c>
      <c r="F1991" s="30" t="inlineStr">
        <is>
          <t>2019</t>
        </is>
      </c>
      <c r="G1991" s="40" t="n">
        <v>0</v>
      </c>
    </row>
    <row r="1992" ht="12" customHeight="1">
      <c r="A1992" s="30" t="inlineStr">
        <is>
          <t>ITG</t>
        </is>
      </c>
      <c r="B1992" s="30" t="inlineStr">
        <is>
          <t>Itaguai</t>
        </is>
      </c>
      <c r="C1992" s="30" t="n">
        <v>11066100</v>
      </c>
      <c r="D1992" s="30">
        <f>"10970887010167"</f>
        <v/>
      </c>
      <c r="E1992" s="30" t="inlineStr">
        <is>
          <t>FEDEX BRASIL LOGISTICA E TRANSPORTE LTDA</t>
        </is>
      </c>
      <c r="F1992" s="30" t="inlineStr">
        <is>
          <t>2020</t>
        </is>
      </c>
      <c r="G1992" s="40" t="n">
        <v>918.65</v>
      </c>
    </row>
    <row r="1993" ht="12" customHeight="1">
      <c r="A1993" s="30" t="inlineStr">
        <is>
          <t>ITG</t>
        </is>
      </c>
      <c r="B1993" s="30" t="inlineStr">
        <is>
          <t>Itaguai</t>
        </is>
      </c>
      <c r="C1993" s="30" t="n">
        <v>11066100</v>
      </c>
      <c r="D1993" s="30">
        <f>"10970887010167"</f>
        <v/>
      </c>
      <c r="E1993" s="30" t="inlineStr">
        <is>
          <t>FEDEX BRASIL LOGISTICA E TRANSPORTE LTDA</t>
        </is>
      </c>
      <c r="F1993" s="30" t="inlineStr">
        <is>
          <t>2021</t>
        </is>
      </c>
      <c r="G1993" s="40" t="n">
        <v>0</v>
      </c>
    </row>
    <row r="1994" ht="12" customHeight="1">
      <c r="A1994" s="30" t="inlineStr">
        <is>
          <t>ITG</t>
        </is>
      </c>
      <c r="B1994" s="30" t="inlineStr">
        <is>
          <t>Itaguai</t>
        </is>
      </c>
      <c r="C1994" s="30" t="n">
        <v>11066100</v>
      </c>
      <c r="D1994" s="30">
        <f>"10970887010167"</f>
        <v/>
      </c>
      <c r="E1994" s="30" t="inlineStr">
        <is>
          <t>FEDEX BRASIL LOGISTICA E TRANSPORTE LTDA</t>
        </is>
      </c>
      <c r="F1994" s="30" t="inlineStr">
        <is>
          <t>2022</t>
        </is>
      </c>
      <c r="G1994" s="40" t="n">
        <v>0</v>
      </c>
    </row>
    <row r="1995" ht="12" customHeight="1">
      <c r="A1995" s="30" t="inlineStr">
        <is>
          <t>ITG</t>
        </is>
      </c>
      <c r="B1995" s="30" t="inlineStr">
        <is>
          <t>Itaguai</t>
        </is>
      </c>
      <c r="C1995" s="30" t="n">
        <v>11071724</v>
      </c>
      <c r="D1995" s="30">
        <f>"04319228000361"</f>
        <v/>
      </c>
      <c r="E1995" s="30" t="inlineStr">
        <is>
          <t>ZANEPAN COM. ATACADISTA DE GENEROS ALIMENTICIOS EIRELI</t>
        </is>
      </c>
      <c r="F1995" s="30" t="inlineStr">
        <is>
          <t>2017</t>
        </is>
      </c>
      <c r="G1995" s="40" t="n">
        <v>0</v>
      </c>
    </row>
    <row r="1996" ht="12" customHeight="1">
      <c r="A1996" s="30" t="inlineStr">
        <is>
          <t>ITG</t>
        </is>
      </c>
      <c r="B1996" s="30" t="inlineStr">
        <is>
          <t>Itaguai</t>
        </is>
      </c>
      <c r="C1996" s="30" t="n">
        <v>11071724</v>
      </c>
      <c r="D1996" s="30">
        <f>"04319228000361"</f>
        <v/>
      </c>
      <c r="E1996" s="30" t="inlineStr">
        <is>
          <t>ZANEPAN COM. ATACADISTA DE GENEROS ALIMENTICIOS EIRELI</t>
        </is>
      </c>
      <c r="F1996" s="30" t="inlineStr">
        <is>
          <t>2018</t>
        </is>
      </c>
      <c r="G1996" s="40" t="n">
        <v>1294427.8</v>
      </c>
    </row>
    <row r="1997" ht="12" customHeight="1">
      <c r="A1997" s="30" t="inlineStr">
        <is>
          <t>ITG</t>
        </is>
      </c>
      <c r="B1997" s="30" t="inlineStr">
        <is>
          <t>Itaguai</t>
        </is>
      </c>
      <c r="C1997" s="30" t="n">
        <v>11071724</v>
      </c>
      <c r="D1997" s="30">
        <f>"04319228000361"</f>
        <v/>
      </c>
      <c r="E1997" s="30" t="inlineStr">
        <is>
          <t>ZANEPAN COM. ATACADISTA DE GENEROS ALIMENTICIOS EIRELI</t>
        </is>
      </c>
      <c r="F1997" s="30" t="inlineStr">
        <is>
          <t>2019</t>
        </is>
      </c>
      <c r="G1997" s="40" t="n">
        <v>3696985.2</v>
      </c>
    </row>
    <row r="1998" ht="12" customHeight="1">
      <c r="A1998" s="30" t="inlineStr">
        <is>
          <t>ITG</t>
        </is>
      </c>
      <c r="B1998" s="30" t="inlineStr">
        <is>
          <t>Itaguai</t>
        </is>
      </c>
      <c r="C1998" s="30" t="n">
        <v>11071724</v>
      </c>
      <c r="D1998" s="30">
        <f>"04319228000361"</f>
        <v/>
      </c>
      <c r="E1998" s="30" t="inlineStr">
        <is>
          <t>ZANEPAN COM. ATACADISTA DE GENEROS ALIMENTICIOS EIRELI</t>
        </is>
      </c>
      <c r="F1998" s="30" t="inlineStr">
        <is>
          <t>2020</t>
        </is>
      </c>
      <c r="G1998" s="40" t="n">
        <v>6853747.95</v>
      </c>
    </row>
    <row r="1999" ht="12" customHeight="1">
      <c r="A1999" s="30" t="inlineStr">
        <is>
          <t>ITG</t>
        </is>
      </c>
      <c r="B1999" s="30" t="inlineStr">
        <is>
          <t>Itaguai</t>
        </is>
      </c>
      <c r="C1999" s="30" t="n">
        <v>11071724</v>
      </c>
      <c r="D1999" s="30">
        <f>"04319228000361"</f>
        <v/>
      </c>
      <c r="E1999" s="30" t="inlineStr">
        <is>
          <t>ZANEPAN COM. ATACADISTA DE GENEROS ALIMENTICIOS EIRELI</t>
        </is>
      </c>
      <c r="F1999" s="30" t="inlineStr">
        <is>
          <t>2021</t>
        </is>
      </c>
      <c r="G1999" s="40" t="n">
        <v>0</v>
      </c>
    </row>
    <row r="2000" ht="12" customHeight="1">
      <c r="A2000" s="30" t="inlineStr">
        <is>
          <t>ITG</t>
        </is>
      </c>
      <c r="B2000" s="30" t="inlineStr">
        <is>
          <t>Itaguai</t>
        </is>
      </c>
      <c r="C2000" s="30" t="n">
        <v>11071724</v>
      </c>
      <c r="D2000" s="30">
        <f>"04319228000361"</f>
        <v/>
      </c>
      <c r="E2000" s="30" t="inlineStr">
        <is>
          <t>ZANEPAN COM. ATACADISTA DE GENEROS ALIMENTICIOS EIRELI</t>
        </is>
      </c>
      <c r="F2000" s="30" t="inlineStr">
        <is>
          <t>2022</t>
        </is>
      </c>
      <c r="G2000" s="40" t="n">
        <v>0</v>
      </c>
    </row>
    <row r="2001" ht="12" customHeight="1">
      <c r="A2001" s="30" t="inlineStr">
        <is>
          <t>ITG</t>
        </is>
      </c>
      <c r="B2001" s="30" t="inlineStr">
        <is>
          <t>Itaguai</t>
        </is>
      </c>
      <c r="C2001" s="30" t="n">
        <v>11071724</v>
      </c>
      <c r="D2001" s="30">
        <f>"04319228000361"</f>
        <v/>
      </c>
      <c r="E2001" s="30" t="inlineStr">
        <is>
          <t>ZANEPAN COM. ATACADISTA DE GENEROS ALIMENTICIOS EIRELI</t>
        </is>
      </c>
      <c r="F2001" s="30" t="inlineStr">
        <is>
          <t>2023</t>
        </is>
      </c>
      <c r="G2001" s="40" t="n">
        <v>0</v>
      </c>
    </row>
    <row r="2002" ht="12" customHeight="1">
      <c r="A2002" s="30" t="inlineStr">
        <is>
          <t>ITG</t>
        </is>
      </c>
      <c r="B2002" s="30" t="inlineStr">
        <is>
          <t>Itaguai</t>
        </is>
      </c>
      <c r="C2002" s="30" t="n">
        <v>11071740</v>
      </c>
      <c r="D2002" s="30">
        <f>"27819276000152"</f>
        <v/>
      </c>
      <c r="E2002" s="30" t="inlineStr">
        <is>
          <t>F C DE PAIVA JUNIOR COMERCIO E SERVIÇOS AUTOMOTIVOS</t>
        </is>
      </c>
      <c r="F2002" s="30" t="inlineStr">
        <is>
          <t>2018</t>
        </is>
      </c>
      <c r="G2002" s="40" t="n">
        <v>0</v>
      </c>
    </row>
    <row r="2003" ht="12" customHeight="1">
      <c r="A2003" s="30" t="inlineStr">
        <is>
          <t>ITG</t>
        </is>
      </c>
      <c r="B2003" s="30" t="inlineStr">
        <is>
          <t>Itaguai</t>
        </is>
      </c>
      <c r="C2003" s="30" t="n">
        <v>11071740</v>
      </c>
      <c r="D2003" s="30">
        <f>"27819276000152"</f>
        <v/>
      </c>
      <c r="E2003" s="30" t="inlineStr">
        <is>
          <t>F C DE PAIVA JUNIOR COMERCIO E SERVIÇOS AUTOMOTIVOS</t>
        </is>
      </c>
      <c r="F2003" s="30" t="inlineStr">
        <is>
          <t>2019</t>
        </is>
      </c>
      <c r="G2003" s="40" t="n">
        <v>0</v>
      </c>
    </row>
    <row r="2004" ht="12" customHeight="1">
      <c r="A2004" s="30" t="inlineStr">
        <is>
          <t>ITG</t>
        </is>
      </c>
      <c r="B2004" s="30" t="inlineStr">
        <is>
          <t>Itaguai</t>
        </is>
      </c>
      <c r="C2004" s="30" t="n">
        <v>11071740</v>
      </c>
      <c r="D2004" s="30">
        <f>"27819276000152"</f>
        <v/>
      </c>
      <c r="E2004" s="30" t="inlineStr">
        <is>
          <t>F C DE PAIVA JUNIOR COMERCIO E SERVIÇOS AUTOMOTIVOS</t>
        </is>
      </c>
      <c r="F2004" s="30" t="inlineStr">
        <is>
          <t>2020</t>
        </is>
      </c>
      <c r="G2004" s="40" t="n">
        <v>0</v>
      </c>
    </row>
    <row r="2005" ht="12" customHeight="1">
      <c r="A2005" s="30" t="inlineStr">
        <is>
          <t>ITG</t>
        </is>
      </c>
      <c r="B2005" s="30" t="inlineStr">
        <is>
          <t>Itaguai</t>
        </is>
      </c>
      <c r="C2005" s="30" t="n">
        <v>11071740</v>
      </c>
      <c r="D2005" s="30">
        <f>"27819276000152"</f>
        <v/>
      </c>
      <c r="E2005" s="30" t="inlineStr">
        <is>
          <t>F C DE PAIVA JUNIOR COMERCIO E SERVIÇOS AUTOMOTIVOS</t>
        </is>
      </c>
      <c r="F2005" s="30" t="inlineStr">
        <is>
          <t>2021</t>
        </is>
      </c>
      <c r="G2005" s="40" t="n">
        <v>0</v>
      </c>
    </row>
    <row r="2006" ht="12" customHeight="1">
      <c r="A2006" s="30" t="inlineStr">
        <is>
          <t>ITG</t>
        </is>
      </c>
      <c r="B2006" s="30" t="inlineStr">
        <is>
          <t>Itaguai</t>
        </is>
      </c>
      <c r="C2006" s="30" t="n">
        <v>11071740</v>
      </c>
      <c r="D2006" s="30">
        <f>"27819276000152"</f>
        <v/>
      </c>
      <c r="E2006" s="30" t="inlineStr">
        <is>
          <t>F C DE PAIVA JUNIOR COMERCIO E SERVIÇOS AUTOMOTIVOS</t>
        </is>
      </c>
      <c r="F2006" s="30" t="inlineStr">
        <is>
          <t>2022</t>
        </is>
      </c>
      <c r="G2006" s="40" t="n">
        <v>0</v>
      </c>
    </row>
    <row r="2007" ht="12" customHeight="1">
      <c r="A2007" s="30" t="inlineStr">
        <is>
          <t>ITG</t>
        </is>
      </c>
      <c r="B2007" s="30" t="inlineStr">
        <is>
          <t>Itaguai</t>
        </is>
      </c>
      <c r="C2007" s="30" t="n">
        <v>11075584</v>
      </c>
      <c r="D2007" s="30">
        <f>"27001440000110"</f>
        <v/>
      </c>
      <c r="E2007" s="30" t="inlineStr">
        <is>
          <t>VIASAT BRASIL SERVI?OS DE COMUNICA??ES LTDA</t>
        </is>
      </c>
      <c r="F2007" s="30" t="inlineStr">
        <is>
          <t>2021</t>
        </is>
      </c>
      <c r="G2007" s="40" t="n">
        <v>0</v>
      </c>
    </row>
    <row r="2008" ht="12" customHeight="1">
      <c r="A2008" s="30" t="inlineStr">
        <is>
          <t>ITG</t>
        </is>
      </c>
      <c r="B2008" s="30" t="inlineStr">
        <is>
          <t>Itaguai</t>
        </is>
      </c>
      <c r="C2008" s="30" t="n">
        <v>11075584</v>
      </c>
      <c r="D2008" s="30">
        <f>"27001440000110"</f>
        <v/>
      </c>
      <c r="E2008" s="30" t="inlineStr">
        <is>
          <t>VIASAT BRASIL SERVI?OS DE COMUNICA??ES LTDA</t>
        </is>
      </c>
      <c r="F2008" s="30" t="inlineStr">
        <is>
          <t>2022</t>
        </is>
      </c>
      <c r="G2008" s="40" t="n">
        <v>0</v>
      </c>
    </row>
    <row r="2009" ht="12" customHeight="1">
      <c r="A2009" s="30" t="inlineStr">
        <is>
          <t>ITG</t>
        </is>
      </c>
      <c r="B2009" s="30" t="inlineStr">
        <is>
          <t>Itaguai</t>
        </is>
      </c>
      <c r="C2009" s="30" t="n">
        <v>11075584</v>
      </c>
      <c r="D2009" s="30">
        <f>"27001440000110"</f>
        <v/>
      </c>
      <c r="E2009" s="30" t="inlineStr">
        <is>
          <t>VIASAT BRASIL SERVI?OS DE COMUNICA??ES LTDA</t>
        </is>
      </c>
      <c r="F2009" s="30" t="inlineStr">
        <is>
          <t>2023</t>
        </is>
      </c>
      <c r="G2009" s="40" t="n">
        <v>4090.87</v>
      </c>
    </row>
    <row r="2010" ht="12" customHeight="1">
      <c r="A2010" s="30" t="inlineStr">
        <is>
          <t>ITG</t>
        </is>
      </c>
      <c r="B2010" s="30" t="inlineStr">
        <is>
          <t>Itaguai</t>
        </is>
      </c>
      <c r="C2010" s="30" t="n">
        <v>11077781</v>
      </c>
      <c r="D2010" s="30">
        <f>"77913132787"</f>
        <v/>
      </c>
      <c r="E2010" s="30" t="inlineStr">
        <is>
          <t>JORGE PAPADOPOULOS DE SOUZA</t>
        </is>
      </c>
      <c r="F2010" s="30" t="inlineStr">
        <is>
          <t>2018</t>
        </is>
      </c>
      <c r="G2010" s="40" t="n">
        <v>0</v>
      </c>
    </row>
    <row r="2011" ht="12" customHeight="1">
      <c r="A2011" s="30" t="inlineStr">
        <is>
          <t>ITG</t>
        </is>
      </c>
      <c r="B2011" s="30" t="inlineStr">
        <is>
          <t>Itaguai</t>
        </is>
      </c>
      <c r="C2011" s="30" t="n">
        <v>11077781</v>
      </c>
      <c r="D2011" s="30">
        <f>"77913132787"</f>
        <v/>
      </c>
      <c r="E2011" s="30" t="inlineStr">
        <is>
          <t>JORGE PAPADOPOULOS DE SOUZA</t>
        </is>
      </c>
      <c r="F2011" s="30" t="inlineStr">
        <is>
          <t>2019</t>
        </is>
      </c>
      <c r="G2011" s="40" t="n">
        <v>0</v>
      </c>
    </row>
    <row r="2012" ht="12" customHeight="1">
      <c r="A2012" s="30" t="inlineStr">
        <is>
          <t>ITG</t>
        </is>
      </c>
      <c r="B2012" s="30" t="inlineStr">
        <is>
          <t>Itaguai</t>
        </is>
      </c>
      <c r="C2012" s="30" t="n">
        <v>11077781</v>
      </c>
      <c r="D2012" s="30">
        <f>"77913132787"</f>
        <v/>
      </c>
      <c r="E2012" s="30" t="inlineStr">
        <is>
          <t>JORGE PAPADOPOULOS DE SOUZA</t>
        </is>
      </c>
      <c r="F2012" s="30" t="inlineStr">
        <is>
          <t>2020</t>
        </is>
      </c>
      <c r="G2012" s="40" t="n">
        <v>0</v>
      </c>
    </row>
    <row r="2013" ht="12" customHeight="1">
      <c r="A2013" s="30" t="inlineStr">
        <is>
          <t>ITG</t>
        </is>
      </c>
      <c r="B2013" s="30" t="inlineStr">
        <is>
          <t>Itaguai</t>
        </is>
      </c>
      <c r="C2013" s="30" t="n">
        <v>11077781</v>
      </c>
      <c r="D2013" s="30">
        <f>"77913132787"</f>
        <v/>
      </c>
      <c r="E2013" s="30" t="inlineStr">
        <is>
          <t>JORGE PAPADOPOULOS DE SOUZA</t>
        </is>
      </c>
      <c r="F2013" s="30" t="inlineStr">
        <is>
          <t>2021</t>
        </is>
      </c>
      <c r="G2013" s="40" t="n">
        <v>0</v>
      </c>
    </row>
    <row r="2014" ht="12" customHeight="1">
      <c r="A2014" s="30" t="inlineStr">
        <is>
          <t>ITG</t>
        </is>
      </c>
      <c r="B2014" s="30" t="inlineStr">
        <is>
          <t>Itaguai</t>
        </is>
      </c>
      <c r="C2014" s="30" t="n">
        <v>11077781</v>
      </c>
      <c r="D2014" s="30">
        <f>"77913132787"</f>
        <v/>
      </c>
      <c r="E2014" s="30" t="inlineStr">
        <is>
          <t>JORGE PAPADOPOULOS DE SOUZA</t>
        </is>
      </c>
      <c r="F2014" s="30" t="inlineStr">
        <is>
          <t>2022</t>
        </is>
      </c>
      <c r="G2014" s="40" t="n">
        <v>0</v>
      </c>
    </row>
    <row r="2015" ht="12" customHeight="1">
      <c r="A2015" s="30" t="inlineStr">
        <is>
          <t>ITG</t>
        </is>
      </c>
      <c r="B2015" s="30" t="inlineStr">
        <is>
          <t>Itaguai</t>
        </is>
      </c>
      <c r="C2015" s="30" t="n">
        <v>11077781</v>
      </c>
      <c r="D2015" s="30">
        <f>"77913132787"</f>
        <v/>
      </c>
      <c r="E2015" s="30" t="inlineStr">
        <is>
          <t>JORGE PAPADOPOULOS DE SOUZA</t>
        </is>
      </c>
      <c r="F2015" s="30" t="inlineStr">
        <is>
          <t>2023</t>
        </is>
      </c>
      <c r="G2015" s="40" t="n">
        <v>0</v>
      </c>
    </row>
    <row r="2016" ht="12" customHeight="1">
      <c r="A2016" s="30" t="inlineStr">
        <is>
          <t>ITG</t>
        </is>
      </c>
      <c r="B2016" s="30" t="inlineStr">
        <is>
          <t>Itaguai</t>
        </is>
      </c>
      <c r="C2016" s="30" t="n">
        <v>11079962</v>
      </c>
      <c r="D2016" s="30">
        <f>"29735755000116"</f>
        <v/>
      </c>
      <c r="E2016" s="30" t="inlineStr">
        <is>
          <t>NUTS GALEÃO COMERCIO DE ALIMENTOS LTDA</t>
        </is>
      </c>
      <c r="F2016" s="30" t="inlineStr">
        <is>
          <t>2019</t>
        </is>
      </c>
      <c r="G2016" s="40" t="n">
        <v>0</v>
      </c>
    </row>
    <row r="2017" ht="12" customHeight="1">
      <c r="A2017" s="30" t="inlineStr">
        <is>
          <t>ITG</t>
        </is>
      </c>
      <c r="B2017" s="30" t="inlineStr">
        <is>
          <t>Itaguai</t>
        </is>
      </c>
      <c r="C2017" s="30" t="n">
        <v>11079962</v>
      </c>
      <c r="D2017" s="30">
        <f>"29735755000116"</f>
        <v/>
      </c>
      <c r="E2017" s="30" t="inlineStr">
        <is>
          <t>NUTS GALEÃO COMERCIO DE ALIMENTOS LTDA</t>
        </is>
      </c>
      <c r="F2017" s="30" t="inlineStr">
        <is>
          <t>2020</t>
        </is>
      </c>
      <c r="G2017" s="40" t="n">
        <v>0</v>
      </c>
    </row>
    <row r="2018" ht="12" customHeight="1">
      <c r="A2018" s="30" t="inlineStr">
        <is>
          <t>ITG</t>
        </is>
      </c>
      <c r="B2018" s="30" t="inlineStr">
        <is>
          <t>Itaguai</t>
        </is>
      </c>
      <c r="C2018" s="30" t="n">
        <v>11079962</v>
      </c>
      <c r="D2018" s="30">
        <f>"29735755000116"</f>
        <v/>
      </c>
      <c r="E2018" s="30" t="inlineStr">
        <is>
          <t>NUTS GALEÃO COMERCIO DE ALIMENTOS LTDA</t>
        </is>
      </c>
      <c r="F2018" s="30" t="inlineStr">
        <is>
          <t>2021</t>
        </is>
      </c>
      <c r="G2018" s="40" t="n">
        <v>13881.64</v>
      </c>
    </row>
    <row r="2019" ht="12" customHeight="1">
      <c r="A2019" s="30" t="inlineStr">
        <is>
          <t>ITG</t>
        </is>
      </c>
      <c r="B2019" s="30" t="inlineStr">
        <is>
          <t>Itaguai</t>
        </is>
      </c>
      <c r="C2019" s="30" t="n">
        <v>11079962</v>
      </c>
      <c r="D2019" s="30">
        <f>"29735755000116"</f>
        <v/>
      </c>
      <c r="E2019" s="30" t="inlineStr">
        <is>
          <t>NUTS GALEÃO COMERCIO DE ALIMENTOS LTDA</t>
        </is>
      </c>
      <c r="F2019" s="30" t="inlineStr">
        <is>
          <t>2022</t>
        </is>
      </c>
      <c r="G2019" s="40" t="n">
        <v>0</v>
      </c>
    </row>
    <row r="2020" ht="12" customHeight="1">
      <c r="A2020" s="30" t="inlineStr">
        <is>
          <t>ITG</t>
        </is>
      </c>
      <c r="B2020" s="30" t="inlineStr">
        <is>
          <t>Itaguai</t>
        </is>
      </c>
      <c r="C2020" s="30" t="n">
        <v>11079962</v>
      </c>
      <c r="D2020" s="30">
        <f>"29735755000116"</f>
        <v/>
      </c>
      <c r="E2020" s="30" t="inlineStr">
        <is>
          <t>NUTS GALEÃO COMERCIO DE ALIMENTOS LTDA</t>
        </is>
      </c>
      <c r="F2020" s="30" t="inlineStr">
        <is>
          <t>2023</t>
        </is>
      </c>
      <c r="G2020" s="40" t="n">
        <v>0</v>
      </c>
    </row>
    <row r="2021" ht="12" customHeight="1">
      <c r="A2021" s="30" t="inlineStr">
        <is>
          <t>ITG</t>
        </is>
      </c>
      <c r="B2021" s="30" t="inlineStr">
        <is>
          <t>Itaguai</t>
        </is>
      </c>
      <c r="C2021" s="30" t="n">
        <v>11081703</v>
      </c>
      <c r="D2021" s="30">
        <f>"14553130769"</f>
        <v/>
      </c>
      <c r="E2021" s="30" t="inlineStr">
        <is>
          <t>LUCAS LEMOS PAIVA DA SILVA</t>
        </is>
      </c>
      <c r="F2021" s="30" t="inlineStr">
        <is>
          <t>2017</t>
        </is>
      </c>
      <c r="G2021" s="40" t="n">
        <v>0</v>
      </c>
    </row>
    <row r="2022" ht="12" customHeight="1">
      <c r="A2022" s="30" t="inlineStr">
        <is>
          <t>ITG</t>
        </is>
      </c>
      <c r="B2022" s="30" t="inlineStr">
        <is>
          <t>Itaguai</t>
        </is>
      </c>
      <c r="C2022" s="30" t="n">
        <v>11081703</v>
      </c>
      <c r="D2022" s="30">
        <f>"14553130769"</f>
        <v/>
      </c>
      <c r="E2022" s="30" t="inlineStr">
        <is>
          <t>LUCAS LEMOS PAIVA DA SILVA</t>
        </is>
      </c>
      <c r="F2022" s="30" t="inlineStr">
        <is>
          <t>2018</t>
        </is>
      </c>
      <c r="G2022" s="40" t="n">
        <v>30174.07</v>
      </c>
    </row>
    <row r="2023" ht="12" customHeight="1">
      <c r="A2023" s="30" t="inlineStr">
        <is>
          <t>ITG</t>
        </is>
      </c>
      <c r="B2023" s="30" t="inlineStr">
        <is>
          <t>Itaguai</t>
        </is>
      </c>
      <c r="C2023" s="30" t="n">
        <v>11081703</v>
      </c>
      <c r="D2023" s="30">
        <f>"14553130769"</f>
        <v/>
      </c>
      <c r="E2023" s="30" t="inlineStr">
        <is>
          <t>LUCAS LEMOS PAIVA DA SILVA</t>
        </is>
      </c>
      <c r="F2023" s="30" t="inlineStr">
        <is>
          <t>2019</t>
        </is>
      </c>
      <c r="G2023" s="40" t="n">
        <v>0</v>
      </c>
    </row>
    <row r="2024" ht="12" customHeight="1">
      <c r="A2024" s="30" t="inlineStr">
        <is>
          <t>ITG</t>
        </is>
      </c>
      <c r="B2024" s="30" t="inlineStr">
        <is>
          <t>Itaguai</t>
        </is>
      </c>
      <c r="C2024" s="30" t="n">
        <v>11081703</v>
      </c>
      <c r="D2024" s="30">
        <f>"14553130769"</f>
        <v/>
      </c>
      <c r="E2024" s="30" t="inlineStr">
        <is>
          <t>LUCAS LEMOS PAIVA DA SILVA</t>
        </is>
      </c>
      <c r="F2024" s="30" t="inlineStr">
        <is>
          <t>2020</t>
        </is>
      </c>
      <c r="G2024" s="40" t="n">
        <v>0</v>
      </c>
    </row>
    <row r="2025" ht="12" customHeight="1">
      <c r="A2025" s="30" t="inlineStr">
        <is>
          <t>ITG</t>
        </is>
      </c>
      <c r="B2025" s="30" t="inlineStr">
        <is>
          <t>Itaguai</t>
        </is>
      </c>
      <c r="C2025" s="30" t="n">
        <v>11081703</v>
      </c>
      <c r="D2025" s="30">
        <f>"14553130769"</f>
        <v/>
      </c>
      <c r="E2025" s="30" t="inlineStr">
        <is>
          <t>LUCAS LEMOS PAIVA DA SILVA</t>
        </is>
      </c>
      <c r="F2025" s="30" t="inlineStr">
        <is>
          <t>2021</t>
        </is>
      </c>
      <c r="G2025" s="40" t="n">
        <v>0</v>
      </c>
    </row>
    <row r="2026" ht="12" customHeight="1">
      <c r="A2026" s="30" t="inlineStr">
        <is>
          <t>ITG</t>
        </is>
      </c>
      <c r="B2026" s="30" t="inlineStr">
        <is>
          <t>Itaguai</t>
        </is>
      </c>
      <c r="C2026" s="30" t="n">
        <v>11083986</v>
      </c>
      <c r="D2026" s="30">
        <f>"61495636004052"</f>
        <v/>
      </c>
      <c r="E2026" s="30" t="inlineStr">
        <is>
          <t>PINTURAS YPIRANGA LTDA</t>
        </is>
      </c>
      <c r="F2026" s="30" t="inlineStr">
        <is>
          <t>2017</t>
        </is>
      </c>
      <c r="G2026" s="40" t="n">
        <v>0</v>
      </c>
    </row>
    <row r="2027" ht="12" customHeight="1">
      <c r="A2027" s="30" t="inlineStr">
        <is>
          <t>ITG</t>
        </is>
      </c>
      <c r="B2027" s="30" t="inlineStr">
        <is>
          <t>Itaguai</t>
        </is>
      </c>
      <c r="C2027" s="30" t="n">
        <v>11083986</v>
      </c>
      <c r="D2027" s="30">
        <f>"61495636004052"</f>
        <v/>
      </c>
      <c r="E2027" s="30" t="inlineStr">
        <is>
          <t>PINTURAS YPIRANGA LTDA</t>
        </is>
      </c>
      <c r="F2027" s="30" t="inlineStr">
        <is>
          <t>2018</t>
        </is>
      </c>
      <c r="G2027" s="40" t="n">
        <v>0</v>
      </c>
    </row>
    <row r="2028" ht="12" customHeight="1">
      <c r="A2028" s="30" t="inlineStr">
        <is>
          <t>ITG</t>
        </is>
      </c>
      <c r="B2028" s="30" t="inlineStr">
        <is>
          <t>Itaguai</t>
        </is>
      </c>
      <c r="C2028" s="30" t="n">
        <v>11083986</v>
      </c>
      <c r="D2028" s="30">
        <f>"61495636004052"</f>
        <v/>
      </c>
      <c r="E2028" s="30" t="inlineStr">
        <is>
          <t>PINTURAS YPIRANGA LTDA</t>
        </is>
      </c>
      <c r="F2028" s="30" t="inlineStr">
        <is>
          <t>2019</t>
        </is>
      </c>
      <c r="G2028" s="40" t="n">
        <v>0</v>
      </c>
    </row>
    <row r="2029" ht="12" customHeight="1">
      <c r="A2029" s="30" t="inlineStr">
        <is>
          <t>ITG</t>
        </is>
      </c>
      <c r="B2029" s="30" t="inlineStr">
        <is>
          <t>Itaguai</t>
        </is>
      </c>
      <c r="C2029" s="30" t="n">
        <v>11083986</v>
      </c>
      <c r="D2029" s="30">
        <f>"61495636004052"</f>
        <v/>
      </c>
      <c r="E2029" s="30" t="inlineStr">
        <is>
          <t>PINTURAS YPIRANGA LTDA</t>
        </is>
      </c>
      <c r="F2029" s="30" t="inlineStr">
        <is>
          <t>2020</t>
        </is>
      </c>
      <c r="G2029" s="40" t="n">
        <v>0</v>
      </c>
    </row>
    <row r="2030" ht="12" customHeight="1">
      <c r="A2030" s="30" t="inlineStr">
        <is>
          <t>ITG</t>
        </is>
      </c>
      <c r="B2030" s="30" t="inlineStr">
        <is>
          <t>Itaguai</t>
        </is>
      </c>
      <c r="C2030" s="30" t="n">
        <v>11083986</v>
      </c>
      <c r="D2030" s="30">
        <f>"61495636004052"</f>
        <v/>
      </c>
      <c r="E2030" s="30" t="inlineStr">
        <is>
          <t>PINTURAS YPIRANGA LTDA</t>
        </is>
      </c>
      <c r="F2030" s="30" t="inlineStr">
        <is>
          <t>2021</t>
        </is>
      </c>
      <c r="G2030" s="40" t="n">
        <v>0</v>
      </c>
    </row>
    <row r="2031" ht="12" customHeight="1">
      <c r="A2031" s="30" t="inlineStr">
        <is>
          <t>ITG</t>
        </is>
      </c>
      <c r="B2031" s="30" t="inlineStr">
        <is>
          <t>Itaguai</t>
        </is>
      </c>
      <c r="C2031" s="30" t="n">
        <v>11084729</v>
      </c>
      <c r="D2031" s="30">
        <f>"21862093000133"</f>
        <v/>
      </c>
      <c r="E2031" s="30" t="inlineStr">
        <is>
          <t>3C RESTAURANTE, FAST-FOODS E COZINHA INDUSTRIAL LTDA</t>
        </is>
      </c>
      <c r="F2031" s="30" t="inlineStr">
        <is>
          <t>2021</t>
        </is>
      </c>
      <c r="G2031" s="40" t="n">
        <v>0</v>
      </c>
    </row>
    <row r="2032" ht="12" customHeight="1">
      <c r="A2032" s="30" t="inlineStr">
        <is>
          <t>ITG</t>
        </is>
      </c>
      <c r="B2032" s="30" t="inlineStr">
        <is>
          <t>Itaguai</t>
        </is>
      </c>
      <c r="C2032" s="30" t="n">
        <v>11084729</v>
      </c>
      <c r="D2032" s="30">
        <f>"21862093000133"</f>
        <v/>
      </c>
      <c r="E2032" s="30" t="inlineStr">
        <is>
          <t>3C RESTAURANTE, FAST-FOODS E COZINHA INDUSTRIAL LTDA</t>
        </is>
      </c>
      <c r="F2032" s="30" t="inlineStr">
        <is>
          <t>2022</t>
        </is>
      </c>
      <c r="G2032" s="40" t="n">
        <v>0</v>
      </c>
    </row>
    <row r="2033" ht="12" customHeight="1">
      <c r="A2033" s="30" t="inlineStr">
        <is>
          <t>ITG</t>
        </is>
      </c>
      <c r="B2033" s="30" t="inlineStr">
        <is>
          <t>Itaguai</t>
        </is>
      </c>
      <c r="C2033" s="30" t="n">
        <v>11084729</v>
      </c>
      <c r="D2033" s="30">
        <f>"21862093000133"</f>
        <v/>
      </c>
      <c r="E2033" s="30" t="inlineStr">
        <is>
          <t>3C RESTAURANTE, FAST-FOODS E COZINHA INDUSTRIAL LTDA</t>
        </is>
      </c>
      <c r="F2033" s="30" t="inlineStr">
        <is>
          <t>2023</t>
        </is>
      </c>
      <c r="G2033" s="40" t="n">
        <v>95</v>
      </c>
    </row>
    <row r="2034" ht="12" customHeight="1">
      <c r="A2034" s="30" t="inlineStr">
        <is>
          <t>ITG</t>
        </is>
      </c>
      <c r="B2034" s="30" t="inlineStr">
        <is>
          <t>Itaguai</t>
        </is>
      </c>
      <c r="C2034" s="30" t="n">
        <v>11089526</v>
      </c>
      <c r="D2034" s="30">
        <f>"29112742000190"</f>
        <v/>
      </c>
      <c r="E2034" s="30" t="inlineStr">
        <is>
          <t>TRANSPORTES GV RIO EIRELI</t>
        </is>
      </c>
      <c r="F2034" s="30" t="inlineStr">
        <is>
          <t>2021</t>
        </is>
      </c>
      <c r="G2034" s="40" t="n">
        <v>0</v>
      </c>
    </row>
    <row r="2035" ht="12" customHeight="1">
      <c r="A2035" s="30" t="inlineStr">
        <is>
          <t>ITG</t>
        </is>
      </c>
      <c r="B2035" s="30" t="inlineStr">
        <is>
          <t>Itaguai</t>
        </is>
      </c>
      <c r="C2035" s="30" t="n">
        <v>11089526</v>
      </c>
      <c r="D2035" s="30">
        <f>"29112742000190"</f>
        <v/>
      </c>
      <c r="E2035" s="30" t="inlineStr">
        <is>
          <t>TRANSPORTES GV RIO EIRELI</t>
        </is>
      </c>
      <c r="F2035" s="30" t="inlineStr">
        <is>
          <t>2022</t>
        </is>
      </c>
      <c r="G2035" s="40" t="n">
        <v>0</v>
      </c>
    </row>
    <row r="2036" ht="12" customHeight="1">
      <c r="A2036" s="30" t="inlineStr">
        <is>
          <t>ITG</t>
        </is>
      </c>
      <c r="B2036" s="30" t="inlineStr">
        <is>
          <t>Itaguai</t>
        </is>
      </c>
      <c r="C2036" s="30" t="n">
        <v>11089526</v>
      </c>
      <c r="D2036" s="30">
        <f>"29112742000190"</f>
        <v/>
      </c>
      <c r="E2036" s="30" t="inlineStr">
        <is>
          <t>TRANSPORTES GV RIO EIRELI</t>
        </is>
      </c>
      <c r="F2036" s="30" t="inlineStr">
        <is>
          <t>2023</t>
        </is>
      </c>
      <c r="G2036" s="40" t="n">
        <v>2480</v>
      </c>
    </row>
    <row r="2037" ht="12" customHeight="1">
      <c r="A2037" s="30" t="inlineStr">
        <is>
          <t>ITG</t>
        </is>
      </c>
      <c r="B2037" s="30" t="inlineStr">
        <is>
          <t>Itaguai</t>
        </is>
      </c>
      <c r="C2037" s="30" t="n">
        <v>11094082</v>
      </c>
      <c r="D2037" s="30">
        <f>"09464773000284"</f>
        <v/>
      </c>
      <c r="E2037" s="30" t="inlineStr">
        <is>
          <t>TRANSCIARDI TRANSPORTE DE CARGA E LOGISTICA LTDA</t>
        </is>
      </c>
      <c r="F2037" s="30" t="inlineStr">
        <is>
          <t>2019</t>
        </is>
      </c>
      <c r="G2037" s="40" t="n">
        <v>0</v>
      </c>
    </row>
    <row r="2038" ht="12" customHeight="1">
      <c r="A2038" s="30" t="inlineStr">
        <is>
          <t>ITG</t>
        </is>
      </c>
      <c r="B2038" s="30" t="inlineStr">
        <is>
          <t>Itaguai</t>
        </is>
      </c>
      <c r="C2038" s="30" t="n">
        <v>11094082</v>
      </c>
      <c r="D2038" s="30">
        <f>"09464773000284"</f>
        <v/>
      </c>
      <c r="E2038" s="30" t="inlineStr">
        <is>
          <t>TRANSCIARDI TRANSPORTE DE CARGA E LOGISTICA LTDA</t>
        </is>
      </c>
      <c r="F2038" s="30" t="inlineStr">
        <is>
          <t>2020</t>
        </is>
      </c>
      <c r="G2038" s="40" t="n">
        <v>0</v>
      </c>
    </row>
    <row r="2039" ht="12" customHeight="1">
      <c r="A2039" s="30" t="inlineStr">
        <is>
          <t>ITG</t>
        </is>
      </c>
      <c r="B2039" s="30" t="inlineStr">
        <is>
          <t>Itaguai</t>
        </is>
      </c>
      <c r="C2039" s="30" t="n">
        <v>11094082</v>
      </c>
      <c r="D2039" s="30">
        <f>"09464773000284"</f>
        <v/>
      </c>
      <c r="E2039" s="30" t="inlineStr">
        <is>
          <t>TRANSCIARDI TRANSPORTE DE CARGA E LOGISTICA LTDA</t>
        </is>
      </c>
      <c r="F2039" s="30" t="inlineStr">
        <is>
          <t>2021</t>
        </is>
      </c>
      <c r="G2039" s="40" t="n">
        <v>9650</v>
      </c>
    </row>
    <row r="2040" ht="12" customHeight="1">
      <c r="A2040" s="30" t="inlineStr">
        <is>
          <t>ITG</t>
        </is>
      </c>
      <c r="B2040" s="30" t="inlineStr">
        <is>
          <t>Itaguai</t>
        </is>
      </c>
      <c r="C2040" s="30" t="n">
        <v>11094082</v>
      </c>
      <c r="D2040" s="30">
        <f>"09464773000284"</f>
        <v/>
      </c>
      <c r="E2040" s="30" t="inlineStr">
        <is>
          <t>TRANSCIARDI TRANSPORTE DE CARGA E LOGISTICA LTDA</t>
        </is>
      </c>
      <c r="F2040" s="30" t="inlineStr">
        <is>
          <t>2022</t>
        </is>
      </c>
      <c r="G2040" s="40" t="n">
        <v>0</v>
      </c>
    </row>
    <row r="2041" ht="12" customHeight="1">
      <c r="A2041" s="30" t="inlineStr">
        <is>
          <t>ITG</t>
        </is>
      </c>
      <c r="B2041" s="30" t="inlineStr">
        <is>
          <t>Itaguai</t>
        </is>
      </c>
      <c r="C2041" s="30" t="n">
        <v>11094082</v>
      </c>
      <c r="D2041" s="30">
        <f>"09464773000284"</f>
        <v/>
      </c>
      <c r="E2041" s="30" t="inlineStr">
        <is>
          <t>TRANSCIARDI TRANSPORTE DE CARGA E LOGISTICA LTDA</t>
        </is>
      </c>
      <c r="F2041" s="30" t="inlineStr">
        <is>
          <t>2023</t>
        </is>
      </c>
      <c r="G2041" s="40" t="n">
        <v>0</v>
      </c>
    </row>
    <row r="2042" ht="12" customHeight="1">
      <c r="A2042" s="30" t="inlineStr">
        <is>
          <t>ITG</t>
        </is>
      </c>
      <c r="B2042" s="30" t="inlineStr">
        <is>
          <t>Itaguai</t>
        </is>
      </c>
      <c r="C2042" s="30" t="n">
        <v>11099920</v>
      </c>
      <c r="D2042" s="30">
        <f>"00603703780"</f>
        <v/>
      </c>
      <c r="E2042" s="30" t="inlineStr">
        <is>
          <t>ADRIANO DA SILVA VIEIRA</t>
        </is>
      </c>
      <c r="F2042" s="30" t="inlineStr">
        <is>
          <t>2019</t>
        </is>
      </c>
      <c r="G2042" s="40" t="n">
        <v>0</v>
      </c>
    </row>
    <row r="2043" ht="12" customHeight="1">
      <c r="A2043" s="30" t="inlineStr">
        <is>
          <t>ITG</t>
        </is>
      </c>
      <c r="B2043" s="30" t="inlineStr">
        <is>
          <t>Itaguai</t>
        </is>
      </c>
      <c r="C2043" s="30" t="n">
        <v>11099920</v>
      </c>
      <c r="D2043" s="30">
        <f>"00603703780"</f>
        <v/>
      </c>
      <c r="E2043" s="30" t="inlineStr">
        <is>
          <t>ADRIANO DA SILVA VIEIRA</t>
        </is>
      </c>
      <c r="F2043" s="30" t="inlineStr">
        <is>
          <t>2020</t>
        </is>
      </c>
      <c r="G2043" s="40" t="n">
        <v>0</v>
      </c>
    </row>
    <row r="2044" ht="12" customHeight="1">
      <c r="A2044" s="30" t="inlineStr">
        <is>
          <t>ITG</t>
        </is>
      </c>
      <c r="B2044" s="30" t="inlineStr">
        <is>
          <t>Itaguai</t>
        </is>
      </c>
      <c r="C2044" s="30" t="n">
        <v>11099920</v>
      </c>
      <c r="D2044" s="30">
        <f>"00603703780"</f>
        <v/>
      </c>
      <c r="E2044" s="30" t="inlineStr">
        <is>
          <t>ADRIANO DA SILVA VIEIRA</t>
        </is>
      </c>
      <c r="F2044" s="30" t="inlineStr">
        <is>
          <t>2021</t>
        </is>
      </c>
      <c r="G2044" s="40" t="n">
        <v>35243.63</v>
      </c>
    </row>
    <row r="2045" ht="12" customHeight="1">
      <c r="A2045" s="30" t="inlineStr">
        <is>
          <t>ITG</t>
        </is>
      </c>
      <c r="B2045" s="30" t="inlineStr">
        <is>
          <t>Itaguai</t>
        </is>
      </c>
      <c r="C2045" s="30" t="n">
        <v>11099920</v>
      </c>
      <c r="D2045" s="30">
        <f>"00603703780"</f>
        <v/>
      </c>
      <c r="E2045" s="30" t="inlineStr">
        <is>
          <t>ADRIANO DA SILVA VIEIRA</t>
        </is>
      </c>
      <c r="F2045" s="30" t="inlineStr">
        <is>
          <t>2022</t>
        </is>
      </c>
      <c r="G2045" s="40" t="n">
        <v>0</v>
      </c>
    </row>
    <row r="2046" ht="12" customHeight="1">
      <c r="A2046" s="30" t="inlineStr">
        <is>
          <t>ITG</t>
        </is>
      </c>
      <c r="B2046" s="30" t="inlineStr">
        <is>
          <t>Itaguai</t>
        </is>
      </c>
      <c r="C2046" s="30" t="n">
        <v>11099920</v>
      </c>
      <c r="D2046" s="30">
        <f>"00603703780"</f>
        <v/>
      </c>
      <c r="E2046" s="30" t="inlineStr">
        <is>
          <t>ADRIANO DA SILVA VIEIRA</t>
        </is>
      </c>
      <c r="F2046" s="30" t="inlineStr">
        <is>
          <t>2023</t>
        </is>
      </c>
      <c r="G2046" s="40" t="n">
        <v>0</v>
      </c>
    </row>
    <row r="2047" ht="12" customHeight="1">
      <c r="A2047" s="30" t="inlineStr">
        <is>
          <t>ITG</t>
        </is>
      </c>
      <c r="B2047" s="30" t="inlineStr">
        <is>
          <t>Itaguai</t>
        </is>
      </c>
      <c r="C2047" s="30" t="n">
        <v>11103022</v>
      </c>
      <c r="D2047" s="30">
        <f>"29981613000139"</f>
        <v/>
      </c>
      <c r="E2047" s="30" t="inlineStr">
        <is>
          <t>VITARE NAUTICA FIBRAS EIRELI</t>
        </is>
      </c>
      <c r="F2047" s="30" t="inlineStr">
        <is>
          <t>2018</t>
        </is>
      </c>
      <c r="G2047" s="40" t="n">
        <v>0</v>
      </c>
    </row>
    <row r="2048" ht="12" customHeight="1">
      <c r="A2048" s="30" t="inlineStr">
        <is>
          <t>ITG</t>
        </is>
      </c>
      <c r="B2048" s="30" t="inlineStr">
        <is>
          <t>Itaguai</t>
        </is>
      </c>
      <c r="C2048" s="30" t="n">
        <v>11103022</v>
      </c>
      <c r="D2048" s="30">
        <f>"29981613000139"</f>
        <v/>
      </c>
      <c r="E2048" s="30" t="inlineStr">
        <is>
          <t>VITARE NAUTICA FIBRAS EIRELI</t>
        </is>
      </c>
      <c r="F2048" s="30" t="inlineStr">
        <is>
          <t>2019</t>
        </is>
      </c>
      <c r="G2048" s="40" t="n">
        <v>0</v>
      </c>
    </row>
    <row r="2049" ht="12" customHeight="1">
      <c r="A2049" s="30" t="inlineStr">
        <is>
          <t>ITG</t>
        </is>
      </c>
      <c r="B2049" s="30" t="inlineStr">
        <is>
          <t>Itaguai</t>
        </is>
      </c>
      <c r="C2049" s="30" t="n">
        <v>11103022</v>
      </c>
      <c r="D2049" s="30">
        <f>"29981613000139"</f>
        <v/>
      </c>
      <c r="E2049" s="30" t="inlineStr">
        <is>
          <t>VITARE NAUTICA FIBRAS EIRELI</t>
        </is>
      </c>
      <c r="F2049" s="30" t="inlineStr">
        <is>
          <t>2020</t>
        </is>
      </c>
      <c r="G2049" s="40" t="n">
        <v>0</v>
      </c>
    </row>
    <row r="2050" ht="12" customHeight="1">
      <c r="A2050" s="30" t="inlineStr">
        <is>
          <t>ITG</t>
        </is>
      </c>
      <c r="B2050" s="30" t="inlineStr">
        <is>
          <t>Itaguai</t>
        </is>
      </c>
      <c r="C2050" s="30" t="n">
        <v>11103022</v>
      </c>
      <c r="D2050" s="30">
        <f>"29981613000139"</f>
        <v/>
      </c>
      <c r="E2050" s="30" t="inlineStr">
        <is>
          <t>VITARE NAUTICA FIBRAS EIRELI</t>
        </is>
      </c>
      <c r="F2050" s="30" t="inlineStr">
        <is>
          <t>2021</t>
        </is>
      </c>
      <c r="G2050" s="40" t="n">
        <v>0</v>
      </c>
    </row>
    <row r="2051" ht="12" customHeight="1">
      <c r="A2051" s="30" t="inlineStr">
        <is>
          <t>ITG</t>
        </is>
      </c>
      <c r="B2051" s="30" t="inlineStr">
        <is>
          <t>Itaguai</t>
        </is>
      </c>
      <c r="C2051" s="30" t="n">
        <v>11103022</v>
      </c>
      <c r="D2051" s="30">
        <f>"29981613000139"</f>
        <v/>
      </c>
      <c r="E2051" s="30" t="inlineStr">
        <is>
          <t>VITARE NAUTICA FIBRAS EIRELI</t>
        </is>
      </c>
      <c r="F2051" s="30" t="inlineStr">
        <is>
          <t>2022</t>
        </is>
      </c>
      <c r="G2051" s="40" t="n">
        <v>0</v>
      </c>
    </row>
    <row r="2052" ht="12" customHeight="1">
      <c r="A2052" s="30" t="inlineStr">
        <is>
          <t>ITG</t>
        </is>
      </c>
      <c r="B2052" s="30" t="inlineStr">
        <is>
          <t>Itaguai</t>
        </is>
      </c>
      <c r="C2052" s="30" t="n">
        <v>11110428</v>
      </c>
      <c r="D2052" s="30">
        <f>"18109232000300"</f>
        <v/>
      </c>
      <c r="E2052" s="30" t="inlineStr">
        <is>
          <t>B &amp; T TRANSPORTE E LOGISTICA LTDA</t>
        </is>
      </c>
      <c r="F2052" s="30" t="inlineStr">
        <is>
          <t>2017</t>
        </is>
      </c>
      <c r="G2052" s="40" t="n">
        <v>0</v>
      </c>
    </row>
    <row r="2053" ht="12" customHeight="1">
      <c r="A2053" s="30" t="inlineStr">
        <is>
          <t>ITG</t>
        </is>
      </c>
      <c r="B2053" s="30" t="inlineStr">
        <is>
          <t>Itaguai</t>
        </is>
      </c>
      <c r="C2053" s="30" t="n">
        <v>11110428</v>
      </c>
      <c r="D2053" s="30">
        <f>"18109232000300"</f>
        <v/>
      </c>
      <c r="E2053" s="30" t="inlineStr">
        <is>
          <t>B &amp; T TRANSPORTE E LOGISTICA LTDA</t>
        </is>
      </c>
      <c r="F2053" s="30" t="inlineStr">
        <is>
          <t>2018</t>
        </is>
      </c>
      <c r="G2053" s="40" t="n">
        <v>1545141.95</v>
      </c>
    </row>
    <row r="2054" ht="12" customHeight="1">
      <c r="A2054" s="30" t="inlineStr">
        <is>
          <t>ITG</t>
        </is>
      </c>
      <c r="B2054" s="30" t="inlineStr">
        <is>
          <t>Itaguai</t>
        </is>
      </c>
      <c r="C2054" s="30" t="n">
        <v>11110428</v>
      </c>
      <c r="D2054" s="30">
        <f>"18109232000300"</f>
        <v/>
      </c>
      <c r="E2054" s="30" t="inlineStr">
        <is>
          <t>B &amp; T TRANSPORTE E LOGISTICA LTDA</t>
        </is>
      </c>
      <c r="F2054" s="30" t="inlineStr">
        <is>
          <t>2019</t>
        </is>
      </c>
      <c r="G2054" s="40" t="n">
        <v>0</v>
      </c>
    </row>
    <row r="2055" ht="12" customHeight="1">
      <c r="A2055" s="30" t="inlineStr">
        <is>
          <t>ITG</t>
        </is>
      </c>
      <c r="B2055" s="30" t="inlineStr">
        <is>
          <t>Itaguai</t>
        </is>
      </c>
      <c r="C2055" s="30" t="n">
        <v>11110428</v>
      </c>
      <c r="D2055" s="30">
        <f>"18109232000300"</f>
        <v/>
      </c>
      <c r="E2055" s="30" t="inlineStr">
        <is>
          <t>B &amp; T TRANSPORTE E LOGISTICA LTDA</t>
        </is>
      </c>
      <c r="F2055" s="30" t="inlineStr">
        <is>
          <t>2020</t>
        </is>
      </c>
      <c r="G2055" s="40" t="n">
        <v>0</v>
      </c>
    </row>
    <row r="2056" ht="12" customHeight="1">
      <c r="A2056" s="30" t="inlineStr">
        <is>
          <t>ITG</t>
        </is>
      </c>
      <c r="B2056" s="30" t="inlineStr">
        <is>
          <t>Itaguai</t>
        </is>
      </c>
      <c r="C2056" s="30" t="n">
        <v>11110428</v>
      </c>
      <c r="D2056" s="30">
        <f>"18109232000300"</f>
        <v/>
      </c>
      <c r="E2056" s="30" t="inlineStr">
        <is>
          <t>B &amp; T TRANSPORTE E LOGISTICA LTDA</t>
        </is>
      </c>
      <c r="F2056" s="30" t="inlineStr">
        <is>
          <t>2021</t>
        </is>
      </c>
      <c r="G2056" s="40" t="n">
        <v>0</v>
      </c>
    </row>
    <row r="2057" ht="12" customHeight="1">
      <c r="A2057" s="30" t="inlineStr">
        <is>
          <t>ITG</t>
        </is>
      </c>
      <c r="B2057" s="30" t="inlineStr">
        <is>
          <t>Itaguai</t>
        </is>
      </c>
      <c r="C2057" s="30" t="n">
        <v>11110428</v>
      </c>
      <c r="D2057" s="30">
        <f>"18109232000300"</f>
        <v/>
      </c>
      <c r="E2057" s="30" t="inlineStr">
        <is>
          <t>B &amp; T TRANSPORTE E LOGISTICA LTDA</t>
        </is>
      </c>
      <c r="F2057" s="30" t="inlineStr">
        <is>
          <t>2022</t>
        </is>
      </c>
      <c r="G2057" s="40" t="n">
        <v>5331993.61</v>
      </c>
    </row>
    <row r="2058" ht="12" customHeight="1">
      <c r="A2058" s="30" t="inlineStr">
        <is>
          <t>ITG</t>
        </is>
      </c>
      <c r="B2058" s="30" t="inlineStr">
        <is>
          <t>Itaguai</t>
        </is>
      </c>
      <c r="C2058" s="30" t="n">
        <v>11110428</v>
      </c>
      <c r="D2058" s="30">
        <f>"18109232000300"</f>
        <v/>
      </c>
      <c r="E2058" s="30" t="inlineStr">
        <is>
          <t>B &amp; T TRANSPORTE E LOGISTICA LTDA</t>
        </is>
      </c>
      <c r="F2058" s="30" t="inlineStr">
        <is>
          <t>2023</t>
        </is>
      </c>
      <c r="G2058" s="40" t="n">
        <v>5923527.69</v>
      </c>
    </row>
    <row r="2059" ht="12" customHeight="1">
      <c r="A2059" s="30" t="inlineStr">
        <is>
          <t>ITG</t>
        </is>
      </c>
      <c r="B2059" s="30" t="inlineStr">
        <is>
          <t>Itaguai</t>
        </is>
      </c>
      <c r="C2059" s="30" t="n">
        <v>11113206</v>
      </c>
      <c r="D2059" s="30">
        <f>"00972696001190"</f>
        <v/>
      </c>
      <c r="E2059" s="30" t="inlineStr">
        <is>
          <t>V M RAMOS &amp; CIA LTDA</t>
        </is>
      </c>
      <c r="F2059" s="30" t="inlineStr">
        <is>
          <t>2019</t>
        </is>
      </c>
      <c r="G2059" s="40" t="n">
        <v>0</v>
      </c>
    </row>
    <row r="2060" ht="12" customHeight="1">
      <c r="A2060" s="30" t="inlineStr">
        <is>
          <t>ITG</t>
        </is>
      </c>
      <c r="B2060" s="30" t="inlineStr">
        <is>
          <t>Itaguai</t>
        </is>
      </c>
      <c r="C2060" s="30" t="n">
        <v>11113206</v>
      </c>
      <c r="D2060" s="30">
        <f>"00972696001190"</f>
        <v/>
      </c>
      <c r="E2060" s="30" t="inlineStr">
        <is>
          <t>V M RAMOS &amp; CIA LTDA</t>
        </is>
      </c>
      <c r="F2060" s="30" t="inlineStr">
        <is>
          <t>2020</t>
        </is>
      </c>
      <c r="G2060" s="40" t="n">
        <v>0</v>
      </c>
    </row>
    <row r="2061" ht="12" customHeight="1">
      <c r="A2061" s="30" t="inlineStr">
        <is>
          <t>ITG</t>
        </is>
      </c>
      <c r="B2061" s="30" t="inlineStr">
        <is>
          <t>Itaguai</t>
        </is>
      </c>
      <c r="C2061" s="30" t="n">
        <v>11113206</v>
      </c>
      <c r="D2061" s="30">
        <f>"00972696001190"</f>
        <v/>
      </c>
      <c r="E2061" s="30" t="inlineStr">
        <is>
          <t>V M RAMOS &amp; CIA LTDA</t>
        </is>
      </c>
      <c r="F2061" s="30" t="inlineStr">
        <is>
          <t>2021</t>
        </is>
      </c>
      <c r="G2061" s="40" t="n">
        <v>298.38</v>
      </c>
    </row>
    <row r="2062" ht="12" customHeight="1">
      <c r="A2062" s="30" t="inlineStr">
        <is>
          <t>ITG</t>
        </is>
      </c>
      <c r="B2062" s="30" t="inlineStr">
        <is>
          <t>Itaguai</t>
        </is>
      </c>
      <c r="C2062" s="30" t="n">
        <v>11113206</v>
      </c>
      <c r="D2062" s="30">
        <f>"00972696001190"</f>
        <v/>
      </c>
      <c r="E2062" s="30" t="inlineStr">
        <is>
          <t>V M RAMOS &amp; CIA LTDA</t>
        </is>
      </c>
      <c r="F2062" s="30" t="inlineStr">
        <is>
          <t>2022</t>
        </is>
      </c>
      <c r="G2062" s="40" t="n">
        <v>0</v>
      </c>
    </row>
    <row r="2063" ht="12" customHeight="1">
      <c r="A2063" s="30" t="inlineStr">
        <is>
          <t>ITG</t>
        </is>
      </c>
      <c r="B2063" s="30" t="inlineStr">
        <is>
          <t>Itaguai</t>
        </is>
      </c>
      <c r="C2063" s="30" t="n">
        <v>11113206</v>
      </c>
      <c r="D2063" s="30">
        <f>"00972696001190"</f>
        <v/>
      </c>
      <c r="E2063" s="30" t="inlineStr">
        <is>
          <t>V M RAMOS &amp; CIA LTDA</t>
        </is>
      </c>
      <c r="F2063" s="30" t="inlineStr">
        <is>
          <t>2023</t>
        </is>
      </c>
      <c r="G2063" s="40" t="n">
        <v>0</v>
      </c>
    </row>
    <row r="2064" ht="12" customHeight="1">
      <c r="A2064" s="30" t="inlineStr">
        <is>
          <t>ITG</t>
        </is>
      </c>
      <c r="B2064" s="30" t="inlineStr">
        <is>
          <t>Itaguai</t>
        </is>
      </c>
      <c r="C2064" s="30" t="n">
        <v>11123961</v>
      </c>
      <c r="D2064" s="30">
        <f>"00233065003879"</f>
        <v/>
      </c>
      <c r="E2064" s="30" t="inlineStr">
        <is>
          <t>UNIDOCK"S ASSESSORIA E LOGISTICA DE MATERIAIS LTDA</t>
        </is>
      </c>
      <c r="F2064" s="30" t="inlineStr">
        <is>
          <t>2017</t>
        </is>
      </c>
      <c r="G2064" s="40" t="n">
        <v>0</v>
      </c>
    </row>
    <row r="2065" ht="12" customHeight="1">
      <c r="A2065" s="30" t="inlineStr">
        <is>
          <t>ITG</t>
        </is>
      </c>
      <c r="B2065" s="30" t="inlineStr">
        <is>
          <t>Itaguai</t>
        </is>
      </c>
      <c r="C2065" s="30" t="n">
        <v>11123961</v>
      </c>
      <c r="D2065" s="30">
        <f>"00233065003879"</f>
        <v/>
      </c>
      <c r="E2065" s="30" t="inlineStr">
        <is>
          <t>UNIDOCK"S ASSESSORIA E LOGISTICA DE MATERIAIS LTDA</t>
        </is>
      </c>
      <c r="F2065" s="30" t="inlineStr">
        <is>
          <t>2018</t>
        </is>
      </c>
      <c r="G2065" s="40" t="n">
        <v>335.83</v>
      </c>
    </row>
    <row r="2066" ht="12" customHeight="1">
      <c r="A2066" s="30" t="inlineStr">
        <is>
          <t>ITG</t>
        </is>
      </c>
      <c r="B2066" s="30" t="inlineStr">
        <is>
          <t>Itaguai</t>
        </is>
      </c>
      <c r="C2066" s="30" t="n">
        <v>11123961</v>
      </c>
      <c r="D2066" s="30">
        <f>"00233065003879"</f>
        <v/>
      </c>
      <c r="E2066" s="30" t="inlineStr">
        <is>
          <t>UNIDOCK"S ASSESSORIA E LOGISTICA DE MATERIAIS LTDA</t>
        </is>
      </c>
      <c r="F2066" s="30" t="inlineStr">
        <is>
          <t>2019</t>
        </is>
      </c>
      <c r="G2066" s="40" t="n">
        <v>1388.9</v>
      </c>
    </row>
    <row r="2067" ht="12" customHeight="1">
      <c r="A2067" s="30" t="inlineStr">
        <is>
          <t>ITG</t>
        </is>
      </c>
      <c r="B2067" s="30" t="inlineStr">
        <is>
          <t>Itaguai</t>
        </is>
      </c>
      <c r="C2067" s="30" t="n">
        <v>11123961</v>
      </c>
      <c r="D2067" s="30">
        <f>"00233065003879"</f>
        <v/>
      </c>
      <c r="E2067" s="30" t="inlineStr">
        <is>
          <t>UNIDOCK"S ASSESSORIA E LOGISTICA DE MATERIAIS LTDA</t>
        </is>
      </c>
      <c r="F2067" s="30" t="inlineStr">
        <is>
          <t>2020</t>
        </is>
      </c>
      <c r="G2067" s="40" t="n">
        <v>366.25</v>
      </c>
    </row>
    <row r="2068" ht="12" customHeight="1">
      <c r="A2068" s="30" t="inlineStr">
        <is>
          <t>ITG</t>
        </is>
      </c>
      <c r="B2068" s="30" t="inlineStr">
        <is>
          <t>Itaguai</t>
        </is>
      </c>
      <c r="C2068" s="30" t="n">
        <v>11123961</v>
      </c>
      <c r="D2068" s="30">
        <f>"00233065003879"</f>
        <v/>
      </c>
      <c r="E2068" s="30" t="inlineStr">
        <is>
          <t>UNIDOCK"S ASSESSORIA E LOGISTICA DE MATERIAIS LTDA</t>
        </is>
      </c>
      <c r="F2068" s="30" t="inlineStr">
        <is>
          <t>2021</t>
        </is>
      </c>
      <c r="G2068" s="40" t="n">
        <v>1617.46</v>
      </c>
    </row>
    <row r="2069" ht="12" customHeight="1">
      <c r="A2069" s="30" t="inlineStr">
        <is>
          <t>ITG</t>
        </is>
      </c>
      <c r="B2069" s="30" t="inlineStr">
        <is>
          <t>Itaguai</t>
        </is>
      </c>
      <c r="C2069" s="30" t="n">
        <v>11123961</v>
      </c>
      <c r="D2069" s="30">
        <f>"00233065003879"</f>
        <v/>
      </c>
      <c r="E2069" s="30" t="inlineStr">
        <is>
          <t>UNIDOCK"S ASSESSORIA E LOGISTICA DE MATERIAIS LTDA</t>
        </is>
      </c>
      <c r="F2069" s="30" t="inlineStr">
        <is>
          <t>2022</t>
        </is>
      </c>
      <c r="G2069" s="40" t="n">
        <v>10929.55</v>
      </c>
    </row>
    <row r="2070" ht="12" customHeight="1">
      <c r="A2070" s="30" t="inlineStr">
        <is>
          <t>ITG</t>
        </is>
      </c>
      <c r="B2070" s="30" t="inlineStr">
        <is>
          <t>Itaguai</t>
        </is>
      </c>
      <c r="C2070" s="30" t="n">
        <v>11123961</v>
      </c>
      <c r="D2070" s="30">
        <f>"00233065003879"</f>
        <v/>
      </c>
      <c r="E2070" s="30" t="inlineStr">
        <is>
          <t>UNIDOCK"S ASSESSORIA E LOGISTICA DE MATERIAIS LTDA</t>
        </is>
      </c>
      <c r="F2070" s="30" t="inlineStr">
        <is>
          <t>2023</t>
        </is>
      </c>
      <c r="G2070" s="40" t="n">
        <v>7170.74</v>
      </c>
    </row>
    <row r="2071" ht="12" customHeight="1">
      <c r="A2071" s="30" t="inlineStr">
        <is>
          <t>ITG</t>
        </is>
      </c>
      <c r="B2071" s="30" t="inlineStr">
        <is>
          <t>Itaguai</t>
        </is>
      </c>
      <c r="C2071" s="30" t="n">
        <v>11126324</v>
      </c>
      <c r="D2071" s="30">
        <f>"30232982000108"</f>
        <v/>
      </c>
      <c r="E2071" s="30" t="inlineStr">
        <is>
          <t>CROSSTIME SOLUÇÕES LOGISTICA LTDA</t>
        </is>
      </c>
      <c r="F2071" s="30" t="inlineStr">
        <is>
          <t>2020</t>
        </is>
      </c>
      <c r="G2071" s="40" t="n">
        <v>0</v>
      </c>
    </row>
    <row r="2072" ht="12" customHeight="1">
      <c r="A2072" s="30" t="inlineStr">
        <is>
          <t>ITG</t>
        </is>
      </c>
      <c r="B2072" s="30" t="inlineStr">
        <is>
          <t>Itaguai</t>
        </is>
      </c>
      <c r="C2072" s="30" t="n">
        <v>11126324</v>
      </c>
      <c r="D2072" s="30">
        <f>"30232982000108"</f>
        <v/>
      </c>
      <c r="E2072" s="30" t="inlineStr">
        <is>
          <t>CROSSTIME SOLUÇÕES LOGISTICA LTDA</t>
        </is>
      </c>
      <c r="F2072" s="30" t="inlineStr">
        <is>
          <t>2021</t>
        </is>
      </c>
      <c r="G2072" s="40" t="n">
        <v>0</v>
      </c>
    </row>
    <row r="2073" ht="12" customHeight="1">
      <c r="A2073" s="30" t="inlineStr">
        <is>
          <t>ITG</t>
        </is>
      </c>
      <c r="B2073" s="30" t="inlineStr">
        <is>
          <t>Itaguai</t>
        </is>
      </c>
      <c r="C2073" s="30" t="n">
        <v>11126324</v>
      </c>
      <c r="D2073" s="30">
        <f>"30232982000108"</f>
        <v/>
      </c>
      <c r="E2073" s="30" t="inlineStr">
        <is>
          <t>CROSSTIME SOLUÇÕES LOGISTICA LTDA</t>
        </is>
      </c>
      <c r="F2073" s="30" t="inlineStr">
        <is>
          <t>2022</t>
        </is>
      </c>
      <c r="G2073" s="40" t="n">
        <v>900.05</v>
      </c>
    </row>
    <row r="2074" ht="12" customHeight="1">
      <c r="A2074" s="30" t="inlineStr">
        <is>
          <t>ITG</t>
        </is>
      </c>
      <c r="B2074" s="30" t="inlineStr">
        <is>
          <t>Itaguai</t>
        </is>
      </c>
      <c r="C2074" s="30" t="n">
        <v>11126324</v>
      </c>
      <c r="D2074" s="30">
        <f>"30232982000108"</f>
        <v/>
      </c>
      <c r="E2074" s="30" t="inlineStr">
        <is>
          <t>CROSSTIME SOLUÇÕES LOGISTICA LTDA</t>
        </is>
      </c>
      <c r="F2074" s="30" t="inlineStr">
        <is>
          <t>2023</t>
        </is>
      </c>
      <c r="G2074" s="40" t="n">
        <v>0</v>
      </c>
    </row>
    <row r="2075" ht="12" customHeight="1">
      <c r="A2075" s="30" t="inlineStr">
        <is>
          <t>ITG</t>
        </is>
      </c>
      <c r="B2075" s="30" t="inlineStr">
        <is>
          <t>Itaguai</t>
        </is>
      </c>
      <c r="C2075" s="30" t="n">
        <v>11132219</v>
      </c>
      <c r="D2075" s="30">
        <f>"30308329000185"</f>
        <v/>
      </c>
      <c r="E2075" s="30" t="inlineStr">
        <is>
          <t>TLOG RJ TRANSPORTADORA DE CARGAS LTDA</t>
        </is>
      </c>
      <c r="F2075" s="30" t="inlineStr">
        <is>
          <t>2018</t>
        </is>
      </c>
      <c r="G2075" s="40" t="n">
        <v>0</v>
      </c>
    </row>
    <row r="2076" ht="12" customHeight="1">
      <c r="A2076" s="30" t="inlineStr">
        <is>
          <t>ITG</t>
        </is>
      </c>
      <c r="B2076" s="30" t="inlineStr">
        <is>
          <t>Itaguai</t>
        </is>
      </c>
      <c r="C2076" s="30" t="n">
        <v>11132219</v>
      </c>
      <c r="D2076" s="30">
        <f>"30308329000185"</f>
        <v/>
      </c>
      <c r="E2076" s="30" t="inlineStr">
        <is>
          <t>TLOG RJ TRANSPORTADORA DE CARGAS LTDA</t>
        </is>
      </c>
      <c r="F2076" s="30" t="inlineStr">
        <is>
          <t>2019</t>
        </is>
      </c>
      <c r="G2076" s="40" t="n">
        <v>0</v>
      </c>
    </row>
    <row r="2077" ht="12" customHeight="1">
      <c r="A2077" s="30" t="inlineStr">
        <is>
          <t>ITG</t>
        </is>
      </c>
      <c r="B2077" s="30" t="inlineStr">
        <is>
          <t>Itaguai</t>
        </is>
      </c>
      <c r="C2077" s="30" t="n">
        <v>11132219</v>
      </c>
      <c r="D2077" s="30">
        <f>"30308329000185"</f>
        <v/>
      </c>
      <c r="E2077" s="30" t="inlineStr">
        <is>
          <t>TLOG RJ TRANSPORTADORA DE CARGAS LTDA</t>
        </is>
      </c>
      <c r="F2077" s="30" t="inlineStr">
        <is>
          <t>2020</t>
        </is>
      </c>
      <c r="G2077" s="40" t="n">
        <v>26301.29</v>
      </c>
    </row>
    <row r="2078" ht="12" customHeight="1">
      <c r="A2078" s="30" t="inlineStr">
        <is>
          <t>ITG</t>
        </is>
      </c>
      <c r="B2078" s="30" t="inlineStr">
        <is>
          <t>Itaguai</t>
        </is>
      </c>
      <c r="C2078" s="30" t="n">
        <v>11132219</v>
      </c>
      <c r="D2078" s="30">
        <f>"30308329000185"</f>
        <v/>
      </c>
      <c r="E2078" s="30" t="inlineStr">
        <is>
          <t>TLOG RJ TRANSPORTADORA DE CARGAS LTDA</t>
        </is>
      </c>
      <c r="F2078" s="30" t="inlineStr">
        <is>
          <t>2021</t>
        </is>
      </c>
      <c r="G2078" s="40" t="n">
        <v>0</v>
      </c>
    </row>
    <row r="2079" ht="12" customHeight="1">
      <c r="A2079" s="30" t="inlineStr">
        <is>
          <t>ITG</t>
        </is>
      </c>
      <c r="B2079" s="30" t="inlineStr">
        <is>
          <t>Itaguai</t>
        </is>
      </c>
      <c r="C2079" s="30" t="n">
        <v>11132219</v>
      </c>
      <c r="D2079" s="30">
        <f>"30308329000185"</f>
        <v/>
      </c>
      <c r="E2079" s="30" t="inlineStr">
        <is>
          <t>TLOG RJ TRANSPORTADORA DE CARGAS LTDA</t>
        </is>
      </c>
      <c r="F2079" s="30" t="inlineStr">
        <is>
          <t>2022</t>
        </is>
      </c>
      <c r="G2079" s="40" t="n">
        <v>0</v>
      </c>
    </row>
    <row r="2080" ht="12" customHeight="1">
      <c r="A2080" s="30" t="inlineStr">
        <is>
          <t>ITG</t>
        </is>
      </c>
      <c r="B2080" s="30" t="inlineStr">
        <is>
          <t>Itaguai</t>
        </is>
      </c>
      <c r="C2080" s="30" t="n">
        <v>11137270</v>
      </c>
      <c r="D2080" s="30">
        <f>"06094474000800"</f>
        <v/>
      </c>
      <c r="E2080" s="30" t="inlineStr">
        <is>
          <t>IRMAOS SANTOS CAVALCANTI SERVICOS E COMERCIO LTDA</t>
        </is>
      </c>
      <c r="F2080" s="30" t="inlineStr">
        <is>
          <t>2018</t>
        </is>
      </c>
      <c r="G2080" s="40" t="n">
        <v>0</v>
      </c>
    </row>
    <row r="2081" ht="12" customHeight="1">
      <c r="A2081" s="30" t="inlineStr">
        <is>
          <t>ITG</t>
        </is>
      </c>
      <c r="B2081" s="30" t="inlineStr">
        <is>
          <t>Itaguai</t>
        </is>
      </c>
      <c r="C2081" s="30" t="n">
        <v>11137270</v>
      </c>
      <c r="D2081" s="30">
        <f>"06094474000800"</f>
        <v/>
      </c>
      <c r="E2081" s="30" t="inlineStr">
        <is>
          <t>IRMAOS SANTOS CAVALCANTI SERVICOS E COMERCIO LTDA</t>
        </is>
      </c>
      <c r="F2081" s="30" t="inlineStr">
        <is>
          <t>2019</t>
        </is>
      </c>
      <c r="G2081" s="40" t="n">
        <v>0</v>
      </c>
    </row>
    <row r="2082" ht="12" customHeight="1">
      <c r="A2082" s="30" t="inlineStr">
        <is>
          <t>ITG</t>
        </is>
      </c>
      <c r="B2082" s="30" t="inlineStr">
        <is>
          <t>Itaguai</t>
        </is>
      </c>
      <c r="C2082" s="30" t="n">
        <v>11137270</v>
      </c>
      <c r="D2082" s="30">
        <f>"06094474000800"</f>
        <v/>
      </c>
      <c r="E2082" s="30" t="inlineStr">
        <is>
          <t>IRMAOS SANTOS CAVALCANTI SERVICOS E COMERCIO LTDA</t>
        </is>
      </c>
      <c r="F2082" s="30" t="inlineStr">
        <is>
          <t>2020</t>
        </is>
      </c>
      <c r="G2082" s="40" t="n">
        <v>0</v>
      </c>
    </row>
    <row r="2083" ht="12" customHeight="1">
      <c r="A2083" s="30" t="inlineStr">
        <is>
          <t>ITG</t>
        </is>
      </c>
      <c r="B2083" s="30" t="inlineStr">
        <is>
          <t>Itaguai</t>
        </is>
      </c>
      <c r="C2083" s="30" t="n">
        <v>11137270</v>
      </c>
      <c r="D2083" s="30">
        <f>"06094474000800"</f>
        <v/>
      </c>
      <c r="E2083" s="30" t="inlineStr">
        <is>
          <t>IRMAOS SANTOS CAVALCANTI SERVICOS E COMERCIO LTDA</t>
        </is>
      </c>
      <c r="F2083" s="30" t="inlineStr">
        <is>
          <t>2021</t>
        </is>
      </c>
      <c r="G2083" s="40" t="n">
        <v>0</v>
      </c>
    </row>
    <row r="2084" ht="12" customHeight="1">
      <c r="A2084" s="30" t="inlineStr">
        <is>
          <t>ITG</t>
        </is>
      </c>
      <c r="B2084" s="30" t="inlineStr">
        <is>
          <t>Itaguai</t>
        </is>
      </c>
      <c r="C2084" s="30" t="n">
        <v>11137270</v>
      </c>
      <c r="D2084" s="30">
        <f>"06094474000800"</f>
        <v/>
      </c>
      <c r="E2084" s="30" t="inlineStr">
        <is>
          <t>IRMAOS SANTOS CAVALCANTI SERVICOS E COMERCIO LTDA</t>
        </is>
      </c>
      <c r="F2084" s="30" t="inlineStr">
        <is>
          <t>2022</t>
        </is>
      </c>
      <c r="G2084" s="40" t="n">
        <v>0</v>
      </c>
    </row>
    <row r="2085" ht="12" customHeight="1">
      <c r="A2085" s="30" t="inlineStr">
        <is>
          <t>ITG</t>
        </is>
      </c>
      <c r="B2085" s="30" t="inlineStr">
        <is>
          <t>Itaguai</t>
        </is>
      </c>
      <c r="C2085" s="30" t="n">
        <v>11137512</v>
      </c>
      <c r="D2085" s="30">
        <f>"23847090000156"</f>
        <v/>
      </c>
      <c r="E2085" s="30" t="inlineStr">
        <is>
          <t>C C R DOMINGOS RESTAURANTE</t>
        </is>
      </c>
      <c r="F2085" s="30" t="inlineStr">
        <is>
          <t>2021</t>
        </is>
      </c>
      <c r="G2085" s="40" t="n">
        <v>0</v>
      </c>
    </row>
    <row r="2086" ht="12" customHeight="1">
      <c r="A2086" s="30" t="inlineStr">
        <is>
          <t>ITG</t>
        </is>
      </c>
      <c r="B2086" s="30" t="inlineStr">
        <is>
          <t>Itaguai</t>
        </is>
      </c>
      <c r="C2086" s="30" t="n">
        <v>11137512</v>
      </c>
      <c r="D2086" s="30">
        <f>"23847090000156"</f>
        <v/>
      </c>
      <c r="E2086" s="30" t="inlineStr">
        <is>
          <t>C C R DOMINGOS RESTAURANTE</t>
        </is>
      </c>
      <c r="F2086" s="30" t="inlineStr">
        <is>
          <t>2022</t>
        </is>
      </c>
      <c r="G2086" s="40" t="n">
        <v>0</v>
      </c>
    </row>
    <row r="2087" ht="12" customHeight="1">
      <c r="A2087" s="30" t="inlineStr">
        <is>
          <t>ITG</t>
        </is>
      </c>
      <c r="B2087" s="30" t="inlineStr">
        <is>
          <t>Itaguai</t>
        </is>
      </c>
      <c r="C2087" s="30" t="n">
        <v>11137512</v>
      </c>
      <c r="D2087" s="30">
        <f>"23847090000156"</f>
        <v/>
      </c>
      <c r="E2087" s="30" t="inlineStr">
        <is>
          <t>C C R DOMINGOS RESTAURANTE</t>
        </is>
      </c>
      <c r="F2087" s="30" t="inlineStr">
        <is>
          <t>2023</t>
        </is>
      </c>
      <c r="G2087" s="40" t="n">
        <v>0</v>
      </c>
    </row>
    <row r="2088" ht="12" customHeight="1">
      <c r="A2088" s="30" t="inlineStr">
        <is>
          <t>ITG</t>
        </is>
      </c>
      <c r="B2088" s="30" t="inlineStr">
        <is>
          <t>Itaguai</t>
        </is>
      </c>
      <c r="C2088" s="30" t="n">
        <v>11138098</v>
      </c>
      <c r="D2088" s="30">
        <f>"30410115000115"</f>
        <v/>
      </c>
      <c r="E2088" s="30" t="inlineStr">
        <is>
          <t>MZ TRANSPORTADORA E LOGISTICA LTDA</t>
        </is>
      </c>
      <c r="F2088" s="30" t="inlineStr">
        <is>
          <t>2018</t>
        </is>
      </c>
      <c r="G2088" s="40" t="n">
        <v>0</v>
      </c>
    </row>
    <row r="2089" ht="12" customHeight="1">
      <c r="A2089" s="30" t="inlineStr">
        <is>
          <t>ITG</t>
        </is>
      </c>
      <c r="B2089" s="30" t="inlineStr">
        <is>
          <t>Itaguai</t>
        </is>
      </c>
      <c r="C2089" s="30" t="n">
        <v>11138098</v>
      </c>
      <c r="D2089" s="30">
        <f>"30410115000115"</f>
        <v/>
      </c>
      <c r="E2089" s="30" t="inlineStr">
        <is>
          <t>MZ TRANSPORTADORA E LOGISTICA LTDA</t>
        </is>
      </c>
      <c r="F2089" s="30" t="inlineStr">
        <is>
          <t>2019</t>
        </is>
      </c>
      <c r="G2089" s="40" t="n">
        <v>0</v>
      </c>
    </row>
    <row r="2090" ht="12" customHeight="1">
      <c r="A2090" s="30" t="inlineStr">
        <is>
          <t>ITG</t>
        </is>
      </c>
      <c r="B2090" s="30" t="inlineStr">
        <is>
          <t>Itaguai</t>
        </is>
      </c>
      <c r="C2090" s="30" t="n">
        <v>11138098</v>
      </c>
      <c r="D2090" s="30">
        <f>"30410115000115"</f>
        <v/>
      </c>
      <c r="E2090" s="30" t="inlineStr">
        <is>
          <t>MZ TRANSPORTADORA E LOGISTICA LTDA</t>
        </is>
      </c>
      <c r="F2090" s="30" t="inlineStr">
        <is>
          <t>2020</t>
        </is>
      </c>
      <c r="G2090" s="40" t="n">
        <v>1000</v>
      </c>
    </row>
    <row r="2091" ht="12" customHeight="1">
      <c r="A2091" s="30" t="inlineStr">
        <is>
          <t>ITG</t>
        </is>
      </c>
      <c r="B2091" s="30" t="inlineStr">
        <is>
          <t>Itaguai</t>
        </is>
      </c>
      <c r="C2091" s="30" t="n">
        <v>11138098</v>
      </c>
      <c r="D2091" s="30">
        <f>"30410115000115"</f>
        <v/>
      </c>
      <c r="E2091" s="30" t="inlineStr">
        <is>
          <t>MZ TRANSPORTADORA E LOGISTICA LTDA</t>
        </is>
      </c>
      <c r="F2091" s="30" t="inlineStr">
        <is>
          <t>2021</t>
        </is>
      </c>
      <c r="G2091" s="40" t="n">
        <v>0</v>
      </c>
    </row>
    <row r="2092" ht="12" customHeight="1">
      <c r="A2092" s="30" t="inlineStr">
        <is>
          <t>ITG</t>
        </is>
      </c>
      <c r="B2092" s="30" t="inlineStr">
        <is>
          <t>Itaguai</t>
        </is>
      </c>
      <c r="C2092" s="30" t="n">
        <v>11138098</v>
      </c>
      <c r="D2092" s="30">
        <f>"30410115000115"</f>
        <v/>
      </c>
      <c r="E2092" s="30" t="inlineStr">
        <is>
          <t>MZ TRANSPORTADORA E LOGISTICA LTDA</t>
        </is>
      </c>
      <c r="F2092" s="30" t="inlineStr">
        <is>
          <t>2022</t>
        </is>
      </c>
      <c r="G2092" s="40" t="n">
        <v>0</v>
      </c>
    </row>
    <row r="2093" ht="12" customHeight="1">
      <c r="A2093" s="30" t="inlineStr">
        <is>
          <t>ITG</t>
        </is>
      </c>
      <c r="B2093" s="30" t="inlineStr">
        <is>
          <t>Itaguai</t>
        </is>
      </c>
      <c r="C2093" s="30" t="n">
        <v>11138721</v>
      </c>
      <c r="D2093" s="30">
        <f>"30413385000180"</f>
        <v/>
      </c>
      <c r="E2093" s="30" t="inlineStr">
        <is>
          <t>MERCADO COROA GRANDE 2018 EIRELI</t>
        </is>
      </c>
      <c r="F2093" s="30" t="inlineStr">
        <is>
          <t>2017</t>
        </is>
      </c>
      <c r="G2093" s="40" t="n">
        <v>0</v>
      </c>
    </row>
    <row r="2094" ht="12" customHeight="1">
      <c r="A2094" s="30" t="inlineStr">
        <is>
          <t>ITG</t>
        </is>
      </c>
      <c r="B2094" s="30" t="inlineStr">
        <is>
          <t>Itaguai</t>
        </is>
      </c>
      <c r="C2094" s="30" t="n">
        <v>11138721</v>
      </c>
      <c r="D2094" s="30">
        <f>"30413385000180"</f>
        <v/>
      </c>
      <c r="E2094" s="30" t="inlineStr">
        <is>
          <t>MERCADO COROA GRANDE 2018 EIRELI</t>
        </is>
      </c>
      <c r="F2094" s="30" t="inlineStr">
        <is>
          <t>2018</t>
        </is>
      </c>
      <c r="G2094" s="40" t="n">
        <v>17376.23</v>
      </c>
    </row>
    <row r="2095" ht="12" customHeight="1">
      <c r="A2095" s="30" t="inlineStr">
        <is>
          <t>ITG</t>
        </is>
      </c>
      <c r="B2095" s="30" t="inlineStr">
        <is>
          <t>Itaguai</t>
        </is>
      </c>
      <c r="C2095" s="30" t="n">
        <v>11138721</v>
      </c>
      <c r="D2095" s="30">
        <f>"30413385000180"</f>
        <v/>
      </c>
      <c r="E2095" s="30" t="inlineStr">
        <is>
          <t>MERCADO COROA GRANDE 2018 EIRELI</t>
        </is>
      </c>
      <c r="F2095" s="30" t="inlineStr">
        <is>
          <t>2019</t>
        </is>
      </c>
      <c r="G2095" s="40" t="n">
        <v>0</v>
      </c>
    </row>
    <row r="2096" ht="12" customHeight="1">
      <c r="A2096" s="30" t="inlineStr">
        <is>
          <t>ITG</t>
        </is>
      </c>
      <c r="B2096" s="30" t="inlineStr">
        <is>
          <t>Itaguai</t>
        </is>
      </c>
      <c r="C2096" s="30" t="n">
        <v>11138721</v>
      </c>
      <c r="D2096" s="30">
        <f>"30413385000180"</f>
        <v/>
      </c>
      <c r="E2096" s="30" t="inlineStr">
        <is>
          <t>MERCADO COROA GRANDE 2018 EIRELI</t>
        </is>
      </c>
      <c r="F2096" s="30" t="inlineStr">
        <is>
          <t>2020</t>
        </is>
      </c>
      <c r="G2096" s="40" t="n">
        <v>0</v>
      </c>
    </row>
    <row r="2097" ht="12" customHeight="1">
      <c r="A2097" s="30" t="inlineStr">
        <is>
          <t>ITG</t>
        </is>
      </c>
      <c r="B2097" s="30" t="inlineStr">
        <is>
          <t>Itaguai</t>
        </is>
      </c>
      <c r="C2097" s="30" t="n">
        <v>11140050</v>
      </c>
      <c r="D2097" s="30">
        <f>"30356217000108"</f>
        <v/>
      </c>
      <c r="E2097" s="30" t="inlineStr">
        <is>
          <t>POTENCIAL ALIMENTOS DISTRIBUIDORA DE ALIMENTOS EM GERAL EIRELI</t>
        </is>
      </c>
      <c r="F2097" s="30" t="inlineStr">
        <is>
          <t>2017</t>
        </is>
      </c>
      <c r="G2097" s="40" t="n">
        <v>0</v>
      </c>
    </row>
    <row r="2098" ht="12" customHeight="1">
      <c r="A2098" s="30" t="inlineStr">
        <is>
          <t>ITG</t>
        </is>
      </c>
      <c r="B2098" s="30" t="inlineStr">
        <is>
          <t>Itaguai</t>
        </is>
      </c>
      <c r="C2098" s="30" t="n">
        <v>11140050</v>
      </c>
      <c r="D2098" s="30">
        <f>"30356217000108"</f>
        <v/>
      </c>
      <c r="E2098" s="30" t="inlineStr">
        <is>
          <t>POTENCIAL ALIMENTOS DISTRIBUIDORA DE ALIMENTOS EM GERAL EIRELI</t>
        </is>
      </c>
      <c r="F2098" s="30" t="inlineStr">
        <is>
          <t>2018</t>
        </is>
      </c>
      <c r="G2098" s="40" t="n">
        <v>0</v>
      </c>
    </row>
    <row r="2099" ht="12" customHeight="1">
      <c r="A2099" s="30" t="inlineStr">
        <is>
          <t>ITG</t>
        </is>
      </c>
      <c r="B2099" s="30" t="inlineStr">
        <is>
          <t>Itaguai</t>
        </is>
      </c>
      <c r="C2099" s="30" t="n">
        <v>11140050</v>
      </c>
      <c r="D2099" s="30">
        <f>"30356217000108"</f>
        <v/>
      </c>
      <c r="E2099" s="30" t="inlineStr">
        <is>
          <t>POTENCIAL ALIMENTOS DISTRIBUIDORA DE ALIMENTOS EM GERAL EIRELI</t>
        </is>
      </c>
      <c r="F2099" s="30" t="inlineStr">
        <is>
          <t>2019</t>
        </is>
      </c>
      <c r="G2099" s="40" t="n">
        <v>0</v>
      </c>
    </row>
    <row r="2100" ht="12" customHeight="1">
      <c r="A2100" s="30" t="inlineStr">
        <is>
          <t>ITG</t>
        </is>
      </c>
      <c r="B2100" s="30" t="inlineStr">
        <is>
          <t>Itaguai</t>
        </is>
      </c>
      <c r="C2100" s="30" t="n">
        <v>11140050</v>
      </c>
      <c r="D2100" s="30">
        <f>"30356217000108"</f>
        <v/>
      </c>
      <c r="E2100" s="30" t="inlineStr">
        <is>
          <t>POTENCIAL ALIMENTOS DISTRIBUIDORA DE ALIMENTOS EM GERAL EIRELI</t>
        </is>
      </c>
      <c r="F2100" s="30" t="inlineStr">
        <is>
          <t>2020</t>
        </is>
      </c>
      <c r="G2100" s="40" t="n">
        <v>0</v>
      </c>
    </row>
    <row r="2101" ht="12" customHeight="1">
      <c r="A2101" s="30" t="inlineStr">
        <is>
          <t>ITG</t>
        </is>
      </c>
      <c r="B2101" s="30" t="inlineStr">
        <is>
          <t>Itaguai</t>
        </is>
      </c>
      <c r="C2101" s="30" t="n">
        <v>11146422</v>
      </c>
      <c r="D2101" s="30">
        <f>"22955070000136"</f>
        <v/>
      </c>
      <c r="E2101" s="30" t="inlineStr">
        <is>
          <t>S D C MARTINS COMERCIO E SERVIÇOS EIRELI</t>
        </is>
      </c>
      <c r="F2101" s="30" t="inlineStr">
        <is>
          <t>2021</t>
        </is>
      </c>
      <c r="G2101" s="40" t="n">
        <v>0</v>
      </c>
    </row>
    <row r="2102" ht="12" customHeight="1">
      <c r="A2102" s="30" t="inlineStr">
        <is>
          <t>ITG</t>
        </is>
      </c>
      <c r="B2102" s="30" t="inlineStr">
        <is>
          <t>Itaguai</t>
        </is>
      </c>
      <c r="C2102" s="30" t="n">
        <v>11146422</v>
      </c>
      <c r="D2102" s="30">
        <f>"22955070000136"</f>
        <v/>
      </c>
      <c r="E2102" s="30" t="inlineStr">
        <is>
          <t>S D C MARTINS COMERCIO E SERVIÇOS EIRELI</t>
        </is>
      </c>
      <c r="F2102" s="30" t="inlineStr">
        <is>
          <t>2022</t>
        </is>
      </c>
      <c r="G2102" s="40" t="n">
        <v>0</v>
      </c>
    </row>
    <row r="2103" ht="12" customHeight="1">
      <c r="A2103" s="30" t="inlineStr">
        <is>
          <t>ITG</t>
        </is>
      </c>
      <c r="B2103" s="30" t="inlineStr">
        <is>
          <t>Itaguai</t>
        </is>
      </c>
      <c r="C2103" s="30" t="n">
        <v>11146422</v>
      </c>
      <c r="D2103" s="30">
        <f>"22955070000136"</f>
        <v/>
      </c>
      <c r="E2103" s="30" t="inlineStr">
        <is>
          <t>S D C MARTINS COMERCIO E SERVIÇOS EIRELI</t>
        </is>
      </c>
      <c r="F2103" s="30" t="inlineStr">
        <is>
          <t>2023</t>
        </is>
      </c>
      <c r="G2103" s="40" t="n">
        <v>0</v>
      </c>
    </row>
    <row r="2104" ht="12" customHeight="1">
      <c r="A2104" s="30" t="inlineStr">
        <is>
          <t>ITG</t>
        </is>
      </c>
      <c r="B2104" s="30" t="inlineStr">
        <is>
          <t>Itaguai</t>
        </is>
      </c>
      <c r="C2104" s="30" t="n">
        <v>11148751</v>
      </c>
      <c r="D2104" s="30">
        <f>"30484404000169"</f>
        <v/>
      </c>
      <c r="E2104" s="30" t="inlineStr">
        <is>
          <t>ANTONIO E ERIKA TRANSPORTE DE CARGA E DESCARGA LTDA</t>
        </is>
      </c>
      <c r="F2104" s="30" t="inlineStr">
        <is>
          <t>2021</t>
        </is>
      </c>
      <c r="G2104" s="40" t="n">
        <v>0</v>
      </c>
    </row>
    <row r="2105" ht="12" customHeight="1">
      <c r="A2105" s="30" t="inlineStr">
        <is>
          <t>ITG</t>
        </is>
      </c>
      <c r="B2105" s="30" t="inlineStr">
        <is>
          <t>Itaguai</t>
        </is>
      </c>
      <c r="C2105" s="30" t="n">
        <v>11148751</v>
      </c>
      <c r="D2105" s="30">
        <f>"30484404000169"</f>
        <v/>
      </c>
      <c r="E2105" s="30" t="inlineStr">
        <is>
          <t>ANTONIO E ERIKA TRANSPORTE DE CARGA E DESCARGA LTDA</t>
        </is>
      </c>
      <c r="F2105" s="30" t="inlineStr">
        <is>
          <t>2022</t>
        </is>
      </c>
      <c r="G2105" s="40" t="n">
        <v>0</v>
      </c>
    </row>
    <row r="2106" ht="12" customHeight="1">
      <c r="A2106" s="30" t="inlineStr">
        <is>
          <t>ITG</t>
        </is>
      </c>
      <c r="B2106" s="30" t="inlineStr">
        <is>
          <t>Itaguai</t>
        </is>
      </c>
      <c r="C2106" s="30" t="n">
        <v>11148751</v>
      </c>
      <c r="D2106" s="30">
        <f>"30484404000169"</f>
        <v/>
      </c>
      <c r="E2106" s="30" t="inlineStr">
        <is>
          <t>ANTONIO E ERIKA TRANSPORTE DE CARGA E DESCARGA LTDA</t>
        </is>
      </c>
      <c r="F2106" s="30" t="inlineStr">
        <is>
          <t>2023</t>
        </is>
      </c>
      <c r="G2106" s="40" t="n">
        <v>19001</v>
      </c>
    </row>
    <row r="2107" ht="12" customHeight="1">
      <c r="A2107" s="30" t="inlineStr">
        <is>
          <t>ITG</t>
        </is>
      </c>
      <c r="B2107" s="30" t="inlineStr">
        <is>
          <t>Itaguai</t>
        </is>
      </c>
      <c r="C2107" s="30" t="n">
        <v>11155200</v>
      </c>
      <c r="D2107" s="30">
        <f>"09017109000459"</f>
        <v/>
      </c>
      <c r="E2107" s="30" t="inlineStr">
        <is>
          <t>B-PROJECTS TRANSPORTES NACIONAIS E INTERNACIONAIS LTDA</t>
        </is>
      </c>
      <c r="F2107" s="30" t="inlineStr">
        <is>
          <t>2017</t>
        </is>
      </c>
      <c r="G2107" s="40" t="n">
        <v>0</v>
      </c>
    </row>
    <row r="2108" ht="12" customHeight="1">
      <c r="A2108" s="30" t="inlineStr">
        <is>
          <t>ITG</t>
        </is>
      </c>
      <c r="B2108" s="30" t="inlineStr">
        <is>
          <t>Itaguai</t>
        </is>
      </c>
      <c r="C2108" s="30" t="n">
        <v>11155200</v>
      </c>
      <c r="D2108" s="30">
        <f>"09017109000459"</f>
        <v/>
      </c>
      <c r="E2108" s="30" t="inlineStr">
        <is>
          <t>B-PROJECTS TRANSPORTES NACIONAIS E INTERNACIONAIS LTDA</t>
        </is>
      </c>
      <c r="F2108" s="30" t="inlineStr">
        <is>
          <t>2018</t>
        </is>
      </c>
      <c r="G2108" s="40" t="n">
        <v>0</v>
      </c>
    </row>
    <row r="2109" ht="12" customHeight="1">
      <c r="A2109" s="30" t="inlineStr">
        <is>
          <t>ITG</t>
        </is>
      </c>
      <c r="B2109" s="30" t="inlineStr">
        <is>
          <t>Itaguai</t>
        </is>
      </c>
      <c r="C2109" s="30" t="n">
        <v>11155200</v>
      </c>
      <c r="D2109" s="30">
        <f>"09017109000459"</f>
        <v/>
      </c>
      <c r="E2109" s="30" t="inlineStr">
        <is>
          <t>B-PROJECTS TRANSPORTES NACIONAIS E INTERNACIONAIS LTDA</t>
        </is>
      </c>
      <c r="F2109" s="30" t="inlineStr">
        <is>
          <t>2019</t>
        </is>
      </c>
      <c r="G2109" s="40" t="n">
        <v>935634.5</v>
      </c>
    </row>
    <row r="2110" ht="12" customHeight="1">
      <c r="A2110" s="30" t="inlineStr">
        <is>
          <t>ITG</t>
        </is>
      </c>
      <c r="B2110" s="30" t="inlineStr">
        <is>
          <t>Itaguai</t>
        </is>
      </c>
      <c r="C2110" s="30" t="n">
        <v>11155200</v>
      </c>
      <c r="D2110" s="30">
        <f>"09017109000459"</f>
        <v/>
      </c>
      <c r="E2110" s="30" t="inlineStr">
        <is>
          <t>B-PROJECTS TRANSPORTES NACIONAIS E INTERNACIONAIS LTDA</t>
        </is>
      </c>
      <c r="F2110" s="30" t="inlineStr">
        <is>
          <t>2020</t>
        </is>
      </c>
      <c r="G2110" s="40" t="n">
        <v>2787293.06</v>
      </c>
    </row>
    <row r="2111" ht="12" customHeight="1">
      <c r="A2111" s="30" t="inlineStr">
        <is>
          <t>ITG</t>
        </is>
      </c>
      <c r="B2111" s="30" t="inlineStr">
        <is>
          <t>Itaguai</t>
        </is>
      </c>
      <c r="C2111" s="30" t="n">
        <v>11155200</v>
      </c>
      <c r="D2111" s="30">
        <f>"09017109000459"</f>
        <v/>
      </c>
      <c r="E2111" s="30" t="inlineStr">
        <is>
          <t>B-PROJECTS TRANSPORTES NACIONAIS E INTERNACIONAIS LTDA</t>
        </is>
      </c>
      <c r="F2111" s="30" t="inlineStr">
        <is>
          <t>2021</t>
        </is>
      </c>
      <c r="G2111" s="40" t="n">
        <v>13881.64</v>
      </c>
    </row>
    <row r="2112" ht="12" customHeight="1">
      <c r="A2112" s="30" t="inlineStr">
        <is>
          <t>ITG</t>
        </is>
      </c>
      <c r="B2112" s="30" t="inlineStr">
        <is>
          <t>Itaguai</t>
        </is>
      </c>
      <c r="C2112" s="30" t="n">
        <v>11155200</v>
      </c>
      <c r="D2112" s="30">
        <f>"09017109000459"</f>
        <v/>
      </c>
      <c r="E2112" s="30" t="inlineStr">
        <is>
          <t>B-PROJECTS TRANSPORTES NACIONAIS E INTERNACIONAIS LTDA</t>
        </is>
      </c>
      <c r="F2112" s="30" t="inlineStr">
        <is>
          <t>2022</t>
        </is>
      </c>
      <c r="G2112" s="40" t="n">
        <v>0</v>
      </c>
    </row>
    <row r="2113" ht="12" customHeight="1">
      <c r="A2113" s="30" t="inlineStr">
        <is>
          <t>ITG</t>
        </is>
      </c>
      <c r="B2113" s="30" t="inlineStr">
        <is>
          <t>Itaguai</t>
        </is>
      </c>
      <c r="C2113" s="30" t="n">
        <v>11155200</v>
      </c>
      <c r="D2113" s="30">
        <f>"09017109000459"</f>
        <v/>
      </c>
      <c r="E2113" s="30" t="inlineStr">
        <is>
          <t>B-PROJECTS TRANSPORTES NACIONAIS E INTERNACIONAIS LTDA</t>
        </is>
      </c>
      <c r="F2113" s="30" t="inlineStr">
        <is>
          <t>2023</t>
        </is>
      </c>
      <c r="G2113" s="40" t="n">
        <v>0</v>
      </c>
    </row>
    <row r="2114" ht="12" customHeight="1">
      <c r="A2114" s="30" t="inlineStr">
        <is>
          <t>ITG</t>
        </is>
      </c>
      <c r="B2114" s="30" t="inlineStr">
        <is>
          <t>Itaguai</t>
        </is>
      </c>
      <c r="C2114" s="30" t="n">
        <v>11156045</v>
      </c>
      <c r="D2114" s="30">
        <f>"12958790000100"</f>
        <v/>
      </c>
      <c r="E2114" s="30" t="inlineStr">
        <is>
          <t>M E P ENGENHARIA E SERVICOS  ADM EIRELI</t>
        </is>
      </c>
      <c r="F2114" s="30" t="inlineStr">
        <is>
          <t>2021</t>
        </is>
      </c>
      <c r="G2114" s="40" t="n">
        <v>0</v>
      </c>
    </row>
    <row r="2115" ht="12" customHeight="1">
      <c r="A2115" s="30" t="inlineStr">
        <is>
          <t>ITG</t>
        </is>
      </c>
      <c r="B2115" s="30" t="inlineStr">
        <is>
          <t>Itaguai</t>
        </is>
      </c>
      <c r="C2115" s="30" t="n">
        <v>11156045</v>
      </c>
      <c r="D2115" s="30">
        <f>"12958790000100"</f>
        <v/>
      </c>
      <c r="E2115" s="30" t="inlineStr">
        <is>
          <t>M E P ENGENHARIA E SERVICOS  ADM EIRELI</t>
        </is>
      </c>
      <c r="F2115" s="30" t="inlineStr">
        <is>
          <t>2022</t>
        </is>
      </c>
      <c r="G2115" s="40" t="n">
        <v>0</v>
      </c>
    </row>
    <row r="2116" ht="12" customHeight="1">
      <c r="A2116" s="30" t="inlineStr">
        <is>
          <t>ITG</t>
        </is>
      </c>
      <c r="B2116" s="30" t="inlineStr">
        <is>
          <t>Itaguai</t>
        </is>
      </c>
      <c r="C2116" s="30" t="n">
        <v>11156045</v>
      </c>
      <c r="D2116" s="30">
        <f>"12958790000100"</f>
        <v/>
      </c>
      <c r="E2116" s="30" t="inlineStr">
        <is>
          <t>M E P ENGENHARIA E SERVICOS  ADM EIRELI</t>
        </is>
      </c>
      <c r="F2116" s="30" t="inlineStr">
        <is>
          <t>2023</t>
        </is>
      </c>
      <c r="G2116" s="40" t="n">
        <v>0</v>
      </c>
    </row>
    <row r="2117" ht="12" customHeight="1">
      <c r="A2117" s="30" t="inlineStr">
        <is>
          <t>ITG</t>
        </is>
      </c>
      <c r="B2117" s="30" t="inlineStr">
        <is>
          <t>Itaguai</t>
        </is>
      </c>
      <c r="C2117" s="30" t="n">
        <v>11156100</v>
      </c>
      <c r="D2117" s="30">
        <f>"27541534000262"</f>
        <v/>
      </c>
      <c r="E2117" s="30" t="inlineStr">
        <is>
          <t>OTICA NOVA VISÃO DE ITAGUAI LTDA</t>
        </is>
      </c>
      <c r="F2117" s="30" t="inlineStr">
        <is>
          <t>2018</t>
        </is>
      </c>
      <c r="G2117" s="40" t="n">
        <v>0</v>
      </c>
    </row>
    <row r="2118" ht="12" customHeight="1">
      <c r="A2118" s="30" t="inlineStr">
        <is>
          <t>ITG</t>
        </is>
      </c>
      <c r="B2118" s="30" t="inlineStr">
        <is>
          <t>Itaguai</t>
        </is>
      </c>
      <c r="C2118" s="30" t="n">
        <v>11156100</v>
      </c>
      <c r="D2118" s="30">
        <f>"27541534000262"</f>
        <v/>
      </c>
      <c r="E2118" s="30" t="inlineStr">
        <is>
          <t>OTICA NOVA VISÃO DE ITAGUAI LTDA</t>
        </is>
      </c>
      <c r="F2118" s="30" t="inlineStr">
        <is>
          <t>2019</t>
        </is>
      </c>
      <c r="G2118" s="40" t="n">
        <v>0</v>
      </c>
    </row>
    <row r="2119" ht="12" customHeight="1">
      <c r="A2119" s="30" t="inlineStr">
        <is>
          <t>ITG</t>
        </is>
      </c>
      <c r="B2119" s="30" t="inlineStr">
        <is>
          <t>Itaguai</t>
        </is>
      </c>
      <c r="C2119" s="30" t="n">
        <v>11156100</v>
      </c>
      <c r="D2119" s="30">
        <f>"27541534000262"</f>
        <v/>
      </c>
      <c r="E2119" s="30" t="inlineStr">
        <is>
          <t>OTICA NOVA VISÃO DE ITAGUAI LTDA</t>
        </is>
      </c>
      <c r="F2119" s="30" t="inlineStr">
        <is>
          <t>2020</t>
        </is>
      </c>
      <c r="G2119" s="40" t="n">
        <v>944570.77</v>
      </c>
    </row>
    <row r="2120" ht="12" customHeight="1">
      <c r="A2120" s="30" t="inlineStr">
        <is>
          <t>ITG</t>
        </is>
      </c>
      <c r="B2120" s="30" t="inlineStr">
        <is>
          <t>Itaguai</t>
        </is>
      </c>
      <c r="C2120" s="30" t="n">
        <v>11156100</v>
      </c>
      <c r="D2120" s="30">
        <f>"27541534000262"</f>
        <v/>
      </c>
      <c r="E2120" s="30" t="inlineStr">
        <is>
          <t>OTICA NOVA VISÃO DE ITAGUAI LTDA</t>
        </is>
      </c>
      <c r="F2120" s="30" t="inlineStr">
        <is>
          <t>2021</t>
        </is>
      </c>
      <c r="G2120" s="40" t="n">
        <v>890305</v>
      </c>
    </row>
    <row r="2121" ht="12" customHeight="1">
      <c r="A2121" s="30" t="inlineStr">
        <is>
          <t>ITG</t>
        </is>
      </c>
      <c r="B2121" s="30" t="inlineStr">
        <is>
          <t>Itaguai</t>
        </is>
      </c>
      <c r="C2121" s="30" t="n">
        <v>11156100</v>
      </c>
      <c r="D2121" s="30">
        <f>"27541534000262"</f>
        <v/>
      </c>
      <c r="E2121" s="30" t="inlineStr">
        <is>
          <t>OTICA NOVA VISÃO DE ITAGUAI LTDA</t>
        </is>
      </c>
      <c r="F2121" s="30" t="inlineStr">
        <is>
          <t>2022</t>
        </is>
      </c>
      <c r="G2121" s="40" t="n">
        <v>1071508.94</v>
      </c>
    </row>
    <row r="2122" ht="12" customHeight="1">
      <c r="A2122" s="30" t="inlineStr">
        <is>
          <t>ITG</t>
        </is>
      </c>
      <c r="B2122" s="30" t="inlineStr">
        <is>
          <t>Itaguai</t>
        </is>
      </c>
      <c r="C2122" s="30" t="n">
        <v>11156100</v>
      </c>
      <c r="D2122" s="30">
        <f>"27541534000262"</f>
        <v/>
      </c>
      <c r="E2122" s="30" t="inlineStr">
        <is>
          <t>OTICA NOVA VISÃO DE ITAGUAI LTDA</t>
        </is>
      </c>
      <c r="F2122" s="30" t="inlineStr">
        <is>
          <t>2023</t>
        </is>
      </c>
      <c r="G2122" s="40" t="n">
        <v>672671.1800000001</v>
      </c>
    </row>
    <row r="2123" ht="12" customHeight="1">
      <c r="A2123" s="30" t="inlineStr">
        <is>
          <t>ITG</t>
        </is>
      </c>
      <c r="B2123" s="30" t="inlineStr">
        <is>
          <t>Itaguai</t>
        </is>
      </c>
      <c r="C2123" s="30" t="n">
        <v>11164250</v>
      </c>
      <c r="D2123" s="30">
        <f>"30665777000136"</f>
        <v/>
      </c>
      <c r="E2123" s="30" t="inlineStr">
        <is>
          <t>J H M SANTOS LANCHONETE</t>
        </is>
      </c>
      <c r="F2123" s="30" t="inlineStr">
        <is>
          <t>2017</t>
        </is>
      </c>
      <c r="G2123" s="40" t="n">
        <v>0</v>
      </c>
    </row>
    <row r="2124" ht="12" customHeight="1">
      <c r="A2124" s="30" t="inlineStr">
        <is>
          <t>ITG</t>
        </is>
      </c>
      <c r="B2124" s="30" t="inlineStr">
        <is>
          <t>Itaguai</t>
        </is>
      </c>
      <c r="C2124" s="30" t="n">
        <v>11164250</v>
      </c>
      <c r="D2124" s="30">
        <f>"30665777000136"</f>
        <v/>
      </c>
      <c r="E2124" s="30" t="inlineStr">
        <is>
          <t>J H M SANTOS LANCHONETE</t>
        </is>
      </c>
      <c r="F2124" s="30" t="inlineStr">
        <is>
          <t>2018</t>
        </is>
      </c>
      <c r="G2124" s="40" t="n">
        <v>0</v>
      </c>
    </row>
    <row r="2125" ht="12" customHeight="1">
      <c r="A2125" s="30" t="inlineStr">
        <is>
          <t>ITG</t>
        </is>
      </c>
      <c r="B2125" s="30" t="inlineStr">
        <is>
          <t>Itaguai</t>
        </is>
      </c>
      <c r="C2125" s="30" t="n">
        <v>11164250</v>
      </c>
      <c r="D2125" s="30">
        <f>"30665777000136"</f>
        <v/>
      </c>
      <c r="E2125" s="30" t="inlineStr">
        <is>
          <t>J H M SANTOS LANCHONETE</t>
        </is>
      </c>
      <c r="F2125" s="30" t="inlineStr">
        <is>
          <t>2019</t>
        </is>
      </c>
      <c r="G2125" s="40" t="n">
        <v>0</v>
      </c>
    </row>
    <row r="2126" ht="12" customHeight="1">
      <c r="A2126" s="30" t="inlineStr">
        <is>
          <t>ITG</t>
        </is>
      </c>
      <c r="B2126" s="30" t="inlineStr">
        <is>
          <t>Itaguai</t>
        </is>
      </c>
      <c r="C2126" s="30" t="n">
        <v>11164250</v>
      </c>
      <c r="D2126" s="30">
        <f>"30665777000136"</f>
        <v/>
      </c>
      <c r="E2126" s="30" t="inlineStr">
        <is>
          <t>J H M SANTOS LANCHONETE</t>
        </is>
      </c>
      <c r="F2126" s="30" t="inlineStr">
        <is>
          <t>2020</t>
        </is>
      </c>
      <c r="G2126" s="40" t="n">
        <v>0</v>
      </c>
    </row>
    <row r="2127" ht="12" customHeight="1">
      <c r="A2127" s="30" t="inlineStr">
        <is>
          <t>ITG</t>
        </is>
      </c>
      <c r="B2127" s="30" t="inlineStr">
        <is>
          <t>Itaguai</t>
        </is>
      </c>
      <c r="C2127" s="30" t="n">
        <v>11165338</v>
      </c>
      <c r="D2127" s="30">
        <f>"10233431000828"</f>
        <v/>
      </c>
      <c r="E2127" s="30" t="inlineStr">
        <is>
          <t>RSG CONFECCOES LTDA</t>
        </is>
      </c>
      <c r="F2127" s="30" t="inlineStr">
        <is>
          <t>2017</t>
        </is>
      </c>
      <c r="G2127" s="40" t="n">
        <v>0</v>
      </c>
    </row>
    <row r="2128" ht="12" customHeight="1">
      <c r="A2128" s="30" t="inlineStr">
        <is>
          <t>ITG</t>
        </is>
      </c>
      <c r="B2128" s="30" t="inlineStr">
        <is>
          <t>Itaguai</t>
        </is>
      </c>
      <c r="C2128" s="30" t="n">
        <v>11165338</v>
      </c>
      <c r="D2128" s="30">
        <f>"10233431000828"</f>
        <v/>
      </c>
      <c r="E2128" s="30" t="inlineStr">
        <is>
          <t>RSG CONFECCOES LTDA</t>
        </is>
      </c>
      <c r="F2128" s="30" t="inlineStr">
        <is>
          <t>2018</t>
        </is>
      </c>
      <c r="G2128" s="40" t="n">
        <v>818577.17</v>
      </c>
    </row>
    <row r="2129" ht="12" customHeight="1">
      <c r="A2129" s="30" t="inlineStr">
        <is>
          <t>ITG</t>
        </is>
      </c>
      <c r="B2129" s="30" t="inlineStr">
        <is>
          <t>Itaguai</t>
        </is>
      </c>
      <c r="C2129" s="30" t="n">
        <v>11165338</v>
      </c>
      <c r="D2129" s="30">
        <f>"10233431000828"</f>
        <v/>
      </c>
      <c r="E2129" s="30" t="inlineStr">
        <is>
          <t>RSG CONFECCOES LTDA</t>
        </is>
      </c>
      <c r="F2129" s="30" t="inlineStr">
        <is>
          <t>2019</t>
        </is>
      </c>
      <c r="G2129" s="40" t="n">
        <v>0</v>
      </c>
    </row>
    <row r="2130" ht="12" customHeight="1">
      <c r="A2130" s="30" t="inlineStr">
        <is>
          <t>ITG</t>
        </is>
      </c>
      <c r="B2130" s="30" t="inlineStr">
        <is>
          <t>Itaguai</t>
        </is>
      </c>
      <c r="C2130" s="30" t="n">
        <v>11165338</v>
      </c>
      <c r="D2130" s="30">
        <f>"10233431000828"</f>
        <v/>
      </c>
      <c r="E2130" s="30" t="inlineStr">
        <is>
          <t>RSG CONFECCOES LTDA</t>
        </is>
      </c>
      <c r="F2130" s="30" t="inlineStr">
        <is>
          <t>2020</t>
        </is>
      </c>
      <c r="G2130" s="40" t="n">
        <v>0</v>
      </c>
    </row>
    <row r="2131" ht="12" customHeight="1">
      <c r="A2131" s="30" t="inlineStr">
        <is>
          <t>ITG</t>
        </is>
      </c>
      <c r="B2131" s="30" t="inlineStr">
        <is>
          <t>Itaguai</t>
        </is>
      </c>
      <c r="C2131" s="30" t="n">
        <v>11165338</v>
      </c>
      <c r="D2131" s="30">
        <f>"10233431000828"</f>
        <v/>
      </c>
      <c r="E2131" s="30" t="inlineStr">
        <is>
          <t>RSG CONFECCOES LTDA</t>
        </is>
      </c>
      <c r="F2131" s="30" t="inlineStr">
        <is>
          <t>2021</t>
        </is>
      </c>
      <c r="G2131" s="40" t="n">
        <v>0</v>
      </c>
    </row>
    <row r="2132" ht="12" customHeight="1">
      <c r="A2132" s="30" t="inlineStr">
        <is>
          <t>ITG</t>
        </is>
      </c>
      <c r="B2132" s="30" t="inlineStr">
        <is>
          <t>Itaguai</t>
        </is>
      </c>
      <c r="C2132" s="30" t="n">
        <v>11170676</v>
      </c>
      <c r="D2132" s="30">
        <f>"19700976000367"</f>
        <v/>
      </c>
      <c r="E2132" s="30" t="inlineStr">
        <is>
          <t>SOLUCIONA LOGISTICA E TRANSPORTE LTDA</t>
        </is>
      </c>
      <c r="F2132" s="30" t="inlineStr">
        <is>
          <t>2021</t>
        </is>
      </c>
      <c r="G2132" s="40" t="n">
        <v>0</v>
      </c>
    </row>
    <row r="2133" ht="12" customHeight="1">
      <c r="A2133" s="30" t="inlineStr">
        <is>
          <t>ITG</t>
        </is>
      </c>
      <c r="B2133" s="30" t="inlineStr">
        <is>
          <t>Itaguai</t>
        </is>
      </c>
      <c r="C2133" s="30" t="n">
        <v>11170676</v>
      </c>
      <c r="D2133" s="30">
        <f>"19700976000367"</f>
        <v/>
      </c>
      <c r="E2133" s="30" t="inlineStr">
        <is>
          <t>SOLUCIONA LOGISTICA E TRANSPORTE LTDA</t>
        </is>
      </c>
      <c r="F2133" s="30" t="inlineStr">
        <is>
          <t>2022</t>
        </is>
      </c>
      <c r="G2133" s="40" t="n">
        <v>0</v>
      </c>
    </row>
    <row r="2134" ht="12" customHeight="1">
      <c r="A2134" s="30" t="inlineStr">
        <is>
          <t>ITG</t>
        </is>
      </c>
      <c r="B2134" s="30" t="inlineStr">
        <is>
          <t>Itaguai</t>
        </is>
      </c>
      <c r="C2134" s="30" t="n">
        <v>11170676</v>
      </c>
      <c r="D2134" s="30">
        <f>"19700976000367"</f>
        <v/>
      </c>
      <c r="E2134" s="30" t="inlineStr">
        <is>
          <t>SOLUCIONA LOGISTICA E TRANSPORTE LTDA</t>
        </is>
      </c>
      <c r="F2134" s="30" t="inlineStr">
        <is>
          <t>2023</t>
        </is>
      </c>
      <c r="G2134" s="40" t="n">
        <v>33247.95</v>
      </c>
    </row>
    <row r="2135" ht="12" customHeight="1">
      <c r="A2135" s="30" t="inlineStr">
        <is>
          <t>ITG</t>
        </is>
      </c>
      <c r="B2135" s="30" t="inlineStr">
        <is>
          <t>Itaguai</t>
        </is>
      </c>
      <c r="C2135" s="30" t="n">
        <v>11176941</v>
      </c>
      <c r="D2135" s="30">
        <f>"30465848000157"</f>
        <v/>
      </c>
      <c r="E2135" s="30" t="inlineStr">
        <is>
          <t>COOPER AGUIA COOPERATIVA DE TRANSPORTE TURISMO FRETAMENTO E LOCAÇÃO LTDA</t>
        </is>
      </c>
      <c r="F2135" s="30" t="inlineStr">
        <is>
          <t>2021</t>
        </is>
      </c>
      <c r="G2135" s="40" t="n">
        <v>0</v>
      </c>
    </row>
    <row r="2136" ht="12" customHeight="1">
      <c r="A2136" s="30" t="inlineStr">
        <is>
          <t>ITG</t>
        </is>
      </c>
      <c r="B2136" s="30" t="inlineStr">
        <is>
          <t>Itaguai</t>
        </is>
      </c>
      <c r="C2136" s="30" t="n">
        <v>11176941</v>
      </c>
      <c r="D2136" s="30">
        <f>"30465848000157"</f>
        <v/>
      </c>
      <c r="E2136" s="30" t="inlineStr">
        <is>
          <t>COOPER AGUIA COOPERATIVA DE TRANSPORTE TURISMO FRETAMENTO E LOCAÇÃO LTDA</t>
        </is>
      </c>
      <c r="F2136" s="30" t="inlineStr">
        <is>
          <t>2022</t>
        </is>
      </c>
      <c r="G2136" s="40" t="n">
        <v>0</v>
      </c>
    </row>
    <row r="2137" ht="12" customHeight="1">
      <c r="A2137" s="30" t="inlineStr">
        <is>
          <t>ITG</t>
        </is>
      </c>
      <c r="B2137" s="30" t="inlineStr">
        <is>
          <t>Itaguai</t>
        </is>
      </c>
      <c r="C2137" s="30" t="n">
        <v>11176941</v>
      </c>
      <c r="D2137" s="30">
        <f>"30465848000157"</f>
        <v/>
      </c>
      <c r="E2137" s="30" t="inlineStr">
        <is>
          <t>COOPER AGUIA COOPERATIVA DE TRANSPORTE TURISMO FRETAMENTO E LOCAÇÃO LTDA</t>
        </is>
      </c>
      <c r="F2137" s="30" t="inlineStr">
        <is>
          <t>2023</t>
        </is>
      </c>
      <c r="G2137" s="40" t="n">
        <v>7700</v>
      </c>
    </row>
    <row r="2138" ht="12" customHeight="1">
      <c r="A2138" s="30" t="inlineStr">
        <is>
          <t>ITG</t>
        </is>
      </c>
      <c r="B2138" s="30" t="inlineStr">
        <is>
          <t>Itaguai</t>
        </is>
      </c>
      <c r="C2138" s="30" t="n">
        <v>11178480</v>
      </c>
      <c r="D2138" s="30">
        <f>"30578572000113"</f>
        <v/>
      </c>
      <c r="E2138" s="30" t="inlineStr">
        <is>
          <t>BB AGROPECUÁRIA EIRELI</t>
        </is>
      </c>
      <c r="F2138" s="30" t="inlineStr">
        <is>
          <t>2017</t>
        </is>
      </c>
      <c r="G2138" s="40" t="n">
        <v>0</v>
      </c>
    </row>
    <row r="2139" ht="12" customHeight="1">
      <c r="A2139" s="30" t="inlineStr">
        <is>
          <t>ITG</t>
        </is>
      </c>
      <c r="B2139" s="30" t="inlineStr">
        <is>
          <t>Itaguai</t>
        </is>
      </c>
      <c r="C2139" s="30" t="n">
        <v>11178480</v>
      </c>
      <c r="D2139" s="30">
        <f>"30578572000113"</f>
        <v/>
      </c>
      <c r="E2139" s="30" t="inlineStr">
        <is>
          <t>BB AGROPECUÁRIA EIRELI</t>
        </is>
      </c>
      <c r="F2139" s="30" t="inlineStr">
        <is>
          <t>2018</t>
        </is>
      </c>
      <c r="G2139" s="40" t="n">
        <v>0</v>
      </c>
    </row>
    <row r="2140" ht="12" customHeight="1">
      <c r="A2140" s="30" t="inlineStr">
        <is>
          <t>ITG</t>
        </is>
      </c>
      <c r="B2140" s="30" t="inlineStr">
        <is>
          <t>Itaguai</t>
        </is>
      </c>
      <c r="C2140" s="30" t="n">
        <v>11178480</v>
      </c>
      <c r="D2140" s="30">
        <f>"30578572000113"</f>
        <v/>
      </c>
      <c r="E2140" s="30" t="inlineStr">
        <is>
          <t>BB AGROPECUÁRIA EIRELI</t>
        </is>
      </c>
      <c r="F2140" s="30" t="inlineStr">
        <is>
          <t>2019</t>
        </is>
      </c>
      <c r="G2140" s="40" t="n">
        <v>0</v>
      </c>
    </row>
    <row r="2141" ht="12" customHeight="1">
      <c r="A2141" s="30" t="inlineStr">
        <is>
          <t>ITG</t>
        </is>
      </c>
      <c r="B2141" s="30" t="inlineStr">
        <is>
          <t>Itaguai</t>
        </is>
      </c>
      <c r="C2141" s="30" t="n">
        <v>11178480</v>
      </c>
      <c r="D2141" s="30">
        <f>"30578572000113"</f>
        <v/>
      </c>
      <c r="E2141" s="30" t="inlineStr">
        <is>
          <t>BB AGROPECUÁRIA EIRELI</t>
        </is>
      </c>
      <c r="F2141" s="30" t="inlineStr">
        <is>
          <t>2020</t>
        </is>
      </c>
      <c r="G2141" s="40" t="n">
        <v>0</v>
      </c>
    </row>
    <row r="2142" ht="12" customHeight="1">
      <c r="A2142" s="30" t="inlineStr">
        <is>
          <t>ITG</t>
        </is>
      </c>
      <c r="B2142" s="30" t="inlineStr">
        <is>
          <t>Itaguai</t>
        </is>
      </c>
      <c r="C2142" s="30" t="n">
        <v>11178480</v>
      </c>
      <c r="D2142" s="30">
        <f>"30578572000113"</f>
        <v/>
      </c>
      <c r="E2142" s="30" t="inlineStr">
        <is>
          <t>BB AGROPECUÁRIA EIRELI</t>
        </is>
      </c>
      <c r="F2142" s="30" t="inlineStr">
        <is>
          <t>2021</t>
        </is>
      </c>
      <c r="G2142" s="40" t="n">
        <v>0</v>
      </c>
    </row>
    <row r="2143" ht="12" customHeight="1">
      <c r="A2143" s="30" t="inlineStr">
        <is>
          <t>ITG</t>
        </is>
      </c>
      <c r="B2143" s="30" t="inlineStr">
        <is>
          <t>Itaguai</t>
        </is>
      </c>
      <c r="C2143" s="30" t="n">
        <v>11178480</v>
      </c>
      <c r="D2143" s="30">
        <f>"30578572000113"</f>
        <v/>
      </c>
      <c r="E2143" s="30" t="inlineStr">
        <is>
          <t>BB AGROPECUÁRIA EIRELI</t>
        </is>
      </c>
      <c r="F2143" s="30" t="inlineStr">
        <is>
          <t>2022</t>
        </is>
      </c>
      <c r="G2143" s="40" t="n">
        <v>0</v>
      </c>
    </row>
    <row r="2144" ht="12" customHeight="1">
      <c r="A2144" s="30" t="inlineStr">
        <is>
          <t>ITG</t>
        </is>
      </c>
      <c r="B2144" s="30" t="inlineStr">
        <is>
          <t>Itaguai</t>
        </is>
      </c>
      <c r="C2144" s="30" t="n">
        <v>11178480</v>
      </c>
      <c r="D2144" s="30">
        <f>"30578572000113"</f>
        <v/>
      </c>
      <c r="E2144" s="30" t="inlineStr">
        <is>
          <t>BB AGROPECUÁRIA EIRELI</t>
        </is>
      </c>
      <c r="F2144" s="30" t="inlineStr">
        <is>
          <t>2023</t>
        </is>
      </c>
      <c r="G2144" s="40" t="n">
        <v>0</v>
      </c>
    </row>
    <row r="2145" ht="12" customHeight="1">
      <c r="A2145" s="30" t="inlineStr">
        <is>
          <t>ITG</t>
        </is>
      </c>
      <c r="B2145" s="30" t="inlineStr">
        <is>
          <t>Itaguai</t>
        </is>
      </c>
      <c r="C2145" s="30" t="n">
        <v>11185592</v>
      </c>
      <c r="D2145" s="30">
        <f>"28530304000180"</f>
        <v/>
      </c>
      <c r="E2145" s="30" t="inlineStr">
        <is>
          <t>ENGEMOL ENGENHARIA &amp; SERVIÇOS LTDA.</t>
        </is>
      </c>
      <c r="F2145" s="30" t="inlineStr">
        <is>
          <t>2021</t>
        </is>
      </c>
      <c r="G2145" s="40" t="n">
        <v>0</v>
      </c>
    </row>
    <row r="2146" ht="12" customHeight="1">
      <c r="A2146" s="30" t="inlineStr">
        <is>
          <t>ITG</t>
        </is>
      </c>
      <c r="B2146" s="30" t="inlineStr">
        <is>
          <t>Itaguai</t>
        </is>
      </c>
      <c r="C2146" s="30" t="n">
        <v>11185592</v>
      </c>
      <c r="D2146" s="30">
        <f>"28530304000180"</f>
        <v/>
      </c>
      <c r="E2146" s="30" t="inlineStr">
        <is>
          <t>ENGEMOL ENGENHARIA &amp; SERVIÇOS LTDA.</t>
        </is>
      </c>
      <c r="F2146" s="30" t="inlineStr">
        <is>
          <t>2022</t>
        </is>
      </c>
      <c r="G2146" s="40" t="n">
        <v>0</v>
      </c>
    </row>
    <row r="2147" ht="12" customHeight="1">
      <c r="A2147" s="30" t="inlineStr">
        <is>
          <t>ITG</t>
        </is>
      </c>
      <c r="B2147" s="30" t="inlineStr">
        <is>
          <t>Itaguai</t>
        </is>
      </c>
      <c r="C2147" s="30" t="n">
        <v>11185592</v>
      </c>
      <c r="D2147" s="30">
        <f>"28530304000180"</f>
        <v/>
      </c>
      <c r="E2147" s="30" t="inlineStr">
        <is>
          <t>ENGEMOL ENGENHARIA &amp; SERVIÇOS LTDA.</t>
        </is>
      </c>
      <c r="F2147" s="30" t="inlineStr">
        <is>
          <t>2023</t>
        </is>
      </c>
      <c r="G2147" s="40" t="n">
        <v>2420934.54</v>
      </c>
    </row>
    <row r="2148" ht="12" customHeight="1">
      <c r="A2148" s="30" t="inlineStr">
        <is>
          <t>ITG</t>
        </is>
      </c>
      <c r="B2148" s="30" t="inlineStr">
        <is>
          <t>Itaguai</t>
        </is>
      </c>
      <c r="C2148" s="30" t="n">
        <v>11189113</v>
      </c>
      <c r="D2148" s="30">
        <f>"30900635000106"</f>
        <v/>
      </c>
      <c r="E2148" s="30" t="inlineStr">
        <is>
          <t>MERCADO MSR LTDA</t>
        </is>
      </c>
      <c r="F2148" s="30" t="inlineStr">
        <is>
          <t>2017</t>
        </is>
      </c>
      <c r="G2148" s="40" t="n">
        <v>0</v>
      </c>
    </row>
    <row r="2149" ht="12" customHeight="1">
      <c r="A2149" s="30" t="inlineStr">
        <is>
          <t>ITG</t>
        </is>
      </c>
      <c r="B2149" s="30" t="inlineStr">
        <is>
          <t>Itaguai</t>
        </is>
      </c>
      <c r="C2149" s="30" t="n">
        <v>11189113</v>
      </c>
      <c r="D2149" s="30">
        <f>"30900635000106"</f>
        <v/>
      </c>
      <c r="E2149" s="30" t="inlineStr">
        <is>
          <t>MERCADO MSR LTDA</t>
        </is>
      </c>
      <c r="F2149" s="30" t="inlineStr">
        <is>
          <t>2018</t>
        </is>
      </c>
      <c r="G2149" s="40" t="n">
        <v>722326.24</v>
      </c>
    </row>
    <row r="2150" ht="12" customHeight="1">
      <c r="A2150" s="30" t="inlineStr">
        <is>
          <t>ITG</t>
        </is>
      </c>
      <c r="B2150" s="30" t="inlineStr">
        <is>
          <t>Itaguai</t>
        </is>
      </c>
      <c r="C2150" s="30" t="n">
        <v>11189113</v>
      </c>
      <c r="D2150" s="30">
        <f>"30900635000106"</f>
        <v/>
      </c>
      <c r="E2150" s="30" t="inlineStr">
        <is>
          <t>MERCADO MSR LTDA</t>
        </is>
      </c>
      <c r="F2150" s="30" t="inlineStr">
        <is>
          <t>2019</t>
        </is>
      </c>
      <c r="G2150" s="40" t="n">
        <v>7744807.99</v>
      </c>
    </row>
    <row r="2151" ht="12" customHeight="1">
      <c r="A2151" s="30" t="inlineStr">
        <is>
          <t>ITG</t>
        </is>
      </c>
      <c r="B2151" s="30" t="inlineStr">
        <is>
          <t>Itaguai</t>
        </is>
      </c>
      <c r="C2151" s="30" t="n">
        <v>11189113</v>
      </c>
      <c r="D2151" s="30">
        <f>"30900635000106"</f>
        <v/>
      </c>
      <c r="E2151" s="30" t="inlineStr">
        <is>
          <t>MERCADO MSR LTDA</t>
        </is>
      </c>
      <c r="F2151" s="30" t="inlineStr">
        <is>
          <t>2020</t>
        </is>
      </c>
      <c r="G2151" s="40" t="n">
        <v>8823814.939999999</v>
      </c>
    </row>
    <row r="2152" ht="12" customHeight="1">
      <c r="A2152" s="30" t="inlineStr">
        <is>
          <t>ITG</t>
        </is>
      </c>
      <c r="B2152" s="30" t="inlineStr">
        <is>
          <t>Itaguai</t>
        </is>
      </c>
      <c r="C2152" s="30" t="n">
        <v>11189113</v>
      </c>
      <c r="D2152" s="30">
        <f>"30900635000106"</f>
        <v/>
      </c>
      <c r="E2152" s="30" t="inlineStr">
        <is>
          <t>MERCADO MSR LTDA</t>
        </is>
      </c>
      <c r="F2152" s="30" t="inlineStr">
        <is>
          <t>2021</t>
        </is>
      </c>
      <c r="G2152" s="40" t="n">
        <v>8448767.359999999</v>
      </c>
    </row>
    <row r="2153" ht="12" customHeight="1">
      <c r="A2153" s="30" t="inlineStr">
        <is>
          <t>ITG</t>
        </is>
      </c>
      <c r="B2153" s="30" t="inlineStr">
        <is>
          <t>Itaguai</t>
        </is>
      </c>
      <c r="C2153" s="30" t="n">
        <v>11189113</v>
      </c>
      <c r="D2153" s="30">
        <f>"30900635000106"</f>
        <v/>
      </c>
      <c r="E2153" s="30" t="inlineStr">
        <is>
          <t>MERCADO MSR LTDA</t>
        </is>
      </c>
      <c r="F2153" s="30" t="inlineStr">
        <is>
          <t>2022</t>
        </is>
      </c>
      <c r="G2153" s="40" t="n">
        <v>8343021.1</v>
      </c>
    </row>
    <row r="2154" ht="12" customHeight="1">
      <c r="A2154" s="30" t="inlineStr">
        <is>
          <t>ITG</t>
        </is>
      </c>
      <c r="B2154" s="30" t="inlineStr">
        <is>
          <t>Itaguai</t>
        </is>
      </c>
      <c r="C2154" s="30" t="n">
        <v>11189113</v>
      </c>
      <c r="D2154" s="30">
        <f>"30900635000106"</f>
        <v/>
      </c>
      <c r="E2154" s="30" t="inlineStr">
        <is>
          <t>MERCADO MSR LTDA</t>
        </is>
      </c>
      <c r="F2154" s="30" t="inlineStr">
        <is>
          <t>2023</t>
        </is>
      </c>
      <c r="G2154" s="40" t="n">
        <v>4665390.63</v>
      </c>
    </row>
    <row r="2155" ht="12" customHeight="1">
      <c r="A2155" s="30" t="inlineStr">
        <is>
          <t>ITG</t>
        </is>
      </c>
      <c r="B2155" s="30" t="inlineStr">
        <is>
          <t>Itaguai</t>
        </is>
      </c>
      <c r="C2155" s="30" t="n">
        <v>11210775</v>
      </c>
      <c r="D2155" s="30">
        <f>"21512121000192"</f>
        <v/>
      </c>
      <c r="E2155" s="30" t="inlineStr">
        <is>
          <t>BEM CONSTRUTORA E INCORPORADORA EIRELI</t>
        </is>
      </c>
      <c r="F2155" s="30" t="inlineStr">
        <is>
          <t>2018</t>
        </is>
      </c>
      <c r="G2155" s="40" t="n">
        <v>0</v>
      </c>
    </row>
    <row r="2156" ht="12" customHeight="1">
      <c r="A2156" s="30" t="inlineStr">
        <is>
          <t>ITG</t>
        </is>
      </c>
      <c r="B2156" s="30" t="inlineStr">
        <is>
          <t>Itaguai</t>
        </is>
      </c>
      <c r="C2156" s="30" t="n">
        <v>11210775</v>
      </c>
      <c r="D2156" s="30">
        <f>"21512121000192"</f>
        <v/>
      </c>
      <c r="E2156" s="30" t="inlineStr">
        <is>
          <t>BEM CONSTRUTORA E INCORPORADORA EIRELI</t>
        </is>
      </c>
      <c r="F2156" s="30" t="inlineStr">
        <is>
          <t>2019</t>
        </is>
      </c>
      <c r="G2156" s="40" t="n">
        <v>0</v>
      </c>
    </row>
    <row r="2157" ht="12" customHeight="1">
      <c r="A2157" s="30" t="inlineStr">
        <is>
          <t>ITG</t>
        </is>
      </c>
      <c r="B2157" s="30" t="inlineStr">
        <is>
          <t>Itaguai</t>
        </is>
      </c>
      <c r="C2157" s="30" t="n">
        <v>11210775</v>
      </c>
      <c r="D2157" s="30">
        <f>"21512121000192"</f>
        <v/>
      </c>
      <c r="E2157" s="30" t="inlineStr">
        <is>
          <t>BEM CONSTRUTORA E INCORPORADORA EIRELI</t>
        </is>
      </c>
      <c r="F2157" s="30" t="inlineStr">
        <is>
          <t>2020</t>
        </is>
      </c>
      <c r="G2157" s="40" t="n">
        <v>0</v>
      </c>
    </row>
    <row r="2158" ht="12" customHeight="1">
      <c r="A2158" s="30" t="inlineStr">
        <is>
          <t>ITG</t>
        </is>
      </c>
      <c r="B2158" s="30" t="inlineStr">
        <is>
          <t>Itaguai</t>
        </is>
      </c>
      <c r="C2158" s="30" t="n">
        <v>11210775</v>
      </c>
      <c r="D2158" s="30">
        <f>"21512121000192"</f>
        <v/>
      </c>
      <c r="E2158" s="30" t="inlineStr">
        <is>
          <t>BEM CONSTRUTORA E INCORPORADORA EIRELI</t>
        </is>
      </c>
      <c r="F2158" s="30" t="inlineStr">
        <is>
          <t>2021</t>
        </is>
      </c>
      <c r="G2158" s="40" t="n">
        <v>0</v>
      </c>
    </row>
    <row r="2159" ht="12" customHeight="1">
      <c r="A2159" s="30" t="inlineStr">
        <is>
          <t>ITG</t>
        </is>
      </c>
      <c r="B2159" s="30" t="inlineStr">
        <is>
          <t>Itaguai</t>
        </is>
      </c>
      <c r="C2159" s="30" t="n">
        <v>11210775</v>
      </c>
      <c r="D2159" s="30">
        <f>"21512121000192"</f>
        <v/>
      </c>
      <c r="E2159" s="30" t="inlineStr">
        <is>
          <t>BEM CONSTRUTORA E INCORPORADORA EIRELI</t>
        </is>
      </c>
      <c r="F2159" s="30" t="inlineStr">
        <is>
          <t>2022</t>
        </is>
      </c>
      <c r="G2159" s="40" t="n">
        <v>0</v>
      </c>
    </row>
    <row r="2160" ht="12" customHeight="1">
      <c r="A2160" s="30" t="inlineStr">
        <is>
          <t>ITG</t>
        </is>
      </c>
      <c r="B2160" s="30" t="inlineStr">
        <is>
          <t>Itaguai</t>
        </is>
      </c>
      <c r="C2160" s="30" t="n">
        <v>11210775</v>
      </c>
      <c r="D2160" s="30">
        <f>"21512121000192"</f>
        <v/>
      </c>
      <c r="E2160" s="30" t="inlineStr">
        <is>
          <t>BEM CONSTRUTORA E INCORPORADORA EIRELI</t>
        </is>
      </c>
      <c r="F2160" s="30" t="inlineStr">
        <is>
          <t>2023</t>
        </is>
      </c>
      <c r="G2160" s="40" t="n">
        <v>0</v>
      </c>
    </row>
    <row r="2161" ht="12" customHeight="1">
      <c r="A2161" s="30" t="inlineStr">
        <is>
          <t>ITG</t>
        </is>
      </c>
      <c r="B2161" s="30" t="inlineStr">
        <is>
          <t>Itaguai</t>
        </is>
      </c>
      <c r="C2161" s="30" t="n">
        <v>11216870</v>
      </c>
      <c r="D2161" s="30">
        <f>"31206714000184"</f>
        <v/>
      </c>
      <c r="E2161" s="30" t="inlineStr">
        <is>
          <t>QLUZ MATERIAL ELÉTRICO, HIDRÁULICO E BAZAR LTDA</t>
        </is>
      </c>
      <c r="F2161" s="30" t="inlineStr">
        <is>
          <t>2017</t>
        </is>
      </c>
      <c r="G2161" s="40" t="n">
        <v>0</v>
      </c>
    </row>
    <row r="2162" ht="12" customHeight="1">
      <c r="A2162" s="30" t="inlineStr">
        <is>
          <t>ITG</t>
        </is>
      </c>
      <c r="B2162" s="30" t="inlineStr">
        <is>
          <t>Itaguai</t>
        </is>
      </c>
      <c r="C2162" s="30" t="n">
        <v>11216870</v>
      </c>
      <c r="D2162" s="30">
        <f>"31206714000184"</f>
        <v/>
      </c>
      <c r="E2162" s="30" t="inlineStr">
        <is>
          <t>QLUZ MATERIAL ELÉTRICO, HIDRÁULICO E BAZAR LTDA</t>
        </is>
      </c>
      <c r="F2162" s="30" t="inlineStr">
        <is>
          <t>2018</t>
        </is>
      </c>
      <c r="G2162" s="40" t="n">
        <v>0</v>
      </c>
    </row>
    <row r="2163" ht="12" customHeight="1">
      <c r="A2163" s="30" t="inlineStr">
        <is>
          <t>ITG</t>
        </is>
      </c>
      <c r="B2163" s="30" t="inlineStr">
        <is>
          <t>Itaguai</t>
        </is>
      </c>
      <c r="C2163" s="30" t="n">
        <v>11216870</v>
      </c>
      <c r="D2163" s="30">
        <f>"31206714000184"</f>
        <v/>
      </c>
      <c r="E2163" s="30" t="inlineStr">
        <is>
          <t>QLUZ MATERIAL ELÉTRICO, HIDRÁULICO E BAZAR LTDA</t>
        </is>
      </c>
      <c r="F2163" s="30" t="inlineStr">
        <is>
          <t>2019</t>
        </is>
      </c>
      <c r="G2163" s="40" t="n">
        <v>0</v>
      </c>
    </row>
    <row r="2164" ht="12" customHeight="1">
      <c r="A2164" s="30" t="inlineStr">
        <is>
          <t>ITG</t>
        </is>
      </c>
      <c r="B2164" s="30" t="inlineStr">
        <is>
          <t>Itaguai</t>
        </is>
      </c>
      <c r="C2164" s="30" t="n">
        <v>11216870</v>
      </c>
      <c r="D2164" s="30">
        <f>"31206714000184"</f>
        <v/>
      </c>
      <c r="E2164" s="30" t="inlineStr">
        <is>
          <t>QLUZ MATERIAL ELÉTRICO, HIDRÁULICO E BAZAR LTDA</t>
        </is>
      </c>
      <c r="F2164" s="30" t="inlineStr">
        <is>
          <t>2020</t>
        </is>
      </c>
      <c r="G2164" s="40" t="n">
        <v>0</v>
      </c>
    </row>
    <row r="2165" ht="12" customHeight="1">
      <c r="A2165" s="30" t="inlineStr">
        <is>
          <t>ITG</t>
        </is>
      </c>
      <c r="B2165" s="30" t="inlineStr">
        <is>
          <t>Itaguai</t>
        </is>
      </c>
      <c r="C2165" s="30" t="n">
        <v>11220550</v>
      </c>
      <c r="D2165" s="30">
        <f>"31918535000412"</f>
        <v/>
      </c>
      <c r="E2165" s="30" t="inlineStr">
        <is>
          <t>TRANSTURISMO TRANSPORTADORA ORIENTAL LTDA</t>
        </is>
      </c>
      <c r="F2165" s="30" t="inlineStr">
        <is>
          <t>2017</t>
        </is>
      </c>
      <c r="G2165" s="40" t="n">
        <v>0</v>
      </c>
    </row>
    <row r="2166" ht="12" customHeight="1">
      <c r="A2166" s="30" t="inlineStr">
        <is>
          <t>ITG</t>
        </is>
      </c>
      <c r="B2166" s="30" t="inlineStr">
        <is>
          <t>Itaguai</t>
        </is>
      </c>
      <c r="C2166" s="30" t="n">
        <v>11220550</v>
      </c>
      <c r="D2166" s="30">
        <f>"31918535000412"</f>
        <v/>
      </c>
      <c r="E2166" s="30" t="inlineStr">
        <is>
          <t>TRANSTURISMO TRANSPORTADORA ORIENTAL LTDA</t>
        </is>
      </c>
      <c r="F2166" s="30" t="inlineStr">
        <is>
          <t>2018</t>
        </is>
      </c>
      <c r="G2166" s="40" t="n">
        <v>0</v>
      </c>
    </row>
    <row r="2167" ht="12" customHeight="1">
      <c r="A2167" s="30" t="inlineStr">
        <is>
          <t>ITG</t>
        </is>
      </c>
      <c r="B2167" s="30" t="inlineStr">
        <is>
          <t>Itaguai</t>
        </is>
      </c>
      <c r="C2167" s="30" t="n">
        <v>11220550</v>
      </c>
      <c r="D2167" s="30">
        <f>"31918535000412"</f>
        <v/>
      </c>
      <c r="E2167" s="30" t="inlineStr">
        <is>
          <t>TRANSTURISMO TRANSPORTADORA ORIENTAL LTDA</t>
        </is>
      </c>
      <c r="F2167" s="30" t="inlineStr">
        <is>
          <t>2019</t>
        </is>
      </c>
      <c r="G2167" s="40" t="n">
        <v>0</v>
      </c>
    </row>
    <row r="2168" ht="12" customHeight="1">
      <c r="A2168" s="30" t="inlineStr">
        <is>
          <t>ITG</t>
        </is>
      </c>
      <c r="B2168" s="30" t="inlineStr">
        <is>
          <t>Itaguai</t>
        </is>
      </c>
      <c r="C2168" s="30" t="n">
        <v>11220550</v>
      </c>
      <c r="D2168" s="30">
        <f>"31918535000412"</f>
        <v/>
      </c>
      <c r="E2168" s="30" t="inlineStr">
        <is>
          <t>TRANSTURISMO TRANSPORTADORA ORIENTAL LTDA</t>
        </is>
      </c>
      <c r="F2168" s="30" t="inlineStr">
        <is>
          <t>2020</t>
        </is>
      </c>
      <c r="G2168" s="40" t="n">
        <v>0</v>
      </c>
    </row>
    <row r="2169" ht="12" customHeight="1">
      <c r="A2169" s="30" t="inlineStr">
        <is>
          <t>ITG</t>
        </is>
      </c>
      <c r="B2169" s="30" t="inlineStr">
        <is>
          <t>Itaguai</t>
        </is>
      </c>
      <c r="C2169" s="30" t="n">
        <v>11220550</v>
      </c>
      <c r="D2169" s="30">
        <f>"31918535000412"</f>
        <v/>
      </c>
      <c r="E2169" s="30" t="inlineStr">
        <is>
          <t>TRANSTURISMO TRANSPORTADORA ORIENTAL LTDA</t>
        </is>
      </c>
      <c r="F2169" s="30" t="inlineStr">
        <is>
          <t>2021</t>
        </is>
      </c>
      <c r="G2169" s="40" t="n">
        <v>0</v>
      </c>
    </row>
    <row r="2170" ht="12" customHeight="1">
      <c r="A2170" s="30" t="inlineStr">
        <is>
          <t>ITG</t>
        </is>
      </c>
      <c r="B2170" s="30" t="inlineStr">
        <is>
          <t>Itaguai</t>
        </is>
      </c>
      <c r="C2170" s="30" t="n">
        <v>11220550</v>
      </c>
      <c r="D2170" s="30">
        <f>"31918535000412"</f>
        <v/>
      </c>
      <c r="E2170" s="30" t="inlineStr">
        <is>
          <t>TRANSTURISMO TRANSPORTADORA ORIENTAL LTDA</t>
        </is>
      </c>
      <c r="F2170" s="30" t="inlineStr">
        <is>
          <t>2022</t>
        </is>
      </c>
      <c r="G2170" s="40" t="n">
        <v>0</v>
      </c>
    </row>
    <row r="2171" ht="12" customHeight="1">
      <c r="A2171" s="30" t="inlineStr">
        <is>
          <t>ITG</t>
        </is>
      </c>
      <c r="B2171" s="30" t="inlineStr">
        <is>
          <t>Itaguai</t>
        </is>
      </c>
      <c r="C2171" s="30" t="n">
        <v>11220550</v>
      </c>
      <c r="D2171" s="30">
        <f>"31918535000412"</f>
        <v/>
      </c>
      <c r="E2171" s="30" t="inlineStr">
        <is>
          <t>TRANSTURISMO TRANSPORTADORA ORIENTAL LTDA</t>
        </is>
      </c>
      <c r="F2171" s="30" t="inlineStr">
        <is>
          <t>2023</t>
        </is>
      </c>
      <c r="G2171" s="40" t="n">
        <v>0</v>
      </c>
    </row>
    <row r="2172" ht="12" customHeight="1">
      <c r="A2172" s="30" t="inlineStr">
        <is>
          <t>ITG</t>
        </is>
      </c>
      <c r="B2172" s="30" t="inlineStr">
        <is>
          <t>Itaguai</t>
        </is>
      </c>
      <c r="C2172" s="30" t="n">
        <v>11221807</v>
      </c>
      <c r="D2172" s="30">
        <f>"07516980002253"</f>
        <v/>
      </c>
      <c r="E2172" s="30" t="inlineStr">
        <is>
          <t>XYZ77 TELECOMUNICACOES LTDA</t>
        </is>
      </c>
      <c r="F2172" s="30" t="inlineStr">
        <is>
          <t>2017</t>
        </is>
      </c>
      <c r="G2172" s="40" t="n">
        <v>0</v>
      </c>
    </row>
    <row r="2173" ht="12" customHeight="1">
      <c r="A2173" s="30" t="inlineStr">
        <is>
          <t>ITG</t>
        </is>
      </c>
      <c r="B2173" s="30" t="inlineStr">
        <is>
          <t>Itaguai</t>
        </is>
      </c>
      <c r="C2173" s="30" t="n">
        <v>11221807</v>
      </c>
      <c r="D2173" s="30">
        <f>"07516980002253"</f>
        <v/>
      </c>
      <c r="E2173" s="30" t="inlineStr">
        <is>
          <t>XYZ77 TELECOMUNICACOES LTDA</t>
        </is>
      </c>
      <c r="F2173" s="30" t="inlineStr">
        <is>
          <t>2018</t>
        </is>
      </c>
      <c r="G2173" s="40" t="n">
        <v>0</v>
      </c>
    </row>
    <row r="2174" ht="12" customHeight="1">
      <c r="A2174" s="30" t="inlineStr">
        <is>
          <t>ITG</t>
        </is>
      </c>
      <c r="B2174" s="30" t="inlineStr">
        <is>
          <t>Itaguai</t>
        </is>
      </c>
      <c r="C2174" s="30" t="n">
        <v>11221807</v>
      </c>
      <c r="D2174" s="30">
        <f>"07516980002253"</f>
        <v/>
      </c>
      <c r="E2174" s="30" t="inlineStr">
        <is>
          <t>XYZ77 TELECOMUNICACOES LTDA</t>
        </is>
      </c>
      <c r="F2174" s="30" t="inlineStr">
        <is>
          <t>2019</t>
        </is>
      </c>
      <c r="G2174" s="40" t="n">
        <v>0</v>
      </c>
    </row>
    <row r="2175" ht="12" customHeight="1">
      <c r="A2175" s="30" t="inlineStr">
        <is>
          <t>ITG</t>
        </is>
      </c>
      <c r="B2175" s="30" t="inlineStr">
        <is>
          <t>Itaguai</t>
        </is>
      </c>
      <c r="C2175" s="30" t="n">
        <v>11221807</v>
      </c>
      <c r="D2175" s="30">
        <f>"07516980002253"</f>
        <v/>
      </c>
      <c r="E2175" s="30" t="inlineStr">
        <is>
          <t>XYZ77 TELECOMUNICACOES LTDA</t>
        </is>
      </c>
      <c r="F2175" s="30" t="inlineStr">
        <is>
          <t>2020</t>
        </is>
      </c>
      <c r="G2175" s="40" t="n">
        <v>334764.85</v>
      </c>
    </row>
    <row r="2176" ht="12" customHeight="1">
      <c r="A2176" s="30" t="inlineStr">
        <is>
          <t>ITG</t>
        </is>
      </c>
      <c r="B2176" s="30" t="inlineStr">
        <is>
          <t>Itaguai</t>
        </is>
      </c>
      <c r="C2176" s="30" t="n">
        <v>11221807</v>
      </c>
      <c r="D2176" s="30">
        <f>"07516980002253"</f>
        <v/>
      </c>
      <c r="E2176" s="30" t="inlineStr">
        <is>
          <t>XYZ77 TELECOMUNICACOES LTDA</t>
        </is>
      </c>
      <c r="F2176" s="30" t="inlineStr">
        <is>
          <t>2021</t>
        </is>
      </c>
      <c r="G2176" s="40" t="n">
        <v>0</v>
      </c>
    </row>
    <row r="2177" ht="12" customHeight="1">
      <c r="A2177" s="30" t="inlineStr">
        <is>
          <t>ITG</t>
        </is>
      </c>
      <c r="B2177" s="30" t="inlineStr">
        <is>
          <t>Itaguai</t>
        </is>
      </c>
      <c r="C2177" s="30" t="n">
        <v>11221807</v>
      </c>
      <c r="D2177" s="30">
        <f>"07516980002253"</f>
        <v/>
      </c>
      <c r="E2177" s="30" t="inlineStr">
        <is>
          <t>XYZ77 TELECOMUNICACOES LTDA</t>
        </is>
      </c>
      <c r="F2177" s="30" t="inlineStr">
        <is>
          <t>2022</t>
        </is>
      </c>
      <c r="G2177" s="40" t="n">
        <v>472770.03</v>
      </c>
    </row>
    <row r="2178" ht="12" customHeight="1">
      <c r="A2178" s="30" t="inlineStr">
        <is>
          <t>ITG</t>
        </is>
      </c>
      <c r="B2178" s="30" t="inlineStr">
        <is>
          <t>Itaguai</t>
        </is>
      </c>
      <c r="C2178" s="30" t="n">
        <v>11221807</v>
      </c>
      <c r="D2178" s="30">
        <f>"07516980002253"</f>
        <v/>
      </c>
      <c r="E2178" s="30" t="inlineStr">
        <is>
          <t>XYZ77 TELECOMUNICACOES LTDA</t>
        </is>
      </c>
      <c r="F2178" s="30" t="inlineStr">
        <is>
          <t>2023</t>
        </is>
      </c>
      <c r="G2178" s="40" t="n">
        <v>792371.03</v>
      </c>
    </row>
    <row r="2179" ht="12" customHeight="1">
      <c r="A2179" s="30" t="inlineStr">
        <is>
          <t>ITG</t>
        </is>
      </c>
      <c r="B2179" s="30" t="inlineStr">
        <is>
          <t>Itaguai</t>
        </is>
      </c>
      <c r="C2179" s="30" t="n">
        <v>11224830</v>
      </c>
      <c r="D2179" s="30">
        <f>"13844690000107"</f>
        <v/>
      </c>
      <c r="E2179" s="30" t="inlineStr">
        <is>
          <t>SEROPEC AGROPECU?RIA EIRELI</t>
        </is>
      </c>
      <c r="F2179" s="30" t="inlineStr">
        <is>
          <t>2017</t>
        </is>
      </c>
      <c r="G2179" s="40" t="n">
        <v>0</v>
      </c>
    </row>
    <row r="2180" ht="12" customHeight="1">
      <c r="A2180" s="30" t="inlineStr">
        <is>
          <t>ITG</t>
        </is>
      </c>
      <c r="B2180" s="30" t="inlineStr">
        <is>
          <t>Itaguai</t>
        </is>
      </c>
      <c r="C2180" s="30" t="n">
        <v>11224830</v>
      </c>
      <c r="D2180" s="30">
        <f>"13844690000107"</f>
        <v/>
      </c>
      <c r="E2180" s="30" t="inlineStr">
        <is>
          <t>SEROPEC AGROPECU?RIA EIRELI</t>
        </is>
      </c>
      <c r="F2180" s="30" t="inlineStr">
        <is>
          <t>2018</t>
        </is>
      </c>
      <c r="G2180" s="40" t="n">
        <v>0</v>
      </c>
    </row>
    <row r="2181" ht="12" customHeight="1">
      <c r="A2181" s="30" t="inlineStr">
        <is>
          <t>ITG</t>
        </is>
      </c>
      <c r="B2181" s="30" t="inlineStr">
        <is>
          <t>Itaguai</t>
        </is>
      </c>
      <c r="C2181" s="30" t="n">
        <v>11224830</v>
      </c>
      <c r="D2181" s="30">
        <f>"13844690000107"</f>
        <v/>
      </c>
      <c r="E2181" s="30" t="inlineStr">
        <is>
          <t>SEROPEC AGROPECU?RIA EIRELI</t>
        </is>
      </c>
      <c r="F2181" s="30" t="inlineStr">
        <is>
          <t>2019</t>
        </is>
      </c>
      <c r="G2181" s="40" t="n">
        <v>0</v>
      </c>
    </row>
    <row r="2182" ht="12" customHeight="1">
      <c r="A2182" s="30" t="inlineStr">
        <is>
          <t>ITG</t>
        </is>
      </c>
      <c r="B2182" s="30" t="inlineStr">
        <is>
          <t>Itaguai</t>
        </is>
      </c>
      <c r="C2182" s="30" t="n">
        <v>11224830</v>
      </c>
      <c r="D2182" s="30">
        <f>"13844690000107"</f>
        <v/>
      </c>
      <c r="E2182" s="30" t="inlineStr">
        <is>
          <t>SEROPEC AGROPECU?RIA EIRELI</t>
        </is>
      </c>
      <c r="F2182" s="30" t="inlineStr">
        <is>
          <t>2020</t>
        </is>
      </c>
      <c r="G2182" s="40" t="n">
        <v>0</v>
      </c>
    </row>
    <row r="2183" ht="12" customHeight="1">
      <c r="A2183" s="30" t="inlineStr">
        <is>
          <t>ITG</t>
        </is>
      </c>
      <c r="B2183" s="30" t="inlineStr">
        <is>
          <t>Itaguai</t>
        </is>
      </c>
      <c r="C2183" s="30" t="n">
        <v>11226590</v>
      </c>
      <c r="D2183" s="30">
        <f>"16561209000245"</f>
        <v/>
      </c>
      <c r="E2183" s="30" t="inlineStr">
        <is>
          <t>BELMAQ ALUGUEIS LTDA</t>
        </is>
      </c>
      <c r="F2183" s="30" t="inlineStr">
        <is>
          <t>2020</t>
        </is>
      </c>
      <c r="G2183" s="40" t="n">
        <v>0</v>
      </c>
    </row>
    <row r="2184" ht="12" customHeight="1">
      <c r="A2184" s="30" t="inlineStr">
        <is>
          <t>ITG</t>
        </is>
      </c>
      <c r="B2184" s="30" t="inlineStr">
        <is>
          <t>Itaguai</t>
        </is>
      </c>
      <c r="C2184" s="30" t="n">
        <v>11226590</v>
      </c>
      <c r="D2184" s="30">
        <f>"16561209000245"</f>
        <v/>
      </c>
      <c r="E2184" s="30" t="inlineStr">
        <is>
          <t>BELMAQ ALUGUEIS LTDA</t>
        </is>
      </c>
      <c r="F2184" s="30" t="inlineStr">
        <is>
          <t>2021</t>
        </is>
      </c>
      <c r="G2184" s="40" t="n">
        <v>0</v>
      </c>
    </row>
    <row r="2185" ht="12" customHeight="1">
      <c r="A2185" s="30" t="inlineStr">
        <is>
          <t>ITG</t>
        </is>
      </c>
      <c r="B2185" s="30" t="inlineStr">
        <is>
          <t>Itaguai</t>
        </is>
      </c>
      <c r="C2185" s="30" t="n">
        <v>11226590</v>
      </c>
      <c r="D2185" s="30">
        <f>"16561209000245"</f>
        <v/>
      </c>
      <c r="E2185" s="30" t="inlineStr">
        <is>
          <t>BELMAQ ALUGUEIS LTDA</t>
        </is>
      </c>
      <c r="F2185" s="30" t="inlineStr">
        <is>
          <t>2022</t>
        </is>
      </c>
      <c r="G2185" s="40" t="n">
        <v>3000</v>
      </c>
    </row>
    <row r="2186" ht="12" customHeight="1">
      <c r="A2186" s="30" t="inlineStr">
        <is>
          <t>ITG</t>
        </is>
      </c>
      <c r="B2186" s="30" t="inlineStr">
        <is>
          <t>Itaguai</t>
        </is>
      </c>
      <c r="C2186" s="30" t="n">
        <v>11226590</v>
      </c>
      <c r="D2186" s="30">
        <f>"16561209000245"</f>
        <v/>
      </c>
      <c r="E2186" s="30" t="inlineStr">
        <is>
          <t>BELMAQ ALUGUEIS LTDA</t>
        </is>
      </c>
      <c r="F2186" s="30" t="inlineStr">
        <is>
          <t>2023</t>
        </is>
      </c>
      <c r="G2186" s="40" t="n">
        <v>3000</v>
      </c>
    </row>
    <row r="2187" ht="12" customHeight="1">
      <c r="A2187" s="30" t="inlineStr">
        <is>
          <t>ITG</t>
        </is>
      </c>
      <c r="B2187" s="30" t="inlineStr">
        <is>
          <t>Itaguai</t>
        </is>
      </c>
      <c r="C2187" s="30" t="n">
        <v>11236499</v>
      </c>
      <c r="D2187" s="30">
        <f>"73305997000757"</f>
        <v/>
      </c>
      <c r="E2187" s="30" t="inlineStr">
        <is>
          <t>REMA TIP TOP SERVICOS DE VULCANIZACAO LTDA</t>
        </is>
      </c>
      <c r="F2187" s="30" t="inlineStr">
        <is>
          <t>2019</t>
        </is>
      </c>
      <c r="G2187" s="40" t="n">
        <v>0</v>
      </c>
    </row>
    <row r="2188" ht="12" customHeight="1">
      <c r="A2188" s="30" t="inlineStr">
        <is>
          <t>ITG</t>
        </is>
      </c>
      <c r="B2188" s="30" t="inlineStr">
        <is>
          <t>Itaguai</t>
        </is>
      </c>
      <c r="C2188" s="30" t="n">
        <v>11236499</v>
      </c>
      <c r="D2188" s="30">
        <f>"73305997000757"</f>
        <v/>
      </c>
      <c r="E2188" s="30" t="inlineStr">
        <is>
          <t>REMA TIP TOP SERVICOS DE VULCANIZACAO LTDA</t>
        </is>
      </c>
      <c r="F2188" s="30" t="inlineStr">
        <is>
          <t>2020</t>
        </is>
      </c>
      <c r="G2188" s="40" t="n">
        <v>0</v>
      </c>
    </row>
    <row r="2189" ht="12" customHeight="1">
      <c r="A2189" s="30" t="inlineStr">
        <is>
          <t>ITG</t>
        </is>
      </c>
      <c r="B2189" s="30" t="inlineStr">
        <is>
          <t>Itaguai</t>
        </is>
      </c>
      <c r="C2189" s="30" t="n">
        <v>11236499</v>
      </c>
      <c r="D2189" s="30">
        <f>"73305997000757"</f>
        <v/>
      </c>
      <c r="E2189" s="30" t="inlineStr">
        <is>
          <t>REMA TIP TOP SERVICOS DE VULCANIZACAO LTDA</t>
        </is>
      </c>
      <c r="F2189" s="30" t="inlineStr">
        <is>
          <t>2021</t>
        </is>
      </c>
      <c r="G2189" s="40" t="n">
        <v>0</v>
      </c>
    </row>
    <row r="2190" ht="12" customHeight="1">
      <c r="A2190" s="30" t="inlineStr">
        <is>
          <t>ITG</t>
        </is>
      </c>
      <c r="B2190" s="30" t="inlineStr">
        <is>
          <t>Itaguai</t>
        </is>
      </c>
      <c r="C2190" s="30" t="n">
        <v>11236499</v>
      </c>
      <c r="D2190" s="30">
        <f>"73305997000757"</f>
        <v/>
      </c>
      <c r="E2190" s="30" t="inlineStr">
        <is>
          <t>REMA TIP TOP SERVICOS DE VULCANIZACAO LTDA</t>
        </is>
      </c>
      <c r="F2190" s="30" t="inlineStr">
        <is>
          <t>2022</t>
        </is>
      </c>
      <c r="G2190" s="40" t="n">
        <v>117246.24</v>
      </c>
    </row>
    <row r="2191" ht="12" customHeight="1">
      <c r="A2191" s="30" t="inlineStr">
        <is>
          <t>ITG</t>
        </is>
      </c>
      <c r="B2191" s="30" t="inlineStr">
        <is>
          <t>Itaguai</t>
        </is>
      </c>
      <c r="C2191" s="30" t="n">
        <v>11236499</v>
      </c>
      <c r="D2191" s="30">
        <f>"73305997000757"</f>
        <v/>
      </c>
      <c r="E2191" s="30" t="inlineStr">
        <is>
          <t>REMA TIP TOP SERVICOS DE VULCANIZACAO LTDA</t>
        </is>
      </c>
      <c r="F2191" s="30" t="inlineStr">
        <is>
          <t>2023</t>
        </is>
      </c>
      <c r="G2191" s="40" t="n">
        <v>0</v>
      </c>
    </row>
    <row r="2192" ht="12" customHeight="1">
      <c r="A2192" s="30" t="inlineStr">
        <is>
          <t>ITG</t>
        </is>
      </c>
      <c r="B2192" s="30" t="inlineStr">
        <is>
          <t>Itaguai</t>
        </is>
      </c>
      <c r="C2192" s="30" t="n">
        <v>11258921</v>
      </c>
      <c r="D2192" s="30">
        <f>"13777330000130"</f>
        <v/>
      </c>
      <c r="E2192" s="30" t="inlineStr">
        <is>
          <t>H2 POWER ENERGIA EIRELI</t>
        </is>
      </c>
      <c r="F2192" s="30" t="inlineStr">
        <is>
          <t>2017</t>
        </is>
      </c>
      <c r="G2192" s="40" t="n">
        <v>0</v>
      </c>
    </row>
    <row r="2193" ht="12" customHeight="1">
      <c r="A2193" s="30" t="inlineStr">
        <is>
          <t>ITG</t>
        </is>
      </c>
      <c r="B2193" s="30" t="inlineStr">
        <is>
          <t>Itaguai</t>
        </is>
      </c>
      <c r="C2193" s="30" t="n">
        <v>11258921</v>
      </c>
      <c r="D2193" s="30">
        <f>"13777330000130"</f>
        <v/>
      </c>
      <c r="E2193" s="30" t="inlineStr">
        <is>
          <t>H2 POWER ENERGIA EIRELI</t>
        </is>
      </c>
      <c r="F2193" s="30" t="inlineStr">
        <is>
          <t>2018</t>
        </is>
      </c>
      <c r="G2193" s="40" t="n">
        <v>0</v>
      </c>
    </row>
    <row r="2194" ht="12" customHeight="1">
      <c r="A2194" s="30" t="inlineStr">
        <is>
          <t>ITG</t>
        </is>
      </c>
      <c r="B2194" s="30" t="inlineStr">
        <is>
          <t>Itaguai</t>
        </is>
      </c>
      <c r="C2194" s="30" t="n">
        <v>11258921</v>
      </c>
      <c r="D2194" s="30">
        <f>"13777330000130"</f>
        <v/>
      </c>
      <c r="E2194" s="30" t="inlineStr">
        <is>
          <t>H2 POWER ENERGIA EIRELI</t>
        </is>
      </c>
      <c r="F2194" s="30" t="inlineStr">
        <is>
          <t>2019</t>
        </is>
      </c>
      <c r="G2194" s="40" t="n">
        <v>0</v>
      </c>
    </row>
    <row r="2195" ht="12" customHeight="1">
      <c r="A2195" s="30" t="inlineStr">
        <is>
          <t>ITG</t>
        </is>
      </c>
      <c r="B2195" s="30" t="inlineStr">
        <is>
          <t>Itaguai</t>
        </is>
      </c>
      <c r="C2195" s="30" t="n">
        <v>11258921</v>
      </c>
      <c r="D2195" s="30">
        <f>"13777330000130"</f>
        <v/>
      </c>
      <c r="E2195" s="30" t="inlineStr">
        <is>
          <t>H2 POWER ENERGIA EIRELI</t>
        </is>
      </c>
      <c r="F2195" s="30" t="inlineStr">
        <is>
          <t>2020</t>
        </is>
      </c>
      <c r="G2195" s="40" t="n">
        <v>0</v>
      </c>
    </row>
    <row r="2196" ht="12" customHeight="1">
      <c r="A2196" s="30" t="inlineStr">
        <is>
          <t>ITG</t>
        </is>
      </c>
      <c r="B2196" s="30" t="inlineStr">
        <is>
          <t>Itaguai</t>
        </is>
      </c>
      <c r="C2196" s="30" t="n">
        <v>11258921</v>
      </c>
      <c r="D2196" s="30">
        <f>"13777330000130"</f>
        <v/>
      </c>
      <c r="E2196" s="30" t="inlineStr">
        <is>
          <t>H2 POWER ENERGIA EIRELI</t>
        </is>
      </c>
      <c r="F2196" s="30" t="inlineStr">
        <is>
          <t>2021</t>
        </is>
      </c>
      <c r="G2196" s="40" t="n">
        <v>0</v>
      </c>
    </row>
    <row r="2197" ht="12" customHeight="1">
      <c r="A2197" s="30" t="inlineStr">
        <is>
          <t>ITG</t>
        </is>
      </c>
      <c r="B2197" s="30" t="inlineStr">
        <is>
          <t>Itaguai</t>
        </is>
      </c>
      <c r="C2197" s="30" t="n">
        <v>11266088</v>
      </c>
      <c r="D2197" s="30">
        <f>"31625963000104"</f>
        <v/>
      </c>
      <c r="E2197" s="30" t="inlineStr">
        <is>
          <t>MCW MANUTENÇÃO E INSTALAÇÃO LTDA</t>
        </is>
      </c>
      <c r="F2197" s="30" t="inlineStr">
        <is>
          <t>2017</t>
        </is>
      </c>
      <c r="G2197" s="40" t="n">
        <v>0</v>
      </c>
    </row>
    <row r="2198" ht="12" customHeight="1">
      <c r="A2198" s="30" t="inlineStr">
        <is>
          <t>ITG</t>
        </is>
      </c>
      <c r="B2198" s="30" t="inlineStr">
        <is>
          <t>Itaguai</t>
        </is>
      </c>
      <c r="C2198" s="30" t="n">
        <v>11266088</v>
      </c>
      <c r="D2198" s="30">
        <f>"31625963000104"</f>
        <v/>
      </c>
      <c r="E2198" s="30" t="inlineStr">
        <is>
          <t>MCW MANUTENÇÃO E INSTALAÇÃO LTDA</t>
        </is>
      </c>
      <c r="F2198" s="30" t="inlineStr">
        <is>
          <t>2018</t>
        </is>
      </c>
      <c r="G2198" s="40" t="n">
        <v>0</v>
      </c>
    </row>
    <row r="2199" ht="12" customHeight="1">
      <c r="A2199" s="30" t="inlineStr">
        <is>
          <t>ITG</t>
        </is>
      </c>
      <c r="B2199" s="30" t="inlineStr">
        <is>
          <t>Itaguai</t>
        </is>
      </c>
      <c r="C2199" s="30" t="n">
        <v>11266088</v>
      </c>
      <c r="D2199" s="30">
        <f>"31625963000104"</f>
        <v/>
      </c>
      <c r="E2199" s="30" t="inlineStr">
        <is>
          <t>MCW MANUTENÇÃO E INSTALAÇÃO LTDA</t>
        </is>
      </c>
      <c r="F2199" s="30" t="inlineStr">
        <is>
          <t>2019</t>
        </is>
      </c>
      <c r="G2199" s="40" t="n">
        <v>0</v>
      </c>
    </row>
    <row r="2200" ht="12" customHeight="1">
      <c r="A2200" s="30" t="inlineStr">
        <is>
          <t>ITG</t>
        </is>
      </c>
      <c r="B2200" s="30" t="inlineStr">
        <is>
          <t>Itaguai</t>
        </is>
      </c>
      <c r="C2200" s="30" t="n">
        <v>11266088</v>
      </c>
      <c r="D2200" s="30">
        <f>"31625963000104"</f>
        <v/>
      </c>
      <c r="E2200" s="30" t="inlineStr">
        <is>
          <t>MCW MANUTENÇÃO E INSTALAÇÃO LTDA</t>
        </is>
      </c>
      <c r="F2200" s="30" t="inlineStr">
        <is>
          <t>2020</t>
        </is>
      </c>
      <c r="G2200" s="40" t="n">
        <v>0</v>
      </c>
    </row>
    <row r="2201" ht="12" customHeight="1">
      <c r="A2201" s="30" t="inlineStr">
        <is>
          <t>ITG</t>
        </is>
      </c>
      <c r="B2201" s="30" t="inlineStr">
        <is>
          <t>Itaguai</t>
        </is>
      </c>
      <c r="C2201" s="30" t="n">
        <v>11266088</v>
      </c>
      <c r="D2201" s="30">
        <f>"31625963000104"</f>
        <v/>
      </c>
      <c r="E2201" s="30" t="inlineStr">
        <is>
          <t>MCW MANUTENÇÃO E INSTALAÇÃO LTDA</t>
        </is>
      </c>
      <c r="F2201" s="30" t="inlineStr">
        <is>
          <t>2021</t>
        </is>
      </c>
      <c r="G2201" s="40" t="n">
        <v>0</v>
      </c>
    </row>
    <row r="2202" ht="12" customHeight="1">
      <c r="A2202" s="30" t="inlineStr">
        <is>
          <t>ITG</t>
        </is>
      </c>
      <c r="B2202" s="30" t="inlineStr">
        <is>
          <t>Itaguai</t>
        </is>
      </c>
      <c r="C2202" s="30" t="n">
        <v>11266088</v>
      </c>
      <c r="D2202" s="30">
        <f>"31625963000104"</f>
        <v/>
      </c>
      <c r="E2202" s="30" t="inlineStr">
        <is>
          <t>MCW MANUTENÇÃO E INSTALAÇÃO LTDA</t>
        </is>
      </c>
      <c r="F2202" s="30" t="inlineStr">
        <is>
          <t>2022</t>
        </is>
      </c>
      <c r="G2202" s="40" t="n">
        <v>0</v>
      </c>
    </row>
    <row r="2203" ht="12" customHeight="1">
      <c r="A2203" s="30" t="inlineStr">
        <is>
          <t>ITG</t>
        </is>
      </c>
      <c r="B2203" s="30" t="inlineStr">
        <is>
          <t>Itaguai</t>
        </is>
      </c>
      <c r="C2203" s="30" t="n">
        <v>11266088</v>
      </c>
      <c r="D2203" s="30">
        <f>"31625963000104"</f>
        <v/>
      </c>
      <c r="E2203" s="30" t="inlineStr">
        <is>
          <t>MCW MANUTENÇÃO E INSTALAÇÃO LTDA</t>
        </is>
      </c>
      <c r="F2203" s="30" t="inlineStr">
        <is>
          <t>2023</t>
        </is>
      </c>
      <c r="G2203" s="40" t="n">
        <v>2371.43</v>
      </c>
    </row>
    <row r="2204" ht="12" customHeight="1">
      <c r="A2204" s="30" t="inlineStr">
        <is>
          <t>ITG</t>
        </is>
      </c>
      <c r="B2204" s="30" t="inlineStr">
        <is>
          <t>Itaguai</t>
        </is>
      </c>
      <c r="C2204" s="30" t="n">
        <v>11268366</v>
      </c>
      <c r="D2204" s="30">
        <f>"02954620000861"</f>
        <v/>
      </c>
      <c r="E2204" s="30" t="inlineStr">
        <is>
          <t>TBNET COMERCIO, LOCACAO E ADMINISTRACAO LTDA</t>
        </is>
      </c>
      <c r="F2204" s="30" t="inlineStr">
        <is>
          <t>2017</t>
        </is>
      </c>
      <c r="G2204" s="40" t="n">
        <v>0</v>
      </c>
    </row>
    <row r="2205" ht="12" customHeight="1">
      <c r="A2205" s="30" t="inlineStr">
        <is>
          <t>ITG</t>
        </is>
      </c>
      <c r="B2205" s="30" t="inlineStr">
        <is>
          <t>Itaguai</t>
        </is>
      </c>
      <c r="C2205" s="30" t="n">
        <v>11268366</v>
      </c>
      <c r="D2205" s="30">
        <f>"02954620000861"</f>
        <v/>
      </c>
      <c r="E2205" s="30" t="inlineStr">
        <is>
          <t>TBNET COMERCIO, LOCACAO E ADMINISTRACAO LTDA</t>
        </is>
      </c>
      <c r="F2205" s="30" t="inlineStr">
        <is>
          <t>2018</t>
        </is>
      </c>
      <c r="G2205" s="40" t="n">
        <v>0</v>
      </c>
    </row>
    <row r="2206" ht="12" customHeight="1">
      <c r="A2206" s="30" t="inlineStr">
        <is>
          <t>ITG</t>
        </is>
      </c>
      <c r="B2206" s="30" t="inlineStr">
        <is>
          <t>Itaguai</t>
        </is>
      </c>
      <c r="C2206" s="30" t="n">
        <v>11268366</v>
      </c>
      <c r="D2206" s="30">
        <f>"02954620000861"</f>
        <v/>
      </c>
      <c r="E2206" s="30" t="inlineStr">
        <is>
          <t>TBNET COMERCIO, LOCACAO E ADMINISTRACAO LTDA</t>
        </is>
      </c>
      <c r="F2206" s="30" t="inlineStr">
        <is>
          <t>2019</t>
        </is>
      </c>
      <c r="G2206" s="40" t="n">
        <v>4108.28</v>
      </c>
    </row>
    <row r="2207" ht="12" customHeight="1">
      <c r="A2207" s="30" t="inlineStr">
        <is>
          <t>ITG</t>
        </is>
      </c>
      <c r="B2207" s="30" t="inlineStr">
        <is>
          <t>Itaguai</t>
        </is>
      </c>
      <c r="C2207" s="30" t="n">
        <v>11268366</v>
      </c>
      <c r="D2207" s="30">
        <f>"02954620000861"</f>
        <v/>
      </c>
      <c r="E2207" s="30" t="inlineStr">
        <is>
          <t>TBNET COMERCIO, LOCACAO E ADMINISTRACAO LTDA</t>
        </is>
      </c>
      <c r="F2207" s="30" t="inlineStr">
        <is>
          <t>2020</t>
        </is>
      </c>
      <c r="G2207" s="40" t="n">
        <v>6698.5</v>
      </c>
    </row>
    <row r="2208" ht="12" customHeight="1">
      <c r="A2208" s="30" t="inlineStr">
        <is>
          <t>ITG</t>
        </is>
      </c>
      <c r="B2208" s="30" t="inlineStr">
        <is>
          <t>Itaguai</t>
        </is>
      </c>
      <c r="C2208" s="30" t="n">
        <v>11268366</v>
      </c>
      <c r="D2208" s="30">
        <f>"02954620000861"</f>
        <v/>
      </c>
      <c r="E2208" s="30" t="inlineStr">
        <is>
          <t>TBNET COMERCIO, LOCACAO E ADMINISTRACAO LTDA</t>
        </is>
      </c>
      <c r="F2208" s="30" t="inlineStr">
        <is>
          <t>2021</t>
        </is>
      </c>
      <c r="G2208" s="40" t="n">
        <v>8915.34</v>
      </c>
    </row>
    <row r="2209" ht="12" customHeight="1">
      <c r="A2209" s="30" t="inlineStr">
        <is>
          <t>ITG</t>
        </is>
      </c>
      <c r="B2209" s="30" t="inlineStr">
        <is>
          <t>Itaguai</t>
        </is>
      </c>
      <c r="C2209" s="30" t="n">
        <v>11268366</v>
      </c>
      <c r="D2209" s="30">
        <f>"02954620000861"</f>
        <v/>
      </c>
      <c r="E2209" s="30" t="inlineStr">
        <is>
          <t>TBNET COMERCIO, LOCACAO E ADMINISTRACAO LTDA</t>
        </is>
      </c>
      <c r="F2209" s="30" t="inlineStr">
        <is>
          <t>2022</t>
        </is>
      </c>
      <c r="G2209" s="40" t="n">
        <v>8239.24</v>
      </c>
    </row>
    <row r="2210" ht="12" customHeight="1">
      <c r="A2210" s="30" t="inlineStr">
        <is>
          <t>ITG</t>
        </is>
      </c>
      <c r="B2210" s="30" t="inlineStr">
        <is>
          <t>Itaguai</t>
        </is>
      </c>
      <c r="C2210" s="30" t="n">
        <v>11268366</v>
      </c>
      <c r="D2210" s="30">
        <f>"02954620000861"</f>
        <v/>
      </c>
      <c r="E2210" s="30" t="inlineStr">
        <is>
          <t>TBNET COMERCIO, LOCACAO E ADMINISTRACAO LTDA</t>
        </is>
      </c>
      <c r="F2210" s="30" t="inlineStr">
        <is>
          <t>2023</t>
        </is>
      </c>
      <c r="G2210" s="40" t="n">
        <v>12451.55</v>
      </c>
    </row>
    <row r="2211" ht="12" customHeight="1">
      <c r="A2211" s="30" t="inlineStr">
        <is>
          <t>ITG</t>
        </is>
      </c>
      <c r="B2211" s="30" t="inlineStr">
        <is>
          <t>Itaguai</t>
        </is>
      </c>
      <c r="C2211" s="30" t="n">
        <v>11275672</v>
      </c>
      <c r="D2211" s="30">
        <f>"04136497000120"</f>
        <v/>
      </c>
      <c r="E2211" s="30" t="inlineStr">
        <is>
          <t>S. R. INCORPORAÇÕES LTDA</t>
        </is>
      </c>
      <c r="F2211" s="30" t="inlineStr">
        <is>
          <t>2017</t>
        </is>
      </c>
      <c r="G2211" s="40" t="n">
        <v>0</v>
      </c>
    </row>
    <row r="2212" ht="12" customHeight="1">
      <c r="A2212" s="30" t="inlineStr">
        <is>
          <t>ITG</t>
        </is>
      </c>
      <c r="B2212" s="30" t="inlineStr">
        <is>
          <t>Itaguai</t>
        </is>
      </c>
      <c r="C2212" s="30" t="n">
        <v>11275672</v>
      </c>
      <c r="D2212" s="30">
        <f>"04136497000120"</f>
        <v/>
      </c>
      <c r="E2212" s="30" t="inlineStr">
        <is>
          <t>S. R. INCORPORAÇÕES LTDA</t>
        </is>
      </c>
      <c r="F2212" s="30" t="inlineStr">
        <is>
          <t>2018</t>
        </is>
      </c>
      <c r="G2212" s="40" t="n">
        <v>0</v>
      </c>
    </row>
    <row r="2213" ht="12" customHeight="1">
      <c r="A2213" s="30" t="inlineStr">
        <is>
          <t>ITG</t>
        </is>
      </c>
      <c r="B2213" s="30" t="inlineStr">
        <is>
          <t>Itaguai</t>
        </is>
      </c>
      <c r="C2213" s="30" t="n">
        <v>11275672</v>
      </c>
      <c r="D2213" s="30">
        <f>"04136497000120"</f>
        <v/>
      </c>
      <c r="E2213" s="30" t="inlineStr">
        <is>
          <t>S. R. INCORPORAÇÕES LTDA</t>
        </is>
      </c>
      <c r="F2213" s="30" t="inlineStr">
        <is>
          <t>2019</t>
        </is>
      </c>
      <c r="G2213" s="40" t="n">
        <v>0</v>
      </c>
    </row>
    <row r="2214" ht="12" customHeight="1">
      <c r="A2214" s="30" t="inlineStr">
        <is>
          <t>ITG</t>
        </is>
      </c>
      <c r="B2214" s="30" t="inlineStr">
        <is>
          <t>Itaguai</t>
        </is>
      </c>
      <c r="C2214" s="30" t="n">
        <v>11275672</v>
      </c>
      <c r="D2214" s="30">
        <f>"04136497000120"</f>
        <v/>
      </c>
      <c r="E2214" s="30" t="inlineStr">
        <is>
          <t>S. R. INCORPORAÇÕES LTDA</t>
        </is>
      </c>
      <c r="F2214" s="30" t="inlineStr">
        <is>
          <t>2020</t>
        </is>
      </c>
      <c r="G2214" s="40" t="n">
        <v>0</v>
      </c>
    </row>
    <row r="2215" ht="12" customHeight="1">
      <c r="A2215" s="30" t="inlineStr">
        <is>
          <t>ITG</t>
        </is>
      </c>
      <c r="B2215" s="30" t="inlineStr">
        <is>
          <t>Itaguai</t>
        </is>
      </c>
      <c r="C2215" s="30" t="n">
        <v>11275672</v>
      </c>
      <c r="D2215" s="30">
        <f>"04136497000120"</f>
        <v/>
      </c>
      <c r="E2215" s="30" t="inlineStr">
        <is>
          <t>S. R. INCORPORAÇÕES LTDA</t>
        </is>
      </c>
      <c r="F2215" s="30" t="inlineStr">
        <is>
          <t>2021</t>
        </is>
      </c>
      <c r="G2215" s="40" t="n">
        <v>0</v>
      </c>
    </row>
    <row r="2216" ht="12" customHeight="1">
      <c r="A2216" s="30" t="inlineStr">
        <is>
          <t>ITG</t>
        </is>
      </c>
      <c r="B2216" s="30" t="inlineStr">
        <is>
          <t>Itaguai</t>
        </is>
      </c>
      <c r="C2216" s="30" t="n">
        <v>11278892</v>
      </c>
      <c r="D2216" s="30">
        <f>"05112286000544"</f>
        <v/>
      </c>
      <c r="E2216" s="30" t="inlineStr">
        <is>
          <t>BINHO TRANSPORTES E LOGISTICA EIRELI</t>
        </is>
      </c>
      <c r="F2216" s="30" t="inlineStr">
        <is>
          <t>2020</t>
        </is>
      </c>
      <c r="G2216" s="40" t="n">
        <v>0</v>
      </c>
    </row>
    <row r="2217" ht="12" customHeight="1">
      <c r="A2217" s="30" t="inlineStr">
        <is>
          <t>ITG</t>
        </is>
      </c>
      <c r="B2217" s="30" t="inlineStr">
        <is>
          <t>Itaguai</t>
        </is>
      </c>
      <c r="C2217" s="30" t="n">
        <v>11278892</v>
      </c>
      <c r="D2217" s="30">
        <f>"05112286000544"</f>
        <v/>
      </c>
      <c r="E2217" s="30" t="inlineStr">
        <is>
          <t>BINHO TRANSPORTES E LOGISTICA EIRELI</t>
        </is>
      </c>
      <c r="F2217" s="30" t="inlineStr">
        <is>
          <t>2021</t>
        </is>
      </c>
      <c r="G2217" s="40" t="n">
        <v>0</v>
      </c>
    </row>
    <row r="2218" ht="12" customHeight="1">
      <c r="A2218" s="30" t="inlineStr">
        <is>
          <t>ITG</t>
        </is>
      </c>
      <c r="B2218" s="30" t="inlineStr">
        <is>
          <t>Itaguai</t>
        </is>
      </c>
      <c r="C2218" s="30" t="n">
        <v>11278892</v>
      </c>
      <c r="D2218" s="30">
        <f>"05112286000544"</f>
        <v/>
      </c>
      <c r="E2218" s="30" t="inlineStr">
        <is>
          <t>BINHO TRANSPORTES E LOGISTICA EIRELI</t>
        </is>
      </c>
      <c r="F2218" s="30" t="inlineStr">
        <is>
          <t>2022</t>
        </is>
      </c>
      <c r="G2218" s="40" t="n">
        <v>754.86</v>
      </c>
    </row>
    <row r="2219" ht="12" customHeight="1">
      <c r="A2219" s="30" t="inlineStr">
        <is>
          <t>ITG</t>
        </is>
      </c>
      <c r="B2219" s="30" t="inlineStr">
        <is>
          <t>Itaguai</t>
        </is>
      </c>
      <c r="C2219" s="30" t="n">
        <v>11278892</v>
      </c>
      <c r="D2219" s="30">
        <f>"05112286000544"</f>
        <v/>
      </c>
      <c r="E2219" s="30" t="inlineStr">
        <is>
          <t>BINHO TRANSPORTES E LOGISTICA EIRELI</t>
        </is>
      </c>
      <c r="F2219" s="30" t="inlineStr">
        <is>
          <t>2023</t>
        </is>
      </c>
      <c r="G2219" s="40" t="n">
        <v>0</v>
      </c>
    </row>
    <row r="2220" ht="12" customHeight="1">
      <c r="A2220" s="30" t="inlineStr">
        <is>
          <t>ITG</t>
        </is>
      </c>
      <c r="B2220" s="30" t="inlineStr">
        <is>
          <t>Itaguai</t>
        </is>
      </c>
      <c r="C2220" s="30" t="n">
        <v>11283969</v>
      </c>
      <c r="D2220" s="30">
        <f>"28441388000266"</f>
        <v/>
      </c>
      <c r="E2220" s="30" t="inlineStr">
        <is>
          <t>GROUP TRANS TRANSPORTES EIRELI</t>
        </is>
      </c>
      <c r="F2220" s="30" t="inlineStr">
        <is>
          <t>2018</t>
        </is>
      </c>
      <c r="G2220" s="40" t="n">
        <v>0</v>
      </c>
    </row>
    <row r="2221" ht="12" customHeight="1">
      <c r="A2221" s="30" t="inlineStr">
        <is>
          <t>ITG</t>
        </is>
      </c>
      <c r="B2221" s="30" t="inlineStr">
        <is>
          <t>Itaguai</t>
        </is>
      </c>
      <c r="C2221" s="30" t="n">
        <v>11283969</v>
      </c>
      <c r="D2221" s="30">
        <f>"28441388000266"</f>
        <v/>
      </c>
      <c r="E2221" s="30" t="inlineStr">
        <is>
          <t>GROUP TRANS TRANSPORTES EIRELI</t>
        </is>
      </c>
      <c r="F2221" s="30" t="inlineStr">
        <is>
          <t>2019</t>
        </is>
      </c>
      <c r="G2221" s="40" t="n">
        <v>0</v>
      </c>
    </row>
    <row r="2222" ht="12" customHeight="1">
      <c r="A2222" s="30" t="inlineStr">
        <is>
          <t>ITG</t>
        </is>
      </c>
      <c r="B2222" s="30" t="inlineStr">
        <is>
          <t>Itaguai</t>
        </is>
      </c>
      <c r="C2222" s="30" t="n">
        <v>11283969</v>
      </c>
      <c r="D2222" s="30">
        <f>"28441388000266"</f>
        <v/>
      </c>
      <c r="E2222" s="30" t="inlineStr">
        <is>
          <t>GROUP TRANS TRANSPORTES EIRELI</t>
        </is>
      </c>
      <c r="F2222" s="30" t="inlineStr">
        <is>
          <t>2020</t>
        </is>
      </c>
      <c r="G2222" s="40" t="n">
        <v>273.57</v>
      </c>
    </row>
    <row r="2223" ht="12" customHeight="1">
      <c r="A2223" s="30" t="inlineStr">
        <is>
          <t>ITG</t>
        </is>
      </c>
      <c r="B2223" s="30" t="inlineStr">
        <is>
          <t>Itaguai</t>
        </is>
      </c>
      <c r="C2223" s="30" t="n">
        <v>11283969</v>
      </c>
      <c r="D2223" s="30">
        <f>"28441388000266"</f>
        <v/>
      </c>
      <c r="E2223" s="30" t="inlineStr">
        <is>
          <t>GROUP TRANS TRANSPORTES EIRELI</t>
        </is>
      </c>
      <c r="F2223" s="30" t="inlineStr">
        <is>
          <t>2021</t>
        </is>
      </c>
      <c r="G2223" s="40" t="n">
        <v>0</v>
      </c>
    </row>
    <row r="2224" ht="12" customHeight="1">
      <c r="A2224" s="30" t="inlineStr">
        <is>
          <t>ITG</t>
        </is>
      </c>
      <c r="B2224" s="30" t="inlineStr">
        <is>
          <t>Itaguai</t>
        </is>
      </c>
      <c r="C2224" s="30" t="n">
        <v>11283969</v>
      </c>
      <c r="D2224" s="30">
        <f>"28441388000266"</f>
        <v/>
      </c>
      <c r="E2224" s="30" t="inlineStr">
        <is>
          <t>GROUP TRANS TRANSPORTES EIRELI</t>
        </is>
      </c>
      <c r="F2224" s="30" t="inlineStr">
        <is>
          <t>2022</t>
        </is>
      </c>
      <c r="G2224" s="40" t="n">
        <v>531</v>
      </c>
    </row>
    <row r="2225" ht="12" customHeight="1">
      <c r="A2225" s="30" t="inlineStr">
        <is>
          <t>ITG</t>
        </is>
      </c>
      <c r="B2225" s="30" t="inlineStr">
        <is>
          <t>Itaguai</t>
        </is>
      </c>
      <c r="C2225" s="30" t="n">
        <v>11283969</v>
      </c>
      <c r="D2225" s="30">
        <f>"28441388000266"</f>
        <v/>
      </c>
      <c r="E2225" s="30" t="inlineStr">
        <is>
          <t>GROUP TRANS TRANSPORTES EIRELI</t>
        </is>
      </c>
      <c r="F2225" s="30" t="inlineStr">
        <is>
          <t>2023</t>
        </is>
      </c>
      <c r="G2225" s="40" t="n">
        <v>145.87</v>
      </c>
    </row>
    <row r="2226" ht="12" customHeight="1">
      <c r="A2226" s="30" t="inlineStr">
        <is>
          <t>ITG</t>
        </is>
      </c>
      <c r="B2226" s="30" t="inlineStr">
        <is>
          <t>Itaguai</t>
        </is>
      </c>
      <c r="C2226" s="30" t="n">
        <v>11288570</v>
      </c>
      <c r="D2226" s="30">
        <f>"31663381000112"</f>
        <v/>
      </c>
      <c r="E2226" s="30" t="inlineStr">
        <is>
          <t>OFF RIO MOTORS VEICULOS LTDA</t>
        </is>
      </c>
      <c r="F2226" s="30" t="inlineStr">
        <is>
          <t>2017</t>
        </is>
      </c>
      <c r="G2226" s="40" t="n">
        <v>0</v>
      </c>
    </row>
    <row r="2227" ht="12" customHeight="1">
      <c r="A2227" s="30" t="inlineStr">
        <is>
          <t>ITG</t>
        </is>
      </c>
      <c r="B2227" s="30" t="inlineStr">
        <is>
          <t>Itaguai</t>
        </is>
      </c>
      <c r="C2227" s="30" t="n">
        <v>11288570</v>
      </c>
      <c r="D2227" s="30">
        <f>"31663381000112"</f>
        <v/>
      </c>
      <c r="E2227" s="30" t="inlineStr">
        <is>
          <t>OFF RIO MOTORS VEICULOS LTDA</t>
        </is>
      </c>
      <c r="F2227" s="30" t="inlineStr">
        <is>
          <t>2018</t>
        </is>
      </c>
      <c r="G2227" s="40" t="n">
        <v>0</v>
      </c>
    </row>
    <row r="2228" ht="12" customHeight="1">
      <c r="A2228" s="30" t="inlineStr">
        <is>
          <t>ITG</t>
        </is>
      </c>
      <c r="B2228" s="30" t="inlineStr">
        <is>
          <t>Itaguai</t>
        </is>
      </c>
      <c r="C2228" s="30" t="n">
        <v>11288570</v>
      </c>
      <c r="D2228" s="30">
        <f>"31663381000112"</f>
        <v/>
      </c>
      <c r="E2228" s="30" t="inlineStr">
        <is>
          <t>OFF RIO MOTORS VEICULOS LTDA</t>
        </is>
      </c>
      <c r="F2228" s="30" t="inlineStr">
        <is>
          <t>2019</t>
        </is>
      </c>
      <c r="G2228" s="40" t="n">
        <v>0</v>
      </c>
    </row>
    <row r="2229" ht="12" customHeight="1">
      <c r="A2229" s="30" t="inlineStr">
        <is>
          <t>ITG</t>
        </is>
      </c>
      <c r="B2229" s="30" t="inlineStr">
        <is>
          <t>Itaguai</t>
        </is>
      </c>
      <c r="C2229" s="30" t="n">
        <v>11288570</v>
      </c>
      <c r="D2229" s="30">
        <f>"31663381000112"</f>
        <v/>
      </c>
      <c r="E2229" s="30" t="inlineStr">
        <is>
          <t>OFF RIO MOTORS VEICULOS LTDA</t>
        </is>
      </c>
      <c r="F2229" s="30" t="inlineStr">
        <is>
          <t>2020</t>
        </is>
      </c>
      <c r="G2229" s="40" t="n">
        <v>0</v>
      </c>
    </row>
    <row r="2230" ht="12" customHeight="1">
      <c r="A2230" s="30" t="inlineStr">
        <is>
          <t>ITG</t>
        </is>
      </c>
      <c r="B2230" s="30" t="inlineStr">
        <is>
          <t>Itaguai</t>
        </is>
      </c>
      <c r="C2230" s="30" t="n">
        <v>11305377</v>
      </c>
      <c r="D2230" s="30">
        <f>"09537442000308"</f>
        <v/>
      </c>
      <c r="E2230" s="30" t="inlineStr">
        <is>
          <t>TRAXTERRA SERVICOS E EQUIPAMENTOS LTDA</t>
        </is>
      </c>
      <c r="F2230" s="30" t="inlineStr">
        <is>
          <t>2017</t>
        </is>
      </c>
      <c r="G2230" s="40" t="n">
        <v>0</v>
      </c>
    </row>
    <row r="2231" ht="12" customHeight="1">
      <c r="A2231" s="30" t="inlineStr">
        <is>
          <t>ITG</t>
        </is>
      </c>
      <c r="B2231" s="30" t="inlineStr">
        <is>
          <t>Itaguai</t>
        </is>
      </c>
      <c r="C2231" s="30" t="n">
        <v>11305377</v>
      </c>
      <c r="D2231" s="30">
        <f>"09537442000308"</f>
        <v/>
      </c>
      <c r="E2231" s="30" t="inlineStr">
        <is>
          <t>TRAXTERRA SERVICOS E EQUIPAMENTOS LTDA</t>
        </is>
      </c>
      <c r="F2231" s="30" t="inlineStr">
        <is>
          <t>2018</t>
        </is>
      </c>
      <c r="G2231" s="40" t="n">
        <v>0</v>
      </c>
    </row>
    <row r="2232" ht="12" customHeight="1">
      <c r="A2232" s="30" t="inlineStr">
        <is>
          <t>ITG</t>
        </is>
      </c>
      <c r="B2232" s="30" t="inlineStr">
        <is>
          <t>Itaguai</t>
        </is>
      </c>
      <c r="C2232" s="30" t="n">
        <v>11305377</v>
      </c>
      <c r="D2232" s="30">
        <f>"09537442000308"</f>
        <v/>
      </c>
      <c r="E2232" s="30" t="inlineStr">
        <is>
          <t>TRAXTERRA SERVICOS E EQUIPAMENTOS LTDA</t>
        </is>
      </c>
      <c r="F2232" s="30" t="inlineStr">
        <is>
          <t>2019</t>
        </is>
      </c>
      <c r="G2232" s="40" t="n">
        <v>0</v>
      </c>
    </row>
    <row r="2233" ht="12" customHeight="1">
      <c r="A2233" s="30" t="inlineStr">
        <is>
          <t>ITG</t>
        </is>
      </c>
      <c r="B2233" s="30" t="inlineStr">
        <is>
          <t>Itaguai</t>
        </is>
      </c>
      <c r="C2233" s="30" t="n">
        <v>11305377</v>
      </c>
      <c r="D2233" s="30">
        <f>"09537442000308"</f>
        <v/>
      </c>
      <c r="E2233" s="30" t="inlineStr">
        <is>
          <t>TRAXTERRA SERVICOS E EQUIPAMENTOS LTDA</t>
        </is>
      </c>
      <c r="F2233" s="30" t="inlineStr">
        <is>
          <t>2020</t>
        </is>
      </c>
      <c r="G2233" s="40" t="n">
        <v>0</v>
      </c>
    </row>
    <row r="2234" ht="12" customHeight="1">
      <c r="A2234" s="30" t="inlineStr">
        <is>
          <t>ITG</t>
        </is>
      </c>
      <c r="B2234" s="30" t="inlineStr">
        <is>
          <t>Itaguai</t>
        </is>
      </c>
      <c r="C2234" s="30" t="n">
        <v>11305377</v>
      </c>
      <c r="D2234" s="30">
        <f>"09537442000308"</f>
        <v/>
      </c>
      <c r="E2234" s="30" t="inlineStr">
        <is>
          <t>TRAXTERRA SERVICOS E EQUIPAMENTOS LTDA</t>
        </is>
      </c>
      <c r="F2234" s="30" t="inlineStr">
        <is>
          <t>2021</t>
        </is>
      </c>
      <c r="G2234" s="40" t="n">
        <v>0</v>
      </c>
    </row>
    <row r="2235" ht="12" customHeight="1">
      <c r="A2235" s="30" t="inlineStr">
        <is>
          <t>ITG</t>
        </is>
      </c>
      <c r="B2235" s="30" t="inlineStr">
        <is>
          <t>Itaguai</t>
        </is>
      </c>
      <c r="C2235" s="30" t="n">
        <v>11305377</v>
      </c>
      <c r="D2235" s="30">
        <f>"09537442000308"</f>
        <v/>
      </c>
      <c r="E2235" s="30" t="inlineStr">
        <is>
          <t>TRAXTERRA SERVICOS E EQUIPAMENTOS LTDA</t>
        </is>
      </c>
      <c r="F2235" s="30" t="inlineStr">
        <is>
          <t>2022</t>
        </is>
      </c>
      <c r="G2235" s="40" t="n">
        <v>0</v>
      </c>
    </row>
    <row r="2236" ht="12" customHeight="1">
      <c r="A2236" s="30" t="inlineStr">
        <is>
          <t>ITG</t>
        </is>
      </c>
      <c r="B2236" s="30" t="inlineStr">
        <is>
          <t>Itaguai</t>
        </is>
      </c>
      <c r="C2236" s="30" t="n">
        <v>11305377</v>
      </c>
      <c r="D2236" s="30">
        <f>"09537442000308"</f>
        <v/>
      </c>
      <c r="E2236" s="30" t="inlineStr">
        <is>
          <t>TRAXTERRA SERVICOS E EQUIPAMENTOS LTDA</t>
        </is>
      </c>
      <c r="F2236" s="30" t="inlineStr">
        <is>
          <t>2023</t>
        </is>
      </c>
      <c r="G2236" s="40" t="n">
        <v>0</v>
      </c>
    </row>
    <row r="2237" ht="12" customHeight="1">
      <c r="A2237" s="30" t="inlineStr">
        <is>
          <t>ITG</t>
        </is>
      </c>
      <c r="B2237" s="30" t="inlineStr">
        <is>
          <t>Itaguai</t>
        </is>
      </c>
      <c r="C2237" s="30" t="n">
        <v>11305385</v>
      </c>
      <c r="D2237" s="30">
        <f>"08381155000631"</f>
        <v/>
      </c>
      <c r="E2237" s="30" t="inlineStr">
        <is>
          <t>LNG 10 CONFECCOES LTDA</t>
        </is>
      </c>
      <c r="F2237" s="30" t="inlineStr">
        <is>
          <t>2017</t>
        </is>
      </c>
      <c r="G2237" s="40" t="n">
        <v>0</v>
      </c>
    </row>
    <row r="2238" ht="12" customHeight="1">
      <c r="A2238" s="30" t="inlineStr">
        <is>
          <t>ITG</t>
        </is>
      </c>
      <c r="B2238" s="30" t="inlineStr">
        <is>
          <t>Itaguai</t>
        </is>
      </c>
      <c r="C2238" s="30" t="n">
        <v>11305385</v>
      </c>
      <c r="D2238" s="30">
        <f>"08381155000631"</f>
        <v/>
      </c>
      <c r="E2238" s="30" t="inlineStr">
        <is>
          <t>LNG 10 CONFECCOES LTDA</t>
        </is>
      </c>
      <c r="F2238" s="30" t="inlineStr">
        <is>
          <t>2018</t>
        </is>
      </c>
      <c r="G2238" s="40" t="n">
        <v>0</v>
      </c>
    </row>
    <row r="2239" ht="12" customHeight="1">
      <c r="A2239" s="30" t="inlineStr">
        <is>
          <t>ITG</t>
        </is>
      </c>
      <c r="B2239" s="30" t="inlineStr">
        <is>
          <t>Itaguai</t>
        </is>
      </c>
      <c r="C2239" s="30" t="n">
        <v>11305385</v>
      </c>
      <c r="D2239" s="30">
        <f>"08381155000631"</f>
        <v/>
      </c>
      <c r="E2239" s="30" t="inlineStr">
        <is>
          <t>LNG 10 CONFECCOES LTDA</t>
        </is>
      </c>
      <c r="F2239" s="30" t="inlineStr">
        <is>
          <t>2019</t>
        </is>
      </c>
      <c r="G2239" s="40" t="n">
        <v>2373529.93</v>
      </c>
    </row>
    <row r="2240" ht="12" customHeight="1">
      <c r="A2240" s="30" t="inlineStr">
        <is>
          <t>ITG</t>
        </is>
      </c>
      <c r="B2240" s="30" t="inlineStr">
        <is>
          <t>Itaguai</t>
        </is>
      </c>
      <c r="C2240" s="30" t="n">
        <v>11305385</v>
      </c>
      <c r="D2240" s="30">
        <f>"08381155000631"</f>
        <v/>
      </c>
      <c r="E2240" s="30" t="inlineStr">
        <is>
          <t>LNG 10 CONFECCOES LTDA</t>
        </is>
      </c>
      <c r="F2240" s="30" t="inlineStr">
        <is>
          <t>2020</t>
        </is>
      </c>
      <c r="G2240" s="40" t="n">
        <v>1689883.52</v>
      </c>
    </row>
    <row r="2241" ht="12" customHeight="1">
      <c r="A2241" s="30" t="inlineStr">
        <is>
          <t>ITG</t>
        </is>
      </c>
      <c r="B2241" s="30" t="inlineStr">
        <is>
          <t>Itaguai</t>
        </is>
      </c>
      <c r="C2241" s="30" t="n">
        <v>11305385</v>
      </c>
      <c r="D2241" s="30">
        <f>"08381155000631"</f>
        <v/>
      </c>
      <c r="E2241" s="30" t="inlineStr">
        <is>
          <t>LNG 10 CONFECCOES LTDA</t>
        </is>
      </c>
      <c r="F2241" s="30" t="inlineStr">
        <is>
          <t>2021</t>
        </is>
      </c>
      <c r="G2241" s="40" t="n">
        <v>2409868.81</v>
      </c>
    </row>
    <row r="2242" ht="12" customHeight="1">
      <c r="A2242" s="30" t="inlineStr">
        <is>
          <t>ITG</t>
        </is>
      </c>
      <c r="B2242" s="30" t="inlineStr">
        <is>
          <t>Itaguai</t>
        </is>
      </c>
      <c r="C2242" s="30" t="n">
        <v>11305385</v>
      </c>
      <c r="D2242" s="30">
        <f>"08381155000631"</f>
        <v/>
      </c>
      <c r="E2242" s="30" t="inlineStr">
        <is>
          <t>LNG 10 CONFECCOES LTDA</t>
        </is>
      </c>
      <c r="F2242" s="30" t="inlineStr">
        <is>
          <t>2022</t>
        </is>
      </c>
      <c r="G2242" s="40" t="n">
        <v>2675888.2</v>
      </c>
    </row>
    <row r="2243" ht="12" customHeight="1">
      <c r="A2243" s="30" t="inlineStr">
        <is>
          <t>ITG</t>
        </is>
      </c>
      <c r="B2243" s="30" t="inlineStr">
        <is>
          <t>Itaguai</t>
        </is>
      </c>
      <c r="C2243" s="30" t="n">
        <v>11305385</v>
      </c>
      <c r="D2243" s="30">
        <f>"08381155000631"</f>
        <v/>
      </c>
      <c r="E2243" s="30" t="inlineStr">
        <is>
          <t>LNG 10 CONFECCOES LTDA</t>
        </is>
      </c>
      <c r="F2243" s="30" t="inlineStr">
        <is>
          <t>2023</t>
        </is>
      </c>
      <c r="G2243" s="40" t="n">
        <v>3745344.96</v>
      </c>
    </row>
    <row r="2244" ht="12" customHeight="1">
      <c r="A2244" s="30" t="inlineStr">
        <is>
          <t>ITG</t>
        </is>
      </c>
      <c r="B2244" s="30" t="inlineStr">
        <is>
          <t>Itaguai</t>
        </is>
      </c>
      <c r="C2244" s="30" t="n">
        <v>11306080</v>
      </c>
      <c r="D2244" s="30">
        <f>"03308232000523"</f>
        <v/>
      </c>
      <c r="E2244" s="30" t="inlineStr">
        <is>
          <t>TURIN TRANSPORTES LTDA</t>
        </is>
      </c>
      <c r="F2244" s="30" t="inlineStr">
        <is>
          <t>2017</t>
        </is>
      </c>
      <c r="G2244" s="40" t="n">
        <v>0</v>
      </c>
    </row>
    <row r="2245" ht="12" customHeight="1">
      <c r="A2245" s="30" t="inlineStr">
        <is>
          <t>ITG</t>
        </is>
      </c>
      <c r="B2245" s="30" t="inlineStr">
        <is>
          <t>Itaguai</t>
        </is>
      </c>
      <c r="C2245" s="30" t="n">
        <v>11306080</v>
      </c>
      <c r="D2245" s="30">
        <f>"03308232000523"</f>
        <v/>
      </c>
      <c r="E2245" s="30" t="inlineStr">
        <is>
          <t>TURIN TRANSPORTES LTDA</t>
        </is>
      </c>
      <c r="F2245" s="30" t="inlineStr">
        <is>
          <t>2018</t>
        </is>
      </c>
      <c r="G2245" s="40" t="n">
        <v>0</v>
      </c>
    </row>
    <row r="2246" ht="12" customHeight="1">
      <c r="A2246" s="30" t="inlineStr">
        <is>
          <t>ITG</t>
        </is>
      </c>
      <c r="B2246" s="30" t="inlineStr">
        <is>
          <t>Itaguai</t>
        </is>
      </c>
      <c r="C2246" s="30" t="n">
        <v>11306080</v>
      </c>
      <c r="D2246" s="30">
        <f>"03308232000523"</f>
        <v/>
      </c>
      <c r="E2246" s="30" t="inlineStr">
        <is>
          <t>TURIN TRANSPORTES LTDA</t>
        </is>
      </c>
      <c r="F2246" s="30" t="inlineStr">
        <is>
          <t>2019</t>
        </is>
      </c>
      <c r="G2246" s="40" t="n">
        <v>0</v>
      </c>
    </row>
    <row r="2247" ht="12" customHeight="1">
      <c r="A2247" s="30" t="inlineStr">
        <is>
          <t>ITG</t>
        </is>
      </c>
      <c r="B2247" s="30" t="inlineStr">
        <is>
          <t>Itaguai</t>
        </is>
      </c>
      <c r="C2247" s="30" t="n">
        <v>11306080</v>
      </c>
      <c r="D2247" s="30">
        <f>"03308232000523"</f>
        <v/>
      </c>
      <c r="E2247" s="30" t="inlineStr">
        <is>
          <t>TURIN TRANSPORTES LTDA</t>
        </is>
      </c>
      <c r="F2247" s="30" t="inlineStr">
        <is>
          <t>2020</t>
        </is>
      </c>
      <c r="G2247" s="40" t="n">
        <v>1909862.89</v>
      </c>
    </row>
    <row r="2248" ht="12" customHeight="1">
      <c r="A2248" s="30" t="inlineStr">
        <is>
          <t>ITG</t>
        </is>
      </c>
      <c r="B2248" s="30" t="inlineStr">
        <is>
          <t>Itaguai</t>
        </is>
      </c>
      <c r="C2248" s="30" t="n">
        <v>11306080</v>
      </c>
      <c r="D2248" s="30">
        <f>"03308232000523"</f>
        <v/>
      </c>
      <c r="E2248" s="30" t="inlineStr">
        <is>
          <t>TURIN TRANSPORTES LTDA</t>
        </is>
      </c>
      <c r="F2248" s="30" t="inlineStr">
        <is>
          <t>2021</t>
        </is>
      </c>
      <c r="G2248" s="40" t="n">
        <v>2895414.92</v>
      </c>
    </row>
    <row r="2249" ht="12" customHeight="1">
      <c r="A2249" s="30" t="inlineStr">
        <is>
          <t>ITG</t>
        </is>
      </c>
      <c r="B2249" s="30" t="inlineStr">
        <is>
          <t>Itaguai</t>
        </is>
      </c>
      <c r="C2249" s="30" t="n">
        <v>11306080</v>
      </c>
      <c r="D2249" s="30">
        <f>"03308232000523"</f>
        <v/>
      </c>
      <c r="E2249" s="30" t="inlineStr">
        <is>
          <t>TURIN TRANSPORTES LTDA</t>
        </is>
      </c>
      <c r="F2249" s="30" t="inlineStr">
        <is>
          <t>2022</t>
        </is>
      </c>
      <c r="G2249" s="40" t="n">
        <v>83461.55</v>
      </c>
    </row>
    <row r="2250" ht="12" customHeight="1">
      <c r="A2250" s="30" t="inlineStr">
        <is>
          <t>ITG</t>
        </is>
      </c>
      <c r="B2250" s="30" t="inlineStr">
        <is>
          <t>Itaguai</t>
        </is>
      </c>
      <c r="C2250" s="30" t="n">
        <v>11306080</v>
      </c>
      <c r="D2250" s="30">
        <f>"03308232000523"</f>
        <v/>
      </c>
      <c r="E2250" s="30" t="inlineStr">
        <is>
          <t>TURIN TRANSPORTES LTDA</t>
        </is>
      </c>
      <c r="F2250" s="30" t="inlineStr">
        <is>
          <t>2023</t>
        </is>
      </c>
      <c r="G2250" s="40" t="n">
        <v>88299.16</v>
      </c>
    </row>
    <row r="2251" ht="12" customHeight="1">
      <c r="A2251" s="30" t="inlineStr">
        <is>
          <t>ITG</t>
        </is>
      </c>
      <c r="B2251" s="30" t="inlineStr">
        <is>
          <t>Itaguai</t>
        </is>
      </c>
      <c r="C2251" s="30" t="n">
        <v>11306870</v>
      </c>
      <c r="D2251" s="30">
        <f>"26607430000321"</f>
        <v/>
      </c>
      <c r="E2251" s="30" t="inlineStr">
        <is>
          <t>EXPRESSO JA LTDA</t>
        </is>
      </c>
      <c r="F2251" s="30" t="inlineStr">
        <is>
          <t>2020</t>
        </is>
      </c>
      <c r="G2251" s="40" t="n">
        <v>0</v>
      </c>
    </row>
    <row r="2252" ht="12" customHeight="1">
      <c r="A2252" s="30" t="inlineStr">
        <is>
          <t>ITG</t>
        </is>
      </c>
      <c r="B2252" s="30" t="inlineStr">
        <is>
          <t>Itaguai</t>
        </is>
      </c>
      <c r="C2252" s="30" t="n">
        <v>11306870</v>
      </c>
      <c r="D2252" s="30">
        <f>"26607430000321"</f>
        <v/>
      </c>
      <c r="E2252" s="30" t="inlineStr">
        <is>
          <t>EXPRESSO JA LTDA</t>
        </is>
      </c>
      <c r="F2252" s="30" t="inlineStr">
        <is>
          <t>2021</t>
        </is>
      </c>
      <c r="G2252" s="40" t="n">
        <v>0</v>
      </c>
    </row>
    <row r="2253" ht="12" customHeight="1">
      <c r="A2253" s="30" t="inlineStr">
        <is>
          <t>ITG</t>
        </is>
      </c>
      <c r="B2253" s="30" t="inlineStr">
        <is>
          <t>Itaguai</t>
        </is>
      </c>
      <c r="C2253" s="30" t="n">
        <v>11306870</v>
      </c>
      <c r="D2253" s="30">
        <f>"26607430000321"</f>
        <v/>
      </c>
      <c r="E2253" s="30" t="inlineStr">
        <is>
          <t>EXPRESSO JA LTDA</t>
        </is>
      </c>
      <c r="F2253" s="30" t="inlineStr">
        <is>
          <t>2022</t>
        </is>
      </c>
      <c r="G2253" s="40" t="n">
        <v>121.49</v>
      </c>
    </row>
    <row r="2254" ht="12" customHeight="1">
      <c r="A2254" s="30" t="inlineStr">
        <is>
          <t>ITG</t>
        </is>
      </c>
      <c r="B2254" s="30" t="inlineStr">
        <is>
          <t>Itaguai</t>
        </is>
      </c>
      <c r="C2254" s="30" t="n">
        <v>11306870</v>
      </c>
      <c r="D2254" s="30">
        <f>"26607430000321"</f>
        <v/>
      </c>
      <c r="E2254" s="30" t="inlineStr">
        <is>
          <t>EXPRESSO JA LTDA</t>
        </is>
      </c>
      <c r="F2254" s="30" t="inlineStr">
        <is>
          <t>2023</t>
        </is>
      </c>
      <c r="G2254" s="40" t="n">
        <v>146.09</v>
      </c>
    </row>
    <row r="2255" ht="12" customHeight="1">
      <c r="A2255" s="30" t="inlineStr">
        <is>
          <t>ITG</t>
        </is>
      </c>
      <c r="B2255" s="30" t="inlineStr">
        <is>
          <t>Itaguai</t>
        </is>
      </c>
      <c r="C2255" s="30" t="n">
        <v>11309615</v>
      </c>
      <c r="D2255" s="30">
        <f>"32134502000100"</f>
        <v/>
      </c>
      <c r="E2255" s="30" t="inlineStr">
        <is>
          <t>RG LOCAÇÕES E SERVIÇOS EIRELI</t>
        </is>
      </c>
      <c r="F2255" s="30" t="inlineStr">
        <is>
          <t>2017</t>
        </is>
      </c>
      <c r="G2255" s="40" t="n">
        <v>0</v>
      </c>
    </row>
    <row r="2256" ht="12" customHeight="1">
      <c r="A2256" s="30" t="inlineStr">
        <is>
          <t>ITG</t>
        </is>
      </c>
      <c r="B2256" s="30" t="inlineStr">
        <is>
          <t>Itaguai</t>
        </is>
      </c>
      <c r="C2256" s="30" t="n">
        <v>11309615</v>
      </c>
      <c r="D2256" s="30">
        <f>"32134502000100"</f>
        <v/>
      </c>
      <c r="E2256" s="30" t="inlineStr">
        <is>
          <t>RG LOCAÇÕES E SERVIÇOS EIRELI</t>
        </is>
      </c>
      <c r="F2256" s="30" t="inlineStr">
        <is>
          <t>2018</t>
        </is>
      </c>
      <c r="G2256" s="40" t="n">
        <v>0</v>
      </c>
    </row>
    <row r="2257" ht="12" customHeight="1">
      <c r="A2257" s="30" t="inlineStr">
        <is>
          <t>ITG</t>
        </is>
      </c>
      <c r="B2257" s="30" t="inlineStr">
        <is>
          <t>Itaguai</t>
        </is>
      </c>
      <c r="C2257" s="30" t="n">
        <v>11309615</v>
      </c>
      <c r="D2257" s="30">
        <f>"32134502000100"</f>
        <v/>
      </c>
      <c r="E2257" s="30" t="inlineStr">
        <is>
          <t>RG LOCAÇÕES E SERVIÇOS EIRELI</t>
        </is>
      </c>
      <c r="F2257" s="30" t="inlineStr">
        <is>
          <t>2019</t>
        </is>
      </c>
      <c r="G2257" s="40" t="n">
        <v>0</v>
      </c>
    </row>
    <row r="2258" ht="12" customHeight="1">
      <c r="A2258" s="30" t="inlineStr">
        <is>
          <t>ITG</t>
        </is>
      </c>
      <c r="B2258" s="30" t="inlineStr">
        <is>
          <t>Itaguai</t>
        </is>
      </c>
      <c r="C2258" s="30" t="n">
        <v>11309615</v>
      </c>
      <c r="D2258" s="30">
        <f>"32134502000100"</f>
        <v/>
      </c>
      <c r="E2258" s="30" t="inlineStr">
        <is>
          <t>RG LOCAÇÕES E SERVIÇOS EIRELI</t>
        </is>
      </c>
      <c r="F2258" s="30" t="inlineStr">
        <is>
          <t>2020</t>
        </is>
      </c>
      <c r="G2258" s="40" t="n">
        <v>0</v>
      </c>
    </row>
    <row r="2259" ht="12" customHeight="1">
      <c r="A2259" s="30" t="inlineStr">
        <is>
          <t>ITG</t>
        </is>
      </c>
      <c r="B2259" s="30" t="inlineStr">
        <is>
          <t>Itaguai</t>
        </is>
      </c>
      <c r="C2259" s="30" t="n">
        <v>11309739</v>
      </c>
      <c r="D2259" s="30">
        <f>"05476099000469"</f>
        <v/>
      </c>
      <c r="E2259" s="30" t="inlineStr">
        <is>
          <t>SOMA LOGISTICA E LOCACOES LTDA</t>
        </is>
      </c>
      <c r="F2259" s="30" t="inlineStr">
        <is>
          <t>2017</t>
        </is>
      </c>
      <c r="G2259" s="40" t="n">
        <v>0</v>
      </c>
    </row>
    <row r="2260" ht="12" customHeight="1">
      <c r="A2260" s="30" t="inlineStr">
        <is>
          <t>ITG</t>
        </is>
      </c>
      <c r="B2260" s="30" t="inlineStr">
        <is>
          <t>Itaguai</t>
        </is>
      </c>
      <c r="C2260" s="30" t="n">
        <v>11309739</v>
      </c>
      <c r="D2260" s="30">
        <f>"05476099000469"</f>
        <v/>
      </c>
      <c r="E2260" s="30" t="inlineStr">
        <is>
          <t>SOMA LOGISTICA E LOCACOES LTDA</t>
        </is>
      </c>
      <c r="F2260" s="30" t="inlineStr">
        <is>
          <t>2018</t>
        </is>
      </c>
      <c r="G2260" s="40" t="n">
        <v>0</v>
      </c>
    </row>
    <row r="2261" ht="12" customHeight="1">
      <c r="A2261" s="30" t="inlineStr">
        <is>
          <t>ITG</t>
        </is>
      </c>
      <c r="B2261" s="30" t="inlineStr">
        <is>
          <t>Itaguai</t>
        </is>
      </c>
      <c r="C2261" s="30" t="n">
        <v>11309739</v>
      </c>
      <c r="D2261" s="30">
        <f>"05476099000469"</f>
        <v/>
      </c>
      <c r="E2261" s="30" t="inlineStr">
        <is>
          <t>SOMA LOGISTICA E LOCACOES LTDA</t>
        </is>
      </c>
      <c r="F2261" s="30" t="inlineStr">
        <is>
          <t>2019</t>
        </is>
      </c>
      <c r="G2261" s="40" t="n">
        <v>141639.64</v>
      </c>
    </row>
    <row r="2262" ht="12" customHeight="1">
      <c r="A2262" s="30" t="inlineStr">
        <is>
          <t>ITG</t>
        </is>
      </c>
      <c r="B2262" s="30" t="inlineStr">
        <is>
          <t>Itaguai</t>
        </is>
      </c>
      <c r="C2262" s="30" t="n">
        <v>11309739</v>
      </c>
      <c r="D2262" s="30">
        <f>"05476099000469"</f>
        <v/>
      </c>
      <c r="E2262" s="30" t="inlineStr">
        <is>
          <t>SOMA LOGISTICA E LOCACOES LTDA</t>
        </is>
      </c>
      <c r="F2262" s="30" t="inlineStr">
        <is>
          <t>2020</t>
        </is>
      </c>
      <c r="G2262" s="40" t="n">
        <v>140</v>
      </c>
    </row>
    <row r="2263" ht="12" customHeight="1">
      <c r="A2263" s="30" t="inlineStr">
        <is>
          <t>ITG</t>
        </is>
      </c>
      <c r="B2263" s="30" t="inlineStr">
        <is>
          <t>Itaguai</t>
        </is>
      </c>
      <c r="C2263" s="30" t="n">
        <v>11309739</v>
      </c>
      <c r="D2263" s="30">
        <f>"05476099000469"</f>
        <v/>
      </c>
      <c r="E2263" s="30" t="inlineStr">
        <is>
          <t>SOMA LOGISTICA E LOCACOES LTDA</t>
        </is>
      </c>
      <c r="F2263" s="30" t="inlineStr">
        <is>
          <t>2021</t>
        </is>
      </c>
      <c r="G2263" s="40" t="n">
        <v>0</v>
      </c>
    </row>
    <row r="2264" ht="12" customHeight="1">
      <c r="A2264" s="30" t="inlineStr">
        <is>
          <t>ITG</t>
        </is>
      </c>
      <c r="B2264" s="30" t="inlineStr">
        <is>
          <t>Itaguai</t>
        </is>
      </c>
      <c r="C2264" s="30" t="n">
        <v>11309739</v>
      </c>
      <c r="D2264" s="30">
        <f>"05476099000469"</f>
        <v/>
      </c>
      <c r="E2264" s="30" t="inlineStr">
        <is>
          <t>SOMA LOGISTICA E LOCACOES LTDA</t>
        </is>
      </c>
      <c r="F2264" s="30" t="inlineStr">
        <is>
          <t>2022</t>
        </is>
      </c>
      <c r="G2264" s="40" t="n">
        <v>0</v>
      </c>
    </row>
    <row r="2265" ht="12" customHeight="1">
      <c r="A2265" s="30" t="inlineStr">
        <is>
          <t>ITG</t>
        </is>
      </c>
      <c r="B2265" s="30" t="inlineStr">
        <is>
          <t>Itaguai</t>
        </is>
      </c>
      <c r="C2265" s="30" t="n">
        <v>11309739</v>
      </c>
      <c r="D2265" s="30">
        <f>"05476099000469"</f>
        <v/>
      </c>
      <c r="E2265" s="30" t="inlineStr">
        <is>
          <t>SOMA LOGISTICA E LOCACOES LTDA</t>
        </is>
      </c>
      <c r="F2265" s="30" t="inlineStr">
        <is>
          <t>2023</t>
        </is>
      </c>
      <c r="G2265" s="40" t="n">
        <v>0</v>
      </c>
    </row>
    <row r="2266" ht="12" customHeight="1">
      <c r="A2266" s="30" t="inlineStr">
        <is>
          <t>ITG</t>
        </is>
      </c>
      <c r="B2266" s="30" t="inlineStr">
        <is>
          <t>Itaguai</t>
        </is>
      </c>
      <c r="C2266" s="30" t="n">
        <v>11327133</v>
      </c>
      <c r="D2266" s="30">
        <f>"13675188000209"</f>
        <v/>
      </c>
      <c r="E2266" s="30" t="inlineStr">
        <is>
          <t>T&amp;T LOCACAO DE MAQUINAS E EQUIPAMENTOS E TRANSPORTE DE CARGAS E CONTAINERES LTDA</t>
        </is>
      </c>
      <c r="F2266" s="30" t="inlineStr">
        <is>
          <t>2017</t>
        </is>
      </c>
      <c r="G2266" s="40" t="n">
        <v>0</v>
      </c>
    </row>
    <row r="2267" ht="12" customHeight="1">
      <c r="A2267" s="30" t="inlineStr">
        <is>
          <t>ITG</t>
        </is>
      </c>
      <c r="B2267" s="30" t="inlineStr">
        <is>
          <t>Itaguai</t>
        </is>
      </c>
      <c r="C2267" s="30" t="n">
        <v>11327133</v>
      </c>
      <c r="D2267" s="30">
        <f>"13675188000209"</f>
        <v/>
      </c>
      <c r="E2267" s="30" t="inlineStr">
        <is>
          <t>T&amp;T LOCACAO DE MAQUINAS E EQUIPAMENTOS E TRANSPORTE DE CARGAS E CONTAINERES LTDA</t>
        </is>
      </c>
      <c r="F2267" s="30" t="inlineStr">
        <is>
          <t>2018</t>
        </is>
      </c>
      <c r="G2267" s="40" t="n">
        <v>0</v>
      </c>
    </row>
    <row r="2268" ht="12" customHeight="1">
      <c r="A2268" s="30" t="inlineStr">
        <is>
          <t>ITG</t>
        </is>
      </c>
      <c r="B2268" s="30" t="inlineStr">
        <is>
          <t>Itaguai</t>
        </is>
      </c>
      <c r="C2268" s="30" t="n">
        <v>11327133</v>
      </c>
      <c r="D2268" s="30">
        <f>"13675188000209"</f>
        <v/>
      </c>
      <c r="E2268" s="30" t="inlineStr">
        <is>
          <t>T&amp;T LOCACAO DE MAQUINAS E EQUIPAMENTOS E TRANSPORTE DE CARGAS E CONTAINERES LTDA</t>
        </is>
      </c>
      <c r="F2268" s="30" t="inlineStr">
        <is>
          <t>2019</t>
        </is>
      </c>
      <c r="G2268" s="40" t="n">
        <v>0</v>
      </c>
    </row>
    <row r="2269" ht="12" customHeight="1">
      <c r="A2269" s="30" t="inlineStr">
        <is>
          <t>ITG</t>
        </is>
      </c>
      <c r="B2269" s="30" t="inlineStr">
        <is>
          <t>Itaguai</t>
        </is>
      </c>
      <c r="C2269" s="30" t="n">
        <v>11327133</v>
      </c>
      <c r="D2269" s="30">
        <f>"13675188000209"</f>
        <v/>
      </c>
      <c r="E2269" s="30" t="inlineStr">
        <is>
          <t>T&amp;T LOCACAO DE MAQUINAS E EQUIPAMENTOS E TRANSPORTE DE CARGAS E CONTAINERES LTDA</t>
        </is>
      </c>
      <c r="F2269" s="30" t="inlineStr">
        <is>
          <t>2020</t>
        </is>
      </c>
      <c r="G2269" s="40" t="n">
        <v>0</v>
      </c>
    </row>
    <row r="2270" ht="12" customHeight="1">
      <c r="A2270" s="30" t="inlineStr">
        <is>
          <t>ITG</t>
        </is>
      </c>
      <c r="B2270" s="30" t="inlineStr">
        <is>
          <t>Itaguai</t>
        </is>
      </c>
      <c r="C2270" s="30" t="n">
        <v>11327133</v>
      </c>
      <c r="D2270" s="30">
        <f>"13675188000209"</f>
        <v/>
      </c>
      <c r="E2270" s="30" t="inlineStr">
        <is>
          <t>T&amp;T LOCACAO DE MAQUINAS E EQUIPAMENTOS E TRANSPORTE DE CARGAS E CONTAINERES LTDA</t>
        </is>
      </c>
      <c r="F2270" s="30" t="inlineStr">
        <is>
          <t>2021</t>
        </is>
      </c>
      <c r="G2270" s="40" t="n">
        <v>0</v>
      </c>
    </row>
    <row r="2271" ht="12" customHeight="1">
      <c r="A2271" s="30" t="inlineStr">
        <is>
          <t>ITG</t>
        </is>
      </c>
      <c r="B2271" s="30" t="inlineStr">
        <is>
          <t>Itaguai</t>
        </is>
      </c>
      <c r="C2271" s="30" t="n">
        <v>11327133</v>
      </c>
      <c r="D2271" s="30">
        <f>"13675188000209"</f>
        <v/>
      </c>
      <c r="E2271" s="30" t="inlineStr">
        <is>
          <t>T&amp;T LOCACAO DE MAQUINAS E EQUIPAMENTOS E TRANSPORTE DE CARGAS E CONTAINERES LTDA</t>
        </is>
      </c>
      <c r="F2271" s="30" t="inlineStr">
        <is>
          <t>2022</t>
        </is>
      </c>
      <c r="G2271" s="40" t="n">
        <v>0</v>
      </c>
    </row>
    <row r="2272" ht="12" customHeight="1">
      <c r="A2272" s="30" t="inlineStr">
        <is>
          <t>ITG</t>
        </is>
      </c>
      <c r="B2272" s="30" t="inlineStr">
        <is>
          <t>Itaguai</t>
        </is>
      </c>
      <c r="C2272" s="30" t="n">
        <v>11327133</v>
      </c>
      <c r="D2272" s="30">
        <f>"13675188000209"</f>
        <v/>
      </c>
      <c r="E2272" s="30" t="inlineStr">
        <is>
          <t>T&amp;T LOCACAO DE MAQUINAS E EQUIPAMENTOS E TRANSPORTE DE CARGAS E CONTAINERES LTDA</t>
        </is>
      </c>
      <c r="F2272" s="30" t="inlineStr">
        <is>
          <t>2023</t>
        </is>
      </c>
      <c r="G2272" s="40" t="n">
        <v>0</v>
      </c>
    </row>
    <row r="2273" ht="12" customHeight="1">
      <c r="A2273" s="30" t="inlineStr">
        <is>
          <t>ITG</t>
        </is>
      </c>
      <c r="B2273" s="30" t="inlineStr">
        <is>
          <t>Itaguai</t>
        </is>
      </c>
      <c r="C2273" s="30" t="n">
        <v>11327559</v>
      </c>
      <c r="D2273" s="30">
        <f>"29574909000135"</f>
        <v/>
      </c>
      <c r="E2273" s="30" t="inlineStr">
        <is>
          <t>MES - GENSOLARIS ARRENDAMENTO DE SISTEMAS FOTOVOLTAICOS LTDA</t>
        </is>
      </c>
      <c r="F2273" s="30" t="inlineStr">
        <is>
          <t>2017</t>
        </is>
      </c>
      <c r="G2273" s="40" t="n">
        <v>0</v>
      </c>
    </row>
    <row r="2274" ht="12" customHeight="1">
      <c r="A2274" s="30" t="inlineStr">
        <is>
          <t>ITG</t>
        </is>
      </c>
      <c r="B2274" s="30" t="inlineStr">
        <is>
          <t>Itaguai</t>
        </is>
      </c>
      <c r="C2274" s="30" t="n">
        <v>11327559</v>
      </c>
      <c r="D2274" s="30">
        <f>"29574909000135"</f>
        <v/>
      </c>
      <c r="E2274" s="30" t="inlineStr">
        <is>
          <t>MES - GENSOLARIS ARRENDAMENTO DE SISTEMAS FOTOVOLTAICOS LTDA</t>
        </is>
      </c>
      <c r="F2274" s="30" t="inlineStr">
        <is>
          <t>2018</t>
        </is>
      </c>
      <c r="G2274" s="40" t="n">
        <v>0</v>
      </c>
    </row>
    <row r="2275" ht="12" customHeight="1">
      <c r="A2275" s="30" t="inlineStr">
        <is>
          <t>ITG</t>
        </is>
      </c>
      <c r="B2275" s="30" t="inlineStr">
        <is>
          <t>Itaguai</t>
        </is>
      </c>
      <c r="C2275" s="30" t="n">
        <v>11327559</v>
      </c>
      <c r="D2275" s="30">
        <f>"29574909000135"</f>
        <v/>
      </c>
      <c r="E2275" s="30" t="inlineStr">
        <is>
          <t>MES - GENSOLARIS ARRENDAMENTO DE SISTEMAS FOTOVOLTAICOS LTDA</t>
        </is>
      </c>
      <c r="F2275" s="30" t="inlineStr">
        <is>
          <t>2019</t>
        </is>
      </c>
      <c r="G2275" s="40" t="n">
        <v>0</v>
      </c>
    </row>
    <row r="2276" ht="12" customHeight="1">
      <c r="A2276" s="30" t="inlineStr">
        <is>
          <t>ITG</t>
        </is>
      </c>
      <c r="B2276" s="30" t="inlineStr">
        <is>
          <t>Itaguai</t>
        </is>
      </c>
      <c r="C2276" s="30" t="n">
        <v>11327559</v>
      </c>
      <c r="D2276" s="30">
        <f>"29574909000135"</f>
        <v/>
      </c>
      <c r="E2276" s="30" t="inlineStr">
        <is>
          <t>MES - GENSOLARIS ARRENDAMENTO DE SISTEMAS FOTOVOLTAICOS LTDA</t>
        </is>
      </c>
      <c r="F2276" s="30" t="inlineStr">
        <is>
          <t>2020</t>
        </is>
      </c>
      <c r="G2276" s="40" t="n">
        <v>0</v>
      </c>
    </row>
    <row r="2277" ht="12" customHeight="1">
      <c r="A2277" s="30" t="inlineStr">
        <is>
          <t>ITG</t>
        </is>
      </c>
      <c r="B2277" s="30" t="inlineStr">
        <is>
          <t>Itaguai</t>
        </is>
      </c>
      <c r="C2277" s="30" t="n">
        <v>11327559</v>
      </c>
      <c r="D2277" s="30">
        <f>"29574909000135"</f>
        <v/>
      </c>
      <c r="E2277" s="30" t="inlineStr">
        <is>
          <t>MES - GENSOLARIS ARRENDAMENTO DE SISTEMAS FOTOVOLTAICOS LTDA</t>
        </is>
      </c>
      <c r="F2277" s="30" t="inlineStr">
        <is>
          <t>2021</t>
        </is>
      </c>
      <c r="G2277" s="40" t="n">
        <v>0</v>
      </c>
    </row>
    <row r="2278" ht="12" customHeight="1">
      <c r="A2278" s="30" t="inlineStr">
        <is>
          <t>ITG</t>
        </is>
      </c>
      <c r="B2278" s="30" t="inlineStr">
        <is>
          <t>Itaguai</t>
        </is>
      </c>
      <c r="C2278" s="30" t="n">
        <v>11327559</v>
      </c>
      <c r="D2278" s="30">
        <f>"29574909000135"</f>
        <v/>
      </c>
      <c r="E2278" s="30" t="inlineStr">
        <is>
          <t>MES - GENSOLARIS ARRENDAMENTO DE SISTEMAS FOTOVOLTAICOS LTDA</t>
        </is>
      </c>
      <c r="F2278" s="30" t="inlineStr">
        <is>
          <t>2022</t>
        </is>
      </c>
      <c r="G2278" s="40" t="n">
        <v>0</v>
      </c>
    </row>
    <row r="2279" ht="12" customHeight="1">
      <c r="A2279" s="30" t="inlineStr">
        <is>
          <t>ITG</t>
        </is>
      </c>
      <c r="B2279" s="30" t="inlineStr">
        <is>
          <t>Itaguai</t>
        </is>
      </c>
      <c r="C2279" s="30" t="n">
        <v>11327559</v>
      </c>
      <c r="D2279" s="30">
        <f>"29574909000135"</f>
        <v/>
      </c>
      <c r="E2279" s="30" t="inlineStr">
        <is>
          <t>MES - GENSOLARIS ARRENDAMENTO DE SISTEMAS FOTOVOLTAICOS LTDA</t>
        </is>
      </c>
      <c r="F2279" s="30" t="inlineStr">
        <is>
          <t>2023</t>
        </is>
      </c>
      <c r="G2279" s="40" t="n">
        <v>0</v>
      </c>
    </row>
    <row r="2280" ht="12" customHeight="1">
      <c r="A2280" s="30" t="inlineStr">
        <is>
          <t>ITG</t>
        </is>
      </c>
      <c r="B2280" s="30" t="inlineStr">
        <is>
          <t>Itaguai</t>
        </is>
      </c>
      <c r="C2280" s="30" t="n">
        <v>11335209</v>
      </c>
      <c r="D2280" s="30">
        <f>"30225668000521"</f>
        <v/>
      </c>
      <c r="E2280" s="30" t="inlineStr">
        <is>
          <t>N A DA SILVA DROGARIAS LTDA EPP</t>
        </is>
      </c>
      <c r="F2280" s="30" t="inlineStr">
        <is>
          <t>2017</t>
        </is>
      </c>
      <c r="G2280" s="40" t="n">
        <v>0</v>
      </c>
    </row>
    <row r="2281" ht="12" customHeight="1">
      <c r="A2281" s="30" t="inlineStr">
        <is>
          <t>ITG</t>
        </is>
      </c>
      <c r="B2281" s="30" t="inlineStr">
        <is>
          <t>Itaguai</t>
        </is>
      </c>
      <c r="C2281" s="30" t="n">
        <v>11335209</v>
      </c>
      <c r="D2281" s="30">
        <f>"30225668000521"</f>
        <v/>
      </c>
      <c r="E2281" s="30" t="inlineStr">
        <is>
          <t>N A DA SILVA DROGARIAS LTDA EPP</t>
        </is>
      </c>
      <c r="F2281" s="30" t="inlineStr">
        <is>
          <t>2018</t>
        </is>
      </c>
      <c r="G2281" s="40" t="n">
        <v>0</v>
      </c>
    </row>
    <row r="2282" ht="12" customHeight="1">
      <c r="A2282" s="30" t="inlineStr">
        <is>
          <t>ITG</t>
        </is>
      </c>
      <c r="B2282" s="30" t="inlineStr">
        <is>
          <t>Itaguai</t>
        </is>
      </c>
      <c r="C2282" s="30" t="n">
        <v>11335209</v>
      </c>
      <c r="D2282" s="30">
        <f>"30225668000521"</f>
        <v/>
      </c>
      <c r="E2282" s="30" t="inlineStr">
        <is>
          <t>N A DA SILVA DROGARIAS LTDA EPP</t>
        </is>
      </c>
      <c r="F2282" s="30" t="inlineStr">
        <is>
          <t>2019</t>
        </is>
      </c>
      <c r="G2282" s="40" t="n">
        <v>0</v>
      </c>
    </row>
    <row r="2283" ht="12" customHeight="1">
      <c r="A2283" s="30" t="inlineStr">
        <is>
          <t>ITG</t>
        </is>
      </c>
      <c r="B2283" s="30" t="inlineStr">
        <is>
          <t>Itaguai</t>
        </is>
      </c>
      <c r="C2283" s="30" t="n">
        <v>11335209</v>
      </c>
      <c r="D2283" s="30">
        <f>"30225668000521"</f>
        <v/>
      </c>
      <c r="E2283" s="30" t="inlineStr">
        <is>
          <t>N A DA SILVA DROGARIAS LTDA EPP</t>
        </is>
      </c>
      <c r="F2283" s="30" t="inlineStr">
        <is>
          <t>2020</t>
        </is>
      </c>
      <c r="G2283" s="40" t="n">
        <v>0</v>
      </c>
    </row>
    <row r="2284" ht="12" customHeight="1">
      <c r="A2284" s="30" t="inlineStr">
        <is>
          <t>ITG</t>
        </is>
      </c>
      <c r="B2284" s="30" t="inlineStr">
        <is>
          <t>Itaguai</t>
        </is>
      </c>
      <c r="C2284" s="30" t="n">
        <v>11335209</v>
      </c>
      <c r="D2284" s="30">
        <f>"30225668000521"</f>
        <v/>
      </c>
      <c r="E2284" s="30" t="inlineStr">
        <is>
          <t>N A DA SILVA DROGARIAS LTDA EPP</t>
        </is>
      </c>
      <c r="F2284" s="30" t="inlineStr">
        <is>
          <t>2021</t>
        </is>
      </c>
      <c r="G2284" s="40" t="n">
        <v>0</v>
      </c>
    </row>
    <row r="2285" ht="12" customHeight="1">
      <c r="A2285" s="30" t="inlineStr">
        <is>
          <t>ITG</t>
        </is>
      </c>
      <c r="B2285" s="30" t="inlineStr">
        <is>
          <t>Itaguai</t>
        </is>
      </c>
      <c r="C2285" s="30" t="n">
        <v>11335209</v>
      </c>
      <c r="D2285" s="30">
        <f>"30225668000521"</f>
        <v/>
      </c>
      <c r="E2285" s="30" t="inlineStr">
        <is>
          <t>N A DA SILVA DROGARIAS LTDA EPP</t>
        </is>
      </c>
      <c r="F2285" s="30" t="inlineStr">
        <is>
          <t>2022</t>
        </is>
      </c>
      <c r="G2285" s="40" t="n">
        <v>0</v>
      </c>
    </row>
    <row r="2286" ht="12" customHeight="1">
      <c r="A2286" s="30" t="inlineStr">
        <is>
          <t>ITG</t>
        </is>
      </c>
      <c r="B2286" s="30" t="inlineStr">
        <is>
          <t>Itaguai</t>
        </is>
      </c>
      <c r="C2286" s="30" t="n">
        <v>11335209</v>
      </c>
      <c r="D2286" s="30">
        <f>"30225668000521"</f>
        <v/>
      </c>
      <c r="E2286" s="30" t="inlineStr">
        <is>
          <t>N A DA SILVA DROGARIAS LTDA EPP</t>
        </is>
      </c>
      <c r="F2286" s="30" t="inlineStr">
        <is>
          <t>2023</t>
        </is>
      </c>
      <c r="G2286" s="40" t="n">
        <v>0</v>
      </c>
    </row>
    <row r="2287" ht="12" customHeight="1">
      <c r="A2287" s="30" t="inlineStr">
        <is>
          <t>ITG</t>
        </is>
      </c>
      <c r="B2287" s="30" t="inlineStr">
        <is>
          <t>Itaguai</t>
        </is>
      </c>
      <c r="C2287" s="30" t="n">
        <v>11336353</v>
      </c>
      <c r="D2287" s="30">
        <f>"26954424000189"</f>
        <v/>
      </c>
      <c r="E2287" s="30" t="inlineStr">
        <is>
          <t>ITAGUAI AUTO CENTER LTDA</t>
        </is>
      </c>
      <c r="F2287" s="30" t="inlineStr">
        <is>
          <t>2018</t>
        </is>
      </c>
      <c r="G2287" s="40" t="n">
        <v>0</v>
      </c>
    </row>
    <row r="2288" ht="12" customHeight="1">
      <c r="A2288" s="30" t="inlineStr">
        <is>
          <t>ITG</t>
        </is>
      </c>
      <c r="B2288" s="30" t="inlineStr">
        <is>
          <t>Itaguai</t>
        </is>
      </c>
      <c r="C2288" s="30" t="n">
        <v>11336353</v>
      </c>
      <c r="D2288" s="30">
        <f>"26954424000189"</f>
        <v/>
      </c>
      <c r="E2288" s="30" t="inlineStr">
        <is>
          <t>ITAGUAI AUTO CENTER LTDA</t>
        </is>
      </c>
      <c r="F2288" s="30" t="inlineStr">
        <is>
          <t>2019</t>
        </is>
      </c>
      <c r="G2288" s="40" t="n">
        <v>0</v>
      </c>
    </row>
    <row r="2289" ht="12" customHeight="1">
      <c r="A2289" s="30" t="inlineStr">
        <is>
          <t>ITG</t>
        </is>
      </c>
      <c r="B2289" s="30" t="inlineStr">
        <is>
          <t>Itaguai</t>
        </is>
      </c>
      <c r="C2289" s="30" t="n">
        <v>11336353</v>
      </c>
      <c r="D2289" s="30">
        <f>"26954424000189"</f>
        <v/>
      </c>
      <c r="E2289" s="30" t="inlineStr">
        <is>
          <t>ITAGUAI AUTO CENTER LTDA</t>
        </is>
      </c>
      <c r="F2289" s="30" t="inlineStr">
        <is>
          <t>2020</t>
        </is>
      </c>
      <c r="G2289" s="40" t="n">
        <v>0</v>
      </c>
    </row>
    <row r="2290" ht="12" customHeight="1">
      <c r="A2290" s="30" t="inlineStr">
        <is>
          <t>ITG</t>
        </is>
      </c>
      <c r="B2290" s="30" t="inlineStr">
        <is>
          <t>Itaguai</t>
        </is>
      </c>
      <c r="C2290" s="30" t="n">
        <v>11336353</v>
      </c>
      <c r="D2290" s="30">
        <f>"26954424000189"</f>
        <v/>
      </c>
      <c r="E2290" s="30" t="inlineStr">
        <is>
          <t>ITAGUAI AUTO CENTER LTDA</t>
        </is>
      </c>
      <c r="F2290" s="30" t="inlineStr">
        <is>
          <t>2021</t>
        </is>
      </c>
      <c r="G2290" s="40" t="n">
        <v>551412.92</v>
      </c>
    </row>
    <row r="2291" ht="12" customHeight="1">
      <c r="A2291" s="30" t="inlineStr">
        <is>
          <t>ITG</t>
        </is>
      </c>
      <c r="B2291" s="30" t="inlineStr">
        <is>
          <t>Itaguai</t>
        </is>
      </c>
      <c r="C2291" s="30" t="n">
        <v>11336353</v>
      </c>
      <c r="D2291" s="30">
        <f>"26954424000189"</f>
        <v/>
      </c>
      <c r="E2291" s="30" t="inlineStr">
        <is>
          <t>ITAGUAI AUTO CENTER LTDA</t>
        </is>
      </c>
      <c r="F2291" s="30" t="inlineStr">
        <is>
          <t>2022</t>
        </is>
      </c>
      <c r="G2291" s="40" t="n">
        <v>1156539.72</v>
      </c>
    </row>
    <row r="2292" ht="12" customHeight="1">
      <c r="A2292" s="30" t="inlineStr">
        <is>
          <t>ITG</t>
        </is>
      </c>
      <c r="B2292" s="30" t="inlineStr">
        <is>
          <t>Itaguai</t>
        </is>
      </c>
      <c r="C2292" s="30" t="n">
        <v>11336353</v>
      </c>
      <c r="D2292" s="30">
        <f>"26954424000189"</f>
        <v/>
      </c>
      <c r="E2292" s="30" t="inlineStr">
        <is>
          <t>ITAGUAI AUTO CENTER LTDA</t>
        </is>
      </c>
      <c r="F2292" s="30" t="inlineStr">
        <is>
          <t>2023</t>
        </is>
      </c>
      <c r="G2292" s="40" t="n">
        <v>3706059.52</v>
      </c>
    </row>
    <row r="2293" ht="12" customHeight="1">
      <c r="A2293" s="30" t="inlineStr">
        <is>
          <t>ITG</t>
        </is>
      </c>
      <c r="B2293" s="30" t="inlineStr">
        <is>
          <t>Itaguai</t>
        </is>
      </c>
      <c r="C2293" s="30" t="n">
        <v>11341349</v>
      </c>
      <c r="D2293" s="30">
        <f>"27203551000290"</f>
        <v/>
      </c>
      <c r="E2293" s="30" t="inlineStr">
        <is>
          <t>SCALT ENCOMENDAS EXPRESSAS LTDA</t>
        </is>
      </c>
      <c r="F2293" s="30" t="inlineStr">
        <is>
          <t>2020</t>
        </is>
      </c>
      <c r="G2293" s="40" t="n">
        <v>0</v>
      </c>
    </row>
    <row r="2294" ht="12" customHeight="1">
      <c r="A2294" s="30" t="inlineStr">
        <is>
          <t>ITG</t>
        </is>
      </c>
      <c r="B2294" s="30" t="inlineStr">
        <is>
          <t>Itaguai</t>
        </is>
      </c>
      <c r="C2294" s="30" t="n">
        <v>11341349</v>
      </c>
      <c r="D2294" s="30">
        <f>"27203551000290"</f>
        <v/>
      </c>
      <c r="E2294" s="30" t="inlineStr">
        <is>
          <t>SCALT ENCOMENDAS EXPRESSAS LTDA</t>
        </is>
      </c>
      <c r="F2294" s="30" t="inlineStr">
        <is>
          <t>2021</t>
        </is>
      </c>
      <c r="G2294" s="40" t="n">
        <v>0</v>
      </c>
    </row>
    <row r="2295" ht="12" customHeight="1">
      <c r="A2295" s="30" t="inlineStr">
        <is>
          <t>ITG</t>
        </is>
      </c>
      <c r="B2295" s="30" t="inlineStr">
        <is>
          <t>Itaguai</t>
        </is>
      </c>
      <c r="C2295" s="30" t="n">
        <v>11341349</v>
      </c>
      <c r="D2295" s="30">
        <f>"27203551000290"</f>
        <v/>
      </c>
      <c r="E2295" s="30" t="inlineStr">
        <is>
          <t>SCALT ENCOMENDAS EXPRESSAS LTDA</t>
        </is>
      </c>
      <c r="F2295" s="30" t="inlineStr">
        <is>
          <t>2022</t>
        </is>
      </c>
      <c r="G2295" s="40" t="n">
        <v>529.28</v>
      </c>
    </row>
    <row r="2296" ht="12" customHeight="1">
      <c r="A2296" s="30" t="inlineStr">
        <is>
          <t>ITG</t>
        </is>
      </c>
      <c r="B2296" s="30" t="inlineStr">
        <is>
          <t>Itaguai</t>
        </is>
      </c>
      <c r="C2296" s="30" t="n">
        <v>11341349</v>
      </c>
      <c r="D2296" s="30">
        <f>"27203551000290"</f>
        <v/>
      </c>
      <c r="E2296" s="30" t="inlineStr">
        <is>
          <t>SCALT ENCOMENDAS EXPRESSAS LTDA</t>
        </is>
      </c>
      <c r="F2296" s="30" t="inlineStr">
        <is>
          <t>2023</t>
        </is>
      </c>
      <c r="G2296" s="40" t="n">
        <v>1437.53</v>
      </c>
    </row>
    <row r="2297" ht="12" customHeight="1">
      <c r="A2297" s="30" t="inlineStr">
        <is>
          <t>ITG</t>
        </is>
      </c>
      <c r="B2297" s="30" t="inlineStr">
        <is>
          <t>Itaguai</t>
        </is>
      </c>
      <c r="C2297" s="30" t="n">
        <v>11342604</v>
      </c>
      <c r="D2297" s="30">
        <f>"32494457000196"</f>
        <v/>
      </c>
      <c r="E2297" s="30" t="inlineStr">
        <is>
          <t>EXPRESSO CAR REVENDA EIRELI</t>
        </is>
      </c>
      <c r="F2297" s="30" t="inlineStr">
        <is>
          <t>2019</t>
        </is>
      </c>
      <c r="G2297" s="40" t="n">
        <v>0</v>
      </c>
    </row>
    <row r="2298" ht="12" customHeight="1">
      <c r="A2298" s="30" t="inlineStr">
        <is>
          <t>ITG</t>
        </is>
      </c>
      <c r="B2298" s="30" t="inlineStr">
        <is>
          <t>Itaguai</t>
        </is>
      </c>
      <c r="C2298" s="30" t="n">
        <v>11342604</v>
      </c>
      <c r="D2298" s="30">
        <f>"32494457000196"</f>
        <v/>
      </c>
      <c r="E2298" s="30" t="inlineStr">
        <is>
          <t>EXPRESSO CAR REVENDA EIRELI</t>
        </is>
      </c>
      <c r="F2298" s="30" t="inlineStr">
        <is>
          <t>2020</t>
        </is>
      </c>
      <c r="G2298" s="40" t="n">
        <v>0</v>
      </c>
    </row>
    <row r="2299" ht="12" customHeight="1">
      <c r="A2299" s="30" t="inlineStr">
        <is>
          <t>ITG</t>
        </is>
      </c>
      <c r="B2299" s="30" t="inlineStr">
        <is>
          <t>Itaguai</t>
        </is>
      </c>
      <c r="C2299" s="30" t="n">
        <v>11342604</v>
      </c>
      <c r="D2299" s="30">
        <f>"32494457000196"</f>
        <v/>
      </c>
      <c r="E2299" s="30" t="inlineStr">
        <is>
          <t>EXPRESSO CAR REVENDA EIRELI</t>
        </is>
      </c>
      <c r="F2299" s="30" t="inlineStr">
        <is>
          <t>2021</t>
        </is>
      </c>
      <c r="G2299" s="40" t="n">
        <v>0</v>
      </c>
    </row>
    <row r="2300" ht="12" customHeight="1">
      <c r="A2300" s="30" t="inlineStr">
        <is>
          <t>ITG</t>
        </is>
      </c>
      <c r="B2300" s="30" t="inlineStr">
        <is>
          <t>Itaguai</t>
        </is>
      </c>
      <c r="C2300" s="30" t="n">
        <v>11342604</v>
      </c>
      <c r="D2300" s="30">
        <f>"32494457000196"</f>
        <v/>
      </c>
      <c r="E2300" s="30" t="inlineStr">
        <is>
          <t>EXPRESSO CAR REVENDA EIRELI</t>
        </is>
      </c>
      <c r="F2300" s="30" t="inlineStr">
        <is>
          <t>2022</t>
        </is>
      </c>
      <c r="G2300" s="40" t="n">
        <v>0</v>
      </c>
    </row>
    <row r="2301" ht="12" customHeight="1">
      <c r="A2301" s="30" t="inlineStr">
        <is>
          <t>ITG</t>
        </is>
      </c>
      <c r="B2301" s="30" t="inlineStr">
        <is>
          <t>Itaguai</t>
        </is>
      </c>
      <c r="C2301" s="30" t="n">
        <v>11342604</v>
      </c>
      <c r="D2301" s="30">
        <f>"32494457000196"</f>
        <v/>
      </c>
      <c r="E2301" s="30" t="inlineStr">
        <is>
          <t>EXPRESSO CAR REVENDA EIRELI</t>
        </is>
      </c>
      <c r="F2301" s="30" t="inlineStr">
        <is>
          <t>2023</t>
        </is>
      </c>
      <c r="G2301" s="40" t="n">
        <v>486549.8</v>
      </c>
    </row>
    <row r="2302" ht="12" customHeight="1">
      <c r="A2302" s="30" t="inlineStr">
        <is>
          <t>ITG</t>
        </is>
      </c>
      <c r="B2302" s="30" t="inlineStr">
        <is>
          <t>Itaguai</t>
        </is>
      </c>
      <c r="C2302" s="30" t="n">
        <v>11344666</v>
      </c>
      <c r="D2302" s="30">
        <f>"19109840000620"</f>
        <v/>
      </c>
      <c r="E2302" s="30" t="inlineStr">
        <is>
          <t>SUPPLOG TRANSPORTES MULTIMODAIS E INTERMEDIACOES DE NEGOCIOS LTDA</t>
        </is>
      </c>
      <c r="F2302" s="30" t="inlineStr">
        <is>
          <t>2017</t>
        </is>
      </c>
      <c r="G2302" s="40" t="n">
        <v>0</v>
      </c>
    </row>
    <row r="2303" ht="12" customHeight="1">
      <c r="A2303" s="30" t="inlineStr">
        <is>
          <t>ITG</t>
        </is>
      </c>
      <c r="B2303" s="30" t="inlineStr">
        <is>
          <t>Itaguai</t>
        </is>
      </c>
      <c r="C2303" s="30" t="n">
        <v>11344666</v>
      </c>
      <c r="D2303" s="30">
        <f>"19109840000620"</f>
        <v/>
      </c>
      <c r="E2303" s="30" t="inlineStr">
        <is>
          <t>SUPPLOG TRANSPORTES MULTIMODAIS E INTERMEDIACOES DE NEGOCIOS LTDA</t>
        </is>
      </c>
      <c r="F2303" s="30" t="inlineStr">
        <is>
          <t>2018</t>
        </is>
      </c>
      <c r="G2303" s="40" t="n">
        <v>0</v>
      </c>
    </row>
    <row r="2304" ht="12" customHeight="1">
      <c r="A2304" s="30" t="inlineStr">
        <is>
          <t>ITG</t>
        </is>
      </c>
      <c r="B2304" s="30" t="inlineStr">
        <is>
          <t>Itaguai</t>
        </is>
      </c>
      <c r="C2304" s="30" t="n">
        <v>11344666</v>
      </c>
      <c r="D2304" s="30">
        <f>"19109840000620"</f>
        <v/>
      </c>
      <c r="E2304" s="30" t="inlineStr">
        <is>
          <t>SUPPLOG TRANSPORTES MULTIMODAIS E INTERMEDIACOES DE NEGOCIOS LTDA</t>
        </is>
      </c>
      <c r="F2304" s="30" t="inlineStr">
        <is>
          <t>2019</t>
        </is>
      </c>
      <c r="G2304" s="40" t="n">
        <v>348.59</v>
      </c>
    </row>
    <row r="2305" ht="12" customHeight="1">
      <c r="A2305" s="30" t="inlineStr">
        <is>
          <t>ITG</t>
        </is>
      </c>
      <c r="B2305" s="30" t="inlineStr">
        <is>
          <t>Itaguai</t>
        </is>
      </c>
      <c r="C2305" s="30" t="n">
        <v>11344666</v>
      </c>
      <c r="D2305" s="30">
        <f>"19109840000620"</f>
        <v/>
      </c>
      <c r="E2305" s="30" t="inlineStr">
        <is>
          <t>SUPPLOG TRANSPORTES MULTIMODAIS E INTERMEDIACOES DE NEGOCIOS LTDA</t>
        </is>
      </c>
      <c r="F2305" s="30" t="inlineStr">
        <is>
          <t>2020</t>
        </is>
      </c>
      <c r="G2305" s="40" t="n">
        <v>0</v>
      </c>
    </row>
    <row r="2306" ht="12" customHeight="1">
      <c r="A2306" s="30" t="inlineStr">
        <is>
          <t>ITG</t>
        </is>
      </c>
      <c r="B2306" s="30" t="inlineStr">
        <is>
          <t>Itaguai</t>
        </is>
      </c>
      <c r="C2306" s="30" t="n">
        <v>11344666</v>
      </c>
      <c r="D2306" s="30">
        <f>"19109840000620"</f>
        <v/>
      </c>
      <c r="E2306" s="30" t="inlineStr">
        <is>
          <t>SUPPLOG TRANSPORTES MULTIMODAIS E INTERMEDIACOES DE NEGOCIOS LTDA</t>
        </is>
      </c>
      <c r="F2306" s="30" t="inlineStr">
        <is>
          <t>2021</t>
        </is>
      </c>
      <c r="G2306" s="40" t="n">
        <v>0</v>
      </c>
    </row>
    <row r="2307" ht="12" customHeight="1">
      <c r="A2307" s="30" t="inlineStr">
        <is>
          <t>ITG</t>
        </is>
      </c>
      <c r="B2307" s="30" t="inlineStr">
        <is>
          <t>Itaguai</t>
        </is>
      </c>
      <c r="C2307" s="30" t="n">
        <v>11351336</v>
      </c>
      <c r="D2307" s="30">
        <f>"32609550000107"</f>
        <v/>
      </c>
      <c r="E2307" s="30" t="inlineStr">
        <is>
          <t>RESTAURANTE ZUM FUSION ITAGUAI LTDA</t>
        </is>
      </c>
      <c r="F2307" s="30" t="inlineStr">
        <is>
          <t>2017</t>
        </is>
      </c>
      <c r="G2307" s="40" t="n">
        <v>0</v>
      </c>
    </row>
    <row r="2308" ht="12" customHeight="1">
      <c r="A2308" s="30" t="inlineStr">
        <is>
          <t>ITG</t>
        </is>
      </c>
      <c r="B2308" s="30" t="inlineStr">
        <is>
          <t>Itaguai</t>
        </is>
      </c>
      <c r="C2308" s="30" t="n">
        <v>11351336</v>
      </c>
      <c r="D2308" s="30">
        <f>"32609550000107"</f>
        <v/>
      </c>
      <c r="E2308" s="30" t="inlineStr">
        <is>
          <t>RESTAURANTE ZUM FUSION ITAGUAI LTDA</t>
        </is>
      </c>
      <c r="F2308" s="30" t="inlineStr">
        <is>
          <t>2018</t>
        </is>
      </c>
      <c r="G2308" s="40" t="n">
        <v>0</v>
      </c>
    </row>
    <row r="2309" ht="12" customHeight="1">
      <c r="A2309" s="30" t="inlineStr">
        <is>
          <t>ITG</t>
        </is>
      </c>
      <c r="B2309" s="30" t="inlineStr">
        <is>
          <t>Itaguai</t>
        </is>
      </c>
      <c r="C2309" s="30" t="n">
        <v>11351336</v>
      </c>
      <c r="D2309" s="30">
        <f>"32609550000107"</f>
        <v/>
      </c>
      <c r="E2309" s="30" t="inlineStr">
        <is>
          <t>RESTAURANTE ZUM FUSION ITAGUAI LTDA</t>
        </is>
      </c>
      <c r="F2309" s="30" t="inlineStr">
        <is>
          <t>2019</t>
        </is>
      </c>
      <c r="G2309" s="40" t="n">
        <v>656849.33</v>
      </c>
    </row>
    <row r="2310" ht="12" customHeight="1">
      <c r="A2310" s="30" t="inlineStr">
        <is>
          <t>ITG</t>
        </is>
      </c>
      <c r="B2310" s="30" t="inlineStr">
        <is>
          <t>Itaguai</t>
        </is>
      </c>
      <c r="C2310" s="30" t="n">
        <v>11351336</v>
      </c>
      <c r="D2310" s="30">
        <f>"32609550000107"</f>
        <v/>
      </c>
      <c r="E2310" s="30" t="inlineStr">
        <is>
          <t>RESTAURANTE ZUM FUSION ITAGUAI LTDA</t>
        </is>
      </c>
      <c r="F2310" s="30" t="inlineStr">
        <is>
          <t>2020</t>
        </is>
      </c>
      <c r="G2310" s="40" t="n">
        <v>0</v>
      </c>
    </row>
    <row r="2311" ht="12" customHeight="1">
      <c r="A2311" s="30" t="inlineStr">
        <is>
          <t>ITG</t>
        </is>
      </c>
      <c r="B2311" s="30" t="inlineStr">
        <is>
          <t>Itaguai</t>
        </is>
      </c>
      <c r="C2311" s="30" t="n">
        <v>11351336</v>
      </c>
      <c r="D2311" s="30">
        <f>"32609550000107"</f>
        <v/>
      </c>
      <c r="E2311" s="30" t="inlineStr">
        <is>
          <t>RESTAURANTE ZUM FUSION ITAGUAI LTDA</t>
        </is>
      </c>
      <c r="F2311" s="30" t="inlineStr">
        <is>
          <t>2021</t>
        </is>
      </c>
      <c r="G2311" s="40" t="n">
        <v>1057170.92</v>
      </c>
    </row>
    <row r="2312" ht="12" customHeight="1">
      <c r="A2312" s="30" t="inlineStr">
        <is>
          <t>ITG</t>
        </is>
      </c>
      <c r="B2312" s="30" t="inlineStr">
        <is>
          <t>Itaguai</t>
        </is>
      </c>
      <c r="C2312" s="30" t="n">
        <v>11351336</v>
      </c>
      <c r="D2312" s="30">
        <f>"32609550000107"</f>
        <v/>
      </c>
      <c r="E2312" s="30" t="inlineStr">
        <is>
          <t>RESTAURANTE ZUM FUSION ITAGUAI LTDA</t>
        </is>
      </c>
      <c r="F2312" s="30" t="inlineStr">
        <is>
          <t>2022</t>
        </is>
      </c>
      <c r="G2312" s="40" t="n">
        <v>0</v>
      </c>
    </row>
    <row r="2313" ht="12" customHeight="1">
      <c r="A2313" s="30" t="inlineStr">
        <is>
          <t>ITG</t>
        </is>
      </c>
      <c r="B2313" s="30" t="inlineStr">
        <is>
          <t>Itaguai</t>
        </is>
      </c>
      <c r="C2313" s="30" t="n">
        <v>11351336</v>
      </c>
      <c r="D2313" s="30">
        <f>"32609550000107"</f>
        <v/>
      </c>
      <c r="E2313" s="30" t="inlineStr">
        <is>
          <t>RESTAURANTE ZUM FUSION ITAGUAI LTDA</t>
        </is>
      </c>
      <c r="F2313" s="30" t="inlineStr">
        <is>
          <t>2023</t>
        </is>
      </c>
      <c r="G2313" s="40" t="n">
        <v>0</v>
      </c>
    </row>
    <row r="2314" ht="12" customHeight="1">
      <c r="A2314" s="30" t="inlineStr">
        <is>
          <t>ITG</t>
        </is>
      </c>
      <c r="B2314" s="30" t="inlineStr">
        <is>
          <t>Itaguai</t>
        </is>
      </c>
      <c r="C2314" s="30" t="n">
        <v>11366660</v>
      </c>
      <c r="D2314" s="30">
        <f>"05530576001075"</f>
        <v/>
      </c>
      <c r="E2314" s="30" t="inlineStr">
        <is>
          <t>LOGFAR LOGISTICA LTDA</t>
        </is>
      </c>
      <c r="F2314" s="30" t="inlineStr">
        <is>
          <t>2021</t>
        </is>
      </c>
      <c r="G2314" s="40" t="n">
        <v>0</v>
      </c>
    </row>
    <row r="2315" ht="12" customHeight="1">
      <c r="A2315" s="30" t="inlineStr">
        <is>
          <t>ITG</t>
        </is>
      </c>
      <c r="B2315" s="30" t="inlineStr">
        <is>
          <t>Itaguai</t>
        </is>
      </c>
      <c r="C2315" s="30" t="n">
        <v>11366660</v>
      </c>
      <c r="D2315" s="30">
        <f>"05530576001075"</f>
        <v/>
      </c>
      <c r="E2315" s="30" t="inlineStr">
        <is>
          <t>LOGFAR LOGISTICA LTDA</t>
        </is>
      </c>
      <c r="F2315" s="30" t="inlineStr">
        <is>
          <t>2022</t>
        </is>
      </c>
      <c r="G2315" s="40" t="n">
        <v>0</v>
      </c>
    </row>
    <row r="2316" ht="12" customHeight="1">
      <c r="A2316" s="30" t="inlineStr">
        <is>
          <t>ITG</t>
        </is>
      </c>
      <c r="B2316" s="30" t="inlineStr">
        <is>
          <t>Itaguai</t>
        </is>
      </c>
      <c r="C2316" s="30" t="n">
        <v>11366660</v>
      </c>
      <c r="D2316" s="30">
        <f>"05530576001075"</f>
        <v/>
      </c>
      <c r="E2316" s="30" t="inlineStr">
        <is>
          <t>LOGFAR LOGISTICA LTDA</t>
        </is>
      </c>
      <c r="F2316" s="30" t="inlineStr">
        <is>
          <t>2023</t>
        </is>
      </c>
      <c r="G2316" s="40" t="n">
        <v>83.98</v>
      </c>
    </row>
    <row r="2317" ht="12" customHeight="1">
      <c r="A2317" s="30" t="inlineStr">
        <is>
          <t>ITG</t>
        </is>
      </c>
      <c r="B2317" s="30" t="inlineStr">
        <is>
          <t>Itaguai</t>
        </is>
      </c>
      <c r="C2317" s="30" t="n">
        <v>11369138</v>
      </c>
      <c r="D2317" s="30">
        <f>"27373545000108"</f>
        <v/>
      </c>
      <c r="E2317" s="30" t="inlineStr">
        <is>
          <t>TRANSMAR LOGISTICA E TRANSPORTES LTDA EPP</t>
        </is>
      </c>
      <c r="F2317" s="30" t="inlineStr">
        <is>
          <t>2017</t>
        </is>
      </c>
      <c r="G2317" s="40" t="n">
        <v>0</v>
      </c>
    </row>
    <row r="2318" ht="12" customHeight="1">
      <c r="A2318" s="30" t="inlineStr">
        <is>
          <t>ITG</t>
        </is>
      </c>
      <c r="B2318" s="30" t="inlineStr">
        <is>
          <t>Itaguai</t>
        </is>
      </c>
      <c r="C2318" s="30" t="n">
        <v>11369138</v>
      </c>
      <c r="D2318" s="30">
        <f>"27373545000108"</f>
        <v/>
      </c>
      <c r="E2318" s="30" t="inlineStr">
        <is>
          <t>TRANSMAR LOGISTICA E TRANSPORTES LTDA EPP</t>
        </is>
      </c>
      <c r="F2318" s="30" t="inlineStr">
        <is>
          <t>2018</t>
        </is>
      </c>
      <c r="G2318" s="40" t="n">
        <v>0</v>
      </c>
    </row>
    <row r="2319" ht="12" customHeight="1">
      <c r="A2319" s="30" t="inlineStr">
        <is>
          <t>ITG</t>
        </is>
      </c>
      <c r="B2319" s="30" t="inlineStr">
        <is>
          <t>Itaguai</t>
        </is>
      </c>
      <c r="C2319" s="30" t="n">
        <v>11369138</v>
      </c>
      <c r="D2319" s="30">
        <f>"27373545000108"</f>
        <v/>
      </c>
      <c r="E2319" s="30" t="inlineStr">
        <is>
          <t>TRANSMAR LOGISTICA E TRANSPORTES LTDA EPP</t>
        </is>
      </c>
      <c r="F2319" s="30" t="inlineStr">
        <is>
          <t>2019</t>
        </is>
      </c>
      <c r="G2319" s="40" t="n">
        <v>0</v>
      </c>
    </row>
    <row r="2320" ht="12" customHeight="1">
      <c r="A2320" s="30" t="inlineStr">
        <is>
          <t>ITG</t>
        </is>
      </c>
      <c r="B2320" s="30" t="inlineStr">
        <is>
          <t>Itaguai</t>
        </is>
      </c>
      <c r="C2320" s="30" t="n">
        <v>11369138</v>
      </c>
      <c r="D2320" s="30">
        <f>"27373545000108"</f>
        <v/>
      </c>
      <c r="E2320" s="30" t="inlineStr">
        <is>
          <t>TRANSMAR LOGISTICA E TRANSPORTES LTDA EPP</t>
        </is>
      </c>
      <c r="F2320" s="30" t="inlineStr">
        <is>
          <t>2020</t>
        </is>
      </c>
      <c r="G2320" s="40" t="n">
        <v>0</v>
      </c>
    </row>
    <row r="2321" ht="12" customHeight="1">
      <c r="A2321" s="30" t="inlineStr">
        <is>
          <t>ITG</t>
        </is>
      </c>
      <c r="B2321" s="30" t="inlineStr">
        <is>
          <t>Itaguai</t>
        </is>
      </c>
      <c r="C2321" s="30" t="n">
        <v>11369138</v>
      </c>
      <c r="D2321" s="30">
        <f>"27373545000108"</f>
        <v/>
      </c>
      <c r="E2321" s="30" t="inlineStr">
        <is>
          <t>TRANSMAR LOGISTICA E TRANSPORTES LTDA EPP</t>
        </is>
      </c>
      <c r="F2321" s="30" t="inlineStr">
        <is>
          <t>2021</t>
        </is>
      </c>
      <c r="G2321" s="40" t="n">
        <v>0</v>
      </c>
    </row>
    <row r="2322" ht="12" customHeight="1">
      <c r="A2322" s="30" t="inlineStr">
        <is>
          <t>ITG</t>
        </is>
      </c>
      <c r="B2322" s="30" t="inlineStr">
        <is>
          <t>Itaguai</t>
        </is>
      </c>
      <c r="C2322" s="30" t="n">
        <v>11369723</v>
      </c>
      <c r="D2322" s="30">
        <f>"32508979000108"</f>
        <v/>
      </c>
      <c r="E2322" s="30" t="inlineStr">
        <is>
          <t>COOPERATIVA DE TRABALHO DE RECICLAGEM ITAGUAI COSTA VERDE - CTRIC</t>
        </is>
      </c>
      <c r="F2322" s="30" t="inlineStr">
        <is>
          <t>2017</t>
        </is>
      </c>
      <c r="G2322" s="40" t="n">
        <v>0</v>
      </c>
    </row>
    <row r="2323" ht="12" customHeight="1">
      <c r="A2323" s="30" t="inlineStr">
        <is>
          <t>ITG</t>
        </is>
      </c>
      <c r="B2323" s="30" t="inlineStr">
        <is>
          <t>Itaguai</t>
        </is>
      </c>
      <c r="C2323" s="30" t="n">
        <v>11369723</v>
      </c>
      <c r="D2323" s="30">
        <f>"32508979000108"</f>
        <v/>
      </c>
      <c r="E2323" s="30" t="inlineStr">
        <is>
          <t>COOPERATIVA DE TRABALHO DE RECICLAGEM ITAGUAI COSTA VERDE - CTRIC</t>
        </is>
      </c>
      <c r="F2323" s="30" t="inlineStr">
        <is>
          <t>2018</t>
        </is>
      </c>
      <c r="G2323" s="40" t="n">
        <v>0</v>
      </c>
    </row>
    <row r="2324" ht="12" customHeight="1">
      <c r="A2324" s="30" t="inlineStr">
        <is>
          <t>ITG</t>
        </is>
      </c>
      <c r="B2324" s="30" t="inlineStr">
        <is>
          <t>Itaguai</t>
        </is>
      </c>
      <c r="C2324" s="30" t="n">
        <v>11369723</v>
      </c>
      <c r="D2324" s="30">
        <f>"32508979000108"</f>
        <v/>
      </c>
      <c r="E2324" s="30" t="inlineStr">
        <is>
          <t>COOPERATIVA DE TRABALHO DE RECICLAGEM ITAGUAI COSTA VERDE - CTRIC</t>
        </is>
      </c>
      <c r="F2324" s="30" t="inlineStr">
        <is>
          <t>2019</t>
        </is>
      </c>
      <c r="G2324" s="40" t="n">
        <v>0</v>
      </c>
    </row>
    <row r="2325" ht="12" customHeight="1">
      <c r="A2325" s="30" t="inlineStr">
        <is>
          <t>ITG</t>
        </is>
      </c>
      <c r="B2325" s="30" t="inlineStr">
        <is>
          <t>Itaguai</t>
        </is>
      </c>
      <c r="C2325" s="30" t="n">
        <v>11369723</v>
      </c>
      <c r="D2325" s="30">
        <f>"32508979000108"</f>
        <v/>
      </c>
      <c r="E2325" s="30" t="inlineStr">
        <is>
          <t>COOPERATIVA DE TRABALHO DE RECICLAGEM ITAGUAI COSTA VERDE - CTRIC</t>
        </is>
      </c>
      <c r="F2325" s="30" t="inlineStr">
        <is>
          <t>2020</t>
        </is>
      </c>
      <c r="G2325" s="40" t="n">
        <v>0</v>
      </c>
    </row>
    <row r="2326" ht="12" customHeight="1">
      <c r="A2326" s="30" t="inlineStr">
        <is>
          <t>ITG</t>
        </is>
      </c>
      <c r="B2326" s="30" t="inlineStr">
        <is>
          <t>Itaguai</t>
        </is>
      </c>
      <c r="C2326" s="30" t="n">
        <v>11369723</v>
      </c>
      <c r="D2326" s="30">
        <f>"32508979000108"</f>
        <v/>
      </c>
      <c r="E2326" s="30" t="inlineStr">
        <is>
          <t>COOPERATIVA DE TRABALHO DE RECICLAGEM ITAGUAI COSTA VERDE - CTRIC</t>
        </is>
      </c>
      <c r="F2326" s="30" t="inlineStr">
        <is>
          <t>2021</t>
        </is>
      </c>
      <c r="G2326" s="40" t="n">
        <v>0</v>
      </c>
    </row>
    <row r="2327" ht="12" customHeight="1">
      <c r="A2327" s="30" t="inlineStr">
        <is>
          <t>ITG</t>
        </is>
      </c>
      <c r="B2327" s="30" t="inlineStr">
        <is>
          <t>Itaguai</t>
        </is>
      </c>
      <c r="C2327" s="30" t="n">
        <v>11369723</v>
      </c>
      <c r="D2327" s="30">
        <f>"32508979000108"</f>
        <v/>
      </c>
      <c r="E2327" s="30" t="inlineStr">
        <is>
          <t>COOPERATIVA DE TRABALHO DE RECICLAGEM ITAGUAI COSTA VERDE - CTRIC</t>
        </is>
      </c>
      <c r="F2327" s="30" t="inlineStr">
        <is>
          <t>2022</t>
        </is>
      </c>
      <c r="G2327" s="40" t="n">
        <v>0</v>
      </c>
    </row>
    <row r="2328" ht="12" customHeight="1">
      <c r="A2328" s="30" t="inlineStr">
        <is>
          <t>ITG</t>
        </is>
      </c>
      <c r="B2328" s="30" t="inlineStr">
        <is>
          <t>Itaguai</t>
        </is>
      </c>
      <c r="C2328" s="30" t="n">
        <v>11369723</v>
      </c>
      <c r="D2328" s="30">
        <f>"32508979000108"</f>
        <v/>
      </c>
      <c r="E2328" s="30" t="inlineStr">
        <is>
          <t>COOPERATIVA DE TRABALHO DE RECICLAGEM ITAGUAI COSTA VERDE - CTRIC</t>
        </is>
      </c>
      <c r="F2328" s="30" t="inlineStr">
        <is>
          <t>2023</t>
        </is>
      </c>
      <c r="G2328" s="40" t="n">
        <v>0</v>
      </c>
    </row>
    <row r="2329" ht="12" customHeight="1">
      <c r="A2329" s="30" t="inlineStr">
        <is>
          <t>ITG</t>
        </is>
      </c>
      <c r="B2329" s="30" t="inlineStr">
        <is>
          <t>Itaguai</t>
        </is>
      </c>
      <c r="C2329" s="30" t="n">
        <v>11379435</v>
      </c>
      <c r="D2329" s="30">
        <f>"35815737000309"</f>
        <v/>
      </c>
      <c r="E2329" s="30" t="inlineStr">
        <is>
          <t>AREAL SOL NASCENTE LTDA EPP</t>
        </is>
      </c>
      <c r="F2329" s="30" t="inlineStr">
        <is>
          <t>2018</t>
        </is>
      </c>
      <c r="G2329" s="40" t="n">
        <v>0</v>
      </c>
    </row>
    <row r="2330" ht="12" customHeight="1">
      <c r="A2330" s="30" t="inlineStr">
        <is>
          <t>ITG</t>
        </is>
      </c>
      <c r="B2330" s="30" t="inlineStr">
        <is>
          <t>Itaguai</t>
        </is>
      </c>
      <c r="C2330" s="30" t="n">
        <v>11379435</v>
      </c>
      <c r="D2330" s="30">
        <f>"35815737000309"</f>
        <v/>
      </c>
      <c r="E2330" s="30" t="inlineStr">
        <is>
          <t>AREAL SOL NASCENTE LTDA EPP</t>
        </is>
      </c>
      <c r="F2330" s="30" t="inlineStr">
        <is>
          <t>2019</t>
        </is>
      </c>
      <c r="G2330" s="40" t="n">
        <v>0</v>
      </c>
    </row>
    <row r="2331" ht="12" customHeight="1">
      <c r="A2331" s="30" t="inlineStr">
        <is>
          <t>ITG</t>
        </is>
      </c>
      <c r="B2331" s="30" t="inlineStr">
        <is>
          <t>Itaguai</t>
        </is>
      </c>
      <c r="C2331" s="30" t="n">
        <v>11379435</v>
      </c>
      <c r="D2331" s="30">
        <f>"35815737000309"</f>
        <v/>
      </c>
      <c r="E2331" s="30" t="inlineStr">
        <is>
          <t>AREAL SOL NASCENTE LTDA EPP</t>
        </is>
      </c>
      <c r="F2331" s="30" t="inlineStr">
        <is>
          <t>2020</t>
        </is>
      </c>
      <c r="G2331" s="40" t="n">
        <v>0</v>
      </c>
    </row>
    <row r="2332" ht="12" customHeight="1">
      <c r="A2332" s="30" t="inlineStr">
        <is>
          <t>ITG</t>
        </is>
      </c>
      <c r="B2332" s="30" t="inlineStr">
        <is>
          <t>Itaguai</t>
        </is>
      </c>
      <c r="C2332" s="30" t="n">
        <v>11379435</v>
      </c>
      <c r="D2332" s="30">
        <f>"35815737000309"</f>
        <v/>
      </c>
      <c r="E2332" s="30" t="inlineStr">
        <is>
          <t>AREAL SOL NASCENTE LTDA EPP</t>
        </is>
      </c>
      <c r="F2332" s="30" t="inlineStr">
        <is>
          <t>2021</t>
        </is>
      </c>
      <c r="G2332" s="40" t="n">
        <v>0</v>
      </c>
    </row>
    <row r="2333" ht="12" customHeight="1">
      <c r="A2333" s="30" t="inlineStr">
        <is>
          <t>ITG</t>
        </is>
      </c>
      <c r="B2333" s="30" t="inlineStr">
        <is>
          <t>Itaguai</t>
        </is>
      </c>
      <c r="C2333" s="30" t="n">
        <v>11379435</v>
      </c>
      <c r="D2333" s="30">
        <f>"35815737000309"</f>
        <v/>
      </c>
      <c r="E2333" s="30" t="inlineStr">
        <is>
          <t>AREAL SOL NASCENTE LTDA EPP</t>
        </is>
      </c>
      <c r="F2333" s="30" t="inlineStr">
        <is>
          <t>2022</t>
        </is>
      </c>
      <c r="G2333" s="40" t="n">
        <v>0</v>
      </c>
    </row>
    <row r="2334" ht="12" customHeight="1">
      <c r="A2334" s="30" t="inlineStr">
        <is>
          <t>ITG</t>
        </is>
      </c>
      <c r="B2334" s="30" t="inlineStr">
        <is>
          <t>Itaguai</t>
        </is>
      </c>
      <c r="C2334" s="30" t="n">
        <v>11379435</v>
      </c>
      <c r="D2334" s="30">
        <f>"35815737000309"</f>
        <v/>
      </c>
      <c r="E2334" s="30" t="inlineStr">
        <is>
          <t>AREAL SOL NASCENTE LTDA EPP</t>
        </is>
      </c>
      <c r="F2334" s="30" t="inlineStr">
        <is>
          <t>2023</t>
        </is>
      </c>
      <c r="G2334" s="40" t="n">
        <v>0</v>
      </c>
    </row>
    <row r="2335" ht="12" customHeight="1">
      <c r="A2335" s="30" t="inlineStr">
        <is>
          <t>ITG</t>
        </is>
      </c>
      <c r="B2335" s="30" t="inlineStr">
        <is>
          <t>Itaguai</t>
        </is>
      </c>
      <c r="C2335" s="30" t="n">
        <v>11380921</v>
      </c>
      <c r="D2335" s="30">
        <f>"24916711000250"</f>
        <v/>
      </c>
      <c r="E2335" s="30" t="inlineStr">
        <is>
          <t>CLAUDIA MARQUES CALDEIRA E CIA</t>
        </is>
      </c>
      <c r="F2335" s="30" t="inlineStr">
        <is>
          <t>2018</t>
        </is>
      </c>
      <c r="G2335" s="40" t="n">
        <v>0</v>
      </c>
    </row>
    <row r="2336" ht="12" customHeight="1">
      <c r="A2336" s="30" t="inlineStr">
        <is>
          <t>ITG</t>
        </is>
      </c>
      <c r="B2336" s="30" t="inlineStr">
        <is>
          <t>Itaguai</t>
        </is>
      </c>
      <c r="C2336" s="30" t="n">
        <v>11380921</v>
      </c>
      <c r="D2336" s="30">
        <f>"24916711000250"</f>
        <v/>
      </c>
      <c r="E2336" s="30" t="inlineStr">
        <is>
          <t>CLAUDIA MARQUES CALDEIRA E CIA</t>
        </is>
      </c>
      <c r="F2336" s="30" t="inlineStr">
        <is>
          <t>2019</t>
        </is>
      </c>
      <c r="G2336" s="40" t="n">
        <v>0</v>
      </c>
    </row>
    <row r="2337" ht="12" customHeight="1">
      <c r="A2337" s="30" t="inlineStr">
        <is>
          <t>ITG</t>
        </is>
      </c>
      <c r="B2337" s="30" t="inlineStr">
        <is>
          <t>Itaguai</t>
        </is>
      </c>
      <c r="C2337" s="30" t="n">
        <v>11380921</v>
      </c>
      <c r="D2337" s="30">
        <f>"24916711000250"</f>
        <v/>
      </c>
      <c r="E2337" s="30" t="inlineStr">
        <is>
          <t>CLAUDIA MARQUES CALDEIRA E CIA</t>
        </is>
      </c>
      <c r="F2337" s="30" t="inlineStr">
        <is>
          <t>2020</t>
        </is>
      </c>
      <c r="G2337" s="40" t="n">
        <v>588.28</v>
      </c>
    </row>
    <row r="2338" ht="12" customHeight="1">
      <c r="A2338" s="30" t="inlineStr">
        <is>
          <t>ITG</t>
        </is>
      </c>
      <c r="B2338" s="30" t="inlineStr">
        <is>
          <t>Itaguai</t>
        </is>
      </c>
      <c r="C2338" s="30" t="n">
        <v>11380921</v>
      </c>
      <c r="D2338" s="30">
        <f>"24916711000250"</f>
        <v/>
      </c>
      <c r="E2338" s="30" t="inlineStr">
        <is>
          <t>CLAUDIA MARQUES CALDEIRA E CIA</t>
        </is>
      </c>
      <c r="F2338" s="30" t="inlineStr">
        <is>
          <t>2021</t>
        </is>
      </c>
      <c r="G2338" s="40" t="n">
        <v>197.81</v>
      </c>
    </row>
    <row r="2339" ht="12" customHeight="1">
      <c r="A2339" s="30" t="inlineStr">
        <is>
          <t>ITG</t>
        </is>
      </c>
      <c r="B2339" s="30" t="inlineStr">
        <is>
          <t>Itaguai</t>
        </is>
      </c>
      <c r="C2339" s="30" t="n">
        <v>11380921</v>
      </c>
      <c r="D2339" s="30">
        <f>"24916711000250"</f>
        <v/>
      </c>
      <c r="E2339" s="30" t="inlineStr">
        <is>
          <t>CLAUDIA MARQUES CALDEIRA E CIA</t>
        </is>
      </c>
      <c r="F2339" s="30" t="inlineStr">
        <is>
          <t>2022</t>
        </is>
      </c>
      <c r="G2339" s="40" t="n">
        <v>0</v>
      </c>
    </row>
    <row r="2340" ht="12" customHeight="1">
      <c r="A2340" s="30" t="inlineStr">
        <is>
          <t>ITG</t>
        </is>
      </c>
      <c r="B2340" s="30" t="inlineStr">
        <is>
          <t>Itaguai</t>
        </is>
      </c>
      <c r="C2340" s="30" t="n">
        <v>11380921</v>
      </c>
      <c r="D2340" s="30">
        <f>"24916711000250"</f>
        <v/>
      </c>
      <c r="E2340" s="30" t="inlineStr">
        <is>
          <t>CLAUDIA MARQUES CALDEIRA E CIA</t>
        </is>
      </c>
      <c r="F2340" s="30" t="inlineStr">
        <is>
          <t>2023</t>
        </is>
      </c>
      <c r="G2340" s="40" t="n">
        <v>0</v>
      </c>
    </row>
    <row r="2341" ht="12" customHeight="1">
      <c r="A2341" s="30" t="inlineStr">
        <is>
          <t>ITG</t>
        </is>
      </c>
      <c r="B2341" s="30" t="inlineStr">
        <is>
          <t>Itaguai</t>
        </is>
      </c>
      <c r="C2341" s="30" t="n">
        <v>11386431</v>
      </c>
      <c r="D2341" s="30">
        <f>"29080308000338"</f>
        <v/>
      </c>
      <c r="E2341" s="30" t="inlineStr">
        <is>
          <t>R&amp;D CARGO TRANSPORTES LTDA</t>
        </is>
      </c>
      <c r="F2341" s="30" t="inlineStr">
        <is>
          <t>2017</t>
        </is>
      </c>
      <c r="G2341" s="40" t="n">
        <v>0</v>
      </c>
    </row>
    <row r="2342" ht="12" customHeight="1">
      <c r="A2342" s="30" t="inlineStr">
        <is>
          <t>ITG</t>
        </is>
      </c>
      <c r="B2342" s="30" t="inlineStr">
        <is>
          <t>Itaguai</t>
        </is>
      </c>
      <c r="C2342" s="30" t="n">
        <v>11386431</v>
      </c>
      <c r="D2342" s="30">
        <f>"29080308000338"</f>
        <v/>
      </c>
      <c r="E2342" s="30" t="inlineStr">
        <is>
          <t>R&amp;D CARGO TRANSPORTES LTDA</t>
        </is>
      </c>
      <c r="F2342" s="30" t="inlineStr">
        <is>
          <t>2018</t>
        </is>
      </c>
      <c r="G2342" s="40" t="n">
        <v>0</v>
      </c>
    </row>
    <row r="2343" ht="12" customHeight="1">
      <c r="A2343" s="30" t="inlineStr">
        <is>
          <t>ITG</t>
        </is>
      </c>
      <c r="B2343" s="30" t="inlineStr">
        <is>
          <t>Itaguai</t>
        </is>
      </c>
      <c r="C2343" s="30" t="n">
        <v>11386431</v>
      </c>
      <c r="D2343" s="30">
        <f>"29080308000338"</f>
        <v/>
      </c>
      <c r="E2343" s="30" t="inlineStr">
        <is>
          <t>R&amp;D CARGO TRANSPORTES LTDA</t>
        </is>
      </c>
      <c r="F2343" s="30" t="inlineStr">
        <is>
          <t>2019</t>
        </is>
      </c>
      <c r="G2343" s="40" t="n">
        <v>64.88</v>
      </c>
    </row>
    <row r="2344" ht="12" customHeight="1">
      <c r="A2344" s="30" t="inlineStr">
        <is>
          <t>ITG</t>
        </is>
      </c>
      <c r="B2344" s="30" t="inlineStr">
        <is>
          <t>Itaguai</t>
        </is>
      </c>
      <c r="C2344" s="30" t="n">
        <v>11386431</v>
      </c>
      <c r="D2344" s="30">
        <f>"29080308000338"</f>
        <v/>
      </c>
      <c r="E2344" s="30" t="inlineStr">
        <is>
          <t>R&amp;D CARGO TRANSPORTES LTDA</t>
        </is>
      </c>
      <c r="F2344" s="30" t="inlineStr">
        <is>
          <t>2020</t>
        </is>
      </c>
      <c r="G2344" s="40" t="n">
        <v>0</v>
      </c>
    </row>
    <row r="2345" ht="12" customHeight="1">
      <c r="A2345" s="30" t="inlineStr">
        <is>
          <t>ITG</t>
        </is>
      </c>
      <c r="B2345" s="30" t="inlineStr">
        <is>
          <t>Itaguai</t>
        </is>
      </c>
      <c r="C2345" s="30" t="n">
        <v>11386431</v>
      </c>
      <c r="D2345" s="30">
        <f>"29080308000338"</f>
        <v/>
      </c>
      <c r="E2345" s="30" t="inlineStr">
        <is>
          <t>R&amp;D CARGO TRANSPORTES LTDA</t>
        </is>
      </c>
      <c r="F2345" s="30" t="inlineStr">
        <is>
          <t>2021</t>
        </is>
      </c>
      <c r="G2345" s="40" t="n">
        <v>0</v>
      </c>
    </row>
    <row r="2346" ht="12" customHeight="1">
      <c r="A2346" s="30" t="inlineStr">
        <is>
          <t>ITG</t>
        </is>
      </c>
      <c r="B2346" s="30" t="inlineStr">
        <is>
          <t>Itaguai</t>
        </is>
      </c>
      <c r="C2346" s="30" t="n">
        <v>11386431</v>
      </c>
      <c r="D2346" s="30">
        <f>"29080308000338"</f>
        <v/>
      </c>
      <c r="E2346" s="30" t="inlineStr">
        <is>
          <t>R&amp;D CARGO TRANSPORTES LTDA</t>
        </is>
      </c>
      <c r="F2346" s="30" t="inlineStr">
        <is>
          <t>2022</t>
        </is>
      </c>
      <c r="G2346" s="40" t="n">
        <v>814.01</v>
      </c>
    </row>
    <row r="2347" ht="12" customHeight="1">
      <c r="A2347" s="30" t="inlineStr">
        <is>
          <t>ITG</t>
        </is>
      </c>
      <c r="B2347" s="30" t="inlineStr">
        <is>
          <t>Itaguai</t>
        </is>
      </c>
      <c r="C2347" s="30" t="n">
        <v>11386431</v>
      </c>
      <c r="D2347" s="30">
        <f>"29080308000338"</f>
        <v/>
      </c>
      <c r="E2347" s="30" t="inlineStr">
        <is>
          <t>R&amp;D CARGO TRANSPORTES LTDA</t>
        </is>
      </c>
      <c r="F2347" s="30" t="inlineStr">
        <is>
          <t>2023</t>
        </is>
      </c>
      <c r="G2347" s="40" t="n">
        <v>11413.02</v>
      </c>
    </row>
    <row r="2348" ht="12" customHeight="1">
      <c r="A2348" s="30" t="inlineStr">
        <is>
          <t>ITG</t>
        </is>
      </c>
      <c r="B2348" s="30" t="inlineStr">
        <is>
          <t>Itaguai</t>
        </is>
      </c>
      <c r="C2348" s="30" t="n">
        <v>11387144</v>
      </c>
      <c r="D2348" s="30">
        <f>"09103236000632"</f>
        <v/>
      </c>
      <c r="E2348" s="30" t="inlineStr">
        <is>
          <t>RARO SERVICOS AUXILIARES DE TRANSPORTE AEREO EIRELI</t>
        </is>
      </c>
      <c r="F2348" s="30" t="inlineStr">
        <is>
          <t>2020</t>
        </is>
      </c>
      <c r="G2348" s="40" t="n">
        <v>0</v>
      </c>
    </row>
    <row r="2349" ht="12" customHeight="1">
      <c r="A2349" s="30" t="inlineStr">
        <is>
          <t>ITG</t>
        </is>
      </c>
      <c r="B2349" s="30" t="inlineStr">
        <is>
          <t>Itaguai</t>
        </is>
      </c>
      <c r="C2349" s="30" t="n">
        <v>11387144</v>
      </c>
      <c r="D2349" s="30">
        <f>"09103236000632"</f>
        <v/>
      </c>
      <c r="E2349" s="30" t="inlineStr">
        <is>
          <t>RARO SERVICOS AUXILIARES DE TRANSPORTE AEREO EIRELI</t>
        </is>
      </c>
      <c r="F2349" s="30" t="inlineStr">
        <is>
          <t>2021</t>
        </is>
      </c>
      <c r="G2349" s="40" t="n">
        <v>0</v>
      </c>
    </row>
    <row r="2350" ht="12" customHeight="1">
      <c r="A2350" s="30" t="inlineStr">
        <is>
          <t>ITG</t>
        </is>
      </c>
      <c r="B2350" s="30" t="inlineStr">
        <is>
          <t>Itaguai</t>
        </is>
      </c>
      <c r="C2350" s="30" t="n">
        <v>11387144</v>
      </c>
      <c r="D2350" s="30">
        <f>"09103236000632"</f>
        <v/>
      </c>
      <c r="E2350" s="30" t="inlineStr">
        <is>
          <t>RARO SERVICOS AUXILIARES DE TRANSPORTE AEREO EIRELI</t>
        </is>
      </c>
      <c r="F2350" s="30" t="inlineStr">
        <is>
          <t>2022</t>
        </is>
      </c>
      <c r="G2350" s="40" t="n">
        <v>200.35</v>
      </c>
    </row>
    <row r="2351" ht="12" customHeight="1">
      <c r="A2351" s="30" t="inlineStr">
        <is>
          <t>ITG</t>
        </is>
      </c>
      <c r="B2351" s="30" t="inlineStr">
        <is>
          <t>Itaguai</t>
        </is>
      </c>
      <c r="C2351" s="30" t="n">
        <v>11387144</v>
      </c>
      <c r="D2351" s="30">
        <f>"09103236000632"</f>
        <v/>
      </c>
      <c r="E2351" s="30" t="inlineStr">
        <is>
          <t>RARO SERVICOS AUXILIARES DE TRANSPORTE AEREO EIRELI</t>
        </is>
      </c>
      <c r="F2351" s="30" t="inlineStr">
        <is>
          <t>2023</t>
        </is>
      </c>
      <c r="G2351" s="40" t="n">
        <v>0</v>
      </c>
    </row>
    <row r="2352" ht="12" customHeight="1">
      <c r="A2352" s="30" t="inlineStr">
        <is>
          <t>ITG</t>
        </is>
      </c>
      <c r="B2352" s="30" t="inlineStr">
        <is>
          <t>Itaguai</t>
        </is>
      </c>
      <c r="C2352" s="30" t="n">
        <v>11391770</v>
      </c>
      <c r="D2352" s="30">
        <f>"02724730739"</f>
        <v/>
      </c>
      <c r="E2352" s="30" t="inlineStr">
        <is>
          <t>NILCEA CORDEIRO DE ARAUJO LISTO</t>
        </is>
      </c>
      <c r="F2352" s="30" t="inlineStr">
        <is>
          <t>2021</t>
        </is>
      </c>
      <c r="G2352" s="40" t="n">
        <v>0</v>
      </c>
    </row>
    <row r="2353" ht="12" customHeight="1">
      <c r="A2353" s="30" t="inlineStr">
        <is>
          <t>ITG</t>
        </is>
      </c>
      <c r="B2353" s="30" t="inlineStr">
        <is>
          <t>Itaguai</t>
        </is>
      </c>
      <c r="C2353" s="30" t="n">
        <v>11391770</v>
      </c>
      <c r="D2353" s="30">
        <f>"02724730739"</f>
        <v/>
      </c>
      <c r="E2353" s="30" t="inlineStr">
        <is>
          <t>NILCEA CORDEIRO DE ARAUJO LISTO</t>
        </is>
      </c>
      <c r="F2353" s="30" t="inlineStr">
        <is>
          <t>2022</t>
        </is>
      </c>
      <c r="G2353" s="40" t="n">
        <v>0</v>
      </c>
    </row>
    <row r="2354" ht="12" customHeight="1">
      <c r="A2354" s="30" t="inlineStr">
        <is>
          <t>ITG</t>
        </is>
      </c>
      <c r="B2354" s="30" t="inlineStr">
        <is>
          <t>Itaguai</t>
        </is>
      </c>
      <c r="C2354" s="30" t="n">
        <v>11391770</v>
      </c>
      <c r="D2354" s="30">
        <f>"02724730739"</f>
        <v/>
      </c>
      <c r="E2354" s="30" t="inlineStr">
        <is>
          <t>NILCEA CORDEIRO DE ARAUJO LISTO</t>
        </is>
      </c>
      <c r="F2354" s="30" t="inlineStr">
        <is>
          <t>2023</t>
        </is>
      </c>
      <c r="G2354" s="40" t="n">
        <v>0</v>
      </c>
    </row>
    <row r="2355" ht="12" customHeight="1">
      <c r="A2355" s="30" t="inlineStr">
        <is>
          <t>ITG</t>
        </is>
      </c>
      <c r="B2355" s="30" t="inlineStr">
        <is>
          <t>Itaguai</t>
        </is>
      </c>
      <c r="C2355" s="30" t="n">
        <v>11406629</v>
      </c>
      <c r="D2355" s="30">
        <f>"12143389760"</f>
        <v/>
      </c>
      <c r="E2355" s="30" t="inlineStr">
        <is>
          <t>NELSON MARTINS FIGUEIREDO</t>
        </is>
      </c>
      <c r="F2355" s="30" t="inlineStr">
        <is>
          <t>2018</t>
        </is>
      </c>
      <c r="G2355" s="40" t="n">
        <v>0</v>
      </c>
    </row>
    <row r="2356" ht="12" customHeight="1">
      <c r="A2356" s="30" t="inlineStr">
        <is>
          <t>ITG</t>
        </is>
      </c>
      <c r="B2356" s="30" t="inlineStr">
        <is>
          <t>Itaguai</t>
        </is>
      </c>
      <c r="C2356" s="30" t="n">
        <v>11406629</v>
      </c>
      <c r="D2356" s="30">
        <f>"12143389760"</f>
        <v/>
      </c>
      <c r="E2356" s="30" t="inlineStr">
        <is>
          <t>NELSON MARTINS FIGUEIREDO</t>
        </is>
      </c>
      <c r="F2356" s="30" t="inlineStr">
        <is>
          <t>2019</t>
        </is>
      </c>
      <c r="G2356" s="40" t="n">
        <v>0</v>
      </c>
    </row>
    <row r="2357" ht="12" customHeight="1">
      <c r="A2357" s="30" t="inlineStr">
        <is>
          <t>ITG</t>
        </is>
      </c>
      <c r="B2357" s="30" t="inlineStr">
        <is>
          <t>Itaguai</t>
        </is>
      </c>
      <c r="C2357" s="30" t="n">
        <v>11406629</v>
      </c>
      <c r="D2357" s="30">
        <f>"12143389760"</f>
        <v/>
      </c>
      <c r="E2357" s="30" t="inlineStr">
        <is>
          <t>NELSON MARTINS FIGUEIREDO</t>
        </is>
      </c>
      <c r="F2357" s="30" t="inlineStr">
        <is>
          <t>2020</t>
        </is>
      </c>
      <c r="G2357" s="40" t="n">
        <v>7594.73</v>
      </c>
    </row>
    <row r="2358" ht="12" customHeight="1">
      <c r="A2358" s="30" t="inlineStr">
        <is>
          <t>ITG</t>
        </is>
      </c>
      <c r="B2358" s="30" t="inlineStr">
        <is>
          <t>Itaguai</t>
        </is>
      </c>
      <c r="C2358" s="30" t="n">
        <v>11406629</v>
      </c>
      <c r="D2358" s="30">
        <f>"12143389760"</f>
        <v/>
      </c>
      <c r="E2358" s="30" t="inlineStr">
        <is>
          <t>NELSON MARTINS FIGUEIREDO</t>
        </is>
      </c>
      <c r="F2358" s="30" t="inlineStr">
        <is>
          <t>2021</t>
        </is>
      </c>
      <c r="G2358" s="40" t="n">
        <v>28101.32</v>
      </c>
    </row>
    <row r="2359" ht="12" customHeight="1">
      <c r="A2359" s="30" t="inlineStr">
        <is>
          <t>ITG</t>
        </is>
      </c>
      <c r="B2359" s="30" t="inlineStr">
        <is>
          <t>Itaguai</t>
        </is>
      </c>
      <c r="C2359" s="30" t="n">
        <v>11406629</v>
      </c>
      <c r="D2359" s="30">
        <f>"12143389760"</f>
        <v/>
      </c>
      <c r="E2359" s="30" t="inlineStr">
        <is>
          <t>NELSON MARTINS FIGUEIREDO</t>
        </is>
      </c>
      <c r="F2359" s="30" t="inlineStr">
        <is>
          <t>2022</t>
        </is>
      </c>
      <c r="G2359" s="40" t="n">
        <v>0</v>
      </c>
    </row>
    <row r="2360" ht="12" customHeight="1">
      <c r="A2360" s="30" t="inlineStr">
        <is>
          <t>ITG</t>
        </is>
      </c>
      <c r="B2360" s="30" t="inlineStr">
        <is>
          <t>Itaguai</t>
        </is>
      </c>
      <c r="C2360" s="30" t="n">
        <v>11406629</v>
      </c>
      <c r="D2360" s="30">
        <f>"12143389760"</f>
        <v/>
      </c>
      <c r="E2360" s="30" t="inlineStr">
        <is>
          <t>NELSON MARTINS FIGUEIREDO</t>
        </is>
      </c>
      <c r="F2360" s="30" t="inlineStr">
        <is>
          <t>2023</t>
        </is>
      </c>
      <c r="G2360" s="40" t="n">
        <v>0</v>
      </c>
    </row>
    <row r="2361" ht="12" customHeight="1">
      <c r="A2361" s="30" t="inlineStr">
        <is>
          <t>ITG</t>
        </is>
      </c>
      <c r="B2361" s="30" t="inlineStr">
        <is>
          <t>Itaguai</t>
        </is>
      </c>
      <c r="C2361" s="30" t="n">
        <v>11407030</v>
      </c>
      <c r="D2361" s="30">
        <f>"87894165700"</f>
        <v/>
      </c>
      <c r="E2361" s="30" t="inlineStr">
        <is>
          <t>JOSE EDUARDO DA SILVA MEDINA</t>
        </is>
      </c>
      <c r="F2361" s="30" t="inlineStr">
        <is>
          <t>2019</t>
        </is>
      </c>
      <c r="G2361" s="40" t="n">
        <v>0</v>
      </c>
    </row>
    <row r="2362" ht="12" customHeight="1">
      <c r="A2362" s="30" t="inlineStr">
        <is>
          <t>ITG</t>
        </is>
      </c>
      <c r="B2362" s="30" t="inlineStr">
        <is>
          <t>Itaguai</t>
        </is>
      </c>
      <c r="C2362" s="30" t="n">
        <v>11407030</v>
      </c>
      <c r="D2362" s="30">
        <f>"87894165700"</f>
        <v/>
      </c>
      <c r="E2362" s="30" t="inlineStr">
        <is>
          <t>JOSE EDUARDO DA SILVA MEDINA</t>
        </is>
      </c>
      <c r="F2362" s="30" t="inlineStr">
        <is>
          <t>2020</t>
        </is>
      </c>
      <c r="G2362" s="40" t="n">
        <v>0</v>
      </c>
    </row>
    <row r="2363" ht="12" customHeight="1">
      <c r="A2363" s="30" t="inlineStr">
        <is>
          <t>ITG</t>
        </is>
      </c>
      <c r="B2363" s="30" t="inlineStr">
        <is>
          <t>Itaguai</t>
        </is>
      </c>
      <c r="C2363" s="30" t="n">
        <v>11407030</v>
      </c>
      <c r="D2363" s="30">
        <f>"87894165700"</f>
        <v/>
      </c>
      <c r="E2363" s="30" t="inlineStr">
        <is>
          <t>JOSE EDUARDO DA SILVA MEDINA</t>
        </is>
      </c>
      <c r="F2363" s="30" t="inlineStr">
        <is>
          <t>2021</t>
        </is>
      </c>
      <c r="G2363" s="40" t="n">
        <v>22742.74</v>
      </c>
    </row>
    <row r="2364" ht="12" customHeight="1">
      <c r="A2364" s="30" t="inlineStr">
        <is>
          <t>ITG</t>
        </is>
      </c>
      <c r="B2364" s="30" t="inlineStr">
        <is>
          <t>Itaguai</t>
        </is>
      </c>
      <c r="C2364" s="30" t="n">
        <v>11407030</v>
      </c>
      <c r="D2364" s="30">
        <f>"87894165700"</f>
        <v/>
      </c>
      <c r="E2364" s="30" t="inlineStr">
        <is>
          <t>JOSE EDUARDO DA SILVA MEDINA</t>
        </is>
      </c>
      <c r="F2364" s="30" t="inlineStr">
        <is>
          <t>2022</t>
        </is>
      </c>
      <c r="G2364" s="40" t="n">
        <v>0</v>
      </c>
    </row>
    <row r="2365" ht="12" customHeight="1">
      <c r="A2365" s="30" t="inlineStr">
        <is>
          <t>ITG</t>
        </is>
      </c>
      <c r="B2365" s="30" t="inlineStr">
        <is>
          <t>Itaguai</t>
        </is>
      </c>
      <c r="C2365" s="30" t="n">
        <v>11407030</v>
      </c>
      <c r="D2365" s="30">
        <f>"87894165700"</f>
        <v/>
      </c>
      <c r="E2365" s="30" t="inlineStr">
        <is>
          <t>JOSE EDUARDO DA SILVA MEDINA</t>
        </is>
      </c>
      <c r="F2365" s="30" t="inlineStr">
        <is>
          <t>2023</t>
        </is>
      </c>
      <c r="G2365" s="40" t="n">
        <v>50917.16</v>
      </c>
    </row>
    <row r="2366" ht="12" customHeight="1">
      <c r="A2366" s="30" t="inlineStr">
        <is>
          <t>ITG</t>
        </is>
      </c>
      <c r="B2366" s="30" t="inlineStr">
        <is>
          <t>Itaguai</t>
        </is>
      </c>
      <c r="C2366" s="30" t="n">
        <v>11417698</v>
      </c>
      <c r="D2366" s="30">
        <f>"27143007001867"</f>
        <v/>
      </c>
      <c r="E2366" s="30" t="inlineStr">
        <is>
          <t>TRACOMAL TERRAPLENAGEM E CONSTRUCOES MACHADO LTDA</t>
        </is>
      </c>
      <c r="F2366" s="30" t="inlineStr">
        <is>
          <t>2018</t>
        </is>
      </c>
      <c r="G2366" s="40" t="n">
        <v>0</v>
      </c>
    </row>
    <row r="2367" ht="12" customHeight="1">
      <c r="A2367" s="30" t="inlineStr">
        <is>
          <t>ITG</t>
        </is>
      </c>
      <c r="B2367" s="30" t="inlineStr">
        <is>
          <t>Itaguai</t>
        </is>
      </c>
      <c r="C2367" s="30" t="n">
        <v>11417698</v>
      </c>
      <c r="D2367" s="30">
        <f>"27143007001867"</f>
        <v/>
      </c>
      <c r="E2367" s="30" t="inlineStr">
        <is>
          <t>TRACOMAL TERRAPLENAGEM E CONSTRUCOES MACHADO LTDA</t>
        </is>
      </c>
      <c r="F2367" s="30" t="inlineStr">
        <is>
          <t>2019</t>
        </is>
      </c>
      <c r="G2367" s="40" t="n">
        <v>0</v>
      </c>
    </row>
    <row r="2368" ht="12" customHeight="1">
      <c r="A2368" s="30" t="inlineStr">
        <is>
          <t>ITG</t>
        </is>
      </c>
      <c r="B2368" s="30" t="inlineStr">
        <is>
          <t>Itaguai</t>
        </is>
      </c>
      <c r="C2368" s="30" t="n">
        <v>11417698</v>
      </c>
      <c r="D2368" s="30">
        <f>"27143007001867"</f>
        <v/>
      </c>
      <c r="E2368" s="30" t="inlineStr">
        <is>
          <t>TRACOMAL TERRAPLENAGEM E CONSTRUCOES MACHADO LTDA</t>
        </is>
      </c>
      <c r="F2368" s="30" t="inlineStr">
        <is>
          <t>2020</t>
        </is>
      </c>
      <c r="G2368" s="40" t="n">
        <v>0</v>
      </c>
    </row>
    <row r="2369" ht="12" customHeight="1">
      <c r="A2369" s="30" t="inlineStr">
        <is>
          <t>ITG</t>
        </is>
      </c>
      <c r="B2369" s="30" t="inlineStr">
        <is>
          <t>Itaguai</t>
        </is>
      </c>
      <c r="C2369" s="30" t="n">
        <v>11417698</v>
      </c>
      <c r="D2369" s="30">
        <f>"27143007001867"</f>
        <v/>
      </c>
      <c r="E2369" s="30" t="inlineStr">
        <is>
          <t>TRACOMAL TERRAPLENAGEM E CONSTRUCOES MACHADO LTDA</t>
        </is>
      </c>
      <c r="F2369" s="30" t="inlineStr">
        <is>
          <t>2021</t>
        </is>
      </c>
      <c r="G2369" s="40" t="n">
        <v>0</v>
      </c>
    </row>
    <row r="2370" ht="12" customHeight="1">
      <c r="A2370" s="30" t="inlineStr">
        <is>
          <t>ITG</t>
        </is>
      </c>
      <c r="B2370" s="30" t="inlineStr">
        <is>
          <t>Itaguai</t>
        </is>
      </c>
      <c r="C2370" s="30" t="n">
        <v>11417698</v>
      </c>
      <c r="D2370" s="30">
        <f>"27143007001867"</f>
        <v/>
      </c>
      <c r="E2370" s="30" t="inlineStr">
        <is>
          <t>TRACOMAL TERRAPLENAGEM E CONSTRUCOES MACHADO LTDA</t>
        </is>
      </c>
      <c r="F2370" s="30" t="inlineStr">
        <is>
          <t>2022</t>
        </is>
      </c>
      <c r="G2370" s="40" t="n">
        <v>0</v>
      </c>
    </row>
    <row r="2371" ht="12" customHeight="1">
      <c r="A2371" s="30" t="inlineStr">
        <is>
          <t>ITG</t>
        </is>
      </c>
      <c r="B2371" s="30" t="inlineStr">
        <is>
          <t>Itaguai</t>
        </is>
      </c>
      <c r="C2371" s="30" t="n">
        <v>11417698</v>
      </c>
      <c r="D2371" s="30">
        <f>"27143007001867"</f>
        <v/>
      </c>
      <c r="E2371" s="30" t="inlineStr">
        <is>
          <t>TRACOMAL TERRAPLENAGEM E CONSTRUCOES MACHADO LTDA</t>
        </is>
      </c>
      <c r="F2371" s="30" t="inlineStr">
        <is>
          <t>2023</t>
        </is>
      </c>
      <c r="G2371" s="40" t="n">
        <v>0</v>
      </c>
    </row>
    <row r="2372" ht="12" customHeight="1">
      <c r="A2372" s="30" t="inlineStr">
        <is>
          <t>ITG</t>
        </is>
      </c>
      <c r="B2372" s="30" t="inlineStr">
        <is>
          <t>Itaguai</t>
        </is>
      </c>
      <c r="C2372" s="30" t="n">
        <v>11442935</v>
      </c>
      <c r="D2372" s="30">
        <f>"33721037000168"</f>
        <v/>
      </c>
      <c r="E2372" s="30" t="inlineStr">
        <is>
          <t>PANIFICADORA SOARES PÃO LTDA</t>
        </is>
      </c>
      <c r="F2372" s="30" t="inlineStr">
        <is>
          <t>2017</t>
        </is>
      </c>
      <c r="G2372" s="40" t="n">
        <v>0</v>
      </c>
    </row>
    <row r="2373" ht="12" customHeight="1">
      <c r="A2373" s="30" t="inlineStr">
        <is>
          <t>ITG</t>
        </is>
      </c>
      <c r="B2373" s="30" t="inlineStr">
        <is>
          <t>Itaguai</t>
        </is>
      </c>
      <c r="C2373" s="30" t="n">
        <v>11442935</v>
      </c>
      <c r="D2373" s="30">
        <f>"33721037000168"</f>
        <v/>
      </c>
      <c r="E2373" s="30" t="inlineStr">
        <is>
          <t>PANIFICADORA SOARES PÃO LTDA</t>
        </is>
      </c>
      <c r="F2373" s="30" t="inlineStr">
        <is>
          <t>2018</t>
        </is>
      </c>
      <c r="G2373" s="40" t="n">
        <v>0</v>
      </c>
    </row>
    <row r="2374" ht="12" customHeight="1">
      <c r="A2374" s="30" t="inlineStr">
        <is>
          <t>ITG</t>
        </is>
      </c>
      <c r="B2374" s="30" t="inlineStr">
        <is>
          <t>Itaguai</t>
        </is>
      </c>
      <c r="C2374" s="30" t="n">
        <v>11442935</v>
      </c>
      <c r="D2374" s="30">
        <f>"33721037000168"</f>
        <v/>
      </c>
      <c r="E2374" s="30" t="inlineStr">
        <is>
          <t>PANIFICADORA SOARES PÃO LTDA</t>
        </is>
      </c>
      <c r="F2374" s="30" t="inlineStr">
        <is>
          <t>2019</t>
        </is>
      </c>
      <c r="G2374" s="40" t="n">
        <v>79808.25999999999</v>
      </c>
    </row>
    <row r="2375" ht="12" customHeight="1">
      <c r="A2375" s="30" t="inlineStr">
        <is>
          <t>ITG</t>
        </is>
      </c>
      <c r="B2375" s="30" t="inlineStr">
        <is>
          <t>Itaguai</t>
        </is>
      </c>
      <c r="C2375" s="30" t="n">
        <v>11442935</v>
      </c>
      <c r="D2375" s="30">
        <f>"33721037000168"</f>
        <v/>
      </c>
      <c r="E2375" s="30" t="inlineStr">
        <is>
          <t>PANIFICADORA SOARES PÃO LTDA</t>
        </is>
      </c>
      <c r="F2375" s="30" t="inlineStr">
        <is>
          <t>2020</t>
        </is>
      </c>
      <c r="G2375" s="40" t="n">
        <v>3260216.01</v>
      </c>
    </row>
    <row r="2376" ht="12" customHeight="1">
      <c r="A2376" s="30" t="inlineStr">
        <is>
          <t>ITG</t>
        </is>
      </c>
      <c r="B2376" s="30" t="inlineStr">
        <is>
          <t>Itaguai</t>
        </is>
      </c>
      <c r="C2376" s="30" t="n">
        <v>11442935</v>
      </c>
      <c r="D2376" s="30">
        <f>"33721037000168"</f>
        <v/>
      </c>
      <c r="E2376" s="30" t="inlineStr">
        <is>
          <t>PANIFICADORA SOARES PÃO LTDA</t>
        </is>
      </c>
      <c r="F2376" s="30" t="inlineStr">
        <is>
          <t>2021</t>
        </is>
      </c>
      <c r="G2376" s="40" t="n">
        <v>6945337.35</v>
      </c>
    </row>
    <row r="2377" ht="12" customHeight="1">
      <c r="A2377" s="30" t="inlineStr">
        <is>
          <t>ITG</t>
        </is>
      </c>
      <c r="B2377" s="30" t="inlineStr">
        <is>
          <t>Itaguai</t>
        </is>
      </c>
      <c r="C2377" s="30" t="n">
        <v>11442935</v>
      </c>
      <c r="D2377" s="30">
        <f>"33721037000168"</f>
        <v/>
      </c>
      <c r="E2377" s="30" t="inlineStr">
        <is>
          <t>PANIFICADORA SOARES PÃO LTDA</t>
        </is>
      </c>
      <c r="F2377" s="30" t="inlineStr">
        <is>
          <t>2022</t>
        </is>
      </c>
      <c r="G2377" s="40" t="n">
        <v>0</v>
      </c>
    </row>
    <row r="2378" ht="12" customHeight="1">
      <c r="A2378" s="30" t="inlineStr">
        <is>
          <t>ITG</t>
        </is>
      </c>
      <c r="B2378" s="30" t="inlineStr">
        <is>
          <t>Itaguai</t>
        </is>
      </c>
      <c r="C2378" s="30" t="n">
        <v>11442935</v>
      </c>
      <c r="D2378" s="30">
        <f>"33721037000168"</f>
        <v/>
      </c>
      <c r="E2378" s="30" t="inlineStr">
        <is>
          <t>PANIFICADORA SOARES PÃO LTDA</t>
        </is>
      </c>
      <c r="F2378" s="30" t="inlineStr">
        <is>
          <t>2023</t>
        </is>
      </c>
      <c r="G2378" s="40" t="n">
        <v>256055.88</v>
      </c>
    </row>
    <row r="2379" ht="12" customHeight="1">
      <c r="A2379" s="30" t="inlineStr">
        <is>
          <t>ITG</t>
        </is>
      </c>
      <c r="B2379" s="30" t="inlineStr">
        <is>
          <t>Itaguai</t>
        </is>
      </c>
      <c r="C2379" s="30" t="n">
        <v>11443958</v>
      </c>
      <c r="D2379" s="30">
        <f>"32730560000198"</f>
        <v/>
      </c>
      <c r="E2379" s="30" t="inlineStr">
        <is>
          <t>Itaguai HND COMÉRCIO DE COSMÉTICOS RJ LTDA</t>
        </is>
      </c>
      <c r="F2379" s="30" t="inlineStr">
        <is>
          <t>2018</t>
        </is>
      </c>
      <c r="G2379" s="40" t="n">
        <v>0</v>
      </c>
    </row>
    <row r="2380" ht="12" customHeight="1">
      <c r="A2380" s="30" t="inlineStr">
        <is>
          <t>ITG</t>
        </is>
      </c>
      <c r="B2380" s="30" t="inlineStr">
        <is>
          <t>Itaguai</t>
        </is>
      </c>
      <c r="C2380" s="30" t="n">
        <v>11443958</v>
      </c>
      <c r="D2380" s="30">
        <f>"32730560000198"</f>
        <v/>
      </c>
      <c r="E2380" s="30" t="inlineStr">
        <is>
          <t>Itaguai HND COMÉRCIO DE COSMÉTICOS RJ LTDA</t>
        </is>
      </c>
      <c r="F2380" s="30" t="inlineStr">
        <is>
          <t>2019</t>
        </is>
      </c>
      <c r="G2380" s="40" t="n">
        <v>0</v>
      </c>
    </row>
    <row r="2381" ht="12" customHeight="1">
      <c r="A2381" s="30" t="inlineStr">
        <is>
          <t>ITG</t>
        </is>
      </c>
      <c r="B2381" s="30" t="inlineStr">
        <is>
          <t>Itaguai</t>
        </is>
      </c>
      <c r="C2381" s="30" t="n">
        <v>11443958</v>
      </c>
      <c r="D2381" s="30">
        <f>"32730560000198"</f>
        <v/>
      </c>
      <c r="E2381" s="30" t="inlineStr">
        <is>
          <t>Itaguai HND COMÉRCIO DE COSMÉTICOS RJ LTDA</t>
        </is>
      </c>
      <c r="F2381" s="30" t="inlineStr">
        <is>
          <t>2020</t>
        </is>
      </c>
      <c r="G2381" s="40" t="n">
        <v>1378399.41</v>
      </c>
    </row>
    <row r="2382" ht="12" customHeight="1">
      <c r="A2382" s="30" t="inlineStr">
        <is>
          <t>ITG</t>
        </is>
      </c>
      <c r="B2382" s="30" t="inlineStr">
        <is>
          <t>Itaguai</t>
        </is>
      </c>
      <c r="C2382" s="30" t="n">
        <v>11443958</v>
      </c>
      <c r="D2382" s="30">
        <f>"32730560000198"</f>
        <v/>
      </c>
      <c r="E2382" s="30" t="inlineStr">
        <is>
          <t>Itaguai HND COMÉRCIO DE COSMÉTICOS RJ LTDA</t>
        </is>
      </c>
      <c r="F2382" s="30" t="inlineStr">
        <is>
          <t>2021</t>
        </is>
      </c>
      <c r="G2382" s="40" t="n">
        <v>730843.0699999999</v>
      </c>
    </row>
    <row r="2383" ht="12" customHeight="1">
      <c r="A2383" s="30" t="inlineStr">
        <is>
          <t>ITG</t>
        </is>
      </c>
      <c r="B2383" s="30" t="inlineStr">
        <is>
          <t>Itaguai</t>
        </is>
      </c>
      <c r="C2383" s="30" t="n">
        <v>11443958</v>
      </c>
      <c r="D2383" s="30">
        <f>"32730560000198"</f>
        <v/>
      </c>
      <c r="E2383" s="30" t="inlineStr">
        <is>
          <t>Itaguai HND COMÉRCIO DE COSMÉTICOS RJ LTDA</t>
        </is>
      </c>
      <c r="F2383" s="30" t="inlineStr">
        <is>
          <t>2022</t>
        </is>
      </c>
      <c r="G2383" s="40" t="n">
        <v>892479.59</v>
      </c>
    </row>
    <row r="2384" ht="12" customHeight="1">
      <c r="A2384" s="30" t="inlineStr">
        <is>
          <t>ITG</t>
        </is>
      </c>
      <c r="B2384" s="30" t="inlineStr">
        <is>
          <t>Itaguai</t>
        </is>
      </c>
      <c r="C2384" s="30" t="n">
        <v>11443958</v>
      </c>
      <c r="D2384" s="30">
        <f>"32730560000198"</f>
        <v/>
      </c>
      <c r="E2384" s="30" t="inlineStr">
        <is>
          <t>Itaguai HND COMÉRCIO DE COSMÉTICOS RJ LTDA</t>
        </is>
      </c>
      <c r="F2384" s="30" t="inlineStr">
        <is>
          <t>2023</t>
        </is>
      </c>
      <c r="G2384" s="40" t="n">
        <v>995856.63</v>
      </c>
    </row>
    <row r="2385" ht="12" customHeight="1">
      <c r="A2385" s="30" t="inlineStr">
        <is>
          <t>ITG</t>
        </is>
      </c>
      <c r="B2385" s="30" t="inlineStr">
        <is>
          <t>Itaguai</t>
        </is>
      </c>
      <c r="C2385" s="30" t="n">
        <v>11446442</v>
      </c>
      <c r="D2385" s="30">
        <f>"56681513008659"</f>
        <v/>
      </c>
      <c r="E2385" s="30" t="inlineStr">
        <is>
          <t>P. K. K. CALCADOS LTDA</t>
        </is>
      </c>
      <c r="F2385" s="30" t="inlineStr">
        <is>
          <t>2017</t>
        </is>
      </c>
      <c r="G2385" s="40" t="n">
        <v>0</v>
      </c>
    </row>
    <row r="2386" ht="12" customHeight="1">
      <c r="A2386" s="30" t="inlineStr">
        <is>
          <t>ITG</t>
        </is>
      </c>
      <c r="B2386" s="30" t="inlineStr">
        <is>
          <t>Itaguai</t>
        </is>
      </c>
      <c r="C2386" s="30" t="n">
        <v>11446442</v>
      </c>
      <c r="D2386" s="30">
        <f>"56681513008659"</f>
        <v/>
      </c>
      <c r="E2386" s="30" t="inlineStr">
        <is>
          <t>P. K. K. CALCADOS LTDA</t>
        </is>
      </c>
      <c r="F2386" s="30" t="inlineStr">
        <is>
          <t>2018</t>
        </is>
      </c>
      <c r="G2386" s="40" t="n">
        <v>0</v>
      </c>
    </row>
    <row r="2387" ht="12" customHeight="1">
      <c r="A2387" s="30" t="inlineStr">
        <is>
          <t>ITG</t>
        </is>
      </c>
      <c r="B2387" s="30" t="inlineStr">
        <is>
          <t>Itaguai</t>
        </is>
      </c>
      <c r="C2387" s="30" t="n">
        <v>11446442</v>
      </c>
      <c r="D2387" s="30">
        <f>"56681513008659"</f>
        <v/>
      </c>
      <c r="E2387" s="30" t="inlineStr">
        <is>
          <t>P. K. K. CALCADOS LTDA</t>
        </is>
      </c>
      <c r="F2387" s="30" t="inlineStr">
        <is>
          <t>2019</t>
        </is>
      </c>
      <c r="G2387" s="40" t="n">
        <v>0</v>
      </c>
    </row>
    <row r="2388" ht="12" customHeight="1">
      <c r="A2388" s="30" t="inlineStr">
        <is>
          <t>ITG</t>
        </is>
      </c>
      <c r="B2388" s="30" t="inlineStr">
        <is>
          <t>Itaguai</t>
        </is>
      </c>
      <c r="C2388" s="30" t="n">
        <v>11446442</v>
      </c>
      <c r="D2388" s="30">
        <f>"56681513008659"</f>
        <v/>
      </c>
      <c r="E2388" s="30" t="inlineStr">
        <is>
          <t>P. K. K. CALCADOS LTDA</t>
        </is>
      </c>
      <c r="F2388" s="30" t="inlineStr">
        <is>
          <t>2020</t>
        </is>
      </c>
      <c r="G2388" s="40" t="n">
        <v>2582572.65</v>
      </c>
    </row>
    <row r="2389" ht="12" customHeight="1">
      <c r="A2389" s="30" t="inlineStr">
        <is>
          <t>ITG</t>
        </is>
      </c>
      <c r="B2389" s="30" t="inlineStr">
        <is>
          <t>Itaguai</t>
        </is>
      </c>
      <c r="C2389" s="30" t="n">
        <v>11446442</v>
      </c>
      <c r="D2389" s="30">
        <f>"56681513008659"</f>
        <v/>
      </c>
      <c r="E2389" s="30" t="inlineStr">
        <is>
          <t>P. K. K. CALCADOS LTDA</t>
        </is>
      </c>
      <c r="F2389" s="30" t="inlineStr">
        <is>
          <t>2021</t>
        </is>
      </c>
      <c r="G2389" s="40" t="n">
        <v>210158.49</v>
      </c>
    </row>
    <row r="2390" ht="12" customHeight="1">
      <c r="A2390" s="30" t="inlineStr">
        <is>
          <t>ITG</t>
        </is>
      </c>
      <c r="B2390" s="30" t="inlineStr">
        <is>
          <t>Itaguai</t>
        </is>
      </c>
      <c r="C2390" s="30" t="n">
        <v>11446442</v>
      </c>
      <c r="D2390" s="30">
        <f>"56681513008659"</f>
        <v/>
      </c>
      <c r="E2390" s="30" t="inlineStr">
        <is>
          <t>P. K. K. CALCADOS LTDA</t>
        </is>
      </c>
      <c r="F2390" s="30" t="inlineStr">
        <is>
          <t>2022</t>
        </is>
      </c>
      <c r="G2390" s="40" t="n">
        <v>1395530.72</v>
      </c>
    </row>
    <row r="2391" ht="12" customHeight="1">
      <c r="A2391" s="30" t="inlineStr">
        <is>
          <t>ITG</t>
        </is>
      </c>
      <c r="B2391" s="30" t="inlineStr">
        <is>
          <t>Itaguai</t>
        </is>
      </c>
      <c r="C2391" s="30" t="n">
        <v>11446442</v>
      </c>
      <c r="D2391" s="30">
        <f>"56681513008659"</f>
        <v/>
      </c>
      <c r="E2391" s="30" t="inlineStr">
        <is>
          <t>P. K. K. CALCADOS LTDA</t>
        </is>
      </c>
      <c r="F2391" s="30" t="inlineStr">
        <is>
          <t>2023</t>
        </is>
      </c>
      <c r="G2391" s="40" t="n">
        <v>319608.86</v>
      </c>
    </row>
    <row r="2392" ht="12" customHeight="1">
      <c r="A2392" s="30" t="inlineStr">
        <is>
          <t>ITG</t>
        </is>
      </c>
      <c r="B2392" s="30" t="inlineStr">
        <is>
          <t>Itaguai</t>
        </is>
      </c>
      <c r="C2392" s="30" t="n">
        <v>11453279</v>
      </c>
      <c r="D2392" s="30">
        <f>"12348901781"</f>
        <v/>
      </c>
      <c r="E2392" s="30" t="inlineStr">
        <is>
          <t>ANGELICA RABELO DE OLIVEIRA</t>
        </is>
      </c>
      <c r="F2392" s="30" t="inlineStr">
        <is>
          <t>2019</t>
        </is>
      </c>
      <c r="G2392" s="40" t="n">
        <v>0</v>
      </c>
    </row>
    <row r="2393" ht="12" customHeight="1">
      <c r="A2393" s="30" t="inlineStr">
        <is>
          <t>ITG</t>
        </is>
      </c>
      <c r="B2393" s="30" t="inlineStr">
        <is>
          <t>Itaguai</t>
        </is>
      </c>
      <c r="C2393" s="30" t="n">
        <v>11453279</v>
      </c>
      <c r="D2393" s="30">
        <f>"12348901781"</f>
        <v/>
      </c>
      <c r="E2393" s="30" t="inlineStr">
        <is>
          <t>ANGELICA RABELO DE OLIVEIRA</t>
        </is>
      </c>
      <c r="F2393" s="30" t="inlineStr">
        <is>
          <t>2020</t>
        </is>
      </c>
      <c r="G2393" s="40" t="n">
        <v>0</v>
      </c>
    </row>
    <row r="2394" ht="12" customHeight="1">
      <c r="A2394" s="30" t="inlineStr">
        <is>
          <t>ITG</t>
        </is>
      </c>
      <c r="B2394" s="30" t="inlineStr">
        <is>
          <t>Itaguai</t>
        </is>
      </c>
      <c r="C2394" s="30" t="n">
        <v>11453279</v>
      </c>
      <c r="D2394" s="30">
        <f>"12348901781"</f>
        <v/>
      </c>
      <c r="E2394" s="30" t="inlineStr">
        <is>
          <t>ANGELICA RABELO DE OLIVEIRA</t>
        </is>
      </c>
      <c r="F2394" s="30" t="inlineStr">
        <is>
          <t>2021</t>
        </is>
      </c>
      <c r="G2394" s="40" t="n">
        <v>8862.629999999999</v>
      </c>
    </row>
    <row r="2395" ht="12" customHeight="1">
      <c r="A2395" s="30" t="inlineStr">
        <is>
          <t>ITG</t>
        </is>
      </c>
      <c r="B2395" s="30" t="inlineStr">
        <is>
          <t>Itaguai</t>
        </is>
      </c>
      <c r="C2395" s="30" t="n">
        <v>11453279</v>
      </c>
      <c r="D2395" s="30">
        <f>"12348901781"</f>
        <v/>
      </c>
      <c r="E2395" s="30" t="inlineStr">
        <is>
          <t>ANGELICA RABELO DE OLIVEIRA</t>
        </is>
      </c>
      <c r="F2395" s="30" t="inlineStr">
        <is>
          <t>2022</t>
        </is>
      </c>
      <c r="G2395" s="40" t="n">
        <v>50432.55</v>
      </c>
    </row>
    <row r="2396" ht="12" customHeight="1">
      <c r="A2396" s="30" t="inlineStr">
        <is>
          <t>ITG</t>
        </is>
      </c>
      <c r="B2396" s="30" t="inlineStr">
        <is>
          <t>Itaguai</t>
        </is>
      </c>
      <c r="C2396" s="30" t="n">
        <v>11453279</v>
      </c>
      <c r="D2396" s="30">
        <f>"12348901781"</f>
        <v/>
      </c>
      <c r="E2396" s="30" t="inlineStr">
        <is>
          <t>ANGELICA RABELO DE OLIVEIRA</t>
        </is>
      </c>
      <c r="F2396" s="30" t="inlineStr">
        <is>
          <t>2023</t>
        </is>
      </c>
      <c r="G2396" s="40" t="n">
        <v>32297.82</v>
      </c>
    </row>
    <row r="2397" ht="12" customHeight="1">
      <c r="A2397" s="30" t="inlineStr">
        <is>
          <t>ITG</t>
        </is>
      </c>
      <c r="B2397" s="30" t="inlineStr">
        <is>
          <t>Itaguai</t>
        </is>
      </c>
      <c r="C2397" s="30" t="n">
        <v>11453422</v>
      </c>
      <c r="D2397" s="30">
        <f>"12789128782"</f>
        <v/>
      </c>
      <c r="E2397" s="30" t="inlineStr">
        <is>
          <t>ADENILSON RABELO DE OLIVEIRA</t>
        </is>
      </c>
      <c r="F2397" s="30" t="inlineStr">
        <is>
          <t>2017</t>
        </is>
      </c>
      <c r="G2397" s="40" t="n">
        <v>0</v>
      </c>
    </row>
    <row r="2398" ht="12" customHeight="1">
      <c r="A2398" s="30" t="inlineStr">
        <is>
          <t>ITG</t>
        </is>
      </c>
      <c r="B2398" s="30" t="inlineStr">
        <is>
          <t>Itaguai</t>
        </is>
      </c>
      <c r="C2398" s="30" t="n">
        <v>11453422</v>
      </c>
      <c r="D2398" s="30">
        <f>"12789128782"</f>
        <v/>
      </c>
      <c r="E2398" s="30" t="inlineStr">
        <is>
          <t>ADENILSON RABELO DE OLIVEIRA</t>
        </is>
      </c>
      <c r="F2398" s="30" t="inlineStr">
        <is>
          <t>2018</t>
        </is>
      </c>
      <c r="G2398" s="40" t="n">
        <v>0</v>
      </c>
    </row>
    <row r="2399" ht="12" customHeight="1">
      <c r="A2399" s="30" t="inlineStr">
        <is>
          <t>ITG</t>
        </is>
      </c>
      <c r="B2399" s="30" t="inlineStr">
        <is>
          <t>Itaguai</t>
        </is>
      </c>
      <c r="C2399" s="30" t="n">
        <v>11453422</v>
      </c>
      <c r="D2399" s="30">
        <f>"12789128782"</f>
        <v/>
      </c>
      <c r="E2399" s="30" t="inlineStr">
        <is>
          <t>ADENILSON RABELO DE OLIVEIRA</t>
        </is>
      </c>
      <c r="F2399" s="30" t="inlineStr">
        <is>
          <t>2019</t>
        </is>
      </c>
      <c r="G2399" s="40" t="n">
        <v>0</v>
      </c>
    </row>
    <row r="2400" ht="12" customHeight="1">
      <c r="A2400" s="30" t="inlineStr">
        <is>
          <t>ITG</t>
        </is>
      </c>
      <c r="B2400" s="30" t="inlineStr">
        <is>
          <t>Itaguai</t>
        </is>
      </c>
      <c r="C2400" s="30" t="n">
        <v>11453422</v>
      </c>
      <c r="D2400" s="30">
        <f>"12789128782"</f>
        <v/>
      </c>
      <c r="E2400" s="30" t="inlineStr">
        <is>
          <t>ADENILSON RABELO DE OLIVEIRA</t>
        </is>
      </c>
      <c r="F2400" s="30" t="inlineStr">
        <is>
          <t>2020</t>
        </is>
      </c>
      <c r="G2400" s="40" t="n">
        <v>0</v>
      </c>
    </row>
    <row r="2401" ht="12" customHeight="1">
      <c r="A2401" s="30" t="inlineStr">
        <is>
          <t>ITG</t>
        </is>
      </c>
      <c r="B2401" s="30" t="inlineStr">
        <is>
          <t>Itaguai</t>
        </is>
      </c>
      <c r="C2401" s="30" t="n">
        <v>11453422</v>
      </c>
      <c r="D2401" s="30">
        <f>"12789128782"</f>
        <v/>
      </c>
      <c r="E2401" s="30" t="inlineStr">
        <is>
          <t>ADENILSON RABELO DE OLIVEIRA</t>
        </is>
      </c>
      <c r="F2401" s="30" t="inlineStr">
        <is>
          <t>2021</t>
        </is>
      </c>
      <c r="G2401" s="40" t="n">
        <v>0</v>
      </c>
    </row>
    <row r="2402" ht="12" customHeight="1">
      <c r="A2402" s="30" t="inlineStr">
        <is>
          <t>ITG</t>
        </is>
      </c>
      <c r="B2402" s="30" t="inlineStr">
        <is>
          <t>Itaguai</t>
        </is>
      </c>
      <c r="C2402" s="30" t="n">
        <v>11457304</v>
      </c>
      <c r="D2402" s="30">
        <f>"33873524000146"</f>
        <v/>
      </c>
      <c r="E2402" s="30" t="inlineStr">
        <is>
          <t>HORTIFRUTAS CENTRAL DE Itaguai EIRELI</t>
        </is>
      </c>
      <c r="F2402" s="30" t="inlineStr">
        <is>
          <t>2017</t>
        </is>
      </c>
      <c r="G2402" s="40" t="n">
        <v>0</v>
      </c>
    </row>
    <row r="2403" ht="12" customHeight="1">
      <c r="A2403" s="30" t="inlineStr">
        <is>
          <t>ITG</t>
        </is>
      </c>
      <c r="B2403" s="30" t="inlineStr">
        <is>
          <t>Itaguai</t>
        </is>
      </c>
      <c r="C2403" s="30" t="n">
        <v>11457304</v>
      </c>
      <c r="D2403" s="30">
        <f>"33873524000146"</f>
        <v/>
      </c>
      <c r="E2403" s="30" t="inlineStr">
        <is>
          <t>HORTIFRUTAS CENTRAL DE Itaguai EIRELI</t>
        </is>
      </c>
      <c r="F2403" s="30" t="inlineStr">
        <is>
          <t>2018</t>
        </is>
      </c>
      <c r="G2403" s="40" t="n">
        <v>0</v>
      </c>
    </row>
    <row r="2404" ht="12" customHeight="1">
      <c r="A2404" s="30" t="inlineStr">
        <is>
          <t>ITG</t>
        </is>
      </c>
      <c r="B2404" s="30" t="inlineStr">
        <is>
          <t>Itaguai</t>
        </is>
      </c>
      <c r="C2404" s="30" t="n">
        <v>11457304</v>
      </c>
      <c r="D2404" s="30">
        <f>"33873524000146"</f>
        <v/>
      </c>
      <c r="E2404" s="30" t="inlineStr">
        <is>
          <t>HORTIFRUTAS CENTRAL DE Itaguai EIRELI</t>
        </is>
      </c>
      <c r="F2404" s="30" t="inlineStr">
        <is>
          <t>2019</t>
        </is>
      </c>
      <c r="G2404" s="40" t="n">
        <v>0</v>
      </c>
    </row>
    <row r="2405" ht="12" customHeight="1">
      <c r="A2405" s="30" t="inlineStr">
        <is>
          <t>ITG</t>
        </is>
      </c>
      <c r="B2405" s="30" t="inlineStr">
        <is>
          <t>Itaguai</t>
        </is>
      </c>
      <c r="C2405" s="30" t="n">
        <v>11457304</v>
      </c>
      <c r="D2405" s="30">
        <f>"33873524000146"</f>
        <v/>
      </c>
      <c r="E2405" s="30" t="inlineStr">
        <is>
          <t>HORTIFRUTAS CENTRAL DE Itaguai EIRELI</t>
        </is>
      </c>
      <c r="F2405" s="30" t="inlineStr">
        <is>
          <t>2020</t>
        </is>
      </c>
      <c r="G2405" s="40" t="n">
        <v>4143805.71</v>
      </c>
    </row>
    <row r="2406" ht="12" customHeight="1">
      <c r="A2406" s="30" t="inlineStr">
        <is>
          <t>ITG</t>
        </is>
      </c>
      <c r="B2406" s="30" t="inlineStr">
        <is>
          <t>Itaguai</t>
        </is>
      </c>
      <c r="C2406" s="30" t="n">
        <v>11457304</v>
      </c>
      <c r="D2406" s="30">
        <f>"33873524000146"</f>
        <v/>
      </c>
      <c r="E2406" s="30" t="inlineStr">
        <is>
          <t>HORTIFRUTAS CENTRAL DE Itaguai EIRELI</t>
        </is>
      </c>
      <c r="F2406" s="30" t="inlineStr">
        <is>
          <t>2021</t>
        </is>
      </c>
      <c r="G2406" s="40" t="n">
        <v>2662187.01</v>
      </c>
    </row>
    <row r="2407" ht="12" customHeight="1">
      <c r="A2407" s="30" t="inlineStr">
        <is>
          <t>ITG</t>
        </is>
      </c>
      <c r="B2407" s="30" t="inlineStr">
        <is>
          <t>Itaguai</t>
        </is>
      </c>
      <c r="C2407" s="30" t="n">
        <v>11457304</v>
      </c>
      <c r="D2407" s="30">
        <f>"33873524000146"</f>
        <v/>
      </c>
      <c r="E2407" s="30" t="inlineStr">
        <is>
          <t>HORTIFRUTAS CENTRAL DE Itaguai EIRELI</t>
        </is>
      </c>
      <c r="F2407" s="30" t="inlineStr">
        <is>
          <t>2022</t>
        </is>
      </c>
      <c r="G2407" s="40" t="n">
        <v>7320100.06</v>
      </c>
    </row>
    <row r="2408" ht="12" customHeight="1">
      <c r="A2408" s="30" t="inlineStr">
        <is>
          <t>ITG</t>
        </is>
      </c>
      <c r="B2408" s="30" t="inlineStr">
        <is>
          <t>Itaguai</t>
        </is>
      </c>
      <c r="C2408" s="30" t="n">
        <v>11457304</v>
      </c>
      <c r="D2408" s="30">
        <f>"33873524000146"</f>
        <v/>
      </c>
      <c r="E2408" s="30" t="inlineStr">
        <is>
          <t>HORTIFRUTAS CENTRAL DE Itaguai EIRELI</t>
        </is>
      </c>
      <c r="F2408" s="30" t="inlineStr">
        <is>
          <t>2023</t>
        </is>
      </c>
      <c r="G2408" s="40" t="n">
        <v>3583452.39</v>
      </c>
    </row>
    <row r="2409" ht="12" customHeight="1">
      <c r="A2409" s="30" t="inlineStr">
        <is>
          <t>ITG</t>
        </is>
      </c>
      <c r="B2409" s="30" t="inlineStr">
        <is>
          <t>Itaguai</t>
        </is>
      </c>
      <c r="C2409" s="30" t="n">
        <v>11477704</v>
      </c>
      <c r="D2409" s="30">
        <f>"24232418000192"</f>
        <v/>
      </c>
      <c r="E2409" s="30" t="inlineStr">
        <is>
          <t>ZNA ARMAZENS GERAIS E TRANSPORTES LTDA</t>
        </is>
      </c>
      <c r="F2409" s="30" t="inlineStr">
        <is>
          <t>2017</t>
        </is>
      </c>
      <c r="G2409" s="40" t="n">
        <v>0</v>
      </c>
    </row>
    <row r="2410" ht="12" customHeight="1">
      <c r="A2410" s="30" t="inlineStr">
        <is>
          <t>ITG</t>
        </is>
      </c>
      <c r="B2410" s="30" t="inlineStr">
        <is>
          <t>Itaguai</t>
        </is>
      </c>
      <c r="C2410" s="30" t="n">
        <v>11477704</v>
      </c>
      <c r="D2410" s="30">
        <f>"24232418000192"</f>
        <v/>
      </c>
      <c r="E2410" s="30" t="inlineStr">
        <is>
          <t>ZNA ARMAZENS GERAIS E TRANSPORTES LTDA</t>
        </is>
      </c>
      <c r="F2410" s="30" t="inlineStr">
        <is>
          <t>2018</t>
        </is>
      </c>
      <c r="G2410" s="40" t="n">
        <v>0</v>
      </c>
    </row>
    <row r="2411" ht="12" customHeight="1">
      <c r="A2411" s="30" t="inlineStr">
        <is>
          <t>ITG</t>
        </is>
      </c>
      <c r="B2411" s="30" t="inlineStr">
        <is>
          <t>Itaguai</t>
        </is>
      </c>
      <c r="C2411" s="30" t="n">
        <v>11477704</v>
      </c>
      <c r="D2411" s="30">
        <f>"24232418000192"</f>
        <v/>
      </c>
      <c r="E2411" s="30" t="inlineStr">
        <is>
          <t>ZNA ARMAZENS GERAIS E TRANSPORTES LTDA</t>
        </is>
      </c>
      <c r="F2411" s="30" t="inlineStr">
        <is>
          <t>2019</t>
        </is>
      </c>
      <c r="G2411" s="40" t="n">
        <v>110487.65</v>
      </c>
    </row>
    <row r="2412" ht="12" customHeight="1">
      <c r="A2412" s="30" t="inlineStr">
        <is>
          <t>ITG</t>
        </is>
      </c>
      <c r="B2412" s="30" t="inlineStr">
        <is>
          <t>Itaguai</t>
        </is>
      </c>
      <c r="C2412" s="30" t="n">
        <v>11477704</v>
      </c>
      <c r="D2412" s="30">
        <f>"24232418000192"</f>
        <v/>
      </c>
      <c r="E2412" s="30" t="inlineStr">
        <is>
          <t>ZNA ARMAZENS GERAIS E TRANSPORTES LTDA</t>
        </is>
      </c>
      <c r="F2412" s="30" t="inlineStr">
        <is>
          <t>2020</t>
        </is>
      </c>
      <c r="G2412" s="40" t="n">
        <v>408257.05</v>
      </c>
    </row>
    <row r="2413" ht="12" customHeight="1">
      <c r="A2413" s="30" t="inlineStr">
        <is>
          <t>ITG</t>
        </is>
      </c>
      <c r="B2413" s="30" t="inlineStr">
        <is>
          <t>Itaguai</t>
        </is>
      </c>
      <c r="C2413" s="30" t="n">
        <v>11477704</v>
      </c>
      <c r="D2413" s="30">
        <f>"24232418000192"</f>
        <v/>
      </c>
      <c r="E2413" s="30" t="inlineStr">
        <is>
          <t>ZNA ARMAZENS GERAIS E TRANSPORTES LTDA</t>
        </is>
      </c>
      <c r="F2413" s="30" t="inlineStr">
        <is>
          <t>2021</t>
        </is>
      </c>
      <c r="G2413" s="40" t="n">
        <v>272627.59</v>
      </c>
    </row>
    <row r="2414" ht="12" customHeight="1">
      <c r="A2414" s="30" t="inlineStr">
        <is>
          <t>ITG</t>
        </is>
      </c>
      <c r="B2414" s="30" t="inlineStr">
        <is>
          <t>Itaguai</t>
        </is>
      </c>
      <c r="C2414" s="30" t="n">
        <v>11477704</v>
      </c>
      <c r="D2414" s="30">
        <f>"24232418000192"</f>
        <v/>
      </c>
      <c r="E2414" s="30" t="inlineStr">
        <is>
          <t>ZNA ARMAZENS GERAIS E TRANSPORTES LTDA</t>
        </is>
      </c>
      <c r="F2414" s="30" t="inlineStr">
        <is>
          <t>2022</t>
        </is>
      </c>
      <c r="G2414" s="40" t="n">
        <v>43353.17</v>
      </c>
    </row>
    <row r="2415" ht="12" customHeight="1">
      <c r="A2415" s="30" t="inlineStr">
        <is>
          <t>ITG</t>
        </is>
      </c>
      <c r="B2415" s="30" t="inlineStr">
        <is>
          <t>Itaguai</t>
        </is>
      </c>
      <c r="C2415" s="30" t="n">
        <v>11477704</v>
      </c>
      <c r="D2415" s="30">
        <f>"24232418000192"</f>
        <v/>
      </c>
      <c r="E2415" s="30" t="inlineStr">
        <is>
          <t>ZNA ARMAZENS GERAIS E TRANSPORTES LTDA</t>
        </is>
      </c>
      <c r="F2415" s="30" t="inlineStr">
        <is>
          <t>2023</t>
        </is>
      </c>
      <c r="G2415" s="40" t="n">
        <v>133897.12</v>
      </c>
    </row>
    <row r="2416" ht="12" customHeight="1">
      <c r="A2416" s="30" t="inlineStr">
        <is>
          <t>ITG</t>
        </is>
      </c>
      <c r="B2416" s="30" t="inlineStr">
        <is>
          <t>Itaguai</t>
        </is>
      </c>
      <c r="C2416" s="30" t="n">
        <v>11482651</v>
      </c>
      <c r="D2416" s="30">
        <f>"06241044000270"</f>
        <v/>
      </c>
      <c r="E2416" s="30" t="inlineStr">
        <is>
          <t>TRANSCATARINA TRANSPORTE RODOVIARIO EIRELI</t>
        </is>
      </c>
      <c r="F2416" s="30" t="inlineStr">
        <is>
          <t>2018</t>
        </is>
      </c>
      <c r="G2416" s="40" t="n">
        <v>0</v>
      </c>
    </row>
    <row r="2417" ht="12" customHeight="1">
      <c r="A2417" s="30" t="inlineStr">
        <is>
          <t>ITG</t>
        </is>
      </c>
      <c r="B2417" s="30" t="inlineStr">
        <is>
          <t>Itaguai</t>
        </is>
      </c>
      <c r="C2417" s="30" t="n">
        <v>11482651</v>
      </c>
      <c r="D2417" s="30">
        <f>"06241044000270"</f>
        <v/>
      </c>
      <c r="E2417" s="30" t="inlineStr">
        <is>
          <t>TRANSCATARINA TRANSPORTE RODOVIARIO EIRELI</t>
        </is>
      </c>
      <c r="F2417" s="30" t="inlineStr">
        <is>
          <t>2019</t>
        </is>
      </c>
      <c r="G2417" s="40" t="n">
        <v>0</v>
      </c>
    </row>
    <row r="2418" ht="12" customHeight="1">
      <c r="A2418" s="30" t="inlineStr">
        <is>
          <t>ITG</t>
        </is>
      </c>
      <c r="B2418" s="30" t="inlineStr">
        <is>
          <t>Itaguai</t>
        </is>
      </c>
      <c r="C2418" s="30" t="n">
        <v>11482651</v>
      </c>
      <c r="D2418" s="30">
        <f>"06241044000270"</f>
        <v/>
      </c>
      <c r="E2418" s="30" t="inlineStr">
        <is>
          <t>TRANSCATARINA TRANSPORTE RODOVIARIO EIRELI</t>
        </is>
      </c>
      <c r="F2418" s="30" t="inlineStr">
        <is>
          <t>2020</t>
        </is>
      </c>
      <c r="G2418" s="40" t="n">
        <v>3977.27</v>
      </c>
    </row>
    <row r="2419" ht="12" customHeight="1">
      <c r="A2419" s="30" t="inlineStr">
        <is>
          <t>ITG</t>
        </is>
      </c>
      <c r="B2419" s="30" t="inlineStr">
        <is>
          <t>Itaguai</t>
        </is>
      </c>
      <c r="C2419" s="30" t="n">
        <v>11482651</v>
      </c>
      <c r="D2419" s="30">
        <f>"06241044000270"</f>
        <v/>
      </c>
      <c r="E2419" s="30" t="inlineStr">
        <is>
          <t>TRANSCATARINA TRANSPORTE RODOVIARIO EIRELI</t>
        </is>
      </c>
      <c r="F2419" s="30" t="inlineStr">
        <is>
          <t>2021</t>
        </is>
      </c>
      <c r="G2419" s="40" t="n">
        <v>0</v>
      </c>
    </row>
    <row r="2420" ht="12" customHeight="1">
      <c r="A2420" s="30" t="inlineStr">
        <is>
          <t>ITG</t>
        </is>
      </c>
      <c r="B2420" s="30" t="inlineStr">
        <is>
          <t>Itaguai</t>
        </is>
      </c>
      <c r="C2420" s="30" t="n">
        <v>11482651</v>
      </c>
      <c r="D2420" s="30">
        <f>"06241044000270"</f>
        <v/>
      </c>
      <c r="E2420" s="30" t="inlineStr">
        <is>
          <t>TRANSCATARINA TRANSPORTE RODOVIARIO EIRELI</t>
        </is>
      </c>
      <c r="F2420" s="30" t="inlineStr">
        <is>
          <t>2022</t>
        </is>
      </c>
      <c r="G2420" s="40" t="n">
        <v>0</v>
      </c>
    </row>
    <row r="2421" ht="12" customHeight="1">
      <c r="A2421" s="30" t="inlineStr">
        <is>
          <t>ITG</t>
        </is>
      </c>
      <c r="B2421" s="30" t="inlineStr">
        <is>
          <t>Itaguai</t>
        </is>
      </c>
      <c r="C2421" s="30" t="n">
        <v>11482651</v>
      </c>
      <c r="D2421" s="30">
        <f>"06241044000270"</f>
        <v/>
      </c>
      <c r="E2421" s="30" t="inlineStr">
        <is>
          <t>TRANSCATARINA TRANSPORTE RODOVIARIO EIRELI</t>
        </is>
      </c>
      <c r="F2421" s="30" t="inlineStr">
        <is>
          <t>2023</t>
        </is>
      </c>
      <c r="G2421" s="40" t="n">
        <v>30027.82</v>
      </c>
    </row>
    <row r="2422" ht="12" customHeight="1">
      <c r="A2422" s="30" t="inlineStr">
        <is>
          <t>ITG</t>
        </is>
      </c>
      <c r="B2422" s="30" t="inlineStr">
        <is>
          <t>Itaguai</t>
        </is>
      </c>
      <c r="C2422" s="30" t="n">
        <v>11492576</v>
      </c>
      <c r="D2422" s="30">
        <f>"11358292000406"</f>
        <v/>
      </c>
      <c r="E2422" s="30" t="inlineStr">
        <is>
          <t>ZIRANLOG LOGISTICA EIRELI</t>
        </is>
      </c>
      <c r="F2422" s="30" t="inlineStr">
        <is>
          <t>2017</t>
        </is>
      </c>
      <c r="G2422" s="40" t="n">
        <v>0</v>
      </c>
    </row>
    <row r="2423" ht="12" customHeight="1">
      <c r="A2423" s="30" t="inlineStr">
        <is>
          <t>ITG</t>
        </is>
      </c>
      <c r="B2423" s="30" t="inlineStr">
        <is>
          <t>Itaguai</t>
        </is>
      </c>
      <c r="C2423" s="30" t="n">
        <v>11492576</v>
      </c>
      <c r="D2423" s="30">
        <f>"11358292000406"</f>
        <v/>
      </c>
      <c r="E2423" s="30" t="inlineStr">
        <is>
          <t>ZIRANLOG LOGISTICA EIRELI</t>
        </is>
      </c>
      <c r="F2423" s="30" t="inlineStr">
        <is>
          <t>2018</t>
        </is>
      </c>
      <c r="G2423" s="40" t="n">
        <v>0</v>
      </c>
    </row>
    <row r="2424" ht="12" customHeight="1">
      <c r="A2424" s="30" t="inlineStr">
        <is>
          <t>ITG</t>
        </is>
      </c>
      <c r="B2424" s="30" t="inlineStr">
        <is>
          <t>Itaguai</t>
        </is>
      </c>
      <c r="C2424" s="30" t="n">
        <v>11492576</v>
      </c>
      <c r="D2424" s="30">
        <f>"11358292000406"</f>
        <v/>
      </c>
      <c r="E2424" s="30" t="inlineStr">
        <is>
          <t>ZIRANLOG LOGISTICA EIRELI</t>
        </is>
      </c>
      <c r="F2424" s="30" t="inlineStr">
        <is>
          <t>2019</t>
        </is>
      </c>
      <c r="G2424" s="40" t="n">
        <v>0</v>
      </c>
    </row>
    <row r="2425" ht="12" customHeight="1">
      <c r="A2425" s="30" t="inlineStr">
        <is>
          <t>ITG</t>
        </is>
      </c>
      <c r="B2425" s="30" t="inlineStr">
        <is>
          <t>Itaguai</t>
        </is>
      </c>
      <c r="C2425" s="30" t="n">
        <v>11492576</v>
      </c>
      <c r="D2425" s="30">
        <f>"11358292000406"</f>
        <v/>
      </c>
      <c r="E2425" s="30" t="inlineStr">
        <is>
          <t>ZIRANLOG LOGISTICA EIRELI</t>
        </is>
      </c>
      <c r="F2425" s="30" t="inlineStr">
        <is>
          <t>2020</t>
        </is>
      </c>
      <c r="G2425" s="40" t="n">
        <v>0</v>
      </c>
    </row>
    <row r="2426" ht="12" customHeight="1">
      <c r="A2426" s="30" t="inlineStr">
        <is>
          <t>ITG</t>
        </is>
      </c>
      <c r="B2426" s="30" t="inlineStr">
        <is>
          <t>Itaguai</t>
        </is>
      </c>
      <c r="C2426" s="30" t="n">
        <v>11492576</v>
      </c>
      <c r="D2426" s="30">
        <f>"11358292000406"</f>
        <v/>
      </c>
      <c r="E2426" s="30" t="inlineStr">
        <is>
          <t>ZIRANLOG LOGISTICA EIRELI</t>
        </is>
      </c>
      <c r="F2426" s="30" t="inlineStr">
        <is>
          <t>2021</t>
        </is>
      </c>
      <c r="G2426" s="40" t="n">
        <v>0</v>
      </c>
    </row>
    <row r="2427" ht="12" customHeight="1">
      <c r="A2427" s="30" t="inlineStr">
        <is>
          <t>ITG</t>
        </is>
      </c>
      <c r="B2427" s="30" t="inlineStr">
        <is>
          <t>Itaguai</t>
        </is>
      </c>
      <c r="C2427" s="30" t="n">
        <v>11492576</v>
      </c>
      <c r="D2427" s="30">
        <f>"11358292000406"</f>
        <v/>
      </c>
      <c r="E2427" s="30" t="inlineStr">
        <is>
          <t>ZIRANLOG LOGISTICA EIRELI</t>
        </is>
      </c>
      <c r="F2427" s="30" t="inlineStr">
        <is>
          <t>2022</t>
        </is>
      </c>
      <c r="G2427" s="40" t="n">
        <v>0</v>
      </c>
    </row>
    <row r="2428" ht="12" customHeight="1">
      <c r="A2428" s="30" t="inlineStr">
        <is>
          <t>ITG</t>
        </is>
      </c>
      <c r="B2428" s="30" t="inlineStr">
        <is>
          <t>Itaguai</t>
        </is>
      </c>
      <c r="C2428" s="30" t="n">
        <v>11492576</v>
      </c>
      <c r="D2428" s="30">
        <f>"11358292000406"</f>
        <v/>
      </c>
      <c r="E2428" s="30" t="inlineStr">
        <is>
          <t>ZIRANLOG LOGISTICA EIRELI</t>
        </is>
      </c>
      <c r="F2428" s="30" t="inlineStr">
        <is>
          <t>2023</t>
        </is>
      </c>
      <c r="G2428" s="40" t="n">
        <v>0</v>
      </c>
    </row>
    <row r="2429" ht="12" customHeight="1">
      <c r="A2429" s="30" t="inlineStr">
        <is>
          <t>ITG</t>
        </is>
      </c>
      <c r="B2429" s="30" t="inlineStr">
        <is>
          <t>Itaguai</t>
        </is>
      </c>
      <c r="C2429" s="30" t="n">
        <v>11495206</v>
      </c>
      <c r="D2429" s="30">
        <f>"05469426793"</f>
        <v/>
      </c>
      <c r="E2429" s="30" t="inlineStr">
        <is>
          <t>EDUARDO RODRIGUES ALVES</t>
        </is>
      </c>
      <c r="F2429" s="30" t="inlineStr">
        <is>
          <t>2017</t>
        </is>
      </c>
      <c r="G2429" s="40" t="n">
        <v>0</v>
      </c>
    </row>
    <row r="2430" ht="12" customHeight="1">
      <c r="A2430" s="30" t="inlineStr">
        <is>
          <t>ITG</t>
        </is>
      </c>
      <c r="B2430" s="30" t="inlineStr">
        <is>
          <t>Itaguai</t>
        </is>
      </c>
      <c r="C2430" s="30" t="n">
        <v>11495206</v>
      </c>
      <c r="D2430" s="30">
        <f>"05469426793"</f>
        <v/>
      </c>
      <c r="E2430" s="30" t="inlineStr">
        <is>
          <t>EDUARDO RODRIGUES ALVES</t>
        </is>
      </c>
      <c r="F2430" s="30" t="inlineStr">
        <is>
          <t>2018</t>
        </is>
      </c>
      <c r="G2430" s="40" t="n">
        <v>0</v>
      </c>
    </row>
    <row r="2431" ht="12" customHeight="1">
      <c r="A2431" s="30" t="inlineStr">
        <is>
          <t>ITG</t>
        </is>
      </c>
      <c r="B2431" s="30" t="inlineStr">
        <is>
          <t>Itaguai</t>
        </is>
      </c>
      <c r="C2431" s="30" t="n">
        <v>11495206</v>
      </c>
      <c r="D2431" s="30">
        <f>"05469426793"</f>
        <v/>
      </c>
      <c r="E2431" s="30" t="inlineStr">
        <is>
          <t>EDUARDO RODRIGUES ALVES</t>
        </is>
      </c>
      <c r="F2431" s="30" t="inlineStr">
        <is>
          <t>2019</t>
        </is>
      </c>
      <c r="G2431" s="40" t="n">
        <v>0</v>
      </c>
    </row>
    <row r="2432" ht="12" customHeight="1">
      <c r="A2432" s="30" t="inlineStr">
        <is>
          <t>ITG</t>
        </is>
      </c>
      <c r="B2432" s="30" t="inlineStr">
        <is>
          <t>Itaguai</t>
        </is>
      </c>
      <c r="C2432" s="30" t="n">
        <v>11495206</v>
      </c>
      <c r="D2432" s="30">
        <f>"05469426793"</f>
        <v/>
      </c>
      <c r="E2432" s="30" t="inlineStr">
        <is>
          <t>EDUARDO RODRIGUES ALVES</t>
        </is>
      </c>
      <c r="F2432" s="30" t="inlineStr">
        <is>
          <t>2020</t>
        </is>
      </c>
      <c r="G2432" s="40" t="n">
        <v>150621</v>
      </c>
    </row>
    <row r="2433" ht="12" customHeight="1">
      <c r="A2433" s="30" t="inlineStr">
        <is>
          <t>ITG</t>
        </is>
      </c>
      <c r="B2433" s="30" t="inlineStr">
        <is>
          <t>Itaguai</t>
        </is>
      </c>
      <c r="C2433" s="30" t="n">
        <v>11495206</v>
      </c>
      <c r="D2433" s="30">
        <f>"05469426793"</f>
        <v/>
      </c>
      <c r="E2433" s="30" t="inlineStr">
        <is>
          <t>EDUARDO RODRIGUES ALVES</t>
        </is>
      </c>
      <c r="F2433" s="30" t="inlineStr">
        <is>
          <t>2021</t>
        </is>
      </c>
      <c r="G2433" s="40" t="n">
        <v>50840</v>
      </c>
    </row>
    <row r="2434" ht="12" customHeight="1">
      <c r="A2434" s="30" t="inlineStr">
        <is>
          <t>ITG</t>
        </is>
      </c>
      <c r="B2434" s="30" t="inlineStr">
        <is>
          <t>Itaguai</t>
        </is>
      </c>
      <c r="C2434" s="30" t="n">
        <v>11495206</v>
      </c>
      <c r="D2434" s="30">
        <f>"05469426793"</f>
        <v/>
      </c>
      <c r="E2434" s="30" t="inlineStr">
        <is>
          <t>EDUARDO RODRIGUES ALVES</t>
        </is>
      </c>
      <c r="F2434" s="30" t="inlineStr">
        <is>
          <t>2022</t>
        </is>
      </c>
      <c r="G2434" s="40" t="n">
        <v>0</v>
      </c>
    </row>
    <row r="2435" ht="12" customHeight="1">
      <c r="A2435" s="30" t="inlineStr">
        <is>
          <t>ITG</t>
        </is>
      </c>
      <c r="B2435" s="30" t="inlineStr">
        <is>
          <t>Itaguai</t>
        </is>
      </c>
      <c r="C2435" s="30" t="n">
        <v>11495206</v>
      </c>
      <c r="D2435" s="30">
        <f>"05469426793"</f>
        <v/>
      </c>
      <c r="E2435" s="30" t="inlineStr">
        <is>
          <t>EDUARDO RODRIGUES ALVES</t>
        </is>
      </c>
      <c r="F2435" s="30" t="inlineStr">
        <is>
          <t>2023</t>
        </is>
      </c>
      <c r="G2435" s="40" t="n">
        <v>35000</v>
      </c>
    </row>
    <row r="2436" ht="12" customHeight="1">
      <c r="A2436" s="30" t="inlineStr">
        <is>
          <t>ITG</t>
        </is>
      </c>
      <c r="B2436" s="30" t="inlineStr">
        <is>
          <t>Itaguai</t>
        </is>
      </c>
      <c r="C2436" s="30" t="n">
        <v>11498582</v>
      </c>
      <c r="D2436" s="30">
        <f>"90130600725"</f>
        <v/>
      </c>
      <c r="E2436" s="30" t="inlineStr">
        <is>
          <t>LUCIANO SAMPAIO SARMENTO</t>
        </is>
      </c>
      <c r="F2436" s="30" t="inlineStr">
        <is>
          <t>2017</t>
        </is>
      </c>
      <c r="G2436" s="40" t="n">
        <v>0</v>
      </c>
    </row>
    <row r="2437" ht="12" customHeight="1">
      <c r="A2437" s="30" t="inlineStr">
        <is>
          <t>ITG</t>
        </is>
      </c>
      <c r="B2437" s="30" t="inlineStr">
        <is>
          <t>Itaguai</t>
        </is>
      </c>
      <c r="C2437" s="30" t="n">
        <v>11498582</v>
      </c>
      <c r="D2437" s="30">
        <f>"90130600725"</f>
        <v/>
      </c>
      <c r="E2437" s="30" t="inlineStr">
        <is>
          <t>LUCIANO SAMPAIO SARMENTO</t>
        </is>
      </c>
      <c r="F2437" s="30" t="inlineStr">
        <is>
          <t>2018</t>
        </is>
      </c>
      <c r="G2437" s="40" t="n">
        <v>0</v>
      </c>
    </row>
    <row r="2438" ht="12" customHeight="1">
      <c r="A2438" s="30" t="inlineStr">
        <is>
          <t>ITG</t>
        </is>
      </c>
      <c r="B2438" s="30" t="inlineStr">
        <is>
          <t>Itaguai</t>
        </is>
      </c>
      <c r="C2438" s="30" t="n">
        <v>11498582</v>
      </c>
      <c r="D2438" s="30">
        <f>"90130600725"</f>
        <v/>
      </c>
      <c r="E2438" s="30" t="inlineStr">
        <is>
          <t>LUCIANO SAMPAIO SARMENTO</t>
        </is>
      </c>
      <c r="F2438" s="30" t="inlineStr">
        <is>
          <t>2019</t>
        </is>
      </c>
      <c r="G2438" s="40" t="n">
        <v>0</v>
      </c>
    </row>
    <row r="2439" ht="12" customHeight="1">
      <c r="A2439" s="30" t="inlineStr">
        <is>
          <t>ITG</t>
        </is>
      </c>
      <c r="B2439" s="30" t="inlineStr">
        <is>
          <t>Itaguai</t>
        </is>
      </c>
      <c r="C2439" s="30" t="n">
        <v>11498582</v>
      </c>
      <c r="D2439" s="30">
        <f>"90130600725"</f>
        <v/>
      </c>
      <c r="E2439" s="30" t="inlineStr">
        <is>
          <t>LUCIANO SAMPAIO SARMENTO</t>
        </is>
      </c>
      <c r="F2439" s="30" t="inlineStr">
        <is>
          <t>2020</t>
        </is>
      </c>
      <c r="G2439" s="40" t="n">
        <v>19800</v>
      </c>
    </row>
    <row r="2440" ht="12" customHeight="1">
      <c r="A2440" s="30" t="inlineStr">
        <is>
          <t>ITG</t>
        </is>
      </c>
      <c r="B2440" s="30" t="inlineStr">
        <is>
          <t>Itaguai</t>
        </is>
      </c>
      <c r="C2440" s="30" t="n">
        <v>11498582</v>
      </c>
      <c r="D2440" s="30">
        <f>"90130600725"</f>
        <v/>
      </c>
      <c r="E2440" s="30" t="inlineStr">
        <is>
          <t>LUCIANO SAMPAIO SARMENTO</t>
        </is>
      </c>
      <c r="F2440" s="30" t="inlineStr">
        <is>
          <t>2021</t>
        </is>
      </c>
      <c r="G2440" s="40" t="n">
        <v>50400</v>
      </c>
    </row>
    <row r="2441" ht="12" customHeight="1">
      <c r="A2441" s="30" t="inlineStr">
        <is>
          <t>ITG</t>
        </is>
      </c>
      <c r="B2441" s="30" t="inlineStr">
        <is>
          <t>Itaguai</t>
        </is>
      </c>
      <c r="C2441" s="30" t="n">
        <v>11498582</v>
      </c>
      <c r="D2441" s="30">
        <f>"90130600725"</f>
        <v/>
      </c>
      <c r="E2441" s="30" t="inlineStr">
        <is>
          <t>LUCIANO SAMPAIO SARMENTO</t>
        </is>
      </c>
      <c r="F2441" s="30" t="inlineStr">
        <is>
          <t>2022</t>
        </is>
      </c>
      <c r="G2441" s="40" t="n">
        <v>231000</v>
      </c>
    </row>
    <row r="2442" ht="12" customHeight="1">
      <c r="A2442" s="30" t="inlineStr">
        <is>
          <t>ITG</t>
        </is>
      </c>
      <c r="B2442" s="30" t="inlineStr">
        <is>
          <t>Itaguai</t>
        </is>
      </c>
      <c r="C2442" s="30" t="n">
        <v>11498582</v>
      </c>
      <c r="D2442" s="30">
        <f>"90130600725"</f>
        <v/>
      </c>
      <c r="E2442" s="30" t="inlineStr">
        <is>
          <t>LUCIANO SAMPAIO SARMENTO</t>
        </is>
      </c>
      <c r="F2442" s="30" t="inlineStr">
        <is>
          <t>2023</t>
        </is>
      </c>
      <c r="G2442" s="40" t="n">
        <v>280000</v>
      </c>
    </row>
    <row r="2443" ht="12" customHeight="1">
      <c r="A2443" s="30" t="inlineStr">
        <is>
          <t>ITG</t>
        </is>
      </c>
      <c r="B2443" s="30" t="inlineStr">
        <is>
          <t>Itaguai</t>
        </is>
      </c>
      <c r="C2443" s="30" t="n">
        <v>11499449</v>
      </c>
      <c r="D2443" s="30">
        <f>"29108107000563"</f>
        <v/>
      </c>
      <c r="E2443" s="30" t="inlineStr">
        <is>
          <t>SOLAZER TRANSPORTES E TURISMO LTDA</t>
        </is>
      </c>
      <c r="F2443" s="30" t="inlineStr">
        <is>
          <t>2017</t>
        </is>
      </c>
      <c r="G2443" s="40" t="n">
        <v>0</v>
      </c>
    </row>
    <row r="2444" ht="12" customHeight="1">
      <c r="A2444" s="30" t="inlineStr">
        <is>
          <t>ITG</t>
        </is>
      </c>
      <c r="B2444" s="30" t="inlineStr">
        <is>
          <t>Itaguai</t>
        </is>
      </c>
      <c r="C2444" s="30" t="n">
        <v>11499449</v>
      </c>
      <c r="D2444" s="30">
        <f>"29108107000563"</f>
        <v/>
      </c>
      <c r="E2444" s="30" t="inlineStr">
        <is>
          <t>SOLAZER TRANSPORTES E TURISMO LTDA</t>
        </is>
      </c>
      <c r="F2444" s="30" t="inlineStr">
        <is>
          <t>2018</t>
        </is>
      </c>
      <c r="G2444" s="40" t="n">
        <v>0</v>
      </c>
    </row>
    <row r="2445" ht="12" customHeight="1">
      <c r="A2445" s="30" t="inlineStr">
        <is>
          <t>ITG</t>
        </is>
      </c>
      <c r="B2445" s="30" t="inlineStr">
        <is>
          <t>Itaguai</t>
        </is>
      </c>
      <c r="C2445" s="30" t="n">
        <v>11499449</v>
      </c>
      <c r="D2445" s="30">
        <f>"29108107000563"</f>
        <v/>
      </c>
      <c r="E2445" s="30" t="inlineStr">
        <is>
          <t>SOLAZER TRANSPORTES E TURISMO LTDA</t>
        </is>
      </c>
      <c r="F2445" s="30" t="inlineStr">
        <is>
          <t>2019</t>
        </is>
      </c>
      <c r="G2445" s="40" t="n">
        <v>0</v>
      </c>
    </row>
    <row r="2446" ht="12" customHeight="1">
      <c r="A2446" s="30" t="inlineStr">
        <is>
          <t>ITG</t>
        </is>
      </c>
      <c r="B2446" s="30" t="inlineStr">
        <is>
          <t>Itaguai</t>
        </is>
      </c>
      <c r="C2446" s="30" t="n">
        <v>11499449</v>
      </c>
      <c r="D2446" s="30">
        <f>"29108107000563"</f>
        <v/>
      </c>
      <c r="E2446" s="30" t="inlineStr">
        <is>
          <t>SOLAZER TRANSPORTES E TURISMO LTDA</t>
        </is>
      </c>
      <c r="F2446" s="30" t="inlineStr">
        <is>
          <t>2020</t>
        </is>
      </c>
      <c r="G2446" s="40" t="n">
        <v>0</v>
      </c>
    </row>
    <row r="2447" ht="12" customHeight="1">
      <c r="A2447" s="30" t="inlineStr">
        <is>
          <t>ITG</t>
        </is>
      </c>
      <c r="B2447" s="30" t="inlineStr">
        <is>
          <t>Itaguai</t>
        </is>
      </c>
      <c r="C2447" s="30" t="n">
        <v>11499449</v>
      </c>
      <c r="D2447" s="30">
        <f>"29108107000563"</f>
        <v/>
      </c>
      <c r="E2447" s="30" t="inlineStr">
        <is>
          <t>SOLAZER TRANSPORTES E TURISMO LTDA</t>
        </is>
      </c>
      <c r="F2447" s="30" t="inlineStr">
        <is>
          <t>2021</t>
        </is>
      </c>
      <c r="G2447" s="40" t="n">
        <v>0</v>
      </c>
    </row>
    <row r="2448" ht="12" customHeight="1">
      <c r="A2448" s="30" t="inlineStr">
        <is>
          <t>ITG</t>
        </is>
      </c>
      <c r="B2448" s="30" t="inlineStr">
        <is>
          <t>Itaguai</t>
        </is>
      </c>
      <c r="C2448" s="30" t="n">
        <v>11499449</v>
      </c>
      <c r="D2448" s="30">
        <f>"29108107000563"</f>
        <v/>
      </c>
      <c r="E2448" s="30" t="inlineStr">
        <is>
          <t>SOLAZER TRANSPORTES E TURISMO LTDA</t>
        </is>
      </c>
      <c r="F2448" s="30" t="inlineStr">
        <is>
          <t>2022</t>
        </is>
      </c>
      <c r="G2448" s="40" t="n">
        <v>0</v>
      </c>
    </row>
    <row r="2449" ht="12" customHeight="1">
      <c r="A2449" s="30" t="inlineStr">
        <is>
          <t>ITG</t>
        </is>
      </c>
      <c r="B2449" s="30" t="inlineStr">
        <is>
          <t>Itaguai</t>
        </is>
      </c>
      <c r="C2449" s="30" t="n">
        <v>11499449</v>
      </c>
      <c r="D2449" s="30">
        <f>"29108107000563"</f>
        <v/>
      </c>
      <c r="E2449" s="30" t="inlineStr">
        <is>
          <t>SOLAZER TRANSPORTES E TURISMO LTDA</t>
        </is>
      </c>
      <c r="F2449" s="30" t="inlineStr">
        <is>
          <t>2023</t>
        </is>
      </c>
      <c r="G2449" s="40" t="n">
        <v>0</v>
      </c>
    </row>
    <row r="2450" ht="12" customHeight="1">
      <c r="A2450" s="30" t="inlineStr">
        <is>
          <t>ITG</t>
        </is>
      </c>
      <c r="B2450" s="30" t="inlineStr">
        <is>
          <t>Itaguai</t>
        </is>
      </c>
      <c r="C2450" s="30" t="n">
        <v>11501303</v>
      </c>
      <c r="D2450" s="30">
        <f>"34215614000102"</f>
        <v/>
      </c>
      <c r="E2450" s="30" t="inlineStr">
        <is>
          <t>BAZAR O AMIGÃO PATIO MIX Itaguai LTDA</t>
        </is>
      </c>
      <c r="F2450" s="30" t="inlineStr">
        <is>
          <t>2017</t>
        </is>
      </c>
      <c r="G2450" s="40" t="n">
        <v>0</v>
      </c>
    </row>
    <row r="2451" ht="12" customHeight="1">
      <c r="A2451" s="30" t="inlineStr">
        <is>
          <t>ITG</t>
        </is>
      </c>
      <c r="B2451" s="30" t="inlineStr">
        <is>
          <t>Itaguai</t>
        </is>
      </c>
      <c r="C2451" s="30" t="n">
        <v>11501303</v>
      </c>
      <c r="D2451" s="30">
        <f>"34215614000102"</f>
        <v/>
      </c>
      <c r="E2451" s="30" t="inlineStr">
        <is>
          <t>BAZAR O AMIGÃO PATIO MIX Itaguai LTDA</t>
        </is>
      </c>
      <c r="F2451" s="30" t="inlineStr">
        <is>
          <t>2018</t>
        </is>
      </c>
      <c r="G2451" s="40" t="n">
        <v>0</v>
      </c>
    </row>
    <row r="2452" ht="12" customHeight="1">
      <c r="A2452" s="30" t="inlineStr">
        <is>
          <t>ITG</t>
        </is>
      </c>
      <c r="B2452" s="30" t="inlineStr">
        <is>
          <t>Itaguai</t>
        </is>
      </c>
      <c r="C2452" s="30" t="n">
        <v>11501303</v>
      </c>
      <c r="D2452" s="30">
        <f>"34215614000102"</f>
        <v/>
      </c>
      <c r="E2452" s="30" t="inlineStr">
        <is>
          <t>BAZAR O AMIGÃO PATIO MIX Itaguai LTDA</t>
        </is>
      </c>
      <c r="F2452" s="30" t="inlineStr">
        <is>
          <t>2019</t>
        </is>
      </c>
      <c r="G2452" s="40" t="n">
        <v>1463373.75</v>
      </c>
    </row>
    <row r="2453" ht="12" customHeight="1">
      <c r="A2453" s="30" t="inlineStr">
        <is>
          <t>ITG</t>
        </is>
      </c>
      <c r="B2453" s="30" t="inlineStr">
        <is>
          <t>Itaguai</t>
        </is>
      </c>
      <c r="C2453" s="30" t="n">
        <v>11501303</v>
      </c>
      <c r="D2453" s="30">
        <f>"34215614000102"</f>
        <v/>
      </c>
      <c r="E2453" s="30" t="inlineStr">
        <is>
          <t>BAZAR O AMIGÃO PATIO MIX Itaguai LTDA</t>
        </is>
      </c>
      <c r="F2453" s="30" t="inlineStr">
        <is>
          <t>2020</t>
        </is>
      </c>
      <c r="G2453" s="40" t="n">
        <v>4438712.98</v>
      </c>
    </row>
    <row r="2454" ht="12" customHeight="1">
      <c r="A2454" s="30" t="inlineStr">
        <is>
          <t>ITG</t>
        </is>
      </c>
      <c r="B2454" s="30" t="inlineStr">
        <is>
          <t>Itaguai</t>
        </is>
      </c>
      <c r="C2454" s="30" t="n">
        <v>11501303</v>
      </c>
      <c r="D2454" s="30">
        <f>"34215614000102"</f>
        <v/>
      </c>
      <c r="E2454" s="30" t="inlineStr">
        <is>
          <t>BAZAR O AMIGÃO PATIO MIX Itaguai LTDA</t>
        </is>
      </c>
      <c r="F2454" s="30" t="inlineStr">
        <is>
          <t>2021</t>
        </is>
      </c>
      <c r="G2454" s="40" t="n">
        <v>5773827.9</v>
      </c>
    </row>
    <row r="2455" ht="12" customHeight="1">
      <c r="A2455" s="30" t="inlineStr">
        <is>
          <t>ITG</t>
        </is>
      </c>
      <c r="B2455" s="30" t="inlineStr">
        <is>
          <t>Itaguai</t>
        </is>
      </c>
      <c r="C2455" s="30" t="n">
        <v>11501303</v>
      </c>
      <c r="D2455" s="30">
        <f>"34215614000102"</f>
        <v/>
      </c>
      <c r="E2455" s="30" t="inlineStr">
        <is>
          <t>BAZAR O AMIGÃO PATIO MIX Itaguai LTDA</t>
        </is>
      </c>
      <c r="F2455" s="30" t="inlineStr">
        <is>
          <t>2022</t>
        </is>
      </c>
      <c r="G2455" s="40" t="n">
        <v>6236807.91</v>
      </c>
    </row>
    <row r="2456" ht="12" customHeight="1">
      <c r="A2456" s="30" t="inlineStr">
        <is>
          <t>ITG</t>
        </is>
      </c>
      <c r="B2456" s="30" t="inlineStr">
        <is>
          <t>Itaguai</t>
        </is>
      </c>
      <c r="C2456" s="30" t="n">
        <v>11501303</v>
      </c>
      <c r="D2456" s="30">
        <f>"34215614000102"</f>
        <v/>
      </c>
      <c r="E2456" s="30" t="inlineStr">
        <is>
          <t>BAZAR O AMIGÃO PATIO MIX Itaguai LTDA</t>
        </is>
      </c>
      <c r="F2456" s="30" t="inlineStr">
        <is>
          <t>2023</t>
        </is>
      </c>
      <c r="G2456" s="40" t="n">
        <v>6559677.3</v>
      </c>
    </row>
    <row r="2457" ht="12" customHeight="1">
      <c r="A2457" s="30" t="inlineStr">
        <is>
          <t>ITG</t>
        </is>
      </c>
      <c r="B2457" s="30" t="inlineStr">
        <is>
          <t>Itaguai</t>
        </is>
      </c>
      <c r="C2457" s="30" t="n">
        <v>11507549</v>
      </c>
      <c r="D2457" s="30">
        <f>"28699985000104"</f>
        <v/>
      </c>
      <c r="E2457" s="30" t="inlineStr">
        <is>
          <t>COOPERATIVA DE TRABALHO E PRODUÇÃO DE CATADORES DE MATERIAIS RECICLÁVEIS DE Itaguai LTDA</t>
        </is>
      </c>
      <c r="F2457" s="30" t="inlineStr">
        <is>
          <t>2017</t>
        </is>
      </c>
      <c r="G2457" s="40" t="n">
        <v>0</v>
      </c>
    </row>
    <row r="2458" ht="12" customHeight="1">
      <c r="A2458" s="30" t="inlineStr">
        <is>
          <t>ITG</t>
        </is>
      </c>
      <c r="B2458" s="30" t="inlineStr">
        <is>
          <t>Itaguai</t>
        </is>
      </c>
      <c r="C2458" s="30" t="n">
        <v>11507549</v>
      </c>
      <c r="D2458" s="30">
        <f>"28699985000104"</f>
        <v/>
      </c>
      <c r="E2458" s="30" t="inlineStr">
        <is>
          <t>COOPERATIVA DE TRABALHO E PRODUÇÃO DE CATADORES DE MATERIAIS RECICLÁVEIS DE Itaguai LTDA</t>
        </is>
      </c>
      <c r="F2458" s="30" t="inlineStr">
        <is>
          <t>2018</t>
        </is>
      </c>
      <c r="G2458" s="40" t="n">
        <v>0</v>
      </c>
    </row>
    <row r="2459" ht="12" customHeight="1">
      <c r="A2459" s="30" t="inlineStr">
        <is>
          <t>ITG</t>
        </is>
      </c>
      <c r="B2459" s="30" t="inlineStr">
        <is>
          <t>Itaguai</t>
        </is>
      </c>
      <c r="C2459" s="30" t="n">
        <v>11507549</v>
      </c>
      <c r="D2459" s="30">
        <f>"28699985000104"</f>
        <v/>
      </c>
      <c r="E2459" s="30" t="inlineStr">
        <is>
          <t>COOPERATIVA DE TRABALHO E PRODUÇÃO DE CATADORES DE MATERIAIS RECICLÁVEIS DE Itaguai LTDA</t>
        </is>
      </c>
      <c r="F2459" s="30" t="inlineStr">
        <is>
          <t>2019</t>
        </is>
      </c>
      <c r="G2459" s="40" t="n">
        <v>0</v>
      </c>
    </row>
    <row r="2460" ht="12" customHeight="1">
      <c r="A2460" s="30" t="inlineStr">
        <is>
          <t>ITG</t>
        </is>
      </c>
      <c r="B2460" s="30" t="inlineStr">
        <is>
          <t>Itaguai</t>
        </is>
      </c>
      <c r="C2460" s="30" t="n">
        <v>11507549</v>
      </c>
      <c r="D2460" s="30">
        <f>"28699985000104"</f>
        <v/>
      </c>
      <c r="E2460" s="30" t="inlineStr">
        <is>
          <t>COOPERATIVA DE TRABALHO E PRODUÇÃO DE CATADORES DE MATERIAIS RECICLÁVEIS DE Itaguai LTDA</t>
        </is>
      </c>
      <c r="F2460" s="30" t="inlineStr">
        <is>
          <t>2020</t>
        </is>
      </c>
      <c r="G2460" s="40" t="n">
        <v>0</v>
      </c>
    </row>
    <row r="2461" ht="12" customHeight="1">
      <c r="A2461" s="30" t="inlineStr">
        <is>
          <t>ITG</t>
        </is>
      </c>
      <c r="B2461" s="30" t="inlineStr">
        <is>
          <t>Itaguai</t>
        </is>
      </c>
      <c r="C2461" s="30" t="n">
        <v>11507549</v>
      </c>
      <c r="D2461" s="30">
        <f>"28699985000104"</f>
        <v/>
      </c>
      <c r="E2461" s="30" t="inlineStr">
        <is>
          <t>COOPERATIVA DE TRABALHO E PRODUÇÃO DE CATADORES DE MATERIAIS RECICLÁVEIS DE Itaguai LTDA</t>
        </is>
      </c>
      <c r="F2461" s="30" t="inlineStr">
        <is>
          <t>2021</t>
        </is>
      </c>
      <c r="G2461" s="40" t="n">
        <v>0</v>
      </c>
    </row>
    <row r="2462" ht="12" customHeight="1">
      <c r="A2462" s="30" t="inlineStr">
        <is>
          <t>ITG</t>
        </is>
      </c>
      <c r="B2462" s="30" t="inlineStr">
        <is>
          <t>Itaguai</t>
        </is>
      </c>
      <c r="C2462" s="30" t="n">
        <v>11507549</v>
      </c>
      <c r="D2462" s="30">
        <f>"28699985000104"</f>
        <v/>
      </c>
      <c r="E2462" s="30" t="inlineStr">
        <is>
          <t>COOPERATIVA DE TRABALHO E PRODUÇÃO DE CATADORES DE MATERIAIS RECICLÁVEIS DE Itaguai LTDA</t>
        </is>
      </c>
      <c r="F2462" s="30" t="inlineStr">
        <is>
          <t>2022</t>
        </is>
      </c>
      <c r="G2462" s="40" t="n">
        <v>129465</v>
      </c>
    </row>
    <row r="2463" ht="12" customHeight="1">
      <c r="A2463" s="30" t="inlineStr">
        <is>
          <t>ITG</t>
        </is>
      </c>
      <c r="B2463" s="30" t="inlineStr">
        <is>
          <t>Itaguai</t>
        </is>
      </c>
      <c r="C2463" s="30" t="n">
        <v>11507549</v>
      </c>
      <c r="D2463" s="30">
        <f>"28699985000104"</f>
        <v/>
      </c>
      <c r="E2463" s="30" t="inlineStr">
        <is>
          <t>COOPERATIVA DE TRABALHO E PRODUÇÃO DE CATADORES DE MATERIAIS RECICLÁVEIS DE Itaguai LTDA</t>
        </is>
      </c>
      <c r="F2463" s="30" t="inlineStr">
        <is>
          <t>2023</t>
        </is>
      </c>
      <c r="G2463" s="40" t="n">
        <v>312788</v>
      </c>
    </row>
    <row r="2464" ht="12" customHeight="1">
      <c r="A2464" s="30" t="inlineStr">
        <is>
          <t>ITG</t>
        </is>
      </c>
      <c r="B2464" s="30" t="inlineStr">
        <is>
          <t>Itaguai</t>
        </is>
      </c>
      <c r="C2464" s="30" t="n">
        <v>11510353</v>
      </c>
      <c r="D2464" s="30">
        <f>"34442062000175"</f>
        <v/>
      </c>
      <c r="E2464" s="30" t="inlineStr">
        <is>
          <t>MERCADO BOAS COMPRAS DE CHAPERO EIRELI</t>
        </is>
      </c>
      <c r="F2464" s="30" t="inlineStr">
        <is>
          <t>2021</t>
        </is>
      </c>
      <c r="G2464" s="40" t="n">
        <v>0</v>
      </c>
    </row>
    <row r="2465" ht="12" customHeight="1">
      <c r="A2465" s="30" t="inlineStr">
        <is>
          <t>ITG</t>
        </is>
      </c>
      <c r="B2465" s="30" t="inlineStr">
        <is>
          <t>Itaguai</t>
        </is>
      </c>
      <c r="C2465" s="30" t="n">
        <v>11510353</v>
      </c>
      <c r="D2465" s="30">
        <f>"34442062000175"</f>
        <v/>
      </c>
      <c r="E2465" s="30" t="inlineStr">
        <is>
          <t>MERCADO BOAS COMPRAS DE CHAPERO EIRELI</t>
        </is>
      </c>
      <c r="F2465" s="30" t="inlineStr">
        <is>
          <t>2022</t>
        </is>
      </c>
      <c r="G2465" s="40" t="n">
        <v>0</v>
      </c>
    </row>
    <row r="2466" ht="12" customHeight="1">
      <c r="A2466" s="30" t="inlineStr">
        <is>
          <t>ITG</t>
        </is>
      </c>
      <c r="B2466" s="30" t="inlineStr">
        <is>
          <t>Itaguai</t>
        </is>
      </c>
      <c r="C2466" s="30" t="n">
        <v>11510353</v>
      </c>
      <c r="D2466" s="30">
        <f>"34442062000175"</f>
        <v/>
      </c>
      <c r="E2466" s="30" t="inlineStr">
        <is>
          <t>MERCADO BOAS COMPRAS DE CHAPERO EIRELI</t>
        </is>
      </c>
      <c r="F2466" s="30" t="inlineStr">
        <is>
          <t>2023</t>
        </is>
      </c>
      <c r="G2466" s="40" t="n">
        <v>0</v>
      </c>
    </row>
    <row r="2467" ht="12" customHeight="1">
      <c r="A2467" s="30" t="inlineStr">
        <is>
          <t>ITG</t>
        </is>
      </c>
      <c r="B2467" s="30" t="inlineStr">
        <is>
          <t>Itaguai</t>
        </is>
      </c>
      <c r="C2467" s="30" t="n">
        <v>11513387</v>
      </c>
      <c r="D2467" s="30">
        <f>"29484413000251"</f>
        <v/>
      </c>
      <c r="E2467" s="30" t="inlineStr">
        <is>
          <t>COGENT BRASIL TELECOMUNICACOES LTDA.</t>
        </is>
      </c>
      <c r="F2467" s="30" t="inlineStr">
        <is>
          <t>2020</t>
        </is>
      </c>
      <c r="G2467" s="40" t="n">
        <v>0</v>
      </c>
    </row>
    <row r="2468" ht="12" customHeight="1">
      <c r="A2468" s="30" t="inlineStr">
        <is>
          <t>ITG</t>
        </is>
      </c>
      <c r="B2468" s="30" t="inlineStr">
        <is>
          <t>Itaguai</t>
        </is>
      </c>
      <c r="C2468" s="30" t="n">
        <v>11513387</v>
      </c>
      <c r="D2468" s="30">
        <f>"29484413000251"</f>
        <v/>
      </c>
      <c r="E2468" s="30" t="inlineStr">
        <is>
          <t>COGENT BRASIL TELECOMUNICACOES LTDA.</t>
        </is>
      </c>
      <c r="F2468" s="30" t="inlineStr">
        <is>
          <t>2021</t>
        </is>
      </c>
      <c r="G2468" s="40" t="n">
        <v>0</v>
      </c>
    </row>
    <row r="2469" ht="12" customHeight="1">
      <c r="A2469" s="30" t="inlineStr">
        <is>
          <t>ITG</t>
        </is>
      </c>
      <c r="B2469" s="30" t="inlineStr">
        <is>
          <t>Itaguai</t>
        </is>
      </c>
      <c r="C2469" s="30" t="n">
        <v>11513387</v>
      </c>
      <c r="D2469" s="30">
        <f>"29484413000251"</f>
        <v/>
      </c>
      <c r="E2469" s="30" t="inlineStr">
        <is>
          <t>COGENT BRASIL TELECOMUNICACOES LTDA.</t>
        </is>
      </c>
      <c r="F2469" s="30" t="inlineStr">
        <is>
          <t>2022</t>
        </is>
      </c>
      <c r="G2469" s="40" t="n">
        <v>1428.86</v>
      </c>
    </row>
    <row r="2470" ht="12" customHeight="1">
      <c r="A2470" s="30" t="inlineStr">
        <is>
          <t>ITG</t>
        </is>
      </c>
      <c r="B2470" s="30" t="inlineStr">
        <is>
          <t>Itaguai</t>
        </is>
      </c>
      <c r="C2470" s="30" t="n">
        <v>11513387</v>
      </c>
      <c r="D2470" s="30">
        <f>"29484413000251"</f>
        <v/>
      </c>
      <c r="E2470" s="30" t="inlineStr">
        <is>
          <t>COGENT BRASIL TELECOMUNICACOES LTDA.</t>
        </is>
      </c>
      <c r="F2470" s="30" t="inlineStr">
        <is>
          <t>2023</t>
        </is>
      </c>
      <c r="G2470" s="40" t="n">
        <v>9255.780000000001</v>
      </c>
    </row>
    <row r="2471" ht="12" customHeight="1">
      <c r="A2471" s="30" t="inlineStr">
        <is>
          <t>ITG</t>
        </is>
      </c>
      <c r="B2471" s="30" t="inlineStr">
        <is>
          <t>Itaguai</t>
        </is>
      </c>
      <c r="C2471" s="30" t="n">
        <v>11516106</v>
      </c>
      <c r="D2471" s="30">
        <f>"14710548000300"</f>
        <v/>
      </c>
      <c r="E2471" s="30" t="inlineStr">
        <is>
          <t>CLEDSON D BARBOZA MATERIAL ELETRICO E HIDRAULICO ME</t>
        </is>
      </c>
      <c r="F2471" s="30" t="inlineStr">
        <is>
          <t>2017</t>
        </is>
      </c>
      <c r="G2471" s="40" t="n">
        <v>0</v>
      </c>
    </row>
    <row r="2472" ht="12" customHeight="1">
      <c r="A2472" s="30" t="inlineStr">
        <is>
          <t>ITG</t>
        </is>
      </c>
      <c r="B2472" s="30" t="inlineStr">
        <is>
          <t>Itaguai</t>
        </is>
      </c>
      <c r="C2472" s="30" t="n">
        <v>11516106</v>
      </c>
      <c r="D2472" s="30">
        <f>"14710548000300"</f>
        <v/>
      </c>
      <c r="E2472" s="30" t="inlineStr">
        <is>
          <t>CLEDSON D BARBOZA MATERIAL ELETRICO E HIDRAULICO ME</t>
        </is>
      </c>
      <c r="F2472" s="30" t="inlineStr">
        <is>
          <t>2018</t>
        </is>
      </c>
      <c r="G2472" s="40" t="n">
        <v>0</v>
      </c>
    </row>
    <row r="2473" ht="12" customHeight="1">
      <c r="A2473" s="30" t="inlineStr">
        <is>
          <t>ITG</t>
        </is>
      </c>
      <c r="B2473" s="30" t="inlineStr">
        <is>
          <t>Itaguai</t>
        </is>
      </c>
      <c r="C2473" s="30" t="n">
        <v>11516106</v>
      </c>
      <c r="D2473" s="30">
        <f>"14710548000300"</f>
        <v/>
      </c>
      <c r="E2473" s="30" t="inlineStr">
        <is>
          <t>CLEDSON D BARBOZA MATERIAL ELETRICO E HIDRAULICO ME</t>
        </is>
      </c>
      <c r="F2473" s="30" t="inlineStr">
        <is>
          <t>2019</t>
        </is>
      </c>
      <c r="G2473" s="40" t="n">
        <v>0</v>
      </c>
    </row>
    <row r="2474" ht="12" customHeight="1">
      <c r="A2474" s="30" t="inlineStr">
        <is>
          <t>ITG</t>
        </is>
      </c>
      <c r="B2474" s="30" t="inlineStr">
        <is>
          <t>Itaguai</t>
        </is>
      </c>
      <c r="C2474" s="30" t="n">
        <v>11516106</v>
      </c>
      <c r="D2474" s="30">
        <f>"14710548000300"</f>
        <v/>
      </c>
      <c r="E2474" s="30" t="inlineStr">
        <is>
          <t>CLEDSON D BARBOZA MATERIAL ELETRICO E HIDRAULICO ME</t>
        </is>
      </c>
      <c r="F2474" s="30" t="inlineStr">
        <is>
          <t>2020</t>
        </is>
      </c>
      <c r="G2474" s="40" t="n">
        <v>0</v>
      </c>
    </row>
    <row r="2475" ht="12" customHeight="1">
      <c r="A2475" s="30" t="inlineStr">
        <is>
          <t>ITG</t>
        </is>
      </c>
      <c r="B2475" s="30" t="inlineStr">
        <is>
          <t>Itaguai</t>
        </is>
      </c>
      <c r="C2475" s="30" t="n">
        <v>11516106</v>
      </c>
      <c r="D2475" s="30">
        <f>"14710548000300"</f>
        <v/>
      </c>
      <c r="E2475" s="30" t="inlineStr">
        <is>
          <t>CLEDSON D BARBOZA MATERIAL ELETRICO E HIDRAULICO ME</t>
        </is>
      </c>
      <c r="F2475" s="30" t="inlineStr">
        <is>
          <t>2021</t>
        </is>
      </c>
      <c r="G2475" s="40" t="n">
        <v>0</v>
      </c>
    </row>
    <row r="2476" ht="12" customHeight="1">
      <c r="A2476" s="30" t="inlineStr">
        <is>
          <t>ITG</t>
        </is>
      </c>
      <c r="B2476" s="30" t="inlineStr">
        <is>
          <t>Itaguai</t>
        </is>
      </c>
      <c r="C2476" s="30" t="n">
        <v>11516106</v>
      </c>
      <c r="D2476" s="30">
        <f>"14710548000300"</f>
        <v/>
      </c>
      <c r="E2476" s="30" t="inlineStr">
        <is>
          <t>CLEDSON D BARBOZA MATERIAL ELETRICO E HIDRAULICO ME</t>
        </is>
      </c>
      <c r="F2476" s="30" t="inlineStr">
        <is>
          <t>2022</t>
        </is>
      </c>
      <c r="G2476" s="40" t="n">
        <v>0</v>
      </c>
    </row>
    <row r="2477" ht="12" customHeight="1">
      <c r="A2477" s="30" t="inlineStr">
        <is>
          <t>ITG</t>
        </is>
      </c>
      <c r="B2477" s="30" t="inlineStr">
        <is>
          <t>Itaguai</t>
        </is>
      </c>
      <c r="C2477" s="30" t="n">
        <v>11518923</v>
      </c>
      <c r="D2477" s="30">
        <f>"34548703000170"</f>
        <v/>
      </c>
      <c r="E2477" s="30" t="inlineStr">
        <is>
          <t>BIG PET COMERCIO DE RACOES EIRELI</t>
        </is>
      </c>
      <c r="F2477" s="30" t="inlineStr">
        <is>
          <t>2018</t>
        </is>
      </c>
      <c r="G2477" s="40" t="n">
        <v>0</v>
      </c>
    </row>
    <row r="2478" ht="12" customHeight="1">
      <c r="A2478" s="30" t="inlineStr">
        <is>
          <t>ITG</t>
        </is>
      </c>
      <c r="B2478" s="30" t="inlineStr">
        <is>
          <t>Itaguai</t>
        </is>
      </c>
      <c r="C2478" s="30" t="n">
        <v>11518923</v>
      </c>
      <c r="D2478" s="30">
        <f>"34548703000170"</f>
        <v/>
      </c>
      <c r="E2478" s="30" t="inlineStr">
        <is>
          <t>BIG PET COMERCIO DE RACOES EIRELI</t>
        </is>
      </c>
      <c r="F2478" s="30" t="inlineStr">
        <is>
          <t>2019</t>
        </is>
      </c>
      <c r="G2478" s="40" t="n">
        <v>0</v>
      </c>
    </row>
    <row r="2479" ht="12" customHeight="1">
      <c r="A2479" s="30" t="inlineStr">
        <is>
          <t>ITG</t>
        </is>
      </c>
      <c r="B2479" s="30" t="inlineStr">
        <is>
          <t>Itaguai</t>
        </is>
      </c>
      <c r="C2479" s="30" t="n">
        <v>11518923</v>
      </c>
      <c r="D2479" s="30">
        <f>"34548703000170"</f>
        <v/>
      </c>
      <c r="E2479" s="30" t="inlineStr">
        <is>
          <t>BIG PET COMERCIO DE RACOES EIRELI</t>
        </is>
      </c>
      <c r="F2479" s="30" t="inlineStr">
        <is>
          <t>2020</t>
        </is>
      </c>
      <c r="G2479" s="40" t="n">
        <v>550113.1</v>
      </c>
    </row>
    <row r="2480" ht="12" customHeight="1">
      <c r="A2480" s="30" t="inlineStr">
        <is>
          <t>ITG</t>
        </is>
      </c>
      <c r="B2480" s="30" t="inlineStr">
        <is>
          <t>Itaguai</t>
        </is>
      </c>
      <c r="C2480" s="30" t="n">
        <v>11518923</v>
      </c>
      <c r="D2480" s="30">
        <f>"34548703000170"</f>
        <v/>
      </c>
      <c r="E2480" s="30" t="inlineStr">
        <is>
          <t>BIG PET COMERCIO DE RACOES EIRELI</t>
        </is>
      </c>
      <c r="F2480" s="30" t="inlineStr">
        <is>
          <t>2021</t>
        </is>
      </c>
      <c r="G2480" s="40" t="n">
        <v>785524.6</v>
      </c>
    </row>
    <row r="2481" ht="12" customHeight="1">
      <c r="A2481" s="30" t="inlineStr">
        <is>
          <t>ITG</t>
        </is>
      </c>
      <c r="B2481" s="30" t="inlineStr">
        <is>
          <t>Itaguai</t>
        </is>
      </c>
      <c r="C2481" s="30" t="n">
        <v>11518923</v>
      </c>
      <c r="D2481" s="30">
        <f>"34548703000170"</f>
        <v/>
      </c>
      <c r="E2481" s="30" t="inlineStr">
        <is>
          <t>BIG PET COMERCIO DE RACOES EIRELI</t>
        </is>
      </c>
      <c r="F2481" s="30" t="inlineStr">
        <is>
          <t>2022</t>
        </is>
      </c>
      <c r="G2481" s="40" t="n">
        <v>0</v>
      </c>
    </row>
    <row r="2482" ht="12" customHeight="1">
      <c r="A2482" s="30" t="inlineStr">
        <is>
          <t>ITG</t>
        </is>
      </c>
      <c r="B2482" s="30" t="inlineStr">
        <is>
          <t>Itaguai</t>
        </is>
      </c>
      <c r="C2482" s="30" t="n">
        <v>11518923</v>
      </c>
      <c r="D2482" s="30">
        <f>"34548703000170"</f>
        <v/>
      </c>
      <c r="E2482" s="30" t="inlineStr">
        <is>
          <t>BIG PET COMERCIO DE RACOES EIRELI</t>
        </is>
      </c>
      <c r="F2482" s="30" t="inlineStr">
        <is>
          <t>2023</t>
        </is>
      </c>
      <c r="G2482" s="40" t="n">
        <v>0</v>
      </c>
    </row>
    <row r="2483" ht="12" customHeight="1">
      <c r="A2483" s="30" t="inlineStr">
        <is>
          <t>ITG</t>
        </is>
      </c>
      <c r="B2483" s="30" t="inlineStr">
        <is>
          <t>Itaguai</t>
        </is>
      </c>
      <c r="C2483" s="30" t="n">
        <v>11529402</v>
      </c>
      <c r="D2483" s="30">
        <f>"28732200001049"</f>
        <v/>
      </c>
      <c r="E2483" s="30" t="inlineStr">
        <is>
          <t>LOJAS SANTOS VAREJO E DISTRIBUIÇÃO LTDA</t>
        </is>
      </c>
      <c r="F2483" s="30" t="inlineStr">
        <is>
          <t>2017</t>
        </is>
      </c>
      <c r="G2483" s="40" t="n">
        <v>0</v>
      </c>
    </row>
    <row r="2484" ht="12" customHeight="1">
      <c r="A2484" s="30" t="inlineStr">
        <is>
          <t>ITG</t>
        </is>
      </c>
      <c r="B2484" s="30" t="inlineStr">
        <is>
          <t>Itaguai</t>
        </is>
      </c>
      <c r="C2484" s="30" t="n">
        <v>11529402</v>
      </c>
      <c r="D2484" s="30">
        <f>"28732200001049"</f>
        <v/>
      </c>
      <c r="E2484" s="30" t="inlineStr">
        <is>
          <t>LOJAS SANTOS VAREJO E DISTRIBUIÇÃO LTDA</t>
        </is>
      </c>
      <c r="F2484" s="30" t="inlineStr">
        <is>
          <t>2018</t>
        </is>
      </c>
      <c r="G2484" s="40" t="n">
        <v>0</v>
      </c>
    </row>
    <row r="2485" ht="12" customHeight="1">
      <c r="A2485" s="30" t="inlineStr">
        <is>
          <t>ITG</t>
        </is>
      </c>
      <c r="B2485" s="30" t="inlineStr">
        <is>
          <t>Itaguai</t>
        </is>
      </c>
      <c r="C2485" s="30" t="n">
        <v>11529402</v>
      </c>
      <c r="D2485" s="30">
        <f>"28732200001049"</f>
        <v/>
      </c>
      <c r="E2485" s="30" t="inlineStr">
        <is>
          <t>LOJAS SANTOS VAREJO E DISTRIBUIÇÃO LTDA</t>
        </is>
      </c>
      <c r="F2485" s="30" t="inlineStr">
        <is>
          <t>2019</t>
        </is>
      </c>
      <c r="G2485" s="40" t="n">
        <v>0</v>
      </c>
    </row>
    <row r="2486" ht="12" customHeight="1">
      <c r="A2486" s="30" t="inlineStr">
        <is>
          <t>ITG</t>
        </is>
      </c>
      <c r="B2486" s="30" t="inlineStr">
        <is>
          <t>Itaguai</t>
        </is>
      </c>
      <c r="C2486" s="30" t="n">
        <v>11529402</v>
      </c>
      <c r="D2486" s="30">
        <f>"28732200001049"</f>
        <v/>
      </c>
      <c r="E2486" s="30" t="inlineStr">
        <is>
          <t>LOJAS SANTOS VAREJO E DISTRIBUIÇÃO LTDA</t>
        </is>
      </c>
      <c r="F2486" s="30" t="inlineStr">
        <is>
          <t>2020</t>
        </is>
      </c>
      <c r="G2486" s="40" t="n">
        <v>3216075.11</v>
      </c>
    </row>
    <row r="2487" ht="12" customHeight="1">
      <c r="A2487" s="30" t="inlineStr">
        <is>
          <t>ITG</t>
        </is>
      </c>
      <c r="B2487" s="30" t="inlineStr">
        <is>
          <t>Itaguai</t>
        </is>
      </c>
      <c r="C2487" s="30" t="n">
        <v>11529402</v>
      </c>
      <c r="D2487" s="30">
        <f>"28732200001049"</f>
        <v/>
      </c>
      <c r="E2487" s="30" t="inlineStr">
        <is>
          <t>LOJAS SANTOS VAREJO E DISTRIBUIÇÃO LTDA</t>
        </is>
      </c>
      <c r="F2487" s="30" t="inlineStr">
        <is>
          <t>2021</t>
        </is>
      </c>
      <c r="G2487" s="40" t="n">
        <v>2636570.48</v>
      </c>
    </row>
    <row r="2488" ht="12" customHeight="1">
      <c r="A2488" s="30" t="inlineStr">
        <is>
          <t>ITG</t>
        </is>
      </c>
      <c r="B2488" s="30" t="inlineStr">
        <is>
          <t>Itaguai</t>
        </is>
      </c>
      <c r="C2488" s="30" t="n">
        <v>11529402</v>
      </c>
      <c r="D2488" s="30">
        <f>"28732200001049"</f>
        <v/>
      </c>
      <c r="E2488" s="30" t="inlineStr">
        <is>
          <t>LOJAS SANTOS VAREJO E DISTRIBUIÇÃO LTDA</t>
        </is>
      </c>
      <c r="F2488" s="30" t="inlineStr">
        <is>
          <t>2022</t>
        </is>
      </c>
      <c r="G2488" s="40" t="n">
        <v>0</v>
      </c>
    </row>
    <row r="2489" ht="12" customHeight="1">
      <c r="A2489" s="30" t="inlineStr">
        <is>
          <t>ITG</t>
        </is>
      </c>
      <c r="B2489" s="30" t="inlineStr">
        <is>
          <t>Itaguai</t>
        </is>
      </c>
      <c r="C2489" s="30" t="n">
        <v>11529402</v>
      </c>
      <c r="D2489" s="30">
        <f>"28732200001049"</f>
        <v/>
      </c>
      <c r="E2489" s="30" t="inlineStr">
        <is>
          <t>LOJAS SANTOS VAREJO E DISTRIBUIÇÃO LTDA</t>
        </is>
      </c>
      <c r="F2489" s="30" t="inlineStr">
        <is>
          <t>2023</t>
        </is>
      </c>
      <c r="G2489" s="40" t="n">
        <v>0</v>
      </c>
    </row>
    <row r="2490" ht="12" customHeight="1">
      <c r="A2490" s="30" t="inlineStr">
        <is>
          <t>ITG</t>
        </is>
      </c>
      <c r="B2490" s="30" t="inlineStr">
        <is>
          <t>Itaguai</t>
        </is>
      </c>
      <c r="C2490" s="30" t="n">
        <v>11534090</v>
      </c>
      <c r="D2490" s="30">
        <f>"14493773000595"</f>
        <v/>
      </c>
      <c r="E2490" s="30" t="inlineStr">
        <is>
          <t>SOLUÇÃO LOCAÇÃO E TRANSPORTES EIRELI</t>
        </is>
      </c>
      <c r="F2490" s="30" t="inlineStr">
        <is>
          <t>2018</t>
        </is>
      </c>
      <c r="G2490" s="40" t="n">
        <v>0</v>
      </c>
    </row>
    <row r="2491" ht="12" customHeight="1">
      <c r="A2491" s="30" t="inlineStr">
        <is>
          <t>ITG</t>
        </is>
      </c>
      <c r="B2491" s="30" t="inlineStr">
        <is>
          <t>Itaguai</t>
        </is>
      </c>
      <c r="C2491" s="30" t="n">
        <v>11534090</v>
      </c>
      <c r="D2491" s="30">
        <f>"14493773000595"</f>
        <v/>
      </c>
      <c r="E2491" s="30" t="inlineStr">
        <is>
          <t>SOLUÇÃO LOCAÇÃO E TRANSPORTES EIRELI</t>
        </is>
      </c>
      <c r="F2491" s="30" t="inlineStr">
        <is>
          <t>2019</t>
        </is>
      </c>
      <c r="G2491" s="40" t="n">
        <v>0</v>
      </c>
    </row>
    <row r="2492" ht="12" customHeight="1">
      <c r="A2492" s="30" t="inlineStr">
        <is>
          <t>ITG</t>
        </is>
      </c>
      <c r="B2492" s="30" t="inlineStr">
        <is>
          <t>Itaguai</t>
        </is>
      </c>
      <c r="C2492" s="30" t="n">
        <v>11534090</v>
      </c>
      <c r="D2492" s="30">
        <f>"14493773000595"</f>
        <v/>
      </c>
      <c r="E2492" s="30" t="inlineStr">
        <is>
          <t>SOLUÇÃO LOCAÇÃO E TRANSPORTES EIRELI</t>
        </is>
      </c>
      <c r="F2492" s="30" t="inlineStr">
        <is>
          <t>2020</t>
        </is>
      </c>
      <c r="G2492" s="40" t="n">
        <v>84.64</v>
      </c>
    </row>
    <row r="2493" ht="12" customHeight="1">
      <c r="A2493" s="30" t="inlineStr">
        <is>
          <t>ITG</t>
        </is>
      </c>
      <c r="B2493" s="30" t="inlineStr">
        <is>
          <t>Itaguai</t>
        </is>
      </c>
      <c r="C2493" s="30" t="n">
        <v>11534090</v>
      </c>
      <c r="D2493" s="30">
        <f>"14493773000595"</f>
        <v/>
      </c>
      <c r="E2493" s="30" t="inlineStr">
        <is>
          <t>SOLUÇÃO LOCAÇÃO E TRANSPORTES EIRELI</t>
        </is>
      </c>
      <c r="F2493" s="30" t="inlineStr">
        <is>
          <t>2021</t>
        </is>
      </c>
      <c r="G2493" s="40" t="n">
        <v>0</v>
      </c>
    </row>
    <row r="2494" ht="12" customHeight="1">
      <c r="A2494" s="30" t="inlineStr">
        <is>
          <t>ITG</t>
        </is>
      </c>
      <c r="B2494" s="30" t="inlineStr">
        <is>
          <t>Itaguai</t>
        </is>
      </c>
      <c r="C2494" s="30" t="n">
        <v>11534090</v>
      </c>
      <c r="D2494" s="30">
        <f>"14493773000595"</f>
        <v/>
      </c>
      <c r="E2494" s="30" t="inlineStr">
        <is>
          <t>SOLUÇÃO LOCAÇÃO E TRANSPORTES EIRELI</t>
        </is>
      </c>
      <c r="F2494" s="30" t="inlineStr">
        <is>
          <t>2022</t>
        </is>
      </c>
      <c r="G2494" s="40" t="n">
        <v>0</v>
      </c>
    </row>
    <row r="2495" ht="12" customHeight="1">
      <c r="A2495" s="30" t="inlineStr">
        <is>
          <t>ITG</t>
        </is>
      </c>
      <c r="B2495" s="30" t="inlineStr">
        <is>
          <t>Itaguai</t>
        </is>
      </c>
      <c r="C2495" s="30" t="n">
        <v>11541640</v>
      </c>
      <c r="D2495" s="30">
        <f>"34799863000192"</f>
        <v/>
      </c>
      <c r="E2495" s="30" t="inlineStr">
        <is>
          <t>PREMIUM ALIMENTOS COMERCIO E REPRESENTACOES LTDA</t>
        </is>
      </c>
      <c r="F2495" s="30" t="inlineStr">
        <is>
          <t>2017</t>
        </is>
      </c>
      <c r="G2495" s="40" t="n">
        <v>0</v>
      </c>
    </row>
    <row r="2496" ht="12" customHeight="1">
      <c r="A2496" s="30" t="inlineStr">
        <is>
          <t>ITG</t>
        </is>
      </c>
      <c r="B2496" s="30" t="inlineStr">
        <is>
          <t>Itaguai</t>
        </is>
      </c>
      <c r="C2496" s="30" t="n">
        <v>11541640</v>
      </c>
      <c r="D2496" s="30">
        <f>"34799863000192"</f>
        <v/>
      </c>
      <c r="E2496" s="30" t="inlineStr">
        <is>
          <t>PREMIUM ALIMENTOS COMERCIO E REPRESENTACOES LTDA</t>
        </is>
      </c>
      <c r="F2496" s="30" t="inlineStr">
        <is>
          <t>2018</t>
        </is>
      </c>
      <c r="G2496" s="40" t="n">
        <v>0</v>
      </c>
    </row>
    <row r="2497" ht="12" customHeight="1">
      <c r="A2497" s="30" t="inlineStr">
        <is>
          <t>ITG</t>
        </is>
      </c>
      <c r="B2497" s="30" t="inlineStr">
        <is>
          <t>Itaguai</t>
        </is>
      </c>
      <c r="C2497" s="30" t="n">
        <v>11541640</v>
      </c>
      <c r="D2497" s="30">
        <f>"34799863000192"</f>
        <v/>
      </c>
      <c r="E2497" s="30" t="inlineStr">
        <is>
          <t>PREMIUM ALIMENTOS COMERCIO E REPRESENTACOES LTDA</t>
        </is>
      </c>
      <c r="F2497" s="30" t="inlineStr">
        <is>
          <t>2019</t>
        </is>
      </c>
      <c r="G2497" s="40" t="n">
        <v>193627</v>
      </c>
    </row>
    <row r="2498" ht="12" customHeight="1">
      <c r="A2498" s="30" t="inlineStr">
        <is>
          <t>ITG</t>
        </is>
      </c>
      <c r="B2498" s="30" t="inlineStr">
        <is>
          <t>Itaguai</t>
        </is>
      </c>
      <c r="C2498" s="30" t="n">
        <v>11541640</v>
      </c>
      <c r="D2498" s="30">
        <f>"34799863000192"</f>
        <v/>
      </c>
      <c r="E2498" s="30" t="inlineStr">
        <is>
          <t>PREMIUM ALIMENTOS COMERCIO E REPRESENTACOES LTDA</t>
        </is>
      </c>
      <c r="F2498" s="30" t="inlineStr">
        <is>
          <t>2020</t>
        </is>
      </c>
      <c r="G2498" s="40" t="n">
        <v>0</v>
      </c>
    </row>
    <row r="2499" ht="12" customHeight="1">
      <c r="A2499" s="30" t="inlineStr">
        <is>
          <t>ITG</t>
        </is>
      </c>
      <c r="B2499" s="30" t="inlineStr">
        <is>
          <t>Itaguai</t>
        </is>
      </c>
      <c r="C2499" s="30" t="n">
        <v>11541640</v>
      </c>
      <c r="D2499" s="30">
        <f>"34799863000192"</f>
        <v/>
      </c>
      <c r="E2499" s="30" t="inlineStr">
        <is>
          <t>PREMIUM ALIMENTOS COMERCIO E REPRESENTACOES LTDA</t>
        </is>
      </c>
      <c r="F2499" s="30" t="inlineStr">
        <is>
          <t>2021</t>
        </is>
      </c>
      <c r="G2499" s="40" t="n">
        <v>0</v>
      </c>
    </row>
    <row r="2500" ht="12" customHeight="1">
      <c r="A2500" s="30" t="inlineStr">
        <is>
          <t>ITG</t>
        </is>
      </c>
      <c r="B2500" s="30" t="inlineStr">
        <is>
          <t>Itaguai</t>
        </is>
      </c>
      <c r="C2500" s="30" t="n">
        <v>11543189</v>
      </c>
      <c r="D2500" s="30">
        <f>"07539346000373"</f>
        <v/>
      </c>
      <c r="E2500" s="30" t="inlineStr">
        <is>
          <t>M SUL TRANSPORTES LTDA</t>
        </is>
      </c>
      <c r="F2500" s="30" t="inlineStr">
        <is>
          <t>2021</t>
        </is>
      </c>
      <c r="G2500" s="40" t="n">
        <v>0</v>
      </c>
    </row>
    <row r="2501" ht="12" customHeight="1">
      <c r="A2501" s="30" t="inlineStr">
        <is>
          <t>ITG</t>
        </is>
      </c>
      <c r="B2501" s="30" t="inlineStr">
        <is>
          <t>Itaguai</t>
        </is>
      </c>
      <c r="C2501" s="30" t="n">
        <v>11543189</v>
      </c>
      <c r="D2501" s="30">
        <f>"07539346000373"</f>
        <v/>
      </c>
      <c r="E2501" s="30" t="inlineStr">
        <is>
          <t>M SUL TRANSPORTES LTDA</t>
        </is>
      </c>
      <c r="F2501" s="30" t="inlineStr">
        <is>
          <t>2022</t>
        </is>
      </c>
      <c r="G2501" s="40" t="n">
        <v>0</v>
      </c>
    </row>
    <row r="2502" ht="12" customHeight="1">
      <c r="A2502" s="30" t="inlineStr">
        <is>
          <t>ITG</t>
        </is>
      </c>
      <c r="B2502" s="30" t="inlineStr">
        <is>
          <t>Itaguai</t>
        </is>
      </c>
      <c r="C2502" s="30" t="n">
        <v>11543189</v>
      </c>
      <c r="D2502" s="30">
        <f>"07539346000373"</f>
        <v/>
      </c>
      <c r="E2502" s="30" t="inlineStr">
        <is>
          <t>M SUL TRANSPORTES LTDA</t>
        </is>
      </c>
      <c r="F2502" s="30" t="inlineStr">
        <is>
          <t>2023</t>
        </is>
      </c>
      <c r="G2502" s="40" t="n">
        <v>1496.44</v>
      </c>
    </row>
    <row r="2503" ht="12" customHeight="1">
      <c r="A2503" s="30" t="inlineStr">
        <is>
          <t>ITG</t>
        </is>
      </c>
      <c r="B2503" s="30" t="inlineStr">
        <is>
          <t>Itaguai</t>
        </is>
      </c>
      <c r="C2503" s="30" t="n">
        <v>11548440</v>
      </c>
      <c r="D2503" s="30">
        <f>"34881998000100"</f>
        <v/>
      </c>
      <c r="E2503" s="30" t="inlineStr">
        <is>
          <t>ÓTICA MAGNO EIRELI</t>
        </is>
      </c>
      <c r="F2503" s="30" t="inlineStr">
        <is>
          <t>2017</t>
        </is>
      </c>
      <c r="G2503" s="40" t="n">
        <v>0</v>
      </c>
    </row>
    <row r="2504" ht="12" customHeight="1">
      <c r="A2504" s="30" t="inlineStr">
        <is>
          <t>ITG</t>
        </is>
      </c>
      <c r="B2504" s="30" t="inlineStr">
        <is>
          <t>Itaguai</t>
        </is>
      </c>
      <c r="C2504" s="30" t="n">
        <v>11548440</v>
      </c>
      <c r="D2504" s="30">
        <f>"34881998000100"</f>
        <v/>
      </c>
      <c r="E2504" s="30" t="inlineStr">
        <is>
          <t>ÓTICA MAGNO EIRELI</t>
        </is>
      </c>
      <c r="F2504" s="30" t="inlineStr">
        <is>
          <t>2018</t>
        </is>
      </c>
      <c r="G2504" s="40" t="n">
        <v>0</v>
      </c>
    </row>
    <row r="2505" ht="12" customHeight="1">
      <c r="A2505" s="30" t="inlineStr">
        <is>
          <t>ITG</t>
        </is>
      </c>
      <c r="B2505" s="30" t="inlineStr">
        <is>
          <t>Itaguai</t>
        </is>
      </c>
      <c r="C2505" s="30" t="n">
        <v>11548440</v>
      </c>
      <c r="D2505" s="30">
        <f>"34881998000100"</f>
        <v/>
      </c>
      <c r="E2505" s="30" t="inlineStr">
        <is>
          <t>ÓTICA MAGNO EIRELI</t>
        </is>
      </c>
      <c r="F2505" s="30" t="inlineStr">
        <is>
          <t>2019</t>
        </is>
      </c>
      <c r="G2505" s="40" t="n">
        <v>0</v>
      </c>
    </row>
    <row r="2506" ht="12" customHeight="1">
      <c r="A2506" s="30" t="inlineStr">
        <is>
          <t>ITG</t>
        </is>
      </c>
      <c r="B2506" s="30" t="inlineStr">
        <is>
          <t>Itaguai</t>
        </is>
      </c>
      <c r="C2506" s="30" t="n">
        <v>11548440</v>
      </c>
      <c r="D2506" s="30">
        <f>"34881998000100"</f>
        <v/>
      </c>
      <c r="E2506" s="30" t="inlineStr">
        <is>
          <t>ÓTICA MAGNO EIRELI</t>
        </is>
      </c>
      <c r="F2506" s="30" t="inlineStr">
        <is>
          <t>2020</t>
        </is>
      </c>
      <c r="G2506" s="40" t="n">
        <v>0</v>
      </c>
    </row>
    <row r="2507" ht="12" customHeight="1">
      <c r="A2507" s="30" t="inlineStr">
        <is>
          <t>ITG</t>
        </is>
      </c>
      <c r="B2507" s="30" t="inlineStr">
        <is>
          <t>Itaguai</t>
        </is>
      </c>
      <c r="C2507" s="30" t="n">
        <v>11548440</v>
      </c>
      <c r="D2507" s="30">
        <f>"34881998000100"</f>
        <v/>
      </c>
      <c r="E2507" s="30" t="inlineStr">
        <is>
          <t>ÓTICA MAGNO EIRELI</t>
        </is>
      </c>
      <c r="F2507" s="30" t="inlineStr">
        <is>
          <t>2021</t>
        </is>
      </c>
      <c r="G2507" s="40" t="n">
        <v>0</v>
      </c>
    </row>
    <row r="2508" ht="12" customHeight="1">
      <c r="A2508" s="30" t="inlineStr">
        <is>
          <t>ITG</t>
        </is>
      </c>
      <c r="B2508" s="30" t="inlineStr">
        <is>
          <t>Itaguai</t>
        </is>
      </c>
      <c r="C2508" s="30" t="n">
        <v>11553532</v>
      </c>
      <c r="D2508" s="30">
        <f>"34938215000170"</f>
        <v/>
      </c>
      <c r="E2508" s="30" t="inlineStr">
        <is>
          <t>NALDOS DE CHAPERO DROGARIA EIRELI</t>
        </is>
      </c>
      <c r="F2508" s="30" t="inlineStr">
        <is>
          <t>2021</t>
        </is>
      </c>
      <c r="G2508" s="40" t="n">
        <v>0</v>
      </c>
    </row>
    <row r="2509" ht="12" customHeight="1">
      <c r="A2509" s="30" t="inlineStr">
        <is>
          <t>ITG</t>
        </is>
      </c>
      <c r="B2509" s="30" t="inlineStr">
        <is>
          <t>Itaguai</t>
        </is>
      </c>
      <c r="C2509" s="30" t="n">
        <v>11553532</v>
      </c>
      <c r="D2509" s="30">
        <f>"34938215000170"</f>
        <v/>
      </c>
      <c r="E2509" s="30" t="inlineStr">
        <is>
          <t>NALDOS DE CHAPERO DROGARIA EIRELI</t>
        </is>
      </c>
      <c r="F2509" s="30" t="inlineStr">
        <is>
          <t>2022</t>
        </is>
      </c>
      <c r="G2509" s="40" t="n">
        <v>0</v>
      </c>
    </row>
    <row r="2510" ht="12" customHeight="1">
      <c r="A2510" s="30" t="inlineStr">
        <is>
          <t>ITG</t>
        </is>
      </c>
      <c r="B2510" s="30" t="inlineStr">
        <is>
          <t>Itaguai</t>
        </is>
      </c>
      <c r="C2510" s="30" t="n">
        <v>11553532</v>
      </c>
      <c r="D2510" s="30">
        <f>"34938215000170"</f>
        <v/>
      </c>
      <c r="E2510" s="30" t="inlineStr">
        <is>
          <t>NALDOS DE CHAPERO DROGARIA EIRELI</t>
        </is>
      </c>
      <c r="F2510" s="30" t="inlineStr">
        <is>
          <t>2023</t>
        </is>
      </c>
      <c r="G2510" s="40" t="n">
        <v>0</v>
      </c>
    </row>
    <row r="2511" ht="12" customHeight="1">
      <c r="A2511" s="30" t="inlineStr">
        <is>
          <t>ITG</t>
        </is>
      </c>
      <c r="B2511" s="30" t="inlineStr">
        <is>
          <t>Itaguai</t>
        </is>
      </c>
      <c r="C2511" s="30" t="n">
        <v>11555780</v>
      </c>
      <c r="D2511" s="30">
        <f>"34959696000108"</f>
        <v/>
      </c>
      <c r="E2511" s="30" t="inlineStr">
        <is>
          <t>FRS ARMAZENAGEM LTDA</t>
        </is>
      </c>
      <c r="F2511" s="30" t="inlineStr">
        <is>
          <t>2021</t>
        </is>
      </c>
      <c r="G2511" s="40" t="n">
        <v>0</v>
      </c>
    </row>
    <row r="2512" ht="12" customHeight="1">
      <c r="A2512" s="30" t="inlineStr">
        <is>
          <t>ITG</t>
        </is>
      </c>
      <c r="B2512" s="30" t="inlineStr">
        <is>
          <t>Itaguai</t>
        </is>
      </c>
      <c r="C2512" s="30" t="n">
        <v>11555780</v>
      </c>
      <c r="D2512" s="30">
        <f>"34959696000108"</f>
        <v/>
      </c>
      <c r="E2512" s="30" t="inlineStr">
        <is>
          <t>FRS ARMAZENAGEM LTDA</t>
        </is>
      </c>
      <c r="F2512" s="30" t="inlineStr">
        <is>
          <t>2022</t>
        </is>
      </c>
      <c r="G2512" s="40" t="n">
        <v>0</v>
      </c>
    </row>
    <row r="2513" ht="12" customHeight="1">
      <c r="A2513" s="30" t="inlineStr">
        <is>
          <t>ITG</t>
        </is>
      </c>
      <c r="B2513" s="30" t="inlineStr">
        <is>
          <t>Itaguai</t>
        </is>
      </c>
      <c r="C2513" s="30" t="n">
        <v>11555780</v>
      </c>
      <c r="D2513" s="30">
        <f>"34959696000108"</f>
        <v/>
      </c>
      <c r="E2513" s="30" t="inlineStr">
        <is>
          <t>FRS ARMAZENAGEM LTDA</t>
        </is>
      </c>
      <c r="F2513" s="30" t="inlineStr">
        <is>
          <t>2023</t>
        </is>
      </c>
      <c r="G2513" s="40" t="n">
        <v>12374.48</v>
      </c>
    </row>
    <row r="2514" ht="12" customHeight="1">
      <c r="A2514" s="30" t="inlineStr">
        <is>
          <t>ITG</t>
        </is>
      </c>
      <c r="B2514" s="30" t="inlineStr">
        <is>
          <t>Itaguai</t>
        </is>
      </c>
      <c r="C2514" s="30" t="n">
        <v>11557988</v>
      </c>
      <c r="D2514" s="30">
        <f>"76664986000832"</f>
        <v/>
      </c>
      <c r="E2514" s="30" t="inlineStr">
        <is>
          <t>TRANS ISAAK TURISMO LTDA</t>
        </is>
      </c>
      <c r="F2514" s="30" t="inlineStr">
        <is>
          <t>2021</t>
        </is>
      </c>
      <c r="G2514" s="40" t="n">
        <v>0</v>
      </c>
    </row>
    <row r="2515" ht="12" customHeight="1">
      <c r="A2515" s="30" t="inlineStr">
        <is>
          <t>ITG</t>
        </is>
      </c>
      <c r="B2515" s="30" t="inlineStr">
        <is>
          <t>Itaguai</t>
        </is>
      </c>
      <c r="C2515" s="30" t="n">
        <v>11557988</v>
      </c>
      <c r="D2515" s="30">
        <f>"76664986000832"</f>
        <v/>
      </c>
      <c r="E2515" s="30" t="inlineStr">
        <is>
          <t>TRANS ISAAK TURISMO LTDA</t>
        </is>
      </c>
      <c r="F2515" s="30" t="inlineStr">
        <is>
          <t>2022</t>
        </is>
      </c>
      <c r="G2515" s="40" t="n">
        <v>0</v>
      </c>
    </row>
    <row r="2516" ht="12" customHeight="1">
      <c r="A2516" s="30" t="inlineStr">
        <is>
          <t>ITG</t>
        </is>
      </c>
      <c r="B2516" s="30" t="inlineStr">
        <is>
          <t>Itaguai</t>
        </is>
      </c>
      <c r="C2516" s="30" t="n">
        <v>11557988</v>
      </c>
      <c r="D2516" s="30">
        <f>"76664986000832"</f>
        <v/>
      </c>
      <c r="E2516" s="30" t="inlineStr">
        <is>
          <t>TRANS ISAAK TURISMO LTDA</t>
        </is>
      </c>
      <c r="F2516" s="30" t="inlineStr">
        <is>
          <t>2023</t>
        </is>
      </c>
      <c r="G2516" s="40" t="n">
        <v>70.11</v>
      </c>
    </row>
    <row r="2517" ht="12" customHeight="1">
      <c r="A2517" s="30" t="inlineStr">
        <is>
          <t>ITG</t>
        </is>
      </c>
      <c r="B2517" s="30" t="inlineStr">
        <is>
          <t>Itaguai</t>
        </is>
      </c>
      <c r="C2517" s="30" t="n">
        <v>11612687</v>
      </c>
      <c r="D2517" s="30">
        <f>"26117255001870"</f>
        <v/>
      </c>
      <c r="E2517" s="30" t="inlineStr">
        <is>
          <t>FAJULUTI GAVEA TELECOM COMERCIO DE MATERIAL DE TELECOMUNICACAO LTDA</t>
        </is>
      </c>
      <c r="F2517" s="30" t="inlineStr">
        <is>
          <t>2017</t>
        </is>
      </c>
      <c r="G2517" s="40" t="n">
        <v>0</v>
      </c>
    </row>
    <row r="2518" ht="12" customHeight="1">
      <c r="A2518" s="30" t="inlineStr">
        <is>
          <t>ITG</t>
        </is>
      </c>
      <c r="B2518" s="30" t="inlineStr">
        <is>
          <t>Itaguai</t>
        </is>
      </c>
      <c r="C2518" s="30" t="n">
        <v>11612687</v>
      </c>
      <c r="D2518" s="30">
        <f>"26117255001870"</f>
        <v/>
      </c>
      <c r="E2518" s="30" t="inlineStr">
        <is>
          <t>FAJULUTI GAVEA TELECOM COMERCIO DE MATERIAL DE TELECOMUNICACAO LTDA</t>
        </is>
      </c>
      <c r="F2518" s="30" t="inlineStr">
        <is>
          <t>2018</t>
        </is>
      </c>
      <c r="G2518" s="40" t="n">
        <v>0</v>
      </c>
    </row>
    <row r="2519" ht="12" customHeight="1">
      <c r="A2519" s="30" t="inlineStr">
        <is>
          <t>ITG</t>
        </is>
      </c>
      <c r="B2519" s="30" t="inlineStr">
        <is>
          <t>Itaguai</t>
        </is>
      </c>
      <c r="C2519" s="30" t="n">
        <v>11612687</v>
      </c>
      <c r="D2519" s="30">
        <f>"26117255001870"</f>
        <v/>
      </c>
      <c r="E2519" s="30" t="inlineStr">
        <is>
          <t>FAJULUTI GAVEA TELECOM COMERCIO DE MATERIAL DE TELECOMUNICACAO LTDA</t>
        </is>
      </c>
      <c r="F2519" s="30" t="inlineStr">
        <is>
          <t>2019</t>
        </is>
      </c>
      <c r="G2519" s="40" t="n">
        <v>49731.89</v>
      </c>
    </row>
    <row r="2520" ht="12" customHeight="1">
      <c r="A2520" s="30" t="inlineStr">
        <is>
          <t>ITG</t>
        </is>
      </c>
      <c r="B2520" s="30" t="inlineStr">
        <is>
          <t>Itaguai</t>
        </is>
      </c>
      <c r="C2520" s="30" t="n">
        <v>11612687</v>
      </c>
      <c r="D2520" s="30">
        <f>"26117255001870"</f>
        <v/>
      </c>
      <c r="E2520" s="30" t="inlineStr">
        <is>
          <t>FAJULUTI GAVEA TELECOM COMERCIO DE MATERIAL DE TELECOMUNICACAO LTDA</t>
        </is>
      </c>
      <c r="F2520" s="30" t="inlineStr">
        <is>
          <t>2020</t>
        </is>
      </c>
      <c r="G2520" s="40" t="n">
        <v>379976.55</v>
      </c>
    </row>
    <row r="2521" ht="12" customHeight="1">
      <c r="A2521" s="30" t="inlineStr">
        <is>
          <t>ITG</t>
        </is>
      </c>
      <c r="B2521" s="30" t="inlineStr">
        <is>
          <t>Itaguai</t>
        </is>
      </c>
      <c r="C2521" s="30" t="n">
        <v>11612687</v>
      </c>
      <c r="D2521" s="30">
        <f>"26117255001870"</f>
        <v/>
      </c>
      <c r="E2521" s="30" t="inlineStr">
        <is>
          <t>FAJULUTI GAVEA TELECOM COMERCIO DE MATERIAL DE TELECOMUNICACAO LTDA</t>
        </is>
      </c>
      <c r="F2521" s="30" t="inlineStr">
        <is>
          <t>2021</t>
        </is>
      </c>
      <c r="G2521" s="40" t="n">
        <v>79466.75999999999</v>
      </c>
    </row>
    <row r="2522" ht="12" customHeight="1">
      <c r="A2522" s="30" t="inlineStr">
        <is>
          <t>ITG</t>
        </is>
      </c>
      <c r="B2522" s="30" t="inlineStr">
        <is>
          <t>Itaguai</t>
        </is>
      </c>
      <c r="C2522" s="30" t="n">
        <v>11612687</v>
      </c>
      <c r="D2522" s="30">
        <f>"26117255001870"</f>
        <v/>
      </c>
      <c r="E2522" s="30" t="inlineStr">
        <is>
          <t>FAJULUTI GAVEA TELECOM COMERCIO DE MATERIAL DE TELECOMUNICACAO LTDA</t>
        </is>
      </c>
      <c r="F2522" s="30" t="inlineStr">
        <is>
          <t>2022</t>
        </is>
      </c>
      <c r="G2522" s="40" t="n">
        <v>148156.33</v>
      </c>
    </row>
    <row r="2523" ht="12" customHeight="1">
      <c r="A2523" s="30" t="inlineStr">
        <is>
          <t>ITG</t>
        </is>
      </c>
      <c r="B2523" s="30" t="inlineStr">
        <is>
          <t>Itaguai</t>
        </is>
      </c>
      <c r="C2523" s="30" t="n">
        <v>11612687</v>
      </c>
      <c r="D2523" s="30">
        <f>"26117255001870"</f>
        <v/>
      </c>
      <c r="E2523" s="30" t="inlineStr">
        <is>
          <t>FAJULUTI GAVEA TELECOM COMERCIO DE MATERIAL DE TELECOMUNICACAO LTDA</t>
        </is>
      </c>
      <c r="F2523" s="30" t="inlineStr">
        <is>
          <t>2023</t>
        </is>
      </c>
      <c r="G2523" s="40" t="n">
        <v>177827.39</v>
      </c>
    </row>
    <row r="2524" ht="12" customHeight="1">
      <c r="A2524" s="30" t="inlineStr">
        <is>
          <t>ITG</t>
        </is>
      </c>
      <c r="B2524" s="30" t="inlineStr">
        <is>
          <t>Itaguai</t>
        </is>
      </c>
      <c r="C2524" s="30" t="n">
        <v>11616828</v>
      </c>
      <c r="D2524" s="30">
        <f>"32168100001432"</f>
        <v/>
      </c>
      <c r="E2524" s="30" t="inlineStr">
        <is>
          <t>PONTO MIX CONFECÇÕES LTDA</t>
        </is>
      </c>
      <c r="F2524" s="30" t="inlineStr">
        <is>
          <t>2017</t>
        </is>
      </c>
      <c r="G2524" s="40" t="n">
        <v>0</v>
      </c>
    </row>
    <row r="2525" ht="12" customHeight="1">
      <c r="A2525" s="30" t="inlineStr">
        <is>
          <t>ITG</t>
        </is>
      </c>
      <c r="B2525" s="30" t="inlineStr">
        <is>
          <t>Itaguai</t>
        </is>
      </c>
      <c r="C2525" s="30" t="n">
        <v>11616828</v>
      </c>
      <c r="D2525" s="30">
        <f>"32168100001432"</f>
        <v/>
      </c>
      <c r="E2525" s="30" t="inlineStr">
        <is>
          <t>PONTO MIX CONFECÇÕES LTDA</t>
        </is>
      </c>
      <c r="F2525" s="30" t="inlineStr">
        <is>
          <t>2018</t>
        </is>
      </c>
      <c r="G2525" s="40" t="n">
        <v>0</v>
      </c>
    </row>
    <row r="2526" ht="12" customHeight="1">
      <c r="A2526" s="30" t="inlineStr">
        <is>
          <t>ITG</t>
        </is>
      </c>
      <c r="B2526" s="30" t="inlineStr">
        <is>
          <t>Itaguai</t>
        </is>
      </c>
      <c r="C2526" s="30" t="n">
        <v>11616828</v>
      </c>
      <c r="D2526" s="30">
        <f>"32168100001432"</f>
        <v/>
      </c>
      <c r="E2526" s="30" t="inlineStr">
        <is>
          <t>PONTO MIX CONFECÇÕES LTDA</t>
        </is>
      </c>
      <c r="F2526" s="30" t="inlineStr">
        <is>
          <t>2019</t>
        </is>
      </c>
      <c r="G2526" s="40" t="n">
        <v>0</v>
      </c>
    </row>
    <row r="2527" ht="12" customHeight="1">
      <c r="A2527" s="30" t="inlineStr">
        <is>
          <t>ITG</t>
        </is>
      </c>
      <c r="B2527" s="30" t="inlineStr">
        <is>
          <t>Itaguai</t>
        </is>
      </c>
      <c r="C2527" s="30" t="n">
        <v>11616828</v>
      </c>
      <c r="D2527" s="30">
        <f>"32168100001432"</f>
        <v/>
      </c>
      <c r="E2527" s="30" t="inlineStr">
        <is>
          <t>PONTO MIX CONFECÇÕES LTDA</t>
        </is>
      </c>
      <c r="F2527" s="30" t="inlineStr">
        <is>
          <t>2020</t>
        </is>
      </c>
      <c r="G2527" s="40" t="n">
        <v>126649.37</v>
      </c>
    </row>
    <row r="2528" ht="12" customHeight="1">
      <c r="A2528" s="30" t="inlineStr">
        <is>
          <t>ITG</t>
        </is>
      </c>
      <c r="B2528" s="30" t="inlineStr">
        <is>
          <t>Itaguai</t>
        </is>
      </c>
      <c r="C2528" s="30" t="n">
        <v>11616828</v>
      </c>
      <c r="D2528" s="30">
        <f>"32168100001432"</f>
        <v/>
      </c>
      <c r="E2528" s="30" t="inlineStr">
        <is>
          <t>PONTO MIX CONFECÇÕES LTDA</t>
        </is>
      </c>
      <c r="F2528" s="30" t="inlineStr">
        <is>
          <t>2021</t>
        </is>
      </c>
      <c r="G2528" s="40" t="n">
        <v>0</v>
      </c>
    </row>
    <row r="2529" ht="12" customHeight="1">
      <c r="A2529" s="30" t="inlineStr">
        <is>
          <t>ITG</t>
        </is>
      </c>
      <c r="B2529" s="30" t="inlineStr">
        <is>
          <t>Itaguai</t>
        </is>
      </c>
      <c r="C2529" s="30" t="n">
        <v>11616828</v>
      </c>
      <c r="D2529" s="30">
        <f>"32168100001432"</f>
        <v/>
      </c>
      <c r="E2529" s="30" t="inlineStr">
        <is>
          <t>PONTO MIX CONFECÇÕES LTDA</t>
        </is>
      </c>
      <c r="F2529" s="30" t="inlineStr">
        <is>
          <t>2022</t>
        </is>
      </c>
      <c r="G2529" s="40" t="n">
        <v>528371.04</v>
      </c>
    </row>
    <row r="2530" ht="12" customHeight="1">
      <c r="A2530" s="30" t="inlineStr">
        <is>
          <t>ITG</t>
        </is>
      </c>
      <c r="B2530" s="30" t="inlineStr">
        <is>
          <t>Itaguai</t>
        </is>
      </c>
      <c r="C2530" s="30" t="n">
        <v>11616828</v>
      </c>
      <c r="D2530" s="30">
        <f>"32168100001432"</f>
        <v/>
      </c>
      <c r="E2530" s="30" t="inlineStr">
        <is>
          <t>PONTO MIX CONFECÇÕES LTDA</t>
        </is>
      </c>
      <c r="F2530" s="30" t="inlineStr">
        <is>
          <t>2023</t>
        </is>
      </c>
      <c r="G2530" s="40" t="n">
        <v>0</v>
      </c>
    </row>
    <row r="2531" ht="12" customHeight="1">
      <c r="A2531" s="30" t="inlineStr">
        <is>
          <t>ITG</t>
        </is>
      </c>
      <c r="B2531" s="30" t="inlineStr">
        <is>
          <t>Itaguai</t>
        </is>
      </c>
      <c r="C2531" s="30" t="n">
        <v>11620256</v>
      </c>
      <c r="D2531" s="30">
        <f>"13019479000311"</f>
        <v/>
      </c>
      <c r="E2531" s="30" t="inlineStr">
        <is>
          <t>LINOS EXPRESS TRANSPORTES LTDA ME</t>
        </is>
      </c>
      <c r="F2531" s="30" t="inlineStr">
        <is>
          <t>2017</t>
        </is>
      </c>
      <c r="G2531" s="40" t="n">
        <v>0</v>
      </c>
    </row>
    <row r="2532" ht="12" customHeight="1">
      <c r="A2532" s="30" t="inlineStr">
        <is>
          <t>ITG</t>
        </is>
      </c>
      <c r="B2532" s="30" t="inlineStr">
        <is>
          <t>Itaguai</t>
        </is>
      </c>
      <c r="C2532" s="30" t="n">
        <v>11620256</v>
      </c>
      <c r="D2532" s="30">
        <f>"13019479000311"</f>
        <v/>
      </c>
      <c r="E2532" s="30" t="inlineStr">
        <is>
          <t>LINOS EXPRESS TRANSPORTES LTDA ME</t>
        </is>
      </c>
      <c r="F2532" s="30" t="inlineStr">
        <is>
          <t>2018</t>
        </is>
      </c>
      <c r="G2532" s="40" t="n">
        <v>0</v>
      </c>
    </row>
    <row r="2533" ht="12" customHeight="1">
      <c r="A2533" s="30" t="inlineStr">
        <is>
          <t>ITG</t>
        </is>
      </c>
      <c r="B2533" s="30" t="inlineStr">
        <is>
          <t>Itaguai</t>
        </is>
      </c>
      <c r="C2533" s="30" t="n">
        <v>11620256</v>
      </c>
      <c r="D2533" s="30">
        <f>"13019479000311"</f>
        <v/>
      </c>
      <c r="E2533" s="30" t="inlineStr">
        <is>
          <t>LINOS EXPRESS TRANSPORTES LTDA ME</t>
        </is>
      </c>
      <c r="F2533" s="30" t="inlineStr">
        <is>
          <t>2019</t>
        </is>
      </c>
      <c r="G2533" s="40" t="n">
        <v>0</v>
      </c>
    </row>
    <row r="2534" ht="12" customHeight="1">
      <c r="A2534" s="30" t="inlineStr">
        <is>
          <t>ITG</t>
        </is>
      </c>
      <c r="B2534" s="30" t="inlineStr">
        <is>
          <t>Itaguai</t>
        </is>
      </c>
      <c r="C2534" s="30" t="n">
        <v>11620256</v>
      </c>
      <c r="D2534" s="30">
        <f>"13019479000311"</f>
        <v/>
      </c>
      <c r="E2534" s="30" t="inlineStr">
        <is>
          <t>LINOS EXPRESS TRANSPORTES LTDA ME</t>
        </is>
      </c>
      <c r="F2534" s="30" t="inlineStr">
        <is>
          <t>2020</t>
        </is>
      </c>
      <c r="G2534" s="40" t="n">
        <v>0</v>
      </c>
    </row>
    <row r="2535" ht="12" customHeight="1">
      <c r="A2535" s="30" t="inlineStr">
        <is>
          <t>ITG</t>
        </is>
      </c>
      <c r="B2535" s="30" t="inlineStr">
        <is>
          <t>Itaguai</t>
        </is>
      </c>
      <c r="C2535" s="30" t="n">
        <v>11620256</v>
      </c>
      <c r="D2535" s="30">
        <f>"13019479000311"</f>
        <v/>
      </c>
      <c r="E2535" s="30" t="inlineStr">
        <is>
          <t>LINOS EXPRESS TRANSPORTES LTDA ME</t>
        </is>
      </c>
      <c r="F2535" s="30" t="inlineStr">
        <is>
          <t>2021</t>
        </is>
      </c>
      <c r="G2535" s="40" t="n">
        <v>0</v>
      </c>
    </row>
    <row r="2536" ht="12" customHeight="1">
      <c r="A2536" s="30" t="inlineStr">
        <is>
          <t>ITG</t>
        </is>
      </c>
      <c r="B2536" s="30" t="inlineStr">
        <is>
          <t>Itaguai</t>
        </is>
      </c>
      <c r="C2536" s="30" t="n">
        <v>11620256</v>
      </c>
      <c r="D2536" s="30">
        <f>"13019479000311"</f>
        <v/>
      </c>
      <c r="E2536" s="30" t="inlineStr">
        <is>
          <t>LINOS EXPRESS TRANSPORTES LTDA ME</t>
        </is>
      </c>
      <c r="F2536" s="30" t="inlineStr">
        <is>
          <t>2022</t>
        </is>
      </c>
      <c r="G2536" s="40" t="n">
        <v>0</v>
      </c>
    </row>
    <row r="2537" ht="12" customHeight="1">
      <c r="A2537" s="30" t="inlineStr">
        <is>
          <t>ITG</t>
        </is>
      </c>
      <c r="B2537" s="30" t="inlineStr">
        <is>
          <t>Itaguai</t>
        </is>
      </c>
      <c r="C2537" s="30" t="n">
        <v>11620256</v>
      </c>
      <c r="D2537" s="30">
        <f>"13019479000311"</f>
        <v/>
      </c>
      <c r="E2537" s="30" t="inlineStr">
        <is>
          <t>LINOS EXPRESS TRANSPORTES LTDA ME</t>
        </is>
      </c>
      <c r="F2537" s="30" t="inlineStr">
        <is>
          <t>2023</t>
        </is>
      </c>
      <c r="G2537" s="40" t="n">
        <v>0</v>
      </c>
    </row>
    <row r="2538" ht="12" customHeight="1">
      <c r="A2538" s="30" t="inlineStr">
        <is>
          <t>ITG</t>
        </is>
      </c>
      <c r="B2538" s="30" t="inlineStr">
        <is>
          <t>Itaguai</t>
        </is>
      </c>
      <c r="C2538" s="30" t="n">
        <v>11622496</v>
      </c>
      <c r="D2538" s="30">
        <f>"35725808000110"</f>
        <v/>
      </c>
      <c r="E2538" s="30" t="inlineStr">
        <is>
          <t>QUINTAL GUARDERIA RECREAÇÃO E LAZER INFANTIL LTDA</t>
        </is>
      </c>
      <c r="F2538" s="30" t="inlineStr">
        <is>
          <t>2017</t>
        </is>
      </c>
      <c r="G2538" s="40" t="n">
        <v>0</v>
      </c>
    </row>
    <row r="2539" ht="12" customHeight="1">
      <c r="A2539" s="30" t="inlineStr">
        <is>
          <t>ITG</t>
        </is>
      </c>
      <c r="B2539" s="30" t="inlineStr">
        <is>
          <t>Itaguai</t>
        </is>
      </c>
      <c r="C2539" s="30" t="n">
        <v>11622496</v>
      </c>
      <c r="D2539" s="30">
        <f>"35725808000110"</f>
        <v/>
      </c>
      <c r="E2539" s="30" t="inlineStr">
        <is>
          <t>QUINTAL GUARDERIA RECREAÇÃO E LAZER INFANTIL LTDA</t>
        </is>
      </c>
      <c r="F2539" s="30" t="inlineStr">
        <is>
          <t>2018</t>
        </is>
      </c>
      <c r="G2539" s="40" t="n">
        <v>0</v>
      </c>
    </row>
    <row r="2540" ht="12" customHeight="1">
      <c r="A2540" s="30" t="inlineStr">
        <is>
          <t>ITG</t>
        </is>
      </c>
      <c r="B2540" s="30" t="inlineStr">
        <is>
          <t>Itaguai</t>
        </is>
      </c>
      <c r="C2540" s="30" t="n">
        <v>11622496</v>
      </c>
      <c r="D2540" s="30">
        <f>"35725808000110"</f>
        <v/>
      </c>
      <c r="E2540" s="30" t="inlineStr">
        <is>
          <t>QUINTAL GUARDERIA RECREAÇÃO E LAZER INFANTIL LTDA</t>
        </is>
      </c>
      <c r="F2540" s="30" t="inlineStr">
        <is>
          <t>2019</t>
        </is>
      </c>
      <c r="G2540" s="40" t="n">
        <v>0</v>
      </c>
    </row>
    <row r="2541" ht="12" customHeight="1">
      <c r="A2541" s="30" t="inlineStr">
        <is>
          <t>ITG</t>
        </is>
      </c>
      <c r="B2541" s="30" t="inlineStr">
        <is>
          <t>Itaguai</t>
        </is>
      </c>
      <c r="C2541" s="30" t="n">
        <v>11622496</v>
      </c>
      <c r="D2541" s="30">
        <f>"35725808000110"</f>
        <v/>
      </c>
      <c r="E2541" s="30" t="inlineStr">
        <is>
          <t>QUINTAL GUARDERIA RECREAÇÃO E LAZER INFANTIL LTDA</t>
        </is>
      </c>
      <c r="F2541" s="30" t="inlineStr">
        <is>
          <t>2020</t>
        </is>
      </c>
      <c r="G2541" s="40" t="n">
        <v>0</v>
      </c>
    </row>
    <row r="2542" ht="12" customHeight="1">
      <c r="A2542" s="30" t="inlineStr">
        <is>
          <t>ITG</t>
        </is>
      </c>
      <c r="B2542" s="30" t="inlineStr">
        <is>
          <t>Itaguai</t>
        </is>
      </c>
      <c r="C2542" s="30" t="n">
        <v>11622496</v>
      </c>
      <c r="D2542" s="30">
        <f>"35725808000110"</f>
        <v/>
      </c>
      <c r="E2542" s="30" t="inlineStr">
        <is>
          <t>QUINTAL GUARDERIA RECREAÇÃO E LAZER INFANTIL LTDA</t>
        </is>
      </c>
      <c r="F2542" s="30" t="inlineStr">
        <is>
          <t>2021</t>
        </is>
      </c>
      <c r="G2542" s="40" t="n">
        <v>0</v>
      </c>
    </row>
    <row r="2543" ht="12" customHeight="1">
      <c r="A2543" s="30" t="inlineStr">
        <is>
          <t>ITG</t>
        </is>
      </c>
      <c r="B2543" s="30" t="inlineStr">
        <is>
          <t>Itaguai</t>
        </is>
      </c>
      <c r="C2543" s="30" t="n">
        <v>11622496</v>
      </c>
      <c r="D2543" s="30">
        <f>"35725808000110"</f>
        <v/>
      </c>
      <c r="E2543" s="30" t="inlineStr">
        <is>
          <t>QUINTAL GUARDERIA RECREAÇÃO E LAZER INFANTIL LTDA</t>
        </is>
      </c>
      <c r="F2543" s="30" t="inlineStr">
        <is>
          <t>2022</t>
        </is>
      </c>
      <c r="G2543" s="40" t="n">
        <v>0</v>
      </c>
    </row>
    <row r="2544" ht="12" customHeight="1">
      <c r="A2544" s="30" t="inlineStr">
        <is>
          <t>ITG</t>
        </is>
      </c>
      <c r="B2544" s="30" t="inlineStr">
        <is>
          <t>Itaguai</t>
        </is>
      </c>
      <c r="C2544" s="30" t="n">
        <v>11622496</v>
      </c>
      <c r="D2544" s="30">
        <f>"35725808000110"</f>
        <v/>
      </c>
      <c r="E2544" s="30" t="inlineStr">
        <is>
          <t>QUINTAL GUARDERIA RECREAÇÃO E LAZER INFANTIL LTDA</t>
        </is>
      </c>
      <c r="F2544" s="30" t="inlineStr">
        <is>
          <t>2023</t>
        </is>
      </c>
      <c r="G2544" s="40" t="n">
        <v>0</v>
      </c>
    </row>
    <row r="2545" ht="12" customHeight="1">
      <c r="A2545" s="30" t="inlineStr">
        <is>
          <t>ITG</t>
        </is>
      </c>
      <c r="B2545" s="30" t="inlineStr">
        <is>
          <t>Itaguai</t>
        </is>
      </c>
      <c r="C2545" s="30" t="n">
        <v>11623972</v>
      </c>
      <c r="D2545" s="30">
        <f>"35750560000148"</f>
        <v/>
      </c>
      <c r="E2545" s="30" t="inlineStr">
        <is>
          <t>IRMAOS OLIVEIRA MANUTENCAO INDUSTRIAL E TREINAMENTOS LTDA</t>
        </is>
      </c>
      <c r="F2545" s="30" t="inlineStr">
        <is>
          <t>2021</t>
        </is>
      </c>
      <c r="G2545" s="40" t="n">
        <v>0</v>
      </c>
    </row>
    <row r="2546" ht="12" customHeight="1">
      <c r="A2546" s="30" t="inlineStr">
        <is>
          <t>ITG</t>
        </is>
      </c>
      <c r="B2546" s="30" t="inlineStr">
        <is>
          <t>Itaguai</t>
        </is>
      </c>
      <c r="C2546" s="30" t="n">
        <v>11623972</v>
      </c>
      <c r="D2546" s="30">
        <f>"35750560000148"</f>
        <v/>
      </c>
      <c r="E2546" s="30" t="inlineStr">
        <is>
          <t>IRMAOS OLIVEIRA MANUTENCAO INDUSTRIAL E TREINAMENTOS LTDA</t>
        </is>
      </c>
      <c r="F2546" s="30" t="inlineStr">
        <is>
          <t>2022</t>
        </is>
      </c>
      <c r="G2546" s="40" t="n">
        <v>0</v>
      </c>
    </row>
    <row r="2547" ht="12" customHeight="1">
      <c r="A2547" s="30" t="inlineStr">
        <is>
          <t>ITG</t>
        </is>
      </c>
      <c r="B2547" s="30" t="inlineStr">
        <is>
          <t>Itaguai</t>
        </is>
      </c>
      <c r="C2547" s="30" t="n">
        <v>11623972</v>
      </c>
      <c r="D2547" s="30">
        <f>"35750560000148"</f>
        <v/>
      </c>
      <c r="E2547" s="30" t="inlineStr">
        <is>
          <t>IRMAOS OLIVEIRA MANUTENCAO INDUSTRIAL E TREINAMENTOS LTDA</t>
        </is>
      </c>
      <c r="F2547" s="30" t="inlineStr">
        <is>
          <t>2023</t>
        </is>
      </c>
      <c r="G2547" s="40" t="n">
        <v>0</v>
      </c>
    </row>
    <row r="2548" ht="12" customHeight="1">
      <c r="A2548" s="30" t="inlineStr">
        <is>
          <t>ITG</t>
        </is>
      </c>
      <c r="B2548" s="30" t="inlineStr">
        <is>
          <t>Itaguai</t>
        </is>
      </c>
      <c r="C2548" s="30" t="n">
        <v>11635253</v>
      </c>
      <c r="D2548" s="30">
        <f>"35845284000100"</f>
        <v/>
      </c>
      <c r="E2548" s="30" t="inlineStr">
        <is>
          <t>FAZENDO O SONHO DA FESTA DE Itaguai LTDA</t>
        </is>
      </c>
      <c r="F2548" s="30" t="inlineStr">
        <is>
          <t>2017</t>
        </is>
      </c>
      <c r="G2548" s="40" t="n">
        <v>0</v>
      </c>
    </row>
    <row r="2549" ht="12" customHeight="1">
      <c r="A2549" s="30" t="inlineStr">
        <is>
          <t>ITG</t>
        </is>
      </c>
      <c r="B2549" s="30" t="inlineStr">
        <is>
          <t>Itaguai</t>
        </is>
      </c>
      <c r="C2549" s="30" t="n">
        <v>11635253</v>
      </c>
      <c r="D2549" s="30">
        <f>"35845284000100"</f>
        <v/>
      </c>
      <c r="E2549" s="30" t="inlineStr">
        <is>
          <t>FAZENDO O SONHO DA FESTA DE Itaguai LTDA</t>
        </is>
      </c>
      <c r="F2549" s="30" t="inlineStr">
        <is>
          <t>2018</t>
        </is>
      </c>
      <c r="G2549" s="40" t="n">
        <v>0</v>
      </c>
    </row>
    <row r="2550" ht="12" customHeight="1">
      <c r="A2550" s="30" t="inlineStr">
        <is>
          <t>ITG</t>
        </is>
      </c>
      <c r="B2550" s="30" t="inlineStr">
        <is>
          <t>Itaguai</t>
        </is>
      </c>
      <c r="C2550" s="30" t="n">
        <v>11635253</v>
      </c>
      <c r="D2550" s="30">
        <f>"35845284000100"</f>
        <v/>
      </c>
      <c r="E2550" s="30" t="inlineStr">
        <is>
          <t>FAZENDO O SONHO DA FESTA DE Itaguai LTDA</t>
        </is>
      </c>
      <c r="F2550" s="30" t="inlineStr">
        <is>
          <t>2019</t>
        </is>
      </c>
      <c r="G2550" s="40" t="n">
        <v>0</v>
      </c>
    </row>
    <row r="2551" ht="12" customHeight="1">
      <c r="A2551" s="30" t="inlineStr">
        <is>
          <t>ITG</t>
        </is>
      </c>
      <c r="B2551" s="30" t="inlineStr">
        <is>
          <t>Itaguai</t>
        </is>
      </c>
      <c r="C2551" s="30" t="n">
        <v>11635253</v>
      </c>
      <c r="D2551" s="30">
        <f>"35845284000100"</f>
        <v/>
      </c>
      <c r="E2551" s="30" t="inlineStr">
        <is>
          <t>FAZENDO O SONHO DA FESTA DE Itaguai LTDA</t>
        </is>
      </c>
      <c r="F2551" s="30" t="inlineStr">
        <is>
          <t>2020</t>
        </is>
      </c>
      <c r="G2551" s="40" t="n">
        <v>596906.61</v>
      </c>
    </row>
    <row r="2552" ht="12" customHeight="1">
      <c r="A2552" s="30" t="inlineStr">
        <is>
          <t>ITG</t>
        </is>
      </c>
      <c r="B2552" s="30" t="inlineStr">
        <is>
          <t>Itaguai</t>
        </is>
      </c>
      <c r="C2552" s="30" t="n">
        <v>11635253</v>
      </c>
      <c r="D2552" s="30">
        <f>"35845284000100"</f>
        <v/>
      </c>
      <c r="E2552" s="30" t="inlineStr">
        <is>
          <t>FAZENDO O SONHO DA FESTA DE Itaguai LTDA</t>
        </is>
      </c>
      <c r="F2552" s="30" t="inlineStr">
        <is>
          <t>2021</t>
        </is>
      </c>
      <c r="G2552" s="40" t="n">
        <v>578053.4399999999</v>
      </c>
    </row>
    <row r="2553" ht="12" customHeight="1">
      <c r="A2553" s="30" t="inlineStr">
        <is>
          <t>ITG</t>
        </is>
      </c>
      <c r="B2553" s="30" t="inlineStr">
        <is>
          <t>Itaguai</t>
        </is>
      </c>
      <c r="C2553" s="30" t="n">
        <v>11635253</v>
      </c>
      <c r="D2553" s="30">
        <f>"35845284000100"</f>
        <v/>
      </c>
      <c r="E2553" s="30" t="inlineStr">
        <is>
          <t>FAZENDO O SONHO DA FESTA DE Itaguai LTDA</t>
        </is>
      </c>
      <c r="F2553" s="30" t="inlineStr">
        <is>
          <t>2022</t>
        </is>
      </c>
      <c r="G2553" s="40" t="n">
        <v>585074.95</v>
      </c>
    </row>
    <row r="2554" ht="12" customHeight="1">
      <c r="A2554" s="30" t="inlineStr">
        <is>
          <t>ITG</t>
        </is>
      </c>
      <c r="B2554" s="30" t="inlineStr">
        <is>
          <t>Itaguai</t>
        </is>
      </c>
      <c r="C2554" s="30" t="n">
        <v>11635253</v>
      </c>
      <c r="D2554" s="30">
        <f>"35845284000100"</f>
        <v/>
      </c>
      <c r="E2554" s="30" t="inlineStr">
        <is>
          <t>FAZENDO O SONHO DA FESTA DE Itaguai LTDA</t>
        </is>
      </c>
      <c r="F2554" s="30" t="inlineStr">
        <is>
          <t>2023</t>
        </is>
      </c>
      <c r="G2554" s="40" t="n">
        <v>494196.03</v>
      </c>
    </row>
    <row r="2555" ht="12" customHeight="1">
      <c r="A2555" s="30" t="inlineStr">
        <is>
          <t>ITG</t>
        </is>
      </c>
      <c r="B2555" s="30" t="inlineStr">
        <is>
          <t>Itaguai</t>
        </is>
      </c>
      <c r="C2555" s="30" t="n">
        <v>11639623</v>
      </c>
      <c r="D2555" s="30">
        <f>"35839942000142"</f>
        <v/>
      </c>
      <c r="E2555" s="30" t="inlineStr">
        <is>
          <t>TMA SUDESTE TRANSPORTE E LOG?STICA LTDA</t>
        </is>
      </c>
      <c r="F2555" s="30" t="inlineStr">
        <is>
          <t>2018</t>
        </is>
      </c>
      <c r="G2555" s="40" t="n">
        <v>0</v>
      </c>
    </row>
    <row r="2556" ht="12" customHeight="1">
      <c r="A2556" s="30" t="inlineStr">
        <is>
          <t>ITG</t>
        </is>
      </c>
      <c r="B2556" s="30" t="inlineStr">
        <is>
          <t>Itaguai</t>
        </is>
      </c>
      <c r="C2556" s="30" t="n">
        <v>11639623</v>
      </c>
      <c r="D2556" s="30">
        <f>"35839942000142"</f>
        <v/>
      </c>
      <c r="E2556" s="30" t="inlineStr">
        <is>
          <t>TMA SUDESTE TRANSPORTE E LOG?STICA LTDA</t>
        </is>
      </c>
      <c r="F2556" s="30" t="inlineStr">
        <is>
          <t>2019</t>
        </is>
      </c>
      <c r="G2556" s="40" t="n">
        <v>0</v>
      </c>
    </row>
    <row r="2557" ht="12" customHeight="1">
      <c r="A2557" s="30" t="inlineStr">
        <is>
          <t>ITG</t>
        </is>
      </c>
      <c r="B2557" s="30" t="inlineStr">
        <is>
          <t>Itaguai</t>
        </is>
      </c>
      <c r="C2557" s="30" t="n">
        <v>11639623</v>
      </c>
      <c r="D2557" s="30">
        <f>"35839942000142"</f>
        <v/>
      </c>
      <c r="E2557" s="30" t="inlineStr">
        <is>
          <t>TMA SUDESTE TRANSPORTE E LOG?STICA LTDA</t>
        </is>
      </c>
      <c r="F2557" s="30" t="inlineStr">
        <is>
          <t>2020</t>
        </is>
      </c>
      <c r="G2557" s="40" t="n">
        <v>2602.23</v>
      </c>
    </row>
    <row r="2558" ht="12" customHeight="1">
      <c r="A2558" s="30" t="inlineStr">
        <is>
          <t>ITG</t>
        </is>
      </c>
      <c r="B2558" s="30" t="inlineStr">
        <is>
          <t>Itaguai</t>
        </is>
      </c>
      <c r="C2558" s="30" t="n">
        <v>11639623</v>
      </c>
      <c r="D2558" s="30">
        <f>"35839942000142"</f>
        <v/>
      </c>
      <c r="E2558" s="30" t="inlineStr">
        <is>
          <t>TMA SUDESTE TRANSPORTE E LOG?STICA LTDA</t>
        </is>
      </c>
      <c r="F2558" s="30" t="inlineStr">
        <is>
          <t>2021</t>
        </is>
      </c>
      <c r="G2558" s="40" t="n">
        <v>4307.5</v>
      </c>
    </row>
    <row r="2559" ht="12" customHeight="1">
      <c r="A2559" s="30" t="inlineStr">
        <is>
          <t>ITG</t>
        </is>
      </c>
      <c r="B2559" s="30" t="inlineStr">
        <is>
          <t>Itaguai</t>
        </is>
      </c>
      <c r="C2559" s="30" t="n">
        <v>11639623</v>
      </c>
      <c r="D2559" s="30">
        <f>"35839942000142"</f>
        <v/>
      </c>
      <c r="E2559" s="30" t="inlineStr">
        <is>
          <t>TMA SUDESTE TRANSPORTE E LOG?STICA LTDA</t>
        </is>
      </c>
      <c r="F2559" s="30" t="inlineStr">
        <is>
          <t>2022</t>
        </is>
      </c>
      <c r="G2559" s="40" t="n">
        <v>0</v>
      </c>
    </row>
    <row r="2560" ht="12" customHeight="1">
      <c r="A2560" s="30" t="inlineStr">
        <is>
          <t>ITG</t>
        </is>
      </c>
      <c r="B2560" s="30" t="inlineStr">
        <is>
          <t>Itaguai</t>
        </is>
      </c>
      <c r="C2560" s="30" t="n">
        <v>11639623</v>
      </c>
      <c r="D2560" s="30">
        <f>"35839942000142"</f>
        <v/>
      </c>
      <c r="E2560" s="30" t="inlineStr">
        <is>
          <t>TMA SUDESTE TRANSPORTE E LOG?STICA LTDA</t>
        </is>
      </c>
      <c r="F2560" s="30" t="inlineStr">
        <is>
          <t>2023</t>
        </is>
      </c>
      <c r="G2560" s="40" t="n">
        <v>0</v>
      </c>
    </row>
    <row r="2561" ht="12" customHeight="1">
      <c r="A2561" s="30" t="inlineStr">
        <is>
          <t>ITG</t>
        </is>
      </c>
      <c r="B2561" s="30" t="inlineStr">
        <is>
          <t>Itaguai</t>
        </is>
      </c>
      <c r="C2561" s="30" t="n">
        <v>11640230</v>
      </c>
      <c r="D2561" s="30">
        <f>"18884215000188"</f>
        <v/>
      </c>
      <c r="E2561" s="30" t="inlineStr">
        <is>
          <t>W EMPRESAS TELECOM LTDA</t>
        </is>
      </c>
      <c r="F2561" s="30" t="inlineStr">
        <is>
          <t>2021</t>
        </is>
      </c>
      <c r="G2561" s="40" t="n">
        <v>0</v>
      </c>
    </row>
    <row r="2562" ht="12" customHeight="1">
      <c r="A2562" s="30" t="inlineStr">
        <is>
          <t>ITG</t>
        </is>
      </c>
      <c r="B2562" s="30" t="inlineStr">
        <is>
          <t>Itaguai</t>
        </is>
      </c>
      <c r="C2562" s="30" t="n">
        <v>11640230</v>
      </c>
      <c r="D2562" s="30">
        <f>"18884215000188"</f>
        <v/>
      </c>
      <c r="E2562" s="30" t="inlineStr">
        <is>
          <t>W EMPRESAS TELECOM LTDA</t>
        </is>
      </c>
      <c r="F2562" s="30" t="inlineStr">
        <is>
          <t>2022</t>
        </is>
      </c>
      <c r="G2562" s="40" t="n">
        <v>0</v>
      </c>
    </row>
    <row r="2563" ht="12" customHeight="1">
      <c r="A2563" s="30" t="inlineStr">
        <is>
          <t>ITG</t>
        </is>
      </c>
      <c r="B2563" s="30" t="inlineStr">
        <is>
          <t>Itaguai</t>
        </is>
      </c>
      <c r="C2563" s="30" t="n">
        <v>11640230</v>
      </c>
      <c r="D2563" s="30">
        <f>"18884215000188"</f>
        <v/>
      </c>
      <c r="E2563" s="30" t="inlineStr">
        <is>
          <t>W EMPRESAS TELECOM LTDA</t>
        </is>
      </c>
      <c r="F2563" s="30" t="inlineStr">
        <is>
          <t>2023</t>
        </is>
      </c>
      <c r="G2563" s="40" t="n">
        <v>15134</v>
      </c>
    </row>
    <row r="2564" ht="12" customHeight="1">
      <c r="A2564" s="30" t="inlineStr">
        <is>
          <t>ITG</t>
        </is>
      </c>
      <c r="B2564" s="30" t="inlineStr">
        <is>
          <t>Itaguai</t>
        </is>
      </c>
      <c r="C2564" s="30" t="n">
        <v>11645410</v>
      </c>
      <c r="D2564" s="30">
        <f>"09169048000283"</f>
        <v/>
      </c>
      <c r="E2564" s="30" t="inlineStr">
        <is>
          <t>TRANSCOUTO LOGISTICA E TRANSPORTES LTDA</t>
        </is>
      </c>
      <c r="F2564" s="30" t="inlineStr">
        <is>
          <t>2021</t>
        </is>
      </c>
      <c r="G2564" s="40" t="n">
        <v>0</v>
      </c>
    </row>
    <row r="2565" ht="12" customHeight="1">
      <c r="A2565" s="30" t="inlineStr">
        <is>
          <t>ITG</t>
        </is>
      </c>
      <c r="B2565" s="30" t="inlineStr">
        <is>
          <t>Itaguai</t>
        </is>
      </c>
      <c r="C2565" s="30" t="n">
        <v>11645410</v>
      </c>
      <c r="D2565" s="30">
        <f>"09169048000283"</f>
        <v/>
      </c>
      <c r="E2565" s="30" t="inlineStr">
        <is>
          <t>TRANSCOUTO LOGISTICA E TRANSPORTES LTDA</t>
        </is>
      </c>
      <c r="F2565" s="30" t="inlineStr">
        <is>
          <t>2022</t>
        </is>
      </c>
      <c r="G2565" s="40" t="n">
        <v>0</v>
      </c>
    </row>
    <row r="2566" ht="12" customHeight="1">
      <c r="A2566" s="30" t="inlineStr">
        <is>
          <t>ITG</t>
        </is>
      </c>
      <c r="B2566" s="30" t="inlineStr">
        <is>
          <t>Itaguai</t>
        </is>
      </c>
      <c r="C2566" s="30" t="n">
        <v>11645410</v>
      </c>
      <c r="D2566" s="30">
        <f>"09169048000283"</f>
        <v/>
      </c>
      <c r="E2566" s="30" t="inlineStr">
        <is>
          <t>TRANSCOUTO LOGISTICA E TRANSPORTES LTDA</t>
        </is>
      </c>
      <c r="F2566" s="30" t="inlineStr">
        <is>
          <t>2023</t>
        </is>
      </c>
      <c r="G2566" s="40" t="n">
        <v>0</v>
      </c>
    </row>
    <row r="2567" ht="12" customHeight="1">
      <c r="A2567" s="30" t="inlineStr">
        <is>
          <t>ITG</t>
        </is>
      </c>
      <c r="B2567" s="30" t="inlineStr">
        <is>
          <t>Itaguai</t>
        </is>
      </c>
      <c r="C2567" s="30" t="n">
        <v>11646387</v>
      </c>
      <c r="D2567" s="30">
        <f>"00015572357758"</f>
        <v/>
      </c>
      <c r="E2567" s="30" t="inlineStr">
        <is>
          <t>GABRIEL QUEIROZ DA SILVA</t>
        </is>
      </c>
      <c r="F2567" s="30" t="inlineStr">
        <is>
          <t>2018</t>
        </is>
      </c>
      <c r="G2567" s="40" t="n">
        <v>0</v>
      </c>
    </row>
    <row r="2568" ht="12" customHeight="1">
      <c r="A2568" s="30" t="inlineStr">
        <is>
          <t>ITG</t>
        </is>
      </c>
      <c r="B2568" s="30" t="inlineStr">
        <is>
          <t>Itaguai</t>
        </is>
      </c>
      <c r="C2568" s="30" t="n">
        <v>11646387</v>
      </c>
      <c r="D2568" s="30">
        <f>"00015572357758"</f>
        <v/>
      </c>
      <c r="E2568" s="30" t="inlineStr">
        <is>
          <t>GABRIEL QUEIROZ DA SILVA</t>
        </is>
      </c>
      <c r="F2568" s="30" t="inlineStr">
        <is>
          <t>2019</t>
        </is>
      </c>
      <c r="G2568" s="40" t="n">
        <v>0</v>
      </c>
    </row>
    <row r="2569" ht="12" customHeight="1">
      <c r="A2569" s="30" t="inlineStr">
        <is>
          <t>ITG</t>
        </is>
      </c>
      <c r="B2569" s="30" t="inlineStr">
        <is>
          <t>Itaguai</t>
        </is>
      </c>
      <c r="C2569" s="30" t="n">
        <v>11646387</v>
      </c>
      <c r="D2569" s="30">
        <f>"00015572357758"</f>
        <v/>
      </c>
      <c r="E2569" s="30" t="inlineStr">
        <is>
          <t>GABRIEL QUEIROZ DA SILVA</t>
        </is>
      </c>
      <c r="F2569" s="30" t="inlineStr">
        <is>
          <t>2020</t>
        </is>
      </c>
      <c r="G2569" s="40" t="n">
        <v>6500</v>
      </c>
    </row>
    <row r="2570" ht="12" customHeight="1">
      <c r="A2570" s="30" t="inlineStr">
        <is>
          <t>ITG</t>
        </is>
      </c>
      <c r="B2570" s="30" t="inlineStr">
        <is>
          <t>Itaguai</t>
        </is>
      </c>
      <c r="C2570" s="30" t="n">
        <v>11646387</v>
      </c>
      <c r="D2570" s="30">
        <f>"00015572357758"</f>
        <v/>
      </c>
      <c r="E2570" s="30" t="inlineStr">
        <is>
          <t>GABRIEL QUEIROZ DA SILVA</t>
        </is>
      </c>
      <c r="F2570" s="30" t="inlineStr">
        <is>
          <t>2021</t>
        </is>
      </c>
      <c r="G2570" s="40" t="n">
        <v>52956</v>
      </c>
    </row>
    <row r="2571" ht="12" customHeight="1">
      <c r="A2571" s="30" t="inlineStr">
        <is>
          <t>ITG</t>
        </is>
      </c>
      <c r="B2571" s="30" t="inlineStr">
        <is>
          <t>Itaguai</t>
        </is>
      </c>
      <c r="C2571" s="30" t="n">
        <v>11646387</v>
      </c>
      <c r="D2571" s="30">
        <f>"00015572357758"</f>
        <v/>
      </c>
      <c r="E2571" s="30" t="inlineStr">
        <is>
          <t>GABRIEL QUEIROZ DA SILVA</t>
        </is>
      </c>
      <c r="F2571" s="30" t="inlineStr">
        <is>
          <t>2022</t>
        </is>
      </c>
      <c r="G2571" s="40" t="n">
        <v>89783.2</v>
      </c>
    </row>
    <row r="2572" ht="12" customHeight="1">
      <c r="A2572" s="30" t="inlineStr">
        <is>
          <t>ITG</t>
        </is>
      </c>
      <c r="B2572" s="30" t="inlineStr">
        <is>
          <t>Itaguai</t>
        </is>
      </c>
      <c r="C2572" s="30" t="n">
        <v>11646387</v>
      </c>
      <c r="D2572" s="30">
        <f>"00015572357758"</f>
        <v/>
      </c>
      <c r="E2572" s="30" t="inlineStr">
        <is>
          <t>GABRIEL QUEIROZ DA SILVA</t>
        </is>
      </c>
      <c r="F2572" s="30" t="inlineStr">
        <is>
          <t>2023</t>
        </is>
      </c>
      <c r="G2572" s="40" t="n">
        <v>78273.55</v>
      </c>
    </row>
    <row r="2573" ht="12" customHeight="1">
      <c r="A2573" s="30" t="inlineStr">
        <is>
          <t>ITG</t>
        </is>
      </c>
      <c r="B2573" s="30" t="inlineStr">
        <is>
          <t>Itaguai</t>
        </is>
      </c>
      <c r="C2573" s="30" t="n">
        <v>11649165</v>
      </c>
      <c r="D2573" s="30">
        <f>"31541869000258"</f>
        <v/>
      </c>
      <c r="E2573" s="30" t="inlineStr">
        <is>
          <t>INEA &amp; PCT TRANSPORTES LTDA</t>
        </is>
      </c>
      <c r="F2573" s="30" t="inlineStr">
        <is>
          <t>2020</t>
        </is>
      </c>
      <c r="G2573" s="40" t="n">
        <v>0</v>
      </c>
    </row>
    <row r="2574" ht="12" customHeight="1">
      <c r="A2574" s="30" t="inlineStr">
        <is>
          <t>ITG</t>
        </is>
      </c>
      <c r="B2574" s="30" t="inlineStr">
        <is>
          <t>Itaguai</t>
        </is>
      </c>
      <c r="C2574" s="30" t="n">
        <v>11649165</v>
      </c>
      <c r="D2574" s="30">
        <f>"31541869000258"</f>
        <v/>
      </c>
      <c r="E2574" s="30" t="inlineStr">
        <is>
          <t>INEA &amp; PCT TRANSPORTES LTDA</t>
        </is>
      </c>
      <c r="F2574" s="30" t="inlineStr">
        <is>
          <t>2021</t>
        </is>
      </c>
      <c r="G2574" s="40" t="n">
        <v>0</v>
      </c>
    </row>
    <row r="2575" ht="12" customHeight="1">
      <c r="A2575" s="30" t="inlineStr">
        <is>
          <t>ITG</t>
        </is>
      </c>
      <c r="B2575" s="30" t="inlineStr">
        <is>
          <t>Itaguai</t>
        </is>
      </c>
      <c r="C2575" s="30" t="n">
        <v>11649165</v>
      </c>
      <c r="D2575" s="30">
        <f>"31541869000258"</f>
        <v/>
      </c>
      <c r="E2575" s="30" t="inlineStr">
        <is>
          <t>INEA &amp; PCT TRANSPORTES LTDA</t>
        </is>
      </c>
      <c r="F2575" s="30" t="inlineStr">
        <is>
          <t>2022</t>
        </is>
      </c>
      <c r="G2575" s="40" t="n">
        <v>458.06</v>
      </c>
    </row>
    <row r="2576" ht="12" customHeight="1">
      <c r="A2576" s="30" t="inlineStr">
        <is>
          <t>ITG</t>
        </is>
      </c>
      <c r="B2576" s="30" t="inlineStr">
        <is>
          <t>Itaguai</t>
        </is>
      </c>
      <c r="C2576" s="30" t="n">
        <v>11649165</v>
      </c>
      <c r="D2576" s="30">
        <f>"31541869000258"</f>
        <v/>
      </c>
      <c r="E2576" s="30" t="inlineStr">
        <is>
          <t>INEA &amp; PCT TRANSPORTES LTDA</t>
        </is>
      </c>
      <c r="F2576" s="30" t="inlineStr">
        <is>
          <t>2023</t>
        </is>
      </c>
      <c r="G2576" s="40" t="n">
        <v>0</v>
      </c>
    </row>
    <row r="2577" ht="12" customHeight="1">
      <c r="A2577" s="30" t="inlineStr">
        <is>
          <t>ITG</t>
        </is>
      </c>
      <c r="B2577" s="30" t="inlineStr">
        <is>
          <t>Itaguai</t>
        </is>
      </c>
      <c r="C2577" s="30" t="n">
        <v>11665411</v>
      </c>
      <c r="D2577" s="30">
        <f>"13727240000304"</f>
        <v/>
      </c>
      <c r="E2577" s="30" t="inlineStr">
        <is>
          <t>FORMATO TRANSPORTES LTDA</t>
        </is>
      </c>
      <c r="F2577" s="30" t="inlineStr">
        <is>
          <t>2018</t>
        </is>
      </c>
      <c r="G2577" s="40" t="n">
        <v>0</v>
      </c>
    </row>
    <row r="2578" ht="12" customHeight="1">
      <c r="A2578" s="30" t="inlineStr">
        <is>
          <t>ITG</t>
        </is>
      </c>
      <c r="B2578" s="30" t="inlineStr">
        <is>
          <t>Itaguai</t>
        </is>
      </c>
      <c r="C2578" s="30" t="n">
        <v>11665411</v>
      </c>
      <c r="D2578" s="30">
        <f>"13727240000304"</f>
        <v/>
      </c>
      <c r="E2578" s="30" t="inlineStr">
        <is>
          <t>FORMATO TRANSPORTES LTDA</t>
        </is>
      </c>
      <c r="F2578" s="30" t="inlineStr">
        <is>
          <t>2019</t>
        </is>
      </c>
      <c r="G2578" s="40" t="n">
        <v>0</v>
      </c>
    </row>
    <row r="2579" ht="12" customHeight="1">
      <c r="A2579" s="30" t="inlineStr">
        <is>
          <t>ITG</t>
        </is>
      </c>
      <c r="B2579" s="30" t="inlineStr">
        <is>
          <t>Itaguai</t>
        </is>
      </c>
      <c r="C2579" s="30" t="n">
        <v>11665411</v>
      </c>
      <c r="D2579" s="30">
        <f>"13727240000304"</f>
        <v/>
      </c>
      <c r="E2579" s="30" t="inlineStr">
        <is>
          <t>FORMATO TRANSPORTES LTDA</t>
        </is>
      </c>
      <c r="F2579" s="30" t="inlineStr">
        <is>
          <t>2020</t>
        </is>
      </c>
      <c r="G2579" s="40" t="n">
        <v>3150</v>
      </c>
    </row>
    <row r="2580" ht="12" customHeight="1">
      <c r="A2580" s="30" t="inlineStr">
        <is>
          <t>ITG</t>
        </is>
      </c>
      <c r="B2580" s="30" t="inlineStr">
        <is>
          <t>Itaguai</t>
        </is>
      </c>
      <c r="C2580" s="30" t="n">
        <v>11665411</v>
      </c>
      <c r="D2580" s="30">
        <f>"13727240000304"</f>
        <v/>
      </c>
      <c r="E2580" s="30" t="inlineStr">
        <is>
          <t>FORMATO TRANSPORTES LTDA</t>
        </is>
      </c>
      <c r="F2580" s="30" t="inlineStr">
        <is>
          <t>2021</t>
        </is>
      </c>
      <c r="G2580" s="40" t="n">
        <v>0</v>
      </c>
    </row>
    <row r="2581" ht="12" customHeight="1">
      <c r="A2581" s="30" t="inlineStr">
        <is>
          <t>ITG</t>
        </is>
      </c>
      <c r="B2581" s="30" t="inlineStr">
        <is>
          <t>Itaguai</t>
        </is>
      </c>
      <c r="C2581" s="30" t="n">
        <v>11665411</v>
      </c>
      <c r="D2581" s="30">
        <f>"13727240000304"</f>
        <v/>
      </c>
      <c r="E2581" s="30" t="inlineStr">
        <is>
          <t>FORMATO TRANSPORTES LTDA</t>
        </is>
      </c>
      <c r="F2581" s="30" t="inlineStr">
        <is>
          <t>2022</t>
        </is>
      </c>
      <c r="G2581" s="40" t="n">
        <v>0</v>
      </c>
    </row>
    <row r="2582" ht="12" customHeight="1">
      <c r="A2582" s="30" t="inlineStr">
        <is>
          <t>ITG</t>
        </is>
      </c>
      <c r="B2582" s="30" t="inlineStr">
        <is>
          <t>Itaguai</t>
        </is>
      </c>
      <c r="C2582" s="30" t="n">
        <v>11666264</v>
      </c>
      <c r="D2582" s="30">
        <f>"36177811000100"</f>
        <v/>
      </c>
      <c r="E2582" s="30" t="inlineStr">
        <is>
          <t>G. C. GIOVANETTI TRANSPORTES LTDA</t>
        </is>
      </c>
      <c r="F2582" s="30" t="inlineStr">
        <is>
          <t>2019</t>
        </is>
      </c>
      <c r="G2582" s="40" t="n">
        <v>0</v>
      </c>
    </row>
    <row r="2583" ht="12" customHeight="1">
      <c r="A2583" s="30" t="inlineStr">
        <is>
          <t>ITG</t>
        </is>
      </c>
      <c r="B2583" s="30" t="inlineStr">
        <is>
          <t>Itaguai</t>
        </is>
      </c>
      <c r="C2583" s="30" t="n">
        <v>11666264</v>
      </c>
      <c r="D2583" s="30">
        <f>"36177811000100"</f>
        <v/>
      </c>
      <c r="E2583" s="30" t="inlineStr">
        <is>
          <t>G. C. GIOVANETTI TRANSPORTES LTDA</t>
        </is>
      </c>
      <c r="F2583" s="30" t="inlineStr">
        <is>
          <t>2020</t>
        </is>
      </c>
      <c r="G2583" s="40" t="n">
        <v>0</v>
      </c>
    </row>
    <row r="2584" ht="12" customHeight="1">
      <c r="A2584" s="30" t="inlineStr">
        <is>
          <t>ITG</t>
        </is>
      </c>
      <c r="B2584" s="30" t="inlineStr">
        <is>
          <t>Itaguai</t>
        </is>
      </c>
      <c r="C2584" s="30" t="n">
        <v>11666264</v>
      </c>
      <c r="D2584" s="30">
        <f>"36177811000100"</f>
        <v/>
      </c>
      <c r="E2584" s="30" t="inlineStr">
        <is>
          <t>G. C. GIOVANETTI TRANSPORTES LTDA</t>
        </is>
      </c>
      <c r="F2584" s="30" t="inlineStr">
        <is>
          <t>2021</t>
        </is>
      </c>
      <c r="G2584" s="40" t="n">
        <v>1713.47</v>
      </c>
    </row>
    <row r="2585" ht="12" customHeight="1">
      <c r="A2585" s="30" t="inlineStr">
        <is>
          <t>ITG</t>
        </is>
      </c>
      <c r="B2585" s="30" t="inlineStr">
        <is>
          <t>Itaguai</t>
        </is>
      </c>
      <c r="C2585" s="30" t="n">
        <v>11666264</v>
      </c>
      <c r="D2585" s="30">
        <f>"36177811000100"</f>
        <v/>
      </c>
      <c r="E2585" s="30" t="inlineStr">
        <is>
          <t>G. C. GIOVANETTI TRANSPORTES LTDA</t>
        </is>
      </c>
      <c r="F2585" s="30" t="inlineStr">
        <is>
          <t>2022</t>
        </is>
      </c>
      <c r="G2585" s="40" t="n">
        <v>0</v>
      </c>
    </row>
    <row r="2586" ht="12" customHeight="1">
      <c r="A2586" s="30" t="inlineStr">
        <is>
          <t>ITG</t>
        </is>
      </c>
      <c r="B2586" s="30" t="inlineStr">
        <is>
          <t>Itaguai</t>
        </is>
      </c>
      <c r="C2586" s="30" t="n">
        <v>11666264</v>
      </c>
      <c r="D2586" s="30">
        <f>"36177811000100"</f>
        <v/>
      </c>
      <c r="E2586" s="30" t="inlineStr">
        <is>
          <t>G. C. GIOVANETTI TRANSPORTES LTDA</t>
        </is>
      </c>
      <c r="F2586" s="30" t="inlineStr">
        <is>
          <t>2023</t>
        </is>
      </c>
      <c r="G2586" s="40" t="n">
        <v>0</v>
      </c>
    </row>
    <row r="2587" ht="12" customHeight="1">
      <c r="A2587" s="30" t="inlineStr">
        <is>
          <t>ITG</t>
        </is>
      </c>
      <c r="B2587" s="30" t="inlineStr">
        <is>
          <t>Itaguai</t>
        </is>
      </c>
      <c r="C2587" s="30" t="n">
        <v>11668224</v>
      </c>
      <c r="D2587" s="30">
        <f>"36294967000170"</f>
        <v/>
      </c>
      <c r="E2587" s="30" t="inlineStr">
        <is>
          <t>RAINHA DO QUEIJO LATIC?NIOS E LANCHONETE LTDA</t>
        </is>
      </c>
      <c r="F2587" s="30" t="inlineStr">
        <is>
          <t>2021</t>
        </is>
      </c>
      <c r="G2587" s="40" t="n">
        <v>0</v>
      </c>
    </row>
    <row r="2588" ht="12" customHeight="1">
      <c r="A2588" s="30" t="inlineStr">
        <is>
          <t>ITG</t>
        </is>
      </c>
      <c r="B2588" s="30" t="inlineStr">
        <is>
          <t>Itaguai</t>
        </is>
      </c>
      <c r="C2588" s="30" t="n">
        <v>11668224</v>
      </c>
      <c r="D2588" s="30">
        <f>"36294967000170"</f>
        <v/>
      </c>
      <c r="E2588" s="30" t="inlineStr">
        <is>
          <t>RAINHA DO QUEIJO LATIC?NIOS E LANCHONETE LTDA</t>
        </is>
      </c>
      <c r="F2588" s="30" t="inlineStr">
        <is>
          <t>2022</t>
        </is>
      </c>
      <c r="G2588" s="40" t="n">
        <v>0</v>
      </c>
    </row>
    <row r="2589" ht="12" customHeight="1">
      <c r="A2589" s="30" t="inlineStr">
        <is>
          <t>ITG</t>
        </is>
      </c>
      <c r="B2589" s="30" t="inlineStr">
        <is>
          <t>Itaguai</t>
        </is>
      </c>
      <c r="C2589" s="30" t="n">
        <v>11668224</v>
      </c>
      <c r="D2589" s="30">
        <f>"36294967000170"</f>
        <v/>
      </c>
      <c r="E2589" s="30" t="inlineStr">
        <is>
          <t>RAINHA DO QUEIJO LATIC?NIOS E LANCHONETE LTDA</t>
        </is>
      </c>
      <c r="F2589" s="30" t="inlineStr">
        <is>
          <t>2023</t>
        </is>
      </c>
      <c r="G2589" s="40" t="n">
        <v>191456.2</v>
      </c>
    </row>
    <row r="2590" ht="12" customHeight="1">
      <c r="A2590" s="30" t="inlineStr">
        <is>
          <t>ITG</t>
        </is>
      </c>
      <c r="B2590" s="30" t="inlineStr">
        <is>
          <t>Itaguai</t>
        </is>
      </c>
      <c r="C2590" s="30" t="n">
        <v>11671705</v>
      </c>
      <c r="D2590" s="30">
        <f>"00008009539759"</f>
        <v/>
      </c>
      <c r="E2590" s="30" t="inlineStr">
        <is>
          <t>LEIDINALDO BATISTA DE ARAUJO</t>
        </is>
      </c>
      <c r="F2590" s="30" t="inlineStr">
        <is>
          <t>2020</t>
        </is>
      </c>
      <c r="G2590" s="40" t="n">
        <v>0</v>
      </c>
    </row>
    <row r="2591" ht="12" customHeight="1">
      <c r="A2591" s="30" t="inlineStr">
        <is>
          <t>ITG</t>
        </is>
      </c>
      <c r="B2591" s="30" t="inlineStr">
        <is>
          <t>Itaguai</t>
        </is>
      </c>
      <c r="C2591" s="30" t="n">
        <v>11671705</v>
      </c>
      <c r="D2591" s="30">
        <f>"00008009539759"</f>
        <v/>
      </c>
      <c r="E2591" s="30" t="inlineStr">
        <is>
          <t>LEIDINALDO BATISTA DE ARAUJO</t>
        </is>
      </c>
      <c r="F2591" s="30" t="inlineStr">
        <is>
          <t>2021</t>
        </is>
      </c>
      <c r="G2591" s="40" t="n">
        <v>0</v>
      </c>
    </row>
    <row r="2592" ht="12" customHeight="1">
      <c r="A2592" s="30" t="inlineStr">
        <is>
          <t>ITG</t>
        </is>
      </c>
      <c r="B2592" s="30" t="inlineStr">
        <is>
          <t>Itaguai</t>
        </is>
      </c>
      <c r="C2592" s="30" t="n">
        <v>11671705</v>
      </c>
      <c r="D2592" s="30">
        <f>"00008009539759"</f>
        <v/>
      </c>
      <c r="E2592" s="30" t="inlineStr">
        <is>
          <t>LEIDINALDO BATISTA DE ARAUJO</t>
        </is>
      </c>
      <c r="F2592" s="30" t="inlineStr">
        <is>
          <t>2022</t>
        </is>
      </c>
      <c r="G2592" s="40" t="n">
        <v>10000</v>
      </c>
    </row>
    <row r="2593" ht="12" customHeight="1">
      <c r="A2593" s="30" t="inlineStr">
        <is>
          <t>ITG</t>
        </is>
      </c>
      <c r="B2593" s="30" t="inlineStr">
        <is>
          <t>Itaguai</t>
        </is>
      </c>
      <c r="C2593" s="30" t="n">
        <v>11671705</v>
      </c>
      <c r="D2593" s="30">
        <f>"00008009539759"</f>
        <v/>
      </c>
      <c r="E2593" s="30" t="inlineStr">
        <is>
          <t>LEIDINALDO BATISTA DE ARAUJO</t>
        </is>
      </c>
      <c r="F2593" s="30" t="inlineStr">
        <is>
          <t>2023</t>
        </is>
      </c>
      <c r="G2593" s="40" t="n">
        <v>0</v>
      </c>
    </row>
    <row r="2594" ht="12" customHeight="1">
      <c r="A2594" s="30" t="inlineStr">
        <is>
          <t>ITG</t>
        </is>
      </c>
      <c r="B2594" s="30" t="inlineStr">
        <is>
          <t>Itaguai</t>
        </is>
      </c>
      <c r="C2594" s="30" t="n">
        <v>11672973</v>
      </c>
      <c r="D2594" s="30">
        <f>"07392106000801"</f>
        <v/>
      </c>
      <c r="E2594" s="30" t="inlineStr">
        <is>
          <t>SV TRANSPORTES LTDA</t>
        </is>
      </c>
      <c r="F2594" s="30" t="inlineStr">
        <is>
          <t>2018</t>
        </is>
      </c>
      <c r="G2594" s="40" t="n">
        <v>0</v>
      </c>
    </row>
    <row r="2595" ht="12" customHeight="1">
      <c r="A2595" s="30" t="inlineStr">
        <is>
          <t>ITG</t>
        </is>
      </c>
      <c r="B2595" s="30" t="inlineStr">
        <is>
          <t>Itaguai</t>
        </is>
      </c>
      <c r="C2595" s="30" t="n">
        <v>11672973</v>
      </c>
      <c r="D2595" s="30">
        <f>"07392106000801"</f>
        <v/>
      </c>
      <c r="E2595" s="30" t="inlineStr">
        <is>
          <t>SV TRANSPORTES LTDA</t>
        </is>
      </c>
      <c r="F2595" s="30" t="inlineStr">
        <is>
          <t>2019</t>
        </is>
      </c>
      <c r="G2595" s="40" t="n">
        <v>0</v>
      </c>
    </row>
    <row r="2596" ht="12" customHeight="1">
      <c r="A2596" s="30" t="inlineStr">
        <is>
          <t>ITG</t>
        </is>
      </c>
      <c r="B2596" s="30" t="inlineStr">
        <is>
          <t>Itaguai</t>
        </is>
      </c>
      <c r="C2596" s="30" t="n">
        <v>11672973</v>
      </c>
      <c r="D2596" s="30">
        <f>"07392106000801"</f>
        <v/>
      </c>
      <c r="E2596" s="30" t="inlineStr">
        <is>
          <t>SV TRANSPORTES LTDA</t>
        </is>
      </c>
      <c r="F2596" s="30" t="inlineStr">
        <is>
          <t>2020</t>
        </is>
      </c>
      <c r="G2596" s="40" t="n">
        <v>0</v>
      </c>
    </row>
    <row r="2597" ht="12" customHeight="1">
      <c r="A2597" s="30" t="inlineStr">
        <is>
          <t>ITG</t>
        </is>
      </c>
      <c r="B2597" s="30" t="inlineStr">
        <is>
          <t>Itaguai</t>
        </is>
      </c>
      <c r="C2597" s="30" t="n">
        <v>11672973</v>
      </c>
      <c r="D2597" s="30">
        <f>"07392106000801"</f>
        <v/>
      </c>
      <c r="E2597" s="30" t="inlineStr">
        <is>
          <t>SV TRANSPORTES LTDA</t>
        </is>
      </c>
      <c r="F2597" s="30" t="inlineStr">
        <is>
          <t>2021</t>
        </is>
      </c>
      <c r="G2597" s="40" t="n">
        <v>9816073.43</v>
      </c>
    </row>
    <row r="2598" ht="12" customHeight="1">
      <c r="A2598" s="30" t="inlineStr">
        <is>
          <t>ITG</t>
        </is>
      </c>
      <c r="B2598" s="30" t="inlineStr">
        <is>
          <t>Itaguai</t>
        </is>
      </c>
      <c r="C2598" s="30" t="n">
        <v>11672973</v>
      </c>
      <c r="D2598" s="30">
        <f>"07392106000801"</f>
        <v/>
      </c>
      <c r="E2598" s="30" t="inlineStr">
        <is>
          <t>SV TRANSPORTES LTDA</t>
        </is>
      </c>
      <c r="F2598" s="30" t="inlineStr">
        <is>
          <t>2022</t>
        </is>
      </c>
      <c r="G2598" s="40" t="n">
        <v>71259.57000000001</v>
      </c>
    </row>
    <row r="2599" ht="12" customHeight="1">
      <c r="A2599" s="30" t="inlineStr">
        <is>
          <t>ITG</t>
        </is>
      </c>
      <c r="B2599" s="30" t="inlineStr">
        <is>
          <t>Itaguai</t>
        </is>
      </c>
      <c r="C2599" s="30" t="n">
        <v>11672973</v>
      </c>
      <c r="D2599" s="30">
        <f>"07392106000801"</f>
        <v/>
      </c>
      <c r="E2599" s="30" t="inlineStr">
        <is>
          <t>SV TRANSPORTES LTDA</t>
        </is>
      </c>
      <c r="F2599" s="30" t="inlineStr">
        <is>
          <t>2023</t>
        </is>
      </c>
      <c r="G2599" s="40" t="n">
        <v>122546.77</v>
      </c>
    </row>
    <row r="2600" ht="12" customHeight="1">
      <c r="A2600" s="30" t="inlineStr">
        <is>
          <t>ITG</t>
        </is>
      </c>
      <c r="B2600" s="30" t="inlineStr">
        <is>
          <t>Itaguai</t>
        </is>
      </c>
      <c r="C2600" s="30" t="n">
        <v>11678254</v>
      </c>
      <c r="D2600" s="30">
        <f>"18872079000378"</f>
        <v/>
      </c>
      <c r="E2600" s="30" t="inlineStr">
        <is>
          <t>MERCADO DOS ANJOS LTDA</t>
        </is>
      </c>
      <c r="F2600" s="30" t="inlineStr">
        <is>
          <t>2018</t>
        </is>
      </c>
      <c r="G2600" s="40" t="n">
        <v>0</v>
      </c>
    </row>
    <row r="2601" ht="12" customHeight="1">
      <c r="A2601" s="30" t="inlineStr">
        <is>
          <t>ITG</t>
        </is>
      </c>
      <c r="B2601" s="30" t="inlineStr">
        <is>
          <t>Itaguai</t>
        </is>
      </c>
      <c r="C2601" s="30" t="n">
        <v>11678254</v>
      </c>
      <c r="D2601" s="30">
        <f>"18872079000378"</f>
        <v/>
      </c>
      <c r="E2601" s="30" t="inlineStr">
        <is>
          <t>MERCADO DOS ANJOS LTDA</t>
        </is>
      </c>
      <c r="F2601" s="30" t="inlineStr">
        <is>
          <t>2019</t>
        </is>
      </c>
      <c r="G2601" s="40" t="n">
        <v>0</v>
      </c>
    </row>
    <row r="2602" ht="12" customHeight="1">
      <c r="A2602" s="30" t="inlineStr">
        <is>
          <t>ITG</t>
        </is>
      </c>
      <c r="B2602" s="30" t="inlineStr">
        <is>
          <t>Itaguai</t>
        </is>
      </c>
      <c r="C2602" s="30" t="n">
        <v>11678254</v>
      </c>
      <c r="D2602" s="30">
        <f>"18872079000378"</f>
        <v/>
      </c>
      <c r="E2602" s="30" t="inlineStr">
        <is>
          <t>MERCADO DOS ANJOS LTDA</t>
        </is>
      </c>
      <c r="F2602" s="30" t="inlineStr">
        <is>
          <t>2020</t>
        </is>
      </c>
      <c r="G2602" s="40" t="n">
        <v>0</v>
      </c>
    </row>
    <row r="2603" ht="12" customHeight="1">
      <c r="A2603" s="30" t="inlineStr">
        <is>
          <t>ITG</t>
        </is>
      </c>
      <c r="B2603" s="30" t="inlineStr">
        <is>
          <t>Itaguai</t>
        </is>
      </c>
      <c r="C2603" s="30" t="n">
        <v>11678254</v>
      </c>
      <c r="D2603" s="30">
        <f>"18872079000378"</f>
        <v/>
      </c>
      <c r="E2603" s="30" t="inlineStr">
        <is>
          <t>MERCADO DOS ANJOS LTDA</t>
        </is>
      </c>
      <c r="F2603" s="30" t="inlineStr">
        <is>
          <t>2021</t>
        </is>
      </c>
      <c r="G2603" s="40" t="n">
        <v>0</v>
      </c>
    </row>
    <row r="2604" ht="12" customHeight="1">
      <c r="A2604" s="30" t="inlineStr">
        <is>
          <t>ITG</t>
        </is>
      </c>
      <c r="B2604" s="30" t="inlineStr">
        <is>
          <t>Itaguai</t>
        </is>
      </c>
      <c r="C2604" s="30" t="n">
        <v>11678254</v>
      </c>
      <c r="D2604" s="30">
        <f>"18872079000378"</f>
        <v/>
      </c>
      <c r="E2604" s="30" t="inlineStr">
        <is>
          <t>MERCADO DOS ANJOS LTDA</t>
        </is>
      </c>
      <c r="F2604" s="30" t="inlineStr">
        <is>
          <t>2022</t>
        </is>
      </c>
      <c r="G2604" s="40" t="n">
        <v>0</v>
      </c>
    </row>
    <row r="2605" ht="12" customHeight="1">
      <c r="A2605" s="30" t="inlineStr">
        <is>
          <t>ITG</t>
        </is>
      </c>
      <c r="B2605" s="30" t="inlineStr">
        <is>
          <t>Itaguai</t>
        </is>
      </c>
      <c r="C2605" s="30" t="n">
        <v>11678254</v>
      </c>
      <c r="D2605" s="30">
        <f>"18872079000378"</f>
        <v/>
      </c>
      <c r="E2605" s="30" t="inlineStr">
        <is>
          <t>MERCADO DOS ANJOS LTDA</t>
        </is>
      </c>
      <c r="F2605" s="30" t="inlineStr">
        <is>
          <t>2023</t>
        </is>
      </c>
      <c r="G2605" s="40" t="n">
        <v>0</v>
      </c>
    </row>
    <row r="2606" ht="12" customHeight="1">
      <c r="A2606" s="30" t="inlineStr">
        <is>
          <t>ITG</t>
        </is>
      </c>
      <c r="B2606" s="30" t="inlineStr">
        <is>
          <t>Itaguai</t>
        </is>
      </c>
      <c r="C2606" s="30" t="n">
        <v>11679544</v>
      </c>
      <c r="D2606" s="30">
        <f>"85348407000671"</f>
        <v/>
      </c>
      <c r="E2606" s="30" t="inlineStr">
        <is>
          <t>AZURELOG TRANSPORTES LTDA</t>
        </is>
      </c>
      <c r="F2606" s="30" t="inlineStr">
        <is>
          <t>2021</t>
        </is>
      </c>
      <c r="G2606" s="40" t="n">
        <v>0</v>
      </c>
    </row>
    <row r="2607" ht="12" customHeight="1">
      <c r="A2607" s="30" t="inlineStr">
        <is>
          <t>ITG</t>
        </is>
      </c>
      <c r="B2607" s="30" t="inlineStr">
        <is>
          <t>Itaguai</t>
        </is>
      </c>
      <c r="C2607" s="30" t="n">
        <v>11679544</v>
      </c>
      <c r="D2607" s="30">
        <f>"85348407000671"</f>
        <v/>
      </c>
      <c r="E2607" s="30" t="inlineStr">
        <is>
          <t>AZURELOG TRANSPORTES LTDA</t>
        </is>
      </c>
      <c r="F2607" s="30" t="inlineStr">
        <is>
          <t>2022</t>
        </is>
      </c>
      <c r="G2607" s="40" t="n">
        <v>0</v>
      </c>
    </row>
    <row r="2608" ht="12" customHeight="1">
      <c r="A2608" s="30" t="inlineStr">
        <is>
          <t>ITG</t>
        </is>
      </c>
      <c r="B2608" s="30" t="inlineStr">
        <is>
          <t>Itaguai</t>
        </is>
      </c>
      <c r="C2608" s="30" t="n">
        <v>11679544</v>
      </c>
      <c r="D2608" s="30">
        <f>"85348407000671"</f>
        <v/>
      </c>
      <c r="E2608" s="30" t="inlineStr">
        <is>
          <t>AZURELOG TRANSPORTES LTDA</t>
        </is>
      </c>
      <c r="F2608" s="30" t="inlineStr">
        <is>
          <t>2023</t>
        </is>
      </c>
      <c r="G2608" s="40" t="n">
        <v>1054.77</v>
      </c>
    </row>
    <row r="2609" ht="12" customHeight="1">
      <c r="A2609" s="30" t="inlineStr">
        <is>
          <t>ITG</t>
        </is>
      </c>
      <c r="B2609" s="30" t="inlineStr">
        <is>
          <t>Itaguai</t>
        </is>
      </c>
      <c r="C2609" s="30" t="n">
        <v>11685129</v>
      </c>
      <c r="D2609" s="30">
        <f>"04100795000322"</f>
        <v/>
      </c>
      <c r="E2609" s="30" t="inlineStr">
        <is>
          <t>BERSANI SOLU??ES LTDA</t>
        </is>
      </c>
      <c r="F2609" s="30" t="inlineStr">
        <is>
          <t>2018</t>
        </is>
      </c>
      <c r="G2609" s="40" t="n">
        <v>0</v>
      </c>
    </row>
    <row r="2610" ht="12" customHeight="1">
      <c r="A2610" s="30" t="inlineStr">
        <is>
          <t>ITG</t>
        </is>
      </c>
      <c r="B2610" s="30" t="inlineStr">
        <is>
          <t>Itaguai</t>
        </is>
      </c>
      <c r="C2610" s="30" t="n">
        <v>11685129</v>
      </c>
      <c r="D2610" s="30">
        <f>"04100795000322"</f>
        <v/>
      </c>
      <c r="E2610" s="30" t="inlineStr">
        <is>
          <t>BERSANI SOLU??ES LTDA</t>
        </is>
      </c>
      <c r="F2610" s="30" t="inlineStr">
        <is>
          <t>2019</t>
        </is>
      </c>
      <c r="G2610" s="40" t="n">
        <v>0</v>
      </c>
    </row>
    <row r="2611" ht="12" customHeight="1">
      <c r="A2611" s="30" t="inlineStr">
        <is>
          <t>ITG</t>
        </is>
      </c>
      <c r="B2611" s="30" t="inlineStr">
        <is>
          <t>Itaguai</t>
        </is>
      </c>
      <c r="C2611" s="30" t="n">
        <v>11685129</v>
      </c>
      <c r="D2611" s="30">
        <f>"04100795000322"</f>
        <v/>
      </c>
      <c r="E2611" s="30" t="inlineStr">
        <is>
          <t>BERSANI SOLU??ES LTDA</t>
        </is>
      </c>
      <c r="F2611" s="30" t="inlineStr">
        <is>
          <t>2020</t>
        </is>
      </c>
      <c r="G2611" s="40" t="n">
        <v>0</v>
      </c>
    </row>
    <row r="2612" ht="12" customHeight="1">
      <c r="A2612" s="30" t="inlineStr">
        <is>
          <t>ITG</t>
        </is>
      </c>
      <c r="B2612" s="30" t="inlineStr">
        <is>
          <t>Itaguai</t>
        </is>
      </c>
      <c r="C2612" s="30" t="n">
        <v>11685129</v>
      </c>
      <c r="D2612" s="30">
        <f>"04100795000322"</f>
        <v/>
      </c>
      <c r="E2612" s="30" t="inlineStr">
        <is>
          <t>BERSANI SOLU??ES LTDA</t>
        </is>
      </c>
      <c r="F2612" s="30" t="inlineStr">
        <is>
          <t>2021</t>
        </is>
      </c>
      <c r="G2612" s="40" t="n">
        <v>0</v>
      </c>
    </row>
    <row r="2613" ht="12" customHeight="1">
      <c r="A2613" s="30" t="inlineStr">
        <is>
          <t>ITG</t>
        </is>
      </c>
      <c r="B2613" s="30" t="inlineStr">
        <is>
          <t>Itaguai</t>
        </is>
      </c>
      <c r="C2613" s="30" t="n">
        <v>11685129</v>
      </c>
      <c r="D2613" s="30">
        <f>"04100795000322"</f>
        <v/>
      </c>
      <c r="E2613" s="30" t="inlineStr">
        <is>
          <t>BERSANI SOLU??ES LTDA</t>
        </is>
      </c>
      <c r="F2613" s="30" t="inlineStr">
        <is>
          <t>2022</t>
        </is>
      </c>
      <c r="G2613" s="40" t="n">
        <v>0</v>
      </c>
    </row>
    <row r="2614" ht="12" customHeight="1">
      <c r="A2614" s="30" t="inlineStr">
        <is>
          <t>ITG</t>
        </is>
      </c>
      <c r="B2614" s="30" t="inlineStr">
        <is>
          <t>Itaguai</t>
        </is>
      </c>
      <c r="C2614" s="30" t="n">
        <v>11685129</v>
      </c>
      <c r="D2614" s="30">
        <f>"04100795000322"</f>
        <v/>
      </c>
      <c r="E2614" s="30" t="inlineStr">
        <is>
          <t>BERSANI SOLU??ES LTDA</t>
        </is>
      </c>
      <c r="F2614" s="30" t="inlineStr">
        <is>
          <t>2023</t>
        </is>
      </c>
      <c r="G2614" s="40" t="n">
        <v>0</v>
      </c>
    </row>
    <row r="2615" ht="12" customHeight="1">
      <c r="A2615" s="30" t="inlineStr">
        <is>
          <t>ITG</t>
        </is>
      </c>
      <c r="B2615" s="30" t="inlineStr">
        <is>
          <t>Itaguai</t>
        </is>
      </c>
      <c r="C2615" s="30" t="n">
        <v>11691447</v>
      </c>
      <c r="D2615" s="30">
        <f>"36663823000144"</f>
        <v/>
      </c>
      <c r="E2615" s="30" t="inlineStr">
        <is>
          <t>TS RJ TRANSPORTES, LOG?STICA E SOLU??ES LTDA</t>
        </is>
      </c>
      <c r="F2615" s="30" t="inlineStr">
        <is>
          <t>2019</t>
        </is>
      </c>
      <c r="G2615" s="40" t="n">
        <v>0</v>
      </c>
    </row>
    <row r="2616" ht="12" customHeight="1">
      <c r="A2616" s="30" t="inlineStr">
        <is>
          <t>ITG</t>
        </is>
      </c>
      <c r="B2616" s="30" t="inlineStr">
        <is>
          <t>Itaguai</t>
        </is>
      </c>
      <c r="C2616" s="30" t="n">
        <v>11691447</v>
      </c>
      <c r="D2616" s="30">
        <f>"36663823000144"</f>
        <v/>
      </c>
      <c r="E2616" s="30" t="inlineStr">
        <is>
          <t>TS RJ TRANSPORTES, LOG?STICA E SOLU??ES LTDA</t>
        </is>
      </c>
      <c r="F2616" s="30" t="inlineStr">
        <is>
          <t>2020</t>
        </is>
      </c>
      <c r="G2616" s="40" t="n">
        <v>0</v>
      </c>
    </row>
    <row r="2617" ht="12" customHeight="1">
      <c r="A2617" s="30" t="inlineStr">
        <is>
          <t>ITG</t>
        </is>
      </c>
      <c r="B2617" s="30" t="inlineStr">
        <is>
          <t>Itaguai</t>
        </is>
      </c>
      <c r="C2617" s="30" t="n">
        <v>11691447</v>
      </c>
      <c r="D2617" s="30">
        <f>"36663823000144"</f>
        <v/>
      </c>
      <c r="E2617" s="30" t="inlineStr">
        <is>
          <t>TS RJ TRANSPORTES, LOG?STICA E SOLU??ES LTDA</t>
        </is>
      </c>
      <c r="F2617" s="30" t="inlineStr">
        <is>
          <t>2021</t>
        </is>
      </c>
      <c r="G2617" s="40" t="n">
        <v>30</v>
      </c>
    </row>
    <row r="2618" ht="12" customHeight="1">
      <c r="A2618" s="30" t="inlineStr">
        <is>
          <t>ITG</t>
        </is>
      </c>
      <c r="B2618" s="30" t="inlineStr">
        <is>
          <t>Itaguai</t>
        </is>
      </c>
      <c r="C2618" s="30" t="n">
        <v>11691447</v>
      </c>
      <c r="D2618" s="30">
        <f>"36663823000144"</f>
        <v/>
      </c>
      <c r="E2618" s="30" t="inlineStr">
        <is>
          <t>TS RJ TRANSPORTES, LOG?STICA E SOLU??ES LTDA</t>
        </is>
      </c>
      <c r="F2618" s="30" t="inlineStr">
        <is>
          <t>2022</t>
        </is>
      </c>
      <c r="G2618" s="40" t="n">
        <v>0</v>
      </c>
    </row>
    <row r="2619" ht="12" customHeight="1">
      <c r="A2619" s="30" t="inlineStr">
        <is>
          <t>ITG</t>
        </is>
      </c>
      <c r="B2619" s="30" t="inlineStr">
        <is>
          <t>Itaguai</t>
        </is>
      </c>
      <c r="C2619" s="30" t="n">
        <v>11691447</v>
      </c>
      <c r="D2619" s="30">
        <f>"36663823000144"</f>
        <v/>
      </c>
      <c r="E2619" s="30" t="inlineStr">
        <is>
          <t>TS RJ TRANSPORTES, LOG?STICA E SOLU??ES LTDA</t>
        </is>
      </c>
      <c r="F2619" s="30" t="inlineStr">
        <is>
          <t>2023</t>
        </is>
      </c>
      <c r="G2619" s="40" t="n">
        <v>0</v>
      </c>
    </row>
    <row r="2620" ht="12" customHeight="1">
      <c r="A2620" s="30" t="inlineStr">
        <is>
          <t>ITG</t>
        </is>
      </c>
      <c r="B2620" s="30" t="inlineStr">
        <is>
          <t>Itaguai</t>
        </is>
      </c>
      <c r="C2620" s="30" t="n">
        <v>11698123</v>
      </c>
      <c r="D2620" s="30">
        <f>"08775225000202"</f>
        <v/>
      </c>
      <c r="E2620" s="30" t="inlineStr">
        <is>
          <t>LINK SERVICOS MULTIMODAIS LTDA</t>
        </is>
      </c>
      <c r="F2620" s="30" t="inlineStr">
        <is>
          <t>2019</t>
        </is>
      </c>
      <c r="G2620" s="40" t="n">
        <v>0</v>
      </c>
    </row>
    <row r="2621" ht="12" customHeight="1">
      <c r="A2621" s="30" t="inlineStr">
        <is>
          <t>ITG</t>
        </is>
      </c>
      <c r="B2621" s="30" t="inlineStr">
        <is>
          <t>Itaguai</t>
        </is>
      </c>
      <c r="C2621" s="30" t="n">
        <v>11698123</v>
      </c>
      <c r="D2621" s="30">
        <f>"08775225000202"</f>
        <v/>
      </c>
      <c r="E2621" s="30" t="inlineStr">
        <is>
          <t>LINK SERVICOS MULTIMODAIS LTDA</t>
        </is>
      </c>
      <c r="F2621" s="30" t="inlineStr">
        <is>
          <t>2020</t>
        </is>
      </c>
      <c r="G2621" s="40" t="n">
        <v>0</v>
      </c>
    </row>
    <row r="2622" ht="12" customHeight="1">
      <c r="A2622" s="30" t="inlineStr">
        <is>
          <t>ITG</t>
        </is>
      </c>
      <c r="B2622" s="30" t="inlineStr">
        <is>
          <t>Itaguai</t>
        </is>
      </c>
      <c r="C2622" s="30" t="n">
        <v>11698123</v>
      </c>
      <c r="D2622" s="30">
        <f>"08775225000202"</f>
        <v/>
      </c>
      <c r="E2622" s="30" t="inlineStr">
        <is>
          <t>LINK SERVICOS MULTIMODAIS LTDA</t>
        </is>
      </c>
      <c r="F2622" s="30" t="inlineStr">
        <is>
          <t>2021</t>
        </is>
      </c>
      <c r="G2622" s="40" t="n">
        <v>157291.23</v>
      </c>
    </row>
    <row r="2623" ht="12" customHeight="1">
      <c r="A2623" s="30" t="inlineStr">
        <is>
          <t>ITG</t>
        </is>
      </c>
      <c r="B2623" s="30" t="inlineStr">
        <is>
          <t>Itaguai</t>
        </is>
      </c>
      <c r="C2623" s="30" t="n">
        <v>11698123</v>
      </c>
      <c r="D2623" s="30">
        <f>"08775225000202"</f>
        <v/>
      </c>
      <c r="E2623" s="30" t="inlineStr">
        <is>
          <t>LINK SERVICOS MULTIMODAIS LTDA</t>
        </is>
      </c>
      <c r="F2623" s="30" t="inlineStr">
        <is>
          <t>2022</t>
        </is>
      </c>
      <c r="G2623" s="40" t="n">
        <v>84189.36</v>
      </c>
    </row>
    <row r="2624" ht="12" customHeight="1">
      <c r="A2624" s="30" t="inlineStr">
        <is>
          <t>ITG</t>
        </is>
      </c>
      <c r="B2624" s="30" t="inlineStr">
        <is>
          <t>Itaguai</t>
        </is>
      </c>
      <c r="C2624" s="30" t="n">
        <v>11698123</v>
      </c>
      <c r="D2624" s="30">
        <f>"08775225000202"</f>
        <v/>
      </c>
      <c r="E2624" s="30" t="inlineStr">
        <is>
          <t>LINK SERVICOS MULTIMODAIS LTDA</t>
        </is>
      </c>
      <c r="F2624" s="30" t="inlineStr">
        <is>
          <t>2023</t>
        </is>
      </c>
      <c r="G2624" s="40" t="n">
        <v>0</v>
      </c>
    </row>
    <row r="2625" ht="12" customHeight="1">
      <c r="A2625" s="30" t="inlineStr">
        <is>
          <t>ITG</t>
        </is>
      </c>
      <c r="B2625" s="30" t="inlineStr">
        <is>
          <t>Itaguai</t>
        </is>
      </c>
      <c r="C2625" s="30" t="n">
        <v>11699359</v>
      </c>
      <c r="D2625" s="30">
        <f>"36860222000121"</f>
        <v/>
      </c>
      <c r="E2625" s="30" t="inlineStr">
        <is>
          <t>ATLANTIC OCEAN COMERCIAL EXPORTADORA E IMPORTADORA, SERVI?OS E C</t>
        </is>
      </c>
      <c r="F2625" s="30" t="inlineStr">
        <is>
          <t>2018</t>
        </is>
      </c>
      <c r="G2625" s="40" t="n">
        <v>0</v>
      </c>
    </row>
    <row r="2626" ht="12" customHeight="1">
      <c r="A2626" s="30" t="inlineStr">
        <is>
          <t>ITG</t>
        </is>
      </c>
      <c r="B2626" s="30" t="inlineStr">
        <is>
          <t>Itaguai</t>
        </is>
      </c>
      <c r="C2626" s="30" t="n">
        <v>11699359</v>
      </c>
      <c r="D2626" s="30">
        <f>"36860222000121"</f>
        <v/>
      </c>
      <c r="E2626" s="30" t="inlineStr">
        <is>
          <t>ATLANTIC OCEAN COMERCIAL EXPORTADORA E IMPORTADORA, SERVI?OS E C</t>
        </is>
      </c>
      <c r="F2626" s="30" t="inlineStr">
        <is>
          <t>2019</t>
        </is>
      </c>
      <c r="G2626" s="40" t="n">
        <v>0</v>
      </c>
    </row>
    <row r="2627" ht="12" customHeight="1">
      <c r="A2627" s="30" t="inlineStr">
        <is>
          <t>ITG</t>
        </is>
      </c>
      <c r="B2627" s="30" t="inlineStr">
        <is>
          <t>Itaguai</t>
        </is>
      </c>
      <c r="C2627" s="30" t="n">
        <v>11699359</v>
      </c>
      <c r="D2627" s="30">
        <f>"36860222000121"</f>
        <v/>
      </c>
      <c r="E2627" s="30" t="inlineStr">
        <is>
          <t>ATLANTIC OCEAN COMERCIAL EXPORTADORA E IMPORTADORA, SERVI?OS E C</t>
        </is>
      </c>
      <c r="F2627" s="30" t="inlineStr">
        <is>
          <t>2020</t>
        </is>
      </c>
      <c r="G2627" s="40" t="n">
        <v>0</v>
      </c>
    </row>
    <row r="2628" ht="12" customHeight="1">
      <c r="A2628" s="30" t="inlineStr">
        <is>
          <t>ITG</t>
        </is>
      </c>
      <c r="B2628" s="30" t="inlineStr">
        <is>
          <t>Itaguai</t>
        </is>
      </c>
      <c r="C2628" s="30" t="n">
        <v>11699359</v>
      </c>
      <c r="D2628" s="30">
        <f>"36860222000121"</f>
        <v/>
      </c>
      <c r="E2628" s="30" t="inlineStr">
        <is>
          <t>ATLANTIC OCEAN COMERCIAL EXPORTADORA E IMPORTADORA, SERVI?OS E C</t>
        </is>
      </c>
      <c r="F2628" s="30" t="inlineStr">
        <is>
          <t>2021</t>
        </is>
      </c>
      <c r="G2628" s="40" t="n">
        <v>0</v>
      </c>
    </row>
    <row r="2629" ht="12" customHeight="1">
      <c r="A2629" s="30" t="inlineStr">
        <is>
          <t>ITG</t>
        </is>
      </c>
      <c r="B2629" s="30" t="inlineStr">
        <is>
          <t>Itaguai</t>
        </is>
      </c>
      <c r="C2629" s="30" t="n">
        <v>11699359</v>
      </c>
      <c r="D2629" s="30">
        <f>"36860222000121"</f>
        <v/>
      </c>
      <c r="E2629" s="30" t="inlineStr">
        <is>
          <t>ATLANTIC OCEAN COMERCIAL EXPORTADORA E IMPORTADORA, SERVI?OS E C</t>
        </is>
      </c>
      <c r="F2629" s="30" t="inlineStr">
        <is>
          <t>2022</t>
        </is>
      </c>
      <c r="G2629" s="40" t="n">
        <v>0</v>
      </c>
    </row>
    <row r="2630" ht="12" customHeight="1">
      <c r="A2630" s="30" t="inlineStr">
        <is>
          <t>ITG</t>
        </is>
      </c>
      <c r="B2630" s="30" t="inlineStr">
        <is>
          <t>Itaguai</t>
        </is>
      </c>
      <c r="C2630" s="30" t="n">
        <v>11699359</v>
      </c>
      <c r="D2630" s="30">
        <f>"36860222000121"</f>
        <v/>
      </c>
      <c r="E2630" s="30" t="inlineStr">
        <is>
          <t>ATLANTIC OCEAN COMERCIAL EXPORTADORA E IMPORTADORA, SERVI?OS E C</t>
        </is>
      </c>
      <c r="F2630" s="30" t="inlineStr">
        <is>
          <t>2023</t>
        </is>
      </c>
      <c r="G2630" s="40" t="n">
        <v>0</v>
      </c>
    </row>
    <row r="2631" ht="12" customHeight="1">
      <c r="A2631" s="30" t="inlineStr">
        <is>
          <t>ITG</t>
        </is>
      </c>
      <c r="B2631" s="30" t="inlineStr">
        <is>
          <t>Itaguai</t>
        </is>
      </c>
      <c r="C2631" s="30" t="n">
        <v>11699375</v>
      </c>
      <c r="D2631" s="30">
        <f>"20121850002107"</f>
        <v/>
      </c>
      <c r="E2631" s="30" t="inlineStr">
        <is>
          <t>MERCADO ENVIOS SERVICOS DE LOGISTICA LTDA</t>
        </is>
      </c>
      <c r="F2631" s="30" t="inlineStr">
        <is>
          <t>2020</t>
        </is>
      </c>
      <c r="G2631" s="40" t="n">
        <v>0</v>
      </c>
    </row>
    <row r="2632" ht="12" customHeight="1">
      <c r="A2632" s="30" t="inlineStr">
        <is>
          <t>ITG</t>
        </is>
      </c>
      <c r="B2632" s="30" t="inlineStr">
        <is>
          <t>Itaguai</t>
        </is>
      </c>
      <c r="C2632" s="30" t="n">
        <v>11699375</v>
      </c>
      <c r="D2632" s="30">
        <f>"20121850002107"</f>
        <v/>
      </c>
      <c r="E2632" s="30" t="inlineStr">
        <is>
          <t>MERCADO ENVIOS SERVICOS DE LOGISTICA LTDA</t>
        </is>
      </c>
      <c r="F2632" s="30" t="inlineStr">
        <is>
          <t>2021</t>
        </is>
      </c>
      <c r="G2632" s="40" t="n">
        <v>0</v>
      </c>
    </row>
    <row r="2633" ht="12" customHeight="1">
      <c r="A2633" s="30" t="inlineStr">
        <is>
          <t>ITG</t>
        </is>
      </c>
      <c r="B2633" s="30" t="inlineStr">
        <is>
          <t>Itaguai</t>
        </is>
      </c>
      <c r="C2633" s="30" t="n">
        <v>11699375</v>
      </c>
      <c r="D2633" s="30">
        <f>"20121850002107"</f>
        <v/>
      </c>
      <c r="E2633" s="30" t="inlineStr">
        <is>
          <t>MERCADO ENVIOS SERVICOS DE LOGISTICA LTDA</t>
        </is>
      </c>
      <c r="F2633" s="30" t="inlineStr">
        <is>
          <t>2022</t>
        </is>
      </c>
      <c r="G2633" s="40" t="n">
        <v>56852.64</v>
      </c>
    </row>
    <row r="2634" ht="12" customHeight="1">
      <c r="A2634" s="30" t="inlineStr">
        <is>
          <t>ITG</t>
        </is>
      </c>
      <c r="B2634" s="30" t="inlineStr">
        <is>
          <t>Itaguai</t>
        </is>
      </c>
      <c r="C2634" s="30" t="n">
        <v>11699375</v>
      </c>
      <c r="D2634" s="30">
        <f>"20121850002107"</f>
        <v/>
      </c>
      <c r="E2634" s="30" t="inlineStr">
        <is>
          <t>MERCADO ENVIOS SERVICOS DE LOGISTICA LTDA</t>
        </is>
      </c>
      <c r="F2634" s="30" t="inlineStr">
        <is>
          <t>2023</t>
        </is>
      </c>
      <c r="G2634" s="40" t="n">
        <v>0</v>
      </c>
    </row>
    <row r="2635" ht="12" customHeight="1">
      <c r="A2635" s="30" t="inlineStr">
        <is>
          <t>ITG</t>
        </is>
      </c>
      <c r="B2635" s="30" t="inlineStr">
        <is>
          <t>Itaguai</t>
        </is>
      </c>
      <c r="C2635" s="30" t="n">
        <v>11702341</v>
      </c>
      <c r="D2635" s="30">
        <f>"07199061001817"</f>
        <v/>
      </c>
      <c r="E2635" s="30" t="inlineStr">
        <is>
          <t>TRANSAGIL TRANSPORTES DE CARGA LTDA</t>
        </is>
      </c>
      <c r="F2635" s="30" t="inlineStr">
        <is>
          <t>2021</t>
        </is>
      </c>
      <c r="G2635" s="40" t="n">
        <v>0</v>
      </c>
    </row>
    <row r="2636" ht="12" customHeight="1">
      <c r="A2636" s="30" t="inlineStr">
        <is>
          <t>ITG</t>
        </is>
      </c>
      <c r="B2636" s="30" t="inlineStr">
        <is>
          <t>Itaguai</t>
        </is>
      </c>
      <c r="C2636" s="30" t="n">
        <v>11702341</v>
      </c>
      <c r="D2636" s="30">
        <f>"07199061001817"</f>
        <v/>
      </c>
      <c r="E2636" s="30" t="inlineStr">
        <is>
          <t>TRANSAGIL TRANSPORTES DE CARGA LTDA</t>
        </is>
      </c>
      <c r="F2636" s="30" t="inlineStr">
        <is>
          <t>2022</t>
        </is>
      </c>
      <c r="G2636" s="40" t="n">
        <v>0</v>
      </c>
    </row>
    <row r="2637" ht="12" customHeight="1">
      <c r="A2637" s="30" t="inlineStr">
        <is>
          <t>ITG</t>
        </is>
      </c>
      <c r="B2637" s="30" t="inlineStr">
        <is>
          <t>Itaguai</t>
        </is>
      </c>
      <c r="C2637" s="30" t="n">
        <v>11702341</v>
      </c>
      <c r="D2637" s="30">
        <f>"07199061001817"</f>
        <v/>
      </c>
      <c r="E2637" s="30" t="inlineStr">
        <is>
          <t>TRANSAGIL TRANSPORTES DE CARGA LTDA</t>
        </is>
      </c>
      <c r="F2637" s="30" t="inlineStr">
        <is>
          <t>2023</t>
        </is>
      </c>
      <c r="G2637" s="40" t="n">
        <v>41567.03</v>
      </c>
    </row>
    <row r="2638" ht="12" customHeight="1">
      <c r="A2638" s="30" t="inlineStr">
        <is>
          <t>ITG</t>
        </is>
      </c>
      <c r="B2638" s="30" t="inlineStr">
        <is>
          <t>Itaguai</t>
        </is>
      </c>
      <c r="C2638" s="30" t="n">
        <v>11712908</v>
      </c>
      <c r="D2638" s="30">
        <f>"36012579000150"</f>
        <v/>
      </c>
      <c r="E2638" s="30" t="inlineStr">
        <is>
          <t>COZANI RJ INFRAESTRUTURA E REDES DE TELECOMUNICA??ES S.A</t>
        </is>
      </c>
      <c r="F2638" s="30" t="inlineStr">
        <is>
          <t>2020</t>
        </is>
      </c>
      <c r="G2638" s="40" t="n">
        <v>0</v>
      </c>
    </row>
    <row r="2639" ht="12" customHeight="1">
      <c r="A2639" s="30" t="inlineStr">
        <is>
          <t>ITG</t>
        </is>
      </c>
      <c r="B2639" s="30" t="inlineStr">
        <is>
          <t>Itaguai</t>
        </is>
      </c>
      <c r="C2639" s="30" t="n">
        <v>11712908</v>
      </c>
      <c r="D2639" s="30">
        <f>"36012579000150"</f>
        <v/>
      </c>
      <c r="E2639" s="30" t="inlineStr">
        <is>
          <t>COZANI RJ INFRAESTRUTURA E REDES DE TELECOMUNICA??ES S.A</t>
        </is>
      </c>
      <c r="F2639" s="30" t="inlineStr">
        <is>
          <t>2021</t>
        </is>
      </c>
      <c r="G2639" s="40" t="n">
        <v>0</v>
      </c>
    </row>
    <row r="2640" ht="12" customHeight="1">
      <c r="A2640" s="30" t="inlineStr">
        <is>
          <t>ITG</t>
        </is>
      </c>
      <c r="B2640" s="30" t="inlineStr">
        <is>
          <t>Itaguai</t>
        </is>
      </c>
      <c r="C2640" s="30" t="n">
        <v>11712908</v>
      </c>
      <c r="D2640" s="30">
        <f>"36012579000150"</f>
        <v/>
      </c>
      <c r="E2640" s="30" t="inlineStr">
        <is>
          <t>COZANI RJ INFRAESTRUTURA E REDES DE TELECOMUNICA??ES S.A</t>
        </is>
      </c>
      <c r="F2640" s="30" t="inlineStr">
        <is>
          <t>2022</t>
        </is>
      </c>
      <c r="G2640" s="40" t="n">
        <v>1135082.91</v>
      </c>
    </row>
    <row r="2641" ht="12" customHeight="1">
      <c r="A2641" s="30" t="inlineStr">
        <is>
          <t>ITG</t>
        </is>
      </c>
      <c r="B2641" s="30" t="inlineStr">
        <is>
          <t>Itaguai</t>
        </is>
      </c>
      <c r="C2641" s="30" t="n">
        <v>11712908</v>
      </c>
      <c r="D2641" s="30">
        <f>"36012579000150"</f>
        <v/>
      </c>
      <c r="E2641" s="30" t="inlineStr">
        <is>
          <t>COZANI RJ INFRAESTRUTURA E REDES DE TELECOMUNICA??ES S.A</t>
        </is>
      </c>
      <c r="F2641" s="30" t="inlineStr">
        <is>
          <t>2023</t>
        </is>
      </c>
      <c r="G2641" s="40" t="n">
        <v>0</v>
      </c>
    </row>
    <row r="2642" ht="12" customHeight="1">
      <c r="A2642" s="30" t="inlineStr">
        <is>
          <t>ITG</t>
        </is>
      </c>
      <c r="B2642" s="30" t="inlineStr">
        <is>
          <t>Itaguai</t>
        </is>
      </c>
      <c r="C2642" s="30" t="n">
        <v>11713394</v>
      </c>
      <c r="D2642" s="30">
        <f>"35958746000278"</f>
        <v/>
      </c>
      <c r="E2642" s="30" t="inlineStr">
        <is>
          <t>WE MOVVE LOGISTICA E TRANSPORTES LTDA</t>
        </is>
      </c>
      <c r="F2642" s="30" t="inlineStr">
        <is>
          <t>2019</t>
        </is>
      </c>
      <c r="G2642" s="40" t="n">
        <v>0</v>
      </c>
    </row>
    <row r="2643" ht="12" customHeight="1">
      <c r="A2643" s="30" t="inlineStr">
        <is>
          <t>ITG</t>
        </is>
      </c>
      <c r="B2643" s="30" t="inlineStr">
        <is>
          <t>Itaguai</t>
        </is>
      </c>
      <c r="C2643" s="30" t="n">
        <v>11713394</v>
      </c>
      <c r="D2643" s="30">
        <f>"35958746000278"</f>
        <v/>
      </c>
      <c r="E2643" s="30" t="inlineStr">
        <is>
          <t>WE MOVVE LOGISTICA E TRANSPORTES LTDA</t>
        </is>
      </c>
      <c r="F2643" s="30" t="inlineStr">
        <is>
          <t>2020</t>
        </is>
      </c>
      <c r="G2643" s="40" t="n">
        <v>0</v>
      </c>
    </row>
    <row r="2644" ht="12" customHeight="1">
      <c r="A2644" s="30" t="inlineStr">
        <is>
          <t>ITG</t>
        </is>
      </c>
      <c r="B2644" s="30" t="inlineStr">
        <is>
          <t>Itaguai</t>
        </is>
      </c>
      <c r="C2644" s="30" t="n">
        <v>11713394</v>
      </c>
      <c r="D2644" s="30">
        <f>"35958746000278"</f>
        <v/>
      </c>
      <c r="E2644" s="30" t="inlineStr">
        <is>
          <t>WE MOVVE LOGISTICA E TRANSPORTES LTDA</t>
        </is>
      </c>
      <c r="F2644" s="30" t="inlineStr">
        <is>
          <t>2021</t>
        </is>
      </c>
      <c r="G2644" s="40" t="n">
        <v>2388.95</v>
      </c>
    </row>
    <row r="2645" ht="12" customHeight="1">
      <c r="A2645" s="30" t="inlineStr">
        <is>
          <t>ITG</t>
        </is>
      </c>
      <c r="B2645" s="30" t="inlineStr">
        <is>
          <t>Itaguai</t>
        </is>
      </c>
      <c r="C2645" s="30" t="n">
        <v>11713394</v>
      </c>
      <c r="D2645" s="30">
        <f>"35958746000278"</f>
        <v/>
      </c>
      <c r="E2645" s="30" t="inlineStr">
        <is>
          <t>WE MOVVE LOGISTICA E TRANSPORTES LTDA</t>
        </is>
      </c>
      <c r="F2645" s="30" t="inlineStr">
        <is>
          <t>2022</t>
        </is>
      </c>
      <c r="G2645" s="40" t="n">
        <v>70.23</v>
      </c>
    </row>
    <row r="2646" ht="12" customHeight="1">
      <c r="A2646" s="30" t="inlineStr">
        <is>
          <t>ITG</t>
        </is>
      </c>
      <c r="B2646" s="30" t="inlineStr">
        <is>
          <t>Itaguai</t>
        </is>
      </c>
      <c r="C2646" s="30" t="n">
        <v>11713394</v>
      </c>
      <c r="D2646" s="30">
        <f>"35958746000278"</f>
        <v/>
      </c>
      <c r="E2646" s="30" t="inlineStr">
        <is>
          <t>WE MOVVE LOGISTICA E TRANSPORTES LTDA</t>
        </is>
      </c>
      <c r="F2646" s="30" t="inlineStr">
        <is>
          <t>2023</t>
        </is>
      </c>
      <c r="G2646" s="40" t="n">
        <v>0</v>
      </c>
    </row>
    <row r="2647" ht="12" customHeight="1">
      <c r="A2647" s="30" t="inlineStr">
        <is>
          <t>ITG</t>
        </is>
      </c>
      <c r="B2647" s="30" t="inlineStr">
        <is>
          <t>Itaguai</t>
        </is>
      </c>
      <c r="C2647" s="30" t="n">
        <v>11718426</v>
      </c>
      <c r="D2647" s="30">
        <f>"37246779000130"</f>
        <v/>
      </c>
      <c r="E2647" s="30" t="inlineStr">
        <is>
          <t>ITAMIX BAZAR LTDA</t>
        </is>
      </c>
      <c r="F2647" s="30" t="inlineStr">
        <is>
          <t>2018</t>
        </is>
      </c>
      <c r="G2647" s="40" t="n">
        <v>0</v>
      </c>
    </row>
    <row r="2648" ht="12" customHeight="1">
      <c r="A2648" s="30" t="inlineStr">
        <is>
          <t>ITG</t>
        </is>
      </c>
      <c r="B2648" s="30" t="inlineStr">
        <is>
          <t>Itaguai</t>
        </is>
      </c>
      <c r="C2648" s="30" t="n">
        <v>11718426</v>
      </c>
      <c r="D2648" s="30">
        <f>"37246779000130"</f>
        <v/>
      </c>
      <c r="E2648" s="30" t="inlineStr">
        <is>
          <t>ITAMIX BAZAR LTDA</t>
        </is>
      </c>
      <c r="F2648" s="30" t="inlineStr">
        <is>
          <t>2019</t>
        </is>
      </c>
      <c r="G2648" s="40" t="n">
        <v>0</v>
      </c>
    </row>
    <row r="2649" ht="12" customHeight="1">
      <c r="A2649" s="30" t="inlineStr">
        <is>
          <t>ITG</t>
        </is>
      </c>
      <c r="B2649" s="30" t="inlineStr">
        <is>
          <t>Itaguai</t>
        </is>
      </c>
      <c r="C2649" s="30" t="n">
        <v>11718426</v>
      </c>
      <c r="D2649" s="30">
        <f>"37246779000130"</f>
        <v/>
      </c>
      <c r="E2649" s="30" t="inlineStr">
        <is>
          <t>ITAMIX BAZAR LTDA</t>
        </is>
      </c>
      <c r="F2649" s="30" t="inlineStr">
        <is>
          <t>2020</t>
        </is>
      </c>
      <c r="G2649" s="40" t="n">
        <v>95464.67999999999</v>
      </c>
    </row>
    <row r="2650" ht="12" customHeight="1">
      <c r="A2650" s="30" t="inlineStr">
        <is>
          <t>ITG</t>
        </is>
      </c>
      <c r="B2650" s="30" t="inlineStr">
        <is>
          <t>Itaguai</t>
        </is>
      </c>
      <c r="C2650" s="30" t="n">
        <v>11718426</v>
      </c>
      <c r="D2650" s="30">
        <f>"37246779000130"</f>
        <v/>
      </c>
      <c r="E2650" s="30" t="inlineStr">
        <is>
          <t>ITAMIX BAZAR LTDA</t>
        </is>
      </c>
      <c r="F2650" s="30" t="inlineStr">
        <is>
          <t>2021</t>
        </is>
      </c>
      <c r="G2650" s="40" t="n">
        <v>0</v>
      </c>
    </row>
    <row r="2651" ht="12" customHeight="1">
      <c r="A2651" s="30" t="inlineStr">
        <is>
          <t>ITG</t>
        </is>
      </c>
      <c r="B2651" s="30" t="inlineStr">
        <is>
          <t>Itaguai</t>
        </is>
      </c>
      <c r="C2651" s="30" t="n">
        <v>11718426</v>
      </c>
      <c r="D2651" s="30">
        <f>"37246779000130"</f>
        <v/>
      </c>
      <c r="E2651" s="30" t="inlineStr">
        <is>
          <t>ITAMIX BAZAR LTDA</t>
        </is>
      </c>
      <c r="F2651" s="30" t="inlineStr">
        <is>
          <t>2022</t>
        </is>
      </c>
      <c r="G2651" s="40" t="n">
        <v>952870.6899999999</v>
      </c>
    </row>
    <row r="2652" ht="12" customHeight="1">
      <c r="A2652" s="30" t="inlineStr">
        <is>
          <t>ITG</t>
        </is>
      </c>
      <c r="B2652" s="30" t="inlineStr">
        <is>
          <t>Itaguai</t>
        </is>
      </c>
      <c r="C2652" s="30" t="n">
        <v>11718426</v>
      </c>
      <c r="D2652" s="30">
        <f>"37246779000130"</f>
        <v/>
      </c>
      <c r="E2652" s="30" t="inlineStr">
        <is>
          <t>ITAMIX BAZAR LTDA</t>
        </is>
      </c>
      <c r="F2652" s="30" t="inlineStr">
        <is>
          <t>2023</t>
        </is>
      </c>
      <c r="G2652" s="40" t="n">
        <v>984329.2</v>
      </c>
    </row>
    <row r="2653" ht="12" customHeight="1">
      <c r="A2653" s="30" t="inlineStr">
        <is>
          <t>ITG</t>
        </is>
      </c>
      <c r="B2653" s="30" t="inlineStr">
        <is>
          <t>Itaguai</t>
        </is>
      </c>
      <c r="C2653" s="30" t="n">
        <v>11726097</v>
      </c>
      <c r="D2653" s="30">
        <f>"29323431000170"</f>
        <v/>
      </c>
      <c r="E2653" s="30" t="inlineStr">
        <is>
          <t>SERR?O FRIGOR?FICO LTDA</t>
        </is>
      </c>
      <c r="F2653" s="30" t="inlineStr">
        <is>
          <t>2019</t>
        </is>
      </c>
      <c r="G2653" s="40" t="n">
        <v>0</v>
      </c>
    </row>
    <row r="2654" ht="12" customHeight="1">
      <c r="A2654" s="30" t="inlineStr">
        <is>
          <t>ITG</t>
        </is>
      </c>
      <c r="B2654" s="30" t="inlineStr">
        <is>
          <t>Itaguai</t>
        </is>
      </c>
      <c r="C2654" s="30" t="n">
        <v>11726097</v>
      </c>
      <c r="D2654" s="30">
        <f>"29323431000170"</f>
        <v/>
      </c>
      <c r="E2654" s="30" t="inlineStr">
        <is>
          <t>SERR?O FRIGOR?FICO LTDA</t>
        </is>
      </c>
      <c r="F2654" s="30" t="inlineStr">
        <is>
          <t>2020</t>
        </is>
      </c>
      <c r="G2654" s="40" t="n">
        <v>0</v>
      </c>
    </row>
    <row r="2655" ht="12" customHeight="1">
      <c r="A2655" s="30" t="inlineStr">
        <is>
          <t>ITG</t>
        </is>
      </c>
      <c r="B2655" s="30" t="inlineStr">
        <is>
          <t>Itaguai</t>
        </is>
      </c>
      <c r="C2655" s="30" t="n">
        <v>11726097</v>
      </c>
      <c r="D2655" s="30">
        <f>"29323431000170"</f>
        <v/>
      </c>
      <c r="E2655" s="30" t="inlineStr">
        <is>
          <t>SERR?O FRIGOR?FICO LTDA</t>
        </is>
      </c>
      <c r="F2655" s="30" t="inlineStr">
        <is>
          <t>2021</t>
        </is>
      </c>
      <c r="G2655" s="40" t="n">
        <v>0</v>
      </c>
    </row>
    <row r="2656" ht="12" customHeight="1">
      <c r="A2656" s="30" t="inlineStr">
        <is>
          <t>ITG</t>
        </is>
      </c>
      <c r="B2656" s="30" t="inlineStr">
        <is>
          <t>Itaguai</t>
        </is>
      </c>
      <c r="C2656" s="30" t="n">
        <v>11726097</v>
      </c>
      <c r="D2656" s="30">
        <f>"29323431000170"</f>
        <v/>
      </c>
      <c r="E2656" s="30" t="inlineStr">
        <is>
          <t>SERR?O FRIGOR?FICO LTDA</t>
        </is>
      </c>
      <c r="F2656" s="30" t="inlineStr">
        <is>
          <t>2022</t>
        </is>
      </c>
      <c r="G2656" s="40" t="n">
        <v>0</v>
      </c>
    </row>
    <row r="2657" ht="12" customHeight="1">
      <c r="A2657" s="30" t="inlineStr">
        <is>
          <t>ITG</t>
        </is>
      </c>
      <c r="B2657" s="30" t="inlineStr">
        <is>
          <t>Itaguai</t>
        </is>
      </c>
      <c r="C2657" s="30" t="n">
        <v>11726097</v>
      </c>
      <c r="D2657" s="30">
        <f>"29323431000170"</f>
        <v/>
      </c>
      <c r="E2657" s="30" t="inlineStr">
        <is>
          <t>SERR?O FRIGOR?FICO LTDA</t>
        </is>
      </c>
      <c r="F2657" s="30" t="inlineStr">
        <is>
          <t>2023</t>
        </is>
      </c>
      <c r="G2657" s="40" t="n">
        <v>0</v>
      </c>
    </row>
    <row r="2658" ht="12" customHeight="1">
      <c r="A2658" s="30" t="inlineStr">
        <is>
          <t>ITG</t>
        </is>
      </c>
      <c r="B2658" s="30" t="inlineStr">
        <is>
          <t>Itaguai</t>
        </is>
      </c>
      <c r="C2658" s="30" t="n">
        <v>11729096</v>
      </c>
      <c r="D2658" s="30">
        <f>"17352305000408"</f>
        <v/>
      </c>
      <c r="E2658" s="30" t="inlineStr">
        <is>
          <t>NOVACAR RIO VEICULOS LTDA</t>
        </is>
      </c>
      <c r="F2658" s="30" t="inlineStr">
        <is>
          <t>2018</t>
        </is>
      </c>
      <c r="G2658" s="40" t="n">
        <v>0</v>
      </c>
    </row>
    <row r="2659" ht="12" customHeight="1">
      <c r="A2659" s="30" t="inlineStr">
        <is>
          <t>ITG</t>
        </is>
      </c>
      <c r="B2659" s="30" t="inlineStr">
        <is>
          <t>Itaguai</t>
        </is>
      </c>
      <c r="C2659" s="30" t="n">
        <v>11729096</v>
      </c>
      <c r="D2659" s="30">
        <f>"17352305000408"</f>
        <v/>
      </c>
      <c r="E2659" s="30" t="inlineStr">
        <is>
          <t>NOVACAR RIO VEICULOS LTDA</t>
        </is>
      </c>
      <c r="F2659" s="30" t="inlineStr">
        <is>
          <t>2019</t>
        </is>
      </c>
      <c r="G2659" s="40" t="n">
        <v>0</v>
      </c>
    </row>
    <row r="2660" ht="12" customHeight="1">
      <c r="A2660" s="30" t="inlineStr">
        <is>
          <t>ITG</t>
        </is>
      </c>
      <c r="B2660" s="30" t="inlineStr">
        <is>
          <t>Itaguai</t>
        </is>
      </c>
      <c r="C2660" s="30" t="n">
        <v>11729096</v>
      </c>
      <c r="D2660" s="30">
        <f>"17352305000408"</f>
        <v/>
      </c>
      <c r="E2660" s="30" t="inlineStr">
        <is>
          <t>NOVACAR RIO VEICULOS LTDA</t>
        </is>
      </c>
      <c r="F2660" s="30" t="inlineStr">
        <is>
          <t>2020</t>
        </is>
      </c>
      <c r="G2660" s="40" t="n">
        <v>245850</v>
      </c>
    </row>
    <row r="2661" ht="12" customHeight="1">
      <c r="A2661" s="30" t="inlineStr">
        <is>
          <t>ITG</t>
        </is>
      </c>
      <c r="B2661" s="30" t="inlineStr">
        <is>
          <t>Itaguai</t>
        </is>
      </c>
      <c r="C2661" s="30" t="n">
        <v>11729096</v>
      </c>
      <c r="D2661" s="30">
        <f>"17352305000408"</f>
        <v/>
      </c>
      <c r="E2661" s="30" t="inlineStr">
        <is>
          <t>NOVACAR RIO VEICULOS LTDA</t>
        </is>
      </c>
      <c r="F2661" s="30" t="inlineStr">
        <is>
          <t>2021</t>
        </is>
      </c>
      <c r="G2661" s="40" t="n">
        <v>616949.4300000001</v>
      </c>
    </row>
    <row r="2662" ht="12" customHeight="1">
      <c r="A2662" s="30" t="inlineStr">
        <is>
          <t>ITG</t>
        </is>
      </c>
      <c r="B2662" s="30" t="inlineStr">
        <is>
          <t>Itaguai</t>
        </is>
      </c>
      <c r="C2662" s="30" t="n">
        <v>11729096</v>
      </c>
      <c r="D2662" s="30">
        <f>"17352305000408"</f>
        <v/>
      </c>
      <c r="E2662" s="30" t="inlineStr">
        <is>
          <t>NOVACAR RIO VEICULOS LTDA</t>
        </is>
      </c>
      <c r="F2662" s="30" t="inlineStr">
        <is>
          <t>2022</t>
        </is>
      </c>
      <c r="G2662" s="40" t="n">
        <v>0</v>
      </c>
    </row>
    <row r="2663" ht="12" customHeight="1">
      <c r="A2663" s="30" t="inlineStr">
        <is>
          <t>ITG</t>
        </is>
      </c>
      <c r="B2663" s="30" t="inlineStr">
        <is>
          <t>Itaguai</t>
        </is>
      </c>
      <c r="C2663" s="30" t="n">
        <v>11729096</v>
      </c>
      <c r="D2663" s="30">
        <f>"17352305000408"</f>
        <v/>
      </c>
      <c r="E2663" s="30" t="inlineStr">
        <is>
          <t>NOVACAR RIO VEICULOS LTDA</t>
        </is>
      </c>
      <c r="F2663" s="30" t="inlineStr">
        <is>
          <t>2023</t>
        </is>
      </c>
      <c r="G2663" s="40" t="n">
        <v>0</v>
      </c>
    </row>
    <row r="2664" ht="12" customHeight="1">
      <c r="A2664" s="30" t="inlineStr">
        <is>
          <t>ITG</t>
        </is>
      </c>
      <c r="B2664" s="30" t="inlineStr">
        <is>
          <t>Itaguai</t>
        </is>
      </c>
      <c r="C2664" s="30" t="n">
        <v>11738494</v>
      </c>
      <c r="D2664" s="30">
        <f>"17215039002334"</f>
        <v/>
      </c>
      <c r="E2664" s="30" t="inlineStr">
        <is>
          <t>TRANSPORTES PESADOS MINAS S A</t>
        </is>
      </c>
      <c r="F2664" s="30" t="inlineStr">
        <is>
          <t>2020</t>
        </is>
      </c>
      <c r="G2664" s="40" t="n">
        <v>0</v>
      </c>
    </row>
    <row r="2665" ht="12" customHeight="1">
      <c r="A2665" s="30" t="inlineStr">
        <is>
          <t>ITG</t>
        </is>
      </c>
      <c r="B2665" s="30" t="inlineStr">
        <is>
          <t>Itaguai</t>
        </is>
      </c>
      <c r="C2665" s="30" t="n">
        <v>11738494</v>
      </c>
      <c r="D2665" s="30">
        <f>"17215039002334"</f>
        <v/>
      </c>
      <c r="E2665" s="30" t="inlineStr">
        <is>
          <t>TRANSPORTES PESADOS MINAS S A</t>
        </is>
      </c>
      <c r="F2665" s="30" t="inlineStr">
        <is>
          <t>2021</t>
        </is>
      </c>
      <c r="G2665" s="40" t="n">
        <v>0</v>
      </c>
    </row>
    <row r="2666" ht="12" customHeight="1">
      <c r="A2666" s="30" t="inlineStr">
        <is>
          <t>ITG</t>
        </is>
      </c>
      <c r="B2666" s="30" t="inlineStr">
        <is>
          <t>Itaguai</t>
        </is>
      </c>
      <c r="C2666" s="30" t="n">
        <v>11738494</v>
      </c>
      <c r="D2666" s="30">
        <f>"17215039002334"</f>
        <v/>
      </c>
      <c r="E2666" s="30" t="inlineStr">
        <is>
          <t>TRANSPORTES PESADOS MINAS S A</t>
        </is>
      </c>
      <c r="F2666" s="30" t="inlineStr">
        <is>
          <t>2022</t>
        </is>
      </c>
      <c r="G2666" s="40" t="n">
        <v>2703.51</v>
      </c>
    </row>
    <row r="2667" ht="12" customHeight="1">
      <c r="A2667" s="30" t="inlineStr">
        <is>
          <t>ITG</t>
        </is>
      </c>
      <c r="B2667" s="30" t="inlineStr">
        <is>
          <t>Itaguai</t>
        </is>
      </c>
      <c r="C2667" s="30" t="n">
        <v>11738494</v>
      </c>
      <c r="D2667" s="30">
        <f>"17215039002334"</f>
        <v/>
      </c>
      <c r="E2667" s="30" t="inlineStr">
        <is>
          <t>TRANSPORTES PESADOS MINAS S A</t>
        </is>
      </c>
      <c r="F2667" s="30" t="inlineStr">
        <is>
          <t>2023</t>
        </is>
      </c>
      <c r="G2667" s="40" t="n">
        <v>0</v>
      </c>
    </row>
    <row r="2668" ht="12" customHeight="1">
      <c r="A2668" s="30" t="inlineStr">
        <is>
          <t>ITG</t>
        </is>
      </c>
      <c r="B2668" s="30" t="inlineStr">
        <is>
          <t>Itaguai</t>
        </is>
      </c>
      <c r="C2668" s="30" t="n">
        <v>11743501</v>
      </c>
      <c r="D2668" s="30">
        <f>"18247063001770"</f>
        <v/>
      </c>
      <c r="E2668" s="30" t="inlineStr">
        <is>
          <t>DOMINALOG EXPRESS LOGISTICA INTEGRADA LTDA</t>
        </is>
      </c>
      <c r="F2668" s="30" t="inlineStr">
        <is>
          <t>2018</t>
        </is>
      </c>
      <c r="G2668" s="40" t="n">
        <v>0</v>
      </c>
    </row>
    <row r="2669" ht="12" customHeight="1">
      <c r="A2669" s="30" t="inlineStr">
        <is>
          <t>ITG</t>
        </is>
      </c>
      <c r="B2669" s="30" t="inlineStr">
        <is>
          <t>Itaguai</t>
        </is>
      </c>
      <c r="C2669" s="30" t="n">
        <v>11743501</v>
      </c>
      <c r="D2669" s="30">
        <f>"18247063001770"</f>
        <v/>
      </c>
      <c r="E2669" s="30" t="inlineStr">
        <is>
          <t>DOMINALOG EXPRESS LOGISTICA INTEGRADA LTDA</t>
        </is>
      </c>
      <c r="F2669" s="30" t="inlineStr">
        <is>
          <t>2019</t>
        </is>
      </c>
      <c r="G2669" s="40" t="n">
        <v>0</v>
      </c>
    </row>
    <row r="2670" ht="12" customHeight="1">
      <c r="A2670" s="30" t="inlineStr">
        <is>
          <t>ITG</t>
        </is>
      </c>
      <c r="B2670" s="30" t="inlineStr">
        <is>
          <t>Itaguai</t>
        </is>
      </c>
      <c r="C2670" s="30" t="n">
        <v>11743501</v>
      </c>
      <c r="D2670" s="30">
        <f>"18247063001770"</f>
        <v/>
      </c>
      <c r="E2670" s="30" t="inlineStr">
        <is>
          <t>DOMINALOG EXPRESS LOGISTICA INTEGRADA LTDA</t>
        </is>
      </c>
      <c r="F2670" s="30" t="inlineStr">
        <is>
          <t>2020</t>
        </is>
      </c>
      <c r="G2670" s="40" t="n">
        <v>133.96</v>
      </c>
    </row>
    <row r="2671" ht="12" customHeight="1">
      <c r="A2671" s="30" t="inlineStr">
        <is>
          <t>ITG</t>
        </is>
      </c>
      <c r="B2671" s="30" t="inlineStr">
        <is>
          <t>Itaguai</t>
        </is>
      </c>
      <c r="C2671" s="30" t="n">
        <v>11743501</v>
      </c>
      <c r="D2671" s="30">
        <f>"18247063001770"</f>
        <v/>
      </c>
      <c r="E2671" s="30" t="inlineStr">
        <is>
          <t>DOMINALOG EXPRESS LOGISTICA INTEGRADA LTDA</t>
        </is>
      </c>
      <c r="F2671" s="30" t="inlineStr">
        <is>
          <t>2021</t>
        </is>
      </c>
      <c r="G2671" s="40" t="n">
        <v>0</v>
      </c>
    </row>
    <row r="2672" ht="12" customHeight="1">
      <c r="A2672" s="30" t="inlineStr">
        <is>
          <t>ITG</t>
        </is>
      </c>
      <c r="B2672" s="30" t="inlineStr">
        <is>
          <t>Itaguai</t>
        </is>
      </c>
      <c r="C2672" s="30" t="n">
        <v>11743501</v>
      </c>
      <c r="D2672" s="30">
        <f>"18247063001770"</f>
        <v/>
      </c>
      <c r="E2672" s="30" t="inlineStr">
        <is>
          <t>DOMINALOG EXPRESS LOGISTICA INTEGRADA LTDA</t>
        </is>
      </c>
      <c r="F2672" s="30" t="inlineStr">
        <is>
          <t>2022</t>
        </is>
      </c>
      <c r="G2672" s="40" t="n">
        <v>0</v>
      </c>
    </row>
    <row r="2673" ht="12" customHeight="1">
      <c r="A2673" s="30" t="inlineStr">
        <is>
          <t>ITG</t>
        </is>
      </c>
      <c r="B2673" s="30" t="inlineStr">
        <is>
          <t>Itaguai</t>
        </is>
      </c>
      <c r="C2673" s="30" t="n">
        <v>11743501</v>
      </c>
      <c r="D2673" s="30">
        <f>"18247063001770"</f>
        <v/>
      </c>
      <c r="E2673" s="30" t="inlineStr">
        <is>
          <t>DOMINALOG EXPRESS LOGISTICA INTEGRADA LTDA</t>
        </is>
      </c>
      <c r="F2673" s="30" t="inlineStr">
        <is>
          <t>2023</t>
        </is>
      </c>
      <c r="G2673" s="40" t="n">
        <v>774.85</v>
      </c>
    </row>
    <row r="2674" ht="12" customHeight="1">
      <c r="A2674" s="30" t="inlineStr">
        <is>
          <t>ITG</t>
        </is>
      </c>
      <c r="B2674" s="30" t="inlineStr">
        <is>
          <t>Itaguai</t>
        </is>
      </c>
      <c r="C2674" s="30" t="n">
        <v>11752802</v>
      </c>
      <c r="D2674" s="30">
        <f>"44993632007696"</f>
        <v/>
      </c>
      <c r="E2674" s="30" t="inlineStr">
        <is>
          <t>EMPRESAS REUNIDAS PAULISTA DE TRANSPORTES LTDA</t>
        </is>
      </c>
      <c r="F2674" s="30" t="inlineStr">
        <is>
          <t>2019</t>
        </is>
      </c>
      <c r="G2674" s="40" t="n">
        <v>0</v>
      </c>
    </row>
    <row r="2675" ht="12" customHeight="1">
      <c r="A2675" s="30" t="inlineStr">
        <is>
          <t>ITG</t>
        </is>
      </c>
      <c r="B2675" s="30" t="inlineStr">
        <is>
          <t>Itaguai</t>
        </is>
      </c>
      <c r="C2675" s="30" t="n">
        <v>11752802</v>
      </c>
      <c r="D2675" s="30">
        <f>"44993632007696"</f>
        <v/>
      </c>
      <c r="E2675" s="30" t="inlineStr">
        <is>
          <t>EMPRESAS REUNIDAS PAULISTA DE TRANSPORTES LTDA</t>
        </is>
      </c>
      <c r="F2675" s="30" t="inlineStr">
        <is>
          <t>2020</t>
        </is>
      </c>
      <c r="G2675" s="40" t="n">
        <v>0</v>
      </c>
    </row>
    <row r="2676" ht="12" customHeight="1">
      <c r="A2676" s="30" t="inlineStr">
        <is>
          <t>ITG</t>
        </is>
      </c>
      <c r="B2676" s="30" t="inlineStr">
        <is>
          <t>Itaguai</t>
        </is>
      </c>
      <c r="C2676" s="30" t="n">
        <v>11752802</v>
      </c>
      <c r="D2676" s="30">
        <f>"44993632007696"</f>
        <v/>
      </c>
      <c r="E2676" s="30" t="inlineStr">
        <is>
          <t>EMPRESAS REUNIDAS PAULISTA DE TRANSPORTES LTDA</t>
        </is>
      </c>
      <c r="F2676" s="30" t="inlineStr">
        <is>
          <t>2021</t>
        </is>
      </c>
      <c r="G2676" s="40" t="n">
        <v>311.01</v>
      </c>
    </row>
    <row r="2677" ht="12" customHeight="1">
      <c r="A2677" s="30" t="inlineStr">
        <is>
          <t>ITG</t>
        </is>
      </c>
      <c r="B2677" s="30" t="inlineStr">
        <is>
          <t>Itaguai</t>
        </is>
      </c>
      <c r="C2677" s="30" t="n">
        <v>11752802</v>
      </c>
      <c r="D2677" s="30">
        <f>"44993632007696"</f>
        <v/>
      </c>
      <c r="E2677" s="30" t="inlineStr">
        <is>
          <t>EMPRESAS REUNIDAS PAULISTA DE TRANSPORTES LTDA</t>
        </is>
      </c>
      <c r="F2677" s="30" t="inlineStr">
        <is>
          <t>2022</t>
        </is>
      </c>
      <c r="G2677" s="40" t="n">
        <v>0</v>
      </c>
    </row>
    <row r="2678" ht="12" customHeight="1">
      <c r="A2678" s="30" t="inlineStr">
        <is>
          <t>ITG</t>
        </is>
      </c>
      <c r="B2678" s="30" t="inlineStr">
        <is>
          <t>Itaguai</t>
        </is>
      </c>
      <c r="C2678" s="30" t="n">
        <v>11752802</v>
      </c>
      <c r="D2678" s="30">
        <f>"44993632007696"</f>
        <v/>
      </c>
      <c r="E2678" s="30" t="inlineStr">
        <is>
          <t>EMPRESAS REUNIDAS PAULISTA DE TRANSPORTES LTDA</t>
        </is>
      </c>
      <c r="F2678" s="30" t="inlineStr">
        <is>
          <t>2023</t>
        </is>
      </c>
      <c r="G2678" s="40" t="n">
        <v>177.74</v>
      </c>
    </row>
    <row r="2679" ht="12" customHeight="1">
      <c r="A2679" s="30" t="inlineStr">
        <is>
          <t>ITG</t>
        </is>
      </c>
      <c r="B2679" s="30" t="inlineStr">
        <is>
          <t>Itaguai</t>
        </is>
      </c>
      <c r="C2679" s="30" t="n">
        <v>11752837</v>
      </c>
      <c r="D2679" s="30">
        <f>"19247157000225"</f>
        <v/>
      </c>
      <c r="E2679" s="30" t="inlineStr">
        <is>
          <t>LNV COMERCIO DE ROUPAS E ACESSORIOS LTDA</t>
        </is>
      </c>
      <c r="F2679" s="30" t="inlineStr">
        <is>
          <t>2021</t>
        </is>
      </c>
      <c r="G2679" s="40" t="n">
        <v>0</v>
      </c>
    </row>
    <row r="2680" ht="12" customHeight="1">
      <c r="A2680" s="30" t="inlineStr">
        <is>
          <t>ITG</t>
        </is>
      </c>
      <c r="B2680" s="30" t="inlineStr">
        <is>
          <t>Itaguai</t>
        </is>
      </c>
      <c r="C2680" s="30" t="n">
        <v>11752837</v>
      </c>
      <c r="D2680" s="30">
        <f>"19247157000225"</f>
        <v/>
      </c>
      <c r="E2680" s="30" t="inlineStr">
        <is>
          <t>LNV COMERCIO DE ROUPAS E ACESSORIOS LTDA</t>
        </is>
      </c>
      <c r="F2680" s="30" t="inlineStr">
        <is>
          <t>2022</t>
        </is>
      </c>
      <c r="G2680" s="40" t="n">
        <v>0</v>
      </c>
    </row>
    <row r="2681" ht="12" customHeight="1">
      <c r="A2681" s="30" t="inlineStr">
        <is>
          <t>ITG</t>
        </is>
      </c>
      <c r="B2681" s="30" t="inlineStr">
        <is>
          <t>Itaguai</t>
        </is>
      </c>
      <c r="C2681" s="30" t="n">
        <v>11752837</v>
      </c>
      <c r="D2681" s="30">
        <f>"19247157000225"</f>
        <v/>
      </c>
      <c r="E2681" s="30" t="inlineStr">
        <is>
          <t>LNV COMERCIO DE ROUPAS E ACESSORIOS LTDA</t>
        </is>
      </c>
      <c r="F2681" s="30" t="inlineStr">
        <is>
          <t>2023</t>
        </is>
      </c>
      <c r="G2681" s="40" t="n">
        <v>979545.54</v>
      </c>
    </row>
    <row r="2682" ht="12" customHeight="1">
      <c r="A2682" s="30" t="inlineStr">
        <is>
          <t>ITG</t>
        </is>
      </c>
      <c r="B2682" s="30" t="inlineStr">
        <is>
          <t>Itaguai</t>
        </is>
      </c>
      <c r="C2682" s="30" t="n">
        <v>11754066</v>
      </c>
      <c r="D2682" s="30">
        <f>"00015265570705"</f>
        <v/>
      </c>
      <c r="E2682" s="30" t="inlineStr">
        <is>
          <t>JEAN TEIXEIRA DE OLIVEIRA</t>
        </is>
      </c>
      <c r="F2682" s="30" t="inlineStr">
        <is>
          <t>2018</t>
        </is>
      </c>
      <c r="G2682" s="40" t="n">
        <v>0</v>
      </c>
    </row>
    <row r="2683" ht="12" customHeight="1">
      <c r="A2683" s="30" t="inlineStr">
        <is>
          <t>ITG</t>
        </is>
      </c>
      <c r="B2683" s="30" t="inlineStr">
        <is>
          <t>Itaguai</t>
        </is>
      </c>
      <c r="C2683" s="30" t="n">
        <v>11754066</v>
      </c>
      <c r="D2683" s="30">
        <f>"00015265570705"</f>
        <v/>
      </c>
      <c r="E2683" s="30" t="inlineStr">
        <is>
          <t>JEAN TEIXEIRA DE OLIVEIRA</t>
        </is>
      </c>
      <c r="F2683" s="30" t="inlineStr">
        <is>
          <t>2019</t>
        </is>
      </c>
      <c r="G2683" s="40" t="n">
        <v>0</v>
      </c>
    </row>
    <row r="2684" ht="12" customHeight="1">
      <c r="A2684" s="30" t="inlineStr">
        <is>
          <t>ITG</t>
        </is>
      </c>
      <c r="B2684" s="30" t="inlineStr">
        <is>
          <t>Itaguai</t>
        </is>
      </c>
      <c r="C2684" s="30" t="n">
        <v>11754066</v>
      </c>
      <c r="D2684" s="30">
        <f>"00015265570705"</f>
        <v/>
      </c>
      <c r="E2684" s="30" t="inlineStr">
        <is>
          <t>JEAN TEIXEIRA DE OLIVEIRA</t>
        </is>
      </c>
      <c r="F2684" s="30" t="inlineStr">
        <is>
          <t>2020</t>
        </is>
      </c>
      <c r="G2684" s="40" t="n">
        <v>0</v>
      </c>
    </row>
    <row r="2685" ht="12" customHeight="1">
      <c r="A2685" s="30" t="inlineStr">
        <is>
          <t>ITG</t>
        </is>
      </c>
      <c r="B2685" s="30" t="inlineStr">
        <is>
          <t>Itaguai</t>
        </is>
      </c>
      <c r="C2685" s="30" t="n">
        <v>11754066</v>
      </c>
      <c r="D2685" s="30">
        <f>"00015265570705"</f>
        <v/>
      </c>
      <c r="E2685" s="30" t="inlineStr">
        <is>
          <t>JEAN TEIXEIRA DE OLIVEIRA</t>
        </is>
      </c>
      <c r="F2685" s="30" t="inlineStr">
        <is>
          <t>2021</t>
        </is>
      </c>
      <c r="G2685" s="40" t="n">
        <v>293442</v>
      </c>
    </row>
    <row r="2686" ht="12" customHeight="1">
      <c r="A2686" s="30" t="inlineStr">
        <is>
          <t>ITG</t>
        </is>
      </c>
      <c r="B2686" s="30" t="inlineStr">
        <is>
          <t>Itaguai</t>
        </is>
      </c>
      <c r="C2686" s="30" t="n">
        <v>11754066</v>
      </c>
      <c r="D2686" s="30">
        <f>"00015265570705"</f>
        <v/>
      </c>
      <c r="E2686" s="30" t="inlineStr">
        <is>
          <t>JEAN TEIXEIRA DE OLIVEIRA</t>
        </is>
      </c>
      <c r="F2686" s="30" t="inlineStr">
        <is>
          <t>2022</t>
        </is>
      </c>
      <c r="G2686" s="40" t="n">
        <v>0</v>
      </c>
    </row>
    <row r="2687" ht="12" customHeight="1">
      <c r="A2687" s="30" t="inlineStr">
        <is>
          <t>ITG</t>
        </is>
      </c>
      <c r="B2687" s="30" t="inlineStr">
        <is>
          <t>Itaguai</t>
        </is>
      </c>
      <c r="C2687" s="30" t="n">
        <v>11754066</v>
      </c>
      <c r="D2687" s="30">
        <f>"00015265570705"</f>
        <v/>
      </c>
      <c r="E2687" s="30" t="inlineStr">
        <is>
          <t>JEAN TEIXEIRA DE OLIVEIRA</t>
        </is>
      </c>
      <c r="F2687" s="30" t="inlineStr">
        <is>
          <t>2023</t>
        </is>
      </c>
      <c r="G2687" s="40" t="n">
        <v>0</v>
      </c>
    </row>
    <row r="2688" ht="12" customHeight="1">
      <c r="A2688" s="30" t="inlineStr">
        <is>
          <t>ITG</t>
        </is>
      </c>
      <c r="B2688" s="30" t="inlineStr">
        <is>
          <t>Itaguai</t>
        </is>
      </c>
      <c r="C2688" s="30" t="n">
        <v>11758363</v>
      </c>
      <c r="D2688" s="30">
        <f>"00001653708743"</f>
        <v/>
      </c>
      <c r="E2688" s="30" t="inlineStr">
        <is>
          <t>ANDREA CRISTINA ARAUJO ANDRADE</t>
        </is>
      </c>
      <c r="F2688" s="30" t="inlineStr">
        <is>
          <t>2018</t>
        </is>
      </c>
      <c r="G2688" s="40" t="n">
        <v>0</v>
      </c>
    </row>
    <row r="2689" ht="12" customHeight="1">
      <c r="A2689" s="30" t="inlineStr">
        <is>
          <t>ITG</t>
        </is>
      </c>
      <c r="B2689" s="30" t="inlineStr">
        <is>
          <t>Itaguai</t>
        </is>
      </c>
      <c r="C2689" s="30" t="n">
        <v>11758363</v>
      </c>
      <c r="D2689" s="30">
        <f>"00001653708743"</f>
        <v/>
      </c>
      <c r="E2689" s="30" t="inlineStr">
        <is>
          <t>ANDREA CRISTINA ARAUJO ANDRADE</t>
        </is>
      </c>
      <c r="F2689" s="30" t="inlineStr">
        <is>
          <t>2019</t>
        </is>
      </c>
      <c r="G2689" s="40" t="n">
        <v>0</v>
      </c>
    </row>
    <row r="2690" ht="12" customHeight="1">
      <c r="A2690" s="30" t="inlineStr">
        <is>
          <t>ITG</t>
        </is>
      </c>
      <c r="B2690" s="30" t="inlineStr">
        <is>
          <t>Itaguai</t>
        </is>
      </c>
      <c r="C2690" s="30" t="n">
        <v>11758363</v>
      </c>
      <c r="D2690" s="30">
        <f>"00001653708743"</f>
        <v/>
      </c>
      <c r="E2690" s="30" t="inlineStr">
        <is>
          <t>ANDREA CRISTINA ARAUJO ANDRADE</t>
        </is>
      </c>
      <c r="F2690" s="30" t="inlineStr">
        <is>
          <t>2020</t>
        </is>
      </c>
      <c r="G2690" s="40" t="n">
        <v>0</v>
      </c>
    </row>
    <row r="2691" ht="12" customHeight="1">
      <c r="A2691" s="30" t="inlineStr">
        <is>
          <t>ITG</t>
        </is>
      </c>
      <c r="B2691" s="30" t="inlineStr">
        <is>
          <t>Itaguai</t>
        </is>
      </c>
      <c r="C2691" s="30" t="n">
        <v>11758363</v>
      </c>
      <c r="D2691" s="30">
        <f>"00001653708743"</f>
        <v/>
      </c>
      <c r="E2691" s="30" t="inlineStr">
        <is>
          <t>ANDREA CRISTINA ARAUJO ANDRADE</t>
        </is>
      </c>
      <c r="F2691" s="30" t="inlineStr">
        <is>
          <t>2021</t>
        </is>
      </c>
      <c r="G2691" s="40" t="n">
        <v>0</v>
      </c>
    </row>
    <row r="2692" ht="12" customHeight="1">
      <c r="A2692" s="30" t="inlineStr">
        <is>
          <t>ITG</t>
        </is>
      </c>
      <c r="B2692" s="30" t="inlineStr">
        <is>
          <t>Itaguai</t>
        </is>
      </c>
      <c r="C2692" s="30" t="n">
        <v>11758363</v>
      </c>
      <c r="D2692" s="30">
        <f>"00001653708743"</f>
        <v/>
      </c>
      <c r="E2692" s="30" t="inlineStr">
        <is>
          <t>ANDREA CRISTINA ARAUJO ANDRADE</t>
        </is>
      </c>
      <c r="F2692" s="30" t="inlineStr">
        <is>
          <t>2022</t>
        </is>
      </c>
      <c r="G2692" s="40" t="n">
        <v>0</v>
      </c>
    </row>
    <row r="2693" ht="12" customHeight="1">
      <c r="A2693" s="30" t="inlineStr">
        <is>
          <t>ITG</t>
        </is>
      </c>
      <c r="B2693" s="30" t="inlineStr">
        <is>
          <t>Itaguai</t>
        </is>
      </c>
      <c r="C2693" s="30" t="n">
        <v>11758363</v>
      </c>
      <c r="D2693" s="30">
        <f>"00001653708743"</f>
        <v/>
      </c>
      <c r="E2693" s="30" t="inlineStr">
        <is>
          <t>ANDREA CRISTINA ARAUJO ANDRADE</t>
        </is>
      </c>
      <c r="F2693" s="30" t="inlineStr">
        <is>
          <t>2023</t>
        </is>
      </c>
      <c r="G2693" s="40" t="n">
        <v>14000</v>
      </c>
    </row>
    <row r="2694" ht="12" customHeight="1">
      <c r="A2694" s="30" t="inlineStr">
        <is>
          <t>ITG</t>
        </is>
      </c>
      <c r="B2694" s="30" t="inlineStr">
        <is>
          <t>Itaguai</t>
        </is>
      </c>
      <c r="C2694" s="30" t="n">
        <v>11758959</v>
      </c>
      <c r="D2694" s="30">
        <f>"37818831000185"</f>
        <v/>
      </c>
      <c r="E2694" s="30" t="inlineStr">
        <is>
          <t>ENERGEA ITAGUA? III LTDA</t>
        </is>
      </c>
      <c r="F2694" s="30" t="inlineStr">
        <is>
          <t>2018</t>
        </is>
      </c>
      <c r="G2694" s="40" t="n">
        <v>0</v>
      </c>
    </row>
    <row r="2695" ht="12" customHeight="1">
      <c r="A2695" s="30" t="inlineStr">
        <is>
          <t>ITG</t>
        </is>
      </c>
      <c r="B2695" s="30" t="inlineStr">
        <is>
          <t>Itaguai</t>
        </is>
      </c>
      <c r="C2695" s="30" t="n">
        <v>11758959</v>
      </c>
      <c r="D2695" s="30">
        <f>"37818831000185"</f>
        <v/>
      </c>
      <c r="E2695" s="30" t="inlineStr">
        <is>
          <t>ENERGEA ITAGUA? III LTDA</t>
        </is>
      </c>
      <c r="F2695" s="30" t="inlineStr">
        <is>
          <t>2019</t>
        </is>
      </c>
      <c r="G2695" s="40" t="n">
        <v>0</v>
      </c>
    </row>
    <row r="2696" ht="12" customHeight="1">
      <c r="A2696" s="30" t="inlineStr">
        <is>
          <t>ITG</t>
        </is>
      </c>
      <c r="B2696" s="30" t="inlineStr">
        <is>
          <t>Itaguai</t>
        </is>
      </c>
      <c r="C2696" s="30" t="n">
        <v>11758959</v>
      </c>
      <c r="D2696" s="30">
        <f>"37818831000185"</f>
        <v/>
      </c>
      <c r="E2696" s="30" t="inlineStr">
        <is>
          <t>ENERGEA ITAGUA? III LTDA</t>
        </is>
      </c>
      <c r="F2696" s="30" t="inlineStr">
        <is>
          <t>2020</t>
        </is>
      </c>
      <c r="G2696" s="40" t="n">
        <v>0</v>
      </c>
    </row>
    <row r="2697" ht="12" customHeight="1">
      <c r="A2697" s="30" t="inlineStr">
        <is>
          <t>ITG</t>
        </is>
      </c>
      <c r="B2697" s="30" t="inlineStr">
        <is>
          <t>Itaguai</t>
        </is>
      </c>
      <c r="C2697" s="30" t="n">
        <v>11758959</v>
      </c>
      <c r="D2697" s="30">
        <f>"37818831000185"</f>
        <v/>
      </c>
      <c r="E2697" s="30" t="inlineStr">
        <is>
          <t>ENERGEA ITAGUA? III LTDA</t>
        </is>
      </c>
      <c r="F2697" s="30" t="inlineStr">
        <is>
          <t>2021</t>
        </is>
      </c>
      <c r="G2697" s="40" t="n">
        <v>0</v>
      </c>
    </row>
    <row r="2698" ht="12" customHeight="1">
      <c r="A2698" s="30" t="inlineStr">
        <is>
          <t>ITG</t>
        </is>
      </c>
      <c r="B2698" s="30" t="inlineStr">
        <is>
          <t>Itaguai</t>
        </is>
      </c>
      <c r="C2698" s="30" t="n">
        <v>11758959</v>
      </c>
      <c r="D2698" s="30">
        <f>"37818831000185"</f>
        <v/>
      </c>
      <c r="E2698" s="30" t="inlineStr">
        <is>
          <t>ENERGEA ITAGUA? III LTDA</t>
        </is>
      </c>
      <c r="F2698" s="30" t="inlineStr">
        <is>
          <t>2022</t>
        </is>
      </c>
      <c r="G2698" s="40" t="n">
        <v>0</v>
      </c>
    </row>
    <row r="2699" ht="12" customHeight="1">
      <c r="A2699" s="30" t="inlineStr">
        <is>
          <t>ITG</t>
        </is>
      </c>
      <c r="B2699" s="30" t="inlineStr">
        <is>
          <t>Itaguai</t>
        </is>
      </c>
      <c r="C2699" s="30" t="n">
        <v>11758959</v>
      </c>
      <c r="D2699" s="30">
        <f>"37818831000185"</f>
        <v/>
      </c>
      <c r="E2699" s="30" t="inlineStr">
        <is>
          <t>ENERGEA ITAGUA? III LTDA</t>
        </is>
      </c>
      <c r="F2699" s="30" t="inlineStr">
        <is>
          <t>2023</t>
        </is>
      </c>
      <c r="G2699" s="40" t="n">
        <v>0</v>
      </c>
    </row>
    <row r="2700" ht="12" customHeight="1">
      <c r="A2700" s="30" t="inlineStr">
        <is>
          <t>ITG</t>
        </is>
      </c>
      <c r="B2700" s="30" t="inlineStr">
        <is>
          <t>Itaguai</t>
        </is>
      </c>
      <c r="C2700" s="30" t="n">
        <v>11759963</v>
      </c>
      <c r="D2700" s="30">
        <f>"37820854000124"</f>
        <v/>
      </c>
      <c r="E2700" s="30" t="inlineStr">
        <is>
          <t>JEJURO HAMBURGUERES DE ITAGUAI LTDA</t>
        </is>
      </c>
      <c r="F2700" s="30" t="inlineStr">
        <is>
          <t>2020</t>
        </is>
      </c>
      <c r="G2700" s="40" t="n">
        <v>0</v>
      </c>
    </row>
    <row r="2701" ht="12" customHeight="1">
      <c r="A2701" s="30" t="inlineStr">
        <is>
          <t>ITG</t>
        </is>
      </c>
      <c r="B2701" s="30" t="inlineStr">
        <is>
          <t>Itaguai</t>
        </is>
      </c>
      <c r="C2701" s="30" t="n">
        <v>11759963</v>
      </c>
      <c r="D2701" s="30">
        <f>"37820854000124"</f>
        <v/>
      </c>
      <c r="E2701" s="30" t="inlineStr">
        <is>
          <t>JEJURO HAMBURGUERES DE ITAGUAI LTDA</t>
        </is>
      </c>
      <c r="F2701" s="30" t="inlineStr">
        <is>
          <t>2021</t>
        </is>
      </c>
      <c r="G2701" s="40" t="n">
        <v>0</v>
      </c>
    </row>
    <row r="2702" ht="12" customHeight="1">
      <c r="A2702" s="30" t="inlineStr">
        <is>
          <t>ITG</t>
        </is>
      </c>
      <c r="B2702" s="30" t="inlineStr">
        <is>
          <t>Itaguai</t>
        </is>
      </c>
      <c r="C2702" s="30" t="n">
        <v>11759963</v>
      </c>
      <c r="D2702" s="30">
        <f>"37820854000124"</f>
        <v/>
      </c>
      <c r="E2702" s="30" t="inlineStr">
        <is>
          <t>JEJURO HAMBURGUERES DE ITAGUAI LTDA</t>
        </is>
      </c>
      <c r="F2702" s="30" t="inlineStr">
        <is>
          <t>2022</t>
        </is>
      </c>
      <c r="G2702" s="40" t="n">
        <v>223002.67</v>
      </c>
    </row>
    <row r="2703" ht="12" customHeight="1">
      <c r="A2703" s="30" t="inlineStr">
        <is>
          <t>ITG</t>
        </is>
      </c>
      <c r="B2703" s="30" t="inlineStr">
        <is>
          <t>Itaguai</t>
        </is>
      </c>
      <c r="C2703" s="30" t="n">
        <v>11759963</v>
      </c>
      <c r="D2703" s="30">
        <f>"37820854000124"</f>
        <v/>
      </c>
      <c r="E2703" s="30" t="inlineStr">
        <is>
          <t>JEJURO HAMBURGUERES DE ITAGUAI LTDA</t>
        </is>
      </c>
      <c r="F2703" s="30" t="inlineStr">
        <is>
          <t>2023</t>
        </is>
      </c>
      <c r="G2703" s="40" t="n">
        <v>1089919.05</v>
      </c>
    </row>
    <row r="2704" ht="12" customHeight="1">
      <c r="A2704" s="30" t="inlineStr">
        <is>
          <t>ITG</t>
        </is>
      </c>
      <c r="B2704" s="30" t="inlineStr">
        <is>
          <t>Itaguai</t>
        </is>
      </c>
      <c r="C2704" s="30" t="n">
        <v>11764037</v>
      </c>
      <c r="D2704" s="30">
        <f>"23056952000122"</f>
        <v/>
      </c>
      <c r="E2704" s="30" t="inlineStr">
        <is>
          <t>HOTWORK BRASIL ENGENHARIA TERMICA LTDA</t>
        </is>
      </c>
      <c r="F2704" s="30" t="inlineStr">
        <is>
          <t>2018</t>
        </is>
      </c>
      <c r="G2704" s="40" t="n">
        <v>0</v>
      </c>
    </row>
    <row r="2705" ht="12" customHeight="1">
      <c r="A2705" s="30" t="inlineStr">
        <is>
          <t>ITG</t>
        </is>
      </c>
      <c r="B2705" s="30" t="inlineStr">
        <is>
          <t>Itaguai</t>
        </is>
      </c>
      <c r="C2705" s="30" t="n">
        <v>11764037</v>
      </c>
      <c r="D2705" s="30">
        <f>"23056952000122"</f>
        <v/>
      </c>
      <c r="E2705" s="30" t="inlineStr">
        <is>
          <t>HOTWORK BRASIL ENGENHARIA TERMICA LTDA</t>
        </is>
      </c>
      <c r="F2705" s="30" t="inlineStr">
        <is>
          <t>2019</t>
        </is>
      </c>
      <c r="G2705" s="40" t="n">
        <v>0</v>
      </c>
    </row>
    <row r="2706" ht="12" customHeight="1">
      <c r="A2706" s="30" t="inlineStr">
        <is>
          <t>ITG</t>
        </is>
      </c>
      <c r="B2706" s="30" t="inlineStr">
        <is>
          <t>Itaguai</t>
        </is>
      </c>
      <c r="C2706" s="30" t="n">
        <v>11764037</v>
      </c>
      <c r="D2706" s="30">
        <f>"23056952000122"</f>
        <v/>
      </c>
      <c r="E2706" s="30" t="inlineStr">
        <is>
          <t>HOTWORK BRASIL ENGENHARIA TERMICA LTDA</t>
        </is>
      </c>
      <c r="F2706" s="30" t="inlineStr">
        <is>
          <t>2020</t>
        </is>
      </c>
      <c r="G2706" s="40" t="n">
        <v>0</v>
      </c>
    </row>
    <row r="2707" ht="12" customHeight="1">
      <c r="A2707" s="30" t="inlineStr">
        <is>
          <t>ITG</t>
        </is>
      </c>
      <c r="B2707" s="30" t="inlineStr">
        <is>
          <t>Itaguai</t>
        </is>
      </c>
      <c r="C2707" s="30" t="n">
        <v>11764037</v>
      </c>
      <c r="D2707" s="30">
        <f>"23056952000122"</f>
        <v/>
      </c>
      <c r="E2707" s="30" t="inlineStr">
        <is>
          <t>HOTWORK BRASIL ENGENHARIA TERMICA LTDA</t>
        </is>
      </c>
      <c r="F2707" s="30" t="inlineStr">
        <is>
          <t>2021</t>
        </is>
      </c>
      <c r="G2707" s="40" t="n">
        <v>0</v>
      </c>
    </row>
    <row r="2708" ht="12" customHeight="1">
      <c r="A2708" s="30" t="inlineStr">
        <is>
          <t>ITG</t>
        </is>
      </c>
      <c r="B2708" s="30" t="inlineStr">
        <is>
          <t>Itaguai</t>
        </is>
      </c>
      <c r="C2708" s="30" t="n">
        <v>11764037</v>
      </c>
      <c r="D2708" s="30">
        <f>"23056952000122"</f>
        <v/>
      </c>
      <c r="E2708" s="30" t="inlineStr">
        <is>
          <t>HOTWORK BRASIL ENGENHARIA TERMICA LTDA</t>
        </is>
      </c>
      <c r="F2708" s="30" t="inlineStr">
        <is>
          <t>2022</t>
        </is>
      </c>
      <c r="G2708" s="40" t="n">
        <v>0</v>
      </c>
    </row>
    <row r="2709" ht="12" customHeight="1">
      <c r="A2709" s="30" t="inlineStr">
        <is>
          <t>ITG</t>
        </is>
      </c>
      <c r="B2709" s="30" t="inlineStr">
        <is>
          <t>Itaguai</t>
        </is>
      </c>
      <c r="C2709" s="30" t="n">
        <v>11778682</v>
      </c>
      <c r="D2709" s="30">
        <f>"38011150000173"</f>
        <v/>
      </c>
      <c r="E2709" s="30" t="inlineStr">
        <is>
          <t>HBS AUTOM?VEIS LTDA</t>
        </is>
      </c>
      <c r="F2709" s="30" t="inlineStr">
        <is>
          <t>2019</t>
        </is>
      </c>
      <c r="G2709" s="40" t="n">
        <v>0</v>
      </c>
    </row>
    <row r="2710" ht="12" customHeight="1">
      <c r="A2710" s="30" t="inlineStr">
        <is>
          <t>ITG</t>
        </is>
      </c>
      <c r="B2710" s="30" t="inlineStr">
        <is>
          <t>Itaguai</t>
        </is>
      </c>
      <c r="C2710" s="30" t="n">
        <v>11778682</v>
      </c>
      <c r="D2710" s="30">
        <f>"38011150000173"</f>
        <v/>
      </c>
      <c r="E2710" s="30" t="inlineStr">
        <is>
          <t>HBS AUTOM?VEIS LTDA</t>
        </is>
      </c>
      <c r="F2710" s="30" t="inlineStr">
        <is>
          <t>2020</t>
        </is>
      </c>
      <c r="G2710" s="40" t="n">
        <v>0</v>
      </c>
    </row>
    <row r="2711" ht="12" customHeight="1">
      <c r="A2711" s="30" t="inlineStr">
        <is>
          <t>ITG</t>
        </is>
      </c>
      <c r="B2711" s="30" t="inlineStr">
        <is>
          <t>Itaguai</t>
        </is>
      </c>
      <c r="C2711" s="30" t="n">
        <v>11778682</v>
      </c>
      <c r="D2711" s="30">
        <f>"38011150000173"</f>
        <v/>
      </c>
      <c r="E2711" s="30" t="inlineStr">
        <is>
          <t>HBS AUTOM?VEIS LTDA</t>
        </is>
      </c>
      <c r="F2711" s="30" t="inlineStr">
        <is>
          <t>2021</t>
        </is>
      </c>
      <c r="G2711" s="40" t="n">
        <v>0</v>
      </c>
    </row>
    <row r="2712" ht="12" customHeight="1">
      <c r="A2712" s="30" t="inlineStr">
        <is>
          <t>ITG</t>
        </is>
      </c>
      <c r="B2712" s="30" t="inlineStr">
        <is>
          <t>Itaguai</t>
        </is>
      </c>
      <c r="C2712" s="30" t="n">
        <v>11778682</v>
      </c>
      <c r="D2712" s="30">
        <f>"38011150000173"</f>
        <v/>
      </c>
      <c r="E2712" s="30" t="inlineStr">
        <is>
          <t>HBS AUTOM?VEIS LTDA</t>
        </is>
      </c>
      <c r="F2712" s="30" t="inlineStr">
        <is>
          <t>2022</t>
        </is>
      </c>
      <c r="G2712" s="40" t="n">
        <v>0</v>
      </c>
    </row>
    <row r="2713" ht="12" customHeight="1">
      <c r="A2713" s="30" t="inlineStr">
        <is>
          <t>ITG</t>
        </is>
      </c>
      <c r="B2713" s="30" t="inlineStr">
        <is>
          <t>Itaguai</t>
        </is>
      </c>
      <c r="C2713" s="30" t="n">
        <v>11778682</v>
      </c>
      <c r="D2713" s="30">
        <f>"38011150000173"</f>
        <v/>
      </c>
      <c r="E2713" s="30" t="inlineStr">
        <is>
          <t>HBS AUTOM?VEIS LTDA</t>
        </is>
      </c>
      <c r="F2713" s="30" t="inlineStr">
        <is>
          <t>2023</t>
        </is>
      </c>
      <c r="G2713" s="40" t="n">
        <v>0</v>
      </c>
    </row>
    <row r="2714" ht="12" customHeight="1">
      <c r="A2714" s="30" t="inlineStr">
        <is>
          <t>ITG</t>
        </is>
      </c>
      <c r="B2714" s="30" t="inlineStr">
        <is>
          <t>Itaguai</t>
        </is>
      </c>
      <c r="C2714" s="30" t="n">
        <v>11780407</v>
      </c>
      <c r="D2714" s="30">
        <f>"38030823000132"</f>
        <v/>
      </c>
      <c r="E2714" s="30" t="inlineStr">
        <is>
          <t>ESTRELA DE ITAGUAI EIRELI</t>
        </is>
      </c>
      <c r="F2714" s="30" t="inlineStr">
        <is>
          <t>2020</t>
        </is>
      </c>
      <c r="G2714" s="40" t="n">
        <v>0</v>
      </c>
    </row>
    <row r="2715" ht="12" customHeight="1">
      <c r="A2715" s="30" t="inlineStr">
        <is>
          <t>ITG</t>
        </is>
      </c>
      <c r="B2715" s="30" t="inlineStr">
        <is>
          <t>Itaguai</t>
        </is>
      </c>
      <c r="C2715" s="30" t="n">
        <v>11780407</v>
      </c>
      <c r="D2715" s="30">
        <f>"38030823000132"</f>
        <v/>
      </c>
      <c r="E2715" s="30" t="inlineStr">
        <is>
          <t>ESTRELA DE ITAGUAI EIRELI</t>
        </is>
      </c>
      <c r="F2715" s="30" t="inlineStr">
        <is>
          <t>2021</t>
        </is>
      </c>
      <c r="G2715" s="40" t="n">
        <v>0</v>
      </c>
    </row>
    <row r="2716" ht="12" customHeight="1">
      <c r="A2716" s="30" t="inlineStr">
        <is>
          <t>ITG</t>
        </is>
      </c>
      <c r="B2716" s="30" t="inlineStr">
        <is>
          <t>Itaguai</t>
        </is>
      </c>
      <c r="C2716" s="30" t="n">
        <v>11780407</v>
      </c>
      <c r="D2716" s="30">
        <f>"38030823000132"</f>
        <v/>
      </c>
      <c r="E2716" s="30" t="inlineStr">
        <is>
          <t>ESTRELA DE ITAGUAI EIRELI</t>
        </is>
      </c>
      <c r="F2716" s="30" t="inlineStr">
        <is>
          <t>2022</t>
        </is>
      </c>
      <c r="G2716" s="40" t="n">
        <v>0</v>
      </c>
    </row>
    <row r="2717" ht="12" customHeight="1">
      <c r="A2717" s="30" t="inlineStr">
        <is>
          <t>ITG</t>
        </is>
      </c>
      <c r="B2717" s="30" t="inlineStr">
        <is>
          <t>Itaguai</t>
        </is>
      </c>
      <c r="C2717" s="30" t="n">
        <v>11780407</v>
      </c>
      <c r="D2717" s="30">
        <f>"38030823000132"</f>
        <v/>
      </c>
      <c r="E2717" s="30" t="inlineStr">
        <is>
          <t>ESTRELA DE ITAGUAI EIRELI</t>
        </is>
      </c>
      <c r="F2717" s="30" t="inlineStr">
        <is>
          <t>2023</t>
        </is>
      </c>
      <c r="G2717" s="40" t="n">
        <v>0</v>
      </c>
    </row>
    <row r="2718" ht="12" customHeight="1">
      <c r="A2718" s="30" t="inlineStr">
        <is>
          <t>ITG</t>
        </is>
      </c>
      <c r="B2718" s="30" t="inlineStr">
        <is>
          <t>Itaguai</t>
        </is>
      </c>
      <c r="C2718" s="30" t="n">
        <v>11781160</v>
      </c>
      <c r="D2718" s="30">
        <f>"23820639000704"</f>
        <v/>
      </c>
      <c r="E2718" s="30" t="inlineStr">
        <is>
          <t>GFL LOGISTICA LTDA</t>
        </is>
      </c>
      <c r="F2718" s="30" t="inlineStr">
        <is>
          <t>2021</t>
        </is>
      </c>
      <c r="G2718" s="40" t="n">
        <v>0</v>
      </c>
    </row>
    <row r="2719" ht="12" customHeight="1">
      <c r="A2719" s="30" t="inlineStr">
        <is>
          <t>ITG</t>
        </is>
      </c>
      <c r="B2719" s="30" t="inlineStr">
        <is>
          <t>Itaguai</t>
        </is>
      </c>
      <c r="C2719" s="30" t="n">
        <v>11781160</v>
      </c>
      <c r="D2719" s="30">
        <f>"23820639000704"</f>
        <v/>
      </c>
      <c r="E2719" s="30" t="inlineStr">
        <is>
          <t>GFL LOGISTICA LTDA</t>
        </is>
      </c>
      <c r="F2719" s="30" t="inlineStr">
        <is>
          <t>2022</t>
        </is>
      </c>
      <c r="G2719" s="40" t="n">
        <v>0</v>
      </c>
    </row>
    <row r="2720" ht="12" customHeight="1">
      <c r="A2720" s="30" t="inlineStr">
        <is>
          <t>ITG</t>
        </is>
      </c>
      <c r="B2720" s="30" t="inlineStr">
        <is>
          <t>Itaguai</t>
        </is>
      </c>
      <c r="C2720" s="30" t="n">
        <v>11781160</v>
      </c>
      <c r="D2720" s="30">
        <f>"23820639000704"</f>
        <v/>
      </c>
      <c r="E2720" s="30" t="inlineStr">
        <is>
          <t>GFL LOGISTICA LTDA</t>
        </is>
      </c>
      <c r="F2720" s="30" t="inlineStr">
        <is>
          <t>2023</t>
        </is>
      </c>
      <c r="G2720" s="40" t="n">
        <v>534.87</v>
      </c>
    </row>
    <row r="2721" ht="12" customHeight="1">
      <c r="A2721" s="30" t="inlineStr">
        <is>
          <t>ITG</t>
        </is>
      </c>
      <c r="B2721" s="30" t="inlineStr">
        <is>
          <t>Itaguai</t>
        </is>
      </c>
      <c r="C2721" s="30" t="n">
        <v>11781349</v>
      </c>
      <c r="D2721" s="30">
        <f>"28611594000358"</f>
        <v/>
      </c>
      <c r="E2721" s="30" t="inlineStr">
        <is>
          <t>MOURA DANTAS TRANSPORTES LTDA</t>
        </is>
      </c>
      <c r="F2721" s="30" t="inlineStr">
        <is>
          <t>2020</t>
        </is>
      </c>
      <c r="G2721" s="40" t="n">
        <v>0</v>
      </c>
    </row>
    <row r="2722" ht="12" customHeight="1">
      <c r="A2722" s="30" t="inlineStr">
        <is>
          <t>ITG</t>
        </is>
      </c>
      <c r="B2722" s="30" t="inlineStr">
        <is>
          <t>Itaguai</t>
        </is>
      </c>
      <c r="C2722" s="30" t="n">
        <v>11781349</v>
      </c>
      <c r="D2722" s="30">
        <f>"28611594000358"</f>
        <v/>
      </c>
      <c r="E2722" s="30" t="inlineStr">
        <is>
          <t>MOURA DANTAS TRANSPORTES LTDA</t>
        </is>
      </c>
      <c r="F2722" s="30" t="inlineStr">
        <is>
          <t>2021</t>
        </is>
      </c>
      <c r="G2722" s="40" t="n">
        <v>0</v>
      </c>
    </row>
    <row r="2723" ht="12" customHeight="1">
      <c r="A2723" s="30" t="inlineStr">
        <is>
          <t>ITG</t>
        </is>
      </c>
      <c r="B2723" s="30" t="inlineStr">
        <is>
          <t>Itaguai</t>
        </is>
      </c>
      <c r="C2723" s="30" t="n">
        <v>11781349</v>
      </c>
      <c r="D2723" s="30">
        <f>"28611594000358"</f>
        <v/>
      </c>
      <c r="E2723" s="30" t="inlineStr">
        <is>
          <t>MOURA DANTAS TRANSPORTES LTDA</t>
        </is>
      </c>
      <c r="F2723" s="30" t="inlineStr">
        <is>
          <t>2022</t>
        </is>
      </c>
      <c r="G2723" s="40" t="n">
        <v>422585.18</v>
      </c>
    </row>
    <row r="2724" ht="12" customHeight="1">
      <c r="A2724" s="30" t="inlineStr">
        <is>
          <t>ITG</t>
        </is>
      </c>
      <c r="B2724" s="30" t="inlineStr">
        <is>
          <t>Itaguai</t>
        </is>
      </c>
      <c r="C2724" s="30" t="n">
        <v>11781349</v>
      </c>
      <c r="D2724" s="30">
        <f>"28611594000358"</f>
        <v/>
      </c>
      <c r="E2724" s="30" t="inlineStr">
        <is>
          <t>MOURA DANTAS TRANSPORTES LTDA</t>
        </is>
      </c>
      <c r="F2724" s="30" t="inlineStr">
        <is>
          <t>2023</t>
        </is>
      </c>
      <c r="G2724" s="40" t="n">
        <v>0</v>
      </c>
    </row>
    <row r="2725" ht="12" customHeight="1">
      <c r="A2725" s="30" t="inlineStr">
        <is>
          <t>ITG</t>
        </is>
      </c>
      <c r="B2725" s="30" t="inlineStr">
        <is>
          <t>Itaguai</t>
        </is>
      </c>
      <c r="C2725" s="30" t="n">
        <v>11781454</v>
      </c>
      <c r="D2725" s="30">
        <f>"11058804001059"</f>
        <v/>
      </c>
      <c r="E2725" s="30" t="inlineStr">
        <is>
          <t>PRIO COMERCIALIZADORA LTDA.</t>
        </is>
      </c>
      <c r="F2725" s="30" t="inlineStr">
        <is>
          <t>2019</t>
        </is>
      </c>
      <c r="G2725" s="40" t="n">
        <v>0</v>
      </c>
    </row>
    <row r="2726" ht="12" customHeight="1">
      <c r="A2726" s="30" t="inlineStr">
        <is>
          <t>ITG</t>
        </is>
      </c>
      <c r="B2726" s="30" t="inlineStr">
        <is>
          <t>Itaguai</t>
        </is>
      </c>
      <c r="C2726" s="30" t="n">
        <v>11781454</v>
      </c>
      <c r="D2726" s="30">
        <f>"11058804001059"</f>
        <v/>
      </c>
      <c r="E2726" s="30" t="inlineStr">
        <is>
          <t>PRIO COMERCIALIZADORA LTDA.</t>
        </is>
      </c>
      <c r="F2726" s="30" t="inlineStr">
        <is>
          <t>2020</t>
        </is>
      </c>
      <c r="G2726" s="40" t="n">
        <v>0</v>
      </c>
    </row>
    <row r="2727" ht="12" customHeight="1">
      <c r="A2727" s="30" t="inlineStr">
        <is>
          <t>ITG</t>
        </is>
      </c>
      <c r="B2727" s="30" t="inlineStr">
        <is>
          <t>Itaguai</t>
        </is>
      </c>
      <c r="C2727" s="30" t="n">
        <v>11781454</v>
      </c>
      <c r="D2727" s="30">
        <f>"11058804001059"</f>
        <v/>
      </c>
      <c r="E2727" s="30" t="inlineStr">
        <is>
          <t>PRIO COMERCIALIZADORA LTDA.</t>
        </is>
      </c>
      <c r="F2727" s="30" t="inlineStr">
        <is>
          <t>2021</t>
        </is>
      </c>
      <c r="G2727" s="40" t="n">
        <v>793471.01</v>
      </c>
    </row>
    <row r="2728" ht="12" customHeight="1">
      <c r="A2728" s="30" t="inlineStr">
        <is>
          <t>ITG</t>
        </is>
      </c>
      <c r="B2728" s="30" t="inlineStr">
        <is>
          <t>Itaguai</t>
        </is>
      </c>
      <c r="C2728" s="30" t="n">
        <v>11781454</v>
      </c>
      <c r="D2728" s="30">
        <f>"11058804001059"</f>
        <v/>
      </c>
      <c r="E2728" s="30" t="inlineStr">
        <is>
          <t>PRIO COMERCIALIZADORA LTDA.</t>
        </is>
      </c>
      <c r="F2728" s="30" t="inlineStr">
        <is>
          <t>2022</t>
        </is>
      </c>
      <c r="G2728" s="40" t="n">
        <v>1879178.47</v>
      </c>
    </row>
    <row r="2729" ht="12" customHeight="1">
      <c r="A2729" s="30" t="inlineStr">
        <is>
          <t>ITG</t>
        </is>
      </c>
      <c r="B2729" s="30" t="inlineStr">
        <is>
          <t>Itaguai</t>
        </is>
      </c>
      <c r="C2729" s="30" t="n">
        <v>11781454</v>
      </c>
      <c r="D2729" s="30">
        <f>"11058804001059"</f>
        <v/>
      </c>
      <c r="E2729" s="30" t="inlineStr">
        <is>
          <t>PRIO COMERCIALIZADORA LTDA.</t>
        </is>
      </c>
      <c r="F2729" s="30" t="inlineStr">
        <is>
          <t>2023</t>
        </is>
      </c>
      <c r="G2729" s="40" t="n">
        <v>383841.57</v>
      </c>
    </row>
    <row r="2730" ht="12" customHeight="1">
      <c r="A2730" s="30" t="inlineStr">
        <is>
          <t>ITG</t>
        </is>
      </c>
      <c r="B2730" s="30" t="inlineStr">
        <is>
          <t>Itaguai</t>
        </is>
      </c>
      <c r="C2730" s="30" t="n">
        <v>11803482</v>
      </c>
      <c r="D2730" s="30">
        <f>"38242278000148"</f>
        <v/>
      </c>
      <c r="E2730" s="30" t="inlineStr">
        <is>
          <t>ITA REVENDEDORA DE G?S E AGUA LTDA</t>
        </is>
      </c>
      <c r="F2730" s="30" t="inlineStr">
        <is>
          <t>2018</t>
        </is>
      </c>
      <c r="G2730" s="40" t="n">
        <v>0</v>
      </c>
    </row>
    <row r="2731" ht="12" customHeight="1">
      <c r="A2731" s="30" t="inlineStr">
        <is>
          <t>ITG</t>
        </is>
      </c>
      <c r="B2731" s="30" t="inlineStr">
        <is>
          <t>Itaguai</t>
        </is>
      </c>
      <c r="C2731" s="30" t="n">
        <v>11803482</v>
      </c>
      <c r="D2731" s="30">
        <f>"38242278000148"</f>
        <v/>
      </c>
      <c r="E2731" s="30" t="inlineStr">
        <is>
          <t>ITA REVENDEDORA DE G?S E AGUA LTDA</t>
        </is>
      </c>
      <c r="F2731" s="30" t="inlineStr">
        <is>
          <t>2019</t>
        </is>
      </c>
      <c r="G2731" s="40" t="n">
        <v>0</v>
      </c>
    </row>
    <row r="2732" ht="12" customHeight="1">
      <c r="A2732" s="30" t="inlineStr">
        <is>
          <t>ITG</t>
        </is>
      </c>
      <c r="B2732" s="30" t="inlineStr">
        <is>
          <t>Itaguai</t>
        </is>
      </c>
      <c r="C2732" s="30" t="n">
        <v>11803482</v>
      </c>
      <c r="D2732" s="30">
        <f>"38242278000148"</f>
        <v/>
      </c>
      <c r="E2732" s="30" t="inlineStr">
        <is>
          <t>ITA REVENDEDORA DE G?S E AGUA LTDA</t>
        </is>
      </c>
      <c r="F2732" s="30" t="inlineStr">
        <is>
          <t>2020</t>
        </is>
      </c>
      <c r="G2732" s="40" t="n">
        <v>0</v>
      </c>
    </row>
    <row r="2733" ht="12" customHeight="1">
      <c r="A2733" s="30" t="inlineStr">
        <is>
          <t>ITG</t>
        </is>
      </c>
      <c r="B2733" s="30" t="inlineStr">
        <is>
          <t>Itaguai</t>
        </is>
      </c>
      <c r="C2733" s="30" t="n">
        <v>11803482</v>
      </c>
      <c r="D2733" s="30">
        <f>"38242278000148"</f>
        <v/>
      </c>
      <c r="E2733" s="30" t="inlineStr">
        <is>
          <t>ITA REVENDEDORA DE G?S E AGUA LTDA</t>
        </is>
      </c>
      <c r="F2733" s="30" t="inlineStr">
        <is>
          <t>2021</t>
        </is>
      </c>
      <c r="G2733" s="40" t="n">
        <v>0</v>
      </c>
    </row>
    <row r="2734" ht="12" customHeight="1">
      <c r="A2734" s="30" t="inlineStr">
        <is>
          <t>ITG</t>
        </is>
      </c>
      <c r="B2734" s="30" t="inlineStr">
        <is>
          <t>Itaguai</t>
        </is>
      </c>
      <c r="C2734" s="30" t="n">
        <v>11803482</v>
      </c>
      <c r="D2734" s="30">
        <f>"38242278000148"</f>
        <v/>
      </c>
      <c r="E2734" s="30" t="inlineStr">
        <is>
          <t>ITA REVENDEDORA DE G?S E AGUA LTDA</t>
        </is>
      </c>
      <c r="F2734" s="30" t="inlineStr">
        <is>
          <t>2022</t>
        </is>
      </c>
      <c r="G2734" s="40" t="n">
        <v>0</v>
      </c>
    </row>
    <row r="2735" ht="12" customHeight="1">
      <c r="A2735" s="30" t="inlineStr">
        <is>
          <t>ITG</t>
        </is>
      </c>
      <c r="B2735" s="30" t="inlineStr">
        <is>
          <t>Itaguai</t>
        </is>
      </c>
      <c r="C2735" s="30" t="n">
        <v>11803482</v>
      </c>
      <c r="D2735" s="30">
        <f>"38242278000148"</f>
        <v/>
      </c>
      <c r="E2735" s="30" t="inlineStr">
        <is>
          <t>ITA REVENDEDORA DE G?S E AGUA LTDA</t>
        </is>
      </c>
      <c r="F2735" s="30" t="inlineStr">
        <is>
          <t>2023</t>
        </is>
      </c>
      <c r="G2735" s="40" t="n">
        <v>0</v>
      </c>
    </row>
    <row r="2736" ht="12" customHeight="1">
      <c r="A2736" s="30" t="inlineStr">
        <is>
          <t>ITG</t>
        </is>
      </c>
      <c r="B2736" s="30" t="inlineStr">
        <is>
          <t>Itaguai</t>
        </is>
      </c>
      <c r="C2736" s="30" t="n">
        <v>11810381</v>
      </c>
      <c r="D2736" s="30">
        <f>"05206385004400"</f>
        <v/>
      </c>
      <c r="E2736" s="30" t="inlineStr">
        <is>
          <t>HUGHES TELECOMUNICACOES DO BRASIL LTDA</t>
        </is>
      </c>
      <c r="F2736" s="30" t="inlineStr">
        <is>
          <t>2018</t>
        </is>
      </c>
      <c r="G2736" s="40" t="n">
        <v>0</v>
      </c>
    </row>
    <row r="2737" ht="12" customHeight="1">
      <c r="A2737" s="30" t="inlineStr">
        <is>
          <t>ITG</t>
        </is>
      </c>
      <c r="B2737" s="30" t="inlineStr">
        <is>
          <t>Itaguai</t>
        </is>
      </c>
      <c r="C2737" s="30" t="n">
        <v>11810381</v>
      </c>
      <c r="D2737" s="30">
        <f>"05206385004400"</f>
        <v/>
      </c>
      <c r="E2737" s="30" t="inlineStr">
        <is>
          <t>HUGHES TELECOMUNICACOES DO BRASIL LTDA</t>
        </is>
      </c>
      <c r="F2737" s="30" t="inlineStr">
        <is>
          <t>2019</t>
        </is>
      </c>
      <c r="G2737" s="40" t="n">
        <v>0</v>
      </c>
    </row>
    <row r="2738" ht="12" customHeight="1">
      <c r="A2738" s="30" t="inlineStr">
        <is>
          <t>ITG</t>
        </is>
      </c>
      <c r="B2738" s="30" t="inlineStr">
        <is>
          <t>Itaguai</t>
        </is>
      </c>
      <c r="C2738" s="30" t="n">
        <v>11810381</v>
      </c>
      <c r="D2738" s="30">
        <f>"05206385004400"</f>
        <v/>
      </c>
      <c r="E2738" s="30" t="inlineStr">
        <is>
          <t>HUGHES TELECOMUNICACOES DO BRASIL LTDA</t>
        </is>
      </c>
      <c r="F2738" s="30" t="inlineStr">
        <is>
          <t>2020</t>
        </is>
      </c>
      <c r="G2738" s="40" t="n">
        <v>3667230.22</v>
      </c>
    </row>
    <row r="2739" ht="12" customHeight="1">
      <c r="A2739" s="30" t="inlineStr">
        <is>
          <t>ITG</t>
        </is>
      </c>
      <c r="B2739" s="30" t="inlineStr">
        <is>
          <t>Itaguai</t>
        </is>
      </c>
      <c r="C2739" s="30" t="n">
        <v>11810381</v>
      </c>
      <c r="D2739" s="30">
        <f>"05206385004400"</f>
        <v/>
      </c>
      <c r="E2739" s="30" t="inlineStr">
        <is>
          <t>HUGHES TELECOMUNICACOES DO BRASIL LTDA</t>
        </is>
      </c>
      <c r="F2739" s="30" t="inlineStr">
        <is>
          <t>2021</t>
        </is>
      </c>
      <c r="G2739" s="40" t="n">
        <v>220611.85</v>
      </c>
    </row>
    <row r="2740" ht="12" customHeight="1">
      <c r="A2740" s="30" t="inlineStr">
        <is>
          <t>ITG</t>
        </is>
      </c>
      <c r="B2740" s="30" t="inlineStr">
        <is>
          <t>Itaguai</t>
        </is>
      </c>
      <c r="C2740" s="30" t="n">
        <v>11810381</v>
      </c>
      <c r="D2740" s="30">
        <f>"05206385004400"</f>
        <v/>
      </c>
      <c r="E2740" s="30" t="inlineStr">
        <is>
          <t>HUGHES TELECOMUNICACOES DO BRASIL LTDA</t>
        </is>
      </c>
      <c r="F2740" s="30" t="inlineStr">
        <is>
          <t>2022</t>
        </is>
      </c>
      <c r="G2740" s="40" t="n">
        <v>223049.27</v>
      </c>
    </row>
    <row r="2741" ht="12" customHeight="1">
      <c r="A2741" s="30" t="inlineStr">
        <is>
          <t>ITG</t>
        </is>
      </c>
      <c r="B2741" s="30" t="inlineStr">
        <is>
          <t>Itaguai</t>
        </is>
      </c>
      <c r="C2741" s="30" t="n">
        <v>11810381</v>
      </c>
      <c r="D2741" s="30">
        <f>"05206385004400"</f>
        <v/>
      </c>
      <c r="E2741" s="30" t="inlineStr">
        <is>
          <t>HUGHES TELECOMUNICACOES DO BRASIL LTDA</t>
        </is>
      </c>
      <c r="F2741" s="30" t="inlineStr">
        <is>
          <t>2023</t>
        </is>
      </c>
      <c r="G2741" s="40" t="n">
        <v>196778.57</v>
      </c>
    </row>
    <row r="2742" ht="12" customHeight="1">
      <c r="A2742" s="30" t="inlineStr">
        <is>
          <t>ITG</t>
        </is>
      </c>
      <c r="B2742" s="30" t="inlineStr">
        <is>
          <t>Itaguai</t>
        </is>
      </c>
      <c r="C2742" s="30" t="n">
        <v>11813801</v>
      </c>
      <c r="D2742" s="30">
        <f>"08848231003772"</f>
        <v/>
      </c>
      <c r="E2742" s="30" t="inlineStr">
        <is>
          <t>ATUAL CARGAS TRANSPORTES LTDA</t>
        </is>
      </c>
      <c r="F2742" s="30" t="inlineStr">
        <is>
          <t>2021</t>
        </is>
      </c>
      <c r="G2742" s="40" t="n">
        <v>0</v>
      </c>
    </row>
    <row r="2743" ht="12" customHeight="1">
      <c r="A2743" s="30" t="inlineStr">
        <is>
          <t>ITG</t>
        </is>
      </c>
      <c r="B2743" s="30" t="inlineStr">
        <is>
          <t>Itaguai</t>
        </is>
      </c>
      <c r="C2743" s="30" t="n">
        <v>11813801</v>
      </c>
      <c r="D2743" s="30">
        <f>"08848231003772"</f>
        <v/>
      </c>
      <c r="E2743" s="30" t="inlineStr">
        <is>
          <t>ATUAL CARGAS TRANSPORTES LTDA</t>
        </is>
      </c>
      <c r="F2743" s="30" t="inlineStr">
        <is>
          <t>2022</t>
        </is>
      </c>
      <c r="G2743" s="40" t="n">
        <v>0</v>
      </c>
    </row>
    <row r="2744" ht="12" customHeight="1">
      <c r="A2744" s="30" t="inlineStr">
        <is>
          <t>ITG</t>
        </is>
      </c>
      <c r="B2744" s="30" t="inlineStr">
        <is>
          <t>Itaguai</t>
        </is>
      </c>
      <c r="C2744" s="30" t="n">
        <v>11813801</v>
      </c>
      <c r="D2744" s="30">
        <f>"08848231003772"</f>
        <v/>
      </c>
      <c r="E2744" s="30" t="inlineStr">
        <is>
          <t>ATUAL CARGAS TRANSPORTES LTDA</t>
        </is>
      </c>
      <c r="F2744" s="30" t="inlineStr">
        <is>
          <t>2023</t>
        </is>
      </c>
      <c r="G2744" s="40" t="n">
        <v>329.11</v>
      </c>
    </row>
    <row r="2745" ht="12" customHeight="1">
      <c r="A2745" s="30" t="inlineStr">
        <is>
          <t>ITG</t>
        </is>
      </c>
      <c r="B2745" s="30" t="inlineStr">
        <is>
          <t>Itaguai</t>
        </is>
      </c>
      <c r="C2745" s="30" t="n">
        <v>11815006</v>
      </c>
      <c r="D2745" s="30">
        <f>"38353331000188"</f>
        <v/>
      </c>
      <c r="E2745" s="30" t="inlineStr">
        <is>
          <t>REMAR COMERCIO E SERVI?OS EIRELI</t>
        </is>
      </c>
      <c r="F2745" s="30" t="inlineStr">
        <is>
          <t>2018</t>
        </is>
      </c>
      <c r="G2745" s="40" t="n">
        <v>0</v>
      </c>
    </row>
    <row r="2746" ht="12" customHeight="1">
      <c r="A2746" s="30" t="inlineStr">
        <is>
          <t>ITG</t>
        </is>
      </c>
      <c r="B2746" s="30" t="inlineStr">
        <is>
          <t>Itaguai</t>
        </is>
      </c>
      <c r="C2746" s="30" t="n">
        <v>11815006</v>
      </c>
      <c r="D2746" s="30">
        <f>"38353331000188"</f>
        <v/>
      </c>
      <c r="E2746" s="30" t="inlineStr">
        <is>
          <t>REMAR COMERCIO E SERVI?OS EIRELI</t>
        </is>
      </c>
      <c r="F2746" s="30" t="inlineStr">
        <is>
          <t>2019</t>
        </is>
      </c>
      <c r="G2746" s="40" t="n">
        <v>0</v>
      </c>
    </row>
    <row r="2747" ht="12" customHeight="1">
      <c r="A2747" s="30" t="inlineStr">
        <is>
          <t>ITG</t>
        </is>
      </c>
      <c r="B2747" s="30" t="inlineStr">
        <is>
          <t>Itaguai</t>
        </is>
      </c>
      <c r="C2747" s="30" t="n">
        <v>11815006</v>
      </c>
      <c r="D2747" s="30">
        <f>"38353331000188"</f>
        <v/>
      </c>
      <c r="E2747" s="30" t="inlineStr">
        <is>
          <t>REMAR COMERCIO E SERVI?OS EIRELI</t>
        </is>
      </c>
      <c r="F2747" s="30" t="inlineStr">
        <is>
          <t>2020</t>
        </is>
      </c>
      <c r="G2747" s="40" t="n">
        <v>0</v>
      </c>
    </row>
    <row r="2748" ht="12" customHeight="1">
      <c r="A2748" s="30" t="inlineStr">
        <is>
          <t>ITG</t>
        </is>
      </c>
      <c r="B2748" s="30" t="inlineStr">
        <is>
          <t>Itaguai</t>
        </is>
      </c>
      <c r="C2748" s="30" t="n">
        <v>11815006</v>
      </c>
      <c r="D2748" s="30">
        <f>"38353331000188"</f>
        <v/>
      </c>
      <c r="E2748" s="30" t="inlineStr">
        <is>
          <t>REMAR COMERCIO E SERVI?OS EIRELI</t>
        </is>
      </c>
      <c r="F2748" s="30" t="inlineStr">
        <is>
          <t>2021</t>
        </is>
      </c>
      <c r="G2748" s="40" t="n">
        <v>0</v>
      </c>
    </row>
    <row r="2749" ht="12" customHeight="1">
      <c r="A2749" s="30" t="inlineStr">
        <is>
          <t>ITG</t>
        </is>
      </c>
      <c r="B2749" s="30" t="inlineStr">
        <is>
          <t>Itaguai</t>
        </is>
      </c>
      <c r="C2749" s="30" t="n">
        <v>11815006</v>
      </c>
      <c r="D2749" s="30">
        <f>"38353331000188"</f>
        <v/>
      </c>
      <c r="E2749" s="30" t="inlineStr">
        <is>
          <t>REMAR COMERCIO E SERVI?OS EIRELI</t>
        </is>
      </c>
      <c r="F2749" s="30" t="inlineStr">
        <is>
          <t>2022</t>
        </is>
      </c>
      <c r="G2749" s="40" t="n">
        <v>0</v>
      </c>
    </row>
    <row r="2750" ht="12" customHeight="1">
      <c r="A2750" s="30" t="inlineStr">
        <is>
          <t>ITG</t>
        </is>
      </c>
      <c r="B2750" s="30" t="inlineStr">
        <is>
          <t>Itaguai</t>
        </is>
      </c>
      <c r="C2750" s="30" t="n">
        <v>11823033</v>
      </c>
      <c r="D2750" s="30">
        <f>"37185266000166"</f>
        <v/>
      </c>
      <c r="E2750" s="30" t="inlineStr">
        <is>
          <t>JONAVA RJ INFRAESTRUTURA E REDES DE TELECOMUNICACOES S.A.</t>
        </is>
      </c>
      <c r="F2750" s="30" t="inlineStr">
        <is>
          <t>2020</t>
        </is>
      </c>
      <c r="G2750" s="40" t="n">
        <v>0</v>
      </c>
    </row>
    <row r="2751" ht="12" customHeight="1">
      <c r="A2751" s="30" t="inlineStr">
        <is>
          <t>ITG</t>
        </is>
      </c>
      <c r="B2751" s="30" t="inlineStr">
        <is>
          <t>Itaguai</t>
        </is>
      </c>
      <c r="C2751" s="30" t="n">
        <v>11823033</v>
      </c>
      <c r="D2751" s="30">
        <f>"37185266000166"</f>
        <v/>
      </c>
      <c r="E2751" s="30" t="inlineStr">
        <is>
          <t>JONAVA RJ INFRAESTRUTURA E REDES DE TELECOMUNICACOES S.A.</t>
        </is>
      </c>
      <c r="F2751" s="30" t="inlineStr">
        <is>
          <t>2021</t>
        </is>
      </c>
      <c r="G2751" s="40" t="n">
        <v>0</v>
      </c>
    </row>
    <row r="2752" ht="12" customHeight="1">
      <c r="A2752" s="30" t="inlineStr">
        <is>
          <t>ITG</t>
        </is>
      </c>
      <c r="B2752" s="30" t="inlineStr">
        <is>
          <t>Itaguai</t>
        </is>
      </c>
      <c r="C2752" s="30" t="n">
        <v>11823033</v>
      </c>
      <c r="D2752" s="30">
        <f>"37185266000166"</f>
        <v/>
      </c>
      <c r="E2752" s="30" t="inlineStr">
        <is>
          <t>JONAVA RJ INFRAESTRUTURA E REDES DE TELECOMUNICACOES S.A.</t>
        </is>
      </c>
      <c r="F2752" s="30" t="inlineStr">
        <is>
          <t>2022</t>
        </is>
      </c>
      <c r="G2752" s="40" t="n">
        <v>2385.86</v>
      </c>
    </row>
    <row r="2753" ht="12" customHeight="1">
      <c r="A2753" s="30" t="inlineStr">
        <is>
          <t>ITG</t>
        </is>
      </c>
      <c r="B2753" s="30" t="inlineStr">
        <is>
          <t>Itaguai</t>
        </is>
      </c>
      <c r="C2753" s="30" t="n">
        <v>11823033</v>
      </c>
      <c r="D2753" s="30">
        <f>"37185266000166"</f>
        <v/>
      </c>
      <c r="E2753" s="30" t="inlineStr">
        <is>
          <t>JONAVA RJ INFRAESTRUTURA E REDES DE TELECOMUNICACOES S.A.</t>
        </is>
      </c>
      <c r="F2753" s="30" t="inlineStr">
        <is>
          <t>2023</t>
        </is>
      </c>
      <c r="G2753" s="40" t="n">
        <v>0</v>
      </c>
    </row>
    <row r="2754" ht="12" customHeight="1">
      <c r="A2754" s="30" t="inlineStr">
        <is>
          <t>ITG</t>
        </is>
      </c>
      <c r="B2754" s="30" t="inlineStr">
        <is>
          <t>Itaguai</t>
        </is>
      </c>
      <c r="C2754" s="30" t="n">
        <v>11828655</v>
      </c>
      <c r="D2754" s="30">
        <f>"38122051000169"</f>
        <v/>
      </c>
      <c r="E2754" s="30" t="inlineStr">
        <is>
          <t>ITABIO SOLUCOES AMBIENTAIS LTDA</t>
        </is>
      </c>
      <c r="F2754" s="30" t="inlineStr">
        <is>
          <t>2018</t>
        </is>
      </c>
      <c r="G2754" s="40" t="n">
        <v>0</v>
      </c>
    </row>
    <row r="2755" ht="12" customHeight="1">
      <c r="A2755" s="30" t="inlineStr">
        <is>
          <t>ITG</t>
        </is>
      </c>
      <c r="B2755" s="30" t="inlineStr">
        <is>
          <t>Itaguai</t>
        </is>
      </c>
      <c r="C2755" s="30" t="n">
        <v>11828655</v>
      </c>
      <c r="D2755" s="30">
        <f>"38122051000169"</f>
        <v/>
      </c>
      <c r="E2755" s="30" t="inlineStr">
        <is>
          <t>ITABIO SOLUCOES AMBIENTAIS LTDA</t>
        </is>
      </c>
      <c r="F2755" s="30" t="inlineStr">
        <is>
          <t>2019</t>
        </is>
      </c>
      <c r="G2755" s="40" t="n">
        <v>0</v>
      </c>
    </row>
    <row r="2756" ht="12" customHeight="1">
      <c r="A2756" s="30" t="inlineStr">
        <is>
          <t>ITG</t>
        </is>
      </c>
      <c r="B2756" s="30" t="inlineStr">
        <is>
          <t>Itaguai</t>
        </is>
      </c>
      <c r="C2756" s="30" t="n">
        <v>11828655</v>
      </c>
      <c r="D2756" s="30">
        <f>"38122051000169"</f>
        <v/>
      </c>
      <c r="E2756" s="30" t="inlineStr">
        <is>
          <t>ITABIO SOLUCOES AMBIENTAIS LTDA</t>
        </is>
      </c>
      <c r="F2756" s="30" t="inlineStr">
        <is>
          <t>2020</t>
        </is>
      </c>
      <c r="G2756" s="40" t="n">
        <v>0</v>
      </c>
    </row>
    <row r="2757" ht="12" customHeight="1">
      <c r="A2757" s="30" t="inlineStr">
        <is>
          <t>ITG</t>
        </is>
      </c>
      <c r="B2757" s="30" t="inlineStr">
        <is>
          <t>Itaguai</t>
        </is>
      </c>
      <c r="C2757" s="30" t="n">
        <v>11828655</v>
      </c>
      <c r="D2757" s="30">
        <f>"38122051000169"</f>
        <v/>
      </c>
      <c r="E2757" s="30" t="inlineStr">
        <is>
          <t>ITABIO SOLUCOES AMBIENTAIS LTDA</t>
        </is>
      </c>
      <c r="F2757" s="30" t="inlineStr">
        <is>
          <t>2021</t>
        </is>
      </c>
      <c r="G2757" s="40" t="n">
        <v>0</v>
      </c>
    </row>
    <row r="2758" ht="12" customHeight="1">
      <c r="A2758" s="30" t="inlineStr">
        <is>
          <t>ITG</t>
        </is>
      </c>
      <c r="B2758" s="30" t="inlineStr">
        <is>
          <t>Itaguai</t>
        </is>
      </c>
      <c r="C2758" s="30" t="n">
        <v>11828655</v>
      </c>
      <c r="D2758" s="30">
        <f>"38122051000169"</f>
        <v/>
      </c>
      <c r="E2758" s="30" t="inlineStr">
        <is>
          <t>ITABIO SOLUCOES AMBIENTAIS LTDA</t>
        </is>
      </c>
      <c r="F2758" s="30" t="inlineStr">
        <is>
          <t>2022</t>
        </is>
      </c>
      <c r="G2758" s="40" t="n">
        <v>0</v>
      </c>
    </row>
    <row r="2759" ht="12" customHeight="1">
      <c r="A2759" s="30" t="inlineStr">
        <is>
          <t>ITG</t>
        </is>
      </c>
      <c r="B2759" s="30" t="inlineStr">
        <is>
          <t>Itaguai</t>
        </is>
      </c>
      <c r="C2759" s="30" t="n">
        <v>11828655</v>
      </c>
      <c r="D2759" s="30">
        <f>"38122051000169"</f>
        <v/>
      </c>
      <c r="E2759" s="30" t="inlineStr">
        <is>
          <t>ITABIO SOLUCOES AMBIENTAIS LTDA</t>
        </is>
      </c>
      <c r="F2759" s="30" t="inlineStr">
        <is>
          <t>2023</t>
        </is>
      </c>
      <c r="G2759" s="40" t="n">
        <v>3203.75</v>
      </c>
    </row>
    <row r="2760" ht="12" customHeight="1">
      <c r="A2760" s="30" t="inlineStr">
        <is>
          <t>ITG</t>
        </is>
      </c>
      <c r="B2760" s="30" t="inlineStr">
        <is>
          <t>Itaguai</t>
        </is>
      </c>
      <c r="C2760" s="30" t="n">
        <v>11830838</v>
      </c>
      <c r="D2760" s="30">
        <f>"24230747037286"</f>
        <v/>
      </c>
      <c r="E2760" s="30" t="inlineStr">
        <is>
          <t>MAGALU LOG SERVICOS LOGISTICOS LTDA</t>
        </is>
      </c>
      <c r="F2760" s="30" t="inlineStr">
        <is>
          <t>2019</t>
        </is>
      </c>
      <c r="G2760" s="40" t="n">
        <v>0</v>
      </c>
    </row>
    <row r="2761" ht="12" customHeight="1">
      <c r="A2761" s="30" t="inlineStr">
        <is>
          <t>ITG</t>
        </is>
      </c>
      <c r="B2761" s="30" t="inlineStr">
        <is>
          <t>Itaguai</t>
        </is>
      </c>
      <c r="C2761" s="30" t="n">
        <v>11830838</v>
      </c>
      <c r="D2761" s="30">
        <f>"24230747037286"</f>
        <v/>
      </c>
      <c r="E2761" s="30" t="inlineStr">
        <is>
          <t>MAGALU LOG SERVICOS LOGISTICOS LTDA</t>
        </is>
      </c>
      <c r="F2761" s="30" t="inlineStr">
        <is>
          <t>2020</t>
        </is>
      </c>
      <c r="G2761" s="40" t="n">
        <v>0</v>
      </c>
    </row>
    <row r="2762" ht="12" customHeight="1">
      <c r="A2762" s="30" t="inlineStr">
        <is>
          <t>ITG</t>
        </is>
      </c>
      <c r="B2762" s="30" t="inlineStr">
        <is>
          <t>Itaguai</t>
        </is>
      </c>
      <c r="C2762" s="30" t="n">
        <v>11830838</v>
      </c>
      <c r="D2762" s="30">
        <f>"24230747037286"</f>
        <v/>
      </c>
      <c r="E2762" s="30" t="inlineStr">
        <is>
          <t>MAGALU LOG SERVICOS LOGISTICOS LTDA</t>
        </is>
      </c>
      <c r="F2762" s="30" t="inlineStr">
        <is>
          <t>2021</t>
        </is>
      </c>
      <c r="G2762" s="40" t="n">
        <v>101.16</v>
      </c>
    </row>
    <row r="2763" ht="12" customHeight="1">
      <c r="A2763" s="30" t="inlineStr">
        <is>
          <t>ITG</t>
        </is>
      </c>
      <c r="B2763" s="30" t="inlineStr">
        <is>
          <t>Itaguai</t>
        </is>
      </c>
      <c r="C2763" s="30" t="n">
        <v>11830838</v>
      </c>
      <c r="D2763" s="30">
        <f>"24230747037286"</f>
        <v/>
      </c>
      <c r="E2763" s="30" t="inlineStr">
        <is>
          <t>MAGALU LOG SERVICOS LOGISTICOS LTDA</t>
        </is>
      </c>
      <c r="F2763" s="30" t="inlineStr">
        <is>
          <t>2022</t>
        </is>
      </c>
      <c r="G2763" s="40" t="n">
        <v>0</v>
      </c>
    </row>
    <row r="2764" ht="12" customHeight="1">
      <c r="A2764" s="30" t="inlineStr">
        <is>
          <t>ITG</t>
        </is>
      </c>
      <c r="B2764" s="30" t="inlineStr">
        <is>
          <t>Itaguai</t>
        </is>
      </c>
      <c r="C2764" s="30" t="n">
        <v>11830838</v>
      </c>
      <c r="D2764" s="30">
        <f>"24230747037286"</f>
        <v/>
      </c>
      <c r="E2764" s="30" t="inlineStr">
        <is>
          <t>MAGALU LOG SERVICOS LOGISTICOS LTDA</t>
        </is>
      </c>
      <c r="F2764" s="30" t="inlineStr">
        <is>
          <t>2023</t>
        </is>
      </c>
      <c r="G2764" s="40" t="n">
        <v>0</v>
      </c>
    </row>
    <row r="2765" ht="12" customHeight="1">
      <c r="A2765" s="30" t="inlineStr">
        <is>
          <t>ITG</t>
        </is>
      </c>
      <c r="B2765" s="30" t="inlineStr">
        <is>
          <t>Itaguai</t>
        </is>
      </c>
      <c r="C2765" s="30" t="n">
        <v>11834140</v>
      </c>
      <c r="D2765" s="30">
        <f>"36734037000271"</f>
        <v/>
      </c>
      <c r="E2765" s="30" t="inlineStr">
        <is>
          <t>TELEIA LOGISTICA LTDA</t>
        </is>
      </c>
      <c r="F2765" s="30" t="inlineStr">
        <is>
          <t>2020</t>
        </is>
      </c>
      <c r="G2765" s="40" t="n">
        <v>0</v>
      </c>
    </row>
    <row r="2766" ht="12" customHeight="1">
      <c r="A2766" s="30" t="inlineStr">
        <is>
          <t>ITG</t>
        </is>
      </c>
      <c r="B2766" s="30" t="inlineStr">
        <is>
          <t>Itaguai</t>
        </is>
      </c>
      <c r="C2766" s="30" t="n">
        <v>11834140</v>
      </c>
      <c r="D2766" s="30">
        <f>"36734037000271"</f>
        <v/>
      </c>
      <c r="E2766" s="30" t="inlineStr">
        <is>
          <t>TELEIA LOGISTICA LTDA</t>
        </is>
      </c>
      <c r="F2766" s="30" t="inlineStr">
        <is>
          <t>2021</t>
        </is>
      </c>
      <c r="G2766" s="40" t="n">
        <v>0</v>
      </c>
    </row>
    <row r="2767" ht="12" customHeight="1">
      <c r="A2767" s="30" t="inlineStr">
        <is>
          <t>ITG</t>
        </is>
      </c>
      <c r="B2767" s="30" t="inlineStr">
        <is>
          <t>Itaguai</t>
        </is>
      </c>
      <c r="C2767" s="30" t="n">
        <v>11834140</v>
      </c>
      <c r="D2767" s="30">
        <f>"36734037000271"</f>
        <v/>
      </c>
      <c r="E2767" s="30" t="inlineStr">
        <is>
          <t>TELEIA LOGISTICA LTDA</t>
        </is>
      </c>
      <c r="F2767" s="30" t="inlineStr">
        <is>
          <t>2022</t>
        </is>
      </c>
      <c r="G2767" s="40" t="n">
        <v>6275</v>
      </c>
    </row>
    <row r="2768" ht="12" customHeight="1">
      <c r="A2768" s="30" t="inlineStr">
        <is>
          <t>ITG</t>
        </is>
      </c>
      <c r="B2768" s="30" t="inlineStr">
        <is>
          <t>Itaguai</t>
        </is>
      </c>
      <c r="C2768" s="30" t="n">
        <v>11834140</v>
      </c>
      <c r="D2768" s="30">
        <f>"36734037000271"</f>
        <v/>
      </c>
      <c r="E2768" s="30" t="inlineStr">
        <is>
          <t>TELEIA LOGISTICA LTDA</t>
        </is>
      </c>
      <c r="F2768" s="30" t="inlineStr">
        <is>
          <t>2023</t>
        </is>
      </c>
      <c r="G2768" s="40" t="n">
        <v>0</v>
      </c>
    </row>
    <row r="2769" ht="12" customHeight="1">
      <c r="A2769" s="30" t="inlineStr">
        <is>
          <t>ITG</t>
        </is>
      </c>
      <c r="B2769" s="30" t="inlineStr">
        <is>
          <t>Itaguai</t>
        </is>
      </c>
      <c r="C2769" s="30" t="n">
        <v>11836330</v>
      </c>
      <c r="D2769" s="30">
        <f>"38527059000105"</f>
        <v/>
      </c>
      <c r="E2769" s="30" t="inlineStr">
        <is>
          <t>F D S DE ITAGUAI - TURISMO E FRETAMENTO - EIRELI</t>
        </is>
      </c>
      <c r="F2769" s="30" t="inlineStr">
        <is>
          <t>2018</t>
        </is>
      </c>
      <c r="G2769" s="40" t="n">
        <v>0</v>
      </c>
    </row>
    <row r="2770" ht="12" customHeight="1">
      <c r="A2770" s="30" t="inlineStr">
        <is>
          <t>ITG</t>
        </is>
      </c>
      <c r="B2770" s="30" t="inlineStr">
        <is>
          <t>Itaguai</t>
        </is>
      </c>
      <c r="C2770" s="30" t="n">
        <v>11836330</v>
      </c>
      <c r="D2770" s="30">
        <f>"38527059000105"</f>
        <v/>
      </c>
      <c r="E2770" s="30" t="inlineStr">
        <is>
          <t>F D S DE ITAGUAI - TURISMO E FRETAMENTO - EIRELI</t>
        </is>
      </c>
      <c r="F2770" s="30" t="inlineStr">
        <is>
          <t>2019</t>
        </is>
      </c>
      <c r="G2770" s="40" t="n">
        <v>0</v>
      </c>
    </row>
    <row r="2771" ht="12" customHeight="1">
      <c r="A2771" s="30" t="inlineStr">
        <is>
          <t>ITG</t>
        </is>
      </c>
      <c r="B2771" s="30" t="inlineStr">
        <is>
          <t>Itaguai</t>
        </is>
      </c>
      <c r="C2771" s="30" t="n">
        <v>11836330</v>
      </c>
      <c r="D2771" s="30">
        <f>"38527059000105"</f>
        <v/>
      </c>
      <c r="E2771" s="30" t="inlineStr">
        <is>
          <t>F D S DE ITAGUAI - TURISMO E FRETAMENTO - EIRELI</t>
        </is>
      </c>
      <c r="F2771" s="30" t="inlineStr">
        <is>
          <t>2020</t>
        </is>
      </c>
      <c r="G2771" s="40" t="n">
        <v>0</v>
      </c>
    </row>
    <row r="2772" ht="12" customHeight="1">
      <c r="A2772" s="30" t="inlineStr">
        <is>
          <t>ITG</t>
        </is>
      </c>
      <c r="B2772" s="30" t="inlineStr">
        <is>
          <t>Itaguai</t>
        </is>
      </c>
      <c r="C2772" s="30" t="n">
        <v>11836330</v>
      </c>
      <c r="D2772" s="30">
        <f>"38527059000105"</f>
        <v/>
      </c>
      <c r="E2772" s="30" t="inlineStr">
        <is>
          <t>F D S DE ITAGUAI - TURISMO E FRETAMENTO - EIRELI</t>
        </is>
      </c>
      <c r="F2772" s="30" t="inlineStr">
        <is>
          <t>2021</t>
        </is>
      </c>
      <c r="G2772" s="40" t="n">
        <v>0</v>
      </c>
    </row>
    <row r="2773" ht="12" customHeight="1">
      <c r="A2773" s="30" t="inlineStr">
        <is>
          <t>ITG</t>
        </is>
      </c>
      <c r="B2773" s="30" t="inlineStr">
        <is>
          <t>Itaguai</t>
        </is>
      </c>
      <c r="C2773" s="30" t="n">
        <v>11836330</v>
      </c>
      <c r="D2773" s="30">
        <f>"38527059000105"</f>
        <v/>
      </c>
      <c r="E2773" s="30" t="inlineStr">
        <is>
          <t>F D S DE ITAGUAI - TURISMO E FRETAMENTO - EIRELI</t>
        </is>
      </c>
      <c r="F2773" s="30" t="inlineStr">
        <is>
          <t>2022</t>
        </is>
      </c>
      <c r="G2773" s="40" t="n">
        <v>0</v>
      </c>
    </row>
    <row r="2774" ht="12" customHeight="1">
      <c r="A2774" s="30" t="inlineStr">
        <is>
          <t>ITG</t>
        </is>
      </c>
      <c r="B2774" s="30" t="inlineStr">
        <is>
          <t>Itaguai</t>
        </is>
      </c>
      <c r="C2774" s="30" t="n">
        <v>11836330</v>
      </c>
      <c r="D2774" s="30">
        <f>"38527059000105"</f>
        <v/>
      </c>
      <c r="E2774" s="30" t="inlineStr">
        <is>
          <t>F D S DE ITAGUAI - TURISMO E FRETAMENTO - EIRELI</t>
        </is>
      </c>
      <c r="F2774" s="30" t="inlineStr">
        <is>
          <t>2023</t>
        </is>
      </c>
      <c r="G2774" s="40" t="n">
        <v>0</v>
      </c>
    </row>
    <row r="2775" ht="12" customHeight="1">
      <c r="A2775" s="30" t="inlineStr">
        <is>
          <t>ITG</t>
        </is>
      </c>
      <c r="B2775" s="30" t="inlineStr">
        <is>
          <t>Itaguai</t>
        </is>
      </c>
      <c r="C2775" s="30" t="n">
        <v>11841210</v>
      </c>
      <c r="D2775" s="30">
        <f>"19972093000144"</f>
        <v/>
      </c>
      <c r="E2775" s="30" t="inlineStr">
        <is>
          <t>GLOBEX SERVICOS DE APOIO EMPRESARIAL LTDA</t>
        </is>
      </c>
      <c r="F2775" s="30" t="inlineStr">
        <is>
          <t>2018</t>
        </is>
      </c>
      <c r="G2775" s="40" t="n">
        <v>0</v>
      </c>
    </row>
    <row r="2776" ht="12" customHeight="1">
      <c r="A2776" s="30" t="inlineStr">
        <is>
          <t>ITG</t>
        </is>
      </c>
      <c r="B2776" s="30" t="inlineStr">
        <is>
          <t>Itaguai</t>
        </is>
      </c>
      <c r="C2776" s="30" t="n">
        <v>11841210</v>
      </c>
      <c r="D2776" s="30">
        <f>"19972093000144"</f>
        <v/>
      </c>
      <c r="E2776" s="30" t="inlineStr">
        <is>
          <t>GLOBEX SERVICOS DE APOIO EMPRESARIAL LTDA</t>
        </is>
      </c>
      <c r="F2776" s="30" t="inlineStr">
        <is>
          <t>2019</t>
        </is>
      </c>
      <c r="G2776" s="40" t="n">
        <v>0</v>
      </c>
    </row>
    <row r="2777" ht="12" customHeight="1">
      <c r="A2777" s="30" t="inlineStr">
        <is>
          <t>ITG</t>
        </is>
      </c>
      <c r="B2777" s="30" t="inlineStr">
        <is>
          <t>Itaguai</t>
        </is>
      </c>
      <c r="C2777" s="30" t="n">
        <v>11841210</v>
      </c>
      <c r="D2777" s="30">
        <f>"19972093000144"</f>
        <v/>
      </c>
      <c r="E2777" s="30" t="inlineStr">
        <is>
          <t>GLOBEX SERVICOS DE APOIO EMPRESARIAL LTDA</t>
        </is>
      </c>
      <c r="F2777" s="30" t="inlineStr">
        <is>
          <t>2020</t>
        </is>
      </c>
      <c r="G2777" s="40" t="n">
        <v>0</v>
      </c>
    </row>
    <row r="2778" ht="12" customHeight="1">
      <c r="A2778" s="30" t="inlineStr">
        <is>
          <t>ITG</t>
        </is>
      </c>
      <c r="B2778" s="30" t="inlineStr">
        <is>
          <t>Itaguai</t>
        </is>
      </c>
      <c r="C2778" s="30" t="n">
        <v>11841210</v>
      </c>
      <c r="D2778" s="30">
        <f>"19972093000144"</f>
        <v/>
      </c>
      <c r="E2778" s="30" t="inlineStr">
        <is>
          <t>GLOBEX SERVICOS DE APOIO EMPRESARIAL LTDA</t>
        </is>
      </c>
      <c r="F2778" s="30" t="inlineStr">
        <is>
          <t>2021</t>
        </is>
      </c>
      <c r="G2778" s="40" t="n">
        <v>0</v>
      </c>
    </row>
    <row r="2779" ht="12" customHeight="1">
      <c r="A2779" s="30" t="inlineStr">
        <is>
          <t>ITG</t>
        </is>
      </c>
      <c r="B2779" s="30" t="inlineStr">
        <is>
          <t>Itaguai</t>
        </is>
      </c>
      <c r="C2779" s="30" t="n">
        <v>11841210</v>
      </c>
      <c r="D2779" s="30">
        <f>"19972093000144"</f>
        <v/>
      </c>
      <c r="E2779" s="30" t="inlineStr">
        <is>
          <t>GLOBEX SERVICOS DE APOIO EMPRESARIAL LTDA</t>
        </is>
      </c>
      <c r="F2779" s="30" t="inlineStr">
        <is>
          <t>2022</t>
        </is>
      </c>
      <c r="G2779" s="40" t="n">
        <v>0</v>
      </c>
    </row>
    <row r="2780" ht="12" customHeight="1">
      <c r="A2780" s="30" t="inlineStr">
        <is>
          <t>ITG</t>
        </is>
      </c>
      <c r="B2780" s="30" t="inlineStr">
        <is>
          <t>Itaguai</t>
        </is>
      </c>
      <c r="C2780" s="30" t="n">
        <v>11841210</v>
      </c>
      <c r="D2780" s="30">
        <f>"19972093000144"</f>
        <v/>
      </c>
      <c r="E2780" s="30" t="inlineStr">
        <is>
          <t>GLOBEX SERVICOS DE APOIO EMPRESARIAL LTDA</t>
        </is>
      </c>
      <c r="F2780" s="30" t="inlineStr">
        <is>
          <t>2023</t>
        </is>
      </c>
      <c r="G2780" s="40" t="n">
        <v>0</v>
      </c>
    </row>
    <row r="2781" ht="12" customHeight="1">
      <c r="A2781" s="30" t="inlineStr">
        <is>
          <t>ITG</t>
        </is>
      </c>
      <c r="B2781" s="30" t="inlineStr">
        <is>
          <t>Itaguai</t>
        </is>
      </c>
      <c r="C2781" s="30" t="n">
        <v>11842542</v>
      </c>
      <c r="D2781" s="30">
        <f>"12680452000736"</f>
        <v/>
      </c>
      <c r="E2781" s="30" t="inlineStr">
        <is>
          <t>PLATINUM LOG ARMAZENS GERAIS LTDA</t>
        </is>
      </c>
      <c r="F2781" s="30" t="inlineStr">
        <is>
          <t>2019</t>
        </is>
      </c>
      <c r="G2781" s="40" t="n">
        <v>0</v>
      </c>
    </row>
    <row r="2782" ht="12" customHeight="1">
      <c r="A2782" s="30" t="inlineStr">
        <is>
          <t>ITG</t>
        </is>
      </c>
      <c r="B2782" s="30" t="inlineStr">
        <is>
          <t>Itaguai</t>
        </is>
      </c>
      <c r="C2782" s="30" t="n">
        <v>11842542</v>
      </c>
      <c r="D2782" s="30">
        <f>"12680452000736"</f>
        <v/>
      </c>
      <c r="E2782" s="30" t="inlineStr">
        <is>
          <t>PLATINUM LOG ARMAZENS GERAIS LTDA</t>
        </is>
      </c>
      <c r="F2782" s="30" t="inlineStr">
        <is>
          <t>2020</t>
        </is>
      </c>
      <c r="G2782" s="40" t="n">
        <v>0</v>
      </c>
    </row>
    <row r="2783" ht="12" customHeight="1">
      <c r="A2783" s="30" t="inlineStr">
        <is>
          <t>ITG</t>
        </is>
      </c>
      <c r="B2783" s="30" t="inlineStr">
        <is>
          <t>Itaguai</t>
        </is>
      </c>
      <c r="C2783" s="30" t="n">
        <v>11842542</v>
      </c>
      <c r="D2783" s="30">
        <f>"12680452000736"</f>
        <v/>
      </c>
      <c r="E2783" s="30" t="inlineStr">
        <is>
          <t>PLATINUM LOG ARMAZENS GERAIS LTDA</t>
        </is>
      </c>
      <c r="F2783" s="30" t="inlineStr">
        <is>
          <t>2021</t>
        </is>
      </c>
      <c r="G2783" s="40" t="n">
        <v>245.92</v>
      </c>
    </row>
    <row r="2784" ht="12" customHeight="1">
      <c r="A2784" s="30" t="inlineStr">
        <is>
          <t>ITG</t>
        </is>
      </c>
      <c r="B2784" s="30" t="inlineStr">
        <is>
          <t>Itaguai</t>
        </is>
      </c>
      <c r="C2784" s="30" t="n">
        <v>11842542</v>
      </c>
      <c r="D2784" s="30">
        <f>"12680452000736"</f>
        <v/>
      </c>
      <c r="E2784" s="30" t="inlineStr">
        <is>
          <t>PLATINUM LOG ARMAZENS GERAIS LTDA</t>
        </is>
      </c>
      <c r="F2784" s="30" t="inlineStr">
        <is>
          <t>2022</t>
        </is>
      </c>
      <c r="G2784" s="40" t="n">
        <v>528.22</v>
      </c>
    </row>
    <row r="2785" ht="12" customHeight="1">
      <c r="A2785" s="30" t="inlineStr">
        <is>
          <t>ITG</t>
        </is>
      </c>
      <c r="B2785" s="30" t="inlineStr">
        <is>
          <t>Itaguai</t>
        </is>
      </c>
      <c r="C2785" s="30" t="n">
        <v>11842542</v>
      </c>
      <c r="D2785" s="30">
        <f>"12680452000736"</f>
        <v/>
      </c>
      <c r="E2785" s="30" t="inlineStr">
        <is>
          <t>PLATINUM LOG ARMAZENS GERAIS LTDA</t>
        </is>
      </c>
      <c r="F2785" s="30" t="inlineStr">
        <is>
          <t>2023</t>
        </is>
      </c>
      <c r="G2785" s="40" t="n">
        <v>0</v>
      </c>
    </row>
    <row r="2786" ht="12" customHeight="1">
      <c r="A2786" s="30" t="inlineStr">
        <is>
          <t>ITG</t>
        </is>
      </c>
      <c r="B2786" s="30" t="inlineStr">
        <is>
          <t>Itaguai</t>
        </is>
      </c>
      <c r="C2786" s="30" t="n">
        <v>11849180</v>
      </c>
      <c r="D2786" s="30">
        <f>"34844289000228"</f>
        <v/>
      </c>
      <c r="E2786" s="30" t="inlineStr">
        <is>
          <t>EQUIMAC S.A.</t>
        </is>
      </c>
      <c r="F2786" s="30" t="inlineStr">
        <is>
          <t>2018</t>
        </is>
      </c>
      <c r="G2786" s="40" t="n">
        <v>0</v>
      </c>
    </row>
    <row r="2787" ht="12" customHeight="1">
      <c r="A2787" s="30" t="inlineStr">
        <is>
          <t>ITG</t>
        </is>
      </c>
      <c r="B2787" s="30" t="inlineStr">
        <is>
          <t>Itaguai</t>
        </is>
      </c>
      <c r="C2787" s="30" t="n">
        <v>11849180</v>
      </c>
      <c r="D2787" s="30">
        <f>"34844289000228"</f>
        <v/>
      </c>
      <c r="E2787" s="30" t="inlineStr">
        <is>
          <t>EQUIMAC S.A.</t>
        </is>
      </c>
      <c r="F2787" s="30" t="inlineStr">
        <is>
          <t>2019</t>
        </is>
      </c>
      <c r="G2787" s="40" t="n">
        <v>0</v>
      </c>
    </row>
    <row r="2788" ht="12" customHeight="1">
      <c r="A2788" s="30" t="inlineStr">
        <is>
          <t>ITG</t>
        </is>
      </c>
      <c r="B2788" s="30" t="inlineStr">
        <is>
          <t>Itaguai</t>
        </is>
      </c>
      <c r="C2788" s="30" t="n">
        <v>11849180</v>
      </c>
      <c r="D2788" s="30">
        <f>"34844289000228"</f>
        <v/>
      </c>
      <c r="E2788" s="30" t="inlineStr">
        <is>
          <t>EQUIMAC S.A.</t>
        </is>
      </c>
      <c r="F2788" s="30" t="inlineStr">
        <is>
          <t>2020</t>
        </is>
      </c>
      <c r="G2788" s="40" t="n">
        <v>0</v>
      </c>
    </row>
    <row r="2789" ht="12" customHeight="1">
      <c r="A2789" s="30" t="inlineStr">
        <is>
          <t>ITG</t>
        </is>
      </c>
      <c r="B2789" s="30" t="inlineStr">
        <is>
          <t>Itaguai</t>
        </is>
      </c>
      <c r="C2789" s="30" t="n">
        <v>11849180</v>
      </c>
      <c r="D2789" s="30">
        <f>"34844289000228"</f>
        <v/>
      </c>
      <c r="E2789" s="30" t="inlineStr">
        <is>
          <t>EQUIMAC S.A.</t>
        </is>
      </c>
      <c r="F2789" s="30" t="inlineStr">
        <is>
          <t>2021</t>
        </is>
      </c>
      <c r="G2789" s="40" t="n">
        <v>0</v>
      </c>
    </row>
    <row r="2790" ht="12" customHeight="1">
      <c r="A2790" s="30" t="inlineStr">
        <is>
          <t>ITG</t>
        </is>
      </c>
      <c r="B2790" s="30" t="inlineStr">
        <is>
          <t>Itaguai</t>
        </is>
      </c>
      <c r="C2790" s="30" t="n">
        <v>11849180</v>
      </c>
      <c r="D2790" s="30">
        <f>"34844289000228"</f>
        <v/>
      </c>
      <c r="E2790" s="30" t="inlineStr">
        <is>
          <t>EQUIMAC S.A.</t>
        </is>
      </c>
      <c r="F2790" s="30" t="inlineStr">
        <is>
          <t>2022</t>
        </is>
      </c>
      <c r="G2790" s="40" t="n">
        <v>0</v>
      </c>
    </row>
    <row r="2791" ht="12" customHeight="1">
      <c r="A2791" s="30" t="inlineStr">
        <is>
          <t>ITG</t>
        </is>
      </c>
      <c r="B2791" s="30" t="inlineStr">
        <is>
          <t>Itaguai</t>
        </is>
      </c>
      <c r="C2791" s="30" t="n">
        <v>11849180</v>
      </c>
      <c r="D2791" s="30">
        <f>"34844289000228"</f>
        <v/>
      </c>
      <c r="E2791" s="30" t="inlineStr">
        <is>
          <t>EQUIMAC S.A.</t>
        </is>
      </c>
      <c r="F2791" s="30" t="inlineStr">
        <is>
          <t>2023</t>
        </is>
      </c>
      <c r="G2791" s="40" t="n">
        <v>0</v>
      </c>
    </row>
    <row r="2792" ht="12" customHeight="1">
      <c r="A2792" s="30" t="inlineStr">
        <is>
          <t>ITG</t>
        </is>
      </c>
      <c r="B2792" s="30" t="inlineStr">
        <is>
          <t>Itaguai</t>
        </is>
      </c>
      <c r="C2792" s="30" t="n">
        <v>11853137</v>
      </c>
      <c r="D2792" s="30">
        <f>"48740351014972"</f>
        <v/>
      </c>
      <c r="E2792" s="30" t="inlineStr">
        <is>
          <t>BRASPRESS TRANSPORTES URGENTES LTDA</t>
        </is>
      </c>
      <c r="F2792" s="30" t="inlineStr">
        <is>
          <t>2020</t>
        </is>
      </c>
      <c r="G2792" s="40" t="n">
        <v>0</v>
      </c>
    </row>
    <row r="2793" ht="12" customHeight="1">
      <c r="A2793" s="30" t="inlineStr">
        <is>
          <t>ITG</t>
        </is>
      </c>
      <c r="B2793" s="30" t="inlineStr">
        <is>
          <t>Itaguai</t>
        </is>
      </c>
      <c r="C2793" s="30" t="n">
        <v>11853137</v>
      </c>
      <c r="D2793" s="30">
        <f>"48740351014972"</f>
        <v/>
      </c>
      <c r="E2793" s="30" t="inlineStr">
        <is>
          <t>BRASPRESS TRANSPORTES URGENTES LTDA</t>
        </is>
      </c>
      <c r="F2793" s="30" t="inlineStr">
        <is>
          <t>2021</t>
        </is>
      </c>
      <c r="G2793" s="40" t="n">
        <v>0</v>
      </c>
    </row>
    <row r="2794" ht="12" customHeight="1">
      <c r="A2794" s="30" t="inlineStr">
        <is>
          <t>ITG</t>
        </is>
      </c>
      <c r="B2794" s="30" t="inlineStr">
        <is>
          <t>Itaguai</t>
        </is>
      </c>
      <c r="C2794" s="30" t="n">
        <v>11853137</v>
      </c>
      <c r="D2794" s="30">
        <f>"48740351014972"</f>
        <v/>
      </c>
      <c r="E2794" s="30" t="inlineStr">
        <is>
          <t>BRASPRESS TRANSPORTES URGENTES LTDA</t>
        </is>
      </c>
      <c r="F2794" s="30" t="inlineStr">
        <is>
          <t>2022</t>
        </is>
      </c>
      <c r="G2794" s="40" t="n">
        <v>445.12</v>
      </c>
    </row>
    <row r="2795" ht="12" customHeight="1">
      <c r="A2795" s="30" t="inlineStr">
        <is>
          <t>ITG</t>
        </is>
      </c>
      <c r="B2795" s="30" t="inlineStr">
        <is>
          <t>Itaguai</t>
        </is>
      </c>
      <c r="C2795" s="30" t="n">
        <v>11853137</v>
      </c>
      <c r="D2795" s="30">
        <f>"48740351014972"</f>
        <v/>
      </c>
      <c r="E2795" s="30" t="inlineStr">
        <is>
          <t>BRASPRESS TRANSPORTES URGENTES LTDA</t>
        </is>
      </c>
      <c r="F2795" s="30" t="inlineStr">
        <is>
          <t>2023</t>
        </is>
      </c>
      <c r="G2795" s="40" t="n">
        <v>119.7</v>
      </c>
    </row>
    <row r="2796" ht="12" customHeight="1">
      <c r="A2796" s="30" t="inlineStr">
        <is>
          <t>ITG</t>
        </is>
      </c>
      <c r="B2796" s="30" t="inlineStr">
        <is>
          <t>Itaguai</t>
        </is>
      </c>
      <c r="C2796" s="30" t="n">
        <v>11857833</v>
      </c>
      <c r="D2796" s="30">
        <f>"29737689000113"</f>
        <v/>
      </c>
      <c r="E2796" s="30" t="inlineStr">
        <is>
          <t>POSIDONIA NAVEGA??O LTDA</t>
        </is>
      </c>
      <c r="F2796" s="30" t="inlineStr">
        <is>
          <t>2021</t>
        </is>
      </c>
      <c r="G2796" s="40" t="n">
        <v>0</v>
      </c>
    </row>
    <row r="2797" ht="12" customHeight="1">
      <c r="A2797" s="30" t="inlineStr">
        <is>
          <t>ITG</t>
        </is>
      </c>
      <c r="B2797" s="30" t="inlineStr">
        <is>
          <t>Itaguai</t>
        </is>
      </c>
      <c r="C2797" s="30" t="n">
        <v>11857833</v>
      </c>
      <c r="D2797" s="30">
        <f>"29737689000113"</f>
        <v/>
      </c>
      <c r="E2797" s="30" t="inlineStr">
        <is>
          <t>POSIDONIA NAVEGA??O LTDA</t>
        </is>
      </c>
      <c r="F2797" s="30" t="inlineStr">
        <is>
          <t>2022</t>
        </is>
      </c>
      <c r="G2797" s="40" t="n">
        <v>0</v>
      </c>
    </row>
    <row r="2798" ht="12" customHeight="1">
      <c r="A2798" s="30" t="inlineStr">
        <is>
          <t>ITG</t>
        </is>
      </c>
      <c r="B2798" s="30" t="inlineStr">
        <is>
          <t>Itaguai</t>
        </is>
      </c>
      <c r="C2798" s="30" t="n">
        <v>11857833</v>
      </c>
      <c r="D2798" s="30">
        <f>"29737689000113"</f>
        <v/>
      </c>
      <c r="E2798" s="30" t="inlineStr">
        <is>
          <t>POSIDONIA NAVEGA??O LTDA</t>
        </is>
      </c>
      <c r="F2798" s="30" t="inlineStr">
        <is>
          <t>2023</t>
        </is>
      </c>
      <c r="G2798" s="40" t="n">
        <v>1265.71</v>
      </c>
    </row>
    <row r="2799" ht="12" customHeight="1">
      <c r="A2799" s="30" t="inlineStr">
        <is>
          <t>ITG</t>
        </is>
      </c>
      <c r="B2799" s="30" t="inlineStr">
        <is>
          <t>Itaguai</t>
        </is>
      </c>
      <c r="C2799" s="30" t="n">
        <v>11866174</v>
      </c>
      <c r="D2799" s="30">
        <f>"11114284033177"</f>
        <v/>
      </c>
      <c r="E2799" s="30" t="inlineStr">
        <is>
          <t>CASA &amp; V?DEO BRASIL S.A</t>
        </is>
      </c>
      <c r="F2799" s="30" t="inlineStr">
        <is>
          <t>2018</t>
        </is>
      </c>
      <c r="G2799" s="40" t="n">
        <v>0</v>
      </c>
    </row>
    <row r="2800" ht="12" customHeight="1">
      <c r="A2800" s="30" t="inlineStr">
        <is>
          <t>ITG</t>
        </is>
      </c>
      <c r="B2800" s="30" t="inlineStr">
        <is>
          <t>Itaguai</t>
        </is>
      </c>
      <c r="C2800" s="30" t="n">
        <v>11866174</v>
      </c>
      <c r="D2800" s="30">
        <f>"11114284033177"</f>
        <v/>
      </c>
      <c r="E2800" s="30" t="inlineStr">
        <is>
          <t>CASA &amp; V?DEO BRASIL S.A</t>
        </is>
      </c>
      <c r="F2800" s="30" t="inlineStr">
        <is>
          <t>2019</t>
        </is>
      </c>
      <c r="G2800" s="40" t="n">
        <v>0</v>
      </c>
    </row>
    <row r="2801" ht="12" customHeight="1">
      <c r="A2801" s="30" t="inlineStr">
        <is>
          <t>ITG</t>
        </is>
      </c>
      <c r="B2801" s="30" t="inlineStr">
        <is>
          <t>Itaguai</t>
        </is>
      </c>
      <c r="C2801" s="30" t="n">
        <v>11866174</v>
      </c>
      <c r="D2801" s="30">
        <f>"11114284033177"</f>
        <v/>
      </c>
      <c r="E2801" s="30" t="inlineStr">
        <is>
          <t>CASA &amp; V?DEO BRASIL S.A</t>
        </is>
      </c>
      <c r="F2801" s="30" t="inlineStr">
        <is>
          <t>2020</t>
        </is>
      </c>
      <c r="G2801" s="40" t="n">
        <v>0</v>
      </c>
    </row>
    <row r="2802" ht="12" customHeight="1">
      <c r="A2802" s="30" t="inlineStr">
        <is>
          <t>ITG</t>
        </is>
      </c>
      <c r="B2802" s="30" t="inlineStr">
        <is>
          <t>Itaguai</t>
        </is>
      </c>
      <c r="C2802" s="30" t="n">
        <v>11866174</v>
      </c>
      <c r="D2802" s="30">
        <f>"11114284033177"</f>
        <v/>
      </c>
      <c r="E2802" s="30" t="inlineStr">
        <is>
          <t>CASA &amp; V?DEO BRASIL S.A</t>
        </is>
      </c>
      <c r="F2802" s="30" t="inlineStr">
        <is>
          <t>2021</t>
        </is>
      </c>
      <c r="G2802" s="40" t="n">
        <v>0</v>
      </c>
    </row>
    <row r="2803" ht="12" customHeight="1">
      <c r="A2803" s="30" t="inlineStr">
        <is>
          <t>ITG</t>
        </is>
      </c>
      <c r="B2803" s="30" t="inlineStr">
        <is>
          <t>Itaguai</t>
        </is>
      </c>
      <c r="C2803" s="30" t="n">
        <v>11866174</v>
      </c>
      <c r="D2803" s="30">
        <f>"11114284033177"</f>
        <v/>
      </c>
      <c r="E2803" s="30" t="inlineStr">
        <is>
          <t>CASA &amp; V?DEO BRASIL S.A</t>
        </is>
      </c>
      <c r="F2803" s="30" t="inlineStr">
        <is>
          <t>2022</t>
        </is>
      </c>
      <c r="G2803" s="40" t="n">
        <v>0</v>
      </c>
    </row>
    <row r="2804" ht="12" customHeight="1">
      <c r="A2804" s="30" t="inlineStr">
        <is>
          <t>ITG</t>
        </is>
      </c>
      <c r="B2804" s="30" t="inlineStr">
        <is>
          <t>Itaguai</t>
        </is>
      </c>
      <c r="C2804" s="30" t="n">
        <v>11866174</v>
      </c>
      <c r="D2804" s="30">
        <f>"11114284033177"</f>
        <v/>
      </c>
      <c r="E2804" s="30" t="inlineStr">
        <is>
          <t>CASA &amp; V?DEO BRASIL S.A</t>
        </is>
      </c>
      <c r="F2804" s="30" t="inlineStr">
        <is>
          <t>2023</t>
        </is>
      </c>
      <c r="G2804" s="40" t="n">
        <v>0</v>
      </c>
    </row>
    <row r="2805" ht="12" customHeight="1">
      <c r="A2805" s="30" t="inlineStr">
        <is>
          <t>ITG</t>
        </is>
      </c>
      <c r="B2805" s="30" t="inlineStr">
        <is>
          <t>Itaguai</t>
        </is>
      </c>
      <c r="C2805" s="30" t="n">
        <v>11873871</v>
      </c>
      <c r="D2805" s="30">
        <f>"38083805000119"</f>
        <v/>
      </c>
      <c r="E2805" s="30" t="inlineStr">
        <is>
          <t>ENERGEA ITAGUA? II LTDA</t>
        </is>
      </c>
      <c r="F2805" s="30" t="inlineStr">
        <is>
          <t>2018</t>
        </is>
      </c>
      <c r="G2805" s="40" t="n">
        <v>0</v>
      </c>
    </row>
    <row r="2806" ht="12" customHeight="1">
      <c r="A2806" s="30" t="inlineStr">
        <is>
          <t>ITG</t>
        </is>
      </c>
      <c r="B2806" s="30" t="inlineStr">
        <is>
          <t>Itaguai</t>
        </is>
      </c>
      <c r="C2806" s="30" t="n">
        <v>11873871</v>
      </c>
      <c r="D2806" s="30">
        <f>"38083805000119"</f>
        <v/>
      </c>
      <c r="E2806" s="30" t="inlineStr">
        <is>
          <t>ENERGEA ITAGUA? II LTDA</t>
        </is>
      </c>
      <c r="F2806" s="30" t="inlineStr">
        <is>
          <t>2019</t>
        </is>
      </c>
      <c r="G2806" s="40" t="n">
        <v>0</v>
      </c>
    </row>
    <row r="2807" ht="12" customHeight="1">
      <c r="A2807" s="30" t="inlineStr">
        <is>
          <t>ITG</t>
        </is>
      </c>
      <c r="B2807" s="30" t="inlineStr">
        <is>
          <t>Itaguai</t>
        </is>
      </c>
      <c r="C2807" s="30" t="n">
        <v>11873871</v>
      </c>
      <c r="D2807" s="30">
        <f>"38083805000119"</f>
        <v/>
      </c>
      <c r="E2807" s="30" t="inlineStr">
        <is>
          <t>ENERGEA ITAGUA? II LTDA</t>
        </is>
      </c>
      <c r="F2807" s="30" t="inlineStr">
        <is>
          <t>2020</t>
        </is>
      </c>
      <c r="G2807" s="40" t="n">
        <v>0</v>
      </c>
    </row>
    <row r="2808" ht="12" customHeight="1">
      <c r="A2808" s="30" t="inlineStr">
        <is>
          <t>ITG</t>
        </is>
      </c>
      <c r="B2808" s="30" t="inlineStr">
        <is>
          <t>Itaguai</t>
        </is>
      </c>
      <c r="C2808" s="30" t="n">
        <v>11873871</v>
      </c>
      <c r="D2808" s="30">
        <f>"38083805000119"</f>
        <v/>
      </c>
      <c r="E2808" s="30" t="inlineStr">
        <is>
          <t>ENERGEA ITAGUA? II LTDA</t>
        </is>
      </c>
      <c r="F2808" s="30" t="inlineStr">
        <is>
          <t>2021</t>
        </is>
      </c>
      <c r="G2808" s="40" t="n">
        <v>0</v>
      </c>
    </row>
    <row r="2809" ht="12" customHeight="1">
      <c r="A2809" s="30" t="inlineStr">
        <is>
          <t>ITG</t>
        </is>
      </c>
      <c r="B2809" s="30" t="inlineStr">
        <is>
          <t>Itaguai</t>
        </is>
      </c>
      <c r="C2809" s="30" t="n">
        <v>11873871</v>
      </c>
      <c r="D2809" s="30">
        <f>"38083805000119"</f>
        <v/>
      </c>
      <c r="E2809" s="30" t="inlineStr">
        <is>
          <t>ENERGEA ITAGUA? II LTDA</t>
        </is>
      </c>
      <c r="F2809" s="30" t="inlineStr">
        <is>
          <t>2022</t>
        </is>
      </c>
      <c r="G2809" s="40" t="n">
        <v>0</v>
      </c>
    </row>
    <row r="2810" ht="12" customHeight="1">
      <c r="A2810" s="30" t="inlineStr">
        <is>
          <t>ITG</t>
        </is>
      </c>
      <c r="B2810" s="30" t="inlineStr">
        <is>
          <t>Itaguai</t>
        </is>
      </c>
      <c r="C2810" s="30" t="n">
        <v>11873871</v>
      </c>
      <c r="D2810" s="30">
        <f>"38083805000119"</f>
        <v/>
      </c>
      <c r="E2810" s="30" t="inlineStr">
        <is>
          <t>ENERGEA ITAGUA? II LTDA</t>
        </is>
      </c>
      <c r="F2810" s="30" t="inlineStr">
        <is>
          <t>2023</t>
        </is>
      </c>
      <c r="G2810" s="40" t="n">
        <v>0</v>
      </c>
    </row>
    <row r="2811" ht="12" customHeight="1">
      <c r="A2811" s="30" t="inlineStr">
        <is>
          <t>ITG</t>
        </is>
      </c>
      <c r="B2811" s="30" t="inlineStr">
        <is>
          <t>Itaguai</t>
        </is>
      </c>
      <c r="C2811" s="30" t="n">
        <v>11881149</v>
      </c>
      <c r="D2811" s="30">
        <f>"00098872702704"</f>
        <v/>
      </c>
      <c r="E2811" s="30" t="inlineStr">
        <is>
          <t>ANTONIA FINELON DO NASCIMENTO</t>
        </is>
      </c>
      <c r="F2811" s="30" t="inlineStr">
        <is>
          <t>2018</t>
        </is>
      </c>
      <c r="G2811" s="40" t="n">
        <v>0</v>
      </c>
    </row>
    <row r="2812" ht="12" customHeight="1">
      <c r="A2812" s="30" t="inlineStr">
        <is>
          <t>ITG</t>
        </is>
      </c>
      <c r="B2812" s="30" t="inlineStr">
        <is>
          <t>Itaguai</t>
        </is>
      </c>
      <c r="C2812" s="30" t="n">
        <v>11881149</v>
      </c>
      <c r="D2812" s="30">
        <f>"00098872702704"</f>
        <v/>
      </c>
      <c r="E2812" s="30" t="inlineStr">
        <is>
          <t>ANTONIA FINELON DO NASCIMENTO</t>
        </is>
      </c>
      <c r="F2812" s="30" t="inlineStr">
        <is>
          <t>2019</t>
        </is>
      </c>
      <c r="G2812" s="40" t="n">
        <v>0</v>
      </c>
    </row>
    <row r="2813" ht="12" customHeight="1">
      <c r="A2813" s="30" t="inlineStr">
        <is>
          <t>ITG</t>
        </is>
      </c>
      <c r="B2813" s="30" t="inlineStr">
        <is>
          <t>Itaguai</t>
        </is>
      </c>
      <c r="C2813" s="30" t="n">
        <v>11881149</v>
      </c>
      <c r="D2813" s="30">
        <f>"00098872702704"</f>
        <v/>
      </c>
      <c r="E2813" s="30" t="inlineStr">
        <is>
          <t>ANTONIA FINELON DO NASCIMENTO</t>
        </is>
      </c>
      <c r="F2813" s="30" t="inlineStr">
        <is>
          <t>2020</t>
        </is>
      </c>
      <c r="G2813" s="40" t="n">
        <v>0</v>
      </c>
    </row>
    <row r="2814" ht="12" customHeight="1">
      <c r="A2814" s="30" t="inlineStr">
        <is>
          <t>ITG</t>
        </is>
      </c>
      <c r="B2814" s="30" t="inlineStr">
        <is>
          <t>Itaguai</t>
        </is>
      </c>
      <c r="C2814" s="30" t="n">
        <v>11881149</v>
      </c>
      <c r="D2814" s="30">
        <f>"00098872702704"</f>
        <v/>
      </c>
      <c r="E2814" s="30" t="inlineStr">
        <is>
          <t>ANTONIA FINELON DO NASCIMENTO</t>
        </is>
      </c>
      <c r="F2814" s="30" t="inlineStr">
        <is>
          <t>2021</t>
        </is>
      </c>
      <c r="G2814" s="40" t="n">
        <v>0</v>
      </c>
    </row>
    <row r="2815" ht="12" customHeight="1">
      <c r="A2815" s="30" t="inlineStr">
        <is>
          <t>ITG</t>
        </is>
      </c>
      <c r="B2815" s="30" t="inlineStr">
        <is>
          <t>Itaguai</t>
        </is>
      </c>
      <c r="C2815" s="30" t="n">
        <v>11881149</v>
      </c>
      <c r="D2815" s="30">
        <f>"00098872702704"</f>
        <v/>
      </c>
      <c r="E2815" s="30" t="inlineStr">
        <is>
          <t>ANTONIA FINELON DO NASCIMENTO</t>
        </is>
      </c>
      <c r="F2815" s="30" t="inlineStr">
        <is>
          <t>2022</t>
        </is>
      </c>
      <c r="G2815" s="40" t="n">
        <v>0</v>
      </c>
    </row>
    <row r="2816" ht="12" customHeight="1">
      <c r="A2816" s="30" t="inlineStr">
        <is>
          <t>ITG</t>
        </is>
      </c>
      <c r="B2816" s="30" t="inlineStr">
        <is>
          <t>Itaguai</t>
        </is>
      </c>
      <c r="C2816" s="30" t="n">
        <v>11881149</v>
      </c>
      <c r="D2816" s="30">
        <f>"00098872702704"</f>
        <v/>
      </c>
      <c r="E2816" s="30" t="inlineStr">
        <is>
          <t>ANTONIA FINELON DO NASCIMENTO</t>
        </is>
      </c>
      <c r="F2816" s="30" t="inlineStr">
        <is>
          <t>2023</t>
        </is>
      </c>
      <c r="G2816" s="40" t="n">
        <v>0</v>
      </c>
    </row>
    <row r="2817" ht="12" customHeight="1">
      <c r="A2817" s="30" t="inlineStr">
        <is>
          <t>ITG</t>
        </is>
      </c>
      <c r="B2817" s="30" t="inlineStr">
        <is>
          <t>Itaguai</t>
        </is>
      </c>
      <c r="C2817" s="30" t="n">
        <v>11883192</v>
      </c>
      <c r="D2817" s="30">
        <f>"39683053000190"</f>
        <v/>
      </c>
      <c r="E2817" s="30" t="inlineStr">
        <is>
          <t>MD COMERCIO E DISTRIBUIDORA DE ALIMENTOS EIRELI</t>
        </is>
      </c>
      <c r="F2817" s="30" t="inlineStr">
        <is>
          <t>2020</t>
        </is>
      </c>
      <c r="G2817" s="40" t="n">
        <v>0</v>
      </c>
    </row>
    <row r="2818" ht="12" customHeight="1">
      <c r="A2818" s="30" t="inlineStr">
        <is>
          <t>ITG</t>
        </is>
      </c>
      <c r="B2818" s="30" t="inlineStr">
        <is>
          <t>Itaguai</t>
        </is>
      </c>
      <c r="C2818" s="30" t="n">
        <v>11883192</v>
      </c>
      <c r="D2818" s="30">
        <f>"39683053000190"</f>
        <v/>
      </c>
      <c r="E2818" s="30" t="inlineStr">
        <is>
          <t>MD COMERCIO E DISTRIBUIDORA DE ALIMENTOS EIRELI</t>
        </is>
      </c>
      <c r="F2818" s="30" t="inlineStr">
        <is>
          <t>2021</t>
        </is>
      </c>
      <c r="G2818" s="40" t="n">
        <v>0</v>
      </c>
    </row>
    <row r="2819" ht="12" customHeight="1">
      <c r="A2819" s="30" t="inlineStr">
        <is>
          <t>ITG</t>
        </is>
      </c>
      <c r="B2819" s="30" t="inlineStr">
        <is>
          <t>Itaguai</t>
        </is>
      </c>
      <c r="C2819" s="30" t="n">
        <v>11883192</v>
      </c>
      <c r="D2819" s="30">
        <f>"39683053000190"</f>
        <v/>
      </c>
      <c r="E2819" s="30" t="inlineStr">
        <is>
          <t>MD COMERCIO E DISTRIBUIDORA DE ALIMENTOS EIRELI</t>
        </is>
      </c>
      <c r="F2819" s="30" t="inlineStr">
        <is>
          <t>2022</t>
        </is>
      </c>
      <c r="G2819" s="40" t="n">
        <v>0</v>
      </c>
    </row>
    <row r="2820" ht="12" customHeight="1">
      <c r="A2820" s="30" t="inlineStr">
        <is>
          <t>ITG</t>
        </is>
      </c>
      <c r="B2820" s="30" t="inlineStr">
        <is>
          <t>Itaguai</t>
        </is>
      </c>
      <c r="C2820" s="30" t="n">
        <v>11883192</v>
      </c>
      <c r="D2820" s="30">
        <f>"39683053000190"</f>
        <v/>
      </c>
      <c r="E2820" s="30" t="inlineStr">
        <is>
          <t>MD COMERCIO E DISTRIBUIDORA DE ALIMENTOS EIRELI</t>
        </is>
      </c>
      <c r="F2820" s="30" t="inlineStr">
        <is>
          <t>2023</t>
        </is>
      </c>
      <c r="G2820" s="40" t="n">
        <v>0</v>
      </c>
    </row>
    <row r="2821" ht="12" customHeight="1">
      <c r="A2821" s="30" t="inlineStr">
        <is>
          <t>ITG</t>
        </is>
      </c>
      <c r="B2821" s="30" t="inlineStr">
        <is>
          <t>Itaguai</t>
        </is>
      </c>
      <c r="C2821" s="30" t="n">
        <v>11893139</v>
      </c>
      <c r="D2821" s="30">
        <f>"36294967000251"</f>
        <v/>
      </c>
      <c r="E2821" s="30" t="inlineStr">
        <is>
          <t>RAINHA DO QUEIJO LATIC?NIOS E LANCHONETE LTDA</t>
        </is>
      </c>
      <c r="F2821" s="30" t="inlineStr">
        <is>
          <t>2021</t>
        </is>
      </c>
      <c r="G2821" s="40" t="n">
        <v>0</v>
      </c>
    </row>
    <row r="2822" ht="12" customHeight="1">
      <c r="A2822" s="30" t="inlineStr">
        <is>
          <t>ITG</t>
        </is>
      </c>
      <c r="B2822" s="30" t="inlineStr">
        <is>
          <t>Itaguai</t>
        </is>
      </c>
      <c r="C2822" s="30" t="n">
        <v>11893139</v>
      </c>
      <c r="D2822" s="30">
        <f>"36294967000251"</f>
        <v/>
      </c>
      <c r="E2822" s="30" t="inlineStr">
        <is>
          <t>RAINHA DO QUEIJO LATIC?NIOS E LANCHONETE LTDA</t>
        </is>
      </c>
      <c r="F2822" s="30" t="inlineStr">
        <is>
          <t>2022</t>
        </is>
      </c>
      <c r="G2822" s="40" t="n">
        <v>0</v>
      </c>
    </row>
    <row r="2823" ht="12" customHeight="1">
      <c r="A2823" s="30" t="inlineStr">
        <is>
          <t>ITG</t>
        </is>
      </c>
      <c r="B2823" s="30" t="inlineStr">
        <is>
          <t>Itaguai</t>
        </is>
      </c>
      <c r="C2823" s="30" t="n">
        <v>11893139</v>
      </c>
      <c r="D2823" s="30">
        <f>"36294967000251"</f>
        <v/>
      </c>
      <c r="E2823" s="30" t="inlineStr">
        <is>
          <t>RAINHA DO QUEIJO LATIC?NIOS E LANCHONETE LTDA</t>
        </is>
      </c>
      <c r="F2823" s="30" t="inlineStr">
        <is>
          <t>2023</t>
        </is>
      </c>
      <c r="G2823" s="40" t="n">
        <v>1466230.93</v>
      </c>
    </row>
    <row r="2824" ht="12" customHeight="1">
      <c r="A2824" s="30" t="inlineStr">
        <is>
          <t>ITG</t>
        </is>
      </c>
      <c r="B2824" s="30" t="inlineStr">
        <is>
          <t>Itaguai</t>
        </is>
      </c>
      <c r="C2824" s="30" t="n">
        <v>11897193</v>
      </c>
      <c r="D2824" s="30">
        <f>"34713132000697"</f>
        <v/>
      </c>
      <c r="E2824" s="30" t="inlineStr">
        <is>
          <t>S-BB TRANSPORTES LTDA</t>
        </is>
      </c>
      <c r="F2824" s="30" t="inlineStr">
        <is>
          <t>2019</t>
        </is>
      </c>
      <c r="G2824" s="40" t="n">
        <v>0</v>
      </c>
    </row>
    <row r="2825" ht="12" customHeight="1">
      <c r="A2825" s="30" t="inlineStr">
        <is>
          <t>ITG</t>
        </is>
      </c>
      <c r="B2825" s="30" t="inlineStr">
        <is>
          <t>Itaguai</t>
        </is>
      </c>
      <c r="C2825" s="30" t="n">
        <v>11897193</v>
      </c>
      <c r="D2825" s="30">
        <f>"34713132000697"</f>
        <v/>
      </c>
      <c r="E2825" s="30" t="inlineStr">
        <is>
          <t>S-BB TRANSPORTES LTDA</t>
        </is>
      </c>
      <c r="F2825" s="30" t="inlineStr">
        <is>
          <t>2020</t>
        </is>
      </c>
      <c r="G2825" s="40" t="n">
        <v>0</v>
      </c>
    </row>
    <row r="2826" ht="12" customHeight="1">
      <c r="A2826" s="30" t="inlineStr">
        <is>
          <t>ITG</t>
        </is>
      </c>
      <c r="B2826" s="30" t="inlineStr">
        <is>
          <t>Itaguai</t>
        </is>
      </c>
      <c r="C2826" s="30" t="n">
        <v>11897193</v>
      </c>
      <c r="D2826" s="30">
        <f>"34713132000697"</f>
        <v/>
      </c>
      <c r="E2826" s="30" t="inlineStr">
        <is>
          <t>S-BB TRANSPORTES LTDA</t>
        </is>
      </c>
      <c r="F2826" s="30" t="inlineStr">
        <is>
          <t>2021</t>
        </is>
      </c>
      <c r="G2826" s="40" t="n">
        <v>21755.08</v>
      </c>
    </row>
    <row r="2827" ht="12" customHeight="1">
      <c r="A2827" s="30" t="inlineStr">
        <is>
          <t>ITG</t>
        </is>
      </c>
      <c r="B2827" s="30" t="inlineStr">
        <is>
          <t>Itaguai</t>
        </is>
      </c>
      <c r="C2827" s="30" t="n">
        <v>11897193</v>
      </c>
      <c r="D2827" s="30">
        <f>"34713132000697"</f>
        <v/>
      </c>
      <c r="E2827" s="30" t="inlineStr">
        <is>
          <t>S-BB TRANSPORTES LTDA</t>
        </is>
      </c>
      <c r="F2827" s="30" t="inlineStr">
        <is>
          <t>2022</t>
        </is>
      </c>
      <c r="G2827" s="40" t="n">
        <v>94000.25</v>
      </c>
    </row>
    <row r="2828" ht="12" customHeight="1">
      <c r="A2828" s="30" t="inlineStr">
        <is>
          <t>ITG</t>
        </is>
      </c>
      <c r="B2828" s="30" t="inlineStr">
        <is>
          <t>Itaguai</t>
        </is>
      </c>
      <c r="C2828" s="30" t="n">
        <v>11897193</v>
      </c>
      <c r="D2828" s="30">
        <f>"34713132000697"</f>
        <v/>
      </c>
      <c r="E2828" s="30" t="inlineStr">
        <is>
          <t>S-BB TRANSPORTES LTDA</t>
        </is>
      </c>
      <c r="F2828" s="30" t="inlineStr">
        <is>
          <t>2023</t>
        </is>
      </c>
      <c r="G2828" s="40" t="n">
        <v>0</v>
      </c>
    </row>
    <row r="2829" ht="12" customHeight="1">
      <c r="A2829" s="30" t="inlineStr">
        <is>
          <t>ITG</t>
        </is>
      </c>
      <c r="B2829" s="30" t="inlineStr">
        <is>
          <t>Itaguai</t>
        </is>
      </c>
      <c r="C2829" s="30" t="n">
        <v>11898408</v>
      </c>
      <c r="D2829" s="30">
        <f>"39538126000230"</f>
        <v/>
      </c>
      <c r="E2829" s="30" t="inlineStr">
        <is>
          <t>BRLOGIS TRANSPORTE DE VEICULOS S/A</t>
        </is>
      </c>
      <c r="F2829" s="30" t="inlineStr">
        <is>
          <t>2020</t>
        </is>
      </c>
      <c r="G2829" s="40" t="n">
        <v>0</v>
      </c>
    </row>
    <row r="2830" ht="12" customHeight="1">
      <c r="A2830" s="30" t="inlineStr">
        <is>
          <t>ITG</t>
        </is>
      </c>
      <c r="B2830" s="30" t="inlineStr">
        <is>
          <t>Itaguai</t>
        </is>
      </c>
      <c r="C2830" s="30" t="n">
        <v>11898408</v>
      </c>
      <c r="D2830" s="30">
        <f>"39538126000230"</f>
        <v/>
      </c>
      <c r="E2830" s="30" t="inlineStr">
        <is>
          <t>BRLOGIS TRANSPORTE DE VEICULOS S/A</t>
        </is>
      </c>
      <c r="F2830" s="30" t="inlineStr">
        <is>
          <t>2021</t>
        </is>
      </c>
      <c r="G2830" s="40" t="n">
        <v>0</v>
      </c>
    </row>
    <row r="2831" ht="12" customHeight="1">
      <c r="A2831" s="30" t="inlineStr">
        <is>
          <t>ITG</t>
        </is>
      </c>
      <c r="B2831" s="30" t="inlineStr">
        <is>
          <t>Itaguai</t>
        </is>
      </c>
      <c r="C2831" s="30" t="n">
        <v>11898408</v>
      </c>
      <c r="D2831" s="30">
        <f>"39538126000230"</f>
        <v/>
      </c>
      <c r="E2831" s="30" t="inlineStr">
        <is>
          <t>BRLOGIS TRANSPORTE DE VEICULOS S/A</t>
        </is>
      </c>
      <c r="F2831" s="30" t="inlineStr">
        <is>
          <t>2022</t>
        </is>
      </c>
      <c r="G2831" s="40" t="n">
        <v>2632.96</v>
      </c>
    </row>
    <row r="2832" ht="12" customHeight="1">
      <c r="A2832" s="30" t="inlineStr">
        <is>
          <t>ITG</t>
        </is>
      </c>
      <c r="B2832" s="30" t="inlineStr">
        <is>
          <t>Itaguai</t>
        </is>
      </c>
      <c r="C2832" s="30" t="n">
        <v>11898408</v>
      </c>
      <c r="D2832" s="30">
        <f>"39538126000230"</f>
        <v/>
      </c>
      <c r="E2832" s="30" t="inlineStr">
        <is>
          <t>BRLOGIS TRANSPORTE DE VEICULOS S/A</t>
        </is>
      </c>
      <c r="F2832" s="30" t="inlineStr">
        <is>
          <t>2023</t>
        </is>
      </c>
      <c r="G2832" s="40" t="n">
        <v>0</v>
      </c>
    </row>
    <row r="2833" ht="12" customHeight="1">
      <c r="A2833" s="30" t="inlineStr">
        <is>
          <t>ITG</t>
        </is>
      </c>
      <c r="B2833" s="30" t="inlineStr">
        <is>
          <t>Itaguai</t>
        </is>
      </c>
      <c r="C2833" s="30" t="n">
        <v>11905390</v>
      </c>
      <c r="D2833" s="30">
        <f>"39907793000162"</f>
        <v/>
      </c>
      <c r="E2833" s="30" t="inlineStr">
        <is>
          <t>L&amp;A BRASIL LOCA??ES DE M?QUINAS LTDA</t>
        </is>
      </c>
      <c r="F2833" s="30" t="inlineStr">
        <is>
          <t>2021</t>
        </is>
      </c>
      <c r="G2833" s="40" t="n">
        <v>0</v>
      </c>
    </row>
    <row r="2834" ht="12" customHeight="1">
      <c r="A2834" s="30" t="inlineStr">
        <is>
          <t>ITG</t>
        </is>
      </c>
      <c r="B2834" s="30" t="inlineStr">
        <is>
          <t>Itaguai</t>
        </is>
      </c>
      <c r="C2834" s="30" t="n">
        <v>11905390</v>
      </c>
      <c r="D2834" s="30">
        <f>"39907793000162"</f>
        <v/>
      </c>
      <c r="E2834" s="30" t="inlineStr">
        <is>
          <t>L&amp;A BRASIL LOCA??ES DE M?QUINAS LTDA</t>
        </is>
      </c>
      <c r="F2834" s="30" t="inlineStr">
        <is>
          <t>2022</t>
        </is>
      </c>
      <c r="G2834" s="40" t="n">
        <v>0</v>
      </c>
    </row>
    <row r="2835" ht="12" customHeight="1">
      <c r="A2835" s="30" t="inlineStr">
        <is>
          <t>ITG</t>
        </is>
      </c>
      <c r="B2835" s="30" t="inlineStr">
        <is>
          <t>Itaguai</t>
        </is>
      </c>
      <c r="C2835" s="30" t="n">
        <v>11905390</v>
      </c>
      <c r="D2835" s="30">
        <f>"39907793000162"</f>
        <v/>
      </c>
      <c r="E2835" s="30" t="inlineStr">
        <is>
          <t>L&amp;A BRASIL LOCA??ES DE M?QUINAS LTDA</t>
        </is>
      </c>
      <c r="F2835" s="30" t="inlineStr">
        <is>
          <t>2023</t>
        </is>
      </c>
      <c r="G2835" s="40" t="n">
        <v>0</v>
      </c>
    </row>
    <row r="2836" ht="12" customHeight="1">
      <c r="A2836" s="30" t="inlineStr">
        <is>
          <t>ITG</t>
        </is>
      </c>
      <c r="B2836" s="30" t="inlineStr">
        <is>
          <t>Itaguai</t>
        </is>
      </c>
      <c r="C2836" s="30" t="n">
        <v>11912974</v>
      </c>
      <c r="D2836" s="30">
        <f>"26206146000262"</f>
        <v/>
      </c>
      <c r="E2836" s="30" t="inlineStr">
        <is>
          <t>SCS ARMAZENS GERAIS LTDA</t>
        </is>
      </c>
      <c r="F2836" s="30" t="inlineStr">
        <is>
          <t>2018</t>
        </is>
      </c>
      <c r="G2836" s="40" t="n">
        <v>0</v>
      </c>
    </row>
    <row r="2837" ht="12" customHeight="1">
      <c r="A2837" s="30" t="inlineStr">
        <is>
          <t>ITG</t>
        </is>
      </c>
      <c r="B2837" s="30" t="inlineStr">
        <is>
          <t>Itaguai</t>
        </is>
      </c>
      <c r="C2837" s="30" t="n">
        <v>11912974</v>
      </c>
      <c r="D2837" s="30">
        <f>"26206146000262"</f>
        <v/>
      </c>
      <c r="E2837" s="30" t="inlineStr">
        <is>
          <t>SCS ARMAZENS GERAIS LTDA</t>
        </is>
      </c>
      <c r="F2837" s="30" t="inlineStr">
        <is>
          <t>2019</t>
        </is>
      </c>
      <c r="G2837" s="40" t="n">
        <v>0</v>
      </c>
    </row>
    <row r="2838" ht="12" customHeight="1">
      <c r="A2838" s="30" t="inlineStr">
        <is>
          <t>ITG</t>
        </is>
      </c>
      <c r="B2838" s="30" t="inlineStr">
        <is>
          <t>Itaguai</t>
        </is>
      </c>
      <c r="C2838" s="30" t="n">
        <v>11912974</v>
      </c>
      <c r="D2838" s="30">
        <f>"26206146000262"</f>
        <v/>
      </c>
      <c r="E2838" s="30" t="inlineStr">
        <is>
          <t>SCS ARMAZENS GERAIS LTDA</t>
        </is>
      </c>
      <c r="F2838" s="30" t="inlineStr">
        <is>
          <t>2020</t>
        </is>
      </c>
      <c r="G2838" s="40" t="n">
        <v>0</v>
      </c>
    </row>
    <row r="2839" ht="12" customHeight="1">
      <c r="A2839" s="30" t="inlineStr">
        <is>
          <t>ITG</t>
        </is>
      </c>
      <c r="B2839" s="30" t="inlineStr">
        <is>
          <t>Itaguai</t>
        </is>
      </c>
      <c r="C2839" s="30" t="n">
        <v>11912974</v>
      </c>
      <c r="D2839" s="30">
        <f>"26206146000262"</f>
        <v/>
      </c>
      <c r="E2839" s="30" t="inlineStr">
        <is>
          <t>SCS ARMAZENS GERAIS LTDA</t>
        </is>
      </c>
      <c r="F2839" s="30" t="inlineStr">
        <is>
          <t>2021</t>
        </is>
      </c>
      <c r="G2839" s="40" t="n">
        <v>0</v>
      </c>
    </row>
    <row r="2840" ht="12" customHeight="1">
      <c r="A2840" s="30" t="inlineStr">
        <is>
          <t>ITG</t>
        </is>
      </c>
      <c r="B2840" s="30" t="inlineStr">
        <is>
          <t>Itaguai</t>
        </is>
      </c>
      <c r="C2840" s="30" t="n">
        <v>11912974</v>
      </c>
      <c r="D2840" s="30">
        <f>"26206146000262"</f>
        <v/>
      </c>
      <c r="E2840" s="30" t="inlineStr">
        <is>
          <t>SCS ARMAZENS GERAIS LTDA</t>
        </is>
      </c>
      <c r="F2840" s="30" t="inlineStr">
        <is>
          <t>2022</t>
        </is>
      </c>
      <c r="G2840" s="40" t="n">
        <v>0</v>
      </c>
    </row>
    <row r="2841" ht="12" customHeight="1">
      <c r="A2841" s="30" t="inlineStr">
        <is>
          <t>ITG</t>
        </is>
      </c>
      <c r="B2841" s="30" t="inlineStr">
        <is>
          <t>Itaguai</t>
        </is>
      </c>
      <c r="C2841" s="30" t="n">
        <v>11912974</v>
      </c>
      <c r="D2841" s="30">
        <f>"26206146000262"</f>
        <v/>
      </c>
      <c r="E2841" s="30" t="inlineStr">
        <is>
          <t>SCS ARMAZENS GERAIS LTDA</t>
        </is>
      </c>
      <c r="F2841" s="30" t="inlineStr">
        <is>
          <t>2023</t>
        </is>
      </c>
      <c r="G2841" s="40" t="n">
        <v>0</v>
      </c>
    </row>
    <row r="2842" ht="12" customHeight="1">
      <c r="A2842" s="30" t="inlineStr">
        <is>
          <t>ITG</t>
        </is>
      </c>
      <c r="B2842" s="30" t="inlineStr">
        <is>
          <t>Itaguai</t>
        </is>
      </c>
      <c r="C2842" s="30" t="n">
        <v>11918131</v>
      </c>
      <c r="D2842" s="30">
        <f>"35606143001017"</f>
        <v/>
      </c>
      <c r="E2842" s="30" t="inlineStr">
        <is>
          <t>FASTLINE LOGISTICA AUTOMOTIVA LTDA</t>
        </is>
      </c>
      <c r="F2842" s="30" t="inlineStr">
        <is>
          <t>2021</t>
        </is>
      </c>
      <c r="G2842" s="40" t="n">
        <v>0</v>
      </c>
    </row>
    <row r="2843" ht="12" customHeight="1">
      <c r="A2843" s="30" t="inlineStr">
        <is>
          <t>ITG</t>
        </is>
      </c>
      <c r="B2843" s="30" t="inlineStr">
        <is>
          <t>Itaguai</t>
        </is>
      </c>
      <c r="C2843" s="30" t="n">
        <v>11918131</v>
      </c>
      <c r="D2843" s="30">
        <f>"35606143001017"</f>
        <v/>
      </c>
      <c r="E2843" s="30" t="inlineStr">
        <is>
          <t>FASTLINE LOGISTICA AUTOMOTIVA LTDA</t>
        </is>
      </c>
      <c r="F2843" s="30" t="inlineStr">
        <is>
          <t>2022</t>
        </is>
      </c>
      <c r="G2843" s="40" t="n">
        <v>0</v>
      </c>
    </row>
    <row r="2844" ht="12" customHeight="1">
      <c r="A2844" s="30" t="inlineStr">
        <is>
          <t>ITG</t>
        </is>
      </c>
      <c r="B2844" s="30" t="inlineStr">
        <is>
          <t>Itaguai</t>
        </is>
      </c>
      <c r="C2844" s="30" t="n">
        <v>11918131</v>
      </c>
      <c r="D2844" s="30">
        <f>"35606143001017"</f>
        <v/>
      </c>
      <c r="E2844" s="30" t="inlineStr">
        <is>
          <t>FASTLINE LOGISTICA AUTOMOTIVA LTDA</t>
        </is>
      </c>
      <c r="F2844" s="30" t="inlineStr">
        <is>
          <t>2023</t>
        </is>
      </c>
      <c r="G2844" s="40" t="n">
        <v>13009</v>
      </c>
    </row>
    <row r="2845" ht="12" customHeight="1">
      <c r="A2845" s="30" t="inlineStr">
        <is>
          <t>ITG</t>
        </is>
      </c>
      <c r="B2845" s="30" t="inlineStr">
        <is>
          <t>Itaguai</t>
        </is>
      </c>
      <c r="C2845" s="30" t="n">
        <v>11920985</v>
      </c>
      <c r="D2845" s="30">
        <f>"82110818002841"</f>
        <v/>
      </c>
      <c r="E2845" s="30" t="inlineStr">
        <is>
          <t>ALFA TRANSPORTES LTDA</t>
        </is>
      </c>
      <c r="F2845" s="30" t="inlineStr">
        <is>
          <t>2019</t>
        </is>
      </c>
      <c r="G2845" s="40" t="n">
        <v>0</v>
      </c>
    </row>
    <row r="2846" ht="12" customHeight="1">
      <c r="A2846" s="30" t="inlineStr">
        <is>
          <t>ITG</t>
        </is>
      </c>
      <c r="B2846" s="30" t="inlineStr">
        <is>
          <t>Itaguai</t>
        </is>
      </c>
      <c r="C2846" s="30" t="n">
        <v>11920985</v>
      </c>
      <c r="D2846" s="30">
        <f>"82110818002841"</f>
        <v/>
      </c>
      <c r="E2846" s="30" t="inlineStr">
        <is>
          <t>ALFA TRANSPORTES LTDA</t>
        </is>
      </c>
      <c r="F2846" s="30" t="inlineStr">
        <is>
          <t>2020</t>
        </is>
      </c>
      <c r="G2846" s="40" t="n">
        <v>0</v>
      </c>
    </row>
    <row r="2847" ht="12" customHeight="1">
      <c r="A2847" s="30" t="inlineStr">
        <is>
          <t>ITG</t>
        </is>
      </c>
      <c r="B2847" s="30" t="inlineStr">
        <is>
          <t>Itaguai</t>
        </is>
      </c>
      <c r="C2847" s="30" t="n">
        <v>11920985</v>
      </c>
      <c r="D2847" s="30">
        <f>"82110818002841"</f>
        <v/>
      </c>
      <c r="E2847" s="30" t="inlineStr">
        <is>
          <t>ALFA TRANSPORTES LTDA</t>
        </is>
      </c>
      <c r="F2847" s="30" t="inlineStr">
        <is>
          <t>2021</t>
        </is>
      </c>
      <c r="G2847" s="40" t="n">
        <v>4341.27</v>
      </c>
    </row>
    <row r="2848" ht="12" customHeight="1">
      <c r="A2848" s="30" t="inlineStr">
        <is>
          <t>ITG</t>
        </is>
      </c>
      <c r="B2848" s="30" t="inlineStr">
        <is>
          <t>Itaguai</t>
        </is>
      </c>
      <c r="C2848" s="30" t="n">
        <v>11920985</v>
      </c>
      <c r="D2848" s="30">
        <f>"82110818002841"</f>
        <v/>
      </c>
      <c r="E2848" s="30" t="inlineStr">
        <is>
          <t>ALFA TRANSPORTES LTDA</t>
        </is>
      </c>
      <c r="F2848" s="30" t="inlineStr">
        <is>
          <t>2022</t>
        </is>
      </c>
      <c r="G2848" s="40" t="n">
        <v>12161.43</v>
      </c>
    </row>
    <row r="2849" ht="12" customHeight="1">
      <c r="A2849" s="30" t="inlineStr">
        <is>
          <t>ITG</t>
        </is>
      </c>
      <c r="B2849" s="30" t="inlineStr">
        <is>
          <t>Itaguai</t>
        </is>
      </c>
      <c r="C2849" s="30" t="n">
        <v>11920985</v>
      </c>
      <c r="D2849" s="30">
        <f>"82110818002841"</f>
        <v/>
      </c>
      <c r="E2849" s="30" t="inlineStr">
        <is>
          <t>ALFA TRANSPORTES LTDA</t>
        </is>
      </c>
      <c r="F2849" s="30" t="inlineStr">
        <is>
          <t>2023</t>
        </is>
      </c>
      <c r="G2849" s="40" t="n">
        <v>5494.76</v>
      </c>
    </row>
    <row r="2850" ht="12" customHeight="1">
      <c r="A2850" s="30" t="inlineStr">
        <is>
          <t>ITG</t>
        </is>
      </c>
      <c r="B2850" s="30" t="inlineStr">
        <is>
          <t>Itaguai</t>
        </is>
      </c>
      <c r="C2850" s="30" t="n">
        <v>11926150</v>
      </c>
      <c r="D2850" s="30">
        <f>"30962019000775"</f>
        <v/>
      </c>
      <c r="E2850" s="30" t="inlineStr">
        <is>
          <t>RODOE TRANSPORTES DE ENCOMENDAS LTDA</t>
        </is>
      </c>
      <c r="F2850" s="30" t="inlineStr">
        <is>
          <t>2019</t>
        </is>
      </c>
      <c r="G2850" s="40" t="n">
        <v>0</v>
      </c>
    </row>
    <row r="2851" ht="12" customHeight="1">
      <c r="A2851" s="30" t="inlineStr">
        <is>
          <t>ITG</t>
        </is>
      </c>
      <c r="B2851" s="30" t="inlineStr">
        <is>
          <t>Itaguai</t>
        </is>
      </c>
      <c r="C2851" s="30" t="n">
        <v>11926150</v>
      </c>
      <c r="D2851" s="30">
        <f>"30962019000775"</f>
        <v/>
      </c>
      <c r="E2851" s="30" t="inlineStr">
        <is>
          <t>RODOE TRANSPORTES DE ENCOMENDAS LTDA</t>
        </is>
      </c>
      <c r="F2851" s="30" t="inlineStr">
        <is>
          <t>2020</t>
        </is>
      </c>
      <c r="G2851" s="40" t="n">
        <v>0</v>
      </c>
    </row>
    <row r="2852" ht="12" customHeight="1">
      <c r="A2852" s="30" t="inlineStr">
        <is>
          <t>ITG</t>
        </is>
      </c>
      <c r="B2852" s="30" t="inlineStr">
        <is>
          <t>Itaguai</t>
        </is>
      </c>
      <c r="C2852" s="30" t="n">
        <v>11926150</v>
      </c>
      <c r="D2852" s="30">
        <f>"30962019000775"</f>
        <v/>
      </c>
      <c r="E2852" s="30" t="inlineStr">
        <is>
          <t>RODOE TRANSPORTES DE ENCOMENDAS LTDA</t>
        </is>
      </c>
      <c r="F2852" s="30" t="inlineStr">
        <is>
          <t>2021</t>
        </is>
      </c>
      <c r="G2852" s="40" t="n">
        <v>47.03</v>
      </c>
    </row>
    <row r="2853" ht="12" customHeight="1">
      <c r="A2853" s="30" t="inlineStr">
        <is>
          <t>ITG</t>
        </is>
      </c>
      <c r="B2853" s="30" t="inlineStr">
        <is>
          <t>Itaguai</t>
        </is>
      </c>
      <c r="C2853" s="30" t="n">
        <v>11926150</v>
      </c>
      <c r="D2853" s="30">
        <f>"30962019000775"</f>
        <v/>
      </c>
      <c r="E2853" s="30" t="inlineStr">
        <is>
          <t>RODOE TRANSPORTES DE ENCOMENDAS LTDA</t>
        </is>
      </c>
      <c r="F2853" s="30" t="inlineStr">
        <is>
          <t>2022</t>
        </is>
      </c>
      <c r="G2853" s="40" t="n">
        <v>0</v>
      </c>
    </row>
    <row r="2854" ht="12" customHeight="1">
      <c r="A2854" s="30" t="inlineStr">
        <is>
          <t>ITG</t>
        </is>
      </c>
      <c r="B2854" s="30" t="inlineStr">
        <is>
          <t>Itaguai</t>
        </is>
      </c>
      <c r="C2854" s="30" t="n">
        <v>11926150</v>
      </c>
      <c r="D2854" s="30">
        <f>"30962019000775"</f>
        <v/>
      </c>
      <c r="E2854" s="30" t="inlineStr">
        <is>
          <t>RODOE TRANSPORTES DE ENCOMENDAS LTDA</t>
        </is>
      </c>
      <c r="F2854" s="30" t="inlineStr">
        <is>
          <t>2023</t>
        </is>
      </c>
      <c r="G2854" s="40" t="n">
        <v>0</v>
      </c>
    </row>
    <row r="2855" ht="12" customHeight="1">
      <c r="A2855" s="30" t="inlineStr">
        <is>
          <t>ITG</t>
        </is>
      </c>
      <c r="B2855" s="30" t="inlineStr">
        <is>
          <t>Itaguai</t>
        </is>
      </c>
      <c r="C2855" s="30" t="n">
        <v>11926681</v>
      </c>
      <c r="D2855" s="30">
        <f>"34325515000345"</f>
        <v/>
      </c>
      <c r="E2855" s="30" t="inlineStr">
        <is>
          <t>COBRAZIL CONSTRUCOES S.A</t>
        </is>
      </c>
      <c r="F2855" s="30" t="inlineStr">
        <is>
          <t>2020</t>
        </is>
      </c>
      <c r="G2855" s="40" t="n">
        <v>0</v>
      </c>
    </row>
    <row r="2856" ht="12" customHeight="1">
      <c r="A2856" s="30" t="inlineStr">
        <is>
          <t>ITG</t>
        </is>
      </c>
      <c r="B2856" s="30" t="inlineStr">
        <is>
          <t>Itaguai</t>
        </is>
      </c>
      <c r="C2856" s="30" t="n">
        <v>11926681</v>
      </c>
      <c r="D2856" s="30">
        <f>"34325515000345"</f>
        <v/>
      </c>
      <c r="E2856" s="30" t="inlineStr">
        <is>
          <t>COBRAZIL CONSTRUCOES S.A</t>
        </is>
      </c>
      <c r="F2856" s="30" t="inlineStr">
        <is>
          <t>2021</t>
        </is>
      </c>
      <c r="G2856" s="40" t="n">
        <v>0</v>
      </c>
    </row>
    <row r="2857" ht="12" customHeight="1">
      <c r="A2857" s="30" t="inlineStr">
        <is>
          <t>ITG</t>
        </is>
      </c>
      <c r="B2857" s="30" t="inlineStr">
        <is>
          <t>Itaguai</t>
        </is>
      </c>
      <c r="C2857" s="30" t="n">
        <v>11926681</v>
      </c>
      <c r="D2857" s="30">
        <f>"34325515000345"</f>
        <v/>
      </c>
      <c r="E2857" s="30" t="inlineStr">
        <is>
          <t>COBRAZIL CONSTRUCOES S.A</t>
        </is>
      </c>
      <c r="F2857" s="30" t="inlineStr">
        <is>
          <t>2022</t>
        </is>
      </c>
      <c r="G2857" s="40" t="n">
        <v>0</v>
      </c>
    </row>
    <row r="2858" ht="12" customHeight="1">
      <c r="A2858" s="30" t="inlineStr">
        <is>
          <t>ITG</t>
        </is>
      </c>
      <c r="B2858" s="30" t="inlineStr">
        <is>
          <t>Itaguai</t>
        </is>
      </c>
      <c r="C2858" s="30" t="n">
        <v>11926681</v>
      </c>
      <c r="D2858" s="30">
        <f>"34325515000345"</f>
        <v/>
      </c>
      <c r="E2858" s="30" t="inlineStr">
        <is>
          <t>COBRAZIL CONSTRUCOES S.A</t>
        </is>
      </c>
      <c r="F2858" s="30" t="inlineStr">
        <is>
          <t>2023</t>
        </is>
      </c>
      <c r="G2858" s="40" t="n">
        <v>547521.33</v>
      </c>
    </row>
    <row r="2859" ht="12" customHeight="1">
      <c r="A2859" s="30" t="inlineStr">
        <is>
          <t>ITG</t>
        </is>
      </c>
      <c r="B2859" s="30" t="inlineStr">
        <is>
          <t>Itaguai</t>
        </is>
      </c>
      <c r="C2859" s="30" t="n">
        <v>11933262</v>
      </c>
      <c r="D2859" s="30">
        <f>"40182418000181"</f>
        <v/>
      </c>
      <c r="E2859" s="30" t="inlineStr">
        <is>
          <t>BOI SUCESSO, COM?RCIO ATACADO E VAREJO DE PRODUTOS ALIMENT?CIOS</t>
        </is>
      </c>
      <c r="F2859" s="30" t="inlineStr">
        <is>
          <t>2019</t>
        </is>
      </c>
      <c r="G2859" s="40" t="n">
        <v>0</v>
      </c>
    </row>
    <row r="2860" ht="12" customHeight="1">
      <c r="A2860" s="30" t="inlineStr">
        <is>
          <t>ITG</t>
        </is>
      </c>
      <c r="B2860" s="30" t="inlineStr">
        <is>
          <t>Itaguai</t>
        </is>
      </c>
      <c r="C2860" s="30" t="n">
        <v>11933262</v>
      </c>
      <c r="D2860" s="30">
        <f>"40182418000181"</f>
        <v/>
      </c>
      <c r="E2860" s="30" t="inlineStr">
        <is>
          <t>BOI SUCESSO, COM?RCIO ATACADO E VAREJO DE PRODUTOS ALIMENT?CIOS</t>
        </is>
      </c>
      <c r="F2860" s="30" t="inlineStr">
        <is>
          <t>2020</t>
        </is>
      </c>
      <c r="G2860" s="40" t="n">
        <v>0</v>
      </c>
    </row>
    <row r="2861" ht="12" customHeight="1">
      <c r="A2861" s="30" t="inlineStr">
        <is>
          <t>ITG</t>
        </is>
      </c>
      <c r="B2861" s="30" t="inlineStr">
        <is>
          <t>Itaguai</t>
        </is>
      </c>
      <c r="C2861" s="30" t="n">
        <v>11933262</v>
      </c>
      <c r="D2861" s="30">
        <f>"40182418000181"</f>
        <v/>
      </c>
      <c r="E2861" s="30" t="inlineStr">
        <is>
          <t>BOI SUCESSO, COM?RCIO ATACADO E VAREJO DE PRODUTOS ALIMENT?CIOS</t>
        </is>
      </c>
      <c r="F2861" s="30" t="inlineStr">
        <is>
          <t>2021</t>
        </is>
      </c>
      <c r="G2861" s="40" t="n">
        <v>378225.14</v>
      </c>
    </row>
    <row r="2862" ht="12" customHeight="1">
      <c r="A2862" s="30" t="inlineStr">
        <is>
          <t>ITG</t>
        </is>
      </c>
      <c r="B2862" s="30" t="inlineStr">
        <is>
          <t>Itaguai</t>
        </is>
      </c>
      <c r="C2862" s="30" t="n">
        <v>11933262</v>
      </c>
      <c r="D2862" s="30">
        <f>"40182418000181"</f>
        <v/>
      </c>
      <c r="E2862" s="30" t="inlineStr">
        <is>
          <t>BOI SUCESSO, COM?RCIO ATACADO E VAREJO DE PRODUTOS ALIMENT?CIOS</t>
        </is>
      </c>
      <c r="F2862" s="30" t="inlineStr">
        <is>
          <t>2022</t>
        </is>
      </c>
      <c r="G2862" s="40" t="n">
        <v>472931.45</v>
      </c>
    </row>
    <row r="2863" ht="12" customHeight="1">
      <c r="A2863" s="30" t="inlineStr">
        <is>
          <t>ITG</t>
        </is>
      </c>
      <c r="B2863" s="30" t="inlineStr">
        <is>
          <t>Itaguai</t>
        </is>
      </c>
      <c r="C2863" s="30" t="n">
        <v>11933262</v>
      </c>
      <c r="D2863" s="30">
        <f>"40182418000181"</f>
        <v/>
      </c>
      <c r="E2863" s="30" t="inlineStr">
        <is>
          <t>BOI SUCESSO, COM?RCIO ATACADO E VAREJO DE PRODUTOS ALIMENT?CIOS</t>
        </is>
      </c>
      <c r="F2863" s="30" t="inlineStr">
        <is>
          <t>2023</t>
        </is>
      </c>
      <c r="G2863" s="40" t="n">
        <v>306064.1</v>
      </c>
    </row>
    <row r="2864" ht="12" customHeight="1">
      <c r="A2864" s="30" t="inlineStr">
        <is>
          <t>ITG</t>
        </is>
      </c>
      <c r="B2864" s="30" t="inlineStr">
        <is>
          <t>Itaguai</t>
        </is>
      </c>
      <c r="C2864" s="30" t="n">
        <v>11936717</v>
      </c>
      <c r="D2864" s="30">
        <f>"27267181000254"</f>
        <v/>
      </c>
      <c r="E2864" s="30" t="inlineStr">
        <is>
          <t>RTJ SOARES LTDA</t>
        </is>
      </c>
      <c r="F2864" s="30" t="inlineStr">
        <is>
          <t>2018</t>
        </is>
      </c>
      <c r="G2864" s="40" t="n">
        <v>0</v>
      </c>
    </row>
    <row r="2865" ht="12" customHeight="1">
      <c r="A2865" s="30" t="inlineStr">
        <is>
          <t>ITG</t>
        </is>
      </c>
      <c r="B2865" s="30" t="inlineStr">
        <is>
          <t>Itaguai</t>
        </is>
      </c>
      <c r="C2865" s="30" t="n">
        <v>11936717</v>
      </c>
      <c r="D2865" s="30">
        <f>"27267181000254"</f>
        <v/>
      </c>
      <c r="E2865" s="30" t="inlineStr">
        <is>
          <t>RTJ SOARES LTDA</t>
        </is>
      </c>
      <c r="F2865" s="30" t="inlineStr">
        <is>
          <t>2019</t>
        </is>
      </c>
      <c r="G2865" s="40" t="n">
        <v>0</v>
      </c>
    </row>
    <row r="2866" ht="12" customHeight="1">
      <c r="A2866" s="30" t="inlineStr">
        <is>
          <t>ITG</t>
        </is>
      </c>
      <c r="B2866" s="30" t="inlineStr">
        <is>
          <t>Itaguai</t>
        </is>
      </c>
      <c r="C2866" s="30" t="n">
        <v>11936717</v>
      </c>
      <c r="D2866" s="30">
        <f>"27267181000254"</f>
        <v/>
      </c>
      <c r="E2866" s="30" t="inlineStr">
        <is>
          <t>RTJ SOARES LTDA</t>
        </is>
      </c>
      <c r="F2866" s="30" t="inlineStr">
        <is>
          <t>2020</t>
        </is>
      </c>
      <c r="G2866" s="40" t="n">
        <v>0</v>
      </c>
    </row>
    <row r="2867" ht="12" customHeight="1">
      <c r="A2867" s="30" t="inlineStr">
        <is>
          <t>ITG</t>
        </is>
      </c>
      <c r="B2867" s="30" t="inlineStr">
        <is>
          <t>Itaguai</t>
        </is>
      </c>
      <c r="C2867" s="30" t="n">
        <v>11936717</v>
      </c>
      <c r="D2867" s="30">
        <f>"27267181000254"</f>
        <v/>
      </c>
      <c r="E2867" s="30" t="inlineStr">
        <is>
          <t>RTJ SOARES LTDA</t>
        </is>
      </c>
      <c r="F2867" s="30" t="inlineStr">
        <is>
          <t>2021</t>
        </is>
      </c>
      <c r="G2867" s="40" t="n">
        <v>0</v>
      </c>
    </row>
    <row r="2868" ht="12" customHeight="1">
      <c r="A2868" s="30" t="inlineStr">
        <is>
          <t>ITG</t>
        </is>
      </c>
      <c r="B2868" s="30" t="inlineStr">
        <is>
          <t>Itaguai</t>
        </is>
      </c>
      <c r="C2868" s="30" t="n">
        <v>11936717</v>
      </c>
      <c r="D2868" s="30">
        <f>"27267181000254"</f>
        <v/>
      </c>
      <c r="E2868" s="30" t="inlineStr">
        <is>
          <t>RTJ SOARES LTDA</t>
        </is>
      </c>
      <c r="F2868" s="30" t="inlineStr">
        <is>
          <t>2022</t>
        </is>
      </c>
      <c r="G2868" s="40" t="n">
        <v>0</v>
      </c>
    </row>
    <row r="2869" ht="12" customHeight="1">
      <c r="A2869" s="30" t="inlineStr">
        <is>
          <t>ITG</t>
        </is>
      </c>
      <c r="B2869" s="30" t="inlineStr">
        <is>
          <t>Itaguai</t>
        </is>
      </c>
      <c r="C2869" s="30" t="n">
        <v>11936717</v>
      </c>
      <c r="D2869" s="30">
        <f>"27267181000254"</f>
        <v/>
      </c>
      <c r="E2869" s="30" t="inlineStr">
        <is>
          <t>RTJ SOARES LTDA</t>
        </is>
      </c>
      <c r="F2869" s="30" t="inlineStr">
        <is>
          <t>2023</t>
        </is>
      </c>
      <c r="G2869" s="40" t="n">
        <v>0</v>
      </c>
    </row>
    <row r="2870" ht="12" customHeight="1">
      <c r="A2870" s="30" t="inlineStr">
        <is>
          <t>ITG</t>
        </is>
      </c>
      <c r="B2870" s="30" t="inlineStr">
        <is>
          <t>Itaguai</t>
        </is>
      </c>
      <c r="C2870" s="30" t="n">
        <v>11940633</v>
      </c>
      <c r="D2870" s="30">
        <f>"40270958000117"</f>
        <v/>
      </c>
      <c r="E2870" s="30" t="inlineStr">
        <is>
          <t>NSV LOG?STICA LTDA</t>
        </is>
      </c>
      <c r="F2870" s="30" t="inlineStr">
        <is>
          <t>2020</t>
        </is>
      </c>
      <c r="G2870" s="40" t="n">
        <v>0</v>
      </c>
    </row>
    <row r="2871" ht="12" customHeight="1">
      <c r="A2871" s="30" t="inlineStr">
        <is>
          <t>ITG</t>
        </is>
      </c>
      <c r="B2871" s="30" t="inlineStr">
        <is>
          <t>Itaguai</t>
        </is>
      </c>
      <c r="C2871" s="30" t="n">
        <v>11940633</v>
      </c>
      <c r="D2871" s="30">
        <f>"40270958000117"</f>
        <v/>
      </c>
      <c r="E2871" s="30" t="inlineStr">
        <is>
          <t>NSV LOG?STICA LTDA</t>
        </is>
      </c>
      <c r="F2871" s="30" t="inlineStr">
        <is>
          <t>2021</t>
        </is>
      </c>
      <c r="G2871" s="40" t="n">
        <v>0</v>
      </c>
    </row>
    <row r="2872" ht="12" customHeight="1">
      <c r="A2872" s="30" t="inlineStr">
        <is>
          <t>ITG</t>
        </is>
      </c>
      <c r="B2872" s="30" t="inlineStr">
        <is>
          <t>Itaguai</t>
        </is>
      </c>
      <c r="C2872" s="30" t="n">
        <v>11940633</v>
      </c>
      <c r="D2872" s="30">
        <f>"40270958000117"</f>
        <v/>
      </c>
      <c r="E2872" s="30" t="inlineStr">
        <is>
          <t>NSV LOG?STICA LTDA</t>
        </is>
      </c>
      <c r="F2872" s="30" t="inlineStr">
        <is>
          <t>2022</t>
        </is>
      </c>
      <c r="G2872" s="40" t="n">
        <v>8471.049999999999</v>
      </c>
    </row>
    <row r="2873" ht="12" customHeight="1">
      <c r="A2873" s="30" t="inlineStr">
        <is>
          <t>ITG</t>
        </is>
      </c>
      <c r="B2873" s="30" t="inlineStr">
        <is>
          <t>Itaguai</t>
        </is>
      </c>
      <c r="C2873" s="30" t="n">
        <v>11940633</v>
      </c>
      <c r="D2873" s="30">
        <f>"40270958000117"</f>
        <v/>
      </c>
      <c r="E2873" s="30" t="inlineStr">
        <is>
          <t>NSV LOG?STICA LTDA</t>
        </is>
      </c>
      <c r="F2873" s="30" t="inlineStr">
        <is>
          <t>2023</t>
        </is>
      </c>
      <c r="G2873" s="40" t="n">
        <v>0</v>
      </c>
    </row>
    <row r="2874" ht="12" customHeight="1">
      <c r="A2874" s="30" t="inlineStr">
        <is>
          <t>ITG</t>
        </is>
      </c>
      <c r="B2874" s="30" t="inlineStr">
        <is>
          <t>Itaguai</t>
        </is>
      </c>
      <c r="C2874" s="30" t="n">
        <v>11972977</v>
      </c>
      <c r="D2874" s="30">
        <f>"01125797002593"</f>
        <v/>
      </c>
      <c r="E2874" s="30" t="inlineStr">
        <is>
          <t>ATIVA DISTRIBUICAO E LOGISTICA LTDA</t>
        </is>
      </c>
      <c r="F2874" s="30" t="inlineStr">
        <is>
          <t>2019</t>
        </is>
      </c>
      <c r="G2874" s="40" t="n">
        <v>0</v>
      </c>
    </row>
    <row r="2875" ht="12" customHeight="1">
      <c r="A2875" s="30" t="inlineStr">
        <is>
          <t>ITG</t>
        </is>
      </c>
      <c r="B2875" s="30" t="inlineStr">
        <is>
          <t>Itaguai</t>
        </is>
      </c>
      <c r="C2875" s="30" t="n">
        <v>11972977</v>
      </c>
      <c r="D2875" s="30">
        <f>"01125797002593"</f>
        <v/>
      </c>
      <c r="E2875" s="30" t="inlineStr">
        <is>
          <t>ATIVA DISTRIBUICAO E LOGISTICA LTDA</t>
        </is>
      </c>
      <c r="F2875" s="30" t="inlineStr">
        <is>
          <t>2020</t>
        </is>
      </c>
      <c r="G2875" s="40" t="n">
        <v>0</v>
      </c>
    </row>
    <row r="2876" ht="12" customHeight="1">
      <c r="A2876" s="30" t="inlineStr">
        <is>
          <t>ITG</t>
        </is>
      </c>
      <c r="B2876" s="30" t="inlineStr">
        <is>
          <t>Itaguai</t>
        </is>
      </c>
      <c r="C2876" s="30" t="n">
        <v>11972977</v>
      </c>
      <c r="D2876" s="30">
        <f>"01125797002593"</f>
        <v/>
      </c>
      <c r="E2876" s="30" t="inlineStr">
        <is>
          <t>ATIVA DISTRIBUICAO E LOGISTICA LTDA</t>
        </is>
      </c>
      <c r="F2876" s="30" t="inlineStr">
        <is>
          <t>2021</t>
        </is>
      </c>
      <c r="G2876" s="40" t="n">
        <v>5813.49</v>
      </c>
    </row>
    <row r="2877" ht="12" customHeight="1">
      <c r="A2877" s="30" t="inlineStr">
        <is>
          <t>ITG</t>
        </is>
      </c>
      <c r="B2877" s="30" t="inlineStr">
        <is>
          <t>Itaguai</t>
        </is>
      </c>
      <c r="C2877" s="30" t="n">
        <v>11972977</v>
      </c>
      <c r="D2877" s="30">
        <f>"01125797002593"</f>
        <v/>
      </c>
      <c r="E2877" s="30" t="inlineStr">
        <is>
          <t>ATIVA DISTRIBUICAO E LOGISTICA LTDA</t>
        </is>
      </c>
      <c r="F2877" s="30" t="inlineStr">
        <is>
          <t>2022</t>
        </is>
      </c>
      <c r="G2877" s="40" t="n">
        <v>4691.07</v>
      </c>
    </row>
    <row r="2878" ht="12" customHeight="1">
      <c r="A2878" s="30" t="inlineStr">
        <is>
          <t>ITG</t>
        </is>
      </c>
      <c r="B2878" s="30" t="inlineStr">
        <is>
          <t>Itaguai</t>
        </is>
      </c>
      <c r="C2878" s="30" t="n">
        <v>11972977</v>
      </c>
      <c r="D2878" s="30">
        <f>"01125797002593"</f>
        <v/>
      </c>
      <c r="E2878" s="30" t="inlineStr">
        <is>
          <t>ATIVA DISTRIBUICAO E LOGISTICA LTDA</t>
        </is>
      </c>
      <c r="F2878" s="30" t="inlineStr">
        <is>
          <t>2023</t>
        </is>
      </c>
      <c r="G2878" s="40" t="n">
        <v>4332.16</v>
      </c>
    </row>
    <row r="2879" ht="12" customHeight="1">
      <c r="A2879" s="30" t="inlineStr">
        <is>
          <t>ITG</t>
        </is>
      </c>
      <c r="B2879" s="30" t="inlineStr">
        <is>
          <t>Itaguai</t>
        </is>
      </c>
      <c r="C2879" s="30" t="n">
        <v>11976034</v>
      </c>
      <c r="D2879" s="30">
        <f>"56927734000841"</f>
        <v/>
      </c>
      <c r="E2879" s="30" t="inlineStr">
        <is>
          <t>DAMA TRANSPORTADORA LTDA</t>
        </is>
      </c>
      <c r="F2879" s="30" t="inlineStr">
        <is>
          <t>2019</t>
        </is>
      </c>
      <c r="G2879" s="40" t="n">
        <v>0</v>
      </c>
    </row>
    <row r="2880" ht="12" customHeight="1">
      <c r="A2880" s="30" t="inlineStr">
        <is>
          <t>ITG</t>
        </is>
      </c>
      <c r="B2880" s="30" t="inlineStr">
        <is>
          <t>Itaguai</t>
        </is>
      </c>
      <c r="C2880" s="30" t="n">
        <v>11976034</v>
      </c>
      <c r="D2880" s="30">
        <f>"56927734000841"</f>
        <v/>
      </c>
      <c r="E2880" s="30" t="inlineStr">
        <is>
          <t>DAMA TRANSPORTADORA LTDA</t>
        </is>
      </c>
      <c r="F2880" s="30" t="inlineStr">
        <is>
          <t>2020</t>
        </is>
      </c>
      <c r="G2880" s="40" t="n">
        <v>0</v>
      </c>
    </row>
    <row r="2881" ht="12" customHeight="1">
      <c r="A2881" s="30" t="inlineStr">
        <is>
          <t>ITG</t>
        </is>
      </c>
      <c r="B2881" s="30" t="inlineStr">
        <is>
          <t>Itaguai</t>
        </is>
      </c>
      <c r="C2881" s="30" t="n">
        <v>11976034</v>
      </c>
      <c r="D2881" s="30">
        <f>"56927734000841"</f>
        <v/>
      </c>
      <c r="E2881" s="30" t="inlineStr">
        <is>
          <t>DAMA TRANSPORTADORA LTDA</t>
        </is>
      </c>
      <c r="F2881" s="30" t="inlineStr">
        <is>
          <t>2021</t>
        </is>
      </c>
      <c r="G2881" s="40" t="n">
        <v>28834.24</v>
      </c>
    </row>
    <row r="2882" ht="12" customHeight="1">
      <c r="A2882" s="30" t="inlineStr">
        <is>
          <t>ITG</t>
        </is>
      </c>
      <c r="B2882" s="30" t="inlineStr">
        <is>
          <t>Itaguai</t>
        </is>
      </c>
      <c r="C2882" s="30" t="n">
        <v>11976034</v>
      </c>
      <c r="D2882" s="30">
        <f>"56927734000841"</f>
        <v/>
      </c>
      <c r="E2882" s="30" t="inlineStr">
        <is>
          <t>DAMA TRANSPORTADORA LTDA</t>
        </is>
      </c>
      <c r="F2882" s="30" t="inlineStr">
        <is>
          <t>2022</t>
        </is>
      </c>
      <c r="G2882" s="40" t="n">
        <v>0</v>
      </c>
    </row>
    <row r="2883" ht="12" customHeight="1">
      <c r="A2883" s="30" t="inlineStr">
        <is>
          <t>ITG</t>
        </is>
      </c>
      <c r="B2883" s="30" t="inlineStr">
        <is>
          <t>Itaguai</t>
        </is>
      </c>
      <c r="C2883" s="30" t="n">
        <v>11976034</v>
      </c>
      <c r="D2883" s="30">
        <f>"56927734000841"</f>
        <v/>
      </c>
      <c r="E2883" s="30" t="inlineStr">
        <is>
          <t>DAMA TRANSPORTADORA LTDA</t>
        </is>
      </c>
      <c r="F2883" s="30" t="inlineStr">
        <is>
          <t>2023</t>
        </is>
      </c>
      <c r="G2883" s="40" t="n">
        <v>0</v>
      </c>
    </row>
    <row r="2884" ht="12" customHeight="1">
      <c r="A2884" s="30" t="inlineStr">
        <is>
          <t>ITG</t>
        </is>
      </c>
      <c r="B2884" s="30" t="inlineStr">
        <is>
          <t>Itaguai</t>
        </is>
      </c>
      <c r="C2884" s="30" t="n">
        <v>12001665</v>
      </c>
      <c r="D2884" s="30">
        <f>"41052743000192"</f>
        <v/>
      </c>
      <c r="E2884" s="30" t="inlineStr">
        <is>
          <t>COOPERATIVA DOS TRANSPORTADORES RODOVI?RIOS DE CARGAS AMIGOS UNI</t>
        </is>
      </c>
      <c r="F2884" s="30" t="inlineStr">
        <is>
          <t>2019</t>
        </is>
      </c>
      <c r="G2884" s="40" t="n">
        <v>0</v>
      </c>
    </row>
    <row r="2885" ht="12" customHeight="1">
      <c r="A2885" s="30" t="inlineStr">
        <is>
          <t>ITG</t>
        </is>
      </c>
      <c r="B2885" s="30" t="inlineStr">
        <is>
          <t>Itaguai</t>
        </is>
      </c>
      <c r="C2885" s="30" t="n">
        <v>12001665</v>
      </c>
      <c r="D2885" s="30">
        <f>"41052743000192"</f>
        <v/>
      </c>
      <c r="E2885" s="30" t="inlineStr">
        <is>
          <t>COOPERATIVA DOS TRANSPORTADORES RODOVI?RIOS DE CARGAS AMIGOS UNI</t>
        </is>
      </c>
      <c r="F2885" s="30" t="inlineStr">
        <is>
          <t>2020</t>
        </is>
      </c>
      <c r="G2885" s="40" t="n">
        <v>0</v>
      </c>
    </row>
    <row r="2886" ht="12" customHeight="1">
      <c r="A2886" s="30" t="inlineStr">
        <is>
          <t>ITG</t>
        </is>
      </c>
      <c r="B2886" s="30" t="inlineStr">
        <is>
          <t>Itaguai</t>
        </is>
      </c>
      <c r="C2886" s="30" t="n">
        <v>12001665</v>
      </c>
      <c r="D2886" s="30">
        <f>"41052743000192"</f>
        <v/>
      </c>
      <c r="E2886" s="30" t="inlineStr">
        <is>
          <t>COOPERATIVA DOS TRANSPORTADORES RODOVI?RIOS DE CARGAS AMIGOS UNI</t>
        </is>
      </c>
      <c r="F2886" s="30" t="inlineStr">
        <is>
          <t>2021</t>
        </is>
      </c>
      <c r="G2886" s="40" t="n">
        <v>0</v>
      </c>
    </row>
    <row r="2887" ht="12" customHeight="1">
      <c r="A2887" s="30" t="inlineStr">
        <is>
          <t>ITG</t>
        </is>
      </c>
      <c r="B2887" s="30" t="inlineStr">
        <is>
          <t>Itaguai</t>
        </is>
      </c>
      <c r="C2887" s="30" t="n">
        <v>12001665</v>
      </c>
      <c r="D2887" s="30">
        <f>"41052743000192"</f>
        <v/>
      </c>
      <c r="E2887" s="30" t="inlineStr">
        <is>
          <t>COOPERATIVA DOS TRANSPORTADORES RODOVI?RIOS DE CARGAS AMIGOS UNI</t>
        </is>
      </c>
      <c r="F2887" s="30" t="inlineStr">
        <is>
          <t>2022</t>
        </is>
      </c>
      <c r="G2887" s="40" t="n">
        <v>0</v>
      </c>
    </row>
    <row r="2888" ht="12" customHeight="1">
      <c r="A2888" s="30" t="inlineStr">
        <is>
          <t>ITG</t>
        </is>
      </c>
      <c r="B2888" s="30" t="inlineStr">
        <is>
          <t>Itaguai</t>
        </is>
      </c>
      <c r="C2888" s="30" t="n">
        <v>12001665</v>
      </c>
      <c r="D2888" s="30">
        <f>"41052743000192"</f>
        <v/>
      </c>
      <c r="E2888" s="30" t="inlineStr">
        <is>
          <t>COOPERATIVA DOS TRANSPORTADORES RODOVI?RIOS DE CARGAS AMIGOS UNI</t>
        </is>
      </c>
      <c r="F2888" s="30" t="inlineStr">
        <is>
          <t>2023</t>
        </is>
      </c>
      <c r="G2888" s="40" t="n">
        <v>54898.3</v>
      </c>
    </row>
    <row r="2889" ht="12" customHeight="1">
      <c r="A2889" s="30" t="inlineStr">
        <is>
          <t>ITG</t>
        </is>
      </c>
      <c r="B2889" s="30" t="inlineStr">
        <is>
          <t>Itaguai</t>
        </is>
      </c>
      <c r="C2889" s="30" t="n">
        <v>12014325</v>
      </c>
      <c r="D2889" s="30">
        <f>"04819724003308"</f>
        <v/>
      </c>
      <c r="E2889" s="30" t="inlineStr">
        <is>
          <t>TELEFONICA TRANSPORTES E LOGISTICA LTDA</t>
        </is>
      </c>
      <c r="F2889" s="30" t="inlineStr">
        <is>
          <t>2020</t>
        </is>
      </c>
      <c r="G2889" s="40" t="n">
        <v>0</v>
      </c>
    </row>
    <row r="2890" ht="12" customHeight="1">
      <c r="A2890" s="30" t="inlineStr">
        <is>
          <t>ITG</t>
        </is>
      </c>
      <c r="B2890" s="30" t="inlineStr">
        <is>
          <t>Itaguai</t>
        </is>
      </c>
      <c r="C2890" s="30" t="n">
        <v>12014325</v>
      </c>
      <c r="D2890" s="30">
        <f>"04819724003308"</f>
        <v/>
      </c>
      <c r="E2890" s="30" t="inlineStr">
        <is>
          <t>TELEFONICA TRANSPORTES E LOGISTICA LTDA</t>
        </is>
      </c>
      <c r="F2890" s="30" t="inlineStr">
        <is>
          <t>2021</t>
        </is>
      </c>
      <c r="G2890" s="40" t="n">
        <v>0</v>
      </c>
    </row>
    <row r="2891" ht="12" customHeight="1">
      <c r="A2891" s="30" t="inlineStr">
        <is>
          <t>ITG</t>
        </is>
      </c>
      <c r="B2891" s="30" t="inlineStr">
        <is>
          <t>Itaguai</t>
        </is>
      </c>
      <c r="C2891" s="30" t="n">
        <v>12014325</v>
      </c>
      <c r="D2891" s="30">
        <f>"04819724003308"</f>
        <v/>
      </c>
      <c r="E2891" s="30" t="inlineStr">
        <is>
          <t>TELEFONICA TRANSPORTES E LOGISTICA LTDA</t>
        </is>
      </c>
      <c r="F2891" s="30" t="inlineStr">
        <is>
          <t>2022</t>
        </is>
      </c>
      <c r="G2891" s="40" t="n">
        <v>50.37</v>
      </c>
    </row>
    <row r="2892" ht="12" customHeight="1">
      <c r="A2892" s="30" t="inlineStr">
        <is>
          <t>ITG</t>
        </is>
      </c>
      <c r="B2892" s="30" t="inlineStr">
        <is>
          <t>Itaguai</t>
        </is>
      </c>
      <c r="C2892" s="30" t="n">
        <v>12014325</v>
      </c>
      <c r="D2892" s="30">
        <f>"04819724003308"</f>
        <v/>
      </c>
      <c r="E2892" s="30" t="inlineStr">
        <is>
          <t>TELEFONICA TRANSPORTES E LOGISTICA LTDA</t>
        </is>
      </c>
      <c r="F2892" s="30" t="inlineStr">
        <is>
          <t>2023</t>
        </is>
      </c>
      <c r="G2892" s="40" t="n">
        <v>9740.370000000001</v>
      </c>
    </row>
    <row r="2893" ht="12" customHeight="1">
      <c r="A2893" s="30" t="inlineStr">
        <is>
          <t>ITG</t>
        </is>
      </c>
      <c r="B2893" s="30" t="inlineStr">
        <is>
          <t>Itaguai</t>
        </is>
      </c>
      <c r="C2893" s="30" t="n">
        <v>12021763</v>
      </c>
      <c r="D2893" s="30">
        <f>"00776574033836"</f>
        <v/>
      </c>
      <c r="E2893" s="30" t="inlineStr">
        <is>
          <t>AMERICANAS S.A - EM RECUPERACAO JUDICIAL</t>
        </is>
      </c>
      <c r="F2893" s="30" t="inlineStr">
        <is>
          <t>2019</t>
        </is>
      </c>
      <c r="G2893" s="40" t="n">
        <v>0</v>
      </c>
    </row>
    <row r="2894" ht="12" customHeight="1">
      <c r="A2894" s="30" t="inlineStr">
        <is>
          <t>ITG</t>
        </is>
      </c>
      <c r="B2894" s="30" t="inlineStr">
        <is>
          <t>Itaguai</t>
        </is>
      </c>
      <c r="C2894" s="30" t="n">
        <v>12021763</v>
      </c>
      <c r="D2894" s="30">
        <f>"00776574033836"</f>
        <v/>
      </c>
      <c r="E2894" s="30" t="inlineStr">
        <is>
          <t>AMERICANAS S.A - EM RECUPERACAO JUDICIAL</t>
        </is>
      </c>
      <c r="F2894" s="30" t="inlineStr">
        <is>
          <t>2020</t>
        </is>
      </c>
      <c r="G2894" s="40" t="n">
        <v>0</v>
      </c>
    </row>
    <row r="2895" ht="12" customHeight="1">
      <c r="A2895" s="30" t="inlineStr">
        <is>
          <t>ITG</t>
        </is>
      </c>
      <c r="B2895" s="30" t="inlineStr">
        <is>
          <t>Itaguai</t>
        </is>
      </c>
      <c r="C2895" s="30" t="n">
        <v>12021763</v>
      </c>
      <c r="D2895" s="30">
        <f>"00776574033836"</f>
        <v/>
      </c>
      <c r="E2895" s="30" t="inlineStr">
        <is>
          <t>AMERICANAS S.A - EM RECUPERACAO JUDICIAL</t>
        </is>
      </c>
      <c r="F2895" s="30" t="inlineStr">
        <is>
          <t>2021</t>
        </is>
      </c>
      <c r="G2895" s="40" t="n">
        <v>1638730.02</v>
      </c>
    </row>
    <row r="2896" ht="12" customHeight="1">
      <c r="A2896" s="30" t="inlineStr">
        <is>
          <t>ITG</t>
        </is>
      </c>
      <c r="B2896" s="30" t="inlineStr">
        <is>
          <t>Itaguai</t>
        </is>
      </c>
      <c r="C2896" s="30" t="n">
        <v>12021763</v>
      </c>
      <c r="D2896" s="30">
        <f>"00776574033836"</f>
        <v/>
      </c>
      <c r="E2896" s="30" t="inlineStr">
        <is>
          <t>AMERICANAS S.A - EM RECUPERACAO JUDICIAL</t>
        </is>
      </c>
      <c r="F2896" s="30" t="inlineStr">
        <is>
          <t>2022</t>
        </is>
      </c>
      <c r="G2896" s="40" t="n">
        <v>1110888.79</v>
      </c>
    </row>
    <row r="2897" ht="12" customHeight="1">
      <c r="A2897" s="30" t="inlineStr">
        <is>
          <t>ITG</t>
        </is>
      </c>
      <c r="B2897" s="30" t="inlineStr">
        <is>
          <t>Itaguai</t>
        </is>
      </c>
      <c r="C2897" s="30" t="n">
        <v>12021763</v>
      </c>
      <c r="D2897" s="30">
        <f>"00776574033836"</f>
        <v/>
      </c>
      <c r="E2897" s="30" t="inlineStr">
        <is>
          <t>AMERICANAS S.A - EM RECUPERACAO JUDICIAL</t>
        </is>
      </c>
      <c r="F2897" s="30" t="inlineStr">
        <is>
          <t>2023</t>
        </is>
      </c>
      <c r="G2897" s="40" t="n">
        <v>689293.39</v>
      </c>
    </row>
    <row r="2898" ht="12" customHeight="1">
      <c r="A2898" s="30" t="inlineStr">
        <is>
          <t>ITG</t>
        </is>
      </c>
      <c r="B2898" s="30" t="inlineStr">
        <is>
          <t>Itaguai</t>
        </is>
      </c>
      <c r="C2898" s="30" t="n">
        <v>12028199</v>
      </c>
      <c r="D2898" s="30">
        <f>"41307848000145"</f>
        <v/>
      </c>
      <c r="E2898" s="30" t="inlineStr">
        <is>
          <t>?VORA FARM?CIA DE MANIPULA??O LTDA</t>
        </is>
      </c>
      <c r="F2898" s="30" t="inlineStr">
        <is>
          <t>2021</t>
        </is>
      </c>
      <c r="G2898" s="40" t="n">
        <v>0</v>
      </c>
    </row>
    <row r="2899" ht="12" customHeight="1">
      <c r="A2899" s="30" t="inlineStr">
        <is>
          <t>ITG</t>
        </is>
      </c>
      <c r="B2899" s="30" t="inlineStr">
        <is>
          <t>Itaguai</t>
        </is>
      </c>
      <c r="C2899" s="30" t="n">
        <v>12028199</v>
      </c>
      <c r="D2899" s="30">
        <f>"41307848000145"</f>
        <v/>
      </c>
      <c r="E2899" s="30" t="inlineStr">
        <is>
          <t>?VORA FARM?CIA DE MANIPULA??O LTDA</t>
        </is>
      </c>
      <c r="F2899" s="30" t="inlineStr">
        <is>
          <t>2022</t>
        </is>
      </c>
      <c r="G2899" s="40" t="n">
        <v>0</v>
      </c>
    </row>
    <row r="2900" ht="12" customHeight="1">
      <c r="A2900" s="30" t="inlineStr">
        <is>
          <t>ITG</t>
        </is>
      </c>
      <c r="B2900" s="30" t="inlineStr">
        <is>
          <t>Itaguai</t>
        </is>
      </c>
      <c r="C2900" s="30" t="n">
        <v>12028199</v>
      </c>
      <c r="D2900" s="30">
        <f>"41307848000145"</f>
        <v/>
      </c>
      <c r="E2900" s="30" t="inlineStr">
        <is>
          <t>?VORA FARM?CIA DE MANIPULA??O LTDA</t>
        </is>
      </c>
      <c r="F2900" s="30" t="inlineStr">
        <is>
          <t>2023</t>
        </is>
      </c>
      <c r="G2900" s="40" t="n">
        <v>3306653.15</v>
      </c>
    </row>
    <row r="2901" ht="12" customHeight="1">
      <c r="A2901" s="30" t="inlineStr">
        <is>
          <t>ITG</t>
        </is>
      </c>
      <c r="B2901" s="30" t="inlineStr">
        <is>
          <t>Itaguai</t>
        </is>
      </c>
      <c r="C2901" s="30" t="n">
        <v>12039140</v>
      </c>
      <c r="D2901" s="30">
        <f>"41487278000112"</f>
        <v/>
      </c>
      <c r="E2901" s="30" t="inlineStr">
        <is>
          <t>PROGRESSO SERVI?OS PORTU?RIOS E TRANSPORTE LTDA</t>
        </is>
      </c>
      <c r="F2901" s="30" t="inlineStr">
        <is>
          <t>2019</t>
        </is>
      </c>
      <c r="G2901" s="40" t="n">
        <v>0</v>
      </c>
    </row>
    <row r="2902" ht="12" customHeight="1">
      <c r="A2902" s="30" t="inlineStr">
        <is>
          <t>ITG</t>
        </is>
      </c>
      <c r="B2902" s="30" t="inlineStr">
        <is>
          <t>Itaguai</t>
        </is>
      </c>
      <c r="C2902" s="30" t="n">
        <v>12039140</v>
      </c>
      <c r="D2902" s="30">
        <f>"41487278000112"</f>
        <v/>
      </c>
      <c r="E2902" s="30" t="inlineStr">
        <is>
          <t>PROGRESSO SERVI?OS PORTU?RIOS E TRANSPORTE LTDA</t>
        </is>
      </c>
      <c r="F2902" s="30" t="inlineStr">
        <is>
          <t>2020</t>
        </is>
      </c>
      <c r="G2902" s="40" t="n">
        <v>0</v>
      </c>
    </row>
    <row r="2903" ht="12" customHeight="1">
      <c r="A2903" s="30" t="inlineStr">
        <is>
          <t>ITG</t>
        </is>
      </c>
      <c r="B2903" s="30" t="inlineStr">
        <is>
          <t>Itaguai</t>
        </is>
      </c>
      <c r="C2903" s="30" t="n">
        <v>12039140</v>
      </c>
      <c r="D2903" s="30">
        <f>"41487278000112"</f>
        <v/>
      </c>
      <c r="E2903" s="30" t="inlineStr">
        <is>
          <t>PROGRESSO SERVI?OS PORTU?RIOS E TRANSPORTE LTDA</t>
        </is>
      </c>
      <c r="F2903" s="30" t="inlineStr">
        <is>
          <t>2021</t>
        </is>
      </c>
      <c r="G2903" s="40" t="n">
        <v>0</v>
      </c>
    </row>
    <row r="2904" ht="12" customHeight="1">
      <c r="A2904" s="30" t="inlineStr">
        <is>
          <t>ITG</t>
        </is>
      </c>
      <c r="B2904" s="30" t="inlineStr">
        <is>
          <t>Itaguai</t>
        </is>
      </c>
      <c r="C2904" s="30" t="n">
        <v>12039140</v>
      </c>
      <c r="D2904" s="30">
        <f>"41487278000112"</f>
        <v/>
      </c>
      <c r="E2904" s="30" t="inlineStr">
        <is>
          <t>PROGRESSO SERVI?OS PORTU?RIOS E TRANSPORTE LTDA</t>
        </is>
      </c>
      <c r="F2904" s="30" t="inlineStr">
        <is>
          <t>2022</t>
        </is>
      </c>
      <c r="G2904" s="40" t="n">
        <v>0</v>
      </c>
    </row>
    <row r="2905" ht="12" customHeight="1">
      <c r="A2905" s="30" t="inlineStr">
        <is>
          <t>ITG</t>
        </is>
      </c>
      <c r="B2905" s="30" t="inlineStr">
        <is>
          <t>Itaguai</t>
        </is>
      </c>
      <c r="C2905" s="30" t="n">
        <v>12039140</v>
      </c>
      <c r="D2905" s="30">
        <f>"41487278000112"</f>
        <v/>
      </c>
      <c r="E2905" s="30" t="inlineStr">
        <is>
          <t>PROGRESSO SERVI?OS PORTU?RIOS E TRANSPORTE LTDA</t>
        </is>
      </c>
      <c r="F2905" s="30" t="inlineStr">
        <is>
          <t>2023</t>
        </is>
      </c>
      <c r="G2905" s="40" t="n">
        <v>0</v>
      </c>
    </row>
    <row r="2906" ht="12" customHeight="1">
      <c r="A2906" s="30" t="inlineStr">
        <is>
          <t>ITG</t>
        </is>
      </c>
      <c r="B2906" s="30" t="inlineStr">
        <is>
          <t>Itaguai</t>
        </is>
      </c>
      <c r="C2906" s="30" t="n">
        <v>12041454</v>
      </c>
      <c r="D2906" s="30">
        <f>"41492799000168"</f>
        <v/>
      </c>
      <c r="E2906" s="30" t="inlineStr">
        <is>
          <t>PROGRESSO TRANSPORTES LOG?STICOS E ARMAZ?NS LTDA</t>
        </is>
      </c>
      <c r="F2906" s="30" t="inlineStr">
        <is>
          <t>2019</t>
        </is>
      </c>
      <c r="G2906" s="40" t="n">
        <v>0</v>
      </c>
    </row>
    <row r="2907" ht="12" customHeight="1">
      <c r="A2907" s="30" t="inlineStr">
        <is>
          <t>ITG</t>
        </is>
      </c>
      <c r="B2907" s="30" t="inlineStr">
        <is>
          <t>Itaguai</t>
        </is>
      </c>
      <c r="C2907" s="30" t="n">
        <v>12041454</v>
      </c>
      <c r="D2907" s="30">
        <f>"41492799000168"</f>
        <v/>
      </c>
      <c r="E2907" s="30" t="inlineStr">
        <is>
          <t>PROGRESSO TRANSPORTES LOG?STICOS E ARMAZ?NS LTDA</t>
        </is>
      </c>
      <c r="F2907" s="30" t="inlineStr">
        <is>
          <t>2020</t>
        </is>
      </c>
      <c r="G2907" s="40" t="n">
        <v>0</v>
      </c>
    </row>
    <row r="2908" ht="12" customHeight="1">
      <c r="A2908" s="30" t="inlineStr">
        <is>
          <t>ITG</t>
        </is>
      </c>
      <c r="B2908" s="30" t="inlineStr">
        <is>
          <t>Itaguai</t>
        </is>
      </c>
      <c r="C2908" s="30" t="n">
        <v>12041454</v>
      </c>
      <c r="D2908" s="30">
        <f>"41492799000168"</f>
        <v/>
      </c>
      <c r="E2908" s="30" t="inlineStr">
        <is>
          <t>PROGRESSO TRANSPORTES LOG?STICOS E ARMAZ?NS LTDA</t>
        </is>
      </c>
      <c r="F2908" s="30" t="inlineStr">
        <is>
          <t>2021</t>
        </is>
      </c>
      <c r="G2908" s="40" t="n">
        <v>0</v>
      </c>
    </row>
    <row r="2909" ht="12" customHeight="1">
      <c r="A2909" s="30" t="inlineStr">
        <is>
          <t>ITG</t>
        </is>
      </c>
      <c r="B2909" s="30" t="inlineStr">
        <is>
          <t>Itaguai</t>
        </is>
      </c>
      <c r="C2909" s="30" t="n">
        <v>12041454</v>
      </c>
      <c r="D2909" s="30">
        <f>"41492799000168"</f>
        <v/>
      </c>
      <c r="E2909" s="30" t="inlineStr">
        <is>
          <t>PROGRESSO TRANSPORTES LOG?STICOS E ARMAZ?NS LTDA</t>
        </is>
      </c>
      <c r="F2909" s="30" t="inlineStr">
        <is>
          <t>2022</t>
        </is>
      </c>
      <c r="G2909" s="40" t="n">
        <v>0</v>
      </c>
    </row>
    <row r="2910" ht="12" customHeight="1">
      <c r="A2910" s="30" t="inlineStr">
        <is>
          <t>ITG</t>
        </is>
      </c>
      <c r="B2910" s="30" t="inlineStr">
        <is>
          <t>Itaguai</t>
        </is>
      </c>
      <c r="C2910" s="30" t="n">
        <v>12041454</v>
      </c>
      <c r="D2910" s="30">
        <f>"41492799000168"</f>
        <v/>
      </c>
      <c r="E2910" s="30" t="inlineStr">
        <is>
          <t>PROGRESSO TRANSPORTES LOG?STICOS E ARMAZ?NS LTDA</t>
        </is>
      </c>
      <c r="F2910" s="30" t="inlineStr">
        <is>
          <t>2023</t>
        </is>
      </c>
      <c r="G2910" s="40" t="n">
        <v>0</v>
      </c>
    </row>
    <row r="2911" ht="12" customHeight="1">
      <c r="A2911" s="30" t="inlineStr">
        <is>
          <t>ITG</t>
        </is>
      </c>
      <c r="B2911" s="30" t="inlineStr">
        <is>
          <t>Itaguai</t>
        </is>
      </c>
      <c r="C2911" s="30" t="n">
        <v>12051417</v>
      </c>
      <c r="D2911" s="30">
        <f>"41647000000165"</f>
        <v/>
      </c>
      <c r="E2911" s="30" t="inlineStr">
        <is>
          <t>TH VE?CULOS DA COSTA VERDE LTDA</t>
        </is>
      </c>
      <c r="F2911" s="30" t="inlineStr">
        <is>
          <t>2019</t>
        </is>
      </c>
      <c r="G2911" s="40" t="n">
        <v>0</v>
      </c>
    </row>
    <row r="2912" ht="12" customHeight="1">
      <c r="A2912" s="30" t="inlineStr">
        <is>
          <t>ITG</t>
        </is>
      </c>
      <c r="B2912" s="30" t="inlineStr">
        <is>
          <t>Itaguai</t>
        </is>
      </c>
      <c r="C2912" s="30" t="n">
        <v>12051417</v>
      </c>
      <c r="D2912" s="30">
        <f>"41647000000165"</f>
        <v/>
      </c>
      <c r="E2912" s="30" t="inlineStr">
        <is>
          <t>TH VE?CULOS DA COSTA VERDE LTDA</t>
        </is>
      </c>
      <c r="F2912" s="30" t="inlineStr">
        <is>
          <t>2020</t>
        </is>
      </c>
      <c r="G2912" s="40" t="n">
        <v>0</v>
      </c>
    </row>
    <row r="2913" ht="12" customHeight="1">
      <c r="A2913" s="30" t="inlineStr">
        <is>
          <t>ITG</t>
        </is>
      </c>
      <c r="B2913" s="30" t="inlineStr">
        <is>
          <t>Itaguai</t>
        </is>
      </c>
      <c r="C2913" s="30" t="n">
        <v>12051417</v>
      </c>
      <c r="D2913" s="30">
        <f>"41647000000165"</f>
        <v/>
      </c>
      <c r="E2913" s="30" t="inlineStr">
        <is>
          <t>TH VE?CULOS DA COSTA VERDE LTDA</t>
        </is>
      </c>
      <c r="F2913" s="30" t="inlineStr">
        <is>
          <t>2021</t>
        </is>
      </c>
      <c r="G2913" s="40" t="n">
        <v>0</v>
      </c>
    </row>
    <row r="2914" ht="12" customHeight="1">
      <c r="A2914" s="30" t="inlineStr">
        <is>
          <t>ITG</t>
        </is>
      </c>
      <c r="B2914" s="30" t="inlineStr">
        <is>
          <t>Itaguai</t>
        </is>
      </c>
      <c r="C2914" s="30" t="n">
        <v>12051417</v>
      </c>
      <c r="D2914" s="30">
        <f>"41647000000165"</f>
        <v/>
      </c>
      <c r="E2914" s="30" t="inlineStr">
        <is>
          <t>TH VE?CULOS DA COSTA VERDE LTDA</t>
        </is>
      </c>
      <c r="F2914" s="30" t="inlineStr">
        <is>
          <t>2022</t>
        </is>
      </c>
      <c r="G2914" s="40" t="n">
        <v>0</v>
      </c>
    </row>
    <row r="2915" ht="12" customHeight="1">
      <c r="A2915" s="30" t="inlineStr">
        <is>
          <t>ITG</t>
        </is>
      </c>
      <c r="B2915" s="30" t="inlineStr">
        <is>
          <t>Itaguai</t>
        </is>
      </c>
      <c r="C2915" s="30" t="n">
        <v>12051417</v>
      </c>
      <c r="D2915" s="30">
        <f>"41647000000165"</f>
        <v/>
      </c>
      <c r="E2915" s="30" t="inlineStr">
        <is>
          <t>TH VE?CULOS DA COSTA VERDE LTDA</t>
        </is>
      </c>
      <c r="F2915" s="30" t="inlineStr">
        <is>
          <t>2023</t>
        </is>
      </c>
      <c r="G2915" s="40" t="n">
        <v>0</v>
      </c>
    </row>
    <row r="2916" ht="12" customHeight="1">
      <c r="A2916" s="30" t="inlineStr">
        <is>
          <t>ITG</t>
        </is>
      </c>
      <c r="B2916" s="30" t="inlineStr">
        <is>
          <t>Itaguai</t>
        </is>
      </c>
      <c r="C2916" s="30" t="n">
        <v>12061196</v>
      </c>
      <c r="D2916" s="30">
        <f>"47960950176084"</f>
        <v/>
      </c>
      <c r="E2916" s="30" t="inlineStr">
        <is>
          <t>MAGAZINE LUIZA S/A</t>
        </is>
      </c>
      <c r="F2916" s="30" t="inlineStr">
        <is>
          <t>2019</t>
        </is>
      </c>
      <c r="G2916" s="40" t="n">
        <v>0</v>
      </c>
    </row>
    <row r="2917" ht="12" customHeight="1">
      <c r="A2917" s="30" t="inlineStr">
        <is>
          <t>ITG</t>
        </is>
      </c>
      <c r="B2917" s="30" t="inlineStr">
        <is>
          <t>Itaguai</t>
        </is>
      </c>
      <c r="C2917" s="30" t="n">
        <v>12061196</v>
      </c>
      <c r="D2917" s="30">
        <f>"47960950176084"</f>
        <v/>
      </c>
      <c r="E2917" s="30" t="inlineStr">
        <is>
          <t>MAGAZINE LUIZA S/A</t>
        </is>
      </c>
      <c r="F2917" s="30" t="inlineStr">
        <is>
          <t>2020</t>
        </is>
      </c>
      <c r="G2917" s="40" t="n">
        <v>0</v>
      </c>
    </row>
    <row r="2918" ht="12" customHeight="1">
      <c r="A2918" s="30" t="inlineStr">
        <is>
          <t>ITG</t>
        </is>
      </c>
      <c r="B2918" s="30" t="inlineStr">
        <is>
          <t>Itaguai</t>
        </is>
      </c>
      <c r="C2918" s="30" t="n">
        <v>12061196</v>
      </c>
      <c r="D2918" s="30">
        <f>"47960950176084"</f>
        <v/>
      </c>
      <c r="E2918" s="30" t="inlineStr">
        <is>
          <t>MAGAZINE LUIZA S/A</t>
        </is>
      </c>
      <c r="F2918" s="30" t="inlineStr">
        <is>
          <t>2021</t>
        </is>
      </c>
      <c r="G2918" s="40" t="n">
        <v>652429.88</v>
      </c>
    </row>
    <row r="2919" ht="12" customHeight="1">
      <c r="A2919" s="30" t="inlineStr">
        <is>
          <t>ITG</t>
        </is>
      </c>
      <c r="B2919" s="30" t="inlineStr">
        <is>
          <t>Itaguai</t>
        </is>
      </c>
      <c r="C2919" s="30" t="n">
        <v>12061196</v>
      </c>
      <c r="D2919" s="30">
        <f>"47960950176084"</f>
        <v/>
      </c>
      <c r="E2919" s="30" t="inlineStr">
        <is>
          <t>MAGAZINE LUIZA S/A</t>
        </is>
      </c>
      <c r="F2919" s="30" t="inlineStr">
        <is>
          <t>2022</t>
        </is>
      </c>
      <c r="G2919" s="40" t="n">
        <v>2266864.52</v>
      </c>
    </row>
    <row r="2920" ht="12" customHeight="1">
      <c r="A2920" s="30" t="inlineStr">
        <is>
          <t>ITG</t>
        </is>
      </c>
      <c r="B2920" s="30" t="inlineStr">
        <is>
          <t>Itaguai</t>
        </is>
      </c>
      <c r="C2920" s="30" t="n">
        <v>12061196</v>
      </c>
      <c r="D2920" s="30">
        <f>"47960950176084"</f>
        <v/>
      </c>
      <c r="E2920" s="30" t="inlineStr">
        <is>
          <t>MAGAZINE LUIZA S/A</t>
        </is>
      </c>
      <c r="F2920" s="30" t="inlineStr">
        <is>
          <t>2023</t>
        </is>
      </c>
      <c r="G2920" s="40" t="n">
        <v>2005011.09</v>
      </c>
    </row>
    <row r="2921" ht="12" customHeight="1">
      <c r="A2921" s="30" t="inlineStr">
        <is>
          <t>ITG</t>
        </is>
      </c>
      <c r="B2921" s="30" t="inlineStr">
        <is>
          <t>Itaguai</t>
        </is>
      </c>
      <c r="C2921" s="30" t="n">
        <v>12074352</v>
      </c>
      <c r="D2921" s="30">
        <f>"00776574079585"</f>
        <v/>
      </c>
      <c r="E2921" s="30" t="inlineStr">
        <is>
          <t>AMERICANAS S.A - EM RECUPERACAO JUDICIAL</t>
        </is>
      </c>
      <c r="F2921" s="30" t="inlineStr">
        <is>
          <t>2019</t>
        </is>
      </c>
      <c r="G2921" s="40" t="n">
        <v>0</v>
      </c>
    </row>
    <row r="2922" ht="12" customHeight="1">
      <c r="A2922" s="30" t="inlineStr">
        <is>
          <t>ITG</t>
        </is>
      </c>
      <c r="B2922" s="30" t="inlineStr">
        <is>
          <t>Itaguai</t>
        </is>
      </c>
      <c r="C2922" s="30" t="n">
        <v>12074352</v>
      </c>
      <c r="D2922" s="30">
        <f>"00776574079585"</f>
        <v/>
      </c>
      <c r="E2922" s="30" t="inlineStr">
        <is>
          <t>AMERICANAS S.A - EM RECUPERACAO JUDICIAL</t>
        </is>
      </c>
      <c r="F2922" s="30" t="inlineStr">
        <is>
          <t>2020</t>
        </is>
      </c>
      <c r="G2922" s="40" t="n">
        <v>0</v>
      </c>
    </row>
    <row r="2923" ht="12" customHeight="1">
      <c r="A2923" s="30" t="inlineStr">
        <is>
          <t>ITG</t>
        </is>
      </c>
      <c r="B2923" s="30" t="inlineStr">
        <is>
          <t>Itaguai</t>
        </is>
      </c>
      <c r="C2923" s="30" t="n">
        <v>12074352</v>
      </c>
      <c r="D2923" s="30">
        <f>"00776574079585"</f>
        <v/>
      </c>
      <c r="E2923" s="30" t="inlineStr">
        <is>
          <t>AMERICANAS S.A - EM RECUPERACAO JUDICIAL</t>
        </is>
      </c>
      <c r="F2923" s="30" t="inlineStr">
        <is>
          <t>2021</t>
        </is>
      </c>
      <c r="G2923" s="40" t="n">
        <v>1971206.71</v>
      </c>
    </row>
    <row r="2924" ht="12" customHeight="1">
      <c r="A2924" s="30" t="inlineStr">
        <is>
          <t>ITG</t>
        </is>
      </c>
      <c r="B2924" s="30" t="inlineStr">
        <is>
          <t>Itaguai</t>
        </is>
      </c>
      <c r="C2924" s="30" t="n">
        <v>12074352</v>
      </c>
      <c r="D2924" s="30">
        <f>"00776574079585"</f>
        <v/>
      </c>
      <c r="E2924" s="30" t="inlineStr">
        <is>
          <t>AMERICANAS S.A - EM RECUPERACAO JUDICIAL</t>
        </is>
      </c>
      <c r="F2924" s="30" t="inlineStr">
        <is>
          <t>2022</t>
        </is>
      </c>
      <c r="G2924" s="40" t="n">
        <v>400392.58</v>
      </c>
    </row>
    <row r="2925" ht="12" customHeight="1">
      <c r="A2925" s="30" t="inlineStr">
        <is>
          <t>ITG</t>
        </is>
      </c>
      <c r="B2925" s="30" t="inlineStr">
        <is>
          <t>Itaguai</t>
        </is>
      </c>
      <c r="C2925" s="30" t="n">
        <v>12074352</v>
      </c>
      <c r="D2925" s="30">
        <f>"00776574079585"</f>
        <v/>
      </c>
      <c r="E2925" s="30" t="inlineStr">
        <is>
          <t>AMERICANAS S.A - EM RECUPERACAO JUDICIAL</t>
        </is>
      </c>
      <c r="F2925" s="30" t="inlineStr">
        <is>
          <t>2023</t>
        </is>
      </c>
      <c r="G2925" s="40" t="n">
        <v>1730973.02</v>
      </c>
    </row>
    <row r="2926" ht="12" customHeight="1">
      <c r="A2926" s="30" t="inlineStr">
        <is>
          <t>ITG</t>
        </is>
      </c>
      <c r="B2926" s="30" t="inlineStr">
        <is>
          <t>Itaguai</t>
        </is>
      </c>
      <c r="C2926" s="30" t="n">
        <v>12077335</v>
      </c>
      <c r="D2926" s="30">
        <f>"41919966000104"</f>
        <v/>
      </c>
      <c r="E2926" s="30" t="inlineStr">
        <is>
          <t>VIA??O ROSA RIO LTDA</t>
        </is>
      </c>
      <c r="F2926" s="30" t="inlineStr">
        <is>
          <t>2020</t>
        </is>
      </c>
      <c r="G2926" s="40" t="n">
        <v>0</v>
      </c>
    </row>
    <row r="2927" ht="12" customHeight="1">
      <c r="A2927" s="30" t="inlineStr">
        <is>
          <t>ITG</t>
        </is>
      </c>
      <c r="B2927" s="30" t="inlineStr">
        <is>
          <t>Itaguai</t>
        </is>
      </c>
      <c r="C2927" s="30" t="n">
        <v>12077335</v>
      </c>
      <c r="D2927" s="30">
        <f>"41919966000104"</f>
        <v/>
      </c>
      <c r="E2927" s="30" t="inlineStr">
        <is>
          <t>VIA??O ROSA RIO LTDA</t>
        </is>
      </c>
      <c r="F2927" s="30" t="inlineStr">
        <is>
          <t>2021</t>
        </is>
      </c>
      <c r="G2927" s="40" t="n">
        <v>0</v>
      </c>
    </row>
    <row r="2928" ht="12" customHeight="1">
      <c r="A2928" s="30" t="inlineStr">
        <is>
          <t>ITG</t>
        </is>
      </c>
      <c r="B2928" s="30" t="inlineStr">
        <is>
          <t>Itaguai</t>
        </is>
      </c>
      <c r="C2928" s="30" t="n">
        <v>12077335</v>
      </c>
      <c r="D2928" s="30">
        <f>"41919966000104"</f>
        <v/>
      </c>
      <c r="E2928" s="30" t="inlineStr">
        <is>
          <t>VIA??O ROSA RIO LTDA</t>
        </is>
      </c>
      <c r="F2928" s="30" t="inlineStr">
        <is>
          <t>2022</t>
        </is>
      </c>
      <c r="G2928" s="40" t="n">
        <v>0</v>
      </c>
    </row>
    <row r="2929" ht="12" customHeight="1">
      <c r="A2929" s="30" t="inlineStr">
        <is>
          <t>ITG</t>
        </is>
      </c>
      <c r="B2929" s="30" t="inlineStr">
        <is>
          <t>Itaguai</t>
        </is>
      </c>
      <c r="C2929" s="30" t="n">
        <v>12077335</v>
      </c>
      <c r="D2929" s="30">
        <f>"41919966000104"</f>
        <v/>
      </c>
      <c r="E2929" s="30" t="inlineStr">
        <is>
          <t>VIA??O ROSA RIO LTDA</t>
        </is>
      </c>
      <c r="F2929" s="30" t="inlineStr">
        <is>
          <t>2023</t>
        </is>
      </c>
      <c r="G2929" s="40" t="n">
        <v>1509485</v>
      </c>
    </row>
    <row r="2930" ht="12" customHeight="1">
      <c r="A2930" s="30" t="inlineStr">
        <is>
          <t>ITG</t>
        </is>
      </c>
      <c r="B2930" s="30" t="inlineStr">
        <is>
          <t>Itaguai</t>
        </is>
      </c>
      <c r="C2930" s="30" t="n">
        <v>12084773</v>
      </c>
      <c r="D2930" s="30">
        <f>"26410462000685"</f>
        <v/>
      </c>
      <c r="E2930" s="30" t="inlineStr">
        <is>
          <t>ORION REFEI??ES EMPRESARIAIS LTDA</t>
        </is>
      </c>
      <c r="F2930" s="30" t="inlineStr">
        <is>
          <t>2020</t>
        </is>
      </c>
      <c r="G2930" s="40" t="n">
        <v>0</v>
      </c>
    </row>
    <row r="2931" ht="12" customHeight="1">
      <c r="A2931" s="30" t="inlineStr">
        <is>
          <t>ITG</t>
        </is>
      </c>
      <c r="B2931" s="30" t="inlineStr">
        <is>
          <t>Itaguai</t>
        </is>
      </c>
      <c r="C2931" s="30" t="n">
        <v>12084773</v>
      </c>
      <c r="D2931" s="30">
        <f>"26410462000685"</f>
        <v/>
      </c>
      <c r="E2931" s="30" t="inlineStr">
        <is>
          <t>ORION REFEI??ES EMPRESARIAIS LTDA</t>
        </is>
      </c>
      <c r="F2931" s="30" t="inlineStr">
        <is>
          <t>2021</t>
        </is>
      </c>
      <c r="G2931" s="40" t="n">
        <v>0</v>
      </c>
    </row>
    <row r="2932" ht="12" customHeight="1">
      <c r="A2932" s="30" t="inlineStr">
        <is>
          <t>ITG</t>
        </is>
      </c>
      <c r="B2932" s="30" t="inlineStr">
        <is>
          <t>Itaguai</t>
        </is>
      </c>
      <c r="C2932" s="30" t="n">
        <v>12084773</v>
      </c>
      <c r="D2932" s="30">
        <f>"26410462000685"</f>
        <v/>
      </c>
      <c r="E2932" s="30" t="inlineStr">
        <is>
          <t>ORION REFEI??ES EMPRESARIAIS LTDA</t>
        </is>
      </c>
      <c r="F2932" s="30" t="inlineStr">
        <is>
          <t>2022</t>
        </is>
      </c>
      <c r="G2932" s="40" t="n">
        <v>114501.45</v>
      </c>
    </row>
    <row r="2933" ht="12" customHeight="1">
      <c r="A2933" s="30" t="inlineStr">
        <is>
          <t>ITG</t>
        </is>
      </c>
      <c r="B2933" s="30" t="inlineStr">
        <is>
          <t>Itaguai</t>
        </is>
      </c>
      <c r="C2933" s="30" t="n">
        <v>12084773</v>
      </c>
      <c r="D2933" s="30">
        <f>"26410462000685"</f>
        <v/>
      </c>
      <c r="E2933" s="30" t="inlineStr">
        <is>
          <t>ORION REFEI??ES EMPRESARIAIS LTDA</t>
        </is>
      </c>
      <c r="F2933" s="30" t="inlineStr">
        <is>
          <t>2023</t>
        </is>
      </c>
      <c r="G2933" s="40" t="n">
        <v>0</v>
      </c>
    </row>
    <row r="2934" ht="12" customHeight="1">
      <c r="A2934" s="30" t="inlineStr">
        <is>
          <t>ITG</t>
        </is>
      </c>
      <c r="B2934" s="30" t="inlineStr">
        <is>
          <t>Itaguai</t>
        </is>
      </c>
      <c r="C2934" s="30" t="n">
        <v>12085290</v>
      </c>
      <c r="D2934" s="30">
        <f>"43244631005985"</f>
        <v/>
      </c>
      <c r="E2934" s="30" t="inlineStr">
        <is>
          <t>TRANSPORTADORA AMERICANA LTDA</t>
        </is>
      </c>
      <c r="F2934" s="30" t="inlineStr">
        <is>
          <t>2020</t>
        </is>
      </c>
      <c r="G2934" s="40" t="n">
        <v>0</v>
      </c>
    </row>
    <row r="2935" ht="12" customHeight="1">
      <c r="A2935" s="30" t="inlineStr">
        <is>
          <t>ITG</t>
        </is>
      </c>
      <c r="B2935" s="30" t="inlineStr">
        <is>
          <t>Itaguai</t>
        </is>
      </c>
      <c r="C2935" s="30" t="n">
        <v>12085290</v>
      </c>
      <c r="D2935" s="30">
        <f>"43244631005985"</f>
        <v/>
      </c>
      <c r="E2935" s="30" t="inlineStr">
        <is>
          <t>TRANSPORTADORA AMERICANA LTDA</t>
        </is>
      </c>
      <c r="F2935" s="30" t="inlineStr">
        <is>
          <t>2021</t>
        </is>
      </c>
      <c r="G2935" s="40" t="n">
        <v>0</v>
      </c>
    </row>
    <row r="2936" ht="12" customHeight="1">
      <c r="A2936" s="30" t="inlineStr">
        <is>
          <t>ITG</t>
        </is>
      </c>
      <c r="B2936" s="30" t="inlineStr">
        <is>
          <t>Itaguai</t>
        </is>
      </c>
      <c r="C2936" s="30" t="n">
        <v>12085290</v>
      </c>
      <c r="D2936" s="30">
        <f>"43244631005985"</f>
        <v/>
      </c>
      <c r="E2936" s="30" t="inlineStr">
        <is>
          <t>TRANSPORTADORA AMERICANA LTDA</t>
        </is>
      </c>
      <c r="F2936" s="30" t="inlineStr">
        <is>
          <t>2022</t>
        </is>
      </c>
      <c r="G2936" s="40" t="n">
        <v>2329.04</v>
      </c>
    </row>
    <row r="2937" ht="12" customHeight="1">
      <c r="A2937" s="30" t="inlineStr">
        <is>
          <t>ITG</t>
        </is>
      </c>
      <c r="B2937" s="30" t="inlineStr">
        <is>
          <t>Itaguai</t>
        </is>
      </c>
      <c r="C2937" s="30" t="n">
        <v>12085290</v>
      </c>
      <c r="D2937" s="30">
        <f>"43244631005985"</f>
        <v/>
      </c>
      <c r="E2937" s="30" t="inlineStr">
        <is>
          <t>TRANSPORTADORA AMERICANA LTDA</t>
        </is>
      </c>
      <c r="F2937" s="30" t="inlineStr">
        <is>
          <t>2023</t>
        </is>
      </c>
      <c r="G2937" s="40" t="n">
        <v>53.63</v>
      </c>
    </row>
    <row r="2938" ht="12" customHeight="1">
      <c r="A2938" s="30" t="inlineStr">
        <is>
          <t>ITG</t>
        </is>
      </c>
      <c r="B2938" s="30" t="inlineStr">
        <is>
          <t>Itaguai</t>
        </is>
      </c>
      <c r="C2938" s="30" t="n">
        <v>12087810</v>
      </c>
      <c r="D2938" s="30">
        <f>"29453826000511"</f>
        <v/>
      </c>
      <c r="E2938" s="30" t="inlineStr">
        <is>
          <t>TRANSPORTE GENEROSO LTDA</t>
        </is>
      </c>
      <c r="F2938" s="30" t="inlineStr">
        <is>
          <t>2021</t>
        </is>
      </c>
      <c r="G2938" s="40" t="n">
        <v>0</v>
      </c>
    </row>
    <row r="2939" ht="12" customHeight="1">
      <c r="A2939" s="30" t="inlineStr">
        <is>
          <t>ITG</t>
        </is>
      </c>
      <c r="B2939" s="30" t="inlineStr">
        <is>
          <t>Itaguai</t>
        </is>
      </c>
      <c r="C2939" s="30" t="n">
        <v>12087810</v>
      </c>
      <c r="D2939" s="30">
        <f>"29453826000511"</f>
        <v/>
      </c>
      <c r="E2939" s="30" t="inlineStr">
        <is>
          <t>TRANSPORTE GENEROSO LTDA</t>
        </is>
      </c>
      <c r="F2939" s="30" t="inlineStr">
        <is>
          <t>2022</t>
        </is>
      </c>
      <c r="G2939" s="40" t="n">
        <v>0</v>
      </c>
    </row>
    <row r="2940" ht="12" customHeight="1">
      <c r="A2940" s="30" t="inlineStr">
        <is>
          <t>ITG</t>
        </is>
      </c>
      <c r="B2940" s="30" t="inlineStr">
        <is>
          <t>Itaguai</t>
        </is>
      </c>
      <c r="C2940" s="30" t="n">
        <v>12087810</v>
      </c>
      <c r="D2940" s="30">
        <f>"29453826000511"</f>
        <v/>
      </c>
      <c r="E2940" s="30" t="inlineStr">
        <is>
          <t>TRANSPORTE GENEROSO LTDA</t>
        </is>
      </c>
      <c r="F2940" s="30" t="inlineStr">
        <is>
          <t>2023</t>
        </is>
      </c>
      <c r="G2940" s="40" t="n">
        <v>132.34</v>
      </c>
    </row>
    <row r="2941" ht="12" customHeight="1">
      <c r="A2941" s="30" t="inlineStr">
        <is>
          <t>ITG</t>
        </is>
      </c>
      <c r="B2941" s="30" t="inlineStr">
        <is>
          <t>Itaguai</t>
        </is>
      </c>
      <c r="C2941" s="30" t="n">
        <v>12107536</v>
      </c>
      <c r="D2941" s="30">
        <f>"42258516000180"</f>
        <v/>
      </c>
      <c r="E2941" s="30" t="inlineStr">
        <is>
          <t>REAL POWER MOTORS COM?RCIO LTDA</t>
        </is>
      </c>
      <c r="F2941" s="30" t="inlineStr">
        <is>
          <t>2019</t>
        </is>
      </c>
      <c r="G2941" s="40" t="n">
        <v>0</v>
      </c>
    </row>
    <row r="2942" ht="12" customHeight="1">
      <c r="A2942" s="30" t="inlineStr">
        <is>
          <t>ITG</t>
        </is>
      </c>
      <c r="B2942" s="30" t="inlineStr">
        <is>
          <t>Itaguai</t>
        </is>
      </c>
      <c r="C2942" s="30" t="n">
        <v>12107536</v>
      </c>
      <c r="D2942" s="30">
        <f>"42258516000180"</f>
        <v/>
      </c>
      <c r="E2942" s="30" t="inlineStr">
        <is>
          <t>REAL POWER MOTORS COM?RCIO LTDA</t>
        </is>
      </c>
      <c r="F2942" s="30" t="inlineStr">
        <is>
          <t>2020</t>
        </is>
      </c>
      <c r="G2942" s="40" t="n">
        <v>0</v>
      </c>
    </row>
    <row r="2943" ht="12" customHeight="1">
      <c r="A2943" s="30" t="inlineStr">
        <is>
          <t>ITG</t>
        </is>
      </c>
      <c r="B2943" s="30" t="inlineStr">
        <is>
          <t>Itaguai</t>
        </is>
      </c>
      <c r="C2943" s="30" t="n">
        <v>12107536</v>
      </c>
      <c r="D2943" s="30">
        <f>"42258516000180"</f>
        <v/>
      </c>
      <c r="E2943" s="30" t="inlineStr">
        <is>
          <t>REAL POWER MOTORS COM?RCIO LTDA</t>
        </is>
      </c>
      <c r="F2943" s="30" t="inlineStr">
        <is>
          <t>2021</t>
        </is>
      </c>
      <c r="G2943" s="40" t="n">
        <v>0</v>
      </c>
    </row>
    <row r="2944" ht="12" customHeight="1">
      <c r="A2944" s="30" t="inlineStr">
        <is>
          <t>ITG</t>
        </is>
      </c>
      <c r="B2944" s="30" t="inlineStr">
        <is>
          <t>Itaguai</t>
        </is>
      </c>
      <c r="C2944" s="30" t="n">
        <v>12107536</v>
      </c>
      <c r="D2944" s="30">
        <f>"42258516000180"</f>
        <v/>
      </c>
      <c r="E2944" s="30" t="inlineStr">
        <is>
          <t>REAL POWER MOTORS COM?RCIO LTDA</t>
        </is>
      </c>
      <c r="F2944" s="30" t="inlineStr">
        <is>
          <t>2022</t>
        </is>
      </c>
      <c r="G2944" s="40" t="n">
        <v>3010940.25</v>
      </c>
    </row>
    <row r="2945" ht="12" customHeight="1">
      <c r="A2945" s="30" t="inlineStr">
        <is>
          <t>ITG</t>
        </is>
      </c>
      <c r="B2945" s="30" t="inlineStr">
        <is>
          <t>Itaguai</t>
        </is>
      </c>
      <c r="C2945" s="30" t="n">
        <v>12107536</v>
      </c>
      <c r="D2945" s="30">
        <f>"42258516000180"</f>
        <v/>
      </c>
      <c r="E2945" s="30" t="inlineStr">
        <is>
          <t>REAL POWER MOTORS COM?RCIO LTDA</t>
        </is>
      </c>
      <c r="F2945" s="30" t="inlineStr">
        <is>
          <t>2023</t>
        </is>
      </c>
      <c r="G2945" s="40" t="n">
        <v>2864403.94</v>
      </c>
    </row>
    <row r="2946" ht="12" customHeight="1">
      <c r="A2946" s="30" t="inlineStr">
        <is>
          <t>ITG</t>
        </is>
      </c>
      <c r="B2946" s="30" t="inlineStr">
        <is>
          <t>Itaguai</t>
        </is>
      </c>
      <c r="C2946" s="30" t="n">
        <v>12115920</v>
      </c>
      <c r="D2946" s="30">
        <f>"42409568000100"</f>
        <v/>
      </c>
      <c r="E2946" s="30" t="inlineStr">
        <is>
          <t>BOM DE PRE?O SACOLAO DE FRUTAS E LEGUMES LTDA</t>
        </is>
      </c>
      <c r="F2946" s="30" t="inlineStr">
        <is>
          <t>2021</t>
        </is>
      </c>
      <c r="G2946" s="40" t="n">
        <v>0</v>
      </c>
    </row>
    <row r="2947" ht="12" customHeight="1">
      <c r="A2947" s="30" t="inlineStr">
        <is>
          <t>ITG</t>
        </is>
      </c>
      <c r="B2947" s="30" t="inlineStr">
        <is>
          <t>Itaguai</t>
        </is>
      </c>
      <c r="C2947" s="30" t="n">
        <v>12115920</v>
      </c>
      <c r="D2947" s="30">
        <f>"42409568000100"</f>
        <v/>
      </c>
      <c r="E2947" s="30" t="inlineStr">
        <is>
          <t>BOM DE PRE?O SACOLAO DE FRUTAS E LEGUMES LTDA</t>
        </is>
      </c>
      <c r="F2947" s="30" t="inlineStr">
        <is>
          <t>2022</t>
        </is>
      </c>
      <c r="G2947" s="40" t="n">
        <v>0</v>
      </c>
    </row>
    <row r="2948" ht="12" customHeight="1">
      <c r="A2948" s="30" t="inlineStr">
        <is>
          <t>ITG</t>
        </is>
      </c>
      <c r="B2948" s="30" t="inlineStr">
        <is>
          <t>Itaguai</t>
        </is>
      </c>
      <c r="C2948" s="30" t="n">
        <v>12115920</v>
      </c>
      <c r="D2948" s="30">
        <f>"42409568000100"</f>
        <v/>
      </c>
      <c r="E2948" s="30" t="inlineStr">
        <is>
          <t>BOM DE PRE?O SACOLAO DE FRUTAS E LEGUMES LTDA</t>
        </is>
      </c>
      <c r="F2948" s="30" t="inlineStr">
        <is>
          <t>2023</t>
        </is>
      </c>
      <c r="G2948" s="40" t="n">
        <v>423899.77</v>
      </c>
    </row>
    <row r="2949" ht="12" customHeight="1">
      <c r="A2949" s="30" t="inlineStr">
        <is>
          <t>ITG</t>
        </is>
      </c>
      <c r="B2949" s="30" t="inlineStr">
        <is>
          <t>Itaguai</t>
        </is>
      </c>
      <c r="C2949" s="30" t="n">
        <v>12122675</v>
      </c>
      <c r="D2949" s="30">
        <f>"42476615000139"</f>
        <v/>
      </c>
      <c r="E2949" s="30" t="inlineStr">
        <is>
          <t>JUSAN LOGISTICA E TRANSPORTES LTDA</t>
        </is>
      </c>
      <c r="F2949" s="30" t="inlineStr">
        <is>
          <t>2020</t>
        </is>
      </c>
      <c r="G2949" s="40" t="n">
        <v>0</v>
      </c>
    </row>
    <row r="2950" ht="12" customHeight="1">
      <c r="A2950" s="30" t="inlineStr">
        <is>
          <t>ITG</t>
        </is>
      </c>
      <c r="B2950" s="30" t="inlineStr">
        <is>
          <t>Itaguai</t>
        </is>
      </c>
      <c r="C2950" s="30" t="n">
        <v>12122675</v>
      </c>
      <c r="D2950" s="30">
        <f>"42476615000139"</f>
        <v/>
      </c>
      <c r="E2950" s="30" t="inlineStr">
        <is>
          <t>JUSAN LOGISTICA E TRANSPORTES LTDA</t>
        </is>
      </c>
      <c r="F2950" s="30" t="inlineStr">
        <is>
          <t>2021</t>
        </is>
      </c>
      <c r="G2950" s="40" t="n">
        <v>0</v>
      </c>
    </row>
    <row r="2951" ht="12" customHeight="1">
      <c r="A2951" s="30" t="inlineStr">
        <is>
          <t>ITG</t>
        </is>
      </c>
      <c r="B2951" s="30" t="inlineStr">
        <is>
          <t>Itaguai</t>
        </is>
      </c>
      <c r="C2951" s="30" t="n">
        <v>12122675</v>
      </c>
      <c r="D2951" s="30">
        <f>"42476615000139"</f>
        <v/>
      </c>
      <c r="E2951" s="30" t="inlineStr">
        <is>
          <t>JUSAN LOGISTICA E TRANSPORTES LTDA</t>
        </is>
      </c>
      <c r="F2951" s="30" t="inlineStr">
        <is>
          <t>2022</t>
        </is>
      </c>
      <c r="G2951" s="40" t="n">
        <v>489.06</v>
      </c>
    </row>
    <row r="2952" ht="12" customHeight="1">
      <c r="A2952" s="30" t="inlineStr">
        <is>
          <t>ITG</t>
        </is>
      </c>
      <c r="B2952" s="30" t="inlineStr">
        <is>
          <t>Itaguai</t>
        </is>
      </c>
      <c r="C2952" s="30" t="n">
        <v>12122675</v>
      </c>
      <c r="D2952" s="30">
        <f>"42476615000139"</f>
        <v/>
      </c>
      <c r="E2952" s="30" t="inlineStr">
        <is>
          <t>JUSAN LOGISTICA E TRANSPORTES LTDA</t>
        </is>
      </c>
      <c r="F2952" s="30" t="inlineStr">
        <is>
          <t>2023</t>
        </is>
      </c>
      <c r="G2952" s="40" t="n">
        <v>0</v>
      </c>
    </row>
    <row r="2953" ht="12" customHeight="1">
      <c r="A2953" s="30" t="inlineStr">
        <is>
          <t>ITG</t>
        </is>
      </c>
      <c r="B2953" s="30" t="inlineStr">
        <is>
          <t>Itaguai</t>
        </is>
      </c>
      <c r="C2953" s="30" t="n">
        <v>12130066</v>
      </c>
      <c r="D2953" s="30">
        <f>"00005487040745"</f>
        <v/>
      </c>
      <c r="E2953" s="30" t="inlineStr">
        <is>
          <t>SANDRA DE FARIA SILVA</t>
        </is>
      </c>
      <c r="F2953" s="30" t="inlineStr">
        <is>
          <t>2019</t>
        </is>
      </c>
      <c r="G2953" s="40" t="n">
        <v>0</v>
      </c>
    </row>
    <row r="2954" ht="12" customHeight="1">
      <c r="A2954" s="30" t="inlineStr">
        <is>
          <t>ITG</t>
        </is>
      </c>
      <c r="B2954" s="30" t="inlineStr">
        <is>
          <t>Itaguai</t>
        </is>
      </c>
      <c r="C2954" s="30" t="n">
        <v>12130066</v>
      </c>
      <c r="D2954" s="30">
        <f>"00005487040745"</f>
        <v/>
      </c>
      <c r="E2954" s="30" t="inlineStr">
        <is>
          <t>SANDRA DE FARIA SILVA</t>
        </is>
      </c>
      <c r="F2954" s="30" t="inlineStr">
        <is>
          <t>2020</t>
        </is>
      </c>
      <c r="G2954" s="40" t="n">
        <v>0</v>
      </c>
    </row>
    <row r="2955" ht="12" customHeight="1">
      <c r="A2955" s="30" t="inlineStr">
        <is>
          <t>ITG</t>
        </is>
      </c>
      <c r="B2955" s="30" t="inlineStr">
        <is>
          <t>Itaguai</t>
        </is>
      </c>
      <c r="C2955" s="30" t="n">
        <v>12130066</v>
      </c>
      <c r="D2955" s="30">
        <f>"00005487040745"</f>
        <v/>
      </c>
      <c r="E2955" s="30" t="inlineStr">
        <is>
          <t>SANDRA DE FARIA SILVA</t>
        </is>
      </c>
      <c r="F2955" s="30" t="inlineStr">
        <is>
          <t>2021</t>
        </is>
      </c>
      <c r="G2955" s="40" t="n">
        <v>273500</v>
      </c>
    </row>
    <row r="2956" ht="12" customHeight="1">
      <c r="A2956" s="30" t="inlineStr">
        <is>
          <t>ITG</t>
        </is>
      </c>
      <c r="B2956" s="30" t="inlineStr">
        <is>
          <t>Itaguai</t>
        </is>
      </c>
      <c r="C2956" s="30" t="n">
        <v>12130066</v>
      </c>
      <c r="D2956" s="30">
        <f>"00005487040745"</f>
        <v/>
      </c>
      <c r="E2956" s="30" t="inlineStr">
        <is>
          <t>SANDRA DE FARIA SILVA</t>
        </is>
      </c>
      <c r="F2956" s="30" t="inlineStr">
        <is>
          <t>2022</t>
        </is>
      </c>
      <c r="G2956" s="40" t="n">
        <v>0</v>
      </c>
    </row>
    <row r="2957" ht="12" customHeight="1">
      <c r="A2957" s="30" t="inlineStr">
        <is>
          <t>ITG</t>
        </is>
      </c>
      <c r="B2957" s="30" t="inlineStr">
        <is>
          <t>Itaguai</t>
        </is>
      </c>
      <c r="C2957" s="30" t="n">
        <v>12130066</v>
      </c>
      <c r="D2957" s="30">
        <f>"00005487040745"</f>
        <v/>
      </c>
      <c r="E2957" s="30" t="inlineStr">
        <is>
          <t>SANDRA DE FARIA SILVA</t>
        </is>
      </c>
      <c r="F2957" s="30" t="inlineStr">
        <is>
          <t>2023</t>
        </is>
      </c>
      <c r="G2957" s="40" t="n">
        <v>0</v>
      </c>
    </row>
    <row r="2958" ht="12" customHeight="1">
      <c r="A2958" s="30" t="inlineStr">
        <is>
          <t>ITG</t>
        </is>
      </c>
      <c r="B2958" s="30" t="inlineStr">
        <is>
          <t>Itaguai</t>
        </is>
      </c>
      <c r="C2958" s="30" t="n">
        <v>12139110</v>
      </c>
      <c r="D2958" s="30">
        <f>"42656855000115"</f>
        <v/>
      </c>
      <c r="E2958" s="30" t="inlineStr">
        <is>
          <t>PADARIA, CONFEITARIA E LANCHONETE PAL?CIO DOS P?ES LTDA</t>
        </is>
      </c>
      <c r="F2958" s="30" t="inlineStr">
        <is>
          <t>2021</t>
        </is>
      </c>
      <c r="G2958" s="40" t="n">
        <v>0</v>
      </c>
    </row>
    <row r="2959" ht="12" customHeight="1">
      <c r="A2959" s="30" t="inlineStr">
        <is>
          <t>ITG</t>
        </is>
      </c>
      <c r="B2959" s="30" t="inlineStr">
        <is>
          <t>Itaguai</t>
        </is>
      </c>
      <c r="C2959" s="30" t="n">
        <v>12139110</v>
      </c>
      <c r="D2959" s="30">
        <f>"42656855000115"</f>
        <v/>
      </c>
      <c r="E2959" s="30" t="inlineStr">
        <is>
          <t>PADARIA, CONFEITARIA E LANCHONETE PAL?CIO DOS P?ES LTDA</t>
        </is>
      </c>
      <c r="F2959" s="30" t="inlineStr">
        <is>
          <t>2022</t>
        </is>
      </c>
      <c r="G2959" s="40" t="n">
        <v>0</v>
      </c>
    </row>
    <row r="2960" ht="12" customHeight="1">
      <c r="A2960" s="30" t="inlineStr">
        <is>
          <t>ITG</t>
        </is>
      </c>
      <c r="B2960" s="30" t="inlineStr">
        <is>
          <t>Itaguai</t>
        </is>
      </c>
      <c r="C2960" s="30" t="n">
        <v>12139110</v>
      </c>
      <c r="D2960" s="30">
        <f>"42656855000115"</f>
        <v/>
      </c>
      <c r="E2960" s="30" t="inlineStr">
        <is>
          <t>PADARIA, CONFEITARIA E LANCHONETE PAL?CIO DOS P?ES LTDA</t>
        </is>
      </c>
      <c r="F2960" s="30" t="inlineStr">
        <is>
          <t>2023</t>
        </is>
      </c>
      <c r="G2960" s="40" t="n">
        <v>0</v>
      </c>
    </row>
    <row r="2961" ht="12" customHeight="1">
      <c r="A2961" s="30" t="inlineStr">
        <is>
          <t>ITG</t>
        </is>
      </c>
      <c r="B2961" s="30" t="inlineStr">
        <is>
          <t>Itaguai</t>
        </is>
      </c>
      <c r="C2961" s="30" t="n">
        <v>12148186</v>
      </c>
      <c r="D2961" s="30">
        <f>"11361353002349"</f>
        <v/>
      </c>
      <c r="E2961" s="30" t="inlineStr">
        <is>
          <t>TRANSGUARD DO BRASIL REMOCAO E ACAUTELAMENTO DE VEICULOS E EMPRE</t>
        </is>
      </c>
      <c r="F2961" s="30" t="inlineStr">
        <is>
          <t>2019</t>
        </is>
      </c>
      <c r="G2961" s="40" t="n">
        <v>0</v>
      </c>
    </row>
    <row r="2962" ht="12" customHeight="1">
      <c r="A2962" s="30" t="inlineStr">
        <is>
          <t>ITG</t>
        </is>
      </c>
      <c r="B2962" s="30" t="inlineStr">
        <is>
          <t>Itaguai</t>
        </is>
      </c>
      <c r="C2962" s="30" t="n">
        <v>12148186</v>
      </c>
      <c r="D2962" s="30">
        <f>"11361353002349"</f>
        <v/>
      </c>
      <c r="E2962" s="30" t="inlineStr">
        <is>
          <t>TRANSGUARD DO BRASIL REMOCAO E ACAUTELAMENTO DE VEICULOS E EMPRE</t>
        </is>
      </c>
      <c r="F2962" s="30" t="inlineStr">
        <is>
          <t>2020</t>
        </is>
      </c>
      <c r="G2962" s="40" t="n">
        <v>0</v>
      </c>
    </row>
    <row r="2963" ht="12" customHeight="1">
      <c r="A2963" s="30" t="inlineStr">
        <is>
          <t>ITG</t>
        </is>
      </c>
      <c r="B2963" s="30" t="inlineStr">
        <is>
          <t>Itaguai</t>
        </is>
      </c>
      <c r="C2963" s="30" t="n">
        <v>12148186</v>
      </c>
      <c r="D2963" s="30">
        <f>"11361353002349"</f>
        <v/>
      </c>
      <c r="E2963" s="30" t="inlineStr">
        <is>
          <t>TRANSGUARD DO BRASIL REMOCAO E ACAUTELAMENTO DE VEICULOS E EMPRE</t>
        </is>
      </c>
      <c r="F2963" s="30" t="inlineStr">
        <is>
          <t>2021</t>
        </is>
      </c>
      <c r="G2963" s="40" t="n">
        <v>0</v>
      </c>
    </row>
    <row r="2964" ht="12" customHeight="1">
      <c r="A2964" s="30" t="inlineStr">
        <is>
          <t>ITG</t>
        </is>
      </c>
      <c r="B2964" s="30" t="inlineStr">
        <is>
          <t>Itaguai</t>
        </is>
      </c>
      <c r="C2964" s="30" t="n">
        <v>12148186</v>
      </c>
      <c r="D2964" s="30">
        <f>"11361353002349"</f>
        <v/>
      </c>
      <c r="E2964" s="30" t="inlineStr">
        <is>
          <t>TRANSGUARD DO BRASIL REMOCAO E ACAUTELAMENTO DE VEICULOS E EMPRE</t>
        </is>
      </c>
      <c r="F2964" s="30" t="inlineStr">
        <is>
          <t>2022</t>
        </is>
      </c>
      <c r="G2964" s="40" t="n">
        <v>0</v>
      </c>
    </row>
    <row r="2965" ht="12" customHeight="1">
      <c r="A2965" s="30" t="inlineStr">
        <is>
          <t>ITG</t>
        </is>
      </c>
      <c r="B2965" s="30" t="inlineStr">
        <is>
          <t>Itaguai</t>
        </is>
      </c>
      <c r="C2965" s="30" t="n">
        <v>12148186</v>
      </c>
      <c r="D2965" s="30">
        <f>"11361353002349"</f>
        <v/>
      </c>
      <c r="E2965" s="30" t="inlineStr">
        <is>
          <t>TRANSGUARD DO BRASIL REMOCAO E ACAUTELAMENTO DE VEICULOS E EMPRE</t>
        </is>
      </c>
      <c r="F2965" s="30" t="inlineStr">
        <is>
          <t>2023</t>
        </is>
      </c>
      <c r="G2965" s="40" t="n">
        <v>0</v>
      </c>
    </row>
    <row r="2966" ht="12" customHeight="1">
      <c r="A2966" s="30" t="inlineStr">
        <is>
          <t>ITG</t>
        </is>
      </c>
      <c r="B2966" s="30" t="inlineStr">
        <is>
          <t>Itaguai</t>
        </is>
      </c>
      <c r="C2966" s="30" t="n">
        <v>12149654</v>
      </c>
      <c r="D2966" s="30">
        <f>"31598974000142"</f>
        <v/>
      </c>
      <c r="E2966" s="30" t="inlineStr">
        <is>
          <t>EXPRESSO EBEN?ZER TRANSPORTES- LTDA</t>
        </is>
      </c>
      <c r="F2966" s="30" t="inlineStr">
        <is>
          <t>2021</t>
        </is>
      </c>
      <c r="G2966" s="40" t="n">
        <v>0</v>
      </c>
    </row>
    <row r="2967" ht="12" customHeight="1">
      <c r="A2967" s="30" t="inlineStr">
        <is>
          <t>ITG</t>
        </is>
      </c>
      <c r="B2967" s="30" t="inlineStr">
        <is>
          <t>Itaguai</t>
        </is>
      </c>
      <c r="C2967" s="30" t="n">
        <v>12149654</v>
      </c>
      <c r="D2967" s="30">
        <f>"31598974000142"</f>
        <v/>
      </c>
      <c r="E2967" s="30" t="inlineStr">
        <is>
          <t>EXPRESSO EBEN?ZER TRANSPORTES- LTDA</t>
        </is>
      </c>
      <c r="F2967" s="30" t="inlineStr">
        <is>
          <t>2022</t>
        </is>
      </c>
      <c r="G2967" s="40" t="n">
        <v>0</v>
      </c>
    </row>
    <row r="2968" ht="12" customHeight="1">
      <c r="A2968" s="30" t="inlineStr">
        <is>
          <t>ITG</t>
        </is>
      </c>
      <c r="B2968" s="30" t="inlineStr">
        <is>
          <t>Itaguai</t>
        </is>
      </c>
      <c r="C2968" s="30" t="n">
        <v>12149654</v>
      </c>
      <c r="D2968" s="30">
        <f>"31598974000142"</f>
        <v/>
      </c>
      <c r="E2968" s="30" t="inlineStr">
        <is>
          <t>EXPRESSO EBEN?ZER TRANSPORTES- LTDA</t>
        </is>
      </c>
      <c r="F2968" s="30" t="inlineStr">
        <is>
          <t>2023</t>
        </is>
      </c>
      <c r="G2968" s="40" t="n">
        <v>3236.42</v>
      </c>
    </row>
    <row r="2969" ht="12" customHeight="1">
      <c r="A2969" s="30" t="inlineStr">
        <is>
          <t>ITG</t>
        </is>
      </c>
      <c r="B2969" s="30" t="inlineStr">
        <is>
          <t>Itaguai</t>
        </is>
      </c>
      <c r="C2969" s="30" t="n">
        <v>12150890</v>
      </c>
      <c r="D2969" s="30">
        <f>"07569161003599"</f>
        <v/>
      </c>
      <c r="E2969" s="30" t="inlineStr">
        <is>
          <t>G10 TRANSPORTES S.A.</t>
        </is>
      </c>
      <c r="F2969" s="30" t="inlineStr">
        <is>
          <t>2021</t>
        </is>
      </c>
      <c r="G2969" s="40" t="n">
        <v>0</v>
      </c>
    </row>
    <row r="2970" ht="12" customHeight="1">
      <c r="A2970" s="30" t="inlineStr">
        <is>
          <t>ITG</t>
        </is>
      </c>
      <c r="B2970" s="30" t="inlineStr">
        <is>
          <t>Itaguai</t>
        </is>
      </c>
      <c r="C2970" s="30" t="n">
        <v>12150890</v>
      </c>
      <c r="D2970" s="30">
        <f>"07569161003599"</f>
        <v/>
      </c>
      <c r="E2970" s="30" t="inlineStr">
        <is>
          <t>G10 TRANSPORTES S.A.</t>
        </is>
      </c>
      <c r="F2970" s="30" t="inlineStr">
        <is>
          <t>2022</t>
        </is>
      </c>
      <c r="G2970" s="40" t="n">
        <v>0</v>
      </c>
    </row>
    <row r="2971" ht="12" customHeight="1">
      <c r="A2971" s="30" t="inlineStr">
        <is>
          <t>ITG</t>
        </is>
      </c>
      <c r="B2971" s="30" t="inlineStr">
        <is>
          <t>Itaguai</t>
        </is>
      </c>
      <c r="C2971" s="30" t="n">
        <v>12150890</v>
      </c>
      <c r="D2971" s="30">
        <f>"07569161003599"</f>
        <v/>
      </c>
      <c r="E2971" s="30" t="inlineStr">
        <is>
          <t>G10 TRANSPORTES S.A.</t>
        </is>
      </c>
      <c r="F2971" s="30" t="inlineStr">
        <is>
          <t>2023</t>
        </is>
      </c>
      <c r="G2971" s="40" t="n">
        <v>420765.21</v>
      </c>
    </row>
    <row r="2972" ht="12" customHeight="1">
      <c r="A2972" s="30" t="inlineStr">
        <is>
          <t>ITG</t>
        </is>
      </c>
      <c r="B2972" s="30" t="inlineStr">
        <is>
          <t>Itaguai</t>
        </is>
      </c>
      <c r="C2972" s="30" t="n">
        <v>12176600</v>
      </c>
      <c r="D2972" s="30">
        <f>"43018686000150"</f>
        <v/>
      </c>
      <c r="E2972" s="30" t="inlineStr">
        <is>
          <t>INFINITE DISTRIPET ATACADISTA LTDA</t>
        </is>
      </c>
      <c r="F2972" s="30" t="inlineStr">
        <is>
          <t>2019</t>
        </is>
      </c>
      <c r="G2972" s="40" t="n">
        <v>0</v>
      </c>
    </row>
    <row r="2973" ht="12" customHeight="1">
      <c r="A2973" s="30" t="inlineStr">
        <is>
          <t>ITG</t>
        </is>
      </c>
      <c r="B2973" s="30" t="inlineStr">
        <is>
          <t>Itaguai</t>
        </is>
      </c>
      <c r="C2973" s="30" t="n">
        <v>12176600</v>
      </c>
      <c r="D2973" s="30">
        <f>"43018686000150"</f>
        <v/>
      </c>
      <c r="E2973" s="30" t="inlineStr">
        <is>
          <t>INFINITE DISTRIPET ATACADISTA LTDA</t>
        </is>
      </c>
      <c r="F2973" s="30" t="inlineStr">
        <is>
          <t>2020</t>
        </is>
      </c>
      <c r="G2973" s="40" t="n">
        <v>0</v>
      </c>
    </row>
    <row r="2974" ht="12" customHeight="1">
      <c r="A2974" s="30" t="inlineStr">
        <is>
          <t>ITG</t>
        </is>
      </c>
      <c r="B2974" s="30" t="inlineStr">
        <is>
          <t>Itaguai</t>
        </is>
      </c>
      <c r="C2974" s="30" t="n">
        <v>12176600</v>
      </c>
      <c r="D2974" s="30">
        <f>"43018686000150"</f>
        <v/>
      </c>
      <c r="E2974" s="30" t="inlineStr">
        <is>
          <t>INFINITE DISTRIPET ATACADISTA LTDA</t>
        </is>
      </c>
      <c r="F2974" s="30" t="inlineStr">
        <is>
          <t>2021</t>
        </is>
      </c>
      <c r="G2974" s="40" t="n">
        <v>0</v>
      </c>
    </row>
    <row r="2975" ht="12" customHeight="1">
      <c r="A2975" s="30" t="inlineStr">
        <is>
          <t>ITG</t>
        </is>
      </c>
      <c r="B2975" s="30" t="inlineStr">
        <is>
          <t>Itaguai</t>
        </is>
      </c>
      <c r="C2975" s="30" t="n">
        <v>12176600</v>
      </c>
      <c r="D2975" s="30">
        <f>"43018686000150"</f>
        <v/>
      </c>
      <c r="E2975" s="30" t="inlineStr">
        <is>
          <t>INFINITE DISTRIPET ATACADISTA LTDA</t>
        </is>
      </c>
      <c r="F2975" s="30" t="inlineStr">
        <is>
          <t>2022</t>
        </is>
      </c>
      <c r="G2975" s="40" t="n">
        <v>0</v>
      </c>
    </row>
    <row r="2976" ht="12" customHeight="1">
      <c r="A2976" s="30" t="inlineStr">
        <is>
          <t>ITG</t>
        </is>
      </c>
      <c r="B2976" s="30" t="inlineStr">
        <is>
          <t>Itaguai</t>
        </is>
      </c>
      <c r="C2976" s="30" t="n">
        <v>12176600</v>
      </c>
      <c r="D2976" s="30">
        <f>"43018686000150"</f>
        <v/>
      </c>
      <c r="E2976" s="30" t="inlineStr">
        <is>
          <t>INFINITE DISTRIPET ATACADISTA LTDA</t>
        </is>
      </c>
      <c r="F2976" s="30" t="inlineStr">
        <is>
          <t>2023</t>
        </is>
      </c>
      <c r="G2976" s="40" t="n">
        <v>0</v>
      </c>
    </row>
    <row r="2977" ht="12" customHeight="1">
      <c r="A2977" s="30" t="inlineStr">
        <is>
          <t>ITG</t>
        </is>
      </c>
      <c r="B2977" s="30" t="inlineStr">
        <is>
          <t>Itaguai</t>
        </is>
      </c>
      <c r="C2977" s="30" t="n">
        <v>12182481</v>
      </c>
      <c r="D2977" s="30">
        <f>"18982709000952"</f>
        <v/>
      </c>
      <c r="E2977" s="30" t="inlineStr">
        <is>
          <t>ASIA SHIPPING TERMINAIS E SERVICOS LTDA</t>
        </is>
      </c>
      <c r="F2977" s="30" t="inlineStr">
        <is>
          <t>2019</t>
        </is>
      </c>
      <c r="G2977" s="40" t="n">
        <v>0</v>
      </c>
    </row>
    <row r="2978" ht="12" customHeight="1">
      <c r="A2978" s="30" t="inlineStr">
        <is>
          <t>ITG</t>
        </is>
      </c>
      <c r="B2978" s="30" t="inlineStr">
        <is>
          <t>Itaguai</t>
        </is>
      </c>
      <c r="C2978" s="30" t="n">
        <v>12182481</v>
      </c>
      <c r="D2978" s="30">
        <f>"18982709000952"</f>
        <v/>
      </c>
      <c r="E2978" s="30" t="inlineStr">
        <is>
          <t>ASIA SHIPPING TERMINAIS E SERVICOS LTDA</t>
        </is>
      </c>
      <c r="F2978" s="30" t="inlineStr">
        <is>
          <t>2020</t>
        </is>
      </c>
      <c r="G2978" s="40" t="n">
        <v>0</v>
      </c>
    </row>
    <row r="2979" ht="12" customHeight="1">
      <c r="A2979" s="30" t="inlineStr">
        <is>
          <t>ITG</t>
        </is>
      </c>
      <c r="B2979" s="30" t="inlineStr">
        <is>
          <t>Itaguai</t>
        </is>
      </c>
      <c r="C2979" s="30" t="n">
        <v>12182481</v>
      </c>
      <c r="D2979" s="30">
        <f>"18982709000952"</f>
        <v/>
      </c>
      <c r="E2979" s="30" t="inlineStr">
        <is>
          <t>ASIA SHIPPING TERMINAIS E SERVICOS LTDA</t>
        </is>
      </c>
      <c r="F2979" s="30" t="inlineStr">
        <is>
          <t>2021</t>
        </is>
      </c>
      <c r="G2979" s="40" t="n">
        <v>28982.09</v>
      </c>
    </row>
    <row r="2980" ht="12" customHeight="1">
      <c r="A2980" s="30" t="inlineStr">
        <is>
          <t>ITG</t>
        </is>
      </c>
      <c r="B2980" s="30" t="inlineStr">
        <is>
          <t>Itaguai</t>
        </is>
      </c>
      <c r="C2980" s="30" t="n">
        <v>12182481</v>
      </c>
      <c r="D2980" s="30">
        <f>"18982709000952"</f>
        <v/>
      </c>
      <c r="E2980" s="30" t="inlineStr">
        <is>
          <t>ASIA SHIPPING TERMINAIS E SERVICOS LTDA</t>
        </is>
      </c>
      <c r="F2980" s="30" t="inlineStr">
        <is>
          <t>2022</t>
        </is>
      </c>
      <c r="G2980" s="40" t="n">
        <v>0</v>
      </c>
    </row>
    <row r="2981" ht="12" customHeight="1">
      <c r="A2981" s="30" t="inlineStr">
        <is>
          <t>ITG</t>
        </is>
      </c>
      <c r="B2981" s="30" t="inlineStr">
        <is>
          <t>Itaguai</t>
        </is>
      </c>
      <c r="C2981" s="30" t="n">
        <v>12182481</v>
      </c>
      <c r="D2981" s="30">
        <f>"18982709000952"</f>
        <v/>
      </c>
      <c r="E2981" s="30" t="inlineStr">
        <is>
          <t>ASIA SHIPPING TERMINAIS E SERVICOS LTDA</t>
        </is>
      </c>
      <c r="F2981" s="30" t="inlineStr">
        <is>
          <t>2023</t>
        </is>
      </c>
      <c r="G2981" s="40" t="n">
        <v>0</v>
      </c>
    </row>
    <row r="2982" ht="12" customHeight="1">
      <c r="A2982" s="30" t="inlineStr">
        <is>
          <t>ITG</t>
        </is>
      </c>
      <c r="B2982" s="30" t="inlineStr">
        <is>
          <t>Itaguai</t>
        </is>
      </c>
      <c r="C2982" s="30" t="n">
        <v>12182910</v>
      </c>
      <c r="D2982" s="30">
        <f>"66732082000177"</f>
        <v/>
      </c>
      <c r="E2982" s="30" t="inlineStr">
        <is>
          <t>ENERGY CLEAN REPRESENTA??O COMERCIAL LTDA</t>
        </is>
      </c>
      <c r="F2982" s="30" t="inlineStr">
        <is>
          <t>2019</t>
        </is>
      </c>
      <c r="G2982" s="40" t="n">
        <v>0</v>
      </c>
    </row>
    <row r="2983" ht="12" customHeight="1">
      <c r="A2983" s="30" t="inlineStr">
        <is>
          <t>ITG</t>
        </is>
      </c>
      <c r="B2983" s="30" t="inlineStr">
        <is>
          <t>Itaguai</t>
        </is>
      </c>
      <c r="C2983" s="30" t="n">
        <v>12182910</v>
      </c>
      <c r="D2983" s="30">
        <f>"66732082000177"</f>
        <v/>
      </c>
      <c r="E2983" s="30" t="inlineStr">
        <is>
          <t>ENERGY CLEAN REPRESENTA??O COMERCIAL LTDA</t>
        </is>
      </c>
      <c r="F2983" s="30" t="inlineStr">
        <is>
          <t>2020</t>
        </is>
      </c>
      <c r="G2983" s="40" t="n">
        <v>0</v>
      </c>
    </row>
    <row r="2984" ht="12" customHeight="1">
      <c r="A2984" s="30" t="inlineStr">
        <is>
          <t>ITG</t>
        </is>
      </c>
      <c r="B2984" s="30" t="inlineStr">
        <is>
          <t>Itaguai</t>
        </is>
      </c>
      <c r="C2984" s="30" t="n">
        <v>12182910</v>
      </c>
      <c r="D2984" s="30">
        <f>"66732082000177"</f>
        <v/>
      </c>
      <c r="E2984" s="30" t="inlineStr">
        <is>
          <t>ENERGY CLEAN REPRESENTA??O COMERCIAL LTDA</t>
        </is>
      </c>
      <c r="F2984" s="30" t="inlineStr">
        <is>
          <t>2021</t>
        </is>
      </c>
      <c r="G2984" s="40" t="n">
        <v>0</v>
      </c>
    </row>
    <row r="2985" ht="12" customHeight="1">
      <c r="A2985" s="30" t="inlineStr">
        <is>
          <t>ITG</t>
        </is>
      </c>
      <c r="B2985" s="30" t="inlineStr">
        <is>
          <t>Itaguai</t>
        </is>
      </c>
      <c r="C2985" s="30" t="n">
        <v>12182910</v>
      </c>
      <c r="D2985" s="30">
        <f>"66732082000177"</f>
        <v/>
      </c>
      <c r="E2985" s="30" t="inlineStr">
        <is>
          <t>ENERGY CLEAN REPRESENTA??O COMERCIAL LTDA</t>
        </is>
      </c>
      <c r="F2985" s="30" t="inlineStr">
        <is>
          <t>2022</t>
        </is>
      </c>
      <c r="G2985" s="40" t="n">
        <v>630033.23</v>
      </c>
    </row>
    <row r="2986" ht="12" customHeight="1">
      <c r="A2986" s="30" t="inlineStr">
        <is>
          <t>ITG</t>
        </is>
      </c>
      <c r="B2986" s="30" t="inlineStr">
        <is>
          <t>Itaguai</t>
        </is>
      </c>
      <c r="C2986" s="30" t="n">
        <v>12182910</v>
      </c>
      <c r="D2986" s="30">
        <f>"66732082000177"</f>
        <v/>
      </c>
      <c r="E2986" s="30" t="inlineStr">
        <is>
          <t>ENERGY CLEAN REPRESENTA??O COMERCIAL LTDA</t>
        </is>
      </c>
      <c r="F2986" s="30" t="inlineStr">
        <is>
          <t>2023</t>
        </is>
      </c>
      <c r="G2986" s="40" t="n">
        <v>6359314.15</v>
      </c>
    </row>
    <row r="2987" ht="12" customHeight="1">
      <c r="A2987" s="30" t="inlineStr">
        <is>
          <t>ITG</t>
        </is>
      </c>
      <c r="B2987" s="30" t="inlineStr">
        <is>
          <t>Itaguai</t>
        </is>
      </c>
      <c r="C2987" s="30" t="n">
        <v>12185286</v>
      </c>
      <c r="D2987" s="30">
        <f>"43144379000116"</f>
        <v/>
      </c>
      <c r="E2987" s="30" t="inlineStr">
        <is>
          <t>PEIXARIA EMP?RIO COSTA VERDE LTDA</t>
        </is>
      </c>
      <c r="F2987" s="30" t="inlineStr">
        <is>
          <t>2019</t>
        </is>
      </c>
      <c r="G2987" s="40" t="n">
        <v>0</v>
      </c>
    </row>
    <row r="2988" ht="12" customHeight="1">
      <c r="A2988" s="30" t="inlineStr">
        <is>
          <t>ITG</t>
        </is>
      </c>
      <c r="B2988" s="30" t="inlineStr">
        <is>
          <t>Itaguai</t>
        </is>
      </c>
      <c r="C2988" s="30" t="n">
        <v>12185286</v>
      </c>
      <c r="D2988" s="30">
        <f>"43144379000116"</f>
        <v/>
      </c>
      <c r="E2988" s="30" t="inlineStr">
        <is>
          <t>PEIXARIA EMP?RIO COSTA VERDE LTDA</t>
        </is>
      </c>
      <c r="F2988" s="30" t="inlineStr">
        <is>
          <t>2020</t>
        </is>
      </c>
      <c r="G2988" s="40" t="n">
        <v>0</v>
      </c>
    </row>
    <row r="2989" ht="12" customHeight="1">
      <c r="A2989" s="30" t="inlineStr">
        <is>
          <t>ITG</t>
        </is>
      </c>
      <c r="B2989" s="30" t="inlineStr">
        <is>
          <t>Itaguai</t>
        </is>
      </c>
      <c r="C2989" s="30" t="n">
        <v>12185286</v>
      </c>
      <c r="D2989" s="30">
        <f>"43144379000116"</f>
        <v/>
      </c>
      <c r="E2989" s="30" t="inlineStr">
        <is>
          <t>PEIXARIA EMP?RIO COSTA VERDE LTDA</t>
        </is>
      </c>
      <c r="F2989" s="30" t="inlineStr">
        <is>
          <t>2021</t>
        </is>
      </c>
      <c r="G2989" s="40" t="n">
        <v>0</v>
      </c>
    </row>
    <row r="2990" ht="12" customHeight="1">
      <c r="A2990" s="30" t="inlineStr">
        <is>
          <t>ITG</t>
        </is>
      </c>
      <c r="B2990" s="30" t="inlineStr">
        <is>
          <t>Itaguai</t>
        </is>
      </c>
      <c r="C2990" s="30" t="n">
        <v>12185286</v>
      </c>
      <c r="D2990" s="30">
        <f>"43144379000116"</f>
        <v/>
      </c>
      <c r="E2990" s="30" t="inlineStr">
        <is>
          <t>PEIXARIA EMP?RIO COSTA VERDE LTDA</t>
        </is>
      </c>
      <c r="F2990" s="30" t="inlineStr">
        <is>
          <t>2022</t>
        </is>
      </c>
      <c r="G2990" s="40" t="n">
        <v>0</v>
      </c>
    </row>
    <row r="2991" ht="12" customHeight="1">
      <c r="A2991" s="30" t="inlineStr">
        <is>
          <t>ITG</t>
        </is>
      </c>
      <c r="B2991" s="30" t="inlineStr">
        <is>
          <t>Itaguai</t>
        </is>
      </c>
      <c r="C2991" s="30" t="n">
        <v>12185286</v>
      </c>
      <c r="D2991" s="30">
        <f>"43144379000116"</f>
        <v/>
      </c>
      <c r="E2991" s="30" t="inlineStr">
        <is>
          <t>PEIXARIA EMP?RIO COSTA VERDE LTDA</t>
        </is>
      </c>
      <c r="F2991" s="30" t="inlineStr">
        <is>
          <t>2023</t>
        </is>
      </c>
      <c r="G2991" s="40" t="n">
        <v>0</v>
      </c>
    </row>
    <row r="2992" ht="12" customHeight="1">
      <c r="A2992" s="30" t="inlineStr">
        <is>
          <t>ITG</t>
        </is>
      </c>
      <c r="B2992" s="30" t="inlineStr">
        <is>
          <t>Itaguai</t>
        </is>
      </c>
      <c r="C2992" s="30" t="n">
        <v>12187238</v>
      </c>
      <c r="D2992" s="30">
        <f>"11361353002772"</f>
        <v/>
      </c>
      <c r="E2992" s="30" t="inlineStr">
        <is>
          <t>TRANSGUARD DO BRASIL REMOCAO E ACAUTELAMENTO DE VEICULOS E EMPRE</t>
        </is>
      </c>
      <c r="F2992" s="30" t="inlineStr">
        <is>
          <t>2019</t>
        </is>
      </c>
      <c r="G2992" s="40" t="n">
        <v>0</v>
      </c>
    </row>
    <row r="2993" ht="12" customHeight="1">
      <c r="A2993" s="30" t="inlineStr">
        <is>
          <t>ITG</t>
        </is>
      </c>
      <c r="B2993" s="30" t="inlineStr">
        <is>
          <t>Itaguai</t>
        </is>
      </c>
      <c r="C2993" s="30" t="n">
        <v>12187238</v>
      </c>
      <c r="D2993" s="30">
        <f>"11361353002772"</f>
        <v/>
      </c>
      <c r="E2993" s="30" t="inlineStr">
        <is>
          <t>TRANSGUARD DO BRASIL REMOCAO E ACAUTELAMENTO DE VEICULOS E EMPRE</t>
        </is>
      </c>
      <c r="F2993" s="30" t="inlineStr">
        <is>
          <t>2020</t>
        </is>
      </c>
      <c r="G2993" s="40" t="n">
        <v>0</v>
      </c>
    </row>
    <row r="2994" ht="12" customHeight="1">
      <c r="A2994" s="30" t="inlineStr">
        <is>
          <t>ITG</t>
        </is>
      </c>
      <c r="B2994" s="30" t="inlineStr">
        <is>
          <t>Itaguai</t>
        </is>
      </c>
      <c r="C2994" s="30" t="n">
        <v>12187238</v>
      </c>
      <c r="D2994" s="30">
        <f>"11361353002772"</f>
        <v/>
      </c>
      <c r="E2994" s="30" t="inlineStr">
        <is>
          <t>TRANSGUARD DO BRASIL REMOCAO E ACAUTELAMENTO DE VEICULOS E EMPRE</t>
        </is>
      </c>
      <c r="F2994" s="30" t="inlineStr">
        <is>
          <t>2021</t>
        </is>
      </c>
      <c r="G2994" s="40" t="n">
        <v>0</v>
      </c>
    </row>
    <row r="2995" ht="12" customHeight="1">
      <c r="A2995" s="30" t="inlineStr">
        <is>
          <t>ITG</t>
        </is>
      </c>
      <c r="B2995" s="30" t="inlineStr">
        <is>
          <t>Itaguai</t>
        </is>
      </c>
      <c r="C2995" s="30" t="n">
        <v>12187238</v>
      </c>
      <c r="D2995" s="30">
        <f>"11361353002772"</f>
        <v/>
      </c>
      <c r="E2995" s="30" t="inlineStr">
        <is>
          <t>TRANSGUARD DO BRASIL REMOCAO E ACAUTELAMENTO DE VEICULOS E EMPRE</t>
        </is>
      </c>
      <c r="F2995" s="30" t="inlineStr">
        <is>
          <t>2022</t>
        </is>
      </c>
      <c r="G2995" s="40" t="n">
        <v>0</v>
      </c>
    </row>
    <row r="2996" ht="12" customHeight="1">
      <c r="A2996" s="30" t="inlineStr">
        <is>
          <t>ITG</t>
        </is>
      </c>
      <c r="B2996" s="30" t="inlineStr">
        <is>
          <t>Itaguai</t>
        </is>
      </c>
      <c r="C2996" s="30" t="n">
        <v>12187238</v>
      </c>
      <c r="D2996" s="30">
        <f>"11361353002772"</f>
        <v/>
      </c>
      <c r="E2996" s="30" t="inlineStr">
        <is>
          <t>TRANSGUARD DO BRASIL REMOCAO E ACAUTELAMENTO DE VEICULOS E EMPRE</t>
        </is>
      </c>
      <c r="F2996" s="30" t="inlineStr">
        <is>
          <t>2023</t>
        </is>
      </c>
      <c r="G2996" s="40" t="n">
        <v>0</v>
      </c>
    </row>
    <row r="2997" ht="12" customHeight="1">
      <c r="A2997" s="30" t="inlineStr">
        <is>
          <t>ITG</t>
        </is>
      </c>
      <c r="B2997" s="30" t="inlineStr">
        <is>
          <t>Itaguai</t>
        </is>
      </c>
      <c r="C2997" s="30" t="n">
        <v>12188633</v>
      </c>
      <c r="D2997" s="30">
        <f>"38745428000306"</f>
        <v/>
      </c>
      <c r="E2997" s="30" t="inlineStr">
        <is>
          <t>CONSTRUTORA APICE LTDA</t>
        </is>
      </c>
      <c r="F2997" s="30" t="inlineStr">
        <is>
          <t>2020</t>
        </is>
      </c>
      <c r="G2997" s="40" t="n">
        <v>0</v>
      </c>
    </row>
    <row r="2998" ht="12" customHeight="1">
      <c r="A2998" s="30" t="inlineStr">
        <is>
          <t>ITG</t>
        </is>
      </c>
      <c r="B2998" s="30" t="inlineStr">
        <is>
          <t>Itaguai</t>
        </is>
      </c>
      <c r="C2998" s="30" t="n">
        <v>12188633</v>
      </c>
      <c r="D2998" s="30">
        <f>"38745428000306"</f>
        <v/>
      </c>
      <c r="E2998" s="30" t="inlineStr">
        <is>
          <t>CONSTRUTORA APICE LTDA</t>
        </is>
      </c>
      <c r="F2998" s="30" t="inlineStr">
        <is>
          <t>2021</t>
        </is>
      </c>
      <c r="G2998" s="40" t="n">
        <v>0</v>
      </c>
    </row>
    <row r="2999" ht="12" customHeight="1">
      <c r="A2999" s="30" t="inlineStr">
        <is>
          <t>ITG</t>
        </is>
      </c>
      <c r="B2999" s="30" t="inlineStr">
        <is>
          <t>Itaguai</t>
        </is>
      </c>
      <c r="C2999" s="30" t="n">
        <v>12188633</v>
      </c>
      <c r="D2999" s="30">
        <f>"38745428000306"</f>
        <v/>
      </c>
      <c r="E2999" s="30" t="inlineStr">
        <is>
          <t>CONSTRUTORA APICE LTDA</t>
        </is>
      </c>
      <c r="F2999" s="30" t="inlineStr">
        <is>
          <t>2022</t>
        </is>
      </c>
      <c r="G2999" s="40" t="n">
        <v>0</v>
      </c>
    </row>
    <row r="3000" ht="12" customHeight="1">
      <c r="A3000" s="30" t="inlineStr">
        <is>
          <t>ITG</t>
        </is>
      </c>
      <c r="B3000" s="30" t="inlineStr">
        <is>
          <t>Itaguai</t>
        </is>
      </c>
      <c r="C3000" s="30" t="n">
        <v>12188633</v>
      </c>
      <c r="D3000" s="30">
        <f>"38745428000306"</f>
        <v/>
      </c>
      <c r="E3000" s="30" t="inlineStr">
        <is>
          <t>CONSTRUTORA APICE LTDA</t>
        </is>
      </c>
      <c r="F3000" s="30" t="inlineStr">
        <is>
          <t>2023</t>
        </is>
      </c>
      <c r="G3000" s="40" t="n">
        <v>0</v>
      </c>
    </row>
    <row r="3001" ht="12" customHeight="1">
      <c r="A3001" s="30" t="inlineStr">
        <is>
          <t>ITG</t>
        </is>
      </c>
      <c r="B3001" s="30" t="inlineStr">
        <is>
          <t>Itaguai</t>
        </is>
      </c>
      <c r="C3001" s="30" t="n">
        <v>12191758</v>
      </c>
      <c r="D3001" s="30">
        <f>"44914992004982"</f>
        <v/>
      </c>
      <c r="E3001" s="30" t="inlineStr">
        <is>
          <t>RODONAVES TRANSPORTES E ENCOMENDAS LTDA</t>
        </is>
      </c>
      <c r="F3001" s="30" t="inlineStr">
        <is>
          <t>2019</t>
        </is>
      </c>
      <c r="G3001" s="40" t="n">
        <v>0</v>
      </c>
    </row>
    <row r="3002" ht="12" customHeight="1">
      <c r="A3002" s="30" t="inlineStr">
        <is>
          <t>ITG</t>
        </is>
      </c>
      <c r="B3002" s="30" t="inlineStr">
        <is>
          <t>Itaguai</t>
        </is>
      </c>
      <c r="C3002" s="30" t="n">
        <v>12191758</v>
      </c>
      <c r="D3002" s="30">
        <f>"44914992004982"</f>
        <v/>
      </c>
      <c r="E3002" s="30" t="inlineStr">
        <is>
          <t>RODONAVES TRANSPORTES E ENCOMENDAS LTDA</t>
        </is>
      </c>
      <c r="F3002" s="30" t="inlineStr">
        <is>
          <t>2020</t>
        </is>
      </c>
      <c r="G3002" s="40" t="n">
        <v>0</v>
      </c>
    </row>
    <row r="3003" ht="12" customHeight="1">
      <c r="A3003" s="30" t="inlineStr">
        <is>
          <t>ITG</t>
        </is>
      </c>
      <c r="B3003" s="30" t="inlineStr">
        <is>
          <t>Itaguai</t>
        </is>
      </c>
      <c r="C3003" s="30" t="n">
        <v>12191758</v>
      </c>
      <c r="D3003" s="30">
        <f>"44914992004982"</f>
        <v/>
      </c>
      <c r="E3003" s="30" t="inlineStr">
        <is>
          <t>RODONAVES TRANSPORTES E ENCOMENDAS LTDA</t>
        </is>
      </c>
      <c r="F3003" s="30" t="inlineStr">
        <is>
          <t>2021</t>
        </is>
      </c>
      <c r="G3003" s="40" t="n">
        <v>2310.5</v>
      </c>
    </row>
    <row r="3004" ht="12" customHeight="1">
      <c r="A3004" s="30" t="inlineStr">
        <is>
          <t>ITG</t>
        </is>
      </c>
      <c r="B3004" s="30" t="inlineStr">
        <is>
          <t>Itaguai</t>
        </is>
      </c>
      <c r="C3004" s="30" t="n">
        <v>12191758</v>
      </c>
      <c r="D3004" s="30">
        <f>"44914992004982"</f>
        <v/>
      </c>
      <c r="E3004" s="30" t="inlineStr">
        <is>
          <t>RODONAVES TRANSPORTES E ENCOMENDAS LTDA</t>
        </is>
      </c>
      <c r="F3004" s="30" t="inlineStr">
        <is>
          <t>2022</t>
        </is>
      </c>
      <c r="G3004" s="40" t="n">
        <v>2276.25</v>
      </c>
    </row>
    <row r="3005" ht="12" customHeight="1">
      <c r="A3005" s="30" t="inlineStr">
        <is>
          <t>ITG</t>
        </is>
      </c>
      <c r="B3005" s="30" t="inlineStr">
        <is>
          <t>Itaguai</t>
        </is>
      </c>
      <c r="C3005" s="30" t="n">
        <v>12191758</v>
      </c>
      <c r="D3005" s="30">
        <f>"44914992004982"</f>
        <v/>
      </c>
      <c r="E3005" s="30" t="inlineStr">
        <is>
          <t>RODONAVES TRANSPORTES E ENCOMENDAS LTDA</t>
        </is>
      </c>
      <c r="F3005" s="30" t="inlineStr">
        <is>
          <t>2023</t>
        </is>
      </c>
      <c r="G3005" s="40" t="n">
        <v>0</v>
      </c>
    </row>
    <row r="3006" ht="12" customHeight="1">
      <c r="A3006" s="30" t="inlineStr">
        <is>
          <t>ITG</t>
        </is>
      </c>
      <c r="B3006" s="30" t="inlineStr">
        <is>
          <t>Itaguai</t>
        </is>
      </c>
      <c r="C3006" s="30" t="n">
        <v>12203535</v>
      </c>
      <c r="D3006" s="30">
        <f>"02789552001128"</f>
        <v/>
      </c>
      <c r="E3006" s="30" t="inlineStr">
        <is>
          <t>LIDER VEICULOS S. A.</t>
        </is>
      </c>
      <c r="F3006" s="30" t="inlineStr">
        <is>
          <t>2019</t>
        </is>
      </c>
      <c r="G3006" s="40" t="n">
        <v>0</v>
      </c>
    </row>
    <row r="3007" ht="12" customHeight="1">
      <c r="A3007" s="30" t="inlineStr">
        <is>
          <t>ITG</t>
        </is>
      </c>
      <c r="B3007" s="30" t="inlineStr">
        <is>
          <t>Itaguai</t>
        </is>
      </c>
      <c r="C3007" s="30" t="n">
        <v>12203535</v>
      </c>
      <c r="D3007" s="30">
        <f>"02789552001128"</f>
        <v/>
      </c>
      <c r="E3007" s="30" t="inlineStr">
        <is>
          <t>LIDER VEICULOS S. A.</t>
        </is>
      </c>
      <c r="F3007" s="30" t="inlineStr">
        <is>
          <t>2020</t>
        </is>
      </c>
      <c r="G3007" s="40" t="n">
        <v>0</v>
      </c>
    </row>
    <row r="3008" ht="12" customHeight="1">
      <c r="A3008" s="30" t="inlineStr">
        <is>
          <t>ITG</t>
        </is>
      </c>
      <c r="B3008" s="30" t="inlineStr">
        <is>
          <t>Itaguai</t>
        </is>
      </c>
      <c r="C3008" s="30" t="n">
        <v>12203535</v>
      </c>
      <c r="D3008" s="30">
        <f>"02789552001128"</f>
        <v/>
      </c>
      <c r="E3008" s="30" t="inlineStr">
        <is>
          <t>LIDER VEICULOS S. A.</t>
        </is>
      </c>
      <c r="F3008" s="30" t="inlineStr">
        <is>
          <t>2021</t>
        </is>
      </c>
      <c r="G3008" s="40" t="n">
        <v>115896.83</v>
      </c>
    </row>
    <row r="3009" ht="12" customHeight="1">
      <c r="A3009" s="30" t="inlineStr">
        <is>
          <t>ITG</t>
        </is>
      </c>
      <c r="B3009" s="30" t="inlineStr">
        <is>
          <t>Itaguai</t>
        </is>
      </c>
      <c r="C3009" s="30" t="n">
        <v>12203535</v>
      </c>
      <c r="D3009" s="30">
        <f>"02789552001128"</f>
        <v/>
      </c>
      <c r="E3009" s="30" t="inlineStr">
        <is>
          <t>LIDER VEICULOS S. A.</t>
        </is>
      </c>
      <c r="F3009" s="30" t="inlineStr">
        <is>
          <t>2022</t>
        </is>
      </c>
      <c r="G3009" s="40" t="n">
        <v>1377042.6</v>
      </c>
    </row>
    <row r="3010" ht="12" customHeight="1">
      <c r="A3010" s="30" t="inlineStr">
        <is>
          <t>ITG</t>
        </is>
      </c>
      <c r="B3010" s="30" t="inlineStr">
        <is>
          <t>Itaguai</t>
        </is>
      </c>
      <c r="C3010" s="30" t="n">
        <v>12203535</v>
      </c>
      <c r="D3010" s="30">
        <f>"02789552001128"</f>
        <v/>
      </c>
      <c r="E3010" s="30" t="inlineStr">
        <is>
          <t>LIDER VEICULOS S. A.</t>
        </is>
      </c>
      <c r="F3010" s="30" t="inlineStr">
        <is>
          <t>2023</t>
        </is>
      </c>
      <c r="G3010" s="40" t="n">
        <v>1110711.57</v>
      </c>
    </row>
    <row r="3011" ht="12" customHeight="1">
      <c r="A3011" s="30" t="inlineStr">
        <is>
          <t>ITG</t>
        </is>
      </c>
      <c r="B3011" s="30" t="inlineStr">
        <is>
          <t>Itaguai</t>
        </is>
      </c>
      <c r="C3011" s="30" t="n">
        <v>12206020</v>
      </c>
      <c r="D3011" s="30">
        <f>"43384966000182"</f>
        <v/>
      </c>
      <c r="E3011" s="30" t="inlineStr">
        <is>
          <t>ANDR?IA PROEN?A QUINTANILHA SAL?O DE BELEZA E COM?RCIO DE COSM?S</t>
        </is>
      </c>
      <c r="F3011" s="30" t="inlineStr">
        <is>
          <t>2019</t>
        </is>
      </c>
      <c r="G3011" s="40" t="n">
        <v>0</v>
      </c>
    </row>
    <row r="3012" ht="12" customHeight="1">
      <c r="A3012" s="30" t="inlineStr">
        <is>
          <t>ITG</t>
        </is>
      </c>
      <c r="B3012" s="30" t="inlineStr">
        <is>
          <t>Itaguai</t>
        </is>
      </c>
      <c r="C3012" s="30" t="n">
        <v>12206020</v>
      </c>
      <c r="D3012" s="30">
        <f>"43384966000182"</f>
        <v/>
      </c>
      <c r="E3012" s="30" t="inlineStr">
        <is>
          <t>ANDR?IA PROEN?A QUINTANILHA SAL?O DE BELEZA E COM?RCIO DE COSM?S</t>
        </is>
      </c>
      <c r="F3012" s="30" t="inlineStr">
        <is>
          <t>2020</t>
        </is>
      </c>
      <c r="G3012" s="40" t="n">
        <v>0</v>
      </c>
    </row>
    <row r="3013" ht="12" customHeight="1">
      <c r="A3013" s="30" t="inlineStr">
        <is>
          <t>ITG</t>
        </is>
      </c>
      <c r="B3013" s="30" t="inlineStr">
        <is>
          <t>Itaguai</t>
        </is>
      </c>
      <c r="C3013" s="30" t="n">
        <v>12206020</v>
      </c>
      <c r="D3013" s="30">
        <f>"43384966000182"</f>
        <v/>
      </c>
      <c r="E3013" s="30" t="inlineStr">
        <is>
          <t>ANDR?IA PROEN?A QUINTANILHA SAL?O DE BELEZA E COM?RCIO DE COSM?S</t>
        </is>
      </c>
      <c r="F3013" s="30" t="inlineStr">
        <is>
          <t>2021</t>
        </is>
      </c>
      <c r="G3013" s="40" t="n">
        <v>0</v>
      </c>
    </row>
    <row r="3014" ht="12" customHeight="1">
      <c r="A3014" s="30" t="inlineStr">
        <is>
          <t>ITG</t>
        </is>
      </c>
      <c r="B3014" s="30" t="inlineStr">
        <is>
          <t>Itaguai</t>
        </is>
      </c>
      <c r="C3014" s="30" t="n">
        <v>12206020</v>
      </c>
      <c r="D3014" s="30">
        <f>"43384966000182"</f>
        <v/>
      </c>
      <c r="E3014" s="30" t="inlineStr">
        <is>
          <t>ANDR?IA PROEN?A QUINTANILHA SAL?O DE BELEZA E COM?RCIO DE COSM?S</t>
        </is>
      </c>
      <c r="F3014" s="30" t="inlineStr">
        <is>
          <t>2022</t>
        </is>
      </c>
      <c r="G3014" s="40" t="n">
        <v>0</v>
      </c>
    </row>
    <row r="3015" ht="12" customHeight="1">
      <c r="A3015" s="30" t="inlineStr">
        <is>
          <t>ITG</t>
        </is>
      </c>
      <c r="B3015" s="30" t="inlineStr">
        <is>
          <t>Itaguai</t>
        </is>
      </c>
      <c r="C3015" s="30" t="n">
        <v>12206020</v>
      </c>
      <c r="D3015" s="30">
        <f>"43384966000182"</f>
        <v/>
      </c>
      <c r="E3015" s="30" t="inlineStr">
        <is>
          <t>ANDR?IA PROEN?A QUINTANILHA SAL?O DE BELEZA E COM?RCIO DE COSM?S</t>
        </is>
      </c>
      <c r="F3015" s="30" t="inlineStr">
        <is>
          <t>2023</t>
        </is>
      </c>
      <c r="G3015" s="40" t="n">
        <v>0</v>
      </c>
    </row>
    <row r="3016" ht="12" customHeight="1">
      <c r="A3016" s="30" t="inlineStr">
        <is>
          <t>ITG</t>
        </is>
      </c>
      <c r="B3016" s="30" t="inlineStr">
        <is>
          <t>Itaguai</t>
        </is>
      </c>
      <c r="C3016" s="30" t="n">
        <v>12210841</v>
      </c>
      <c r="D3016" s="30">
        <f>"13272177000865"</f>
        <v/>
      </c>
      <c r="E3016" s="30" t="inlineStr">
        <is>
          <t>GLOVIS BRASIL LOGISTICA LTDA</t>
        </is>
      </c>
      <c r="F3016" s="30" t="inlineStr">
        <is>
          <t>2021</t>
        </is>
      </c>
      <c r="G3016" s="40" t="n">
        <v>0</v>
      </c>
    </row>
    <row r="3017" ht="12" customHeight="1">
      <c r="A3017" s="30" t="inlineStr">
        <is>
          <t>ITG</t>
        </is>
      </c>
      <c r="B3017" s="30" t="inlineStr">
        <is>
          <t>Itaguai</t>
        </is>
      </c>
      <c r="C3017" s="30" t="n">
        <v>12210841</v>
      </c>
      <c r="D3017" s="30">
        <f>"13272177000865"</f>
        <v/>
      </c>
      <c r="E3017" s="30" t="inlineStr">
        <is>
          <t>GLOVIS BRASIL LOGISTICA LTDA</t>
        </is>
      </c>
      <c r="F3017" s="30" t="inlineStr">
        <is>
          <t>2022</t>
        </is>
      </c>
      <c r="G3017" s="40" t="n">
        <v>0</v>
      </c>
    </row>
    <row r="3018" ht="12" customHeight="1">
      <c r="A3018" s="30" t="inlineStr">
        <is>
          <t>ITG</t>
        </is>
      </c>
      <c r="B3018" s="30" t="inlineStr">
        <is>
          <t>Itaguai</t>
        </is>
      </c>
      <c r="C3018" s="30" t="n">
        <v>12210841</v>
      </c>
      <c r="D3018" s="30">
        <f>"13272177000865"</f>
        <v/>
      </c>
      <c r="E3018" s="30" t="inlineStr">
        <is>
          <t>GLOVIS BRASIL LOGISTICA LTDA</t>
        </is>
      </c>
      <c r="F3018" s="30" t="inlineStr">
        <is>
          <t>2023</t>
        </is>
      </c>
      <c r="G3018" s="40" t="n">
        <v>52394.68</v>
      </c>
    </row>
    <row r="3019" ht="12" customHeight="1">
      <c r="A3019" s="30" t="inlineStr">
        <is>
          <t>ITG</t>
        </is>
      </c>
      <c r="B3019" s="30" t="inlineStr">
        <is>
          <t>Itaguai</t>
        </is>
      </c>
      <c r="C3019" s="30" t="n">
        <v>12221592</v>
      </c>
      <c r="D3019" s="30">
        <f>"00011087089786"</f>
        <v/>
      </c>
      <c r="E3019" s="30" t="inlineStr">
        <is>
          <t>EDEMILSON RABELO DE OLIVEIRA</t>
        </is>
      </c>
      <c r="F3019" s="30" t="inlineStr">
        <is>
          <t>2019</t>
        </is>
      </c>
      <c r="G3019" s="40" t="n">
        <v>0</v>
      </c>
    </row>
    <row r="3020" ht="12" customHeight="1">
      <c r="A3020" s="30" t="inlineStr">
        <is>
          <t>ITG</t>
        </is>
      </c>
      <c r="B3020" s="30" t="inlineStr">
        <is>
          <t>Itaguai</t>
        </is>
      </c>
      <c r="C3020" s="30" t="n">
        <v>12221592</v>
      </c>
      <c r="D3020" s="30">
        <f>"00011087089786"</f>
        <v/>
      </c>
      <c r="E3020" s="30" t="inlineStr">
        <is>
          <t>EDEMILSON RABELO DE OLIVEIRA</t>
        </is>
      </c>
      <c r="F3020" s="30" t="inlineStr">
        <is>
          <t>2020</t>
        </is>
      </c>
      <c r="G3020" s="40" t="n">
        <v>0</v>
      </c>
    </row>
    <row r="3021" ht="12" customHeight="1">
      <c r="A3021" s="30" t="inlineStr">
        <is>
          <t>ITG</t>
        </is>
      </c>
      <c r="B3021" s="30" t="inlineStr">
        <is>
          <t>Itaguai</t>
        </is>
      </c>
      <c r="C3021" s="30" t="n">
        <v>12221592</v>
      </c>
      <c r="D3021" s="30">
        <f>"00011087089786"</f>
        <v/>
      </c>
      <c r="E3021" s="30" t="inlineStr">
        <is>
          <t>EDEMILSON RABELO DE OLIVEIRA</t>
        </is>
      </c>
      <c r="F3021" s="30" t="inlineStr">
        <is>
          <t>2021</t>
        </is>
      </c>
      <c r="G3021" s="40" t="n">
        <v>1</v>
      </c>
    </row>
    <row r="3022" ht="12" customHeight="1">
      <c r="A3022" s="30" t="inlineStr">
        <is>
          <t>ITG</t>
        </is>
      </c>
      <c r="B3022" s="30" t="inlineStr">
        <is>
          <t>Itaguai</t>
        </is>
      </c>
      <c r="C3022" s="30" t="n">
        <v>12221592</v>
      </c>
      <c r="D3022" s="30">
        <f>"00011087089786"</f>
        <v/>
      </c>
      <c r="E3022" s="30" t="inlineStr">
        <is>
          <t>EDEMILSON RABELO DE OLIVEIRA</t>
        </is>
      </c>
      <c r="F3022" s="30" t="inlineStr">
        <is>
          <t>2022</t>
        </is>
      </c>
      <c r="G3022" s="40" t="n">
        <v>0</v>
      </c>
    </row>
    <row r="3023" ht="12" customHeight="1">
      <c r="A3023" s="30" t="inlineStr">
        <is>
          <t>ITG</t>
        </is>
      </c>
      <c r="B3023" s="30" t="inlineStr">
        <is>
          <t>Itaguai</t>
        </is>
      </c>
      <c r="C3023" s="30" t="n">
        <v>12221592</v>
      </c>
      <c r="D3023" s="30">
        <f>"00011087089786"</f>
        <v/>
      </c>
      <c r="E3023" s="30" t="inlineStr">
        <is>
          <t>EDEMILSON RABELO DE OLIVEIRA</t>
        </is>
      </c>
      <c r="F3023" s="30" t="inlineStr">
        <is>
          <t>2023</t>
        </is>
      </c>
      <c r="G3023" s="40" t="n">
        <v>0</v>
      </c>
    </row>
    <row r="3024" ht="12" customHeight="1">
      <c r="A3024" s="30" t="inlineStr">
        <is>
          <t>ITG</t>
        </is>
      </c>
      <c r="B3024" s="30" t="inlineStr">
        <is>
          <t>Itaguai</t>
        </is>
      </c>
      <c r="C3024" s="30" t="n">
        <v>12225091</v>
      </c>
      <c r="D3024" s="30">
        <f>"13623957000489"</f>
        <v/>
      </c>
      <c r="E3024" s="30" t="inlineStr">
        <is>
          <t>CBSI COMPANHIA BRASILEIRA DE SERVICOS DE INFRAESTRUTURA</t>
        </is>
      </c>
      <c r="F3024" s="30" t="inlineStr">
        <is>
          <t>2019</t>
        </is>
      </c>
      <c r="G3024" s="40" t="n">
        <v>0</v>
      </c>
    </row>
    <row r="3025" ht="12" customHeight="1">
      <c r="A3025" s="30" t="inlineStr">
        <is>
          <t>ITG</t>
        </is>
      </c>
      <c r="B3025" s="30" t="inlineStr">
        <is>
          <t>Itaguai</t>
        </is>
      </c>
      <c r="C3025" s="30" t="n">
        <v>12225091</v>
      </c>
      <c r="D3025" s="30">
        <f>"13623957000489"</f>
        <v/>
      </c>
      <c r="E3025" s="30" t="inlineStr">
        <is>
          <t>CBSI COMPANHIA BRASILEIRA DE SERVICOS DE INFRAESTRUTURA</t>
        </is>
      </c>
      <c r="F3025" s="30" t="inlineStr">
        <is>
          <t>2020</t>
        </is>
      </c>
      <c r="G3025" s="40" t="n">
        <v>0</v>
      </c>
    </row>
    <row r="3026" ht="12" customHeight="1">
      <c r="A3026" s="30" t="inlineStr">
        <is>
          <t>ITG</t>
        </is>
      </c>
      <c r="B3026" s="30" t="inlineStr">
        <is>
          <t>Itaguai</t>
        </is>
      </c>
      <c r="C3026" s="30" t="n">
        <v>12225091</v>
      </c>
      <c r="D3026" s="30">
        <f>"13623957000489"</f>
        <v/>
      </c>
      <c r="E3026" s="30" t="inlineStr">
        <is>
          <t>CBSI COMPANHIA BRASILEIRA DE SERVICOS DE INFRAESTRUTURA</t>
        </is>
      </c>
      <c r="F3026" s="30" t="inlineStr">
        <is>
          <t>2021</t>
        </is>
      </c>
      <c r="G3026" s="40" t="n">
        <v>0</v>
      </c>
    </row>
    <row r="3027" ht="12" customHeight="1">
      <c r="A3027" s="30" t="inlineStr">
        <is>
          <t>ITG</t>
        </is>
      </c>
      <c r="B3027" s="30" t="inlineStr">
        <is>
          <t>Itaguai</t>
        </is>
      </c>
      <c r="C3027" s="30" t="n">
        <v>12225091</v>
      </c>
      <c r="D3027" s="30">
        <f>"13623957000489"</f>
        <v/>
      </c>
      <c r="E3027" s="30" t="inlineStr">
        <is>
          <t>CBSI COMPANHIA BRASILEIRA DE SERVICOS DE INFRAESTRUTURA</t>
        </is>
      </c>
      <c r="F3027" s="30" t="inlineStr">
        <is>
          <t>2022</t>
        </is>
      </c>
      <c r="G3027" s="40" t="n">
        <v>0</v>
      </c>
    </row>
    <row r="3028" ht="12" customHeight="1">
      <c r="A3028" s="30" t="inlineStr">
        <is>
          <t>ITG</t>
        </is>
      </c>
      <c r="B3028" s="30" t="inlineStr">
        <is>
          <t>Itaguai</t>
        </is>
      </c>
      <c r="C3028" s="30" t="n">
        <v>12225091</v>
      </c>
      <c r="D3028" s="30">
        <f>"13623957000489"</f>
        <v/>
      </c>
      <c r="E3028" s="30" t="inlineStr">
        <is>
          <t>CBSI COMPANHIA BRASILEIRA DE SERVICOS DE INFRAESTRUTURA</t>
        </is>
      </c>
      <c r="F3028" s="30" t="inlineStr">
        <is>
          <t>2023</t>
        </is>
      </c>
      <c r="G3028" s="40" t="n">
        <v>0</v>
      </c>
    </row>
    <row r="3029" ht="12" customHeight="1">
      <c r="A3029" s="30" t="inlineStr">
        <is>
          <t>ITG</t>
        </is>
      </c>
      <c r="B3029" s="30" t="inlineStr">
        <is>
          <t>Itaguai</t>
        </is>
      </c>
      <c r="C3029" s="30" t="n">
        <v>12225822</v>
      </c>
      <c r="D3029" s="30">
        <f>"79458584002228"</f>
        <v/>
      </c>
      <c r="E3029" s="30" t="inlineStr">
        <is>
          <t>EXPRESSO ADORNO LTDA</t>
        </is>
      </c>
      <c r="F3029" s="30" t="inlineStr">
        <is>
          <t>2019</t>
        </is>
      </c>
      <c r="G3029" s="40" t="n">
        <v>0</v>
      </c>
    </row>
    <row r="3030" ht="12" customHeight="1">
      <c r="A3030" s="30" t="inlineStr">
        <is>
          <t>ITG</t>
        </is>
      </c>
      <c r="B3030" s="30" t="inlineStr">
        <is>
          <t>Itaguai</t>
        </is>
      </c>
      <c r="C3030" s="30" t="n">
        <v>12225822</v>
      </c>
      <c r="D3030" s="30">
        <f>"79458584002228"</f>
        <v/>
      </c>
      <c r="E3030" s="30" t="inlineStr">
        <is>
          <t>EXPRESSO ADORNO LTDA</t>
        </is>
      </c>
      <c r="F3030" s="30" t="inlineStr">
        <is>
          <t>2020</t>
        </is>
      </c>
      <c r="G3030" s="40" t="n">
        <v>0</v>
      </c>
    </row>
    <row r="3031" ht="12" customHeight="1">
      <c r="A3031" s="30" t="inlineStr">
        <is>
          <t>ITG</t>
        </is>
      </c>
      <c r="B3031" s="30" t="inlineStr">
        <is>
          <t>Itaguai</t>
        </is>
      </c>
      <c r="C3031" s="30" t="n">
        <v>12225822</v>
      </c>
      <c r="D3031" s="30">
        <f>"79458584002228"</f>
        <v/>
      </c>
      <c r="E3031" s="30" t="inlineStr">
        <is>
          <t>EXPRESSO ADORNO LTDA</t>
        </is>
      </c>
      <c r="F3031" s="30" t="inlineStr">
        <is>
          <t>2021</t>
        </is>
      </c>
      <c r="G3031" s="40" t="n">
        <v>59349.9</v>
      </c>
    </row>
    <row r="3032" ht="12" customHeight="1">
      <c r="A3032" s="30" t="inlineStr">
        <is>
          <t>ITG</t>
        </is>
      </c>
      <c r="B3032" s="30" t="inlineStr">
        <is>
          <t>Itaguai</t>
        </is>
      </c>
      <c r="C3032" s="30" t="n">
        <v>12225822</v>
      </c>
      <c r="D3032" s="30">
        <f>"79458584002228"</f>
        <v/>
      </c>
      <c r="E3032" s="30" t="inlineStr">
        <is>
          <t>EXPRESSO ADORNO LTDA</t>
        </is>
      </c>
      <c r="F3032" s="30" t="inlineStr">
        <is>
          <t>2022</t>
        </is>
      </c>
      <c r="G3032" s="40" t="n">
        <v>0</v>
      </c>
    </row>
    <row r="3033" ht="12" customHeight="1">
      <c r="A3033" s="30" t="inlineStr">
        <is>
          <t>ITG</t>
        </is>
      </c>
      <c r="B3033" s="30" t="inlineStr">
        <is>
          <t>Itaguai</t>
        </is>
      </c>
      <c r="C3033" s="30" t="n">
        <v>12225822</v>
      </c>
      <c r="D3033" s="30">
        <f>"79458584002228"</f>
        <v/>
      </c>
      <c r="E3033" s="30" t="inlineStr">
        <is>
          <t>EXPRESSO ADORNO LTDA</t>
        </is>
      </c>
      <c r="F3033" s="30" t="inlineStr">
        <is>
          <t>2023</t>
        </is>
      </c>
      <c r="G3033" s="40" t="n">
        <v>0</v>
      </c>
    </row>
    <row r="3034" ht="12" customHeight="1">
      <c r="A3034" s="30" t="inlineStr">
        <is>
          <t>ITG</t>
        </is>
      </c>
      <c r="B3034" s="30" t="inlineStr">
        <is>
          <t>Itaguai</t>
        </is>
      </c>
      <c r="C3034" s="30" t="n">
        <v>12250843</v>
      </c>
      <c r="D3034" s="30">
        <f>"33873846000195"</f>
        <v/>
      </c>
      <c r="E3034" s="30" t="inlineStr">
        <is>
          <t>ABA SERVICOS E LOGISTICA LTDA</t>
        </is>
      </c>
      <c r="F3034" s="30" t="inlineStr">
        <is>
          <t>2021</t>
        </is>
      </c>
      <c r="G3034" s="40" t="n">
        <v>0</v>
      </c>
    </row>
    <row r="3035" ht="12" customHeight="1">
      <c r="A3035" s="30" t="inlineStr">
        <is>
          <t>ITG</t>
        </is>
      </c>
      <c r="B3035" s="30" t="inlineStr">
        <is>
          <t>Itaguai</t>
        </is>
      </c>
      <c r="C3035" s="30" t="n">
        <v>12250843</v>
      </c>
      <c r="D3035" s="30">
        <f>"33873846000195"</f>
        <v/>
      </c>
      <c r="E3035" s="30" t="inlineStr">
        <is>
          <t>ABA SERVICOS E LOGISTICA LTDA</t>
        </is>
      </c>
      <c r="F3035" s="30" t="inlineStr">
        <is>
          <t>2022</t>
        </is>
      </c>
      <c r="G3035" s="40" t="n">
        <v>0</v>
      </c>
    </row>
    <row r="3036" ht="12" customHeight="1">
      <c r="A3036" s="30" t="inlineStr">
        <is>
          <t>ITG</t>
        </is>
      </c>
      <c r="B3036" s="30" t="inlineStr">
        <is>
          <t>Itaguai</t>
        </is>
      </c>
      <c r="C3036" s="30" t="n">
        <v>12250843</v>
      </c>
      <c r="D3036" s="30">
        <f>"33873846000195"</f>
        <v/>
      </c>
      <c r="E3036" s="30" t="inlineStr">
        <is>
          <t>ABA SERVICOS E LOGISTICA LTDA</t>
        </is>
      </c>
      <c r="F3036" s="30" t="inlineStr">
        <is>
          <t>2023</t>
        </is>
      </c>
      <c r="G3036" s="40" t="n">
        <v>5865697.13</v>
      </c>
    </row>
    <row r="3037" ht="12" customHeight="1">
      <c r="A3037" s="30" t="inlineStr">
        <is>
          <t>ITG</t>
        </is>
      </c>
      <c r="B3037" s="30" t="inlineStr">
        <is>
          <t>Itaguai</t>
        </is>
      </c>
      <c r="C3037" s="30" t="n">
        <v>12277270</v>
      </c>
      <c r="D3037" s="30">
        <f>"00003018002784"</f>
        <v/>
      </c>
      <c r="E3037" s="30" t="inlineStr">
        <is>
          <t>SATIE TAKEMURA TAKAMINE</t>
        </is>
      </c>
      <c r="F3037" s="30" t="inlineStr">
        <is>
          <t>2019</t>
        </is>
      </c>
      <c r="G3037" s="40" t="n">
        <v>0</v>
      </c>
    </row>
    <row r="3038" ht="12" customHeight="1">
      <c r="A3038" s="30" t="inlineStr">
        <is>
          <t>ITG</t>
        </is>
      </c>
      <c r="B3038" s="30" t="inlineStr">
        <is>
          <t>Itaguai</t>
        </is>
      </c>
      <c r="C3038" s="30" t="n">
        <v>12277270</v>
      </c>
      <c r="D3038" s="30">
        <f>"00003018002784"</f>
        <v/>
      </c>
      <c r="E3038" s="30" t="inlineStr">
        <is>
          <t>SATIE TAKEMURA TAKAMINE</t>
        </is>
      </c>
      <c r="F3038" s="30" t="inlineStr">
        <is>
          <t>2020</t>
        </is>
      </c>
      <c r="G3038" s="40" t="n">
        <v>0</v>
      </c>
    </row>
    <row r="3039" ht="12" customHeight="1">
      <c r="A3039" s="30" t="inlineStr">
        <is>
          <t>ITG</t>
        </is>
      </c>
      <c r="B3039" s="30" t="inlineStr">
        <is>
          <t>Itaguai</t>
        </is>
      </c>
      <c r="C3039" s="30" t="n">
        <v>12277270</v>
      </c>
      <c r="D3039" s="30">
        <f>"00003018002784"</f>
        <v/>
      </c>
      <c r="E3039" s="30" t="inlineStr">
        <is>
          <t>SATIE TAKEMURA TAKAMINE</t>
        </is>
      </c>
      <c r="F3039" s="30" t="inlineStr">
        <is>
          <t>2021</t>
        </is>
      </c>
      <c r="G3039" s="40" t="n">
        <v>955.6</v>
      </c>
    </row>
    <row r="3040" ht="12" customHeight="1">
      <c r="A3040" s="30" t="inlineStr">
        <is>
          <t>ITG</t>
        </is>
      </c>
      <c r="B3040" s="30" t="inlineStr">
        <is>
          <t>Itaguai</t>
        </is>
      </c>
      <c r="C3040" s="30" t="n">
        <v>12277270</v>
      </c>
      <c r="D3040" s="30">
        <f>"00003018002784"</f>
        <v/>
      </c>
      <c r="E3040" s="30" t="inlineStr">
        <is>
          <t>SATIE TAKEMURA TAKAMINE</t>
        </is>
      </c>
      <c r="F3040" s="30" t="inlineStr">
        <is>
          <t>2022</t>
        </is>
      </c>
      <c r="G3040" s="40" t="n">
        <v>13395</v>
      </c>
    </row>
    <row r="3041" ht="12" customHeight="1">
      <c r="A3041" s="30" t="inlineStr">
        <is>
          <t>ITG</t>
        </is>
      </c>
      <c r="B3041" s="30" t="inlineStr">
        <is>
          <t>Itaguai</t>
        </is>
      </c>
      <c r="C3041" s="30" t="n">
        <v>12277270</v>
      </c>
      <c r="D3041" s="30">
        <f>"00003018002784"</f>
        <v/>
      </c>
      <c r="E3041" s="30" t="inlineStr">
        <is>
          <t>SATIE TAKEMURA TAKAMINE</t>
        </is>
      </c>
      <c r="F3041" s="30" t="inlineStr">
        <is>
          <t>2023</t>
        </is>
      </c>
      <c r="G3041" s="40" t="n">
        <v>14055.7</v>
      </c>
    </row>
    <row r="3042" ht="12" customHeight="1">
      <c r="A3042" s="30" t="inlineStr">
        <is>
          <t>ITG</t>
        </is>
      </c>
      <c r="B3042" s="30" t="inlineStr">
        <is>
          <t>Itaguai</t>
        </is>
      </c>
      <c r="C3042" s="30" t="n">
        <v>12291051</v>
      </c>
      <c r="D3042" s="30">
        <f>"11807198000640"</f>
        <v/>
      </c>
      <c r="E3042" s="30" t="inlineStr">
        <is>
          <t>LFG DO BRASIL LTDA</t>
        </is>
      </c>
      <c r="F3042" s="30" t="inlineStr">
        <is>
          <t>2020</t>
        </is>
      </c>
      <c r="G3042" s="40" t="n">
        <v>0</v>
      </c>
    </row>
    <row r="3043" ht="12" customHeight="1">
      <c r="A3043" s="30" t="inlineStr">
        <is>
          <t>ITG</t>
        </is>
      </c>
      <c r="B3043" s="30" t="inlineStr">
        <is>
          <t>Itaguai</t>
        </is>
      </c>
      <c r="C3043" s="30" t="n">
        <v>12291051</v>
      </c>
      <c r="D3043" s="30">
        <f>"11807198000640"</f>
        <v/>
      </c>
      <c r="E3043" s="30" t="inlineStr">
        <is>
          <t>LFG DO BRASIL LTDA</t>
        </is>
      </c>
      <c r="F3043" s="30" t="inlineStr">
        <is>
          <t>2021</t>
        </is>
      </c>
      <c r="G3043" s="40" t="n">
        <v>0</v>
      </c>
    </row>
    <row r="3044" ht="12" customHeight="1">
      <c r="A3044" s="30" t="inlineStr">
        <is>
          <t>ITG</t>
        </is>
      </c>
      <c r="B3044" s="30" t="inlineStr">
        <is>
          <t>Itaguai</t>
        </is>
      </c>
      <c r="C3044" s="30" t="n">
        <v>12291051</v>
      </c>
      <c r="D3044" s="30">
        <f>"11807198000640"</f>
        <v/>
      </c>
      <c r="E3044" s="30" t="inlineStr">
        <is>
          <t>LFG DO BRASIL LTDA</t>
        </is>
      </c>
      <c r="F3044" s="30" t="inlineStr">
        <is>
          <t>2022</t>
        </is>
      </c>
      <c r="G3044" s="40" t="n">
        <v>230.22</v>
      </c>
    </row>
    <row r="3045" ht="12" customHeight="1">
      <c r="A3045" s="30" t="inlineStr">
        <is>
          <t>ITG</t>
        </is>
      </c>
      <c r="B3045" s="30" t="inlineStr">
        <is>
          <t>Itaguai</t>
        </is>
      </c>
      <c r="C3045" s="30" t="n">
        <v>12291051</v>
      </c>
      <c r="D3045" s="30">
        <f>"11807198000640"</f>
        <v/>
      </c>
      <c r="E3045" s="30" t="inlineStr">
        <is>
          <t>LFG DO BRASIL LTDA</t>
        </is>
      </c>
      <c r="F3045" s="30" t="inlineStr">
        <is>
          <t>2023</t>
        </is>
      </c>
      <c r="G3045" s="40" t="n">
        <v>225.86</v>
      </c>
    </row>
    <row r="3046" ht="12" customHeight="1">
      <c r="A3046" s="30" t="inlineStr">
        <is>
          <t>ITG</t>
        </is>
      </c>
      <c r="B3046" s="30" t="inlineStr">
        <is>
          <t>Itaguai</t>
        </is>
      </c>
      <c r="C3046" s="30" t="n">
        <v>12295057</v>
      </c>
      <c r="D3046" s="30">
        <f>"43854903000142"</f>
        <v/>
      </c>
      <c r="E3046" s="30" t="inlineStr">
        <is>
          <t>KARPOWERSHIP BRASIL ENERGIA LTDA.</t>
        </is>
      </c>
      <c r="F3046" s="30" t="inlineStr">
        <is>
          <t>2020</t>
        </is>
      </c>
      <c r="G3046" s="40" t="n">
        <v>0</v>
      </c>
    </row>
    <row r="3047" ht="12" customHeight="1">
      <c r="A3047" s="30" t="inlineStr">
        <is>
          <t>ITG</t>
        </is>
      </c>
      <c r="B3047" s="30" t="inlineStr">
        <is>
          <t>Itaguai</t>
        </is>
      </c>
      <c r="C3047" s="30" t="n">
        <v>12295057</v>
      </c>
      <c r="D3047" s="30">
        <f>"43854903000142"</f>
        <v/>
      </c>
      <c r="E3047" s="30" t="inlineStr">
        <is>
          <t>KARPOWERSHIP BRASIL ENERGIA LTDA.</t>
        </is>
      </c>
      <c r="F3047" s="30" t="inlineStr">
        <is>
          <t>2021</t>
        </is>
      </c>
      <c r="G3047" s="40" t="n">
        <v>0</v>
      </c>
    </row>
    <row r="3048" ht="12" customHeight="1">
      <c r="A3048" s="30" t="inlineStr">
        <is>
          <t>ITG</t>
        </is>
      </c>
      <c r="B3048" s="30" t="inlineStr">
        <is>
          <t>Itaguai</t>
        </is>
      </c>
      <c r="C3048" s="30" t="n">
        <v>12295057</v>
      </c>
      <c r="D3048" s="30">
        <f>"43854903000142"</f>
        <v/>
      </c>
      <c r="E3048" s="30" t="inlineStr">
        <is>
          <t>KARPOWERSHIP BRASIL ENERGIA LTDA.</t>
        </is>
      </c>
      <c r="F3048" s="30" t="inlineStr">
        <is>
          <t>2022</t>
        </is>
      </c>
      <c r="G3048" s="40" t="n">
        <v>270391764.07</v>
      </c>
    </row>
    <row r="3049" ht="12" customHeight="1">
      <c r="A3049" s="30" t="inlineStr">
        <is>
          <t>ITG</t>
        </is>
      </c>
      <c r="B3049" s="30" t="inlineStr">
        <is>
          <t>Itaguai</t>
        </is>
      </c>
      <c r="C3049" s="30" t="n">
        <v>12295057</v>
      </c>
      <c r="D3049" s="30">
        <f>"43854903000142"</f>
        <v/>
      </c>
      <c r="E3049" s="30" t="inlineStr">
        <is>
          <t>KARPOWERSHIP BRASIL ENERGIA LTDA.</t>
        </is>
      </c>
      <c r="F3049" s="30" t="inlineStr">
        <is>
          <t>2023</t>
        </is>
      </c>
      <c r="G3049" s="40" t="n">
        <v>2448011131.6</v>
      </c>
    </row>
    <row r="3050" ht="12" customHeight="1">
      <c r="A3050" s="30" t="inlineStr">
        <is>
          <t>ITG</t>
        </is>
      </c>
      <c r="B3050" s="30" t="inlineStr">
        <is>
          <t>Itaguai</t>
        </is>
      </c>
      <c r="C3050" s="30" t="n">
        <v>12296533</v>
      </c>
      <c r="D3050" s="30">
        <f>"27462720000559"</f>
        <v/>
      </c>
      <c r="E3050" s="30" t="inlineStr">
        <is>
          <t>BRATEC MAQUINAS E SERVICOS LTDA</t>
        </is>
      </c>
      <c r="F3050" s="30" t="inlineStr">
        <is>
          <t>2019</t>
        </is>
      </c>
      <c r="G3050" s="40" t="n">
        <v>0</v>
      </c>
    </row>
    <row r="3051" ht="12" customHeight="1">
      <c r="A3051" s="30" t="inlineStr">
        <is>
          <t>ITG</t>
        </is>
      </c>
      <c r="B3051" s="30" t="inlineStr">
        <is>
          <t>Itaguai</t>
        </is>
      </c>
      <c r="C3051" s="30" t="n">
        <v>12296533</v>
      </c>
      <c r="D3051" s="30">
        <f>"27462720000559"</f>
        <v/>
      </c>
      <c r="E3051" s="30" t="inlineStr">
        <is>
          <t>BRATEC MAQUINAS E SERVICOS LTDA</t>
        </is>
      </c>
      <c r="F3051" s="30" t="inlineStr">
        <is>
          <t>2020</t>
        </is>
      </c>
      <c r="G3051" s="40" t="n">
        <v>0</v>
      </c>
    </row>
    <row r="3052" ht="12" customHeight="1">
      <c r="A3052" s="30" t="inlineStr">
        <is>
          <t>ITG</t>
        </is>
      </c>
      <c r="B3052" s="30" t="inlineStr">
        <is>
          <t>Itaguai</t>
        </is>
      </c>
      <c r="C3052" s="30" t="n">
        <v>12296533</v>
      </c>
      <c r="D3052" s="30">
        <f>"27462720000559"</f>
        <v/>
      </c>
      <c r="E3052" s="30" t="inlineStr">
        <is>
          <t>BRATEC MAQUINAS E SERVICOS LTDA</t>
        </is>
      </c>
      <c r="F3052" s="30" t="inlineStr">
        <is>
          <t>2021</t>
        </is>
      </c>
      <c r="G3052" s="40" t="n">
        <v>0</v>
      </c>
    </row>
    <row r="3053" ht="12" customHeight="1">
      <c r="A3053" s="30" t="inlineStr">
        <is>
          <t>ITG</t>
        </is>
      </c>
      <c r="B3053" s="30" t="inlineStr">
        <is>
          <t>Itaguai</t>
        </is>
      </c>
      <c r="C3053" s="30" t="n">
        <v>12296533</v>
      </c>
      <c r="D3053" s="30">
        <f>"27462720000559"</f>
        <v/>
      </c>
      <c r="E3053" s="30" t="inlineStr">
        <is>
          <t>BRATEC MAQUINAS E SERVICOS LTDA</t>
        </is>
      </c>
      <c r="F3053" s="30" t="inlineStr">
        <is>
          <t>2022</t>
        </is>
      </c>
      <c r="G3053" s="40" t="n">
        <v>0</v>
      </c>
    </row>
    <row r="3054" ht="12" customHeight="1">
      <c r="A3054" s="30" t="inlineStr">
        <is>
          <t>ITG</t>
        </is>
      </c>
      <c r="B3054" s="30" t="inlineStr">
        <is>
          <t>Itaguai</t>
        </is>
      </c>
      <c r="C3054" s="30" t="n">
        <v>12296533</v>
      </c>
      <c r="D3054" s="30">
        <f>"27462720000559"</f>
        <v/>
      </c>
      <c r="E3054" s="30" t="inlineStr">
        <is>
          <t>BRATEC MAQUINAS E SERVICOS LTDA</t>
        </is>
      </c>
      <c r="F3054" s="30" t="inlineStr">
        <is>
          <t>2023</t>
        </is>
      </c>
      <c r="G3054" s="40" t="n">
        <v>0</v>
      </c>
    </row>
    <row r="3055" ht="12" customHeight="1">
      <c r="A3055" s="30" t="inlineStr">
        <is>
          <t>ITG</t>
        </is>
      </c>
      <c r="B3055" s="30" t="inlineStr">
        <is>
          <t>Itaguai</t>
        </is>
      </c>
      <c r="C3055" s="30" t="n">
        <v>12298528</v>
      </c>
      <c r="D3055" s="30">
        <f>"00078531000288"</f>
        <v/>
      </c>
      <c r="E3055" s="30" t="inlineStr">
        <is>
          <t>MTECH LOCA??ES E SERVI?OS LTDA</t>
        </is>
      </c>
      <c r="F3055" s="30" t="inlineStr">
        <is>
          <t>2019</t>
        </is>
      </c>
      <c r="G3055" s="40" t="n">
        <v>0</v>
      </c>
    </row>
    <row r="3056" ht="12" customHeight="1">
      <c r="A3056" s="30" t="inlineStr">
        <is>
          <t>ITG</t>
        </is>
      </c>
      <c r="B3056" s="30" t="inlineStr">
        <is>
          <t>Itaguai</t>
        </is>
      </c>
      <c r="C3056" s="30" t="n">
        <v>12298528</v>
      </c>
      <c r="D3056" s="30">
        <f>"00078531000288"</f>
        <v/>
      </c>
      <c r="E3056" s="30" t="inlineStr">
        <is>
          <t>MTECH LOCA??ES E SERVI?OS LTDA</t>
        </is>
      </c>
      <c r="F3056" s="30" t="inlineStr">
        <is>
          <t>2020</t>
        </is>
      </c>
      <c r="G3056" s="40" t="n">
        <v>0</v>
      </c>
    </row>
    <row r="3057" ht="12" customHeight="1">
      <c r="A3057" s="30" t="inlineStr">
        <is>
          <t>ITG</t>
        </is>
      </c>
      <c r="B3057" s="30" t="inlineStr">
        <is>
          <t>Itaguai</t>
        </is>
      </c>
      <c r="C3057" s="30" t="n">
        <v>12298528</v>
      </c>
      <c r="D3057" s="30">
        <f>"00078531000288"</f>
        <v/>
      </c>
      <c r="E3057" s="30" t="inlineStr">
        <is>
          <t>MTECH LOCA??ES E SERVI?OS LTDA</t>
        </is>
      </c>
      <c r="F3057" s="30" t="inlineStr">
        <is>
          <t>2021</t>
        </is>
      </c>
      <c r="G3057" s="40" t="n">
        <v>0</v>
      </c>
    </row>
    <row r="3058" ht="12" customHeight="1">
      <c r="A3058" s="30" t="inlineStr">
        <is>
          <t>ITG</t>
        </is>
      </c>
      <c r="B3058" s="30" t="inlineStr">
        <is>
          <t>Itaguai</t>
        </is>
      </c>
      <c r="C3058" s="30" t="n">
        <v>12298528</v>
      </c>
      <c r="D3058" s="30">
        <f>"00078531000288"</f>
        <v/>
      </c>
      <c r="E3058" s="30" t="inlineStr">
        <is>
          <t>MTECH LOCA??ES E SERVI?OS LTDA</t>
        </is>
      </c>
      <c r="F3058" s="30" t="inlineStr">
        <is>
          <t>2022</t>
        </is>
      </c>
      <c r="G3058" s="40" t="n">
        <v>0</v>
      </c>
    </row>
    <row r="3059" ht="12" customHeight="1">
      <c r="A3059" s="30" t="inlineStr">
        <is>
          <t>ITG</t>
        </is>
      </c>
      <c r="B3059" s="30" t="inlineStr">
        <is>
          <t>Itaguai</t>
        </is>
      </c>
      <c r="C3059" s="30" t="n">
        <v>12298528</v>
      </c>
      <c r="D3059" s="30">
        <f>"00078531000288"</f>
        <v/>
      </c>
      <c r="E3059" s="30" t="inlineStr">
        <is>
          <t>MTECH LOCA??ES E SERVI?OS LTDA</t>
        </is>
      </c>
      <c r="F3059" s="30" t="inlineStr">
        <is>
          <t>2023</t>
        </is>
      </c>
      <c r="G3059" s="40" t="n">
        <v>0</v>
      </c>
    </row>
    <row r="3060" ht="12" customHeight="1">
      <c r="A3060" s="30" t="inlineStr">
        <is>
          <t>ITG</t>
        </is>
      </c>
      <c r="B3060" s="30" t="inlineStr">
        <is>
          <t>Itaguai</t>
        </is>
      </c>
      <c r="C3060" s="30" t="n">
        <v>12310730</v>
      </c>
      <c r="D3060" s="30">
        <f>"44268105000100"</f>
        <v/>
      </c>
      <c r="E3060" s="30" t="inlineStr">
        <is>
          <t>AGROPECUARIA SANTA LUZIA LTDA</t>
        </is>
      </c>
      <c r="F3060" s="30" t="inlineStr">
        <is>
          <t>2020</t>
        </is>
      </c>
      <c r="G3060" s="40" t="n">
        <v>0</v>
      </c>
    </row>
    <row r="3061" ht="12" customHeight="1">
      <c r="A3061" s="30" t="inlineStr">
        <is>
          <t>ITG</t>
        </is>
      </c>
      <c r="B3061" s="30" t="inlineStr">
        <is>
          <t>Itaguai</t>
        </is>
      </c>
      <c r="C3061" s="30" t="n">
        <v>12310730</v>
      </c>
      <c r="D3061" s="30">
        <f>"44268105000100"</f>
        <v/>
      </c>
      <c r="E3061" s="30" t="inlineStr">
        <is>
          <t>AGROPECUARIA SANTA LUZIA LTDA</t>
        </is>
      </c>
      <c r="F3061" s="30" t="inlineStr">
        <is>
          <t>2021</t>
        </is>
      </c>
      <c r="G3061" s="40" t="n">
        <v>0</v>
      </c>
    </row>
    <row r="3062" ht="12" customHeight="1">
      <c r="A3062" s="30" t="inlineStr">
        <is>
          <t>ITG</t>
        </is>
      </c>
      <c r="B3062" s="30" t="inlineStr">
        <is>
          <t>Itaguai</t>
        </is>
      </c>
      <c r="C3062" s="30" t="n">
        <v>12310730</v>
      </c>
      <c r="D3062" s="30">
        <f>"44268105000100"</f>
        <v/>
      </c>
      <c r="E3062" s="30" t="inlineStr">
        <is>
          <t>AGROPECUARIA SANTA LUZIA LTDA</t>
        </is>
      </c>
      <c r="F3062" s="30" t="inlineStr">
        <is>
          <t>2022</t>
        </is>
      </c>
      <c r="G3062" s="40" t="n">
        <v>0</v>
      </c>
    </row>
    <row r="3063" ht="12" customHeight="1">
      <c r="A3063" s="30" t="inlineStr">
        <is>
          <t>ITG</t>
        </is>
      </c>
      <c r="B3063" s="30" t="inlineStr">
        <is>
          <t>Itaguai</t>
        </is>
      </c>
      <c r="C3063" s="30" t="n">
        <v>12310730</v>
      </c>
      <c r="D3063" s="30">
        <f>"44268105000100"</f>
        <v/>
      </c>
      <c r="E3063" s="30" t="inlineStr">
        <is>
          <t>AGROPECUARIA SANTA LUZIA LTDA</t>
        </is>
      </c>
      <c r="F3063" s="30" t="inlineStr">
        <is>
          <t>2023</t>
        </is>
      </c>
      <c r="G3063" s="40" t="n">
        <v>0</v>
      </c>
    </row>
    <row r="3064" ht="12" customHeight="1">
      <c r="A3064" s="30" t="inlineStr">
        <is>
          <t>ITG</t>
        </is>
      </c>
      <c r="B3064" s="30" t="inlineStr">
        <is>
          <t>Itaguai</t>
        </is>
      </c>
      <c r="C3064" s="30" t="n">
        <v>12314248</v>
      </c>
      <c r="D3064" s="30">
        <f>"09190350000647"</f>
        <v/>
      </c>
      <c r="E3064" s="30" t="inlineStr">
        <is>
          <t>COLNORTE COLETA DE RESIDUOS LTDA</t>
        </is>
      </c>
      <c r="F3064" s="30" t="inlineStr">
        <is>
          <t>2019</t>
        </is>
      </c>
      <c r="G3064" s="40" t="n">
        <v>0</v>
      </c>
    </row>
    <row r="3065" ht="12" customHeight="1">
      <c r="A3065" s="30" t="inlineStr">
        <is>
          <t>ITG</t>
        </is>
      </c>
      <c r="B3065" s="30" t="inlineStr">
        <is>
          <t>Itaguai</t>
        </is>
      </c>
      <c r="C3065" s="30" t="n">
        <v>12314248</v>
      </c>
      <c r="D3065" s="30">
        <f>"09190350000647"</f>
        <v/>
      </c>
      <c r="E3065" s="30" t="inlineStr">
        <is>
          <t>COLNORTE COLETA DE RESIDUOS LTDA</t>
        </is>
      </c>
      <c r="F3065" s="30" t="inlineStr">
        <is>
          <t>2020</t>
        </is>
      </c>
      <c r="G3065" s="40" t="n">
        <v>0</v>
      </c>
    </row>
    <row r="3066" ht="12" customHeight="1">
      <c r="A3066" s="30" t="inlineStr">
        <is>
          <t>ITG</t>
        </is>
      </c>
      <c r="B3066" s="30" t="inlineStr">
        <is>
          <t>Itaguai</t>
        </is>
      </c>
      <c r="C3066" s="30" t="n">
        <v>12314248</v>
      </c>
      <c r="D3066" s="30">
        <f>"09190350000647"</f>
        <v/>
      </c>
      <c r="E3066" s="30" t="inlineStr">
        <is>
          <t>COLNORTE COLETA DE RESIDUOS LTDA</t>
        </is>
      </c>
      <c r="F3066" s="30" t="inlineStr">
        <is>
          <t>2021</t>
        </is>
      </c>
      <c r="G3066" s="40" t="n">
        <v>0</v>
      </c>
    </row>
    <row r="3067" ht="12" customHeight="1">
      <c r="A3067" s="30" t="inlineStr">
        <is>
          <t>ITG</t>
        </is>
      </c>
      <c r="B3067" s="30" t="inlineStr">
        <is>
          <t>Itaguai</t>
        </is>
      </c>
      <c r="C3067" s="30" t="n">
        <v>12314248</v>
      </c>
      <c r="D3067" s="30">
        <f>"09190350000647"</f>
        <v/>
      </c>
      <c r="E3067" s="30" t="inlineStr">
        <is>
          <t>COLNORTE COLETA DE RESIDUOS LTDA</t>
        </is>
      </c>
      <c r="F3067" s="30" t="inlineStr">
        <is>
          <t>2022</t>
        </is>
      </c>
      <c r="G3067" s="40" t="n">
        <v>0</v>
      </c>
    </row>
    <row r="3068" ht="12" customHeight="1">
      <c r="A3068" s="30" t="inlineStr">
        <is>
          <t>ITG</t>
        </is>
      </c>
      <c r="B3068" s="30" t="inlineStr">
        <is>
          <t>Itaguai</t>
        </is>
      </c>
      <c r="C3068" s="30" t="n">
        <v>12314248</v>
      </c>
      <c r="D3068" s="30">
        <f>"09190350000647"</f>
        <v/>
      </c>
      <c r="E3068" s="30" t="inlineStr">
        <is>
          <t>COLNORTE COLETA DE RESIDUOS LTDA</t>
        </is>
      </c>
      <c r="F3068" s="30" t="inlineStr">
        <is>
          <t>2023</t>
        </is>
      </c>
      <c r="G3068" s="40" t="n">
        <v>0</v>
      </c>
    </row>
    <row r="3069" ht="12" customHeight="1">
      <c r="A3069" s="30" t="inlineStr">
        <is>
          <t>ITG</t>
        </is>
      </c>
      <c r="B3069" s="30" t="inlineStr">
        <is>
          <t>Itaguai</t>
        </is>
      </c>
      <c r="C3069" s="30" t="n">
        <v>12315813</v>
      </c>
      <c r="D3069" s="30">
        <f>"44539540000113"</f>
        <v/>
      </c>
      <c r="E3069" s="30" t="inlineStr">
        <is>
          <t>PARADA COSTA VERDE RESTAURANTE E LANCHONETE LTDA</t>
        </is>
      </c>
      <c r="F3069" s="30" t="inlineStr">
        <is>
          <t>2020</t>
        </is>
      </c>
      <c r="G3069" s="40" t="n">
        <v>0</v>
      </c>
    </row>
    <row r="3070" ht="12" customHeight="1">
      <c r="A3070" s="30" t="inlineStr">
        <is>
          <t>ITG</t>
        </is>
      </c>
      <c r="B3070" s="30" t="inlineStr">
        <is>
          <t>Itaguai</t>
        </is>
      </c>
      <c r="C3070" s="30" t="n">
        <v>12315813</v>
      </c>
      <c r="D3070" s="30">
        <f>"44539540000113"</f>
        <v/>
      </c>
      <c r="E3070" s="30" t="inlineStr">
        <is>
          <t>PARADA COSTA VERDE RESTAURANTE E LANCHONETE LTDA</t>
        </is>
      </c>
      <c r="F3070" s="30" t="inlineStr">
        <is>
          <t>2021</t>
        </is>
      </c>
      <c r="G3070" s="40" t="n">
        <v>0</v>
      </c>
    </row>
    <row r="3071" ht="12" customHeight="1">
      <c r="A3071" s="30" t="inlineStr">
        <is>
          <t>ITG</t>
        </is>
      </c>
      <c r="B3071" s="30" t="inlineStr">
        <is>
          <t>Itaguai</t>
        </is>
      </c>
      <c r="C3071" s="30" t="n">
        <v>12315813</v>
      </c>
      <c r="D3071" s="30">
        <f>"44539540000113"</f>
        <v/>
      </c>
      <c r="E3071" s="30" t="inlineStr">
        <is>
          <t>PARADA COSTA VERDE RESTAURANTE E LANCHONETE LTDA</t>
        </is>
      </c>
      <c r="F3071" s="30" t="inlineStr">
        <is>
          <t>2022</t>
        </is>
      </c>
      <c r="G3071" s="40" t="n">
        <v>218131.55</v>
      </c>
    </row>
    <row r="3072" ht="12" customHeight="1">
      <c r="A3072" s="30" t="inlineStr">
        <is>
          <t>ITG</t>
        </is>
      </c>
      <c r="B3072" s="30" t="inlineStr">
        <is>
          <t>Itaguai</t>
        </is>
      </c>
      <c r="C3072" s="30" t="n">
        <v>12315813</v>
      </c>
      <c r="D3072" s="30">
        <f>"44539540000113"</f>
        <v/>
      </c>
      <c r="E3072" s="30" t="inlineStr">
        <is>
          <t>PARADA COSTA VERDE RESTAURANTE E LANCHONETE LTDA</t>
        </is>
      </c>
      <c r="F3072" s="30" t="inlineStr">
        <is>
          <t>2023</t>
        </is>
      </c>
      <c r="G3072" s="40" t="n">
        <v>1905148.12</v>
      </c>
    </row>
    <row r="3073" ht="12" customHeight="1">
      <c r="A3073" s="30" t="inlineStr">
        <is>
          <t>ITG</t>
        </is>
      </c>
      <c r="B3073" s="30" t="inlineStr">
        <is>
          <t>Itaguai</t>
        </is>
      </c>
      <c r="C3073" s="30" t="n">
        <v>12320132</v>
      </c>
      <c r="D3073" s="30">
        <f>"42584754000348"</f>
        <v/>
      </c>
      <c r="E3073" s="30" t="inlineStr">
        <is>
          <t>J&amp;T EXPRESS BRAZIL LTDA.</t>
        </is>
      </c>
      <c r="F3073" s="30" t="inlineStr">
        <is>
          <t>2021</t>
        </is>
      </c>
      <c r="G3073" s="40" t="n">
        <v>0</v>
      </c>
    </row>
    <row r="3074" ht="12" customHeight="1">
      <c r="A3074" s="30" t="inlineStr">
        <is>
          <t>ITG</t>
        </is>
      </c>
      <c r="B3074" s="30" t="inlineStr">
        <is>
          <t>Itaguai</t>
        </is>
      </c>
      <c r="C3074" s="30" t="n">
        <v>12320132</v>
      </c>
      <c r="D3074" s="30">
        <f>"42584754000348"</f>
        <v/>
      </c>
      <c r="E3074" s="30" t="inlineStr">
        <is>
          <t>J&amp;T EXPRESS BRAZIL LTDA.</t>
        </is>
      </c>
      <c r="F3074" s="30" t="inlineStr">
        <is>
          <t>2022</t>
        </is>
      </c>
      <c r="G3074" s="40" t="n">
        <v>0</v>
      </c>
    </row>
    <row r="3075" ht="12" customHeight="1">
      <c r="A3075" s="30" t="inlineStr">
        <is>
          <t>ITG</t>
        </is>
      </c>
      <c r="B3075" s="30" t="inlineStr">
        <is>
          <t>Itaguai</t>
        </is>
      </c>
      <c r="C3075" s="30" t="n">
        <v>12320132</v>
      </c>
      <c r="D3075" s="30">
        <f>"42584754000348"</f>
        <v/>
      </c>
      <c r="E3075" s="30" t="inlineStr">
        <is>
          <t>J&amp;T EXPRESS BRAZIL LTDA.</t>
        </is>
      </c>
      <c r="F3075" s="30" t="inlineStr">
        <is>
          <t>2023</t>
        </is>
      </c>
      <c r="G3075" s="40" t="n">
        <v>203.71</v>
      </c>
    </row>
    <row r="3076" ht="12" customHeight="1">
      <c r="A3076" s="30" t="inlineStr">
        <is>
          <t>ITG</t>
        </is>
      </c>
      <c r="B3076" s="30" t="inlineStr">
        <is>
          <t>Itaguai</t>
        </is>
      </c>
      <c r="C3076" s="30" t="n">
        <v>12320442</v>
      </c>
      <c r="D3076" s="30">
        <f>"04284184000624"</f>
        <v/>
      </c>
      <c r="E3076" s="30" t="inlineStr">
        <is>
          <t>LEMAR LOGISTICA E TRANSPORTES LTDA</t>
        </is>
      </c>
      <c r="F3076" s="30" t="inlineStr">
        <is>
          <t>2019</t>
        </is>
      </c>
      <c r="G3076" s="40" t="n">
        <v>0</v>
      </c>
    </row>
    <row r="3077" ht="12" customHeight="1">
      <c r="A3077" s="30" t="inlineStr">
        <is>
          <t>ITG</t>
        </is>
      </c>
      <c r="B3077" s="30" t="inlineStr">
        <is>
          <t>Itaguai</t>
        </is>
      </c>
      <c r="C3077" s="30" t="n">
        <v>12320442</v>
      </c>
      <c r="D3077" s="30">
        <f>"04284184000624"</f>
        <v/>
      </c>
      <c r="E3077" s="30" t="inlineStr">
        <is>
          <t>LEMAR LOGISTICA E TRANSPORTES LTDA</t>
        </is>
      </c>
      <c r="F3077" s="30" t="inlineStr">
        <is>
          <t>2020</t>
        </is>
      </c>
      <c r="G3077" s="40" t="n">
        <v>0</v>
      </c>
    </row>
    <row r="3078" ht="12" customHeight="1">
      <c r="A3078" s="30" t="inlineStr">
        <is>
          <t>ITG</t>
        </is>
      </c>
      <c r="B3078" s="30" t="inlineStr">
        <is>
          <t>Itaguai</t>
        </is>
      </c>
      <c r="C3078" s="30" t="n">
        <v>12320442</v>
      </c>
      <c r="D3078" s="30">
        <f>"04284184000624"</f>
        <v/>
      </c>
      <c r="E3078" s="30" t="inlineStr">
        <is>
          <t>LEMAR LOGISTICA E TRANSPORTES LTDA</t>
        </is>
      </c>
      <c r="F3078" s="30" t="inlineStr">
        <is>
          <t>2021</t>
        </is>
      </c>
      <c r="G3078" s="40" t="n">
        <v>0</v>
      </c>
    </row>
    <row r="3079" ht="12" customHeight="1">
      <c r="A3079" s="30" t="inlineStr">
        <is>
          <t>ITG</t>
        </is>
      </c>
      <c r="B3079" s="30" t="inlineStr">
        <is>
          <t>Itaguai</t>
        </is>
      </c>
      <c r="C3079" s="30" t="n">
        <v>12320442</v>
      </c>
      <c r="D3079" s="30">
        <f>"04284184000624"</f>
        <v/>
      </c>
      <c r="E3079" s="30" t="inlineStr">
        <is>
          <t>LEMAR LOGISTICA E TRANSPORTES LTDA</t>
        </is>
      </c>
      <c r="F3079" s="30" t="inlineStr">
        <is>
          <t>2022</t>
        </is>
      </c>
      <c r="G3079" s="40" t="n">
        <v>0</v>
      </c>
    </row>
    <row r="3080" ht="12" customHeight="1">
      <c r="A3080" s="30" t="inlineStr">
        <is>
          <t>ITG</t>
        </is>
      </c>
      <c r="B3080" s="30" t="inlineStr">
        <is>
          <t>Itaguai</t>
        </is>
      </c>
      <c r="C3080" s="30" t="n">
        <v>12320442</v>
      </c>
      <c r="D3080" s="30">
        <f>"04284184000624"</f>
        <v/>
      </c>
      <c r="E3080" s="30" t="inlineStr">
        <is>
          <t>LEMAR LOGISTICA E TRANSPORTES LTDA</t>
        </is>
      </c>
      <c r="F3080" s="30" t="inlineStr">
        <is>
          <t>2023</t>
        </is>
      </c>
      <c r="G3080" s="40" t="n">
        <v>0</v>
      </c>
    </row>
    <row r="3081" ht="12" customHeight="1">
      <c r="A3081" s="30" t="inlineStr">
        <is>
          <t>ITG</t>
        </is>
      </c>
      <c r="B3081" s="30" t="inlineStr">
        <is>
          <t>Itaguai</t>
        </is>
      </c>
      <c r="C3081" s="30" t="n">
        <v>12324898</v>
      </c>
      <c r="D3081" s="30">
        <f>"32814250000232"</f>
        <v/>
      </c>
      <c r="E3081" s="30" t="inlineStr">
        <is>
          <t>ENECON SELECT COMERCIO DE RESINAS DE ALTA PERFORMANCE E SERVICOS</t>
        </is>
      </c>
      <c r="F3081" s="30" t="inlineStr">
        <is>
          <t>2020</t>
        </is>
      </c>
      <c r="G3081" s="40" t="n">
        <v>0</v>
      </c>
    </row>
    <row r="3082" ht="12" customHeight="1">
      <c r="A3082" s="30" t="inlineStr">
        <is>
          <t>ITG</t>
        </is>
      </c>
      <c r="B3082" s="30" t="inlineStr">
        <is>
          <t>Itaguai</t>
        </is>
      </c>
      <c r="C3082" s="30" t="n">
        <v>12324898</v>
      </c>
      <c r="D3082" s="30">
        <f>"32814250000232"</f>
        <v/>
      </c>
      <c r="E3082" s="30" t="inlineStr">
        <is>
          <t>ENECON SELECT COMERCIO DE RESINAS DE ALTA PERFORMANCE E SERVICOS</t>
        </is>
      </c>
      <c r="F3082" s="30" t="inlineStr">
        <is>
          <t>2021</t>
        </is>
      </c>
      <c r="G3082" s="40" t="n">
        <v>0</v>
      </c>
    </row>
    <row r="3083" ht="12" customHeight="1">
      <c r="A3083" s="30" t="inlineStr">
        <is>
          <t>ITG</t>
        </is>
      </c>
      <c r="B3083" s="30" t="inlineStr">
        <is>
          <t>Itaguai</t>
        </is>
      </c>
      <c r="C3083" s="30" t="n">
        <v>12324898</v>
      </c>
      <c r="D3083" s="30">
        <f>"32814250000232"</f>
        <v/>
      </c>
      <c r="E3083" s="30" t="inlineStr">
        <is>
          <t>ENECON SELECT COMERCIO DE RESINAS DE ALTA PERFORMANCE E SERVICOS</t>
        </is>
      </c>
      <c r="F3083" s="30" t="inlineStr">
        <is>
          <t>2022</t>
        </is>
      </c>
      <c r="G3083" s="40" t="n">
        <v>0</v>
      </c>
    </row>
    <row r="3084" ht="12" customHeight="1">
      <c r="A3084" s="30" t="inlineStr">
        <is>
          <t>ITG</t>
        </is>
      </c>
      <c r="B3084" s="30" t="inlineStr">
        <is>
          <t>Itaguai</t>
        </is>
      </c>
      <c r="C3084" s="30" t="n">
        <v>12324898</v>
      </c>
      <c r="D3084" s="30">
        <f>"32814250000232"</f>
        <v/>
      </c>
      <c r="E3084" s="30" t="inlineStr">
        <is>
          <t>ENECON SELECT COMERCIO DE RESINAS DE ALTA PERFORMANCE E SERVICOS</t>
        </is>
      </c>
      <c r="F3084" s="30" t="inlineStr">
        <is>
          <t>2023</t>
        </is>
      </c>
      <c r="G3084" s="40" t="n">
        <v>0</v>
      </c>
    </row>
    <row r="3085" ht="12" customHeight="1">
      <c r="A3085" s="30" t="inlineStr">
        <is>
          <t>ITG</t>
        </is>
      </c>
      <c r="B3085" s="30" t="inlineStr">
        <is>
          <t>Itaguai</t>
        </is>
      </c>
      <c r="C3085" s="30" t="n">
        <v>12329970</v>
      </c>
      <c r="D3085" s="30">
        <f>"44672154000103"</f>
        <v/>
      </c>
      <c r="E3085" s="30" t="inlineStr">
        <is>
          <t>MABA 3 MANIPULA??O FARMAC?UTICA LIMITADA</t>
        </is>
      </c>
      <c r="F3085" s="30" t="inlineStr">
        <is>
          <t>2020</t>
        </is>
      </c>
      <c r="G3085" s="40" t="n">
        <v>0</v>
      </c>
    </row>
    <row r="3086" ht="12" customHeight="1">
      <c r="A3086" s="30" t="inlineStr">
        <is>
          <t>ITG</t>
        </is>
      </c>
      <c r="B3086" s="30" t="inlineStr">
        <is>
          <t>Itaguai</t>
        </is>
      </c>
      <c r="C3086" s="30" t="n">
        <v>12329970</v>
      </c>
      <c r="D3086" s="30">
        <f>"44672154000103"</f>
        <v/>
      </c>
      <c r="E3086" s="30" t="inlineStr">
        <is>
          <t>MABA 3 MANIPULA??O FARMAC?UTICA LIMITADA</t>
        </is>
      </c>
      <c r="F3086" s="30" t="inlineStr">
        <is>
          <t>2021</t>
        </is>
      </c>
      <c r="G3086" s="40" t="n">
        <v>0</v>
      </c>
    </row>
    <row r="3087" ht="12" customHeight="1">
      <c r="A3087" s="30" t="inlineStr">
        <is>
          <t>ITG</t>
        </is>
      </c>
      <c r="B3087" s="30" t="inlineStr">
        <is>
          <t>Itaguai</t>
        </is>
      </c>
      <c r="C3087" s="30" t="n">
        <v>12329970</v>
      </c>
      <c r="D3087" s="30">
        <f>"44672154000103"</f>
        <v/>
      </c>
      <c r="E3087" s="30" t="inlineStr">
        <is>
          <t>MABA 3 MANIPULA??O FARMAC?UTICA LIMITADA</t>
        </is>
      </c>
      <c r="F3087" s="30" t="inlineStr">
        <is>
          <t>2022</t>
        </is>
      </c>
      <c r="G3087" s="40" t="n">
        <v>0</v>
      </c>
    </row>
    <row r="3088" ht="12" customHeight="1">
      <c r="A3088" s="30" t="inlineStr">
        <is>
          <t>ITG</t>
        </is>
      </c>
      <c r="B3088" s="30" t="inlineStr">
        <is>
          <t>Itaguai</t>
        </is>
      </c>
      <c r="C3088" s="30" t="n">
        <v>12329970</v>
      </c>
      <c r="D3088" s="30">
        <f>"44672154000103"</f>
        <v/>
      </c>
      <c r="E3088" s="30" t="inlineStr">
        <is>
          <t>MABA 3 MANIPULA??O FARMAC?UTICA LIMITADA</t>
        </is>
      </c>
      <c r="F3088" s="30" t="inlineStr">
        <is>
          <t>2023</t>
        </is>
      </c>
      <c r="G3088" s="40" t="n">
        <v>0</v>
      </c>
    </row>
    <row r="3089" ht="12" customHeight="1">
      <c r="A3089" s="30" t="inlineStr">
        <is>
          <t>ITG</t>
        </is>
      </c>
      <c r="B3089" s="30" t="inlineStr">
        <is>
          <t>Itaguai</t>
        </is>
      </c>
      <c r="C3089" s="30" t="n">
        <v>12335784</v>
      </c>
      <c r="D3089" s="30">
        <f>"40154884000153"</f>
        <v/>
      </c>
      <c r="E3089" s="30" t="inlineStr">
        <is>
          <t>STARLINK BRAZIL SERVICOS DE INTERNET LTDA.</t>
        </is>
      </c>
      <c r="F3089" s="30" t="inlineStr">
        <is>
          <t>2021</t>
        </is>
      </c>
      <c r="G3089" s="40" t="n">
        <v>0</v>
      </c>
    </row>
    <row r="3090" ht="12" customHeight="1">
      <c r="A3090" s="30" t="inlineStr">
        <is>
          <t>ITG</t>
        </is>
      </c>
      <c r="B3090" s="30" t="inlineStr">
        <is>
          <t>Itaguai</t>
        </is>
      </c>
      <c r="C3090" s="30" t="n">
        <v>12335784</v>
      </c>
      <c r="D3090" s="30">
        <f>"40154884000153"</f>
        <v/>
      </c>
      <c r="E3090" s="30" t="inlineStr">
        <is>
          <t>STARLINK BRAZIL SERVICOS DE INTERNET LTDA.</t>
        </is>
      </c>
      <c r="F3090" s="30" t="inlineStr">
        <is>
          <t>2022</t>
        </is>
      </c>
      <c r="G3090" s="40" t="n">
        <v>0</v>
      </c>
    </row>
    <row r="3091" ht="12" customHeight="1">
      <c r="A3091" s="30" t="inlineStr">
        <is>
          <t>ITG</t>
        </is>
      </c>
      <c r="B3091" s="30" t="inlineStr">
        <is>
          <t>Itaguai</t>
        </is>
      </c>
      <c r="C3091" s="30" t="n">
        <v>12335784</v>
      </c>
      <c r="D3091" s="30">
        <f>"40154884000153"</f>
        <v/>
      </c>
      <c r="E3091" s="30" t="inlineStr">
        <is>
          <t>STARLINK BRAZIL SERVICOS DE INTERNET LTDA.</t>
        </is>
      </c>
      <c r="F3091" s="30" t="inlineStr">
        <is>
          <t>2023</t>
        </is>
      </c>
      <c r="G3091" s="40" t="n">
        <v>35319.39</v>
      </c>
    </row>
    <row r="3092" ht="12" customHeight="1">
      <c r="A3092" s="30" t="inlineStr">
        <is>
          <t>ITG</t>
        </is>
      </c>
      <c r="B3092" s="30" t="inlineStr">
        <is>
          <t>Itaguai</t>
        </is>
      </c>
      <c r="C3092" s="30" t="n">
        <v>12342012</v>
      </c>
      <c r="D3092" s="30">
        <f>"44816749000187"</f>
        <v/>
      </c>
      <c r="E3092" s="30" t="inlineStr">
        <is>
          <t>NOVA OESTE DIESEL LTDA</t>
        </is>
      </c>
      <c r="F3092" s="30" t="inlineStr">
        <is>
          <t>2021</t>
        </is>
      </c>
      <c r="G3092" s="40" t="n">
        <v>0</v>
      </c>
    </row>
    <row r="3093" ht="12" customHeight="1">
      <c r="A3093" s="30" t="inlineStr">
        <is>
          <t>ITG</t>
        </is>
      </c>
      <c r="B3093" s="30" t="inlineStr">
        <is>
          <t>Itaguai</t>
        </is>
      </c>
      <c r="C3093" s="30" t="n">
        <v>12342012</v>
      </c>
      <c r="D3093" s="30">
        <f>"44816749000187"</f>
        <v/>
      </c>
      <c r="E3093" s="30" t="inlineStr">
        <is>
          <t>NOVA OESTE DIESEL LTDA</t>
        </is>
      </c>
      <c r="F3093" s="30" t="inlineStr">
        <is>
          <t>2022</t>
        </is>
      </c>
      <c r="G3093" s="40" t="n">
        <v>0</v>
      </c>
    </row>
    <row r="3094" ht="12" customHeight="1">
      <c r="A3094" s="30" t="inlineStr">
        <is>
          <t>ITG</t>
        </is>
      </c>
      <c r="B3094" s="30" t="inlineStr">
        <is>
          <t>Itaguai</t>
        </is>
      </c>
      <c r="C3094" s="30" t="n">
        <v>12342012</v>
      </c>
      <c r="D3094" s="30">
        <f>"44816749000187"</f>
        <v/>
      </c>
      <c r="E3094" s="30" t="inlineStr">
        <is>
          <t>NOVA OESTE DIESEL LTDA</t>
        </is>
      </c>
      <c r="F3094" s="30" t="inlineStr">
        <is>
          <t>2023</t>
        </is>
      </c>
      <c r="G3094" s="40" t="n">
        <v>1198217.4</v>
      </c>
    </row>
    <row r="3095" ht="12" customHeight="1">
      <c r="A3095" s="30" t="inlineStr">
        <is>
          <t>ITG</t>
        </is>
      </c>
      <c r="B3095" s="30" t="inlineStr">
        <is>
          <t>Itaguai</t>
        </is>
      </c>
      <c r="C3095" s="30" t="n">
        <v>12343140</v>
      </c>
      <c r="D3095" s="30">
        <f>"24230747065140"</f>
        <v/>
      </c>
      <c r="E3095" s="30" t="inlineStr">
        <is>
          <t>MAGALU LOG SERVICOS LOGISTICOS LTDA</t>
        </is>
      </c>
      <c r="F3095" s="30" t="inlineStr">
        <is>
          <t>2020</t>
        </is>
      </c>
      <c r="G3095" s="40" t="n">
        <v>0</v>
      </c>
    </row>
    <row r="3096" ht="12" customHeight="1">
      <c r="A3096" s="30" t="inlineStr">
        <is>
          <t>ITG</t>
        </is>
      </c>
      <c r="B3096" s="30" t="inlineStr">
        <is>
          <t>Itaguai</t>
        </is>
      </c>
      <c r="C3096" s="30" t="n">
        <v>12343140</v>
      </c>
      <c r="D3096" s="30">
        <f>"24230747065140"</f>
        <v/>
      </c>
      <c r="E3096" s="30" t="inlineStr">
        <is>
          <t>MAGALU LOG SERVICOS LOGISTICOS LTDA</t>
        </is>
      </c>
      <c r="F3096" s="30" t="inlineStr">
        <is>
          <t>2021</t>
        </is>
      </c>
      <c r="G3096" s="40" t="n">
        <v>0</v>
      </c>
    </row>
    <row r="3097" ht="12" customHeight="1">
      <c r="A3097" s="30" t="inlineStr">
        <is>
          <t>ITG</t>
        </is>
      </c>
      <c r="B3097" s="30" t="inlineStr">
        <is>
          <t>Itaguai</t>
        </is>
      </c>
      <c r="C3097" s="30" t="n">
        <v>12343140</v>
      </c>
      <c r="D3097" s="30">
        <f>"24230747065140"</f>
        <v/>
      </c>
      <c r="E3097" s="30" t="inlineStr">
        <is>
          <t>MAGALU LOG SERVICOS LOGISTICOS LTDA</t>
        </is>
      </c>
      <c r="F3097" s="30" t="inlineStr">
        <is>
          <t>2022</t>
        </is>
      </c>
      <c r="G3097" s="40" t="n">
        <v>0</v>
      </c>
    </row>
    <row r="3098" ht="12" customHeight="1">
      <c r="A3098" s="30" t="inlineStr">
        <is>
          <t>ITG</t>
        </is>
      </c>
      <c r="B3098" s="30" t="inlineStr">
        <is>
          <t>Itaguai</t>
        </is>
      </c>
      <c r="C3098" s="30" t="n">
        <v>12343140</v>
      </c>
      <c r="D3098" s="30">
        <f>"24230747065140"</f>
        <v/>
      </c>
      <c r="E3098" s="30" t="inlineStr">
        <is>
          <t>MAGALU LOG SERVICOS LOGISTICOS LTDA</t>
        </is>
      </c>
      <c r="F3098" s="30" t="inlineStr">
        <is>
          <t>2023</t>
        </is>
      </c>
      <c r="G3098" s="40" t="n">
        <v>0</v>
      </c>
    </row>
    <row r="3099" ht="12" customHeight="1">
      <c r="A3099" s="30" t="inlineStr">
        <is>
          <t>ITG</t>
        </is>
      </c>
      <c r="B3099" s="30" t="inlineStr">
        <is>
          <t>Itaguai</t>
        </is>
      </c>
      <c r="C3099" s="30" t="n">
        <v>12346484</v>
      </c>
      <c r="D3099" s="30">
        <f>"44915444000122"</f>
        <v/>
      </c>
      <c r="E3099" s="30" t="inlineStr">
        <is>
          <t>L.R.A IND?STRIA E COM?RCIO DE FERRO E A?O LTDA</t>
        </is>
      </c>
      <c r="F3099" s="30" t="inlineStr">
        <is>
          <t>2020</t>
        </is>
      </c>
      <c r="G3099" s="40" t="n">
        <v>0</v>
      </c>
    </row>
    <row r="3100" ht="12" customHeight="1">
      <c r="A3100" s="30" t="inlineStr">
        <is>
          <t>ITG</t>
        </is>
      </c>
      <c r="B3100" s="30" t="inlineStr">
        <is>
          <t>Itaguai</t>
        </is>
      </c>
      <c r="C3100" s="30" t="n">
        <v>12346484</v>
      </c>
      <c r="D3100" s="30">
        <f>"44915444000122"</f>
        <v/>
      </c>
      <c r="E3100" s="30" t="inlineStr">
        <is>
          <t>L.R.A IND?STRIA E COM?RCIO DE FERRO E A?O LTDA</t>
        </is>
      </c>
      <c r="F3100" s="30" t="inlineStr">
        <is>
          <t>2021</t>
        </is>
      </c>
      <c r="G3100" s="40" t="n">
        <v>0</v>
      </c>
    </row>
    <row r="3101" ht="12" customHeight="1">
      <c r="A3101" s="30" t="inlineStr">
        <is>
          <t>ITG</t>
        </is>
      </c>
      <c r="B3101" s="30" t="inlineStr">
        <is>
          <t>Itaguai</t>
        </is>
      </c>
      <c r="C3101" s="30" t="n">
        <v>12346484</v>
      </c>
      <c r="D3101" s="30">
        <f>"44915444000122"</f>
        <v/>
      </c>
      <c r="E3101" s="30" t="inlineStr">
        <is>
          <t>L.R.A IND?STRIA E COM?RCIO DE FERRO E A?O LTDA</t>
        </is>
      </c>
      <c r="F3101" s="30" t="inlineStr">
        <is>
          <t>2022</t>
        </is>
      </c>
      <c r="G3101" s="40" t="n">
        <v>305654.37</v>
      </c>
    </row>
    <row r="3102" ht="12" customHeight="1">
      <c r="A3102" s="30" t="inlineStr">
        <is>
          <t>ITG</t>
        </is>
      </c>
      <c r="B3102" s="30" t="inlineStr">
        <is>
          <t>Itaguai</t>
        </is>
      </c>
      <c r="C3102" s="30" t="n">
        <v>12346484</v>
      </c>
      <c r="D3102" s="30">
        <f>"44915444000122"</f>
        <v/>
      </c>
      <c r="E3102" s="30" t="inlineStr">
        <is>
          <t>L.R.A IND?STRIA E COM?RCIO DE FERRO E A?O LTDA</t>
        </is>
      </c>
      <c r="F3102" s="30" t="inlineStr">
        <is>
          <t>2023</t>
        </is>
      </c>
      <c r="G3102" s="40" t="n">
        <v>1450323.96</v>
      </c>
    </row>
    <row r="3103" ht="12" customHeight="1">
      <c r="A3103" s="30" t="inlineStr">
        <is>
          <t>ITG</t>
        </is>
      </c>
      <c r="B3103" s="30" t="inlineStr">
        <is>
          <t>Itaguai</t>
        </is>
      </c>
      <c r="C3103" s="30" t="n">
        <v>12350627</v>
      </c>
      <c r="D3103" s="30">
        <f>"40217234000533"</f>
        <v/>
      </c>
      <c r="E3103" s="30" t="inlineStr">
        <is>
          <t>SIBELLY TRANSPORTES LTDA</t>
        </is>
      </c>
      <c r="F3103" s="30" t="inlineStr">
        <is>
          <t>2020</t>
        </is>
      </c>
      <c r="G3103" s="40" t="n">
        <v>0</v>
      </c>
    </row>
    <row r="3104" ht="12" customHeight="1">
      <c r="A3104" s="30" t="inlineStr">
        <is>
          <t>ITG</t>
        </is>
      </c>
      <c r="B3104" s="30" t="inlineStr">
        <is>
          <t>Itaguai</t>
        </is>
      </c>
      <c r="C3104" s="30" t="n">
        <v>12350627</v>
      </c>
      <c r="D3104" s="30">
        <f>"40217234000533"</f>
        <v/>
      </c>
      <c r="E3104" s="30" t="inlineStr">
        <is>
          <t>SIBELLY TRANSPORTES LTDA</t>
        </is>
      </c>
      <c r="F3104" s="30" t="inlineStr">
        <is>
          <t>2021</t>
        </is>
      </c>
      <c r="G3104" s="40" t="n">
        <v>0</v>
      </c>
    </row>
    <row r="3105" ht="12" customHeight="1">
      <c r="A3105" s="30" t="inlineStr">
        <is>
          <t>ITG</t>
        </is>
      </c>
      <c r="B3105" s="30" t="inlineStr">
        <is>
          <t>Itaguai</t>
        </is>
      </c>
      <c r="C3105" s="30" t="n">
        <v>12350627</v>
      </c>
      <c r="D3105" s="30">
        <f>"40217234000533"</f>
        <v/>
      </c>
      <c r="E3105" s="30" t="inlineStr">
        <is>
          <t>SIBELLY TRANSPORTES LTDA</t>
        </is>
      </c>
      <c r="F3105" s="30" t="inlineStr">
        <is>
          <t>2022</t>
        </is>
      </c>
      <c r="G3105" s="40" t="n">
        <v>0</v>
      </c>
    </row>
    <row r="3106" ht="12" customHeight="1">
      <c r="A3106" s="30" t="inlineStr">
        <is>
          <t>ITG</t>
        </is>
      </c>
      <c r="B3106" s="30" t="inlineStr">
        <is>
          <t>Itaguai</t>
        </is>
      </c>
      <c r="C3106" s="30" t="n">
        <v>12350627</v>
      </c>
      <c r="D3106" s="30">
        <f>"40217234000533"</f>
        <v/>
      </c>
      <c r="E3106" s="30" t="inlineStr">
        <is>
          <t>SIBELLY TRANSPORTES LTDA</t>
        </is>
      </c>
      <c r="F3106" s="30" t="inlineStr">
        <is>
          <t>2023</t>
        </is>
      </c>
      <c r="G3106" s="40" t="n">
        <v>0</v>
      </c>
    </row>
    <row r="3107" ht="12" customHeight="1">
      <c r="A3107" s="30" t="inlineStr">
        <is>
          <t>ITG</t>
        </is>
      </c>
      <c r="B3107" s="30" t="inlineStr">
        <is>
          <t>Itaguai</t>
        </is>
      </c>
      <c r="C3107" s="30" t="n">
        <v>12358377</v>
      </c>
      <c r="D3107" s="30">
        <f>"22320881001990"</f>
        <v/>
      </c>
      <c r="E3107" s="30" t="inlineStr">
        <is>
          <t>TRADIMAQ LTDA</t>
        </is>
      </c>
      <c r="F3107" s="30" t="inlineStr">
        <is>
          <t>2020</t>
        </is>
      </c>
      <c r="G3107" s="40" t="n">
        <v>0</v>
      </c>
    </row>
    <row r="3108" ht="12" customHeight="1">
      <c r="A3108" s="30" t="inlineStr">
        <is>
          <t>ITG</t>
        </is>
      </c>
      <c r="B3108" s="30" t="inlineStr">
        <is>
          <t>Itaguai</t>
        </is>
      </c>
      <c r="C3108" s="30" t="n">
        <v>12358377</v>
      </c>
      <c r="D3108" s="30">
        <f>"22320881001990"</f>
        <v/>
      </c>
      <c r="E3108" s="30" t="inlineStr">
        <is>
          <t>TRADIMAQ LTDA</t>
        </is>
      </c>
      <c r="F3108" s="30" t="inlineStr">
        <is>
          <t>2021</t>
        </is>
      </c>
      <c r="G3108" s="40" t="n">
        <v>0</v>
      </c>
    </row>
    <row r="3109" ht="12" customHeight="1">
      <c r="A3109" s="30" t="inlineStr">
        <is>
          <t>ITG</t>
        </is>
      </c>
      <c r="B3109" s="30" t="inlineStr">
        <is>
          <t>Itaguai</t>
        </is>
      </c>
      <c r="C3109" s="30" t="n">
        <v>12358377</v>
      </c>
      <c r="D3109" s="30">
        <f>"22320881001990"</f>
        <v/>
      </c>
      <c r="E3109" s="30" t="inlineStr">
        <is>
          <t>TRADIMAQ LTDA</t>
        </is>
      </c>
      <c r="F3109" s="30" t="inlineStr">
        <is>
          <t>2022</t>
        </is>
      </c>
      <c r="G3109" s="40" t="n">
        <v>37603.59</v>
      </c>
    </row>
    <row r="3110" ht="12" customHeight="1">
      <c r="A3110" s="30" t="inlineStr">
        <is>
          <t>ITG</t>
        </is>
      </c>
      <c r="B3110" s="30" t="inlineStr">
        <is>
          <t>Itaguai</t>
        </is>
      </c>
      <c r="C3110" s="30" t="n">
        <v>12358377</v>
      </c>
      <c r="D3110" s="30">
        <f>"22320881001990"</f>
        <v/>
      </c>
      <c r="E3110" s="30" t="inlineStr">
        <is>
          <t>TRADIMAQ LTDA</t>
        </is>
      </c>
      <c r="F3110" s="30" t="inlineStr">
        <is>
          <t>2023</t>
        </is>
      </c>
      <c r="G3110" s="40" t="n">
        <v>0</v>
      </c>
    </row>
    <row r="3111" ht="12" customHeight="1">
      <c r="A3111" s="30" t="inlineStr">
        <is>
          <t>ITG</t>
        </is>
      </c>
      <c r="B3111" s="30" t="inlineStr">
        <is>
          <t>Itaguai</t>
        </is>
      </c>
      <c r="C3111" s="30" t="n">
        <v>12362498</v>
      </c>
      <c r="D3111" s="30">
        <f>"15032773000470"</f>
        <v/>
      </c>
      <c r="E3111" s="30" t="inlineStr">
        <is>
          <t>YESCO ADMINISTRADORA DE BENS S/A.</t>
        </is>
      </c>
      <c r="F3111" s="30" t="inlineStr">
        <is>
          <t>2021</t>
        </is>
      </c>
      <c r="G3111" s="40" t="n">
        <v>0</v>
      </c>
    </row>
    <row r="3112" ht="12" customHeight="1">
      <c r="A3112" s="30" t="inlineStr">
        <is>
          <t>ITG</t>
        </is>
      </c>
      <c r="B3112" s="30" t="inlineStr">
        <is>
          <t>Itaguai</t>
        </is>
      </c>
      <c r="C3112" s="30" t="n">
        <v>12362498</v>
      </c>
      <c r="D3112" s="30">
        <f>"15032773000470"</f>
        <v/>
      </c>
      <c r="E3112" s="30" t="inlineStr">
        <is>
          <t>YESCO ADMINISTRADORA DE BENS S/A.</t>
        </is>
      </c>
      <c r="F3112" s="30" t="inlineStr">
        <is>
          <t>2022</t>
        </is>
      </c>
      <c r="G3112" s="40" t="n">
        <v>0</v>
      </c>
    </row>
    <row r="3113" ht="12" customHeight="1">
      <c r="A3113" s="30" t="inlineStr">
        <is>
          <t>ITG</t>
        </is>
      </c>
      <c r="B3113" s="30" t="inlineStr">
        <is>
          <t>Itaguai</t>
        </is>
      </c>
      <c r="C3113" s="30" t="n">
        <v>12362498</v>
      </c>
      <c r="D3113" s="30">
        <f>"15032773000470"</f>
        <v/>
      </c>
      <c r="E3113" s="30" t="inlineStr">
        <is>
          <t>YESCO ADMINISTRADORA DE BENS S/A.</t>
        </is>
      </c>
      <c r="F3113" s="30" t="inlineStr">
        <is>
          <t>2023</t>
        </is>
      </c>
      <c r="G3113" s="40" t="n">
        <v>31959.35</v>
      </c>
    </row>
    <row r="3114" ht="12" customHeight="1">
      <c r="A3114" s="30" t="inlineStr">
        <is>
          <t>ITG</t>
        </is>
      </c>
      <c r="B3114" s="30" t="inlineStr">
        <is>
          <t>Itaguai</t>
        </is>
      </c>
      <c r="C3114" s="30" t="n">
        <v>12367384</v>
      </c>
      <c r="D3114" s="30">
        <f>"45146184000130"</f>
        <v/>
      </c>
      <c r="E3114" s="30" t="inlineStr">
        <is>
          <t>SUPERMERCADO HESED LTDA</t>
        </is>
      </c>
      <c r="F3114" s="30" t="inlineStr">
        <is>
          <t>2020</t>
        </is>
      </c>
      <c r="G3114" s="40" t="n">
        <v>0</v>
      </c>
    </row>
    <row r="3115" ht="12" customHeight="1">
      <c r="A3115" s="30" t="inlineStr">
        <is>
          <t>ITG</t>
        </is>
      </c>
      <c r="B3115" s="30" t="inlineStr">
        <is>
          <t>Itaguai</t>
        </is>
      </c>
      <c r="C3115" s="30" t="n">
        <v>12367384</v>
      </c>
      <c r="D3115" s="30">
        <f>"45146184000130"</f>
        <v/>
      </c>
      <c r="E3115" s="30" t="inlineStr">
        <is>
          <t>SUPERMERCADO HESED LTDA</t>
        </is>
      </c>
      <c r="F3115" s="30" t="inlineStr">
        <is>
          <t>2021</t>
        </is>
      </c>
      <c r="G3115" s="40" t="n">
        <v>0</v>
      </c>
    </row>
    <row r="3116" ht="12" customHeight="1">
      <c r="A3116" s="30" t="inlineStr">
        <is>
          <t>ITG</t>
        </is>
      </c>
      <c r="B3116" s="30" t="inlineStr">
        <is>
          <t>Itaguai</t>
        </is>
      </c>
      <c r="C3116" s="30" t="n">
        <v>12367384</v>
      </c>
      <c r="D3116" s="30">
        <f>"45146184000130"</f>
        <v/>
      </c>
      <c r="E3116" s="30" t="inlineStr">
        <is>
          <t>SUPERMERCADO HESED LTDA</t>
        </is>
      </c>
      <c r="F3116" s="30" t="inlineStr">
        <is>
          <t>2022</t>
        </is>
      </c>
      <c r="G3116" s="40" t="n">
        <v>561271.4399999999</v>
      </c>
    </row>
    <row r="3117" ht="12" customHeight="1">
      <c r="A3117" s="30" t="inlineStr">
        <is>
          <t>ITG</t>
        </is>
      </c>
      <c r="B3117" s="30" t="inlineStr">
        <is>
          <t>Itaguai</t>
        </is>
      </c>
      <c r="C3117" s="30" t="n">
        <v>12367384</v>
      </c>
      <c r="D3117" s="30">
        <f>"45146184000130"</f>
        <v/>
      </c>
      <c r="E3117" s="30" t="inlineStr">
        <is>
          <t>SUPERMERCADO HESED LTDA</t>
        </is>
      </c>
      <c r="F3117" s="30" t="inlineStr">
        <is>
          <t>2023</t>
        </is>
      </c>
      <c r="G3117" s="40" t="n">
        <v>0</v>
      </c>
    </row>
    <row r="3118" ht="12" customHeight="1">
      <c r="A3118" s="30" t="inlineStr">
        <is>
          <t>ITG</t>
        </is>
      </c>
      <c r="B3118" s="30" t="inlineStr">
        <is>
          <t>Itaguai</t>
        </is>
      </c>
      <c r="C3118" s="30" t="n">
        <v>12367660</v>
      </c>
      <c r="D3118" s="30">
        <f>"00012339368758"</f>
        <v/>
      </c>
      <c r="E3118" s="30" t="inlineStr">
        <is>
          <t>WILLIAM SHIOSE ALVES MOREIRA</t>
        </is>
      </c>
      <c r="F3118" s="30" t="inlineStr">
        <is>
          <t>2020</t>
        </is>
      </c>
      <c r="G3118" s="40" t="n">
        <v>0</v>
      </c>
    </row>
    <row r="3119" ht="12" customHeight="1">
      <c r="A3119" s="30" t="inlineStr">
        <is>
          <t>ITG</t>
        </is>
      </c>
      <c r="B3119" s="30" t="inlineStr">
        <is>
          <t>Itaguai</t>
        </is>
      </c>
      <c r="C3119" s="30" t="n">
        <v>12367660</v>
      </c>
      <c r="D3119" s="30">
        <f>"00012339368758"</f>
        <v/>
      </c>
      <c r="E3119" s="30" t="inlineStr">
        <is>
          <t>WILLIAM SHIOSE ALVES MOREIRA</t>
        </is>
      </c>
      <c r="F3119" s="30" t="inlineStr">
        <is>
          <t>2021</t>
        </is>
      </c>
      <c r="G3119" s="40" t="n">
        <v>0</v>
      </c>
    </row>
    <row r="3120" ht="12" customHeight="1">
      <c r="A3120" s="30" t="inlineStr">
        <is>
          <t>ITG</t>
        </is>
      </c>
      <c r="B3120" s="30" t="inlineStr">
        <is>
          <t>Itaguai</t>
        </is>
      </c>
      <c r="C3120" s="30" t="n">
        <v>12367660</v>
      </c>
      <c r="D3120" s="30">
        <f>"00012339368758"</f>
        <v/>
      </c>
      <c r="E3120" s="30" t="inlineStr">
        <is>
          <t>WILLIAM SHIOSE ALVES MOREIRA</t>
        </is>
      </c>
      <c r="F3120" s="30" t="inlineStr">
        <is>
          <t>2022</t>
        </is>
      </c>
      <c r="G3120" s="40" t="n">
        <v>0</v>
      </c>
    </row>
    <row r="3121" ht="12" customHeight="1">
      <c r="A3121" s="30" t="inlineStr">
        <is>
          <t>ITG</t>
        </is>
      </c>
      <c r="B3121" s="30" t="inlineStr">
        <is>
          <t>Itaguai</t>
        </is>
      </c>
      <c r="C3121" s="30" t="n">
        <v>12367660</v>
      </c>
      <c r="D3121" s="30">
        <f>"00012339368758"</f>
        <v/>
      </c>
      <c r="E3121" s="30" t="inlineStr">
        <is>
          <t>WILLIAM SHIOSE ALVES MOREIRA</t>
        </is>
      </c>
      <c r="F3121" s="30" t="inlineStr">
        <is>
          <t>2023</t>
        </is>
      </c>
      <c r="G3121" s="40" t="n">
        <v>0</v>
      </c>
    </row>
    <row r="3122" ht="12" customHeight="1">
      <c r="A3122" s="30" t="inlineStr">
        <is>
          <t>ITG</t>
        </is>
      </c>
      <c r="B3122" s="30" t="inlineStr">
        <is>
          <t>Itaguai</t>
        </is>
      </c>
      <c r="C3122" s="30" t="n">
        <v>12377290</v>
      </c>
      <c r="D3122" s="30">
        <f>"14011425006222"</f>
        <v/>
      </c>
      <c r="E3122" s="30" t="inlineStr">
        <is>
          <t>SISTEMA ELITE DE ENSINO S A</t>
        </is>
      </c>
      <c r="F3122" s="30" t="inlineStr">
        <is>
          <t>2020</t>
        </is>
      </c>
      <c r="G3122" s="40" t="n">
        <v>0</v>
      </c>
    </row>
    <row r="3123" ht="12" customHeight="1">
      <c r="A3123" s="30" t="inlineStr">
        <is>
          <t>ITG</t>
        </is>
      </c>
      <c r="B3123" s="30" t="inlineStr">
        <is>
          <t>Itaguai</t>
        </is>
      </c>
      <c r="C3123" s="30" t="n">
        <v>12377290</v>
      </c>
      <c r="D3123" s="30">
        <f>"14011425006222"</f>
        <v/>
      </c>
      <c r="E3123" s="30" t="inlineStr">
        <is>
          <t>SISTEMA ELITE DE ENSINO S A</t>
        </is>
      </c>
      <c r="F3123" s="30" t="inlineStr">
        <is>
          <t>2021</t>
        </is>
      </c>
      <c r="G3123" s="40" t="n">
        <v>0</v>
      </c>
    </row>
    <row r="3124" ht="12" customHeight="1">
      <c r="A3124" s="30" t="inlineStr">
        <is>
          <t>ITG</t>
        </is>
      </c>
      <c r="B3124" s="30" t="inlineStr">
        <is>
          <t>Itaguai</t>
        </is>
      </c>
      <c r="C3124" s="30" t="n">
        <v>12377290</v>
      </c>
      <c r="D3124" s="30">
        <f>"14011425006222"</f>
        <v/>
      </c>
      <c r="E3124" s="30" t="inlineStr">
        <is>
          <t>SISTEMA ELITE DE ENSINO S A</t>
        </is>
      </c>
      <c r="F3124" s="30" t="inlineStr">
        <is>
          <t>2022</t>
        </is>
      </c>
      <c r="G3124" s="40" t="n">
        <v>0</v>
      </c>
    </row>
    <row r="3125" ht="12" customHeight="1">
      <c r="A3125" s="30" t="inlineStr">
        <is>
          <t>ITG</t>
        </is>
      </c>
      <c r="B3125" s="30" t="inlineStr">
        <is>
          <t>Itaguai</t>
        </is>
      </c>
      <c r="C3125" s="30" t="n">
        <v>12377290</v>
      </c>
      <c r="D3125" s="30">
        <f>"14011425006222"</f>
        <v/>
      </c>
      <c r="E3125" s="30" t="inlineStr">
        <is>
          <t>SISTEMA ELITE DE ENSINO S A</t>
        </is>
      </c>
      <c r="F3125" s="30" t="inlineStr">
        <is>
          <t>2023</t>
        </is>
      </c>
      <c r="G3125" s="40" t="n">
        <v>0</v>
      </c>
    </row>
    <row r="3126" ht="12" customHeight="1">
      <c r="A3126" s="30" t="inlineStr">
        <is>
          <t>ITG</t>
        </is>
      </c>
      <c r="B3126" s="30" t="inlineStr">
        <is>
          <t>Itaguai</t>
        </is>
      </c>
      <c r="C3126" s="30" t="n">
        <v>12393628</v>
      </c>
      <c r="D3126" s="30">
        <f>"45452781000193"</f>
        <v/>
      </c>
      <c r="E3126" s="30" t="inlineStr">
        <is>
          <t>BW ESTOFADOS E CAPOTARIA LTDA</t>
        </is>
      </c>
      <c r="F3126" s="30" t="inlineStr">
        <is>
          <t>2020</t>
        </is>
      </c>
      <c r="G3126" s="40" t="n">
        <v>0</v>
      </c>
    </row>
    <row r="3127" ht="12" customHeight="1">
      <c r="A3127" s="30" t="inlineStr">
        <is>
          <t>ITG</t>
        </is>
      </c>
      <c r="B3127" s="30" t="inlineStr">
        <is>
          <t>Itaguai</t>
        </is>
      </c>
      <c r="C3127" s="30" t="n">
        <v>12393628</v>
      </c>
      <c r="D3127" s="30">
        <f>"45452781000193"</f>
        <v/>
      </c>
      <c r="E3127" s="30" t="inlineStr">
        <is>
          <t>BW ESTOFADOS E CAPOTARIA LTDA</t>
        </is>
      </c>
      <c r="F3127" s="30" t="inlineStr">
        <is>
          <t>2021</t>
        </is>
      </c>
      <c r="G3127" s="40" t="n">
        <v>0</v>
      </c>
    </row>
    <row r="3128" ht="12" customHeight="1">
      <c r="A3128" s="30" t="inlineStr">
        <is>
          <t>ITG</t>
        </is>
      </c>
      <c r="B3128" s="30" t="inlineStr">
        <is>
          <t>Itaguai</t>
        </is>
      </c>
      <c r="C3128" s="30" t="n">
        <v>12393628</v>
      </c>
      <c r="D3128" s="30">
        <f>"45452781000193"</f>
        <v/>
      </c>
      <c r="E3128" s="30" t="inlineStr">
        <is>
          <t>BW ESTOFADOS E CAPOTARIA LTDA</t>
        </is>
      </c>
      <c r="F3128" s="30" t="inlineStr">
        <is>
          <t>2022</t>
        </is>
      </c>
      <c r="G3128" s="40" t="n">
        <v>116164.25</v>
      </c>
    </row>
    <row r="3129" ht="12" customHeight="1">
      <c r="A3129" s="30" t="inlineStr">
        <is>
          <t>ITG</t>
        </is>
      </c>
      <c r="B3129" s="30" t="inlineStr">
        <is>
          <t>Itaguai</t>
        </is>
      </c>
      <c r="C3129" s="30" t="n">
        <v>12393628</v>
      </c>
      <c r="D3129" s="30">
        <f>"45452781000193"</f>
        <v/>
      </c>
      <c r="E3129" s="30" t="inlineStr">
        <is>
          <t>BW ESTOFADOS E CAPOTARIA LTDA</t>
        </is>
      </c>
      <c r="F3129" s="30" t="inlineStr">
        <is>
          <t>2023</t>
        </is>
      </c>
      <c r="G3129" s="40" t="n">
        <v>0</v>
      </c>
    </row>
    <row r="3130" ht="12" customHeight="1">
      <c r="A3130" s="30" t="inlineStr">
        <is>
          <t>ITG</t>
        </is>
      </c>
      <c r="B3130" s="30" t="inlineStr">
        <is>
          <t>Itaguai</t>
        </is>
      </c>
      <c r="C3130" s="30" t="n">
        <v>12404255</v>
      </c>
      <c r="D3130" s="30">
        <f>"45605428000104"</f>
        <v/>
      </c>
      <c r="E3130" s="30" t="inlineStr">
        <is>
          <t>IGUAT? - DISTRIBUIDORA DE AREIA E PRODUTOS MINERAIS LTDA</t>
        </is>
      </c>
      <c r="F3130" s="30" t="inlineStr">
        <is>
          <t>2021</t>
        </is>
      </c>
      <c r="G3130" s="40" t="n">
        <v>0</v>
      </c>
    </row>
    <row r="3131" ht="12" customHeight="1">
      <c r="A3131" s="30" t="inlineStr">
        <is>
          <t>ITG</t>
        </is>
      </c>
      <c r="B3131" s="30" t="inlineStr">
        <is>
          <t>Itaguai</t>
        </is>
      </c>
      <c r="C3131" s="30" t="n">
        <v>12404255</v>
      </c>
      <c r="D3131" s="30">
        <f>"45605428000104"</f>
        <v/>
      </c>
      <c r="E3131" s="30" t="inlineStr">
        <is>
          <t>IGUAT? - DISTRIBUIDORA DE AREIA E PRODUTOS MINERAIS LTDA</t>
        </is>
      </c>
      <c r="F3131" s="30" t="inlineStr">
        <is>
          <t>2022</t>
        </is>
      </c>
      <c r="G3131" s="40" t="n">
        <v>0</v>
      </c>
    </row>
    <row r="3132" ht="12" customHeight="1">
      <c r="A3132" s="30" t="inlineStr">
        <is>
          <t>ITG</t>
        </is>
      </c>
      <c r="B3132" s="30" t="inlineStr">
        <is>
          <t>Itaguai</t>
        </is>
      </c>
      <c r="C3132" s="30" t="n">
        <v>12404255</v>
      </c>
      <c r="D3132" s="30">
        <f>"45605428000104"</f>
        <v/>
      </c>
      <c r="E3132" s="30" t="inlineStr">
        <is>
          <t>IGUAT? - DISTRIBUIDORA DE AREIA E PRODUTOS MINERAIS LTDA</t>
        </is>
      </c>
      <c r="F3132" s="30" t="inlineStr">
        <is>
          <t>2023</t>
        </is>
      </c>
      <c r="G3132" s="40" t="n">
        <v>1151855.35</v>
      </c>
    </row>
    <row r="3133" ht="12" customHeight="1">
      <c r="A3133" s="30" t="inlineStr">
        <is>
          <t>ITG</t>
        </is>
      </c>
      <c r="B3133" s="30" t="inlineStr">
        <is>
          <t>Itaguai</t>
        </is>
      </c>
      <c r="C3133" s="30" t="n">
        <v>12405260</v>
      </c>
      <c r="D3133" s="30">
        <f>"45644331000100"</f>
        <v/>
      </c>
      <c r="E3133" s="30" t="inlineStr">
        <is>
          <t>SHARP TRANSPORTE E SERVICO LTDA</t>
        </is>
      </c>
      <c r="F3133" s="30" t="inlineStr">
        <is>
          <t>2020</t>
        </is>
      </c>
      <c r="G3133" s="40" t="n">
        <v>0</v>
      </c>
    </row>
    <row r="3134" ht="12" customHeight="1">
      <c r="A3134" s="30" t="inlineStr">
        <is>
          <t>ITG</t>
        </is>
      </c>
      <c r="B3134" s="30" t="inlineStr">
        <is>
          <t>Itaguai</t>
        </is>
      </c>
      <c r="C3134" s="30" t="n">
        <v>12405260</v>
      </c>
      <c r="D3134" s="30">
        <f>"45644331000100"</f>
        <v/>
      </c>
      <c r="E3134" s="30" t="inlineStr">
        <is>
          <t>SHARP TRANSPORTE E SERVICO LTDA</t>
        </is>
      </c>
      <c r="F3134" s="30" t="inlineStr">
        <is>
          <t>2021</t>
        </is>
      </c>
      <c r="G3134" s="40" t="n">
        <v>0</v>
      </c>
    </row>
    <row r="3135" ht="12" customHeight="1">
      <c r="A3135" s="30" t="inlineStr">
        <is>
          <t>ITG</t>
        </is>
      </c>
      <c r="B3135" s="30" t="inlineStr">
        <is>
          <t>Itaguai</t>
        </is>
      </c>
      <c r="C3135" s="30" t="n">
        <v>12405260</v>
      </c>
      <c r="D3135" s="30">
        <f>"45644331000100"</f>
        <v/>
      </c>
      <c r="E3135" s="30" t="inlineStr">
        <is>
          <t>SHARP TRANSPORTE E SERVICO LTDA</t>
        </is>
      </c>
      <c r="F3135" s="30" t="inlineStr">
        <is>
          <t>2022</t>
        </is>
      </c>
      <c r="G3135" s="40" t="n">
        <v>0</v>
      </c>
    </row>
    <row r="3136" ht="12" customHeight="1">
      <c r="A3136" s="30" t="inlineStr">
        <is>
          <t>ITG</t>
        </is>
      </c>
      <c r="B3136" s="30" t="inlineStr">
        <is>
          <t>Itaguai</t>
        </is>
      </c>
      <c r="C3136" s="30" t="n">
        <v>12405260</v>
      </c>
      <c r="D3136" s="30">
        <f>"45644331000100"</f>
        <v/>
      </c>
      <c r="E3136" s="30" t="inlineStr">
        <is>
          <t>SHARP TRANSPORTE E SERVICO LTDA</t>
        </is>
      </c>
      <c r="F3136" s="30" t="inlineStr">
        <is>
          <t>2023</t>
        </is>
      </c>
      <c r="G3136" s="40" t="n">
        <v>0</v>
      </c>
    </row>
    <row r="3137" ht="12" customHeight="1">
      <c r="A3137" s="30" t="inlineStr">
        <is>
          <t>ITG</t>
        </is>
      </c>
      <c r="B3137" s="30" t="inlineStr">
        <is>
          <t>Itaguai</t>
        </is>
      </c>
      <c r="C3137" s="30" t="n">
        <v>12407505</v>
      </c>
      <c r="D3137" s="30">
        <f>"00072100346768"</f>
        <v/>
      </c>
      <c r="E3137" s="30" t="inlineStr">
        <is>
          <t>PAULO ROBERTO MONTEIRO DA SILVA</t>
        </is>
      </c>
      <c r="F3137" s="30" t="inlineStr">
        <is>
          <t>2020</t>
        </is>
      </c>
      <c r="G3137" s="40" t="n">
        <v>0</v>
      </c>
    </row>
    <row r="3138" ht="12" customHeight="1">
      <c r="A3138" s="30" t="inlineStr">
        <is>
          <t>ITG</t>
        </is>
      </c>
      <c r="B3138" s="30" t="inlineStr">
        <is>
          <t>Itaguai</t>
        </is>
      </c>
      <c r="C3138" s="30" t="n">
        <v>12407505</v>
      </c>
      <c r="D3138" s="30">
        <f>"00072100346768"</f>
        <v/>
      </c>
      <c r="E3138" s="30" t="inlineStr">
        <is>
          <t>PAULO ROBERTO MONTEIRO DA SILVA</t>
        </is>
      </c>
      <c r="F3138" s="30" t="inlineStr">
        <is>
          <t>2021</t>
        </is>
      </c>
      <c r="G3138" s="40" t="n">
        <v>0</v>
      </c>
    </row>
    <row r="3139" ht="12" customHeight="1">
      <c r="A3139" s="30" t="inlineStr">
        <is>
          <t>ITG</t>
        </is>
      </c>
      <c r="B3139" s="30" t="inlineStr">
        <is>
          <t>Itaguai</t>
        </is>
      </c>
      <c r="C3139" s="30" t="n">
        <v>12407505</v>
      </c>
      <c r="D3139" s="30">
        <f>"00072100346768"</f>
        <v/>
      </c>
      <c r="E3139" s="30" t="inlineStr">
        <is>
          <t>PAULO ROBERTO MONTEIRO DA SILVA</t>
        </is>
      </c>
      <c r="F3139" s="30" t="inlineStr">
        <is>
          <t>2022</t>
        </is>
      </c>
      <c r="G3139" s="40" t="n">
        <v>35655.2</v>
      </c>
    </row>
    <row r="3140" ht="12" customHeight="1">
      <c r="A3140" s="30" t="inlineStr">
        <is>
          <t>ITG</t>
        </is>
      </c>
      <c r="B3140" s="30" t="inlineStr">
        <is>
          <t>Itaguai</t>
        </is>
      </c>
      <c r="C3140" s="30" t="n">
        <v>12407505</v>
      </c>
      <c r="D3140" s="30">
        <f>"00072100346768"</f>
        <v/>
      </c>
      <c r="E3140" s="30" t="inlineStr">
        <is>
          <t>PAULO ROBERTO MONTEIRO DA SILVA</t>
        </is>
      </c>
      <c r="F3140" s="30" t="inlineStr">
        <is>
          <t>2023</t>
        </is>
      </c>
      <c r="G3140" s="40" t="n">
        <v>142285.6</v>
      </c>
    </row>
    <row r="3141" ht="12" customHeight="1">
      <c r="A3141" s="30" t="inlineStr">
        <is>
          <t>ITG</t>
        </is>
      </c>
      <c r="B3141" s="30" t="inlineStr">
        <is>
          <t>Itaguai</t>
        </is>
      </c>
      <c r="C3141" s="30" t="n">
        <v>12417900</v>
      </c>
      <c r="D3141" s="30">
        <f>"42446277000354"</f>
        <v/>
      </c>
      <c r="E3141" s="30" t="inlineStr">
        <is>
          <t>SHPX LOGISTICA LTDA.</t>
        </is>
      </c>
      <c r="F3141" s="30" t="inlineStr">
        <is>
          <t>2020</t>
        </is>
      </c>
      <c r="G3141" s="40" t="n">
        <v>0</v>
      </c>
    </row>
    <row r="3142" ht="12" customHeight="1">
      <c r="A3142" s="30" t="inlineStr">
        <is>
          <t>ITG</t>
        </is>
      </c>
      <c r="B3142" s="30" t="inlineStr">
        <is>
          <t>Itaguai</t>
        </is>
      </c>
      <c r="C3142" s="30" t="n">
        <v>12417900</v>
      </c>
      <c r="D3142" s="30">
        <f>"42446277000354"</f>
        <v/>
      </c>
      <c r="E3142" s="30" t="inlineStr">
        <is>
          <t>SHPX LOGISTICA LTDA.</t>
        </is>
      </c>
      <c r="F3142" s="30" t="inlineStr">
        <is>
          <t>2021</t>
        </is>
      </c>
      <c r="G3142" s="40" t="n">
        <v>0</v>
      </c>
    </row>
    <row r="3143" ht="12" customHeight="1">
      <c r="A3143" s="30" t="inlineStr">
        <is>
          <t>ITG</t>
        </is>
      </c>
      <c r="B3143" s="30" t="inlineStr">
        <is>
          <t>Itaguai</t>
        </is>
      </c>
      <c r="C3143" s="30" t="n">
        <v>12417900</v>
      </c>
      <c r="D3143" s="30">
        <f>"42446277000354"</f>
        <v/>
      </c>
      <c r="E3143" s="30" t="inlineStr">
        <is>
          <t>SHPX LOGISTICA LTDA.</t>
        </is>
      </c>
      <c r="F3143" s="30" t="inlineStr">
        <is>
          <t>2022</t>
        </is>
      </c>
      <c r="G3143" s="40" t="n">
        <v>2081.81</v>
      </c>
    </row>
    <row r="3144" ht="12" customHeight="1">
      <c r="A3144" s="30" t="inlineStr">
        <is>
          <t>ITG</t>
        </is>
      </c>
      <c r="B3144" s="30" t="inlineStr">
        <is>
          <t>Itaguai</t>
        </is>
      </c>
      <c r="C3144" s="30" t="n">
        <v>12417900</v>
      </c>
      <c r="D3144" s="30">
        <f>"42446277000354"</f>
        <v/>
      </c>
      <c r="E3144" s="30" t="inlineStr">
        <is>
          <t>SHPX LOGISTICA LTDA.</t>
        </is>
      </c>
      <c r="F3144" s="30" t="inlineStr">
        <is>
          <t>2023</t>
        </is>
      </c>
      <c r="G3144" s="40" t="n">
        <v>16846.47</v>
      </c>
    </row>
    <row r="3145" ht="12" customHeight="1">
      <c r="A3145" s="30" t="inlineStr">
        <is>
          <t>ITG</t>
        </is>
      </c>
      <c r="B3145" s="30" t="inlineStr">
        <is>
          <t>Itaguai</t>
        </is>
      </c>
      <c r="C3145" s="30" t="n">
        <v>12419023</v>
      </c>
      <c r="D3145" s="30">
        <f>"43715380000153"</f>
        <v/>
      </c>
      <c r="E3145" s="30" t="inlineStr">
        <is>
          <t>S?TIOS AGROFLORESTAIS EM ITAGUA? LTDA</t>
        </is>
      </c>
      <c r="F3145" s="30" t="inlineStr">
        <is>
          <t>2020</t>
        </is>
      </c>
      <c r="G3145" s="40" t="n">
        <v>0</v>
      </c>
    </row>
    <row r="3146" ht="12" customHeight="1">
      <c r="A3146" s="30" t="inlineStr">
        <is>
          <t>ITG</t>
        </is>
      </c>
      <c r="B3146" s="30" t="inlineStr">
        <is>
          <t>Itaguai</t>
        </is>
      </c>
      <c r="C3146" s="30" t="n">
        <v>12419023</v>
      </c>
      <c r="D3146" s="30">
        <f>"43715380000153"</f>
        <v/>
      </c>
      <c r="E3146" s="30" t="inlineStr">
        <is>
          <t>S?TIOS AGROFLORESTAIS EM ITAGUA? LTDA</t>
        </is>
      </c>
      <c r="F3146" s="30" t="inlineStr">
        <is>
          <t>2021</t>
        </is>
      </c>
      <c r="G3146" s="40" t="n">
        <v>0</v>
      </c>
    </row>
    <row r="3147" ht="12" customHeight="1">
      <c r="A3147" s="30" t="inlineStr">
        <is>
          <t>ITG</t>
        </is>
      </c>
      <c r="B3147" s="30" t="inlineStr">
        <is>
          <t>Itaguai</t>
        </is>
      </c>
      <c r="C3147" s="30" t="n">
        <v>12419023</v>
      </c>
      <c r="D3147" s="30">
        <f>"43715380000153"</f>
        <v/>
      </c>
      <c r="E3147" s="30" t="inlineStr">
        <is>
          <t>S?TIOS AGROFLORESTAIS EM ITAGUA? LTDA</t>
        </is>
      </c>
      <c r="F3147" s="30" t="inlineStr">
        <is>
          <t>2022</t>
        </is>
      </c>
      <c r="G3147" s="40" t="n">
        <v>0</v>
      </c>
    </row>
    <row r="3148" ht="12" customHeight="1">
      <c r="A3148" s="30" t="inlineStr">
        <is>
          <t>ITG</t>
        </is>
      </c>
      <c r="B3148" s="30" t="inlineStr">
        <is>
          <t>Itaguai</t>
        </is>
      </c>
      <c r="C3148" s="30" t="n">
        <v>12419023</v>
      </c>
      <c r="D3148" s="30">
        <f>"43715380000153"</f>
        <v/>
      </c>
      <c r="E3148" s="30" t="inlineStr">
        <is>
          <t>S?TIOS AGROFLORESTAIS EM ITAGUA? LTDA</t>
        </is>
      </c>
      <c r="F3148" s="30" t="inlineStr">
        <is>
          <t>2023</t>
        </is>
      </c>
      <c r="G3148" s="40" t="n">
        <v>0</v>
      </c>
    </row>
    <row r="3149" ht="12" customHeight="1">
      <c r="A3149" s="30" t="inlineStr">
        <is>
          <t>ITG</t>
        </is>
      </c>
      <c r="B3149" s="30" t="inlineStr">
        <is>
          <t>Itaguai</t>
        </is>
      </c>
      <c r="C3149" s="30" t="n">
        <v>12422300</v>
      </c>
      <c r="D3149" s="30">
        <f>"25426688000440"</f>
        <v/>
      </c>
      <c r="E3149" s="30" t="inlineStr">
        <is>
          <t>TELHAS CAMPINHO DE CAMPO GRANDE LTDA EPP</t>
        </is>
      </c>
      <c r="F3149" s="30" t="inlineStr">
        <is>
          <t>2020</t>
        </is>
      </c>
      <c r="G3149" s="40" t="n">
        <v>0</v>
      </c>
    </row>
    <row r="3150" ht="12" customHeight="1">
      <c r="A3150" s="30" t="inlineStr">
        <is>
          <t>ITG</t>
        </is>
      </c>
      <c r="B3150" s="30" t="inlineStr">
        <is>
          <t>Itaguai</t>
        </is>
      </c>
      <c r="C3150" s="30" t="n">
        <v>12422300</v>
      </c>
      <c r="D3150" s="30">
        <f>"25426688000440"</f>
        <v/>
      </c>
      <c r="E3150" s="30" t="inlineStr">
        <is>
          <t>TELHAS CAMPINHO DE CAMPO GRANDE LTDA EPP</t>
        </is>
      </c>
      <c r="F3150" s="30" t="inlineStr">
        <is>
          <t>2021</t>
        </is>
      </c>
      <c r="G3150" s="40" t="n">
        <v>0</v>
      </c>
    </row>
    <row r="3151" ht="12" customHeight="1">
      <c r="A3151" s="30" t="inlineStr">
        <is>
          <t>ITG</t>
        </is>
      </c>
      <c r="B3151" s="30" t="inlineStr">
        <is>
          <t>Itaguai</t>
        </is>
      </c>
      <c r="C3151" s="30" t="n">
        <v>12422300</v>
      </c>
      <c r="D3151" s="30">
        <f>"25426688000440"</f>
        <v/>
      </c>
      <c r="E3151" s="30" t="inlineStr">
        <is>
          <t>TELHAS CAMPINHO DE CAMPO GRANDE LTDA EPP</t>
        </is>
      </c>
      <c r="F3151" s="30" t="inlineStr">
        <is>
          <t>2022</t>
        </is>
      </c>
      <c r="G3151" s="40" t="n">
        <v>1246368.98</v>
      </c>
    </row>
    <row r="3152" ht="12" customHeight="1">
      <c r="A3152" s="30" t="inlineStr">
        <is>
          <t>ITG</t>
        </is>
      </c>
      <c r="B3152" s="30" t="inlineStr">
        <is>
          <t>Itaguai</t>
        </is>
      </c>
      <c r="C3152" s="30" t="n">
        <v>12422300</v>
      </c>
      <c r="D3152" s="30">
        <f>"25426688000440"</f>
        <v/>
      </c>
      <c r="E3152" s="30" t="inlineStr">
        <is>
          <t>TELHAS CAMPINHO DE CAMPO GRANDE LTDA EPP</t>
        </is>
      </c>
      <c r="F3152" s="30" t="inlineStr">
        <is>
          <t>2023</t>
        </is>
      </c>
      <c r="G3152" s="40" t="n">
        <v>0</v>
      </c>
    </row>
    <row r="3153" ht="12" customHeight="1">
      <c r="A3153" s="30" t="inlineStr">
        <is>
          <t>ITG</t>
        </is>
      </c>
      <c r="B3153" s="30" t="inlineStr">
        <is>
          <t>Itaguai</t>
        </is>
      </c>
      <c r="C3153" s="30" t="n">
        <v>12428910</v>
      </c>
      <c r="D3153" s="30">
        <f>"45909881000104"</f>
        <v/>
      </c>
      <c r="E3153" s="30" t="inlineStr">
        <is>
          <t>MULTI ITAGUA? MERCADO LTDA</t>
        </is>
      </c>
      <c r="F3153" s="30" t="inlineStr">
        <is>
          <t>2020</t>
        </is>
      </c>
      <c r="G3153" s="40" t="n">
        <v>0</v>
      </c>
    </row>
    <row r="3154" ht="12" customHeight="1">
      <c r="A3154" s="30" t="inlineStr">
        <is>
          <t>ITG</t>
        </is>
      </c>
      <c r="B3154" s="30" t="inlineStr">
        <is>
          <t>Itaguai</t>
        </is>
      </c>
      <c r="C3154" s="30" t="n">
        <v>12428910</v>
      </c>
      <c r="D3154" s="30">
        <f>"45909881000104"</f>
        <v/>
      </c>
      <c r="E3154" s="30" t="inlineStr">
        <is>
          <t>MULTI ITAGUA? MERCADO LTDA</t>
        </is>
      </c>
      <c r="F3154" s="30" t="inlineStr">
        <is>
          <t>2021</t>
        </is>
      </c>
      <c r="G3154" s="40" t="n">
        <v>0</v>
      </c>
    </row>
    <row r="3155" ht="12" customHeight="1">
      <c r="A3155" s="30" t="inlineStr">
        <is>
          <t>ITG</t>
        </is>
      </c>
      <c r="B3155" s="30" t="inlineStr">
        <is>
          <t>Itaguai</t>
        </is>
      </c>
      <c r="C3155" s="30" t="n">
        <v>12428910</v>
      </c>
      <c r="D3155" s="30">
        <f>"45909881000104"</f>
        <v/>
      </c>
      <c r="E3155" s="30" t="inlineStr">
        <is>
          <t>MULTI ITAGUA? MERCADO LTDA</t>
        </is>
      </c>
      <c r="F3155" s="30" t="inlineStr">
        <is>
          <t>2022</t>
        </is>
      </c>
      <c r="G3155" s="40" t="n">
        <v>3503054.7</v>
      </c>
    </row>
    <row r="3156" ht="12" customHeight="1">
      <c r="A3156" s="30" t="inlineStr">
        <is>
          <t>ITG</t>
        </is>
      </c>
      <c r="B3156" s="30" t="inlineStr">
        <is>
          <t>Itaguai</t>
        </is>
      </c>
      <c r="C3156" s="30" t="n">
        <v>12428910</v>
      </c>
      <c r="D3156" s="30">
        <f>"45909881000104"</f>
        <v/>
      </c>
      <c r="E3156" s="30" t="inlineStr">
        <is>
          <t>MULTI ITAGUA? MERCADO LTDA</t>
        </is>
      </c>
      <c r="F3156" s="30" t="inlineStr">
        <is>
          <t>2023</t>
        </is>
      </c>
      <c r="G3156" s="40" t="n">
        <v>7167439.98</v>
      </c>
    </row>
    <row r="3157" ht="12" customHeight="1">
      <c r="A3157" s="30" t="inlineStr">
        <is>
          <t>ITG</t>
        </is>
      </c>
      <c r="B3157" s="30" t="inlineStr">
        <is>
          <t>Itaguai</t>
        </is>
      </c>
      <c r="C3157" s="30" t="n">
        <v>12429304</v>
      </c>
      <c r="D3157" s="30">
        <f>"00002733866702"</f>
        <v/>
      </c>
      <c r="E3157" s="30" t="inlineStr">
        <is>
          <t>MARIA LAUREN?O MORITA</t>
        </is>
      </c>
      <c r="F3157" s="30" t="inlineStr">
        <is>
          <t>2020</t>
        </is>
      </c>
      <c r="G3157" s="40" t="n">
        <v>0</v>
      </c>
    </row>
    <row r="3158" ht="12" customHeight="1">
      <c r="A3158" s="30" t="inlineStr">
        <is>
          <t>ITG</t>
        </is>
      </c>
      <c r="B3158" s="30" t="inlineStr">
        <is>
          <t>Itaguai</t>
        </is>
      </c>
      <c r="C3158" s="30" t="n">
        <v>12429304</v>
      </c>
      <c r="D3158" s="30">
        <f>"00002733866702"</f>
        <v/>
      </c>
      <c r="E3158" s="30" t="inlineStr">
        <is>
          <t>MARIA LAUREN?O MORITA</t>
        </is>
      </c>
      <c r="F3158" s="30" t="inlineStr">
        <is>
          <t>2021</t>
        </is>
      </c>
      <c r="G3158" s="40" t="n">
        <v>0</v>
      </c>
    </row>
    <row r="3159" ht="12" customHeight="1">
      <c r="A3159" s="30" t="inlineStr">
        <is>
          <t>ITG</t>
        </is>
      </c>
      <c r="B3159" s="30" t="inlineStr">
        <is>
          <t>Itaguai</t>
        </is>
      </c>
      <c r="C3159" s="30" t="n">
        <v>12429304</v>
      </c>
      <c r="D3159" s="30">
        <f>"00002733866702"</f>
        <v/>
      </c>
      <c r="E3159" s="30" t="inlineStr">
        <is>
          <t>MARIA LAUREN?O MORITA</t>
        </is>
      </c>
      <c r="F3159" s="30" t="inlineStr">
        <is>
          <t>2022</t>
        </is>
      </c>
      <c r="G3159" s="40" t="n">
        <v>15336.34</v>
      </c>
    </row>
    <row r="3160" ht="12" customHeight="1">
      <c r="A3160" s="30" t="inlineStr">
        <is>
          <t>ITG</t>
        </is>
      </c>
      <c r="B3160" s="30" t="inlineStr">
        <is>
          <t>Itaguai</t>
        </is>
      </c>
      <c r="C3160" s="30" t="n">
        <v>12429304</v>
      </c>
      <c r="D3160" s="30">
        <f>"00002733866702"</f>
        <v/>
      </c>
      <c r="E3160" s="30" t="inlineStr">
        <is>
          <t>MARIA LAUREN?O MORITA</t>
        </is>
      </c>
      <c r="F3160" s="30" t="inlineStr">
        <is>
          <t>2023</t>
        </is>
      </c>
      <c r="G3160" s="40" t="n">
        <v>17728.03</v>
      </c>
    </row>
    <row r="3161" ht="12" customHeight="1">
      <c r="A3161" s="30" t="inlineStr">
        <is>
          <t>ITG</t>
        </is>
      </c>
      <c r="B3161" s="30" t="inlineStr">
        <is>
          <t>Itaguai</t>
        </is>
      </c>
      <c r="C3161" s="30" t="n">
        <v>12436912</v>
      </c>
      <c r="D3161" s="30">
        <f>"34336348000176"</f>
        <v/>
      </c>
      <c r="E3161" s="30" t="inlineStr">
        <is>
          <t>R F FARMACIA DO CAMPO LTDA</t>
        </is>
      </c>
      <c r="F3161" s="30" t="inlineStr">
        <is>
          <t>2021</t>
        </is>
      </c>
      <c r="G3161" s="40" t="n">
        <v>0</v>
      </c>
    </row>
    <row r="3162" ht="12" customHeight="1">
      <c r="A3162" s="30" t="inlineStr">
        <is>
          <t>ITG</t>
        </is>
      </c>
      <c r="B3162" s="30" t="inlineStr">
        <is>
          <t>Itaguai</t>
        </is>
      </c>
      <c r="C3162" s="30" t="n">
        <v>12436912</v>
      </c>
      <c r="D3162" s="30">
        <f>"34336348000176"</f>
        <v/>
      </c>
      <c r="E3162" s="30" t="inlineStr">
        <is>
          <t>R F FARMACIA DO CAMPO LTDA</t>
        </is>
      </c>
      <c r="F3162" s="30" t="inlineStr">
        <is>
          <t>2022</t>
        </is>
      </c>
      <c r="G3162" s="40" t="n">
        <v>0</v>
      </c>
    </row>
    <row r="3163" ht="12" customHeight="1">
      <c r="A3163" s="30" t="inlineStr">
        <is>
          <t>ITG</t>
        </is>
      </c>
      <c r="B3163" s="30" t="inlineStr">
        <is>
          <t>Itaguai</t>
        </is>
      </c>
      <c r="C3163" s="30" t="n">
        <v>12436912</v>
      </c>
      <c r="D3163" s="30">
        <f>"34336348000176"</f>
        <v/>
      </c>
      <c r="E3163" s="30" t="inlineStr">
        <is>
          <t>R F FARMACIA DO CAMPO LTDA</t>
        </is>
      </c>
      <c r="F3163" s="30" t="inlineStr">
        <is>
          <t>2023</t>
        </is>
      </c>
      <c r="G3163" s="40" t="n">
        <v>0</v>
      </c>
    </row>
    <row r="3164" ht="12" customHeight="1">
      <c r="A3164" s="30" t="inlineStr">
        <is>
          <t>ITG</t>
        </is>
      </c>
      <c r="B3164" s="30" t="inlineStr">
        <is>
          <t>Itaguai</t>
        </is>
      </c>
      <c r="C3164" s="30" t="n">
        <v>12437811</v>
      </c>
      <c r="D3164" s="30">
        <f>"32324737000237"</f>
        <v/>
      </c>
      <c r="E3164" s="30" t="inlineStr">
        <is>
          <t>SUPER PET COM?RCIO DE RACOES LTDA</t>
        </is>
      </c>
      <c r="F3164" s="30" t="inlineStr">
        <is>
          <t>2021</t>
        </is>
      </c>
      <c r="G3164" s="40" t="n">
        <v>0</v>
      </c>
    </row>
    <row r="3165" ht="12" customHeight="1">
      <c r="A3165" s="30" t="inlineStr">
        <is>
          <t>ITG</t>
        </is>
      </c>
      <c r="B3165" s="30" t="inlineStr">
        <is>
          <t>Itaguai</t>
        </is>
      </c>
      <c r="C3165" s="30" t="n">
        <v>12437811</v>
      </c>
      <c r="D3165" s="30">
        <f>"32324737000237"</f>
        <v/>
      </c>
      <c r="E3165" s="30" t="inlineStr">
        <is>
          <t>SUPER PET COM?RCIO DE RACOES LTDA</t>
        </is>
      </c>
      <c r="F3165" s="30" t="inlineStr">
        <is>
          <t>2022</t>
        </is>
      </c>
      <c r="G3165" s="40" t="n">
        <v>0</v>
      </c>
    </row>
    <row r="3166" ht="12" customHeight="1">
      <c r="A3166" s="30" t="inlineStr">
        <is>
          <t>ITG</t>
        </is>
      </c>
      <c r="B3166" s="30" t="inlineStr">
        <is>
          <t>Itaguai</t>
        </is>
      </c>
      <c r="C3166" s="30" t="n">
        <v>12437811</v>
      </c>
      <c r="D3166" s="30">
        <f>"32324737000237"</f>
        <v/>
      </c>
      <c r="E3166" s="30" t="inlineStr">
        <is>
          <t>SUPER PET COM?RCIO DE RACOES LTDA</t>
        </is>
      </c>
      <c r="F3166" s="30" t="inlineStr">
        <is>
          <t>2023</t>
        </is>
      </c>
      <c r="G3166" s="40" t="n">
        <v>1377159.68</v>
      </c>
    </row>
    <row r="3167" ht="12" customHeight="1">
      <c r="A3167" s="30" t="inlineStr">
        <is>
          <t>ITG</t>
        </is>
      </c>
      <c r="B3167" s="30" t="inlineStr">
        <is>
          <t>Itaguai</t>
        </is>
      </c>
      <c r="C3167" s="30" t="n">
        <v>12480113</v>
      </c>
      <c r="D3167" s="30">
        <f>"46511072000102"</f>
        <v/>
      </c>
      <c r="E3167" s="30" t="inlineStr">
        <is>
          <t>F.C.A IND?STRIA E COM?RCIO DE FERRO E A?O LTDA</t>
        </is>
      </c>
      <c r="F3167" s="30" t="inlineStr">
        <is>
          <t>2020</t>
        </is>
      </c>
      <c r="G3167" s="40" t="n">
        <v>0</v>
      </c>
    </row>
    <row r="3168" ht="12" customHeight="1">
      <c r="A3168" s="30" t="inlineStr">
        <is>
          <t>ITG</t>
        </is>
      </c>
      <c r="B3168" s="30" t="inlineStr">
        <is>
          <t>Itaguai</t>
        </is>
      </c>
      <c r="C3168" s="30" t="n">
        <v>12480113</v>
      </c>
      <c r="D3168" s="30">
        <f>"46511072000102"</f>
        <v/>
      </c>
      <c r="E3168" s="30" t="inlineStr">
        <is>
          <t>F.C.A IND?STRIA E COM?RCIO DE FERRO E A?O LTDA</t>
        </is>
      </c>
      <c r="F3168" s="30" t="inlineStr">
        <is>
          <t>2021</t>
        </is>
      </c>
      <c r="G3168" s="40" t="n">
        <v>0</v>
      </c>
    </row>
    <row r="3169" ht="12" customHeight="1">
      <c r="A3169" s="30" t="inlineStr">
        <is>
          <t>ITG</t>
        </is>
      </c>
      <c r="B3169" s="30" t="inlineStr">
        <is>
          <t>Itaguai</t>
        </is>
      </c>
      <c r="C3169" s="30" t="n">
        <v>12480113</v>
      </c>
      <c r="D3169" s="30">
        <f>"46511072000102"</f>
        <v/>
      </c>
      <c r="E3169" s="30" t="inlineStr">
        <is>
          <t>F.C.A IND?STRIA E COM?RCIO DE FERRO E A?O LTDA</t>
        </is>
      </c>
      <c r="F3169" s="30" t="inlineStr">
        <is>
          <t>2022</t>
        </is>
      </c>
      <c r="G3169" s="40" t="n">
        <v>0</v>
      </c>
    </row>
    <row r="3170" ht="12" customHeight="1">
      <c r="A3170" s="30" t="inlineStr">
        <is>
          <t>ITG</t>
        </is>
      </c>
      <c r="B3170" s="30" t="inlineStr">
        <is>
          <t>Itaguai</t>
        </is>
      </c>
      <c r="C3170" s="30" t="n">
        <v>12480113</v>
      </c>
      <c r="D3170" s="30">
        <f>"46511072000102"</f>
        <v/>
      </c>
      <c r="E3170" s="30" t="inlineStr">
        <is>
          <t>F.C.A IND?STRIA E COM?RCIO DE FERRO E A?O LTDA</t>
        </is>
      </c>
      <c r="F3170" s="30" t="inlineStr">
        <is>
          <t>2023</t>
        </is>
      </c>
      <c r="G3170" s="40" t="n">
        <v>0</v>
      </c>
    </row>
    <row r="3171" ht="12" customHeight="1">
      <c r="A3171" s="30" t="inlineStr">
        <is>
          <t>ITG</t>
        </is>
      </c>
      <c r="B3171" s="30" t="inlineStr">
        <is>
          <t>Itaguai</t>
        </is>
      </c>
      <c r="C3171" s="30" t="n">
        <v>12489790</v>
      </c>
      <c r="D3171" s="30">
        <f>"43854903000223"</f>
        <v/>
      </c>
      <c r="E3171" s="30" t="inlineStr">
        <is>
          <t>KARPOWERSHIP BRASIL ENERGIA LTDA.</t>
        </is>
      </c>
      <c r="F3171" s="30" t="inlineStr">
        <is>
          <t>2020</t>
        </is>
      </c>
      <c r="G3171" s="40" t="n">
        <v>0</v>
      </c>
    </row>
    <row r="3172" ht="12" customHeight="1">
      <c r="A3172" s="30" t="inlineStr">
        <is>
          <t>ITG</t>
        </is>
      </c>
      <c r="B3172" s="30" t="inlineStr">
        <is>
          <t>Itaguai</t>
        </is>
      </c>
      <c r="C3172" s="30" t="n">
        <v>12489790</v>
      </c>
      <c r="D3172" s="30">
        <f>"43854903000223"</f>
        <v/>
      </c>
      <c r="E3172" s="30" t="inlineStr">
        <is>
          <t>KARPOWERSHIP BRASIL ENERGIA LTDA.</t>
        </is>
      </c>
      <c r="F3172" s="30" t="inlineStr">
        <is>
          <t>2021</t>
        </is>
      </c>
      <c r="G3172" s="40" t="n">
        <v>0</v>
      </c>
    </row>
    <row r="3173" ht="12" customHeight="1">
      <c r="A3173" s="30" t="inlineStr">
        <is>
          <t>ITG</t>
        </is>
      </c>
      <c r="B3173" s="30" t="inlineStr">
        <is>
          <t>Itaguai</t>
        </is>
      </c>
      <c r="C3173" s="30" t="n">
        <v>12489790</v>
      </c>
      <c r="D3173" s="30">
        <f>"43854903000223"</f>
        <v/>
      </c>
      <c r="E3173" s="30" t="inlineStr">
        <is>
          <t>KARPOWERSHIP BRASIL ENERGIA LTDA.</t>
        </is>
      </c>
      <c r="F3173" s="30" t="inlineStr">
        <is>
          <t>2022</t>
        </is>
      </c>
      <c r="G3173" s="40" t="n">
        <v>0</v>
      </c>
    </row>
    <row r="3174" ht="12" customHeight="1">
      <c r="A3174" s="30" t="inlineStr">
        <is>
          <t>ITG</t>
        </is>
      </c>
      <c r="B3174" s="30" t="inlineStr">
        <is>
          <t>Itaguai</t>
        </is>
      </c>
      <c r="C3174" s="30" t="n">
        <v>12489790</v>
      </c>
      <c r="D3174" s="30">
        <f>"43854903000223"</f>
        <v/>
      </c>
      <c r="E3174" s="30" t="inlineStr">
        <is>
          <t>KARPOWERSHIP BRASIL ENERGIA LTDA.</t>
        </is>
      </c>
      <c r="F3174" s="30" t="inlineStr">
        <is>
          <t>2023</t>
        </is>
      </c>
      <c r="G3174" s="40" t="n">
        <v>0</v>
      </c>
    </row>
    <row r="3175" ht="12" customHeight="1">
      <c r="A3175" s="30" t="inlineStr">
        <is>
          <t>ITG</t>
        </is>
      </c>
      <c r="B3175" s="30" t="inlineStr">
        <is>
          <t>Itaguai</t>
        </is>
      </c>
      <c r="C3175" s="30" t="n">
        <v>12499051</v>
      </c>
      <c r="D3175" s="30">
        <f>"61585865298380"</f>
        <v/>
      </c>
      <c r="E3175" s="30" t="inlineStr">
        <is>
          <t>RAIA DROGASIL S/A</t>
        </is>
      </c>
      <c r="F3175" s="30" t="inlineStr">
        <is>
          <t>2020</t>
        </is>
      </c>
      <c r="G3175" s="40" t="n">
        <v>0</v>
      </c>
    </row>
    <row r="3176" ht="12" customHeight="1">
      <c r="A3176" s="30" t="inlineStr">
        <is>
          <t>ITG</t>
        </is>
      </c>
      <c r="B3176" s="30" t="inlineStr">
        <is>
          <t>Itaguai</t>
        </is>
      </c>
      <c r="C3176" s="30" t="n">
        <v>12499051</v>
      </c>
      <c r="D3176" s="30">
        <f>"61585865298380"</f>
        <v/>
      </c>
      <c r="E3176" s="30" t="inlineStr">
        <is>
          <t>RAIA DROGASIL S/A</t>
        </is>
      </c>
      <c r="F3176" s="30" t="inlineStr">
        <is>
          <t>2021</t>
        </is>
      </c>
      <c r="G3176" s="40" t="n">
        <v>0</v>
      </c>
    </row>
    <row r="3177" ht="12" customHeight="1">
      <c r="A3177" s="30" t="inlineStr">
        <is>
          <t>ITG</t>
        </is>
      </c>
      <c r="B3177" s="30" t="inlineStr">
        <is>
          <t>Itaguai</t>
        </is>
      </c>
      <c r="C3177" s="30" t="n">
        <v>12499051</v>
      </c>
      <c r="D3177" s="30">
        <f>"61585865298380"</f>
        <v/>
      </c>
      <c r="E3177" s="30" t="inlineStr">
        <is>
          <t>RAIA DROGASIL S/A</t>
        </is>
      </c>
      <c r="F3177" s="30" t="inlineStr">
        <is>
          <t>2022</t>
        </is>
      </c>
      <c r="G3177" s="40" t="n">
        <v>400343.46</v>
      </c>
    </row>
    <row r="3178" ht="12" customHeight="1">
      <c r="A3178" s="30" t="inlineStr">
        <is>
          <t>ITG</t>
        </is>
      </c>
      <c r="B3178" s="30" t="inlineStr">
        <is>
          <t>Itaguai</t>
        </is>
      </c>
      <c r="C3178" s="30" t="n">
        <v>12499051</v>
      </c>
      <c r="D3178" s="30">
        <f>"61585865298380"</f>
        <v/>
      </c>
      <c r="E3178" s="30" t="inlineStr">
        <is>
          <t>RAIA DROGASIL S/A</t>
        </is>
      </c>
      <c r="F3178" s="30" t="inlineStr">
        <is>
          <t>2023</t>
        </is>
      </c>
      <c r="G3178" s="40" t="n">
        <v>2189866.93</v>
      </c>
    </row>
    <row r="3179" ht="12" customHeight="1">
      <c r="A3179" s="30" t="inlineStr">
        <is>
          <t>ITG</t>
        </is>
      </c>
      <c r="B3179" s="30" t="inlineStr">
        <is>
          <t>Itaguai</t>
        </is>
      </c>
      <c r="C3179" s="30" t="n">
        <v>12499515</v>
      </c>
      <c r="D3179" s="30">
        <f>"44268105000282"</f>
        <v/>
      </c>
      <c r="E3179" s="30" t="inlineStr">
        <is>
          <t>AGROPECUARIA SANTA LUZIA LTDA</t>
        </is>
      </c>
      <c r="F3179" s="30" t="inlineStr">
        <is>
          <t>2020</t>
        </is>
      </c>
      <c r="G3179" s="40" t="n">
        <v>0</v>
      </c>
    </row>
    <row r="3180" ht="12" customHeight="1">
      <c r="A3180" s="30" t="inlineStr">
        <is>
          <t>ITG</t>
        </is>
      </c>
      <c r="B3180" s="30" t="inlineStr">
        <is>
          <t>Itaguai</t>
        </is>
      </c>
      <c r="C3180" s="30" t="n">
        <v>12499515</v>
      </c>
      <c r="D3180" s="30">
        <f>"44268105000282"</f>
        <v/>
      </c>
      <c r="E3180" s="30" t="inlineStr">
        <is>
          <t>AGROPECUARIA SANTA LUZIA LTDA</t>
        </is>
      </c>
      <c r="F3180" s="30" t="inlineStr">
        <is>
          <t>2021</t>
        </is>
      </c>
      <c r="G3180" s="40" t="n">
        <v>0</v>
      </c>
    </row>
    <row r="3181" ht="12" customHeight="1">
      <c r="A3181" s="30" t="inlineStr">
        <is>
          <t>ITG</t>
        </is>
      </c>
      <c r="B3181" s="30" t="inlineStr">
        <is>
          <t>Itaguai</t>
        </is>
      </c>
      <c r="C3181" s="30" t="n">
        <v>12499515</v>
      </c>
      <c r="D3181" s="30">
        <f>"44268105000282"</f>
        <v/>
      </c>
      <c r="E3181" s="30" t="inlineStr">
        <is>
          <t>AGROPECUARIA SANTA LUZIA LTDA</t>
        </is>
      </c>
      <c r="F3181" s="30" t="inlineStr">
        <is>
          <t>2022</t>
        </is>
      </c>
      <c r="G3181" s="40" t="n">
        <v>0</v>
      </c>
    </row>
    <row r="3182" ht="12" customHeight="1">
      <c r="A3182" s="30" t="inlineStr">
        <is>
          <t>ITG</t>
        </is>
      </c>
      <c r="B3182" s="30" t="inlineStr">
        <is>
          <t>Itaguai</t>
        </is>
      </c>
      <c r="C3182" s="30" t="n">
        <v>12499515</v>
      </c>
      <c r="D3182" s="30">
        <f>"44268105000282"</f>
        <v/>
      </c>
      <c r="E3182" s="30" t="inlineStr">
        <is>
          <t>AGROPECUARIA SANTA LUZIA LTDA</t>
        </is>
      </c>
      <c r="F3182" s="30" t="inlineStr">
        <is>
          <t>2023</t>
        </is>
      </c>
      <c r="G3182" s="40" t="n">
        <v>0</v>
      </c>
    </row>
    <row r="3183" ht="12" customHeight="1">
      <c r="A3183" s="30" t="inlineStr">
        <is>
          <t>ITG</t>
        </is>
      </c>
      <c r="B3183" s="30" t="inlineStr">
        <is>
          <t>Itaguai</t>
        </is>
      </c>
      <c r="C3183" s="30" t="n">
        <v>12501102</v>
      </c>
      <c r="D3183" s="30">
        <f>"52548435026720"</f>
        <v/>
      </c>
      <c r="E3183" s="30" t="inlineStr">
        <is>
          <t>JSL S/A</t>
        </is>
      </c>
      <c r="F3183" s="30" t="inlineStr">
        <is>
          <t>2021</t>
        </is>
      </c>
      <c r="G3183" s="40" t="n">
        <v>0</v>
      </c>
    </row>
    <row r="3184" ht="12" customHeight="1">
      <c r="A3184" s="30" t="inlineStr">
        <is>
          <t>ITG</t>
        </is>
      </c>
      <c r="B3184" s="30" t="inlineStr">
        <is>
          <t>Itaguai</t>
        </is>
      </c>
      <c r="C3184" s="30" t="n">
        <v>12501102</v>
      </c>
      <c r="D3184" s="30">
        <f>"52548435026720"</f>
        <v/>
      </c>
      <c r="E3184" s="30" t="inlineStr">
        <is>
          <t>JSL S/A</t>
        </is>
      </c>
      <c r="F3184" s="30" t="inlineStr">
        <is>
          <t>2022</t>
        </is>
      </c>
      <c r="G3184" s="40" t="n">
        <v>0</v>
      </c>
    </row>
    <row r="3185" ht="12" customHeight="1">
      <c r="A3185" s="30" t="inlineStr">
        <is>
          <t>ITG</t>
        </is>
      </c>
      <c r="B3185" s="30" t="inlineStr">
        <is>
          <t>Itaguai</t>
        </is>
      </c>
      <c r="C3185" s="30" t="n">
        <v>12501102</v>
      </c>
      <c r="D3185" s="30">
        <f>"52548435026720"</f>
        <v/>
      </c>
      <c r="E3185" s="30" t="inlineStr">
        <is>
          <t>JSL S/A</t>
        </is>
      </c>
      <c r="F3185" s="30" t="inlineStr">
        <is>
          <t>2023</t>
        </is>
      </c>
      <c r="G3185" s="40" t="n">
        <v>844.54</v>
      </c>
    </row>
    <row r="3186" ht="12" customHeight="1">
      <c r="A3186" s="30" t="inlineStr">
        <is>
          <t>ITG</t>
        </is>
      </c>
      <c r="B3186" s="30" t="inlineStr">
        <is>
          <t>Itaguai</t>
        </is>
      </c>
      <c r="C3186" s="30" t="n">
        <v>12501498</v>
      </c>
      <c r="D3186" s="30">
        <f>"46712937000190"</f>
        <v/>
      </c>
      <c r="E3186" s="30" t="inlineStr">
        <is>
          <t>DIAS COMPRA E VENDA DE VEICULOS LTDA</t>
        </is>
      </c>
      <c r="F3186" s="30" t="inlineStr">
        <is>
          <t>2020</t>
        </is>
      </c>
      <c r="G3186" s="40" t="n">
        <v>0</v>
      </c>
    </row>
    <row r="3187" ht="12" customHeight="1">
      <c r="A3187" s="30" t="inlineStr">
        <is>
          <t>ITG</t>
        </is>
      </c>
      <c r="B3187" s="30" t="inlineStr">
        <is>
          <t>Itaguai</t>
        </is>
      </c>
      <c r="C3187" s="30" t="n">
        <v>12501498</v>
      </c>
      <c r="D3187" s="30">
        <f>"46712937000190"</f>
        <v/>
      </c>
      <c r="E3187" s="30" t="inlineStr">
        <is>
          <t>DIAS COMPRA E VENDA DE VEICULOS LTDA</t>
        </is>
      </c>
      <c r="F3187" s="30" t="inlineStr">
        <is>
          <t>2021</t>
        </is>
      </c>
      <c r="G3187" s="40" t="n">
        <v>0</v>
      </c>
    </row>
    <row r="3188" ht="12" customHeight="1">
      <c r="A3188" s="30" t="inlineStr">
        <is>
          <t>ITG</t>
        </is>
      </c>
      <c r="B3188" s="30" t="inlineStr">
        <is>
          <t>Itaguai</t>
        </is>
      </c>
      <c r="C3188" s="30" t="n">
        <v>12501498</v>
      </c>
      <c r="D3188" s="30">
        <f>"46712937000190"</f>
        <v/>
      </c>
      <c r="E3188" s="30" t="inlineStr">
        <is>
          <t>DIAS COMPRA E VENDA DE VEICULOS LTDA</t>
        </is>
      </c>
      <c r="F3188" s="30" t="inlineStr">
        <is>
          <t>2022</t>
        </is>
      </c>
      <c r="G3188" s="40" t="n">
        <v>0</v>
      </c>
    </row>
    <row r="3189" ht="12" customHeight="1">
      <c r="A3189" s="30" t="inlineStr">
        <is>
          <t>ITG</t>
        </is>
      </c>
      <c r="B3189" s="30" t="inlineStr">
        <is>
          <t>Itaguai</t>
        </is>
      </c>
      <c r="C3189" s="30" t="n">
        <v>12501498</v>
      </c>
      <c r="D3189" s="30">
        <f>"46712937000190"</f>
        <v/>
      </c>
      <c r="E3189" s="30" t="inlineStr">
        <is>
          <t>DIAS COMPRA E VENDA DE VEICULOS LTDA</t>
        </is>
      </c>
      <c r="F3189" s="30" t="inlineStr">
        <is>
          <t>2023</t>
        </is>
      </c>
      <c r="G3189" s="40" t="n">
        <v>0</v>
      </c>
    </row>
    <row r="3190" ht="12" customHeight="1">
      <c r="A3190" s="30" t="inlineStr">
        <is>
          <t>ITG</t>
        </is>
      </c>
      <c r="B3190" s="30" t="inlineStr">
        <is>
          <t>Itaguai</t>
        </is>
      </c>
      <c r="C3190" s="30" t="n">
        <v>12515880</v>
      </c>
      <c r="D3190" s="30">
        <f>"40299810045125"</f>
        <v/>
      </c>
      <c r="E3190" s="30" t="inlineStr">
        <is>
          <t>AM/PM COMESTIVEIS LTDA</t>
        </is>
      </c>
      <c r="F3190" s="30" t="inlineStr">
        <is>
          <t>2020</t>
        </is>
      </c>
      <c r="G3190" s="40" t="n">
        <v>0</v>
      </c>
    </row>
    <row r="3191" ht="12" customHeight="1">
      <c r="A3191" s="30" t="inlineStr">
        <is>
          <t>ITG</t>
        </is>
      </c>
      <c r="B3191" s="30" t="inlineStr">
        <is>
          <t>Itaguai</t>
        </is>
      </c>
      <c r="C3191" s="30" t="n">
        <v>12515880</v>
      </c>
      <c r="D3191" s="30">
        <f>"40299810045125"</f>
        <v/>
      </c>
      <c r="E3191" s="30" t="inlineStr">
        <is>
          <t>AM/PM COMESTIVEIS LTDA</t>
        </is>
      </c>
      <c r="F3191" s="30" t="inlineStr">
        <is>
          <t>2021</t>
        </is>
      </c>
      <c r="G3191" s="40" t="n">
        <v>0</v>
      </c>
    </row>
    <row r="3192" ht="12" customHeight="1">
      <c r="A3192" s="30" t="inlineStr">
        <is>
          <t>ITG</t>
        </is>
      </c>
      <c r="B3192" s="30" t="inlineStr">
        <is>
          <t>Itaguai</t>
        </is>
      </c>
      <c r="C3192" s="30" t="n">
        <v>12515880</v>
      </c>
      <c r="D3192" s="30">
        <f>"40299810045125"</f>
        <v/>
      </c>
      <c r="E3192" s="30" t="inlineStr">
        <is>
          <t>AM/PM COMESTIVEIS LTDA</t>
        </is>
      </c>
      <c r="F3192" s="30" t="inlineStr">
        <is>
          <t>2022</t>
        </is>
      </c>
      <c r="G3192" s="40" t="n">
        <v>271268.18</v>
      </c>
    </row>
    <row r="3193" ht="12" customHeight="1">
      <c r="A3193" s="30" t="inlineStr">
        <is>
          <t>ITG</t>
        </is>
      </c>
      <c r="B3193" s="30" t="inlineStr">
        <is>
          <t>Itaguai</t>
        </is>
      </c>
      <c r="C3193" s="30" t="n">
        <v>12515880</v>
      </c>
      <c r="D3193" s="30">
        <f>"40299810045125"</f>
        <v/>
      </c>
      <c r="E3193" s="30" t="inlineStr">
        <is>
          <t>AM/PM COMESTIVEIS LTDA</t>
        </is>
      </c>
      <c r="F3193" s="30" t="inlineStr">
        <is>
          <t>2023</t>
        </is>
      </c>
      <c r="G3193" s="40" t="n">
        <v>486416.51</v>
      </c>
    </row>
    <row r="3194" ht="12" customHeight="1">
      <c r="A3194" s="30" t="inlineStr">
        <is>
          <t>ITG</t>
        </is>
      </c>
      <c r="B3194" s="30" t="inlineStr">
        <is>
          <t>Itaguai</t>
        </is>
      </c>
      <c r="C3194" s="30" t="n">
        <v>12520530</v>
      </c>
      <c r="D3194" s="30">
        <f>"46871628000163"</f>
        <v/>
      </c>
      <c r="E3194" s="30" t="inlineStr">
        <is>
          <t>XATE GEN ARRENDAMENTO DE SISTEMAS FOTOVOLTAICOS LTDA</t>
        </is>
      </c>
      <c r="F3194" s="30" t="inlineStr">
        <is>
          <t>2021</t>
        </is>
      </c>
      <c r="G3194" s="40" t="n">
        <v>0</v>
      </c>
    </row>
    <row r="3195" ht="12" customHeight="1">
      <c r="A3195" s="30" t="inlineStr">
        <is>
          <t>ITG</t>
        </is>
      </c>
      <c r="B3195" s="30" t="inlineStr">
        <is>
          <t>Itaguai</t>
        </is>
      </c>
      <c r="C3195" s="30" t="n">
        <v>12520530</v>
      </c>
      <c r="D3195" s="30">
        <f>"46871628000163"</f>
        <v/>
      </c>
      <c r="E3195" s="30" t="inlineStr">
        <is>
          <t>XATE GEN ARRENDAMENTO DE SISTEMAS FOTOVOLTAICOS LTDA</t>
        </is>
      </c>
      <c r="F3195" s="30" t="inlineStr">
        <is>
          <t>2022</t>
        </is>
      </c>
      <c r="G3195" s="40" t="n">
        <v>0</v>
      </c>
    </row>
    <row r="3196" ht="12" customHeight="1">
      <c r="A3196" s="30" t="inlineStr">
        <is>
          <t>ITG</t>
        </is>
      </c>
      <c r="B3196" s="30" t="inlineStr">
        <is>
          <t>Itaguai</t>
        </is>
      </c>
      <c r="C3196" s="30" t="n">
        <v>12520530</v>
      </c>
      <c r="D3196" s="30">
        <f>"46871628000163"</f>
        <v/>
      </c>
      <c r="E3196" s="30" t="inlineStr">
        <is>
          <t>XATE GEN ARRENDAMENTO DE SISTEMAS FOTOVOLTAICOS LTDA</t>
        </is>
      </c>
      <c r="F3196" s="30" t="inlineStr">
        <is>
          <t>2023</t>
        </is>
      </c>
      <c r="G3196" s="40" t="n">
        <v>0</v>
      </c>
    </row>
    <row r="3197" ht="12" customHeight="1">
      <c r="A3197" s="30" t="inlineStr">
        <is>
          <t>ITG</t>
        </is>
      </c>
      <c r="B3197" s="30" t="inlineStr">
        <is>
          <t>Itaguai</t>
        </is>
      </c>
      <c r="C3197" s="30" t="n">
        <v>12528159</v>
      </c>
      <c r="D3197" s="30">
        <f>"20209036000430"</f>
        <v/>
      </c>
      <c r="E3197" s="30" t="inlineStr">
        <is>
          <t>JEOVA JIREH GESTAO DE ESTOQUE EM LOGISTICA BR LTDA</t>
        </is>
      </c>
      <c r="F3197" s="30" t="inlineStr">
        <is>
          <t>2021</t>
        </is>
      </c>
      <c r="G3197" s="40" t="n">
        <v>0</v>
      </c>
    </row>
    <row r="3198" ht="12" customHeight="1">
      <c r="A3198" s="30" t="inlineStr">
        <is>
          <t>ITG</t>
        </is>
      </c>
      <c r="B3198" s="30" t="inlineStr">
        <is>
          <t>Itaguai</t>
        </is>
      </c>
      <c r="C3198" s="30" t="n">
        <v>12528159</v>
      </c>
      <c r="D3198" s="30">
        <f>"20209036000430"</f>
        <v/>
      </c>
      <c r="E3198" s="30" t="inlineStr">
        <is>
          <t>JEOVA JIREH GESTAO DE ESTOQUE EM LOGISTICA BR LTDA</t>
        </is>
      </c>
      <c r="F3198" s="30" t="inlineStr">
        <is>
          <t>2022</t>
        </is>
      </c>
      <c r="G3198" s="40" t="n">
        <v>0</v>
      </c>
    </row>
    <row r="3199" ht="12" customHeight="1">
      <c r="A3199" s="30" t="inlineStr">
        <is>
          <t>ITG</t>
        </is>
      </c>
      <c r="B3199" s="30" t="inlineStr">
        <is>
          <t>Itaguai</t>
        </is>
      </c>
      <c r="C3199" s="30" t="n">
        <v>12528159</v>
      </c>
      <c r="D3199" s="30">
        <f>"20209036000430"</f>
        <v/>
      </c>
      <c r="E3199" s="30" t="inlineStr">
        <is>
          <t>JEOVA JIREH GESTAO DE ESTOQUE EM LOGISTICA BR LTDA</t>
        </is>
      </c>
      <c r="F3199" s="30" t="inlineStr">
        <is>
          <t>2023</t>
        </is>
      </c>
      <c r="G3199" s="40" t="n">
        <v>0</v>
      </c>
    </row>
    <row r="3200" ht="12" customHeight="1">
      <c r="A3200" s="30" t="inlineStr">
        <is>
          <t>ITG</t>
        </is>
      </c>
      <c r="B3200" s="30" t="inlineStr">
        <is>
          <t>Itaguai</t>
        </is>
      </c>
      <c r="C3200" s="30" t="n">
        <v>12541228</v>
      </c>
      <c r="D3200" s="30">
        <f>"46869468000118"</f>
        <v/>
      </c>
      <c r="E3200" s="30" t="inlineStr">
        <is>
          <t>QTL SERVI?OS LTDA</t>
        </is>
      </c>
      <c r="F3200" s="30" t="inlineStr">
        <is>
          <t>2021</t>
        </is>
      </c>
      <c r="G3200" s="40" t="n">
        <v>0</v>
      </c>
    </row>
    <row r="3201" ht="12" customHeight="1">
      <c r="A3201" s="30" t="inlineStr">
        <is>
          <t>ITG</t>
        </is>
      </c>
      <c r="B3201" s="30" t="inlineStr">
        <is>
          <t>Itaguai</t>
        </is>
      </c>
      <c r="C3201" s="30" t="n">
        <v>12541228</v>
      </c>
      <c r="D3201" s="30">
        <f>"46869468000118"</f>
        <v/>
      </c>
      <c r="E3201" s="30" t="inlineStr">
        <is>
          <t>QTL SERVI?OS LTDA</t>
        </is>
      </c>
      <c r="F3201" s="30" t="inlineStr">
        <is>
          <t>2022</t>
        </is>
      </c>
      <c r="G3201" s="40" t="n">
        <v>0</v>
      </c>
    </row>
    <row r="3202" ht="12" customHeight="1">
      <c r="A3202" s="30" t="inlineStr">
        <is>
          <t>ITG</t>
        </is>
      </c>
      <c r="B3202" s="30" t="inlineStr">
        <is>
          <t>Itaguai</t>
        </is>
      </c>
      <c r="C3202" s="30" t="n">
        <v>12541228</v>
      </c>
      <c r="D3202" s="30">
        <f>"46869468000118"</f>
        <v/>
      </c>
      <c r="E3202" s="30" t="inlineStr">
        <is>
          <t>QTL SERVI?OS LTDA</t>
        </is>
      </c>
      <c r="F3202" s="30" t="inlineStr">
        <is>
          <t>2023</t>
        </is>
      </c>
      <c r="G3202" s="40" t="n">
        <v>236962.71</v>
      </c>
    </row>
    <row r="3203" ht="12" customHeight="1">
      <c r="A3203" s="30" t="inlineStr">
        <is>
          <t>ITG</t>
        </is>
      </c>
      <c r="B3203" s="30" t="inlineStr">
        <is>
          <t>Itaguai</t>
        </is>
      </c>
      <c r="C3203" s="30" t="n">
        <v>12546440</v>
      </c>
      <c r="D3203" s="30">
        <f>"42446277002306"</f>
        <v/>
      </c>
      <c r="E3203" s="30" t="inlineStr">
        <is>
          <t>SHPX LOGISTICA LTDA.</t>
        </is>
      </c>
      <c r="F3203" s="30" t="inlineStr">
        <is>
          <t>2021</t>
        </is>
      </c>
      <c r="G3203" s="40" t="n">
        <v>0</v>
      </c>
    </row>
    <row r="3204" ht="12" customHeight="1">
      <c r="A3204" s="30" t="inlineStr">
        <is>
          <t>ITG</t>
        </is>
      </c>
      <c r="B3204" s="30" t="inlineStr">
        <is>
          <t>Itaguai</t>
        </is>
      </c>
      <c r="C3204" s="30" t="n">
        <v>12546440</v>
      </c>
      <c r="D3204" s="30">
        <f>"42446277002306"</f>
        <v/>
      </c>
      <c r="E3204" s="30" t="inlineStr">
        <is>
          <t>SHPX LOGISTICA LTDA.</t>
        </is>
      </c>
      <c r="F3204" s="30" t="inlineStr">
        <is>
          <t>2022</t>
        </is>
      </c>
      <c r="G3204" s="40" t="n">
        <v>0</v>
      </c>
    </row>
    <row r="3205" ht="12" customHeight="1">
      <c r="A3205" s="30" t="inlineStr">
        <is>
          <t>ITG</t>
        </is>
      </c>
      <c r="B3205" s="30" t="inlineStr">
        <is>
          <t>Itaguai</t>
        </is>
      </c>
      <c r="C3205" s="30" t="n">
        <v>12546440</v>
      </c>
      <c r="D3205" s="30">
        <f>"42446277002306"</f>
        <v/>
      </c>
      <c r="E3205" s="30" t="inlineStr">
        <is>
          <t>SHPX LOGISTICA LTDA.</t>
        </is>
      </c>
      <c r="F3205" s="30" t="inlineStr">
        <is>
          <t>2023</t>
        </is>
      </c>
      <c r="G3205" s="40" t="n">
        <v>1688.46</v>
      </c>
    </row>
    <row r="3206" ht="12" customHeight="1">
      <c r="A3206" s="30" t="inlineStr">
        <is>
          <t>ITG</t>
        </is>
      </c>
      <c r="B3206" s="30" t="inlineStr">
        <is>
          <t>Itaguai</t>
        </is>
      </c>
      <c r="C3206" s="30" t="n">
        <v>12549830</v>
      </c>
      <c r="D3206" s="30">
        <f>"00054025249049"</f>
        <v/>
      </c>
      <c r="E3206" s="30" t="inlineStr">
        <is>
          <t>CLAUDIO LUIS BUENO DO NASCIMENTO</t>
        </is>
      </c>
      <c r="F3206" s="30" t="inlineStr">
        <is>
          <t>2020</t>
        </is>
      </c>
      <c r="G3206" s="40" t="n">
        <v>0</v>
      </c>
    </row>
    <row r="3207" ht="12" customHeight="1">
      <c r="A3207" s="30" t="inlineStr">
        <is>
          <t>ITG</t>
        </is>
      </c>
      <c r="B3207" s="30" t="inlineStr">
        <is>
          <t>Itaguai</t>
        </is>
      </c>
      <c r="C3207" s="30" t="n">
        <v>12549830</v>
      </c>
      <c r="D3207" s="30">
        <f>"00054025249049"</f>
        <v/>
      </c>
      <c r="E3207" s="30" t="inlineStr">
        <is>
          <t>CLAUDIO LUIS BUENO DO NASCIMENTO</t>
        </is>
      </c>
      <c r="F3207" s="30" t="inlineStr">
        <is>
          <t>2021</t>
        </is>
      </c>
      <c r="G3207" s="40" t="n">
        <v>0</v>
      </c>
    </row>
    <row r="3208" ht="12" customHeight="1">
      <c r="A3208" s="30" t="inlineStr">
        <is>
          <t>ITG</t>
        </is>
      </c>
      <c r="B3208" s="30" t="inlineStr">
        <is>
          <t>Itaguai</t>
        </is>
      </c>
      <c r="C3208" s="30" t="n">
        <v>12549830</v>
      </c>
      <c r="D3208" s="30">
        <f>"00054025249049"</f>
        <v/>
      </c>
      <c r="E3208" s="30" t="inlineStr">
        <is>
          <t>CLAUDIO LUIS BUENO DO NASCIMENTO</t>
        </is>
      </c>
      <c r="F3208" s="30" t="inlineStr">
        <is>
          <t>2022</t>
        </is>
      </c>
      <c r="G3208" s="40" t="n">
        <v>36000</v>
      </c>
    </row>
    <row r="3209" ht="12" customHeight="1">
      <c r="A3209" s="30" t="inlineStr">
        <is>
          <t>ITG</t>
        </is>
      </c>
      <c r="B3209" s="30" t="inlineStr">
        <is>
          <t>Itaguai</t>
        </is>
      </c>
      <c r="C3209" s="30" t="n">
        <v>12549830</v>
      </c>
      <c r="D3209" s="30">
        <f>"00054025249049"</f>
        <v/>
      </c>
      <c r="E3209" s="30" t="inlineStr">
        <is>
          <t>CLAUDIO LUIS BUENO DO NASCIMENTO</t>
        </is>
      </c>
      <c r="F3209" s="30" t="inlineStr">
        <is>
          <t>2023</t>
        </is>
      </c>
      <c r="G3209" s="40" t="n">
        <v>0</v>
      </c>
    </row>
    <row r="3210" ht="12" customHeight="1">
      <c r="A3210" s="30" t="inlineStr">
        <is>
          <t>ITG</t>
        </is>
      </c>
      <c r="B3210" s="30" t="inlineStr">
        <is>
          <t>Itaguai</t>
        </is>
      </c>
      <c r="C3210" s="30" t="n">
        <v>12562063</v>
      </c>
      <c r="D3210" s="30">
        <f>"08686200000313"</f>
        <v/>
      </c>
      <c r="E3210" s="30" t="inlineStr">
        <is>
          <t>ASTM TRANSPORTES E LOCACAO DE VEICULOS LTDA</t>
        </is>
      </c>
      <c r="F3210" s="30" t="inlineStr">
        <is>
          <t>2020</t>
        </is>
      </c>
      <c r="G3210" s="40" t="n">
        <v>0</v>
      </c>
    </row>
    <row r="3211" ht="12" customHeight="1">
      <c r="A3211" s="30" t="inlineStr">
        <is>
          <t>ITG</t>
        </is>
      </c>
      <c r="B3211" s="30" t="inlineStr">
        <is>
          <t>Itaguai</t>
        </is>
      </c>
      <c r="C3211" s="30" t="n">
        <v>12562063</v>
      </c>
      <c r="D3211" s="30">
        <f>"08686200000313"</f>
        <v/>
      </c>
      <c r="E3211" s="30" t="inlineStr">
        <is>
          <t>ASTM TRANSPORTES E LOCACAO DE VEICULOS LTDA</t>
        </is>
      </c>
      <c r="F3211" s="30" t="inlineStr">
        <is>
          <t>2021</t>
        </is>
      </c>
      <c r="G3211" s="40" t="n">
        <v>0</v>
      </c>
    </row>
    <row r="3212" ht="12" customHeight="1">
      <c r="A3212" s="30" t="inlineStr">
        <is>
          <t>ITG</t>
        </is>
      </c>
      <c r="B3212" s="30" t="inlineStr">
        <is>
          <t>Itaguai</t>
        </is>
      </c>
      <c r="C3212" s="30" t="n">
        <v>12562063</v>
      </c>
      <c r="D3212" s="30">
        <f>"08686200000313"</f>
        <v/>
      </c>
      <c r="E3212" s="30" t="inlineStr">
        <is>
          <t>ASTM TRANSPORTES E LOCACAO DE VEICULOS LTDA</t>
        </is>
      </c>
      <c r="F3212" s="30" t="inlineStr">
        <is>
          <t>2022</t>
        </is>
      </c>
      <c r="G3212" s="40" t="n">
        <v>196.27</v>
      </c>
    </row>
    <row r="3213" ht="12" customHeight="1">
      <c r="A3213" s="30" t="inlineStr">
        <is>
          <t>ITG</t>
        </is>
      </c>
      <c r="B3213" s="30" t="inlineStr">
        <is>
          <t>Itaguai</t>
        </is>
      </c>
      <c r="C3213" s="30" t="n">
        <v>12562063</v>
      </c>
      <c r="D3213" s="30">
        <f>"08686200000313"</f>
        <v/>
      </c>
      <c r="E3213" s="30" t="inlineStr">
        <is>
          <t>ASTM TRANSPORTES E LOCACAO DE VEICULOS LTDA</t>
        </is>
      </c>
      <c r="F3213" s="30" t="inlineStr">
        <is>
          <t>2023</t>
        </is>
      </c>
      <c r="G3213" s="40" t="n">
        <v>0</v>
      </c>
    </row>
    <row r="3214" ht="12" customHeight="1">
      <c r="A3214" s="30" t="inlineStr">
        <is>
          <t>ITG</t>
        </is>
      </c>
      <c r="B3214" s="30" t="inlineStr">
        <is>
          <t>Itaguai</t>
        </is>
      </c>
      <c r="C3214" s="30" t="n">
        <v>12579446</v>
      </c>
      <c r="D3214" s="30">
        <f>"77649283002256"</f>
        <v/>
      </c>
      <c r="E3214" s="30" t="inlineStr">
        <is>
          <t>RODOJUNIOR TRANSPORTES LTDA</t>
        </is>
      </c>
      <c r="F3214" s="30" t="inlineStr">
        <is>
          <t>2021</t>
        </is>
      </c>
      <c r="G3214" s="40" t="n">
        <v>0</v>
      </c>
    </row>
    <row r="3215" ht="12" customHeight="1">
      <c r="A3215" s="30" t="inlineStr">
        <is>
          <t>ITG</t>
        </is>
      </c>
      <c r="B3215" s="30" t="inlineStr">
        <is>
          <t>Itaguai</t>
        </is>
      </c>
      <c r="C3215" s="30" t="n">
        <v>12579446</v>
      </c>
      <c r="D3215" s="30">
        <f>"77649283002256"</f>
        <v/>
      </c>
      <c r="E3215" s="30" t="inlineStr">
        <is>
          <t>RODOJUNIOR TRANSPORTES LTDA</t>
        </is>
      </c>
      <c r="F3215" s="30" t="inlineStr">
        <is>
          <t>2022</t>
        </is>
      </c>
      <c r="G3215" s="40" t="n">
        <v>0</v>
      </c>
    </row>
    <row r="3216" ht="12" customHeight="1">
      <c r="A3216" s="30" t="inlineStr">
        <is>
          <t>ITG</t>
        </is>
      </c>
      <c r="B3216" s="30" t="inlineStr">
        <is>
          <t>Itaguai</t>
        </is>
      </c>
      <c r="C3216" s="30" t="n">
        <v>12579446</v>
      </c>
      <c r="D3216" s="30">
        <f>"77649283002256"</f>
        <v/>
      </c>
      <c r="E3216" s="30" t="inlineStr">
        <is>
          <t>RODOJUNIOR TRANSPORTES LTDA</t>
        </is>
      </c>
      <c r="F3216" s="30" t="inlineStr">
        <is>
          <t>2023</t>
        </is>
      </c>
      <c r="G3216" s="40" t="n">
        <v>19123</v>
      </c>
    </row>
    <row r="3217" ht="12" customHeight="1">
      <c r="A3217" s="30" t="inlineStr">
        <is>
          <t>ITG</t>
        </is>
      </c>
      <c r="B3217" s="30" t="inlineStr">
        <is>
          <t>Itaguai</t>
        </is>
      </c>
      <c r="C3217" s="30" t="n">
        <v>12591705</v>
      </c>
      <c r="D3217" s="30">
        <f>"47719072000157"</f>
        <v/>
      </c>
      <c r="E3217" s="30" t="inlineStr">
        <is>
          <t>FOX GERA??O ITAGUA? LTDA</t>
        </is>
      </c>
      <c r="F3217" s="30" t="inlineStr">
        <is>
          <t>2020</t>
        </is>
      </c>
      <c r="G3217" s="40" t="n">
        <v>0</v>
      </c>
    </row>
    <row r="3218" ht="12" customHeight="1">
      <c r="A3218" s="30" t="inlineStr">
        <is>
          <t>ITG</t>
        </is>
      </c>
      <c r="B3218" s="30" t="inlineStr">
        <is>
          <t>Itaguai</t>
        </is>
      </c>
      <c r="C3218" s="30" t="n">
        <v>12591705</v>
      </c>
      <c r="D3218" s="30">
        <f>"47719072000157"</f>
        <v/>
      </c>
      <c r="E3218" s="30" t="inlineStr">
        <is>
          <t>FOX GERA??O ITAGUA? LTDA</t>
        </is>
      </c>
      <c r="F3218" s="30" t="inlineStr">
        <is>
          <t>2021</t>
        </is>
      </c>
      <c r="G3218" s="40" t="n">
        <v>0</v>
      </c>
    </row>
    <row r="3219" ht="12" customHeight="1">
      <c r="A3219" s="30" t="inlineStr">
        <is>
          <t>ITG</t>
        </is>
      </c>
      <c r="B3219" s="30" t="inlineStr">
        <is>
          <t>Itaguai</t>
        </is>
      </c>
      <c r="C3219" s="30" t="n">
        <v>12591705</v>
      </c>
      <c r="D3219" s="30">
        <f>"47719072000157"</f>
        <v/>
      </c>
      <c r="E3219" s="30" t="inlineStr">
        <is>
          <t>FOX GERA??O ITAGUA? LTDA</t>
        </is>
      </c>
      <c r="F3219" s="30" t="inlineStr">
        <is>
          <t>2022</t>
        </is>
      </c>
      <c r="G3219" s="40" t="n">
        <v>0</v>
      </c>
    </row>
    <row r="3220" ht="12" customHeight="1">
      <c r="A3220" s="30" t="inlineStr">
        <is>
          <t>ITG</t>
        </is>
      </c>
      <c r="B3220" s="30" t="inlineStr">
        <is>
          <t>Itaguai</t>
        </is>
      </c>
      <c r="C3220" s="30" t="n">
        <v>12591705</v>
      </c>
      <c r="D3220" s="30">
        <f>"47719072000157"</f>
        <v/>
      </c>
      <c r="E3220" s="30" t="inlineStr">
        <is>
          <t>FOX GERA??O ITAGUA? LTDA</t>
        </is>
      </c>
      <c r="F3220" s="30" t="inlineStr">
        <is>
          <t>2023</t>
        </is>
      </c>
      <c r="G3220" s="40" t="n">
        <v>0</v>
      </c>
    </row>
    <row r="3221" ht="12" customHeight="1">
      <c r="A3221" s="30" t="inlineStr">
        <is>
          <t>ITG</t>
        </is>
      </c>
      <c r="B3221" s="30" t="inlineStr">
        <is>
          <t>Itaguai</t>
        </is>
      </c>
      <c r="C3221" s="30" t="n">
        <v>12592620</v>
      </c>
      <c r="D3221" s="30">
        <f>"47720208000149"</f>
        <v/>
      </c>
      <c r="E3221" s="30" t="inlineStr">
        <is>
          <t>CONSTRUFORT SERVI?OS E MATERIAL DE CONSTRU?AO LTDA</t>
        </is>
      </c>
      <c r="F3221" s="30" t="inlineStr">
        <is>
          <t>2021</t>
        </is>
      </c>
      <c r="G3221" s="40" t="n">
        <v>0</v>
      </c>
    </row>
    <row r="3222" ht="12" customHeight="1">
      <c r="A3222" s="30" t="inlineStr">
        <is>
          <t>ITG</t>
        </is>
      </c>
      <c r="B3222" s="30" t="inlineStr">
        <is>
          <t>Itaguai</t>
        </is>
      </c>
      <c r="C3222" s="30" t="n">
        <v>12592620</v>
      </c>
      <c r="D3222" s="30">
        <f>"47720208000149"</f>
        <v/>
      </c>
      <c r="E3222" s="30" t="inlineStr">
        <is>
          <t>CONSTRUFORT SERVI?OS E MATERIAL DE CONSTRU?AO LTDA</t>
        </is>
      </c>
      <c r="F3222" s="30" t="inlineStr">
        <is>
          <t>2022</t>
        </is>
      </c>
      <c r="G3222" s="40" t="n">
        <v>0</v>
      </c>
    </row>
    <row r="3223" ht="12" customHeight="1">
      <c r="A3223" s="30" t="inlineStr">
        <is>
          <t>ITG</t>
        </is>
      </c>
      <c r="B3223" s="30" t="inlineStr">
        <is>
          <t>Itaguai</t>
        </is>
      </c>
      <c r="C3223" s="30" t="n">
        <v>12592620</v>
      </c>
      <c r="D3223" s="30">
        <f>"47720208000149"</f>
        <v/>
      </c>
      <c r="E3223" s="30" t="inlineStr">
        <is>
          <t>CONSTRUFORT SERVI?OS E MATERIAL DE CONSTRU?AO LTDA</t>
        </is>
      </c>
      <c r="F3223" s="30" t="inlineStr">
        <is>
          <t>2023</t>
        </is>
      </c>
      <c r="G3223" s="40" t="n">
        <v>0</v>
      </c>
    </row>
    <row r="3224" ht="12" customHeight="1">
      <c r="A3224" s="30" t="inlineStr">
        <is>
          <t>ITG</t>
        </is>
      </c>
      <c r="B3224" s="30" t="inlineStr">
        <is>
          <t>Itaguai</t>
        </is>
      </c>
      <c r="C3224" s="30" t="n">
        <v>12592973</v>
      </c>
      <c r="D3224" s="30">
        <f>"00011564553752"</f>
        <v/>
      </c>
      <c r="E3224" s="30" t="inlineStr">
        <is>
          <t>ALCEMIR RABELO DE OLIVEIRA</t>
        </is>
      </c>
      <c r="F3224" s="30" t="inlineStr">
        <is>
          <t>2020</t>
        </is>
      </c>
      <c r="G3224" s="40" t="n">
        <v>0</v>
      </c>
    </row>
    <row r="3225" ht="12" customHeight="1">
      <c r="A3225" s="30" t="inlineStr">
        <is>
          <t>ITG</t>
        </is>
      </c>
      <c r="B3225" s="30" t="inlineStr">
        <is>
          <t>Itaguai</t>
        </is>
      </c>
      <c r="C3225" s="30" t="n">
        <v>12592973</v>
      </c>
      <c r="D3225" s="30">
        <f>"00011564553752"</f>
        <v/>
      </c>
      <c r="E3225" s="30" t="inlineStr">
        <is>
          <t>ALCEMIR RABELO DE OLIVEIRA</t>
        </is>
      </c>
      <c r="F3225" s="30" t="inlineStr">
        <is>
          <t>2021</t>
        </is>
      </c>
      <c r="G3225" s="40" t="n">
        <v>0</v>
      </c>
    </row>
    <row r="3226" ht="12" customHeight="1">
      <c r="A3226" s="30" t="inlineStr">
        <is>
          <t>ITG</t>
        </is>
      </c>
      <c r="B3226" s="30" t="inlineStr">
        <is>
          <t>Itaguai</t>
        </is>
      </c>
      <c r="C3226" s="30" t="n">
        <v>12592973</v>
      </c>
      <c r="D3226" s="30">
        <f>"00011564553752"</f>
        <v/>
      </c>
      <c r="E3226" s="30" t="inlineStr">
        <is>
          <t>ALCEMIR RABELO DE OLIVEIRA</t>
        </is>
      </c>
      <c r="F3226" s="30" t="inlineStr">
        <is>
          <t>2022</t>
        </is>
      </c>
      <c r="G3226" s="40" t="n">
        <v>10032</v>
      </c>
    </row>
    <row r="3227" ht="12" customHeight="1">
      <c r="A3227" s="30" t="inlineStr">
        <is>
          <t>ITG</t>
        </is>
      </c>
      <c r="B3227" s="30" t="inlineStr">
        <is>
          <t>Itaguai</t>
        </is>
      </c>
      <c r="C3227" s="30" t="n">
        <v>12592973</v>
      </c>
      <c r="D3227" s="30">
        <f>"00011564553752"</f>
        <v/>
      </c>
      <c r="E3227" s="30" t="inlineStr">
        <is>
          <t>ALCEMIR RABELO DE OLIVEIRA</t>
        </is>
      </c>
      <c r="F3227" s="30" t="inlineStr">
        <is>
          <t>2023</t>
        </is>
      </c>
      <c r="G3227" s="40" t="n">
        <v>32751.18</v>
      </c>
    </row>
    <row r="3228" ht="12" customHeight="1">
      <c r="A3228" s="30" t="inlineStr">
        <is>
          <t>ITG</t>
        </is>
      </c>
      <c r="B3228" s="30" t="inlineStr">
        <is>
          <t>Itaguai</t>
        </is>
      </c>
      <c r="C3228" s="30" t="n">
        <v>12594658</v>
      </c>
      <c r="D3228" s="30">
        <f>"33438250065455"</f>
        <v/>
      </c>
      <c r="E3228" s="30" t="inlineStr">
        <is>
          <t>DROGARIAS PACHECO S/A</t>
        </is>
      </c>
      <c r="F3228" s="30" t="inlineStr">
        <is>
          <t>2020</t>
        </is>
      </c>
      <c r="G3228" s="40" t="n">
        <v>0</v>
      </c>
    </row>
    <row r="3229" ht="12" customHeight="1">
      <c r="A3229" s="30" t="inlineStr">
        <is>
          <t>ITG</t>
        </is>
      </c>
      <c r="B3229" s="30" t="inlineStr">
        <is>
          <t>Itaguai</t>
        </is>
      </c>
      <c r="C3229" s="30" t="n">
        <v>12594658</v>
      </c>
      <c r="D3229" s="30">
        <f>"33438250065455"</f>
        <v/>
      </c>
      <c r="E3229" s="30" t="inlineStr">
        <is>
          <t>DROGARIAS PACHECO S/A</t>
        </is>
      </c>
      <c r="F3229" s="30" t="inlineStr">
        <is>
          <t>2021</t>
        </is>
      </c>
      <c r="G3229" s="40" t="n">
        <v>0</v>
      </c>
    </row>
    <row r="3230" ht="12" customHeight="1">
      <c r="A3230" s="30" t="inlineStr">
        <is>
          <t>ITG</t>
        </is>
      </c>
      <c r="B3230" s="30" t="inlineStr">
        <is>
          <t>Itaguai</t>
        </is>
      </c>
      <c r="C3230" s="30" t="n">
        <v>12594658</v>
      </c>
      <c r="D3230" s="30">
        <f>"33438250065455"</f>
        <v/>
      </c>
      <c r="E3230" s="30" t="inlineStr">
        <is>
          <t>DROGARIAS PACHECO S/A</t>
        </is>
      </c>
      <c r="F3230" s="30" t="inlineStr">
        <is>
          <t>2022</t>
        </is>
      </c>
      <c r="G3230" s="40" t="n">
        <v>0.04</v>
      </c>
    </row>
    <row r="3231" ht="12" customHeight="1">
      <c r="A3231" s="30" t="inlineStr">
        <is>
          <t>ITG</t>
        </is>
      </c>
      <c r="B3231" s="30" t="inlineStr">
        <is>
          <t>Itaguai</t>
        </is>
      </c>
      <c r="C3231" s="30" t="n">
        <v>12594658</v>
      </c>
      <c r="D3231" s="30">
        <f>"33438250065455"</f>
        <v/>
      </c>
      <c r="E3231" s="30" t="inlineStr">
        <is>
          <t>DROGARIAS PACHECO S/A</t>
        </is>
      </c>
      <c r="F3231" s="30" t="inlineStr">
        <is>
          <t>2023</t>
        </is>
      </c>
      <c r="G3231" s="40" t="n">
        <v>3335367.17</v>
      </c>
    </row>
    <row r="3232" ht="12" customHeight="1">
      <c r="A3232" s="30" t="inlineStr">
        <is>
          <t>ITG</t>
        </is>
      </c>
      <c r="B3232" s="30" t="inlineStr">
        <is>
          <t>Itaguai</t>
        </is>
      </c>
      <c r="C3232" s="30" t="n">
        <v>12600054</v>
      </c>
      <c r="D3232" s="30">
        <f>"47844145000132"</f>
        <v/>
      </c>
      <c r="E3232" s="30" t="inlineStr">
        <is>
          <t>S SUPERMERCADO COM?RCIO DE ALIMENTOS LTDA</t>
        </is>
      </c>
      <c r="F3232" s="30" t="inlineStr">
        <is>
          <t>2020</t>
        </is>
      </c>
      <c r="G3232" s="40" t="n">
        <v>0</v>
      </c>
    </row>
    <row r="3233" ht="12" customHeight="1">
      <c r="A3233" s="30" t="inlineStr">
        <is>
          <t>ITG</t>
        </is>
      </c>
      <c r="B3233" s="30" t="inlineStr">
        <is>
          <t>Itaguai</t>
        </is>
      </c>
      <c r="C3233" s="30" t="n">
        <v>12600054</v>
      </c>
      <c r="D3233" s="30">
        <f>"47844145000132"</f>
        <v/>
      </c>
      <c r="E3233" s="30" t="inlineStr">
        <is>
          <t>S SUPERMERCADO COM?RCIO DE ALIMENTOS LTDA</t>
        </is>
      </c>
      <c r="F3233" s="30" t="inlineStr">
        <is>
          <t>2021</t>
        </is>
      </c>
      <c r="G3233" s="40" t="n">
        <v>0</v>
      </c>
    </row>
    <row r="3234" ht="12" customHeight="1">
      <c r="A3234" s="30" t="inlineStr">
        <is>
          <t>ITG</t>
        </is>
      </c>
      <c r="B3234" s="30" t="inlineStr">
        <is>
          <t>Itaguai</t>
        </is>
      </c>
      <c r="C3234" s="30" t="n">
        <v>12600054</v>
      </c>
      <c r="D3234" s="30">
        <f>"47844145000132"</f>
        <v/>
      </c>
      <c r="E3234" s="30" t="inlineStr">
        <is>
          <t>S SUPERMERCADO COM?RCIO DE ALIMENTOS LTDA</t>
        </is>
      </c>
      <c r="F3234" s="30" t="inlineStr">
        <is>
          <t>2022</t>
        </is>
      </c>
      <c r="G3234" s="40" t="n">
        <v>2951192.24</v>
      </c>
    </row>
    <row r="3235" ht="12" customHeight="1">
      <c r="A3235" s="30" t="inlineStr">
        <is>
          <t>ITG</t>
        </is>
      </c>
      <c r="B3235" s="30" t="inlineStr">
        <is>
          <t>Itaguai</t>
        </is>
      </c>
      <c r="C3235" s="30" t="n">
        <v>12600054</v>
      </c>
      <c r="D3235" s="30">
        <f>"47844145000132"</f>
        <v/>
      </c>
      <c r="E3235" s="30" t="inlineStr">
        <is>
          <t>S SUPERMERCADO COM?RCIO DE ALIMENTOS LTDA</t>
        </is>
      </c>
      <c r="F3235" s="30" t="inlineStr">
        <is>
          <t>2023</t>
        </is>
      </c>
      <c r="G3235" s="40" t="n">
        <v>1396933.97</v>
      </c>
    </row>
    <row r="3236" ht="12" customHeight="1">
      <c r="A3236" s="30" t="inlineStr">
        <is>
          <t>ITG</t>
        </is>
      </c>
      <c r="B3236" s="30" t="inlineStr">
        <is>
          <t>Itaguai</t>
        </is>
      </c>
      <c r="C3236" s="30" t="n">
        <v>12617852</v>
      </c>
      <c r="D3236" s="30">
        <f>"44025225001220"</f>
        <v/>
      </c>
      <c r="E3236" s="30" t="inlineStr">
        <is>
          <t>OBVIOUS SERVI?OS DIGITAIS LTDA</t>
        </is>
      </c>
      <c r="F3236" s="30" t="inlineStr">
        <is>
          <t>2020</t>
        </is>
      </c>
      <c r="G3236" s="40" t="n">
        <v>0</v>
      </c>
    </row>
    <row r="3237" ht="12" customHeight="1">
      <c r="A3237" s="30" t="inlineStr">
        <is>
          <t>ITG</t>
        </is>
      </c>
      <c r="B3237" s="30" t="inlineStr">
        <is>
          <t>Itaguai</t>
        </is>
      </c>
      <c r="C3237" s="30" t="n">
        <v>12617852</v>
      </c>
      <c r="D3237" s="30">
        <f>"44025225001220"</f>
        <v/>
      </c>
      <c r="E3237" s="30" t="inlineStr">
        <is>
          <t>OBVIOUS SERVI?OS DIGITAIS LTDA</t>
        </is>
      </c>
      <c r="F3237" s="30" t="inlineStr">
        <is>
          <t>2021</t>
        </is>
      </c>
      <c r="G3237" s="40" t="n">
        <v>0</v>
      </c>
    </row>
    <row r="3238" ht="12" customHeight="1">
      <c r="A3238" s="30" t="inlineStr">
        <is>
          <t>ITG</t>
        </is>
      </c>
      <c r="B3238" s="30" t="inlineStr">
        <is>
          <t>Itaguai</t>
        </is>
      </c>
      <c r="C3238" s="30" t="n">
        <v>12617852</v>
      </c>
      <c r="D3238" s="30">
        <f>"44025225001220"</f>
        <v/>
      </c>
      <c r="E3238" s="30" t="inlineStr">
        <is>
          <t>OBVIOUS SERVI?OS DIGITAIS LTDA</t>
        </is>
      </c>
      <c r="F3238" s="30" t="inlineStr">
        <is>
          <t>2022</t>
        </is>
      </c>
      <c r="G3238" s="40" t="n">
        <v>629.38</v>
      </c>
    </row>
    <row r="3239" ht="12" customHeight="1">
      <c r="A3239" s="30" t="inlineStr">
        <is>
          <t>ITG</t>
        </is>
      </c>
      <c r="B3239" s="30" t="inlineStr">
        <is>
          <t>Itaguai</t>
        </is>
      </c>
      <c r="C3239" s="30" t="n">
        <v>12617852</v>
      </c>
      <c r="D3239" s="30">
        <f>"44025225001220"</f>
        <v/>
      </c>
      <c r="E3239" s="30" t="inlineStr">
        <is>
          <t>OBVIOUS SERVI?OS DIGITAIS LTDA</t>
        </is>
      </c>
      <c r="F3239" s="30" t="inlineStr">
        <is>
          <t>2023</t>
        </is>
      </c>
      <c r="G3239" s="40" t="n">
        <v>3773.4</v>
      </c>
    </row>
    <row r="3240" ht="12" customHeight="1">
      <c r="A3240" s="30" t="inlineStr">
        <is>
          <t>ITG</t>
        </is>
      </c>
      <c r="B3240" s="30" t="inlineStr">
        <is>
          <t>Itaguai</t>
        </is>
      </c>
      <c r="C3240" s="30" t="n">
        <v>12619308</v>
      </c>
      <c r="D3240" s="30">
        <f>"28445729007012"</f>
        <v/>
      </c>
      <c r="E3240" s="30" t="inlineStr">
        <is>
          <t>SOMOS SONHO LTDA</t>
        </is>
      </c>
      <c r="F3240" s="30" t="inlineStr">
        <is>
          <t>2020</t>
        </is>
      </c>
      <c r="G3240" s="40" t="n">
        <v>0</v>
      </c>
    </row>
    <row r="3241" ht="12" customHeight="1">
      <c r="A3241" s="30" t="inlineStr">
        <is>
          <t>ITG</t>
        </is>
      </c>
      <c r="B3241" s="30" t="inlineStr">
        <is>
          <t>Itaguai</t>
        </is>
      </c>
      <c r="C3241" s="30" t="n">
        <v>12619308</v>
      </c>
      <c r="D3241" s="30">
        <f>"28445729007012"</f>
        <v/>
      </c>
      <c r="E3241" s="30" t="inlineStr">
        <is>
          <t>SOMOS SONHO LTDA</t>
        </is>
      </c>
      <c r="F3241" s="30" t="inlineStr">
        <is>
          <t>2021</t>
        </is>
      </c>
      <c r="G3241" s="40" t="n">
        <v>0</v>
      </c>
    </row>
    <row r="3242" ht="12" customHeight="1">
      <c r="A3242" s="30" t="inlineStr">
        <is>
          <t>ITG</t>
        </is>
      </c>
      <c r="B3242" s="30" t="inlineStr">
        <is>
          <t>Itaguai</t>
        </is>
      </c>
      <c r="C3242" s="30" t="n">
        <v>12619308</v>
      </c>
      <c r="D3242" s="30">
        <f>"28445729007012"</f>
        <v/>
      </c>
      <c r="E3242" s="30" t="inlineStr">
        <is>
          <t>SOMOS SONHO LTDA</t>
        </is>
      </c>
      <c r="F3242" s="30" t="inlineStr">
        <is>
          <t>2022</t>
        </is>
      </c>
      <c r="G3242" s="40" t="n">
        <v>0</v>
      </c>
    </row>
    <row r="3243" ht="12" customHeight="1">
      <c r="A3243" s="30" t="inlineStr">
        <is>
          <t>ITG</t>
        </is>
      </c>
      <c r="B3243" s="30" t="inlineStr">
        <is>
          <t>Itaguai</t>
        </is>
      </c>
      <c r="C3243" s="30" t="n">
        <v>12619308</v>
      </c>
      <c r="D3243" s="30">
        <f>"28445729007012"</f>
        <v/>
      </c>
      <c r="E3243" s="30" t="inlineStr">
        <is>
          <t>SOMOS SONHO LTDA</t>
        </is>
      </c>
      <c r="F3243" s="30" t="inlineStr">
        <is>
          <t>2023</t>
        </is>
      </c>
      <c r="G3243" s="40" t="n">
        <v>237708.94</v>
      </c>
    </row>
    <row r="3244" ht="12" customHeight="1">
      <c r="A3244" s="30" t="inlineStr">
        <is>
          <t>ITG</t>
        </is>
      </c>
      <c r="B3244" s="30" t="inlineStr">
        <is>
          <t>Itaguai</t>
        </is>
      </c>
      <c r="C3244" s="30" t="n">
        <v>12619715</v>
      </c>
      <c r="D3244" s="30">
        <f>"03255266000416"</f>
        <v/>
      </c>
      <c r="E3244" s="30" t="inlineStr">
        <is>
          <t>PRIO BRAVO LTDA</t>
        </is>
      </c>
      <c r="F3244" s="30" t="inlineStr">
        <is>
          <t>2021</t>
        </is>
      </c>
      <c r="G3244" s="40" t="n">
        <v>0</v>
      </c>
    </row>
    <row r="3245" ht="12" customHeight="1">
      <c r="A3245" s="30" t="inlineStr">
        <is>
          <t>ITG</t>
        </is>
      </c>
      <c r="B3245" s="30" t="inlineStr">
        <is>
          <t>Itaguai</t>
        </is>
      </c>
      <c r="C3245" s="30" t="n">
        <v>12619715</v>
      </c>
      <c r="D3245" s="30">
        <f>"03255266000416"</f>
        <v/>
      </c>
      <c r="E3245" s="30" t="inlineStr">
        <is>
          <t>PRIO BRAVO LTDA</t>
        </is>
      </c>
      <c r="F3245" s="30" t="inlineStr">
        <is>
          <t>2022</t>
        </is>
      </c>
      <c r="G3245" s="40" t="n">
        <v>0</v>
      </c>
    </row>
    <row r="3246" ht="12" customHeight="1">
      <c r="A3246" s="30" t="inlineStr">
        <is>
          <t>ITG</t>
        </is>
      </c>
      <c r="B3246" s="30" t="inlineStr">
        <is>
          <t>Itaguai</t>
        </is>
      </c>
      <c r="C3246" s="30" t="n">
        <v>12619715</v>
      </c>
      <c r="D3246" s="30">
        <f>"03255266000416"</f>
        <v/>
      </c>
      <c r="E3246" s="30" t="inlineStr">
        <is>
          <t>PRIO BRAVO LTDA</t>
        </is>
      </c>
      <c r="F3246" s="30" t="inlineStr">
        <is>
          <t>2023</t>
        </is>
      </c>
      <c r="G3246" s="40" t="n">
        <v>236817.39</v>
      </c>
    </row>
    <row r="3247" ht="12" customHeight="1">
      <c r="A3247" s="30" t="inlineStr">
        <is>
          <t>ITG</t>
        </is>
      </c>
      <c r="B3247" s="30" t="inlineStr">
        <is>
          <t>Itaguai</t>
        </is>
      </c>
      <c r="C3247" s="30" t="n">
        <v>12624611</v>
      </c>
      <c r="D3247" s="30">
        <f>"48126625000120"</f>
        <v/>
      </c>
      <c r="E3247" s="30" t="inlineStr">
        <is>
          <t>ITAGUAI RJ 749 GERA??O DE ENERGIA 605 LTDA</t>
        </is>
      </c>
      <c r="F3247" s="30" t="inlineStr">
        <is>
          <t>2020</t>
        </is>
      </c>
      <c r="G3247" s="40" t="n">
        <v>0</v>
      </c>
    </row>
    <row r="3248" ht="12" customHeight="1">
      <c r="A3248" s="30" t="inlineStr">
        <is>
          <t>ITG</t>
        </is>
      </c>
      <c r="B3248" s="30" t="inlineStr">
        <is>
          <t>Itaguai</t>
        </is>
      </c>
      <c r="C3248" s="30" t="n">
        <v>12624611</v>
      </c>
      <c r="D3248" s="30">
        <f>"48126625000120"</f>
        <v/>
      </c>
      <c r="E3248" s="30" t="inlineStr">
        <is>
          <t>ITAGUAI RJ 749 GERA??O DE ENERGIA 605 LTDA</t>
        </is>
      </c>
      <c r="F3248" s="30" t="inlineStr">
        <is>
          <t>2021</t>
        </is>
      </c>
      <c r="G3248" s="40" t="n">
        <v>0</v>
      </c>
    </row>
    <row r="3249" ht="12" customHeight="1">
      <c r="A3249" s="30" t="inlineStr">
        <is>
          <t>ITG</t>
        </is>
      </c>
      <c r="B3249" s="30" t="inlineStr">
        <is>
          <t>Itaguai</t>
        </is>
      </c>
      <c r="C3249" s="30" t="n">
        <v>12624611</v>
      </c>
      <c r="D3249" s="30">
        <f>"48126625000120"</f>
        <v/>
      </c>
      <c r="E3249" s="30" t="inlineStr">
        <is>
          <t>ITAGUAI RJ 749 GERA??O DE ENERGIA 605 LTDA</t>
        </is>
      </c>
      <c r="F3249" s="30" t="inlineStr">
        <is>
          <t>2022</t>
        </is>
      </c>
      <c r="G3249" s="40" t="n">
        <v>0</v>
      </c>
    </row>
    <row r="3250" ht="12" customHeight="1">
      <c r="A3250" s="30" t="inlineStr">
        <is>
          <t>ITG</t>
        </is>
      </c>
      <c r="B3250" s="30" t="inlineStr">
        <is>
          <t>Itaguai</t>
        </is>
      </c>
      <c r="C3250" s="30" t="n">
        <v>12624611</v>
      </c>
      <c r="D3250" s="30">
        <f>"48126625000120"</f>
        <v/>
      </c>
      <c r="E3250" s="30" t="inlineStr">
        <is>
          <t>ITAGUAI RJ 749 GERA??O DE ENERGIA 605 LTDA</t>
        </is>
      </c>
      <c r="F3250" s="30" t="inlineStr">
        <is>
          <t>2023</t>
        </is>
      </c>
      <c r="G3250" s="40" t="n">
        <v>0</v>
      </c>
    </row>
    <row r="3251" ht="12" customHeight="1">
      <c r="A3251" s="30" t="inlineStr">
        <is>
          <t>ITG</t>
        </is>
      </c>
      <c r="B3251" s="30" t="inlineStr">
        <is>
          <t>Itaguai</t>
        </is>
      </c>
      <c r="C3251" s="30" t="n">
        <v>12644973</v>
      </c>
      <c r="D3251" s="30">
        <f>"48342823000121"</f>
        <v/>
      </c>
      <c r="E3251" s="30" t="inlineStr">
        <is>
          <t>C S FREITAS COMERCIO DE ELETRONICOS LTDA</t>
        </is>
      </c>
      <c r="F3251" s="30" t="inlineStr">
        <is>
          <t>2021</t>
        </is>
      </c>
      <c r="G3251" s="40" t="n">
        <v>0</v>
      </c>
    </row>
    <row r="3252" ht="12" customHeight="1">
      <c r="A3252" s="30" t="inlineStr">
        <is>
          <t>ITG</t>
        </is>
      </c>
      <c r="B3252" s="30" t="inlineStr">
        <is>
          <t>Itaguai</t>
        </is>
      </c>
      <c r="C3252" s="30" t="n">
        <v>12644973</v>
      </c>
      <c r="D3252" s="30">
        <f>"48342823000121"</f>
        <v/>
      </c>
      <c r="E3252" s="30" t="inlineStr">
        <is>
          <t>C S FREITAS COMERCIO DE ELETRONICOS LTDA</t>
        </is>
      </c>
      <c r="F3252" s="30" t="inlineStr">
        <is>
          <t>2022</t>
        </is>
      </c>
      <c r="G3252" s="40" t="n">
        <v>0</v>
      </c>
    </row>
    <row r="3253" ht="12" customHeight="1">
      <c r="A3253" s="30" t="inlineStr">
        <is>
          <t>ITG</t>
        </is>
      </c>
      <c r="B3253" s="30" t="inlineStr">
        <is>
          <t>Itaguai</t>
        </is>
      </c>
      <c r="C3253" s="30" t="n">
        <v>12644973</v>
      </c>
      <c r="D3253" s="30">
        <f>"48342823000121"</f>
        <v/>
      </c>
      <c r="E3253" s="30" t="inlineStr">
        <is>
          <t>C S FREITAS COMERCIO DE ELETRONICOS LTDA</t>
        </is>
      </c>
      <c r="F3253" s="30" t="inlineStr">
        <is>
          <t>2023</t>
        </is>
      </c>
      <c r="G3253" s="40" t="n">
        <v>763490.73</v>
      </c>
    </row>
    <row r="3254" ht="12" customHeight="1">
      <c r="A3254" s="30" t="inlineStr">
        <is>
          <t>ITG</t>
        </is>
      </c>
      <c r="B3254" s="30" t="inlineStr">
        <is>
          <t>Itaguai</t>
        </is>
      </c>
      <c r="C3254" s="30" t="n">
        <v>12658427</v>
      </c>
      <c r="D3254" s="30">
        <f>"00016679682703"</f>
        <v/>
      </c>
      <c r="E3254" s="30" t="inlineStr">
        <is>
          <t>CAIO EMANUEL FIGUEIRA MOURA</t>
        </is>
      </c>
      <c r="F3254" s="30" t="inlineStr">
        <is>
          <t>2020</t>
        </is>
      </c>
      <c r="G3254" s="40" t="n">
        <v>0</v>
      </c>
    </row>
    <row r="3255" ht="12" customHeight="1">
      <c r="A3255" s="30" t="inlineStr">
        <is>
          <t>ITG</t>
        </is>
      </c>
      <c r="B3255" s="30" t="inlineStr">
        <is>
          <t>Itaguai</t>
        </is>
      </c>
      <c r="C3255" s="30" t="n">
        <v>12658427</v>
      </c>
      <c r="D3255" s="30">
        <f>"00016679682703"</f>
        <v/>
      </c>
      <c r="E3255" s="30" t="inlineStr">
        <is>
          <t>CAIO EMANUEL FIGUEIRA MOURA</t>
        </is>
      </c>
      <c r="F3255" s="30" t="inlineStr">
        <is>
          <t>2021</t>
        </is>
      </c>
      <c r="G3255" s="40" t="n">
        <v>0</v>
      </c>
    </row>
    <row r="3256" ht="12" customHeight="1">
      <c r="A3256" s="30" t="inlineStr">
        <is>
          <t>ITG</t>
        </is>
      </c>
      <c r="B3256" s="30" t="inlineStr">
        <is>
          <t>Itaguai</t>
        </is>
      </c>
      <c r="C3256" s="30" t="n">
        <v>12658427</v>
      </c>
      <c r="D3256" s="30">
        <f>"00016679682703"</f>
        <v/>
      </c>
      <c r="E3256" s="30" t="inlineStr">
        <is>
          <t>CAIO EMANUEL FIGUEIRA MOURA</t>
        </is>
      </c>
      <c r="F3256" s="30" t="inlineStr">
        <is>
          <t>2022</t>
        </is>
      </c>
      <c r="G3256" s="40" t="n">
        <v>0</v>
      </c>
    </row>
    <row r="3257" ht="12" customHeight="1">
      <c r="A3257" s="30" t="inlineStr">
        <is>
          <t>ITG</t>
        </is>
      </c>
      <c r="B3257" s="30" t="inlineStr">
        <is>
          <t>Itaguai</t>
        </is>
      </c>
      <c r="C3257" s="30" t="n">
        <v>12658427</v>
      </c>
      <c r="D3257" s="30">
        <f>"00016679682703"</f>
        <v/>
      </c>
      <c r="E3257" s="30" t="inlineStr">
        <is>
          <t>CAIO EMANUEL FIGUEIRA MOURA</t>
        </is>
      </c>
      <c r="F3257" s="30" t="inlineStr">
        <is>
          <t>2023</t>
        </is>
      </c>
      <c r="G3257" s="40" t="n">
        <v>0</v>
      </c>
    </row>
    <row r="3258" ht="12" customHeight="1">
      <c r="A3258" s="30" t="inlineStr">
        <is>
          <t>ITG</t>
        </is>
      </c>
      <c r="B3258" s="30" t="inlineStr">
        <is>
          <t>Itaguai</t>
        </is>
      </c>
      <c r="C3258" s="30" t="n">
        <v>12661894</v>
      </c>
      <c r="D3258" s="30">
        <f>"32168100001947"</f>
        <v/>
      </c>
      <c r="E3258" s="30" t="inlineStr">
        <is>
          <t>PONTO MIX CONFEC??ES LTDA</t>
        </is>
      </c>
      <c r="F3258" s="30" t="inlineStr">
        <is>
          <t>2020</t>
        </is>
      </c>
      <c r="G3258" s="40" t="n">
        <v>0</v>
      </c>
    </row>
    <row r="3259" ht="12" customHeight="1">
      <c r="A3259" s="30" t="inlineStr">
        <is>
          <t>ITG</t>
        </is>
      </c>
      <c r="B3259" s="30" t="inlineStr">
        <is>
          <t>Itaguai</t>
        </is>
      </c>
      <c r="C3259" s="30" t="n">
        <v>12661894</v>
      </c>
      <c r="D3259" s="30">
        <f>"32168100001947"</f>
        <v/>
      </c>
      <c r="E3259" s="30" t="inlineStr">
        <is>
          <t>PONTO MIX CONFEC??ES LTDA</t>
        </is>
      </c>
      <c r="F3259" s="30" t="inlineStr">
        <is>
          <t>2021</t>
        </is>
      </c>
      <c r="G3259" s="40" t="n">
        <v>0</v>
      </c>
    </row>
    <row r="3260" ht="12" customHeight="1">
      <c r="A3260" s="30" t="inlineStr">
        <is>
          <t>ITG</t>
        </is>
      </c>
      <c r="B3260" s="30" t="inlineStr">
        <is>
          <t>Itaguai</t>
        </is>
      </c>
      <c r="C3260" s="30" t="n">
        <v>12661894</v>
      </c>
      <c r="D3260" s="30">
        <f>"32168100001947"</f>
        <v/>
      </c>
      <c r="E3260" s="30" t="inlineStr">
        <is>
          <t>PONTO MIX CONFEC??ES LTDA</t>
        </is>
      </c>
      <c r="F3260" s="30" t="inlineStr">
        <is>
          <t>2022</t>
        </is>
      </c>
      <c r="G3260" s="40" t="n">
        <v>0</v>
      </c>
    </row>
    <row r="3261" ht="12" customHeight="1">
      <c r="A3261" s="30" t="inlineStr">
        <is>
          <t>ITG</t>
        </is>
      </c>
      <c r="B3261" s="30" t="inlineStr">
        <is>
          <t>Itaguai</t>
        </is>
      </c>
      <c r="C3261" s="30" t="n">
        <v>12661894</v>
      </c>
      <c r="D3261" s="30">
        <f>"32168100001947"</f>
        <v/>
      </c>
      <c r="E3261" s="30" t="inlineStr">
        <is>
          <t>PONTO MIX CONFEC??ES LTDA</t>
        </is>
      </c>
      <c r="F3261" s="30" t="inlineStr">
        <is>
          <t>2023</t>
        </is>
      </c>
      <c r="G3261" s="40" t="n">
        <v>932511.88</v>
      </c>
    </row>
    <row r="3262" ht="12" customHeight="1">
      <c r="A3262" s="30" t="inlineStr">
        <is>
          <t>ITG</t>
        </is>
      </c>
      <c r="B3262" s="30" t="inlineStr">
        <is>
          <t>Itaguai</t>
        </is>
      </c>
      <c r="C3262" s="30" t="n">
        <v>12674201</v>
      </c>
      <c r="D3262" s="30">
        <f>"17803300000373"</f>
        <v/>
      </c>
      <c r="E3262" s="30" t="inlineStr">
        <is>
          <t>FORTCARGO TRANSPORTES LTDA</t>
        </is>
      </c>
      <c r="F3262" s="30" t="inlineStr">
        <is>
          <t>2021</t>
        </is>
      </c>
      <c r="G3262" s="40" t="n">
        <v>0</v>
      </c>
    </row>
    <row r="3263" ht="12" customHeight="1">
      <c r="A3263" s="30" t="inlineStr">
        <is>
          <t>ITG</t>
        </is>
      </c>
      <c r="B3263" s="30" t="inlineStr">
        <is>
          <t>Itaguai</t>
        </is>
      </c>
      <c r="C3263" s="30" t="n">
        <v>12674201</v>
      </c>
      <c r="D3263" s="30">
        <f>"17803300000373"</f>
        <v/>
      </c>
      <c r="E3263" s="30" t="inlineStr">
        <is>
          <t>FORTCARGO TRANSPORTES LTDA</t>
        </is>
      </c>
      <c r="F3263" s="30" t="inlineStr">
        <is>
          <t>2022</t>
        </is>
      </c>
      <c r="G3263" s="40" t="n">
        <v>0</v>
      </c>
    </row>
    <row r="3264" ht="12" customHeight="1">
      <c r="A3264" s="30" t="inlineStr">
        <is>
          <t>ITG</t>
        </is>
      </c>
      <c r="B3264" s="30" t="inlineStr">
        <is>
          <t>Itaguai</t>
        </is>
      </c>
      <c r="C3264" s="30" t="n">
        <v>12674201</v>
      </c>
      <c r="D3264" s="30">
        <f>"17803300000373"</f>
        <v/>
      </c>
      <c r="E3264" s="30" t="inlineStr">
        <is>
          <t>FORTCARGO TRANSPORTES LTDA</t>
        </is>
      </c>
      <c r="F3264" s="30" t="inlineStr">
        <is>
          <t>2023</t>
        </is>
      </c>
      <c r="G3264" s="40" t="n">
        <v>186.63</v>
      </c>
    </row>
    <row r="3265" ht="12" customHeight="1">
      <c r="A3265" s="30" t="inlineStr">
        <is>
          <t>ITG</t>
        </is>
      </c>
      <c r="B3265" s="30" t="inlineStr">
        <is>
          <t>Itaguai</t>
        </is>
      </c>
      <c r="C3265" s="30" t="n">
        <v>12700563</v>
      </c>
      <c r="D3265" s="30">
        <f>"43794308000835"</f>
        <v/>
      </c>
      <c r="E3265" s="30" t="inlineStr">
        <is>
          <t>MONAMIE COSM?TICOS E BAZAR LTDA</t>
        </is>
      </c>
      <c r="F3265" s="30" t="inlineStr">
        <is>
          <t>2020</t>
        </is>
      </c>
      <c r="G3265" s="40" t="n">
        <v>0</v>
      </c>
    </row>
    <row r="3266" ht="12" customHeight="1">
      <c r="A3266" s="30" t="inlineStr">
        <is>
          <t>ITG</t>
        </is>
      </c>
      <c r="B3266" s="30" t="inlineStr">
        <is>
          <t>Itaguai</t>
        </is>
      </c>
      <c r="C3266" s="30" t="n">
        <v>12700563</v>
      </c>
      <c r="D3266" s="30">
        <f>"43794308000835"</f>
        <v/>
      </c>
      <c r="E3266" s="30" t="inlineStr">
        <is>
          <t>MONAMIE COSM?TICOS E BAZAR LTDA</t>
        </is>
      </c>
      <c r="F3266" s="30" t="inlineStr">
        <is>
          <t>2021</t>
        </is>
      </c>
      <c r="G3266" s="40" t="n">
        <v>0</v>
      </c>
    </row>
    <row r="3267" ht="12" customHeight="1">
      <c r="A3267" s="30" t="inlineStr">
        <is>
          <t>ITG</t>
        </is>
      </c>
      <c r="B3267" s="30" t="inlineStr">
        <is>
          <t>Itaguai</t>
        </is>
      </c>
      <c r="C3267" s="30" t="n">
        <v>12700563</v>
      </c>
      <c r="D3267" s="30">
        <f>"43794308000835"</f>
        <v/>
      </c>
      <c r="E3267" s="30" t="inlineStr">
        <is>
          <t>MONAMIE COSM?TICOS E BAZAR LTDA</t>
        </is>
      </c>
      <c r="F3267" s="30" t="inlineStr">
        <is>
          <t>2022</t>
        </is>
      </c>
      <c r="G3267" s="40" t="n">
        <v>0</v>
      </c>
    </row>
    <row r="3268" ht="12" customHeight="1">
      <c r="A3268" s="30" t="inlineStr">
        <is>
          <t>ITG</t>
        </is>
      </c>
      <c r="B3268" s="30" t="inlineStr">
        <is>
          <t>Itaguai</t>
        </is>
      </c>
      <c r="C3268" s="30" t="n">
        <v>12700563</v>
      </c>
      <c r="D3268" s="30">
        <f>"43794308000835"</f>
        <v/>
      </c>
      <c r="E3268" s="30" t="inlineStr">
        <is>
          <t>MONAMIE COSM?TICOS E BAZAR LTDA</t>
        </is>
      </c>
      <c r="F3268" s="30" t="inlineStr">
        <is>
          <t>2023</t>
        </is>
      </c>
      <c r="G3268" s="40" t="n">
        <v>1100674.46</v>
      </c>
    </row>
    <row r="3269" ht="12" customHeight="1">
      <c r="A3269" s="30" t="inlineStr">
        <is>
          <t>ITG</t>
        </is>
      </c>
      <c r="B3269" s="30" t="inlineStr">
        <is>
          <t>Itaguai</t>
        </is>
      </c>
      <c r="C3269" s="30" t="n">
        <v>12714670</v>
      </c>
      <c r="D3269" s="30">
        <f>"67844183000445"</f>
        <v/>
      </c>
      <c r="E3269" s="30" t="inlineStr">
        <is>
          <t>RTT SOLUCOES INDUSTRIAIS LTDA</t>
        </is>
      </c>
      <c r="F3269" s="30" t="inlineStr">
        <is>
          <t>2020</t>
        </is>
      </c>
      <c r="G3269" s="40" t="n">
        <v>0</v>
      </c>
    </row>
    <row r="3270" ht="12" customHeight="1">
      <c r="A3270" s="30" t="inlineStr">
        <is>
          <t>ITG</t>
        </is>
      </c>
      <c r="B3270" s="30" t="inlineStr">
        <is>
          <t>Itaguai</t>
        </is>
      </c>
      <c r="C3270" s="30" t="n">
        <v>12714670</v>
      </c>
      <c r="D3270" s="30">
        <f>"67844183000445"</f>
        <v/>
      </c>
      <c r="E3270" s="30" t="inlineStr">
        <is>
          <t>RTT SOLUCOES INDUSTRIAIS LTDA</t>
        </is>
      </c>
      <c r="F3270" s="30" t="inlineStr">
        <is>
          <t>2021</t>
        </is>
      </c>
      <c r="G3270" s="40" t="n">
        <v>0</v>
      </c>
    </row>
    <row r="3271" ht="12" customHeight="1">
      <c r="A3271" s="30" t="inlineStr">
        <is>
          <t>ITG</t>
        </is>
      </c>
      <c r="B3271" s="30" t="inlineStr">
        <is>
          <t>Itaguai</t>
        </is>
      </c>
      <c r="C3271" s="30" t="n">
        <v>12714670</v>
      </c>
      <c r="D3271" s="30">
        <f>"67844183000445"</f>
        <v/>
      </c>
      <c r="E3271" s="30" t="inlineStr">
        <is>
          <t>RTT SOLUCOES INDUSTRIAIS LTDA</t>
        </is>
      </c>
      <c r="F3271" s="30" t="inlineStr">
        <is>
          <t>2022</t>
        </is>
      </c>
      <c r="G3271" s="40" t="n">
        <v>0</v>
      </c>
    </row>
    <row r="3272" ht="12" customHeight="1">
      <c r="A3272" s="30" t="inlineStr">
        <is>
          <t>ITG</t>
        </is>
      </c>
      <c r="B3272" s="30" t="inlineStr">
        <is>
          <t>Itaguai</t>
        </is>
      </c>
      <c r="C3272" s="30" t="n">
        <v>12714670</v>
      </c>
      <c r="D3272" s="30">
        <f>"67844183000445"</f>
        <v/>
      </c>
      <c r="E3272" s="30" t="inlineStr">
        <is>
          <t>RTT SOLUCOES INDUSTRIAIS LTDA</t>
        </is>
      </c>
      <c r="F3272" s="30" t="inlineStr">
        <is>
          <t>2023</t>
        </is>
      </c>
      <c r="G3272" s="40" t="n">
        <v>0</v>
      </c>
    </row>
    <row r="3273" ht="12" customHeight="1">
      <c r="A3273" s="30" t="inlineStr">
        <is>
          <t>ITG</t>
        </is>
      </c>
      <c r="B3273" s="30" t="inlineStr">
        <is>
          <t>Itaguai</t>
        </is>
      </c>
      <c r="C3273" s="30" t="n">
        <v>12739273</v>
      </c>
      <c r="D3273" s="30">
        <f>"00000246331780"</f>
        <v/>
      </c>
      <c r="E3273" s="30" t="inlineStr">
        <is>
          <t>MONICA ASSIS DE ARAUJO E SILVA</t>
        </is>
      </c>
      <c r="F3273" s="30" t="inlineStr">
        <is>
          <t>2021</t>
        </is>
      </c>
      <c r="G3273" s="40" t="n">
        <v>0</v>
      </c>
    </row>
    <row r="3274" ht="12" customHeight="1">
      <c r="A3274" s="30" t="inlineStr">
        <is>
          <t>ITG</t>
        </is>
      </c>
      <c r="B3274" s="30" t="inlineStr">
        <is>
          <t>Itaguai</t>
        </is>
      </c>
      <c r="C3274" s="30" t="n">
        <v>12739273</v>
      </c>
      <c r="D3274" s="30">
        <f>"00000246331780"</f>
        <v/>
      </c>
      <c r="E3274" s="30" t="inlineStr">
        <is>
          <t>MONICA ASSIS DE ARAUJO E SILVA</t>
        </is>
      </c>
      <c r="F3274" s="30" t="inlineStr">
        <is>
          <t>2022</t>
        </is>
      </c>
      <c r="G3274" s="40" t="n">
        <v>0</v>
      </c>
    </row>
    <row r="3275" ht="12" customHeight="1">
      <c r="A3275" s="30" t="inlineStr">
        <is>
          <t>ITG</t>
        </is>
      </c>
      <c r="B3275" s="30" t="inlineStr">
        <is>
          <t>Itaguai</t>
        </is>
      </c>
      <c r="C3275" s="30" t="n">
        <v>12739273</v>
      </c>
      <c r="D3275" s="30">
        <f>"00000246331780"</f>
        <v/>
      </c>
      <c r="E3275" s="30" t="inlineStr">
        <is>
          <t>MONICA ASSIS DE ARAUJO E SILVA</t>
        </is>
      </c>
      <c r="F3275" s="30" t="inlineStr">
        <is>
          <t>2023</t>
        </is>
      </c>
      <c r="G3275" s="40" t="n">
        <v>23330.57</v>
      </c>
    </row>
    <row r="3276" ht="12" customHeight="1">
      <c r="A3276" s="30" t="inlineStr">
        <is>
          <t>ITG</t>
        </is>
      </c>
      <c r="B3276" s="30" t="inlineStr">
        <is>
          <t>Itaguai</t>
        </is>
      </c>
      <c r="C3276" s="30" t="n">
        <v>12754515</v>
      </c>
      <c r="D3276" s="30">
        <f>"07991107000511"</f>
        <v/>
      </c>
      <c r="E3276" s="30" t="inlineStr">
        <is>
          <t>MARANATA INDUSTRIA E COMERCIO DE SAL LTDA</t>
        </is>
      </c>
      <c r="F3276" s="30" t="inlineStr">
        <is>
          <t>2021</t>
        </is>
      </c>
      <c r="G3276" s="40" t="n">
        <v>0</v>
      </c>
    </row>
    <row r="3277" ht="12" customHeight="1">
      <c r="A3277" s="30" t="inlineStr">
        <is>
          <t>ITG</t>
        </is>
      </c>
      <c r="B3277" s="30" t="inlineStr">
        <is>
          <t>Itaguai</t>
        </is>
      </c>
      <c r="C3277" s="30" t="n">
        <v>12754515</v>
      </c>
      <c r="D3277" s="30">
        <f>"07991107000511"</f>
        <v/>
      </c>
      <c r="E3277" s="30" t="inlineStr">
        <is>
          <t>MARANATA INDUSTRIA E COMERCIO DE SAL LTDA</t>
        </is>
      </c>
      <c r="F3277" s="30" t="inlineStr">
        <is>
          <t>2022</t>
        </is>
      </c>
      <c r="G3277" s="40" t="n">
        <v>0</v>
      </c>
    </row>
    <row r="3278" ht="12" customHeight="1">
      <c r="A3278" s="30" t="inlineStr">
        <is>
          <t>ITG</t>
        </is>
      </c>
      <c r="B3278" s="30" t="inlineStr">
        <is>
          <t>Itaguai</t>
        </is>
      </c>
      <c r="C3278" s="30" t="n">
        <v>12754515</v>
      </c>
      <c r="D3278" s="30">
        <f>"07991107000511"</f>
        <v/>
      </c>
      <c r="E3278" s="30" t="inlineStr">
        <is>
          <t>MARANATA INDUSTRIA E COMERCIO DE SAL LTDA</t>
        </is>
      </c>
      <c r="F3278" s="30" t="inlineStr">
        <is>
          <t>2023</t>
        </is>
      </c>
      <c r="G3278" s="40" t="n">
        <v>0</v>
      </c>
    </row>
    <row r="3279" ht="12" customHeight="1">
      <c r="A3279" s="30" t="inlineStr">
        <is>
          <t>ITG</t>
        </is>
      </c>
      <c r="B3279" s="30" t="inlineStr">
        <is>
          <t>Itaguai</t>
        </is>
      </c>
      <c r="C3279" s="30" t="n">
        <v>12802749</v>
      </c>
      <c r="D3279" s="30">
        <f>"49905475000116"</f>
        <v/>
      </c>
      <c r="E3279" s="30" t="inlineStr">
        <is>
          <t>ITAGUAI RJ 753 GERACAO DE ENERGIA 490 LTDA</t>
        </is>
      </c>
      <c r="F3279" s="30" t="inlineStr">
        <is>
          <t>2021</t>
        </is>
      </c>
      <c r="G3279" s="40" t="n">
        <v>0</v>
      </c>
    </row>
    <row r="3280" ht="12" customHeight="1">
      <c r="A3280" s="30" t="inlineStr">
        <is>
          <t>ITG</t>
        </is>
      </c>
      <c r="B3280" s="30" t="inlineStr">
        <is>
          <t>Itaguai</t>
        </is>
      </c>
      <c r="C3280" s="30" t="n">
        <v>12802749</v>
      </c>
      <c r="D3280" s="30">
        <f>"49905475000116"</f>
        <v/>
      </c>
      <c r="E3280" s="30" t="inlineStr">
        <is>
          <t>ITAGUAI RJ 753 GERACAO DE ENERGIA 490 LTDA</t>
        </is>
      </c>
      <c r="F3280" s="30" t="inlineStr">
        <is>
          <t>2022</t>
        </is>
      </c>
      <c r="G3280" s="40" t="n">
        <v>0</v>
      </c>
    </row>
    <row r="3281" ht="12" customHeight="1">
      <c r="A3281" s="30" t="inlineStr">
        <is>
          <t>ITG</t>
        </is>
      </c>
      <c r="B3281" s="30" t="inlineStr">
        <is>
          <t>Itaguai</t>
        </is>
      </c>
      <c r="C3281" s="30" t="n">
        <v>12802749</v>
      </c>
      <c r="D3281" s="30">
        <f>"49905475000116"</f>
        <v/>
      </c>
      <c r="E3281" s="30" t="inlineStr">
        <is>
          <t>ITAGUAI RJ 753 GERACAO DE ENERGIA 490 LTDA</t>
        </is>
      </c>
      <c r="F3281" s="30" t="inlineStr">
        <is>
          <t>2023</t>
        </is>
      </c>
      <c r="G3281" s="40" t="n">
        <v>0</v>
      </c>
    </row>
    <row r="3282" ht="12" customHeight="1">
      <c r="A3282" s="30" t="inlineStr">
        <is>
          <t>ITG</t>
        </is>
      </c>
      <c r="B3282" s="30" t="inlineStr">
        <is>
          <t>Itaguai</t>
        </is>
      </c>
      <c r="C3282" s="30" t="n">
        <v>12805446</v>
      </c>
      <c r="D3282" s="30">
        <f>"08969326000214"</f>
        <v/>
      </c>
      <c r="E3282" s="30" t="inlineStr">
        <is>
          <t>POLICARPO LOGISTICA E TRANSPORTES LTDA</t>
        </is>
      </c>
      <c r="F3282" s="30" t="inlineStr">
        <is>
          <t>2021</t>
        </is>
      </c>
      <c r="G3282" s="40" t="n">
        <v>0</v>
      </c>
    </row>
    <row r="3283" ht="12" customHeight="1">
      <c r="A3283" s="30" t="inlineStr">
        <is>
          <t>ITG</t>
        </is>
      </c>
      <c r="B3283" s="30" t="inlineStr">
        <is>
          <t>Itaguai</t>
        </is>
      </c>
      <c r="C3283" s="30" t="n">
        <v>12805446</v>
      </c>
      <c r="D3283" s="30">
        <f>"08969326000214"</f>
        <v/>
      </c>
      <c r="E3283" s="30" t="inlineStr">
        <is>
          <t>POLICARPO LOGISTICA E TRANSPORTES LTDA</t>
        </is>
      </c>
      <c r="F3283" s="30" t="inlineStr">
        <is>
          <t>2022</t>
        </is>
      </c>
      <c r="G3283" s="40" t="n">
        <v>0</v>
      </c>
    </row>
    <row r="3284" ht="12" customHeight="1">
      <c r="A3284" s="30" t="inlineStr">
        <is>
          <t>ITG</t>
        </is>
      </c>
      <c r="B3284" s="30" t="inlineStr">
        <is>
          <t>Itaguai</t>
        </is>
      </c>
      <c r="C3284" s="30" t="n">
        <v>12805446</v>
      </c>
      <c r="D3284" s="30">
        <f>"08969326000214"</f>
        <v/>
      </c>
      <c r="E3284" s="30" t="inlineStr">
        <is>
          <t>POLICARPO LOGISTICA E TRANSPORTES LTDA</t>
        </is>
      </c>
      <c r="F3284" s="30" t="inlineStr">
        <is>
          <t>2023</t>
        </is>
      </c>
      <c r="G3284" s="40" t="n">
        <v>6006.4</v>
      </c>
    </row>
    <row r="3285" ht="12" customHeight="1">
      <c r="A3285" s="30" t="inlineStr">
        <is>
          <t>ITG</t>
        </is>
      </c>
      <c r="B3285" s="30" t="inlineStr">
        <is>
          <t>Itaguai</t>
        </is>
      </c>
      <c r="C3285" s="30" t="n">
        <v>12810083</v>
      </c>
      <c r="D3285" s="30">
        <f>"00008612914760"</f>
        <v/>
      </c>
      <c r="E3285" s="30" t="inlineStr">
        <is>
          <t>AFFONSO DE MORAES LIMA NETO</t>
        </is>
      </c>
      <c r="F3285" s="30" t="inlineStr">
        <is>
          <t>2021</t>
        </is>
      </c>
      <c r="G3285" s="40" t="n">
        <v>0</v>
      </c>
    </row>
    <row r="3286" ht="12" customHeight="1">
      <c r="A3286" s="30" t="inlineStr">
        <is>
          <t>ITG</t>
        </is>
      </c>
      <c r="B3286" s="30" t="inlineStr">
        <is>
          <t>Itaguai</t>
        </is>
      </c>
      <c r="C3286" s="30" t="n">
        <v>12810083</v>
      </c>
      <c r="D3286" s="30">
        <f>"00008612914760"</f>
        <v/>
      </c>
      <c r="E3286" s="30" t="inlineStr">
        <is>
          <t>AFFONSO DE MORAES LIMA NETO</t>
        </is>
      </c>
      <c r="F3286" s="30" t="inlineStr">
        <is>
          <t>2022</t>
        </is>
      </c>
      <c r="G3286" s="40" t="n">
        <v>0</v>
      </c>
    </row>
    <row r="3287" ht="12" customHeight="1">
      <c r="A3287" s="30" t="inlineStr">
        <is>
          <t>ITG</t>
        </is>
      </c>
      <c r="B3287" s="30" t="inlineStr">
        <is>
          <t>Itaguai</t>
        </is>
      </c>
      <c r="C3287" s="30" t="n">
        <v>12810083</v>
      </c>
      <c r="D3287" s="30">
        <f>"00008612914760"</f>
        <v/>
      </c>
      <c r="E3287" s="30" t="inlineStr">
        <is>
          <t>AFFONSO DE MORAES LIMA NETO</t>
        </is>
      </c>
      <c r="F3287" s="30" t="inlineStr">
        <is>
          <t>2023</t>
        </is>
      </c>
      <c r="G3287" s="40" t="n">
        <v>0</v>
      </c>
    </row>
    <row r="3288" ht="12" customHeight="1">
      <c r="A3288" s="30" t="inlineStr">
        <is>
          <t>ITG</t>
        </is>
      </c>
      <c r="B3288" s="30" t="inlineStr">
        <is>
          <t>Itaguai</t>
        </is>
      </c>
      <c r="C3288" s="30" t="n">
        <v>12814623</v>
      </c>
      <c r="D3288" s="30">
        <f>"00005794821701"</f>
        <v/>
      </c>
      <c r="E3288" s="30" t="inlineStr">
        <is>
          <t>GIOVANNA LEMOS LIMA SANTORO</t>
        </is>
      </c>
      <c r="F3288" s="30" t="inlineStr">
        <is>
          <t>2021</t>
        </is>
      </c>
      <c r="G3288" s="40" t="n">
        <v>0</v>
      </c>
    </row>
    <row r="3289" ht="12" customHeight="1">
      <c r="A3289" s="30" t="inlineStr">
        <is>
          <t>ITG</t>
        </is>
      </c>
      <c r="B3289" s="30" t="inlineStr">
        <is>
          <t>Itaguai</t>
        </is>
      </c>
      <c r="C3289" s="30" t="n">
        <v>12814623</v>
      </c>
      <c r="D3289" s="30">
        <f>"00005794821701"</f>
        <v/>
      </c>
      <c r="E3289" s="30" t="inlineStr">
        <is>
          <t>GIOVANNA LEMOS LIMA SANTORO</t>
        </is>
      </c>
      <c r="F3289" s="30" t="inlineStr">
        <is>
          <t>2022</t>
        </is>
      </c>
      <c r="G3289" s="40" t="n">
        <v>0</v>
      </c>
    </row>
    <row r="3290" ht="12" customHeight="1">
      <c r="A3290" s="30" t="inlineStr">
        <is>
          <t>ITG</t>
        </is>
      </c>
      <c r="B3290" s="30" t="inlineStr">
        <is>
          <t>Itaguai</t>
        </is>
      </c>
      <c r="C3290" s="30" t="n">
        <v>12814623</v>
      </c>
      <c r="D3290" s="30">
        <f>"00005794821701"</f>
        <v/>
      </c>
      <c r="E3290" s="30" t="inlineStr">
        <is>
          <t>GIOVANNA LEMOS LIMA SANTORO</t>
        </is>
      </c>
      <c r="F3290" s="30" t="inlineStr">
        <is>
          <t>2023</t>
        </is>
      </c>
      <c r="G3290" s="40" t="n">
        <v>1370747</v>
      </c>
    </row>
    <row r="3291" ht="12" customHeight="1">
      <c r="A3291" s="30" t="inlineStr">
        <is>
          <t>ITG</t>
        </is>
      </c>
      <c r="B3291" s="30" t="inlineStr">
        <is>
          <t>Itaguai</t>
        </is>
      </c>
      <c r="C3291" s="30" t="n">
        <v>12817878</v>
      </c>
      <c r="D3291" s="30">
        <f>"14310170011111"</f>
        <v/>
      </c>
      <c r="E3291" s="30" t="inlineStr">
        <is>
          <t>AUTOZONE BRASIL COMERCIO DE AUTOPECAS LTDA.</t>
        </is>
      </c>
      <c r="F3291" s="30" t="inlineStr">
        <is>
          <t>2021</t>
        </is>
      </c>
      <c r="G3291" s="40" t="n">
        <v>0</v>
      </c>
    </row>
    <row r="3292" ht="12" customHeight="1">
      <c r="A3292" s="30" t="inlineStr">
        <is>
          <t>ITG</t>
        </is>
      </c>
      <c r="B3292" s="30" t="inlineStr">
        <is>
          <t>Itaguai</t>
        </is>
      </c>
      <c r="C3292" s="30" t="n">
        <v>12817878</v>
      </c>
      <c r="D3292" s="30">
        <f>"14310170011111"</f>
        <v/>
      </c>
      <c r="E3292" s="30" t="inlineStr">
        <is>
          <t>AUTOZONE BRASIL COMERCIO DE AUTOPECAS LTDA.</t>
        </is>
      </c>
      <c r="F3292" s="30" t="inlineStr">
        <is>
          <t>2022</t>
        </is>
      </c>
      <c r="G3292" s="40" t="n">
        <v>0</v>
      </c>
    </row>
    <row r="3293" ht="12" customHeight="1">
      <c r="A3293" s="30" t="inlineStr">
        <is>
          <t>ITG</t>
        </is>
      </c>
      <c r="B3293" s="30" t="inlineStr">
        <is>
          <t>Itaguai</t>
        </is>
      </c>
      <c r="C3293" s="30" t="n">
        <v>12817878</v>
      </c>
      <c r="D3293" s="30">
        <f>"14310170011111"</f>
        <v/>
      </c>
      <c r="E3293" s="30" t="inlineStr">
        <is>
          <t>AUTOZONE BRASIL COMERCIO DE AUTOPECAS LTDA.</t>
        </is>
      </c>
      <c r="F3293" s="30" t="inlineStr">
        <is>
          <t>2023</t>
        </is>
      </c>
      <c r="G3293" s="40" t="n">
        <v>0</v>
      </c>
    </row>
    <row r="3294" ht="12" customHeight="1">
      <c r="A3294" s="30" t="inlineStr">
        <is>
          <t>ITG</t>
        </is>
      </c>
      <c r="B3294" s="30" t="inlineStr">
        <is>
          <t>Itaguai</t>
        </is>
      </c>
      <c r="C3294" s="30" t="n">
        <v>12826125</v>
      </c>
      <c r="D3294" s="30">
        <f>"49548533000282"</f>
        <v/>
      </c>
      <c r="E3294" s="30" t="inlineStr">
        <is>
          <t>TRANSCAPITAIS EXPRESS LTDA</t>
        </is>
      </c>
      <c r="F3294" s="30" t="inlineStr">
        <is>
          <t>2021</t>
        </is>
      </c>
      <c r="G3294" s="40" t="n">
        <v>0</v>
      </c>
    </row>
    <row r="3295" ht="12" customHeight="1">
      <c r="A3295" s="30" t="inlineStr">
        <is>
          <t>ITG</t>
        </is>
      </c>
      <c r="B3295" s="30" t="inlineStr">
        <is>
          <t>Itaguai</t>
        </is>
      </c>
      <c r="C3295" s="30" t="n">
        <v>12826125</v>
      </c>
      <c r="D3295" s="30">
        <f>"49548533000282"</f>
        <v/>
      </c>
      <c r="E3295" s="30" t="inlineStr">
        <is>
          <t>TRANSCAPITAIS EXPRESS LTDA</t>
        </is>
      </c>
      <c r="F3295" s="30" t="inlineStr">
        <is>
          <t>2022</t>
        </is>
      </c>
      <c r="G3295" s="40" t="n">
        <v>0</v>
      </c>
    </row>
    <row r="3296" ht="12" customHeight="1">
      <c r="A3296" s="30" t="inlineStr">
        <is>
          <t>ITG</t>
        </is>
      </c>
      <c r="B3296" s="30" t="inlineStr">
        <is>
          <t>Itaguai</t>
        </is>
      </c>
      <c r="C3296" s="30" t="n">
        <v>12826125</v>
      </c>
      <c r="D3296" s="30">
        <f>"49548533000282"</f>
        <v/>
      </c>
      <c r="E3296" s="30" t="inlineStr">
        <is>
          <t>TRANSCAPITAIS EXPRESS LTDA</t>
        </is>
      </c>
      <c r="F3296" s="30" t="inlineStr">
        <is>
          <t>2023</t>
        </is>
      </c>
      <c r="G3296" s="40" t="n">
        <v>129.85</v>
      </c>
    </row>
    <row r="3297" ht="12" customHeight="1">
      <c r="A3297" s="30" t="inlineStr">
        <is>
          <t>ITG</t>
        </is>
      </c>
      <c r="B3297" s="30" t="inlineStr">
        <is>
          <t>Itaguai</t>
        </is>
      </c>
      <c r="C3297" s="30" t="n">
        <v>12836368</v>
      </c>
      <c r="D3297" s="30">
        <f>"07126663000368"</f>
        <v/>
      </c>
      <c r="E3297" s="30" t="inlineStr">
        <is>
          <t>MULTI PARATY MERCADO LTDA</t>
        </is>
      </c>
      <c r="F3297" s="30" t="inlineStr">
        <is>
          <t>2021</t>
        </is>
      </c>
      <c r="G3297" s="40" t="n">
        <v>0</v>
      </c>
    </row>
    <row r="3298" ht="12" customHeight="1">
      <c r="A3298" s="30" t="inlineStr">
        <is>
          <t>ITG</t>
        </is>
      </c>
      <c r="B3298" s="30" t="inlineStr">
        <is>
          <t>Itaguai</t>
        </is>
      </c>
      <c r="C3298" s="30" t="n">
        <v>12836368</v>
      </c>
      <c r="D3298" s="30">
        <f>"07126663000368"</f>
        <v/>
      </c>
      <c r="E3298" s="30" t="inlineStr">
        <is>
          <t>MULTI PARATY MERCADO LTDA</t>
        </is>
      </c>
      <c r="F3298" s="30" t="inlineStr">
        <is>
          <t>2022</t>
        </is>
      </c>
      <c r="G3298" s="40" t="n">
        <v>0</v>
      </c>
    </row>
    <row r="3299" ht="12" customHeight="1">
      <c r="A3299" s="30" t="inlineStr">
        <is>
          <t>ITG</t>
        </is>
      </c>
      <c r="B3299" s="30" t="inlineStr">
        <is>
          <t>Itaguai</t>
        </is>
      </c>
      <c r="C3299" s="30" t="n">
        <v>12836368</v>
      </c>
      <c r="D3299" s="30">
        <f>"07126663000368"</f>
        <v/>
      </c>
      <c r="E3299" s="30" t="inlineStr">
        <is>
          <t>MULTI PARATY MERCADO LTDA</t>
        </is>
      </c>
      <c r="F3299" s="30" t="inlineStr">
        <is>
          <t>2023</t>
        </is>
      </c>
      <c r="G3299" s="40" t="n">
        <v>0</v>
      </c>
    </row>
    <row r="3300" ht="12" customHeight="1">
      <c r="A3300" s="30" t="inlineStr">
        <is>
          <t>ITG</t>
        </is>
      </c>
      <c r="B3300" s="30" t="inlineStr">
        <is>
          <t>Itaguai</t>
        </is>
      </c>
      <c r="C3300" s="30" t="n">
        <v>12849826</v>
      </c>
      <c r="D3300" s="30">
        <f>"50560601000127"</f>
        <v/>
      </c>
      <c r="E3300" s="30" t="inlineStr">
        <is>
          <t>B-PROJECTS ARMAZEM GERAL LTDA.</t>
        </is>
      </c>
      <c r="F3300" s="30" t="inlineStr">
        <is>
          <t>2021</t>
        </is>
      </c>
      <c r="G3300" s="40" t="n">
        <v>0</v>
      </c>
    </row>
    <row r="3301" ht="12" customHeight="1">
      <c r="A3301" s="30" t="inlineStr">
        <is>
          <t>ITG</t>
        </is>
      </c>
      <c r="B3301" s="30" t="inlineStr">
        <is>
          <t>Itaguai</t>
        </is>
      </c>
      <c r="C3301" s="30" t="n">
        <v>12849826</v>
      </c>
      <c r="D3301" s="30">
        <f>"50560601000127"</f>
        <v/>
      </c>
      <c r="E3301" s="30" t="inlineStr">
        <is>
          <t>B-PROJECTS ARMAZEM GERAL LTDA.</t>
        </is>
      </c>
      <c r="F3301" s="30" t="inlineStr">
        <is>
          <t>2022</t>
        </is>
      </c>
      <c r="G3301" s="40" t="n">
        <v>0</v>
      </c>
    </row>
    <row r="3302" ht="12" customHeight="1">
      <c r="A3302" s="30" t="inlineStr">
        <is>
          <t>ITG</t>
        </is>
      </c>
      <c r="B3302" s="30" t="inlineStr">
        <is>
          <t>Itaguai</t>
        </is>
      </c>
      <c r="C3302" s="30" t="n">
        <v>12849826</v>
      </c>
      <c r="D3302" s="30">
        <f>"50560601000127"</f>
        <v/>
      </c>
      <c r="E3302" s="30" t="inlineStr">
        <is>
          <t>B-PROJECTS ARMAZEM GERAL LTDA.</t>
        </is>
      </c>
      <c r="F3302" s="30" t="inlineStr">
        <is>
          <t>2023</t>
        </is>
      </c>
      <c r="G3302" s="40" t="n">
        <v>0</v>
      </c>
    </row>
    <row r="3303" ht="12" customHeight="1">
      <c r="A3303" s="30" t="inlineStr">
        <is>
          <t>ITG</t>
        </is>
      </c>
      <c r="B3303" s="30" t="inlineStr">
        <is>
          <t>Itaguai</t>
        </is>
      </c>
      <c r="C3303" s="30" t="n">
        <v>12859104</v>
      </c>
      <c r="D3303" s="30">
        <f>"32324737000741"</f>
        <v/>
      </c>
      <c r="E3303" s="30" t="inlineStr">
        <is>
          <t>SUPER PET COM?RCIO DE RACOES LTDA</t>
        </is>
      </c>
      <c r="F3303" s="30" t="inlineStr">
        <is>
          <t>2021</t>
        </is>
      </c>
      <c r="G3303" s="40" t="n">
        <v>0</v>
      </c>
    </row>
    <row r="3304" ht="12" customHeight="1">
      <c r="A3304" s="30" t="inlineStr">
        <is>
          <t>ITG</t>
        </is>
      </c>
      <c r="B3304" s="30" t="inlineStr">
        <is>
          <t>Itaguai</t>
        </is>
      </c>
      <c r="C3304" s="30" t="n">
        <v>12859104</v>
      </c>
      <c r="D3304" s="30">
        <f>"32324737000741"</f>
        <v/>
      </c>
      <c r="E3304" s="30" t="inlineStr">
        <is>
          <t>SUPER PET COM?RCIO DE RACOES LTDA</t>
        </is>
      </c>
      <c r="F3304" s="30" t="inlineStr">
        <is>
          <t>2022</t>
        </is>
      </c>
      <c r="G3304" s="40" t="n">
        <v>0</v>
      </c>
    </row>
    <row r="3305" ht="12" customHeight="1">
      <c r="A3305" s="30" t="inlineStr">
        <is>
          <t>ITG</t>
        </is>
      </c>
      <c r="B3305" s="30" t="inlineStr">
        <is>
          <t>Itaguai</t>
        </is>
      </c>
      <c r="C3305" s="30" t="n">
        <v>12859104</v>
      </c>
      <c r="D3305" s="30">
        <f>"32324737000741"</f>
        <v/>
      </c>
      <c r="E3305" s="30" t="inlineStr">
        <is>
          <t>SUPER PET COM?RCIO DE RACOES LTDA</t>
        </is>
      </c>
      <c r="F3305" s="30" t="inlineStr">
        <is>
          <t>2023</t>
        </is>
      </c>
      <c r="G3305" s="40" t="n">
        <v>0</v>
      </c>
    </row>
    <row r="3306" ht="12" customHeight="1">
      <c r="A3306" s="30" t="inlineStr">
        <is>
          <t>ITG</t>
        </is>
      </c>
      <c r="B3306" s="30" t="inlineStr">
        <is>
          <t>Itaguai</t>
        </is>
      </c>
      <c r="C3306" s="30" t="n">
        <v>12861699</v>
      </c>
      <c r="D3306" s="30">
        <f>"29335900000171"</f>
        <v/>
      </c>
      <c r="E3306" s="30" t="inlineStr">
        <is>
          <t>MJR COMERCIO E LOCACOES DE VEICULOS LTDA</t>
        </is>
      </c>
      <c r="F3306" s="30" t="inlineStr">
        <is>
          <t>2021</t>
        </is>
      </c>
      <c r="G3306" s="40" t="n">
        <v>0</v>
      </c>
    </row>
    <row r="3307" ht="12" customHeight="1">
      <c r="A3307" s="30" t="inlineStr">
        <is>
          <t>ITG</t>
        </is>
      </c>
      <c r="B3307" s="30" t="inlineStr">
        <is>
          <t>Itaguai</t>
        </is>
      </c>
      <c r="C3307" s="30" t="n">
        <v>12861699</v>
      </c>
      <c r="D3307" s="30">
        <f>"29335900000171"</f>
        <v/>
      </c>
      <c r="E3307" s="30" t="inlineStr">
        <is>
          <t>MJR COMERCIO E LOCACOES DE VEICULOS LTDA</t>
        </is>
      </c>
      <c r="F3307" s="30" t="inlineStr">
        <is>
          <t>2022</t>
        </is>
      </c>
      <c r="G3307" s="40" t="n">
        <v>0</v>
      </c>
    </row>
    <row r="3308" ht="12" customHeight="1">
      <c r="A3308" s="30" t="inlineStr">
        <is>
          <t>ITG</t>
        </is>
      </c>
      <c r="B3308" s="30" t="inlineStr">
        <is>
          <t>Itaguai</t>
        </is>
      </c>
      <c r="C3308" s="30" t="n">
        <v>12861699</v>
      </c>
      <c r="D3308" s="30">
        <f>"29335900000171"</f>
        <v/>
      </c>
      <c r="E3308" s="30" t="inlineStr">
        <is>
          <t>MJR COMERCIO E LOCACOES DE VEICULOS LTDA</t>
        </is>
      </c>
      <c r="F3308" s="30" t="inlineStr">
        <is>
          <t>2023</t>
        </is>
      </c>
      <c r="G3308" s="40" t="n">
        <v>0</v>
      </c>
    </row>
    <row r="3309" ht="12" customHeight="1">
      <c r="A3309" s="30" t="inlineStr">
        <is>
          <t>ITG</t>
        </is>
      </c>
      <c r="B3309" s="30" t="inlineStr">
        <is>
          <t>Itaguai</t>
        </is>
      </c>
      <c r="C3309" s="30" t="n">
        <v>12881916</v>
      </c>
      <c r="D3309" s="30">
        <f>"29587623003886"</f>
        <v/>
      </c>
      <c r="E3309" s="30" t="inlineStr">
        <is>
          <t>SO TINTAS TERESOPOLIS LTDA</t>
        </is>
      </c>
      <c r="F3309" s="30" t="inlineStr">
        <is>
          <t>2021</t>
        </is>
      </c>
      <c r="G3309" s="40" t="n">
        <v>0</v>
      </c>
    </row>
    <row r="3310" ht="12" customHeight="1">
      <c r="A3310" s="30" t="inlineStr">
        <is>
          <t>ITG</t>
        </is>
      </c>
      <c r="B3310" s="30" t="inlineStr">
        <is>
          <t>Itaguai</t>
        </is>
      </c>
      <c r="C3310" s="30" t="n">
        <v>12881916</v>
      </c>
      <c r="D3310" s="30">
        <f>"29587623003886"</f>
        <v/>
      </c>
      <c r="E3310" s="30" t="inlineStr">
        <is>
          <t>SO TINTAS TERESOPOLIS LTDA</t>
        </is>
      </c>
      <c r="F3310" s="30" t="inlineStr">
        <is>
          <t>2022</t>
        </is>
      </c>
      <c r="G3310" s="40" t="n">
        <v>0</v>
      </c>
    </row>
    <row r="3311" ht="12" customHeight="1">
      <c r="A3311" s="30" t="inlineStr">
        <is>
          <t>ITG</t>
        </is>
      </c>
      <c r="B3311" s="30" t="inlineStr">
        <is>
          <t>Itaguai</t>
        </is>
      </c>
      <c r="C3311" s="30" t="n">
        <v>12881916</v>
      </c>
      <c r="D3311" s="30">
        <f>"29587623003886"</f>
        <v/>
      </c>
      <c r="E3311" s="30" t="inlineStr">
        <is>
          <t>SO TINTAS TERESOPOLIS LTDA</t>
        </is>
      </c>
      <c r="F3311" s="30" t="inlineStr">
        <is>
          <t>2023</t>
        </is>
      </c>
      <c r="G3311" s="40" t="n">
        <v>198500.12</v>
      </c>
    </row>
    <row r="3312" ht="12" customHeight="1">
      <c r="A3312" s="30" t="inlineStr">
        <is>
          <t>ITG</t>
        </is>
      </c>
      <c r="B3312" s="30" t="inlineStr">
        <is>
          <t>Itaguai</t>
        </is>
      </c>
      <c r="C3312" s="30" t="n">
        <v>12906960</v>
      </c>
      <c r="D3312" s="30">
        <f>"42584754039988"</f>
        <v/>
      </c>
      <c r="E3312" s="30" t="inlineStr">
        <is>
          <t>J&amp;T EXPRESS BRAZIL LTDA.</t>
        </is>
      </c>
      <c r="F3312" s="30" t="inlineStr">
        <is>
          <t>2021</t>
        </is>
      </c>
      <c r="G3312" s="40" t="n">
        <v>0</v>
      </c>
    </row>
    <row r="3313" ht="12" customHeight="1">
      <c r="A3313" s="30" t="inlineStr">
        <is>
          <t>ITG</t>
        </is>
      </c>
      <c r="B3313" s="30" t="inlineStr">
        <is>
          <t>Itaguai</t>
        </is>
      </c>
      <c r="C3313" s="30" t="n">
        <v>12906960</v>
      </c>
      <c r="D3313" s="30">
        <f>"42584754039988"</f>
        <v/>
      </c>
      <c r="E3313" s="30" t="inlineStr">
        <is>
          <t>J&amp;T EXPRESS BRAZIL LTDA.</t>
        </is>
      </c>
      <c r="F3313" s="30" t="inlineStr">
        <is>
          <t>2022</t>
        </is>
      </c>
      <c r="G3313" s="40" t="n">
        <v>0</v>
      </c>
    </row>
    <row r="3314" ht="12" customHeight="1">
      <c r="A3314" s="30" t="inlineStr">
        <is>
          <t>ITG</t>
        </is>
      </c>
      <c r="B3314" s="30" t="inlineStr">
        <is>
          <t>Itaguai</t>
        </is>
      </c>
      <c r="C3314" s="30" t="n">
        <v>12906960</v>
      </c>
      <c r="D3314" s="30">
        <f>"42584754039988"</f>
        <v/>
      </c>
      <c r="E3314" s="30" t="inlineStr">
        <is>
          <t>J&amp;T EXPRESS BRAZIL LTDA.</t>
        </is>
      </c>
      <c r="F3314" s="30" t="inlineStr">
        <is>
          <t>2023</t>
        </is>
      </c>
      <c r="G3314" s="40" t="n">
        <v>17.68</v>
      </c>
    </row>
    <row r="3315" ht="12" customHeight="1">
      <c r="A3315" s="30" t="inlineStr">
        <is>
          <t>ITG</t>
        </is>
      </c>
      <c r="B3315" s="30" t="inlineStr">
        <is>
          <t>Itaguai</t>
        </is>
      </c>
      <c r="C3315" s="30" t="n">
        <v>12909144</v>
      </c>
      <c r="D3315" s="30">
        <f>"32767123000815"</f>
        <v/>
      </c>
      <c r="E3315" s="30" t="inlineStr">
        <is>
          <t>VELOCARGAS BRASIL TRANSPORTE RODOVIARIO E LOGISTICA LTDA</t>
        </is>
      </c>
      <c r="F3315" s="30" t="inlineStr">
        <is>
          <t>2021</t>
        </is>
      </c>
      <c r="G3315" s="40" t="n">
        <v>0</v>
      </c>
    </row>
    <row r="3316" ht="12" customHeight="1">
      <c r="A3316" s="30" t="inlineStr">
        <is>
          <t>ITG</t>
        </is>
      </c>
      <c r="B3316" s="30" t="inlineStr">
        <is>
          <t>Itaguai</t>
        </is>
      </c>
      <c r="C3316" s="30" t="n">
        <v>12909144</v>
      </c>
      <c r="D3316" s="30">
        <f>"32767123000815"</f>
        <v/>
      </c>
      <c r="E3316" s="30" t="inlineStr">
        <is>
          <t>VELOCARGAS BRASIL TRANSPORTE RODOVIARIO E LOGISTICA LTDA</t>
        </is>
      </c>
      <c r="F3316" s="30" t="inlineStr">
        <is>
          <t>2022</t>
        </is>
      </c>
      <c r="G3316" s="40" t="n">
        <v>0</v>
      </c>
    </row>
    <row r="3317" ht="12" customHeight="1">
      <c r="A3317" s="30" t="inlineStr">
        <is>
          <t>ITG</t>
        </is>
      </c>
      <c r="B3317" s="30" t="inlineStr">
        <is>
          <t>Itaguai</t>
        </is>
      </c>
      <c r="C3317" s="30" t="n">
        <v>12909144</v>
      </c>
      <c r="D3317" s="30">
        <f>"32767123000815"</f>
        <v/>
      </c>
      <c r="E3317" s="30" t="inlineStr">
        <is>
          <t>VELOCARGAS BRASIL TRANSPORTE RODOVIARIO E LOGISTICA LTDA</t>
        </is>
      </c>
      <c r="F3317" s="30" t="inlineStr">
        <is>
          <t>2023</t>
        </is>
      </c>
      <c r="G3317" s="40" t="n">
        <v>781.4299999999999</v>
      </c>
    </row>
    <row r="3318" ht="12" customHeight="1">
      <c r="A3318" s="30" t="inlineStr">
        <is>
          <t>ITG</t>
        </is>
      </c>
      <c r="B3318" s="30" t="inlineStr">
        <is>
          <t>Itaguai</t>
        </is>
      </c>
      <c r="C3318" s="30" t="n">
        <v>12921853</v>
      </c>
      <c r="D3318" s="30">
        <f>"47023336000133"</f>
        <v/>
      </c>
      <c r="E3318" s="30" t="inlineStr">
        <is>
          <t>AUTO POSTO CANCELA LTDA</t>
        </is>
      </c>
      <c r="F3318" s="30" t="inlineStr">
        <is>
          <t>2021</t>
        </is>
      </c>
      <c r="G3318" s="40" t="n">
        <v>0</v>
      </c>
    </row>
    <row r="3319" ht="12" customHeight="1">
      <c r="A3319" s="30" t="inlineStr">
        <is>
          <t>ITG</t>
        </is>
      </c>
      <c r="B3319" s="30" t="inlineStr">
        <is>
          <t>Itaguai</t>
        </is>
      </c>
      <c r="C3319" s="30" t="n">
        <v>12921853</v>
      </c>
      <c r="D3319" s="30">
        <f>"47023336000133"</f>
        <v/>
      </c>
      <c r="E3319" s="30" t="inlineStr">
        <is>
          <t>AUTO POSTO CANCELA LTDA</t>
        </is>
      </c>
      <c r="F3319" s="30" t="inlineStr">
        <is>
          <t>2022</t>
        </is>
      </c>
      <c r="G3319" s="40" t="n">
        <v>0</v>
      </c>
    </row>
    <row r="3320" ht="12" customHeight="1">
      <c r="A3320" s="30" t="inlineStr">
        <is>
          <t>ITG</t>
        </is>
      </c>
      <c r="B3320" s="30" t="inlineStr">
        <is>
          <t>Itaguai</t>
        </is>
      </c>
      <c r="C3320" s="30" t="n">
        <v>12921853</v>
      </c>
      <c r="D3320" s="30">
        <f>"47023336000133"</f>
        <v/>
      </c>
      <c r="E3320" s="30" t="inlineStr">
        <is>
          <t>AUTO POSTO CANCELA LTDA</t>
        </is>
      </c>
      <c r="F3320" s="30" t="inlineStr">
        <is>
          <t>2023</t>
        </is>
      </c>
      <c r="G3320" s="40" t="n">
        <v>0</v>
      </c>
    </row>
    <row r="3321" ht="12" customHeight="1">
      <c r="A3321" s="30" t="inlineStr">
        <is>
          <t>ITG</t>
        </is>
      </c>
      <c r="B3321" s="30" t="inlineStr">
        <is>
          <t>Itaguai</t>
        </is>
      </c>
      <c r="C3321" s="30" t="n">
        <v>12928653</v>
      </c>
      <c r="D3321" s="30">
        <f>"24743572000129"</f>
        <v/>
      </c>
      <c r="E3321" s="30" t="inlineStr">
        <is>
          <t>OKJ SERVICOS DE ENGENHARIA LTDA</t>
        </is>
      </c>
      <c r="F3321" s="30" t="inlineStr">
        <is>
          <t>2021</t>
        </is>
      </c>
      <c r="G3321" s="40" t="n">
        <v>0</v>
      </c>
    </row>
    <row r="3322" ht="12" customHeight="1">
      <c r="A3322" s="30" t="inlineStr">
        <is>
          <t>ITG</t>
        </is>
      </c>
      <c r="B3322" s="30" t="inlineStr">
        <is>
          <t>Itaguai</t>
        </is>
      </c>
      <c r="C3322" s="30" t="n">
        <v>12928653</v>
      </c>
      <c r="D3322" s="30">
        <f>"24743572000129"</f>
        <v/>
      </c>
      <c r="E3322" s="30" t="inlineStr">
        <is>
          <t>OKJ SERVICOS DE ENGENHARIA LTDA</t>
        </is>
      </c>
      <c r="F3322" s="30" t="inlineStr">
        <is>
          <t>2022</t>
        </is>
      </c>
      <c r="G3322" s="40" t="n">
        <v>0</v>
      </c>
    </row>
    <row r="3323" ht="12" customHeight="1">
      <c r="A3323" s="30" t="inlineStr">
        <is>
          <t>ITG</t>
        </is>
      </c>
      <c r="B3323" s="30" t="inlineStr">
        <is>
          <t>Itaguai</t>
        </is>
      </c>
      <c r="C3323" s="30" t="n">
        <v>12928653</v>
      </c>
      <c r="D3323" s="30">
        <f>"24743572000129"</f>
        <v/>
      </c>
      <c r="E3323" s="30" t="inlineStr">
        <is>
          <t>OKJ SERVICOS DE ENGENHARIA LTDA</t>
        </is>
      </c>
      <c r="F3323" s="30" t="inlineStr">
        <is>
          <t>2023</t>
        </is>
      </c>
      <c r="G3323" s="40" t="n">
        <v>0</v>
      </c>
    </row>
    <row r="3324" ht="12" customHeight="1">
      <c r="A3324" s="30" t="inlineStr">
        <is>
          <t>ITG</t>
        </is>
      </c>
      <c r="B3324" s="30" t="inlineStr">
        <is>
          <t>Itaguai</t>
        </is>
      </c>
      <c r="C3324" s="30" t="n">
        <v>12934866</v>
      </c>
      <c r="D3324" s="30">
        <f>"01402351000272"</f>
        <v/>
      </c>
      <c r="E3324" s="30" t="inlineStr">
        <is>
          <t>FA?A O SONHO DA FESTA E COM?RCIO DE ALIMENTOS LTDA</t>
        </is>
      </c>
      <c r="F3324" s="30" t="inlineStr">
        <is>
          <t>2021</t>
        </is>
      </c>
      <c r="G3324" s="40" t="n">
        <v>0</v>
      </c>
    </row>
    <row r="3325" ht="12" customHeight="1">
      <c r="A3325" s="30" t="inlineStr">
        <is>
          <t>ITG</t>
        </is>
      </c>
      <c r="B3325" s="30" t="inlineStr">
        <is>
          <t>Itaguai</t>
        </is>
      </c>
      <c r="C3325" s="30" t="n">
        <v>12934866</v>
      </c>
      <c r="D3325" s="30">
        <f>"01402351000272"</f>
        <v/>
      </c>
      <c r="E3325" s="30" t="inlineStr">
        <is>
          <t>FA?A O SONHO DA FESTA E COM?RCIO DE ALIMENTOS LTDA</t>
        </is>
      </c>
      <c r="F3325" s="30" t="inlineStr">
        <is>
          <t>2022</t>
        </is>
      </c>
      <c r="G3325" s="40" t="n">
        <v>0</v>
      </c>
    </row>
    <row r="3326" ht="12" customHeight="1">
      <c r="A3326" s="30" t="inlineStr">
        <is>
          <t>ITG</t>
        </is>
      </c>
      <c r="B3326" s="30" t="inlineStr">
        <is>
          <t>Itaguai</t>
        </is>
      </c>
      <c r="C3326" s="30" t="n">
        <v>12934866</v>
      </c>
      <c r="D3326" s="30">
        <f>"01402351000272"</f>
        <v/>
      </c>
      <c r="E3326" s="30" t="inlineStr">
        <is>
          <t>FA?A O SONHO DA FESTA E COM?RCIO DE ALIMENTOS LTDA</t>
        </is>
      </c>
      <c r="F3326" s="30" t="inlineStr">
        <is>
          <t>2023</t>
        </is>
      </c>
      <c r="G3326" s="40" t="n">
        <v>1461714.96</v>
      </c>
    </row>
    <row r="3327" ht="12" customHeight="1">
      <c r="A3327" s="30" t="inlineStr">
        <is>
          <t>ITG</t>
        </is>
      </c>
      <c r="B3327" s="30" t="inlineStr">
        <is>
          <t>Itaguai</t>
        </is>
      </c>
      <c r="C3327" s="30" t="n">
        <v>12944896</v>
      </c>
      <c r="D3327" s="30">
        <f>"50597713000152"</f>
        <v/>
      </c>
      <c r="E3327" s="30" t="inlineStr">
        <is>
          <t>T S V LOGISTICA E COMERCIAL LTDA</t>
        </is>
      </c>
      <c r="F3327" s="30" t="inlineStr">
        <is>
          <t>2021</t>
        </is>
      </c>
      <c r="G3327" s="40" t="n">
        <v>0</v>
      </c>
    </row>
    <row r="3328" ht="12" customHeight="1">
      <c r="A3328" s="30" t="inlineStr">
        <is>
          <t>ITG</t>
        </is>
      </c>
      <c r="B3328" s="30" t="inlineStr">
        <is>
          <t>Itaguai</t>
        </is>
      </c>
      <c r="C3328" s="30" t="n">
        <v>12944896</v>
      </c>
      <c r="D3328" s="30">
        <f>"50597713000152"</f>
        <v/>
      </c>
      <c r="E3328" s="30" t="inlineStr">
        <is>
          <t>T S V LOGISTICA E COMERCIAL LTDA</t>
        </is>
      </c>
      <c r="F3328" s="30" t="inlineStr">
        <is>
          <t>2022</t>
        </is>
      </c>
      <c r="G3328" s="40" t="n">
        <v>0</v>
      </c>
    </row>
    <row r="3329" ht="12" customHeight="1">
      <c r="A3329" s="30" t="inlineStr">
        <is>
          <t>ITG</t>
        </is>
      </c>
      <c r="B3329" s="30" t="inlineStr">
        <is>
          <t>Itaguai</t>
        </is>
      </c>
      <c r="C3329" s="30" t="n">
        <v>12944896</v>
      </c>
      <c r="D3329" s="30">
        <f>"50597713000152"</f>
        <v/>
      </c>
      <c r="E3329" s="30" t="inlineStr">
        <is>
          <t>T S V LOGISTICA E COMERCIAL LTDA</t>
        </is>
      </c>
      <c r="F3329" s="30" t="inlineStr">
        <is>
          <t>2023</t>
        </is>
      </c>
      <c r="G3329" s="40" t="n">
        <v>0</v>
      </c>
    </row>
    <row r="3330" ht="12" customHeight="1">
      <c r="A3330" s="30" t="inlineStr">
        <is>
          <t>ITG</t>
        </is>
      </c>
      <c r="B3330" s="30" t="inlineStr">
        <is>
          <t>Itaguai</t>
        </is>
      </c>
      <c r="C3330" s="30" t="n">
        <v>12992904</v>
      </c>
      <c r="D3330" s="30">
        <f>"01117975000590"</f>
        <v/>
      </c>
      <c r="E3330" s="30" t="inlineStr">
        <is>
          <t>MAXPESA CONSTRUCOES TRANSPORTES LOCACOES E MONTAGENS LTDA</t>
        </is>
      </c>
      <c r="F3330" s="30" t="inlineStr">
        <is>
          <t>2021</t>
        </is>
      </c>
      <c r="G3330" s="40" t="n">
        <v>0</v>
      </c>
    </row>
    <row r="3331" ht="12" customHeight="1">
      <c r="A3331" s="30" t="inlineStr">
        <is>
          <t>ITG</t>
        </is>
      </c>
      <c r="B3331" s="30" t="inlineStr">
        <is>
          <t>Itaguai</t>
        </is>
      </c>
      <c r="C3331" s="30" t="n">
        <v>12992904</v>
      </c>
      <c r="D3331" s="30">
        <f>"01117975000590"</f>
        <v/>
      </c>
      <c r="E3331" s="30" t="inlineStr">
        <is>
          <t>MAXPESA CONSTRUCOES TRANSPORTES LOCACOES E MONTAGENS LTDA</t>
        </is>
      </c>
      <c r="F3331" s="30" t="inlineStr">
        <is>
          <t>2022</t>
        </is>
      </c>
      <c r="G3331" s="40" t="n">
        <v>0</v>
      </c>
    </row>
    <row r="3332" ht="12" customHeight="1">
      <c r="A3332" s="30" t="inlineStr">
        <is>
          <t>ITG</t>
        </is>
      </c>
      <c r="B3332" s="30" t="inlineStr">
        <is>
          <t>Itaguai</t>
        </is>
      </c>
      <c r="C3332" s="30" t="n">
        <v>12992904</v>
      </c>
      <c r="D3332" s="30">
        <f>"01117975000590"</f>
        <v/>
      </c>
      <c r="E3332" s="30" t="inlineStr">
        <is>
          <t>MAXPESA CONSTRUCOES TRANSPORTES LOCACOES E MONTAGENS LTDA</t>
        </is>
      </c>
      <c r="F3332" s="30" t="inlineStr">
        <is>
          <t>2023</t>
        </is>
      </c>
      <c r="G3332" s="40" t="n">
        <v>0</v>
      </c>
    </row>
    <row r="3333" ht="12" customHeight="1">
      <c r="A3333" s="30" t="inlineStr">
        <is>
          <t>ITG</t>
        </is>
      </c>
      <c r="B3333" s="30" t="inlineStr">
        <is>
          <t>Itaguai</t>
        </is>
      </c>
      <c r="C3333" s="30" t="n">
        <v>13170029</v>
      </c>
      <c r="D3333" s="30">
        <f>"51901852000190"</f>
        <v/>
      </c>
      <c r="E3333" s="30" t="inlineStr">
        <is>
          <t>ITA AMIGO GAS LTDA</t>
        </is>
      </c>
      <c r="F3333" s="30" t="inlineStr">
        <is>
          <t>2021</t>
        </is>
      </c>
      <c r="G3333" s="40" t="n">
        <v>0</v>
      </c>
    </row>
    <row r="3334" ht="12" customHeight="1">
      <c r="A3334" s="30" t="inlineStr">
        <is>
          <t>ITG</t>
        </is>
      </c>
      <c r="B3334" s="30" t="inlineStr">
        <is>
          <t>Itaguai</t>
        </is>
      </c>
      <c r="C3334" s="30" t="n">
        <v>13170029</v>
      </c>
      <c r="D3334" s="30">
        <f>"51901852000190"</f>
        <v/>
      </c>
      <c r="E3334" s="30" t="inlineStr">
        <is>
          <t>ITA AMIGO GAS LTDA</t>
        </is>
      </c>
      <c r="F3334" s="30" t="inlineStr">
        <is>
          <t>2022</t>
        </is>
      </c>
      <c r="G3334" s="40" t="n">
        <v>0</v>
      </c>
    </row>
    <row r="3335" ht="12" customHeight="1">
      <c r="A3335" s="30" t="inlineStr">
        <is>
          <t>ITG</t>
        </is>
      </c>
      <c r="B3335" s="30" t="inlineStr">
        <is>
          <t>Itaguai</t>
        </is>
      </c>
      <c r="C3335" s="30" t="n">
        <v>13170029</v>
      </c>
      <c r="D3335" s="30">
        <f>"51901852000190"</f>
        <v/>
      </c>
      <c r="E3335" s="30" t="inlineStr">
        <is>
          <t>ITA AMIGO GAS LTDA</t>
        </is>
      </c>
      <c r="F3335" s="30" t="inlineStr">
        <is>
          <t>2023</t>
        </is>
      </c>
      <c r="G3335" s="40" t="n">
        <v>0</v>
      </c>
    </row>
    <row r="3336" ht="12" customHeight="1">
      <c r="A3336" s="30" t="inlineStr">
        <is>
          <t>ITG</t>
        </is>
      </c>
      <c r="B3336" s="30" t="inlineStr">
        <is>
          <t>Itaguai</t>
        </is>
      </c>
      <c r="C3336" s="30" t="n">
        <v>13422133</v>
      </c>
      <c r="D3336" s="30">
        <f>"52147052000199"</f>
        <v/>
      </c>
      <c r="E3336" s="30" t="inlineStr">
        <is>
          <t>SOLAR HOJE ENERGIA LTDA</t>
        </is>
      </c>
      <c r="F3336" s="30" t="inlineStr">
        <is>
          <t>2021</t>
        </is>
      </c>
      <c r="G3336" s="40" t="n">
        <v>0</v>
      </c>
    </row>
    <row r="3337" ht="12" customHeight="1">
      <c r="A3337" s="30" t="inlineStr">
        <is>
          <t>ITG</t>
        </is>
      </c>
      <c r="B3337" s="30" t="inlineStr">
        <is>
          <t>Itaguai</t>
        </is>
      </c>
      <c r="C3337" s="30" t="n">
        <v>13422133</v>
      </c>
      <c r="D3337" s="30">
        <f>"52147052000199"</f>
        <v/>
      </c>
      <c r="E3337" s="30" t="inlineStr">
        <is>
          <t>SOLAR HOJE ENERGIA LTDA</t>
        </is>
      </c>
      <c r="F3337" s="30" t="inlineStr">
        <is>
          <t>2022</t>
        </is>
      </c>
      <c r="G3337" s="40" t="n">
        <v>0</v>
      </c>
    </row>
    <row r="3338" ht="12" customHeight="1">
      <c r="A3338" s="30" t="inlineStr">
        <is>
          <t>ITG</t>
        </is>
      </c>
      <c r="B3338" s="30" t="inlineStr">
        <is>
          <t>Itaguai</t>
        </is>
      </c>
      <c r="C3338" s="30" t="n">
        <v>13422133</v>
      </c>
      <c r="D3338" s="30">
        <f>"52147052000199"</f>
        <v/>
      </c>
      <c r="E3338" s="30" t="inlineStr">
        <is>
          <t>SOLAR HOJE ENERGIA LTDA</t>
        </is>
      </c>
      <c r="F3338" s="30" t="inlineStr">
        <is>
          <t>2023</t>
        </is>
      </c>
      <c r="G3338" s="40" t="n">
        <v>0</v>
      </c>
    </row>
    <row r="3339" ht="12" customHeight="1">
      <c r="A3339" s="30" t="inlineStr">
        <is>
          <t>ITG</t>
        </is>
      </c>
      <c r="B3339" s="30" t="inlineStr">
        <is>
          <t>Itaguai</t>
        </is>
      </c>
      <c r="C3339" s="30" t="n">
        <v>13977402</v>
      </c>
      <c r="D3339" s="30">
        <f>"61585865335765"</f>
        <v/>
      </c>
      <c r="E3339" s="30" t="inlineStr">
        <is>
          <t>RAIA DROGASIL S/A</t>
        </is>
      </c>
      <c r="F3339" s="30" t="inlineStr">
        <is>
          <t>2021</t>
        </is>
      </c>
      <c r="G3339" s="40" t="n">
        <v>0</v>
      </c>
    </row>
    <row r="3340" ht="12" customHeight="1">
      <c r="A3340" s="30" t="inlineStr">
        <is>
          <t>ITG</t>
        </is>
      </c>
      <c r="B3340" s="30" t="inlineStr">
        <is>
          <t>Itaguai</t>
        </is>
      </c>
      <c r="C3340" s="30" t="n">
        <v>13977402</v>
      </c>
      <c r="D3340" s="30">
        <f>"61585865335765"</f>
        <v/>
      </c>
      <c r="E3340" s="30" t="inlineStr">
        <is>
          <t>RAIA DROGASIL S/A</t>
        </is>
      </c>
      <c r="F3340" s="30" t="inlineStr">
        <is>
          <t>2022</t>
        </is>
      </c>
      <c r="G3340" s="40" t="n">
        <v>0</v>
      </c>
    </row>
    <row r="3341" ht="12" customHeight="1">
      <c r="A3341" s="30" t="inlineStr">
        <is>
          <t>ITG</t>
        </is>
      </c>
      <c r="B3341" s="30" t="inlineStr">
        <is>
          <t>Itaguai</t>
        </is>
      </c>
      <c r="C3341" s="30" t="n">
        <v>13977402</v>
      </c>
      <c r="D3341" s="30">
        <f>"61585865335765"</f>
        <v/>
      </c>
      <c r="E3341" s="30" t="inlineStr">
        <is>
          <t>RAIA DROGASIL S/A</t>
        </is>
      </c>
      <c r="F3341" s="30" t="inlineStr">
        <is>
          <t>2023</t>
        </is>
      </c>
      <c r="G3341" s="40" t="n">
        <v>0</v>
      </c>
    </row>
    <row r="3342" ht="12" customHeight="1">
      <c r="A3342" s="30" t="inlineStr">
        <is>
          <t>ITG</t>
        </is>
      </c>
      <c r="B3342" s="30" t="inlineStr">
        <is>
          <t>Itaguai</t>
        </is>
      </c>
      <c r="C3342" s="30" t="n">
        <v>14092749</v>
      </c>
      <c r="D3342" s="30">
        <f>"04214233002191"</f>
        <v/>
      </c>
      <c r="E3342" s="30" t="inlineStr">
        <is>
          <t>3C SERVICES S A</t>
        </is>
      </c>
      <c r="F3342" s="30" t="inlineStr">
        <is>
          <t>2021</t>
        </is>
      </c>
      <c r="G3342" s="40" t="n">
        <v>0</v>
      </c>
    </row>
    <row r="3343" ht="12" customHeight="1">
      <c r="A3343" s="30" t="inlineStr">
        <is>
          <t>ITG</t>
        </is>
      </c>
      <c r="B3343" s="30" t="inlineStr">
        <is>
          <t>Itaguai</t>
        </is>
      </c>
      <c r="C3343" s="30" t="n">
        <v>14092749</v>
      </c>
      <c r="D3343" s="30">
        <f>"04214233002191"</f>
        <v/>
      </c>
      <c r="E3343" s="30" t="inlineStr">
        <is>
          <t>3C SERVICES S A</t>
        </is>
      </c>
      <c r="F3343" s="30" t="inlineStr">
        <is>
          <t>2022</t>
        </is>
      </c>
      <c r="G3343" s="40" t="n">
        <v>0</v>
      </c>
    </row>
    <row r="3344" ht="12" customHeight="1">
      <c r="A3344" s="30" t="inlineStr">
        <is>
          <t>ITG</t>
        </is>
      </c>
      <c r="B3344" s="30" t="inlineStr">
        <is>
          <t>Itaguai</t>
        </is>
      </c>
      <c r="C3344" s="30" t="n">
        <v>14092749</v>
      </c>
      <c r="D3344" s="30">
        <f>"04214233002191"</f>
        <v/>
      </c>
      <c r="E3344" s="30" t="inlineStr">
        <is>
          <t>3C SERVICES S A</t>
        </is>
      </c>
      <c r="F3344" s="30" t="inlineStr">
        <is>
          <t>2023</t>
        </is>
      </c>
      <c r="G3344" s="40" t="n">
        <v>170.27</v>
      </c>
    </row>
    <row r="3345" ht="12" customHeight="1">
      <c r="A3345" s="30" t="inlineStr">
        <is>
          <t>ITG</t>
        </is>
      </c>
      <c r="B3345" s="30" t="inlineStr">
        <is>
          <t>Itaguai</t>
        </is>
      </c>
      <c r="C3345" s="30" t="n">
        <v>14106693</v>
      </c>
      <c r="D3345" s="30">
        <f>"52600000000126"</f>
        <v/>
      </c>
      <c r="E3345" s="30" t="inlineStr">
        <is>
          <t>FOX JB ENERGIAS RENOVAVEIS LTDA</t>
        </is>
      </c>
      <c r="F3345" s="30" t="inlineStr">
        <is>
          <t>2021</t>
        </is>
      </c>
      <c r="G3345" s="40" t="n">
        <v>0</v>
      </c>
    </row>
    <row r="3346" ht="12" customHeight="1">
      <c r="A3346" s="30" t="inlineStr">
        <is>
          <t>ITG</t>
        </is>
      </c>
      <c r="B3346" s="30" t="inlineStr">
        <is>
          <t>Itaguai</t>
        </is>
      </c>
      <c r="C3346" s="30" t="n">
        <v>14106693</v>
      </c>
      <c r="D3346" s="30">
        <f>"52600000000126"</f>
        <v/>
      </c>
      <c r="E3346" s="30" t="inlineStr">
        <is>
          <t>FOX JB ENERGIAS RENOVAVEIS LTDA</t>
        </is>
      </c>
      <c r="F3346" s="30" t="inlineStr">
        <is>
          <t>2022</t>
        </is>
      </c>
      <c r="G3346" s="40" t="n">
        <v>0</v>
      </c>
    </row>
    <row r="3347" ht="12" customHeight="1">
      <c r="A3347" s="30" t="inlineStr">
        <is>
          <t>ITG</t>
        </is>
      </c>
      <c r="B3347" s="30" t="inlineStr">
        <is>
          <t>Itaguai</t>
        </is>
      </c>
      <c r="C3347" s="30" t="n">
        <v>14106693</v>
      </c>
      <c r="D3347" s="30">
        <f>"52600000000126"</f>
        <v/>
      </c>
      <c r="E3347" s="30" t="inlineStr">
        <is>
          <t>FOX JB ENERGIAS RENOVAVEIS LTDA</t>
        </is>
      </c>
      <c r="F3347" s="30" t="inlineStr">
        <is>
          <t>2023</t>
        </is>
      </c>
      <c r="G3347" s="40" t="n">
        <v>0</v>
      </c>
    </row>
    <row r="3348" ht="12" customHeight="1">
      <c r="A3348" s="30" t="inlineStr">
        <is>
          <t>ITG</t>
        </is>
      </c>
      <c r="B3348" s="30" t="inlineStr">
        <is>
          <t>Itaguai</t>
        </is>
      </c>
      <c r="C3348" s="30" t="n">
        <v>70861593</v>
      </c>
      <c r="D3348" s="30">
        <f>"00003364188769"</f>
        <v/>
      </c>
      <c r="E3348" s="30" t="inlineStr">
        <is>
          <t>MARIA DE JESUS FERREIRA</t>
        </is>
      </c>
      <c r="F3348" s="30" t="inlineStr">
        <is>
          <t>2017</t>
        </is>
      </c>
      <c r="G3348" s="40" t="n">
        <v>21450</v>
      </c>
    </row>
    <row r="3349" ht="12" customHeight="1">
      <c r="A3349" s="30" t="inlineStr">
        <is>
          <t>ITG</t>
        </is>
      </c>
      <c r="B3349" s="30" t="inlineStr">
        <is>
          <t>Itaguai</t>
        </is>
      </c>
      <c r="C3349" s="30" t="n">
        <v>70861593</v>
      </c>
      <c r="D3349" s="30">
        <f>"00003364188769"</f>
        <v/>
      </c>
      <c r="E3349" s="30" t="inlineStr">
        <is>
          <t>MARIA DE JESUS FERREIRA</t>
        </is>
      </c>
      <c r="F3349" s="30" t="inlineStr">
        <is>
          <t>2018</t>
        </is>
      </c>
      <c r="G3349" s="40" t="n">
        <v>7300</v>
      </c>
    </row>
    <row r="3350" ht="12" customHeight="1">
      <c r="A3350" s="30" t="inlineStr">
        <is>
          <t>ITG</t>
        </is>
      </c>
      <c r="B3350" s="30" t="inlineStr">
        <is>
          <t>Itaguai</t>
        </is>
      </c>
      <c r="C3350" s="30" t="n">
        <v>70861593</v>
      </c>
      <c r="D3350" s="30">
        <f>"00003364188769"</f>
        <v/>
      </c>
      <c r="E3350" s="30" t="inlineStr">
        <is>
          <t>MARIA DE JESUS FERREIRA</t>
        </is>
      </c>
      <c r="F3350" s="30" t="inlineStr">
        <is>
          <t>2019</t>
        </is>
      </c>
      <c r="G3350" s="40" t="n">
        <v>0</v>
      </c>
    </row>
    <row r="3351" ht="12" customHeight="1">
      <c r="A3351" s="30" t="inlineStr">
        <is>
          <t>ITG</t>
        </is>
      </c>
      <c r="B3351" s="30" t="inlineStr">
        <is>
          <t>Itaguai</t>
        </is>
      </c>
      <c r="C3351" s="30" t="n">
        <v>70861593</v>
      </c>
      <c r="D3351" s="30">
        <f>"00003364188769"</f>
        <v/>
      </c>
      <c r="E3351" s="30" t="inlineStr">
        <is>
          <t>MARIA DE JESUS FERREIRA</t>
        </is>
      </c>
      <c r="F3351" s="30" t="inlineStr">
        <is>
          <t>2020</t>
        </is>
      </c>
      <c r="G3351" s="40" t="n">
        <v>0</v>
      </c>
    </row>
    <row r="3352" ht="12" customHeight="1">
      <c r="A3352" s="30" t="inlineStr">
        <is>
          <t>ITG</t>
        </is>
      </c>
      <c r="B3352" s="30" t="inlineStr">
        <is>
          <t>Itaguai</t>
        </is>
      </c>
      <c r="C3352" s="30" t="n">
        <v>70861593</v>
      </c>
      <c r="D3352" s="30">
        <f>"00003364188769"</f>
        <v/>
      </c>
      <c r="E3352" s="30" t="inlineStr">
        <is>
          <t>MARIA DE JESUS FERREIRA</t>
        </is>
      </c>
      <c r="F3352" s="30" t="inlineStr">
        <is>
          <t>2021</t>
        </is>
      </c>
      <c r="G3352" s="40" t="n">
        <v>40800</v>
      </c>
    </row>
    <row r="3353" ht="12" customHeight="1">
      <c r="A3353" s="30" t="inlineStr">
        <is>
          <t>ITG</t>
        </is>
      </c>
      <c r="B3353" s="30" t="inlineStr">
        <is>
          <t>Itaguai</t>
        </is>
      </c>
      <c r="C3353" s="30" t="n">
        <v>70861593</v>
      </c>
      <c r="D3353" s="30">
        <f>"00003364188769"</f>
        <v/>
      </c>
      <c r="E3353" s="30" t="inlineStr">
        <is>
          <t>MARIA DE JESUS FERREIRA</t>
        </is>
      </c>
      <c r="F3353" s="30" t="inlineStr">
        <is>
          <t>2022</t>
        </is>
      </c>
      <c r="G3353" s="40" t="n">
        <v>4000</v>
      </c>
    </row>
    <row r="3354" ht="12" customHeight="1">
      <c r="A3354" s="30" t="inlineStr">
        <is>
          <t>ITG</t>
        </is>
      </c>
      <c r="B3354" s="30" t="inlineStr">
        <is>
          <t>Itaguai</t>
        </is>
      </c>
      <c r="C3354" s="30" t="n">
        <v>70861593</v>
      </c>
      <c r="D3354" s="30">
        <f>"00003364188769"</f>
        <v/>
      </c>
      <c r="E3354" s="30" t="inlineStr">
        <is>
          <t>MARIA DE JESUS FERREIRA</t>
        </is>
      </c>
      <c r="F3354" s="30" t="inlineStr">
        <is>
          <t>2023</t>
        </is>
      </c>
      <c r="G3354" s="40" t="n">
        <v>5200</v>
      </c>
    </row>
    <row r="3355" ht="12" customHeight="1">
      <c r="A3355" s="30" t="inlineStr">
        <is>
          <t>ITG</t>
        </is>
      </c>
      <c r="B3355" s="30" t="inlineStr">
        <is>
          <t>Itaguai</t>
        </is>
      </c>
      <c r="C3355" s="30" t="n">
        <v>70861712</v>
      </c>
      <c r="D3355" s="30">
        <f>"05221175703"</f>
        <v/>
      </c>
      <c r="E3355" s="30" t="inlineStr">
        <is>
          <t>DOLCAS CLEMENTINO TEIXEIRA</t>
        </is>
      </c>
      <c r="F3355" s="30" t="inlineStr">
        <is>
          <t>2017</t>
        </is>
      </c>
      <c r="G3355" s="40" t="n">
        <v>10800</v>
      </c>
    </row>
    <row r="3356" ht="12" customHeight="1">
      <c r="A3356" s="30" t="inlineStr">
        <is>
          <t>ITG</t>
        </is>
      </c>
      <c r="B3356" s="30" t="inlineStr">
        <is>
          <t>Itaguai</t>
        </is>
      </c>
      <c r="C3356" s="30" t="n">
        <v>70861712</v>
      </c>
      <c r="D3356" s="30">
        <f>"05221175703"</f>
        <v/>
      </c>
      <c r="E3356" s="30" t="inlineStr">
        <is>
          <t>DOLCAS CLEMENTINO TEIXEIRA</t>
        </is>
      </c>
      <c r="F3356" s="30" t="inlineStr">
        <is>
          <t>2018</t>
        </is>
      </c>
      <c r="G3356" s="40" t="n">
        <v>5400</v>
      </c>
    </row>
    <row r="3357" ht="12" customHeight="1">
      <c r="A3357" s="30" t="inlineStr">
        <is>
          <t>ITG</t>
        </is>
      </c>
      <c r="B3357" s="30" t="inlineStr">
        <is>
          <t>Itaguai</t>
        </is>
      </c>
      <c r="C3357" s="30" t="n">
        <v>70861712</v>
      </c>
      <c r="D3357" s="30">
        <f>"05221175703"</f>
        <v/>
      </c>
      <c r="E3357" s="30" t="inlineStr">
        <is>
          <t>DOLCAS CLEMENTINO TEIXEIRA</t>
        </is>
      </c>
      <c r="F3357" s="30" t="inlineStr">
        <is>
          <t>2019</t>
        </is>
      </c>
      <c r="G3357" s="40" t="n">
        <v>7690</v>
      </c>
    </row>
    <row r="3358" ht="12" customHeight="1">
      <c r="A3358" s="30" t="inlineStr">
        <is>
          <t>ITG</t>
        </is>
      </c>
      <c r="B3358" s="30" t="inlineStr">
        <is>
          <t>Itaguai</t>
        </is>
      </c>
      <c r="C3358" s="30" t="n">
        <v>70861712</v>
      </c>
      <c r="D3358" s="30">
        <f>"05221175703"</f>
        <v/>
      </c>
      <c r="E3358" s="30" t="inlineStr">
        <is>
          <t>DOLCAS CLEMENTINO TEIXEIRA</t>
        </is>
      </c>
      <c r="F3358" s="30" t="inlineStr">
        <is>
          <t>2020</t>
        </is>
      </c>
      <c r="G3358" s="40" t="n">
        <v>6880</v>
      </c>
    </row>
    <row r="3359" ht="12" customHeight="1">
      <c r="A3359" s="30" t="inlineStr">
        <is>
          <t>ITG</t>
        </is>
      </c>
      <c r="B3359" s="30" t="inlineStr">
        <is>
          <t>Itaguai</t>
        </is>
      </c>
      <c r="C3359" s="30" t="n">
        <v>70861712</v>
      </c>
      <c r="D3359" s="30">
        <f>"05221175703"</f>
        <v/>
      </c>
      <c r="E3359" s="30" t="inlineStr">
        <is>
          <t>DOLCAS CLEMENTINO TEIXEIRA</t>
        </is>
      </c>
      <c r="F3359" s="30" t="inlineStr">
        <is>
          <t>2021</t>
        </is>
      </c>
      <c r="G3359" s="40" t="n">
        <v>10308</v>
      </c>
    </row>
    <row r="3360" ht="12" customHeight="1">
      <c r="A3360" s="30" t="inlineStr">
        <is>
          <t>ITG</t>
        </is>
      </c>
      <c r="B3360" s="30" t="inlineStr">
        <is>
          <t>Itaguai</t>
        </is>
      </c>
      <c r="C3360" s="30" t="n">
        <v>70861712</v>
      </c>
      <c r="D3360" s="30">
        <f>"05221175703"</f>
        <v/>
      </c>
      <c r="E3360" s="30" t="inlineStr">
        <is>
          <t>DOLCAS CLEMENTINO TEIXEIRA</t>
        </is>
      </c>
      <c r="F3360" s="30" t="inlineStr">
        <is>
          <t>2022</t>
        </is>
      </c>
      <c r="G3360" s="40" t="n">
        <v>22075.2</v>
      </c>
    </row>
    <row r="3361" ht="12" customHeight="1">
      <c r="A3361" s="30" t="inlineStr">
        <is>
          <t>ITG</t>
        </is>
      </c>
      <c r="B3361" s="30" t="inlineStr">
        <is>
          <t>Itaguai</t>
        </is>
      </c>
      <c r="C3361" s="30" t="n">
        <v>70861712</v>
      </c>
      <c r="D3361" s="30">
        <f>"05221175703"</f>
        <v/>
      </c>
      <c r="E3361" s="30" t="inlineStr">
        <is>
          <t>DOLCAS CLEMENTINO TEIXEIRA</t>
        </is>
      </c>
      <c r="F3361" s="30" t="inlineStr">
        <is>
          <t>2023</t>
        </is>
      </c>
      <c r="G3361" s="40" t="n">
        <v>23285.5</v>
      </c>
    </row>
    <row r="3362" ht="12" customHeight="1">
      <c r="A3362" s="30" t="inlineStr">
        <is>
          <t>ITG</t>
        </is>
      </c>
      <c r="B3362" s="30" t="inlineStr">
        <is>
          <t>Itaguai</t>
        </is>
      </c>
      <c r="C3362" s="30" t="n">
        <v>70861720</v>
      </c>
      <c r="D3362" s="30">
        <f>"02773090772"</f>
        <v/>
      </c>
      <c r="E3362" s="30" t="inlineStr">
        <is>
          <t>GERALDO LAMEGO MATTOS</t>
        </is>
      </c>
      <c r="F3362" s="30" t="inlineStr">
        <is>
          <t>2017</t>
        </is>
      </c>
      <c r="G3362" s="40" t="n">
        <v>0</v>
      </c>
    </row>
    <row r="3363" ht="12" customHeight="1">
      <c r="A3363" s="30" t="inlineStr">
        <is>
          <t>ITG</t>
        </is>
      </c>
      <c r="B3363" s="30" t="inlineStr">
        <is>
          <t>Itaguai</t>
        </is>
      </c>
      <c r="C3363" s="30" t="n">
        <v>70861720</v>
      </c>
      <c r="D3363" s="30">
        <f>"02773090772"</f>
        <v/>
      </c>
      <c r="E3363" s="30" t="inlineStr">
        <is>
          <t>GERALDO LAMEGO MATTOS</t>
        </is>
      </c>
      <c r="F3363" s="30" t="inlineStr">
        <is>
          <t>2018</t>
        </is>
      </c>
      <c r="G3363" s="40" t="n">
        <v>0</v>
      </c>
    </row>
    <row r="3364" ht="12" customHeight="1">
      <c r="A3364" s="30" t="inlineStr">
        <is>
          <t>ITG</t>
        </is>
      </c>
      <c r="B3364" s="30" t="inlineStr">
        <is>
          <t>Itaguai</t>
        </is>
      </c>
      <c r="C3364" s="30" t="n">
        <v>70861720</v>
      </c>
      <c r="D3364" s="30">
        <f>"02773090772"</f>
        <v/>
      </c>
      <c r="E3364" s="30" t="inlineStr">
        <is>
          <t>GERALDO LAMEGO MATTOS</t>
        </is>
      </c>
      <c r="F3364" s="30" t="inlineStr">
        <is>
          <t>2019</t>
        </is>
      </c>
      <c r="G3364" s="40" t="n">
        <v>970</v>
      </c>
    </row>
    <row r="3365" ht="12" customHeight="1">
      <c r="A3365" s="30" t="inlineStr">
        <is>
          <t>ITG</t>
        </is>
      </c>
      <c r="B3365" s="30" t="inlineStr">
        <is>
          <t>Itaguai</t>
        </is>
      </c>
      <c r="C3365" s="30" t="n">
        <v>70861720</v>
      </c>
      <c r="D3365" s="30">
        <f>"02773090772"</f>
        <v/>
      </c>
      <c r="E3365" s="30" t="inlineStr">
        <is>
          <t>GERALDO LAMEGO MATTOS</t>
        </is>
      </c>
      <c r="F3365" s="30" t="inlineStr">
        <is>
          <t>2020</t>
        </is>
      </c>
      <c r="G3365" s="40" t="n">
        <v>0</v>
      </c>
    </row>
    <row r="3366" ht="12" customHeight="1">
      <c r="A3366" s="30" t="inlineStr">
        <is>
          <t>ITG</t>
        </is>
      </c>
      <c r="B3366" s="30" t="inlineStr">
        <is>
          <t>Itaguai</t>
        </is>
      </c>
      <c r="C3366" s="30" t="n">
        <v>70861720</v>
      </c>
      <c r="D3366" s="30">
        <f>"02773090772"</f>
        <v/>
      </c>
      <c r="E3366" s="30" t="inlineStr">
        <is>
          <t>GERALDO LAMEGO MATTOS</t>
        </is>
      </c>
      <c r="F3366" s="30" t="inlineStr">
        <is>
          <t>2021</t>
        </is>
      </c>
      <c r="G3366" s="40" t="n">
        <v>0</v>
      </c>
    </row>
    <row r="3367" ht="12" customHeight="1">
      <c r="A3367" s="30" t="inlineStr">
        <is>
          <t>ITG</t>
        </is>
      </c>
      <c r="B3367" s="30" t="inlineStr">
        <is>
          <t>Itaguai</t>
        </is>
      </c>
      <c r="C3367" s="30" t="n">
        <v>70861720</v>
      </c>
      <c r="D3367" s="30">
        <f>"02773090772"</f>
        <v/>
      </c>
      <c r="E3367" s="30" t="inlineStr">
        <is>
          <t>GERALDO LAMEGO MATTOS</t>
        </is>
      </c>
      <c r="F3367" s="30" t="inlineStr">
        <is>
          <t>2022</t>
        </is>
      </c>
      <c r="G3367" s="40" t="n">
        <v>0</v>
      </c>
    </row>
    <row r="3368" ht="12" customHeight="1">
      <c r="A3368" s="30" t="inlineStr">
        <is>
          <t>ITG</t>
        </is>
      </c>
      <c r="B3368" s="30" t="inlineStr">
        <is>
          <t>Itaguai</t>
        </is>
      </c>
      <c r="C3368" s="30" t="n">
        <v>70861747</v>
      </c>
      <c r="D3368" s="30">
        <f>"52883582904"</f>
        <v/>
      </c>
      <c r="E3368" s="30" t="inlineStr">
        <is>
          <t>JOAO VALEZI</t>
        </is>
      </c>
      <c r="F3368" s="30" t="inlineStr">
        <is>
          <t>2017</t>
        </is>
      </c>
      <c r="G3368" s="40" t="n">
        <v>182320</v>
      </c>
    </row>
    <row r="3369" ht="12" customHeight="1">
      <c r="A3369" s="30" t="inlineStr">
        <is>
          <t>ITG</t>
        </is>
      </c>
      <c r="B3369" s="30" t="inlineStr">
        <is>
          <t>Itaguai</t>
        </is>
      </c>
      <c r="C3369" s="30" t="n">
        <v>70861747</v>
      </c>
      <c r="D3369" s="30">
        <f>"52883582904"</f>
        <v/>
      </c>
      <c r="E3369" s="30" t="inlineStr">
        <is>
          <t>JOAO VALEZI</t>
        </is>
      </c>
      <c r="F3369" s="30" t="inlineStr">
        <is>
          <t>2018</t>
        </is>
      </c>
      <c r="G3369" s="40" t="n">
        <v>248060</v>
      </c>
    </row>
    <row r="3370" ht="12" customHeight="1">
      <c r="A3370" s="30" t="inlineStr">
        <is>
          <t>ITG</t>
        </is>
      </c>
      <c r="B3370" s="30" t="inlineStr">
        <is>
          <t>Itaguai</t>
        </is>
      </c>
      <c r="C3370" s="30" t="n">
        <v>70861747</v>
      </c>
      <c r="D3370" s="30">
        <f>"52883582904"</f>
        <v/>
      </c>
      <c r="E3370" s="30" t="inlineStr">
        <is>
          <t>JOAO VALEZI</t>
        </is>
      </c>
      <c r="F3370" s="30" t="inlineStr">
        <is>
          <t>2019</t>
        </is>
      </c>
      <c r="G3370" s="40" t="n">
        <v>197156</v>
      </c>
    </row>
    <row r="3371" ht="12" customHeight="1">
      <c r="A3371" s="30" t="inlineStr">
        <is>
          <t>ITG</t>
        </is>
      </c>
      <c r="B3371" s="30" t="inlineStr">
        <is>
          <t>Itaguai</t>
        </is>
      </c>
      <c r="C3371" s="30" t="n">
        <v>70861747</v>
      </c>
      <c r="D3371" s="30">
        <f>"52883582904"</f>
        <v/>
      </c>
      <c r="E3371" s="30" t="inlineStr">
        <is>
          <t>JOAO VALEZI</t>
        </is>
      </c>
      <c r="F3371" s="30" t="inlineStr">
        <is>
          <t>2020</t>
        </is>
      </c>
      <c r="G3371" s="40" t="n">
        <v>307058.39</v>
      </c>
    </row>
    <row r="3372" ht="12" customHeight="1">
      <c r="A3372" s="30" t="inlineStr">
        <is>
          <t>ITG</t>
        </is>
      </c>
      <c r="B3372" s="30" t="inlineStr">
        <is>
          <t>Itaguai</t>
        </is>
      </c>
      <c r="C3372" s="30" t="n">
        <v>70861747</v>
      </c>
      <c r="D3372" s="30">
        <f>"52883582904"</f>
        <v/>
      </c>
      <c r="E3372" s="30" t="inlineStr">
        <is>
          <t>JOAO VALEZI</t>
        </is>
      </c>
      <c r="F3372" s="30" t="inlineStr">
        <is>
          <t>2021</t>
        </is>
      </c>
      <c r="G3372" s="40" t="n">
        <v>633050</v>
      </c>
    </row>
    <row r="3373" ht="12" customHeight="1">
      <c r="A3373" s="30" t="inlineStr">
        <is>
          <t>ITG</t>
        </is>
      </c>
      <c r="B3373" s="30" t="inlineStr">
        <is>
          <t>Itaguai</t>
        </is>
      </c>
      <c r="C3373" s="30" t="n">
        <v>70861747</v>
      </c>
      <c r="D3373" s="30">
        <f>"52883582904"</f>
        <v/>
      </c>
      <c r="E3373" s="30" t="inlineStr">
        <is>
          <t>JOAO VALEZI</t>
        </is>
      </c>
      <c r="F3373" s="30" t="inlineStr">
        <is>
          <t>2022</t>
        </is>
      </c>
      <c r="G3373" s="40" t="n">
        <v>0</v>
      </c>
    </row>
    <row r="3374" ht="12" customHeight="1">
      <c r="A3374" s="30" t="inlineStr">
        <is>
          <t>ITG</t>
        </is>
      </c>
      <c r="B3374" s="30" t="inlineStr">
        <is>
          <t>Itaguai</t>
        </is>
      </c>
      <c r="C3374" s="30" t="n">
        <v>70861747</v>
      </c>
      <c r="D3374" s="30">
        <f>"52883582904"</f>
        <v/>
      </c>
      <c r="E3374" s="30" t="inlineStr">
        <is>
          <t>JOAO VALEZI</t>
        </is>
      </c>
      <c r="F3374" s="30" t="inlineStr">
        <is>
          <t>2023</t>
        </is>
      </c>
      <c r="G3374" s="40" t="n">
        <v>731523.3</v>
      </c>
    </row>
    <row r="3375" ht="12" customHeight="1">
      <c r="A3375" s="30" t="inlineStr">
        <is>
          <t>ITG</t>
        </is>
      </c>
      <c r="B3375" s="30" t="inlineStr">
        <is>
          <t>Itaguai</t>
        </is>
      </c>
      <c r="C3375" s="30" t="n">
        <v>70861887</v>
      </c>
      <c r="D3375" s="30">
        <f>"60748621768"</f>
        <v/>
      </c>
      <c r="E3375" s="30" t="inlineStr">
        <is>
          <t>CUSTODIO AFONSO TORRES DE ALMEIDA</t>
        </is>
      </c>
      <c r="F3375" s="30" t="inlineStr">
        <is>
          <t>2017</t>
        </is>
      </c>
      <c r="G3375" s="40" t="n">
        <v>0</v>
      </c>
    </row>
    <row r="3376" ht="12" customHeight="1">
      <c r="A3376" s="30" t="inlineStr">
        <is>
          <t>ITG</t>
        </is>
      </c>
      <c r="B3376" s="30" t="inlineStr">
        <is>
          <t>Itaguai</t>
        </is>
      </c>
      <c r="C3376" s="30" t="n">
        <v>70861887</v>
      </c>
      <c r="D3376" s="30">
        <f>"60748621768"</f>
        <v/>
      </c>
      <c r="E3376" s="30" t="inlineStr">
        <is>
          <t>CUSTODIO AFONSO TORRES DE ALMEIDA</t>
        </is>
      </c>
      <c r="F3376" s="30" t="inlineStr">
        <is>
          <t>2018</t>
        </is>
      </c>
      <c r="G3376" s="40" t="n">
        <v>0</v>
      </c>
    </row>
    <row r="3377" ht="12" customHeight="1">
      <c r="A3377" s="30" t="inlineStr">
        <is>
          <t>ITG</t>
        </is>
      </c>
      <c r="B3377" s="30" t="inlineStr">
        <is>
          <t>Itaguai</t>
        </is>
      </c>
      <c r="C3377" s="30" t="n">
        <v>70861887</v>
      </c>
      <c r="D3377" s="30">
        <f>"60748621768"</f>
        <v/>
      </c>
      <c r="E3377" s="30" t="inlineStr">
        <is>
          <t>CUSTODIO AFONSO TORRES DE ALMEIDA</t>
        </is>
      </c>
      <c r="F3377" s="30" t="inlineStr">
        <is>
          <t>2019</t>
        </is>
      </c>
      <c r="G3377" s="40" t="n">
        <v>0</v>
      </c>
    </row>
    <row r="3378" ht="12" customHeight="1">
      <c r="A3378" s="30" t="inlineStr">
        <is>
          <t>ITG</t>
        </is>
      </c>
      <c r="B3378" s="30" t="inlineStr">
        <is>
          <t>Itaguai</t>
        </is>
      </c>
      <c r="C3378" s="30" t="n">
        <v>70861887</v>
      </c>
      <c r="D3378" s="30">
        <f>"60748621768"</f>
        <v/>
      </c>
      <c r="E3378" s="30" t="inlineStr">
        <is>
          <t>CUSTODIO AFONSO TORRES DE ALMEIDA</t>
        </is>
      </c>
      <c r="F3378" s="30" t="inlineStr">
        <is>
          <t>2020</t>
        </is>
      </c>
      <c r="G3378" s="40" t="n">
        <v>0</v>
      </c>
    </row>
    <row r="3379" ht="12" customHeight="1">
      <c r="A3379" s="30" t="inlineStr">
        <is>
          <t>ITG</t>
        </is>
      </c>
      <c r="B3379" s="30" t="inlineStr">
        <is>
          <t>Itaguai</t>
        </is>
      </c>
      <c r="C3379" s="30" t="n">
        <v>71387330</v>
      </c>
      <c r="D3379" s="30">
        <f>"07897235734"</f>
        <v/>
      </c>
      <c r="E3379" s="30" t="inlineStr">
        <is>
          <t>HAZIME MORITA</t>
        </is>
      </c>
      <c r="F3379" s="30" t="inlineStr">
        <is>
          <t>2021</t>
        </is>
      </c>
      <c r="G3379" s="40" t="n">
        <v>0</v>
      </c>
    </row>
    <row r="3380" ht="12" customHeight="1">
      <c r="A3380" s="30" t="inlineStr">
        <is>
          <t>ITG</t>
        </is>
      </c>
      <c r="B3380" s="30" t="inlineStr">
        <is>
          <t>Itaguai</t>
        </is>
      </c>
      <c r="C3380" s="30" t="n">
        <v>71387330</v>
      </c>
      <c r="D3380" s="30">
        <f>"07897235734"</f>
        <v/>
      </c>
      <c r="E3380" s="30" t="inlineStr">
        <is>
          <t>HAZIME MORITA</t>
        </is>
      </c>
      <c r="F3380" s="30" t="inlineStr">
        <is>
          <t>2022</t>
        </is>
      </c>
      <c r="G3380" s="40" t="n">
        <v>0</v>
      </c>
    </row>
    <row r="3381" ht="12" customHeight="1">
      <c r="A3381" s="30" t="inlineStr">
        <is>
          <t>ITG</t>
        </is>
      </c>
      <c r="B3381" s="30" t="inlineStr">
        <is>
          <t>Itaguai</t>
        </is>
      </c>
      <c r="C3381" s="30" t="n">
        <v>71387330</v>
      </c>
      <c r="D3381" s="30">
        <f>"07897235734"</f>
        <v/>
      </c>
      <c r="E3381" s="30" t="inlineStr">
        <is>
          <t>HAZIME MORITA</t>
        </is>
      </c>
      <c r="F3381" s="30" t="inlineStr">
        <is>
          <t>2023</t>
        </is>
      </c>
      <c r="G3381" s="40" t="n">
        <v>0.1</v>
      </c>
    </row>
    <row r="3382" ht="12" customHeight="1">
      <c r="A3382" s="30" t="inlineStr">
        <is>
          <t>ITG</t>
        </is>
      </c>
      <c r="B3382" s="30" t="inlineStr">
        <is>
          <t>Itaguai</t>
        </is>
      </c>
      <c r="C3382" s="30" t="n">
        <v>71387364</v>
      </c>
      <c r="D3382" s="30">
        <f>"00007906080734"</f>
        <v/>
      </c>
      <c r="E3382" s="30" t="inlineStr">
        <is>
          <t>MANOEL DOS SANTOS SIMOES</t>
        </is>
      </c>
      <c r="F3382" s="30" t="inlineStr">
        <is>
          <t>2017</t>
        </is>
      </c>
      <c r="G3382" s="40" t="n">
        <v>0</v>
      </c>
    </row>
    <row r="3383" ht="12" customHeight="1">
      <c r="A3383" s="30" t="inlineStr">
        <is>
          <t>ITG</t>
        </is>
      </c>
      <c r="B3383" s="30" t="inlineStr">
        <is>
          <t>Itaguai</t>
        </is>
      </c>
      <c r="C3383" s="30" t="n">
        <v>71387364</v>
      </c>
      <c r="D3383" s="30">
        <f>"00007906080734"</f>
        <v/>
      </c>
      <c r="E3383" s="30" t="inlineStr">
        <is>
          <t>MANOEL DOS SANTOS SIMOES</t>
        </is>
      </c>
      <c r="F3383" s="30" t="inlineStr">
        <is>
          <t>2018</t>
        </is>
      </c>
      <c r="G3383" s="40" t="n">
        <v>0</v>
      </c>
    </row>
    <row r="3384" ht="12" customHeight="1">
      <c r="A3384" s="30" t="inlineStr">
        <is>
          <t>ITG</t>
        </is>
      </c>
      <c r="B3384" s="30" t="inlineStr">
        <is>
          <t>Itaguai</t>
        </is>
      </c>
      <c r="C3384" s="30" t="n">
        <v>71387364</v>
      </c>
      <c r="D3384" s="30">
        <f>"00007906080734"</f>
        <v/>
      </c>
      <c r="E3384" s="30" t="inlineStr">
        <is>
          <t>MANOEL DOS SANTOS SIMOES</t>
        </is>
      </c>
      <c r="F3384" s="30" t="inlineStr">
        <is>
          <t>2019</t>
        </is>
      </c>
      <c r="G3384" s="40" t="n">
        <v>0</v>
      </c>
    </row>
    <row r="3385" ht="12" customHeight="1">
      <c r="A3385" s="30" t="inlineStr">
        <is>
          <t>ITG</t>
        </is>
      </c>
      <c r="B3385" s="30" t="inlineStr">
        <is>
          <t>Itaguai</t>
        </is>
      </c>
      <c r="C3385" s="30" t="n">
        <v>71387364</v>
      </c>
      <c r="D3385" s="30">
        <f>"00007906080734"</f>
        <v/>
      </c>
      <c r="E3385" s="30" t="inlineStr">
        <is>
          <t>MANOEL DOS SANTOS SIMOES</t>
        </is>
      </c>
      <c r="F3385" s="30" t="inlineStr">
        <is>
          <t>2020</t>
        </is>
      </c>
      <c r="G3385" s="40" t="n">
        <v>0</v>
      </c>
    </row>
    <row r="3386" ht="12" customHeight="1">
      <c r="A3386" s="30" t="inlineStr">
        <is>
          <t>ITG</t>
        </is>
      </c>
      <c r="B3386" s="30" t="inlineStr">
        <is>
          <t>Itaguai</t>
        </is>
      </c>
      <c r="C3386" s="30" t="n">
        <v>71387550</v>
      </c>
      <c r="D3386" s="30">
        <f>"00406422753"</f>
        <v/>
      </c>
      <c r="E3386" s="30" t="inlineStr">
        <is>
          <t>PAULO ERNESTO ALVES DE MENEZES</t>
        </is>
      </c>
      <c r="F3386" s="30" t="inlineStr">
        <is>
          <t>2017</t>
        </is>
      </c>
      <c r="G3386" s="40" t="n">
        <v>256288.73</v>
      </c>
    </row>
    <row r="3387" ht="12" customHeight="1">
      <c r="A3387" s="30" t="inlineStr">
        <is>
          <t>ITG</t>
        </is>
      </c>
      <c r="B3387" s="30" t="inlineStr">
        <is>
          <t>Itaguai</t>
        </is>
      </c>
      <c r="C3387" s="30" t="n">
        <v>71387550</v>
      </c>
      <c r="D3387" s="30">
        <f>"00406422753"</f>
        <v/>
      </c>
      <c r="E3387" s="30" t="inlineStr">
        <is>
          <t>PAULO ERNESTO ALVES DE MENEZES</t>
        </is>
      </c>
      <c r="F3387" s="30" t="inlineStr">
        <is>
          <t>2018</t>
        </is>
      </c>
      <c r="G3387" s="40" t="n">
        <v>382342.36</v>
      </c>
    </row>
    <row r="3388" ht="12" customHeight="1">
      <c r="A3388" s="30" t="inlineStr">
        <is>
          <t>ITG</t>
        </is>
      </c>
      <c r="B3388" s="30" t="inlineStr">
        <is>
          <t>Itaguai</t>
        </is>
      </c>
      <c r="C3388" s="30" t="n">
        <v>71387550</v>
      </c>
      <c r="D3388" s="30">
        <f>"00406422753"</f>
        <v/>
      </c>
      <c r="E3388" s="30" t="inlineStr">
        <is>
          <t>PAULO ERNESTO ALVES DE MENEZES</t>
        </is>
      </c>
      <c r="F3388" s="30" t="inlineStr">
        <is>
          <t>2019</t>
        </is>
      </c>
      <c r="G3388" s="40" t="n">
        <v>15000</v>
      </c>
    </row>
    <row r="3389" ht="12" customHeight="1">
      <c r="A3389" s="30" t="inlineStr">
        <is>
          <t>ITG</t>
        </is>
      </c>
      <c r="B3389" s="30" t="inlineStr">
        <is>
          <t>Itaguai</t>
        </is>
      </c>
      <c r="C3389" s="30" t="n">
        <v>71387550</v>
      </c>
      <c r="D3389" s="30">
        <f>"00406422753"</f>
        <v/>
      </c>
      <c r="E3389" s="30" t="inlineStr">
        <is>
          <t>PAULO ERNESTO ALVES DE MENEZES</t>
        </is>
      </c>
      <c r="F3389" s="30" t="inlineStr">
        <is>
          <t>2020</t>
        </is>
      </c>
      <c r="G3389" s="40" t="n">
        <v>0</v>
      </c>
    </row>
    <row r="3390" ht="12" customHeight="1">
      <c r="A3390" s="30" t="inlineStr">
        <is>
          <t>ITG</t>
        </is>
      </c>
      <c r="B3390" s="30" t="inlineStr">
        <is>
          <t>Itaguai</t>
        </is>
      </c>
      <c r="C3390" s="30" t="n">
        <v>71387550</v>
      </c>
      <c r="D3390" s="30">
        <f>"00406422753"</f>
        <v/>
      </c>
      <c r="E3390" s="30" t="inlineStr">
        <is>
          <t>PAULO ERNESTO ALVES DE MENEZES</t>
        </is>
      </c>
      <c r="F3390" s="30" t="inlineStr">
        <is>
          <t>2021</t>
        </is>
      </c>
      <c r="G3390" s="40" t="n">
        <v>0</v>
      </c>
    </row>
    <row r="3391" ht="12" customHeight="1">
      <c r="A3391" s="30" t="inlineStr">
        <is>
          <t>ITG</t>
        </is>
      </c>
      <c r="B3391" s="30" t="inlineStr">
        <is>
          <t>Itaguai</t>
        </is>
      </c>
      <c r="C3391" s="30" t="n">
        <v>71387550</v>
      </c>
      <c r="D3391" s="30">
        <f>"00406422753"</f>
        <v/>
      </c>
      <c r="E3391" s="30" t="inlineStr">
        <is>
          <t>PAULO ERNESTO ALVES DE MENEZES</t>
        </is>
      </c>
      <c r="F3391" s="30" t="inlineStr">
        <is>
          <t>2022</t>
        </is>
      </c>
      <c r="G3391" s="40" t="n">
        <v>302129.06</v>
      </c>
    </row>
    <row r="3392" ht="12" customHeight="1">
      <c r="A3392" s="30" t="inlineStr">
        <is>
          <t>ITG</t>
        </is>
      </c>
      <c r="B3392" s="30" t="inlineStr">
        <is>
          <t>Itaguai</t>
        </is>
      </c>
      <c r="C3392" s="30" t="n">
        <v>71387550</v>
      </c>
      <c r="D3392" s="30">
        <f>"00406422753"</f>
        <v/>
      </c>
      <c r="E3392" s="30" t="inlineStr">
        <is>
          <t>PAULO ERNESTO ALVES DE MENEZES</t>
        </is>
      </c>
      <c r="F3392" s="30" t="inlineStr">
        <is>
          <t>2023</t>
        </is>
      </c>
      <c r="G3392" s="40" t="n">
        <v>0</v>
      </c>
    </row>
    <row r="3393" ht="12" customHeight="1">
      <c r="A3393" s="30" t="inlineStr">
        <is>
          <t>ITG</t>
        </is>
      </c>
      <c r="B3393" s="30" t="inlineStr">
        <is>
          <t>Itaguai</t>
        </is>
      </c>
      <c r="C3393" s="30" t="n">
        <v>71390365</v>
      </c>
      <c r="D3393" s="30">
        <f>"61827690763"</f>
        <v/>
      </c>
      <c r="E3393" s="30" t="inlineStr">
        <is>
          <t>CARLOS SATORU MATSUNAGA</t>
        </is>
      </c>
      <c r="F3393" s="30" t="inlineStr">
        <is>
          <t>2017</t>
        </is>
      </c>
      <c r="G3393" s="40" t="n">
        <v>0</v>
      </c>
    </row>
    <row r="3394" ht="12" customHeight="1">
      <c r="A3394" s="30" t="inlineStr">
        <is>
          <t>ITG</t>
        </is>
      </c>
      <c r="B3394" s="30" t="inlineStr">
        <is>
          <t>Itaguai</t>
        </is>
      </c>
      <c r="C3394" s="30" t="n">
        <v>71390365</v>
      </c>
      <c r="D3394" s="30">
        <f>"61827690763"</f>
        <v/>
      </c>
      <c r="E3394" s="30" t="inlineStr">
        <is>
          <t>CARLOS SATORU MATSUNAGA</t>
        </is>
      </c>
      <c r="F3394" s="30" t="inlineStr">
        <is>
          <t>2018</t>
        </is>
      </c>
      <c r="G3394" s="40" t="n">
        <v>0</v>
      </c>
    </row>
    <row r="3395" ht="12" customHeight="1">
      <c r="A3395" s="30" t="inlineStr">
        <is>
          <t>ITG</t>
        </is>
      </c>
      <c r="B3395" s="30" t="inlineStr">
        <is>
          <t>Itaguai</t>
        </is>
      </c>
      <c r="C3395" s="30" t="n">
        <v>71390365</v>
      </c>
      <c r="D3395" s="30">
        <f>"61827690763"</f>
        <v/>
      </c>
      <c r="E3395" s="30" t="inlineStr">
        <is>
          <t>CARLOS SATORU MATSUNAGA</t>
        </is>
      </c>
      <c r="F3395" s="30" t="inlineStr">
        <is>
          <t>2019</t>
        </is>
      </c>
      <c r="G3395" s="40" t="n">
        <v>0</v>
      </c>
    </row>
    <row r="3396" ht="12" customHeight="1">
      <c r="A3396" s="30" t="inlineStr">
        <is>
          <t>ITG</t>
        </is>
      </c>
      <c r="B3396" s="30" t="inlineStr">
        <is>
          <t>Itaguai</t>
        </is>
      </c>
      <c r="C3396" s="30" t="n">
        <v>71390365</v>
      </c>
      <c r="D3396" s="30">
        <f>"61827690763"</f>
        <v/>
      </c>
      <c r="E3396" s="30" t="inlineStr">
        <is>
          <t>CARLOS SATORU MATSUNAGA</t>
        </is>
      </c>
      <c r="F3396" s="30" t="inlineStr">
        <is>
          <t>2020</t>
        </is>
      </c>
      <c r="G3396" s="40" t="n">
        <v>0</v>
      </c>
    </row>
    <row r="3397" ht="12" customHeight="1">
      <c r="A3397" s="30" t="inlineStr">
        <is>
          <t>ITG</t>
        </is>
      </c>
      <c r="B3397" s="30" t="inlineStr">
        <is>
          <t>Itaguai</t>
        </is>
      </c>
      <c r="C3397" s="30" t="n">
        <v>71390365</v>
      </c>
      <c r="D3397" s="30">
        <f>"61827690763"</f>
        <v/>
      </c>
      <c r="E3397" s="30" t="inlineStr">
        <is>
          <t>CARLOS SATORU MATSUNAGA</t>
        </is>
      </c>
      <c r="F3397" s="30" t="inlineStr">
        <is>
          <t>2021</t>
        </is>
      </c>
      <c r="G3397" s="40" t="n">
        <v>0</v>
      </c>
    </row>
    <row r="3398" ht="12" customHeight="1">
      <c r="A3398" s="30" t="inlineStr">
        <is>
          <t>ITG</t>
        </is>
      </c>
      <c r="B3398" s="30" t="inlineStr">
        <is>
          <t>Itaguai</t>
        </is>
      </c>
      <c r="C3398" s="30" t="n">
        <v>71390365</v>
      </c>
      <c r="D3398" s="30">
        <f>"61827690763"</f>
        <v/>
      </c>
      <c r="E3398" s="30" t="inlineStr">
        <is>
          <t>CARLOS SATORU MATSUNAGA</t>
        </is>
      </c>
      <c r="F3398" s="30" t="inlineStr">
        <is>
          <t>2022</t>
        </is>
      </c>
      <c r="G3398" s="40" t="n">
        <v>0</v>
      </c>
    </row>
    <row r="3399" ht="12" customHeight="1">
      <c r="A3399" s="30" t="inlineStr">
        <is>
          <t>ITG</t>
        </is>
      </c>
      <c r="B3399" s="30" t="inlineStr">
        <is>
          <t>Itaguai</t>
        </is>
      </c>
      <c r="C3399" s="30" t="n">
        <v>71390365</v>
      </c>
      <c r="D3399" s="30">
        <f>"61827690763"</f>
        <v/>
      </c>
      <c r="E3399" s="30" t="inlineStr">
        <is>
          <t>CARLOS SATORU MATSUNAGA</t>
        </is>
      </c>
      <c r="F3399" s="30" t="inlineStr">
        <is>
          <t>2023</t>
        </is>
      </c>
      <c r="G3399" s="40" t="n">
        <v>0</v>
      </c>
    </row>
    <row r="3400" ht="12" customHeight="1">
      <c r="A3400" s="30" t="inlineStr">
        <is>
          <t>ITG</t>
        </is>
      </c>
      <c r="B3400" s="30" t="inlineStr">
        <is>
          <t>Itaguai</t>
        </is>
      </c>
      <c r="C3400" s="30" t="n">
        <v>71390470</v>
      </c>
      <c r="D3400" s="30">
        <f>"04775660659"</f>
        <v/>
      </c>
      <c r="E3400" s="30" t="inlineStr">
        <is>
          <t>ALTAIR JOSE CERQUEIRA</t>
        </is>
      </c>
      <c r="F3400" s="30" t="inlineStr">
        <is>
          <t>2017</t>
        </is>
      </c>
      <c r="G3400" s="40" t="n">
        <v>172950</v>
      </c>
    </row>
    <row r="3401" ht="12" customHeight="1">
      <c r="A3401" s="30" t="inlineStr">
        <is>
          <t>ITG</t>
        </is>
      </c>
      <c r="B3401" s="30" t="inlineStr">
        <is>
          <t>Itaguai</t>
        </is>
      </c>
      <c r="C3401" s="30" t="n">
        <v>71390470</v>
      </c>
      <c r="D3401" s="30">
        <f>"04775660659"</f>
        <v/>
      </c>
      <c r="E3401" s="30" t="inlineStr">
        <is>
          <t>ALTAIR JOSE CERQUEIRA</t>
        </is>
      </c>
      <c r="F3401" s="30" t="inlineStr">
        <is>
          <t>2018</t>
        </is>
      </c>
      <c r="G3401" s="40" t="n">
        <v>248660</v>
      </c>
    </row>
    <row r="3402" ht="12" customHeight="1">
      <c r="A3402" s="30" t="inlineStr">
        <is>
          <t>ITG</t>
        </is>
      </c>
      <c r="B3402" s="30" t="inlineStr">
        <is>
          <t>Itaguai</t>
        </is>
      </c>
      <c r="C3402" s="30" t="n">
        <v>71390470</v>
      </c>
      <c r="D3402" s="30">
        <f>"04775660659"</f>
        <v/>
      </c>
      <c r="E3402" s="30" t="inlineStr">
        <is>
          <t>ALTAIR JOSE CERQUEIRA</t>
        </is>
      </c>
      <c r="F3402" s="30" t="inlineStr">
        <is>
          <t>2019</t>
        </is>
      </c>
      <c r="G3402" s="40" t="n">
        <v>308400</v>
      </c>
    </row>
    <row r="3403" ht="12" customHeight="1">
      <c r="A3403" s="30" t="inlineStr">
        <is>
          <t>ITG</t>
        </is>
      </c>
      <c r="B3403" s="30" t="inlineStr">
        <is>
          <t>Itaguai</t>
        </is>
      </c>
      <c r="C3403" s="30" t="n">
        <v>71390470</v>
      </c>
      <c r="D3403" s="30">
        <f>"04775660659"</f>
        <v/>
      </c>
      <c r="E3403" s="30" t="inlineStr">
        <is>
          <t>ALTAIR JOSE CERQUEIRA</t>
        </is>
      </c>
      <c r="F3403" s="30" t="inlineStr">
        <is>
          <t>2020</t>
        </is>
      </c>
      <c r="G3403" s="40" t="n">
        <v>0</v>
      </c>
    </row>
    <row r="3404" ht="12" customHeight="1">
      <c r="A3404" s="30" t="inlineStr">
        <is>
          <t>ITG</t>
        </is>
      </c>
      <c r="B3404" s="30" t="inlineStr">
        <is>
          <t>Itaguai</t>
        </is>
      </c>
      <c r="C3404" s="30" t="n">
        <v>71390470</v>
      </c>
      <c r="D3404" s="30">
        <f>"04775660659"</f>
        <v/>
      </c>
      <c r="E3404" s="30" t="inlineStr">
        <is>
          <t>ALTAIR JOSE CERQUEIRA</t>
        </is>
      </c>
      <c r="F3404" s="30" t="inlineStr">
        <is>
          <t>2021</t>
        </is>
      </c>
      <c r="G3404" s="40" t="n">
        <v>189700</v>
      </c>
    </row>
    <row r="3405" ht="12" customHeight="1">
      <c r="A3405" s="30" t="inlineStr">
        <is>
          <t>ITG</t>
        </is>
      </c>
      <c r="B3405" s="30" t="inlineStr">
        <is>
          <t>Itaguai</t>
        </is>
      </c>
      <c r="C3405" s="30" t="n">
        <v>71390470</v>
      </c>
      <c r="D3405" s="30">
        <f>"04775660659"</f>
        <v/>
      </c>
      <c r="E3405" s="30" t="inlineStr">
        <is>
          <t>ALTAIR JOSE CERQUEIRA</t>
        </is>
      </c>
      <c r="F3405" s="30" t="inlineStr">
        <is>
          <t>2022</t>
        </is>
      </c>
      <c r="G3405" s="40" t="n">
        <v>550300</v>
      </c>
    </row>
    <row r="3406" ht="12" customHeight="1">
      <c r="A3406" s="30" t="inlineStr">
        <is>
          <t>ITG</t>
        </is>
      </c>
      <c r="B3406" s="30" t="inlineStr">
        <is>
          <t>Itaguai</t>
        </is>
      </c>
      <c r="C3406" s="30" t="n">
        <v>71390470</v>
      </c>
      <c r="D3406" s="30">
        <f>"04775660659"</f>
        <v/>
      </c>
      <c r="E3406" s="30" t="inlineStr">
        <is>
          <t>ALTAIR JOSE CERQUEIRA</t>
        </is>
      </c>
      <c r="F3406" s="30" t="inlineStr">
        <is>
          <t>2023</t>
        </is>
      </c>
      <c r="G3406" s="40" t="n">
        <v>303000</v>
      </c>
    </row>
    <row r="3407" ht="12" customHeight="1">
      <c r="A3407" s="30" t="inlineStr">
        <is>
          <t>ITG</t>
        </is>
      </c>
      <c r="B3407" s="30" t="inlineStr">
        <is>
          <t>Itaguai</t>
        </is>
      </c>
      <c r="C3407" s="30" t="n">
        <v>71390489</v>
      </c>
      <c r="D3407" s="30">
        <f>"15889807749"</f>
        <v/>
      </c>
      <c r="E3407" s="30" t="inlineStr">
        <is>
          <t>ABEL MELLO LIBANO</t>
        </is>
      </c>
      <c r="F3407" s="30" t="inlineStr">
        <is>
          <t>2017</t>
        </is>
      </c>
      <c r="G3407" s="40" t="n">
        <v>196780</v>
      </c>
    </row>
    <row r="3408" ht="12" customHeight="1">
      <c r="A3408" s="30" t="inlineStr">
        <is>
          <t>ITG</t>
        </is>
      </c>
      <c r="B3408" s="30" t="inlineStr">
        <is>
          <t>Itaguai</t>
        </is>
      </c>
      <c r="C3408" s="30" t="n">
        <v>71390489</v>
      </c>
      <c r="D3408" s="30">
        <f>"15889807749"</f>
        <v/>
      </c>
      <c r="E3408" s="30" t="inlineStr">
        <is>
          <t>ABEL MELLO LIBANO</t>
        </is>
      </c>
      <c r="F3408" s="30" t="inlineStr">
        <is>
          <t>2018</t>
        </is>
      </c>
      <c r="G3408" s="40" t="n">
        <v>157200</v>
      </c>
    </row>
    <row r="3409" ht="12" customHeight="1">
      <c r="A3409" s="30" t="inlineStr">
        <is>
          <t>ITG</t>
        </is>
      </c>
      <c r="B3409" s="30" t="inlineStr">
        <is>
          <t>Itaguai</t>
        </is>
      </c>
      <c r="C3409" s="30" t="n">
        <v>71390489</v>
      </c>
      <c r="D3409" s="30">
        <f>"15889807749"</f>
        <v/>
      </c>
      <c r="E3409" s="30" t="inlineStr">
        <is>
          <t>ABEL MELLO LIBANO</t>
        </is>
      </c>
      <c r="F3409" s="30" t="inlineStr">
        <is>
          <t>2019</t>
        </is>
      </c>
      <c r="G3409" s="40" t="n">
        <v>0</v>
      </c>
    </row>
    <row r="3410" ht="12" customHeight="1">
      <c r="A3410" s="30" t="inlineStr">
        <is>
          <t>ITG</t>
        </is>
      </c>
      <c r="B3410" s="30" t="inlineStr">
        <is>
          <t>Itaguai</t>
        </is>
      </c>
      <c r="C3410" s="30" t="n">
        <v>71390489</v>
      </c>
      <c r="D3410" s="30">
        <f>"15889807749"</f>
        <v/>
      </c>
      <c r="E3410" s="30" t="inlineStr">
        <is>
          <t>ABEL MELLO LIBANO</t>
        </is>
      </c>
      <c r="F3410" s="30" t="inlineStr">
        <is>
          <t>2020</t>
        </is>
      </c>
      <c r="G3410" s="40" t="n">
        <v>0</v>
      </c>
    </row>
    <row r="3411" ht="12" customHeight="1">
      <c r="A3411" s="30" t="inlineStr">
        <is>
          <t>ITG</t>
        </is>
      </c>
      <c r="B3411" s="30" t="inlineStr">
        <is>
          <t>Itaguai</t>
        </is>
      </c>
      <c r="C3411" s="30" t="n">
        <v>71390560</v>
      </c>
      <c r="D3411" s="30">
        <f>"44780567734"</f>
        <v/>
      </c>
      <c r="E3411" s="30" t="inlineStr">
        <is>
          <t>FRANCISCO NETO DA SILVA</t>
        </is>
      </c>
      <c r="F3411" s="30" t="inlineStr">
        <is>
          <t>2017</t>
        </is>
      </c>
      <c r="G3411" s="40" t="n">
        <v>50756.43</v>
      </c>
    </row>
    <row r="3412" ht="12" customHeight="1">
      <c r="A3412" s="30" t="inlineStr">
        <is>
          <t>ITG</t>
        </is>
      </c>
      <c r="B3412" s="30" t="inlineStr">
        <is>
          <t>Itaguai</t>
        </is>
      </c>
      <c r="C3412" s="30" t="n">
        <v>71390560</v>
      </c>
      <c r="D3412" s="30">
        <f>"44780567734"</f>
        <v/>
      </c>
      <c r="E3412" s="30" t="inlineStr">
        <is>
          <t>FRANCISCO NETO DA SILVA</t>
        </is>
      </c>
      <c r="F3412" s="30" t="inlineStr">
        <is>
          <t>2018</t>
        </is>
      </c>
      <c r="G3412" s="40" t="n">
        <v>0</v>
      </c>
    </row>
    <row r="3413" ht="12" customHeight="1">
      <c r="A3413" s="30" t="inlineStr">
        <is>
          <t>ITG</t>
        </is>
      </c>
      <c r="B3413" s="30" t="inlineStr">
        <is>
          <t>Itaguai</t>
        </is>
      </c>
      <c r="C3413" s="30" t="n">
        <v>71390560</v>
      </c>
      <c r="D3413" s="30">
        <f>"44780567734"</f>
        <v/>
      </c>
      <c r="E3413" s="30" t="inlineStr">
        <is>
          <t>FRANCISCO NETO DA SILVA</t>
        </is>
      </c>
      <c r="F3413" s="30" t="inlineStr">
        <is>
          <t>2019</t>
        </is>
      </c>
      <c r="G3413" s="40" t="n">
        <v>0</v>
      </c>
    </row>
    <row r="3414" ht="12" customHeight="1">
      <c r="A3414" s="30" t="inlineStr">
        <is>
          <t>ITG</t>
        </is>
      </c>
      <c r="B3414" s="30" t="inlineStr">
        <is>
          <t>Itaguai</t>
        </is>
      </c>
      <c r="C3414" s="30" t="n">
        <v>71390560</v>
      </c>
      <c r="D3414" s="30">
        <f>"44780567734"</f>
        <v/>
      </c>
      <c r="E3414" s="30" t="inlineStr">
        <is>
          <t>FRANCISCO NETO DA SILVA</t>
        </is>
      </c>
      <c r="F3414" s="30" t="inlineStr">
        <is>
          <t>2020</t>
        </is>
      </c>
      <c r="G3414" s="40" t="n">
        <v>0</v>
      </c>
    </row>
    <row r="3415" ht="12" customHeight="1">
      <c r="A3415" s="30" t="inlineStr">
        <is>
          <t>ITG</t>
        </is>
      </c>
      <c r="B3415" s="30" t="inlineStr">
        <is>
          <t>Itaguai</t>
        </is>
      </c>
      <c r="C3415" s="30" t="n">
        <v>71390560</v>
      </c>
      <c r="D3415" s="30">
        <f>"44780567734"</f>
        <v/>
      </c>
      <c r="E3415" s="30" t="inlineStr">
        <is>
          <t>FRANCISCO NETO DA SILVA</t>
        </is>
      </c>
      <c r="F3415" s="30" t="inlineStr">
        <is>
          <t>2021</t>
        </is>
      </c>
      <c r="G3415" s="40" t="n">
        <v>0</v>
      </c>
    </row>
    <row r="3416" ht="12" customHeight="1">
      <c r="A3416" s="30" t="inlineStr">
        <is>
          <t>ITG</t>
        </is>
      </c>
      <c r="B3416" s="30" t="inlineStr">
        <is>
          <t>Itaguai</t>
        </is>
      </c>
      <c r="C3416" s="30" t="n">
        <v>71390560</v>
      </c>
      <c r="D3416" s="30">
        <f>"44780567734"</f>
        <v/>
      </c>
      <c r="E3416" s="30" t="inlineStr">
        <is>
          <t>FRANCISCO NETO DA SILVA</t>
        </is>
      </c>
      <c r="F3416" s="30" t="inlineStr">
        <is>
          <t>2022</t>
        </is>
      </c>
      <c r="G3416" s="40" t="n">
        <v>0</v>
      </c>
    </row>
    <row r="3417" ht="12" customHeight="1">
      <c r="A3417" s="30" t="inlineStr">
        <is>
          <t>ITG</t>
        </is>
      </c>
      <c r="B3417" s="30" t="inlineStr">
        <is>
          <t>Itaguai</t>
        </is>
      </c>
      <c r="C3417" s="30" t="n">
        <v>71390560</v>
      </c>
      <c r="D3417" s="30">
        <f>"44780567734"</f>
        <v/>
      </c>
      <c r="E3417" s="30" t="inlineStr">
        <is>
          <t>FRANCISCO NETO DA SILVA</t>
        </is>
      </c>
      <c r="F3417" s="30" t="inlineStr">
        <is>
          <t>2023</t>
        </is>
      </c>
      <c r="G3417" s="40" t="n">
        <v>0</v>
      </c>
    </row>
    <row r="3418" ht="12" customHeight="1">
      <c r="A3418" s="30" t="inlineStr">
        <is>
          <t>ITG</t>
        </is>
      </c>
      <c r="B3418" s="30" t="inlineStr">
        <is>
          <t>Itaguai</t>
        </is>
      </c>
      <c r="C3418" s="30" t="n">
        <v>71390675</v>
      </c>
      <c r="D3418" s="30">
        <f>"00091960720"</f>
        <v/>
      </c>
      <c r="E3418" s="30" t="inlineStr">
        <is>
          <t>FERNANDO MAGALHAES</t>
        </is>
      </c>
      <c r="F3418" s="30" t="inlineStr">
        <is>
          <t>2017</t>
        </is>
      </c>
      <c r="G3418" s="40" t="n">
        <v>172400</v>
      </c>
    </row>
    <row r="3419" ht="12" customHeight="1">
      <c r="A3419" s="30" t="inlineStr">
        <is>
          <t>ITG</t>
        </is>
      </c>
      <c r="B3419" s="30" t="inlineStr">
        <is>
          <t>Itaguai</t>
        </is>
      </c>
      <c r="C3419" s="30" t="n">
        <v>71390675</v>
      </c>
      <c r="D3419" s="30">
        <f>"00091960720"</f>
        <v/>
      </c>
      <c r="E3419" s="30" t="inlineStr">
        <is>
          <t>FERNANDO MAGALHAES</t>
        </is>
      </c>
      <c r="F3419" s="30" t="inlineStr">
        <is>
          <t>2018</t>
        </is>
      </c>
      <c r="G3419" s="40" t="n">
        <v>0</v>
      </c>
    </row>
    <row r="3420" ht="12" customHeight="1">
      <c r="A3420" s="30" t="inlineStr">
        <is>
          <t>ITG</t>
        </is>
      </c>
      <c r="B3420" s="30" t="inlineStr">
        <is>
          <t>Itaguai</t>
        </is>
      </c>
      <c r="C3420" s="30" t="n">
        <v>71390675</v>
      </c>
      <c r="D3420" s="30">
        <f>"00091960720"</f>
        <v/>
      </c>
      <c r="E3420" s="30" t="inlineStr">
        <is>
          <t>FERNANDO MAGALHAES</t>
        </is>
      </c>
      <c r="F3420" s="30" t="inlineStr">
        <is>
          <t>2019</t>
        </is>
      </c>
      <c r="G3420" s="40" t="n">
        <v>17500</v>
      </c>
    </row>
    <row r="3421" ht="12" customHeight="1">
      <c r="A3421" s="30" t="inlineStr">
        <is>
          <t>ITG</t>
        </is>
      </c>
      <c r="B3421" s="30" t="inlineStr">
        <is>
          <t>Itaguai</t>
        </is>
      </c>
      <c r="C3421" s="30" t="n">
        <v>71390675</v>
      </c>
      <c r="D3421" s="30">
        <f>"00091960720"</f>
        <v/>
      </c>
      <c r="E3421" s="30" t="inlineStr">
        <is>
          <t>FERNANDO MAGALHAES</t>
        </is>
      </c>
      <c r="F3421" s="30" t="inlineStr">
        <is>
          <t>2020</t>
        </is>
      </c>
      <c r="G3421" s="40" t="n">
        <v>0</v>
      </c>
    </row>
    <row r="3422" ht="12" customHeight="1">
      <c r="A3422" s="30" t="inlineStr">
        <is>
          <t>ITG</t>
        </is>
      </c>
      <c r="B3422" s="30" t="inlineStr">
        <is>
          <t>Itaguai</t>
        </is>
      </c>
      <c r="C3422" s="30" t="n">
        <v>71390675</v>
      </c>
      <c r="D3422" s="30">
        <f>"00091960720"</f>
        <v/>
      </c>
      <c r="E3422" s="30" t="inlineStr">
        <is>
          <t>FERNANDO MAGALHAES</t>
        </is>
      </c>
      <c r="F3422" s="30" t="inlineStr">
        <is>
          <t>2021</t>
        </is>
      </c>
      <c r="G3422" s="40" t="n">
        <v>0</v>
      </c>
    </row>
    <row r="3423" ht="12" customHeight="1">
      <c r="A3423" s="30" t="inlineStr">
        <is>
          <t>ITG</t>
        </is>
      </c>
      <c r="B3423" s="30" t="inlineStr">
        <is>
          <t>Itaguai</t>
        </is>
      </c>
      <c r="C3423" s="30" t="n">
        <v>71390705</v>
      </c>
      <c r="D3423" s="30">
        <f>"47988371720"</f>
        <v/>
      </c>
      <c r="E3423" s="30" t="inlineStr">
        <is>
          <t>TATSUSHI KAJISHIMA</t>
        </is>
      </c>
      <c r="F3423" s="30" t="inlineStr">
        <is>
          <t>2017</t>
        </is>
      </c>
      <c r="G3423" s="40" t="n">
        <v>0</v>
      </c>
    </row>
    <row r="3424" ht="12" customHeight="1">
      <c r="A3424" s="30" t="inlineStr">
        <is>
          <t>ITG</t>
        </is>
      </c>
      <c r="B3424" s="30" t="inlineStr">
        <is>
          <t>Itaguai</t>
        </is>
      </c>
      <c r="C3424" s="30" t="n">
        <v>71390705</v>
      </c>
      <c r="D3424" s="30">
        <f>"47988371720"</f>
        <v/>
      </c>
      <c r="E3424" s="30" t="inlineStr">
        <is>
          <t>TATSUSHI KAJISHIMA</t>
        </is>
      </c>
      <c r="F3424" s="30" t="inlineStr">
        <is>
          <t>2018</t>
        </is>
      </c>
      <c r="G3424" s="40" t="n">
        <v>0</v>
      </c>
    </row>
    <row r="3425" ht="12" customHeight="1">
      <c r="A3425" s="30" t="inlineStr">
        <is>
          <t>ITG</t>
        </is>
      </c>
      <c r="B3425" s="30" t="inlineStr">
        <is>
          <t>Itaguai</t>
        </is>
      </c>
      <c r="C3425" s="30" t="n">
        <v>71390705</v>
      </c>
      <c r="D3425" s="30">
        <f>"47988371720"</f>
        <v/>
      </c>
      <c r="E3425" s="30" t="inlineStr">
        <is>
          <t>TATSUSHI KAJISHIMA</t>
        </is>
      </c>
      <c r="F3425" s="30" t="inlineStr">
        <is>
          <t>2019</t>
        </is>
      </c>
      <c r="G3425" s="40" t="n">
        <v>0</v>
      </c>
    </row>
    <row r="3426" ht="12" customHeight="1">
      <c r="A3426" s="30" t="inlineStr">
        <is>
          <t>ITG</t>
        </is>
      </c>
      <c r="B3426" s="30" t="inlineStr">
        <is>
          <t>Itaguai</t>
        </is>
      </c>
      <c r="C3426" s="30" t="n">
        <v>71390705</v>
      </c>
      <c r="D3426" s="30">
        <f>"47988371720"</f>
        <v/>
      </c>
      <c r="E3426" s="30" t="inlineStr">
        <is>
          <t>TATSUSHI KAJISHIMA</t>
        </is>
      </c>
      <c r="F3426" s="30" t="inlineStr">
        <is>
          <t>2020</t>
        </is>
      </c>
      <c r="G3426" s="40" t="n">
        <v>234473</v>
      </c>
    </row>
    <row r="3427" ht="12" customHeight="1">
      <c r="A3427" s="30" t="inlineStr">
        <is>
          <t>ITG</t>
        </is>
      </c>
      <c r="B3427" s="30" t="inlineStr">
        <is>
          <t>Itaguai</t>
        </is>
      </c>
      <c r="C3427" s="30" t="n">
        <v>71390705</v>
      </c>
      <c r="D3427" s="30">
        <f>"47988371720"</f>
        <v/>
      </c>
      <c r="E3427" s="30" t="inlineStr">
        <is>
          <t>TATSUSHI KAJISHIMA</t>
        </is>
      </c>
      <c r="F3427" s="30" t="inlineStr">
        <is>
          <t>2021</t>
        </is>
      </c>
      <c r="G3427" s="40" t="n">
        <v>340802</v>
      </c>
    </row>
    <row r="3428" ht="12" customHeight="1">
      <c r="A3428" s="30" t="inlineStr">
        <is>
          <t>ITG</t>
        </is>
      </c>
      <c r="B3428" s="30" t="inlineStr">
        <is>
          <t>Itaguai</t>
        </is>
      </c>
      <c r="C3428" s="30" t="n">
        <v>71390705</v>
      </c>
      <c r="D3428" s="30">
        <f>"47988371720"</f>
        <v/>
      </c>
      <c r="E3428" s="30" t="inlineStr">
        <is>
          <t>TATSUSHI KAJISHIMA</t>
        </is>
      </c>
      <c r="F3428" s="30" t="inlineStr">
        <is>
          <t>2022</t>
        </is>
      </c>
      <c r="G3428" s="40" t="n">
        <v>74753</v>
      </c>
    </row>
    <row r="3429" ht="12" customHeight="1">
      <c r="A3429" s="30" t="inlineStr">
        <is>
          <t>ITG</t>
        </is>
      </c>
      <c r="B3429" s="30" t="inlineStr">
        <is>
          <t>Itaguai</t>
        </is>
      </c>
      <c r="C3429" s="30" t="n">
        <v>71390705</v>
      </c>
      <c r="D3429" s="30">
        <f>"47988371720"</f>
        <v/>
      </c>
      <c r="E3429" s="30" t="inlineStr">
        <is>
          <t>TATSUSHI KAJISHIMA</t>
        </is>
      </c>
      <c r="F3429" s="30" t="inlineStr">
        <is>
          <t>2023</t>
        </is>
      </c>
      <c r="G3429" s="40" t="n">
        <v>0</v>
      </c>
    </row>
    <row r="3430" ht="12" customHeight="1">
      <c r="A3430" s="30" t="inlineStr">
        <is>
          <t>ITG</t>
        </is>
      </c>
      <c r="B3430" s="30" t="inlineStr">
        <is>
          <t>Itaguai</t>
        </is>
      </c>
      <c r="C3430" s="30" t="n">
        <v>71390985</v>
      </c>
      <c r="D3430" s="30">
        <f>"53510097734"</f>
        <v/>
      </c>
      <c r="E3430" s="30" t="inlineStr">
        <is>
          <t>FERNANDO HISASHI WATANABE</t>
        </is>
      </c>
      <c r="F3430" s="30" t="inlineStr">
        <is>
          <t>2017</t>
        </is>
      </c>
      <c r="G3430" s="40" t="n">
        <v>0</v>
      </c>
    </row>
    <row r="3431" ht="12" customHeight="1">
      <c r="A3431" s="30" t="inlineStr">
        <is>
          <t>ITG</t>
        </is>
      </c>
      <c r="B3431" s="30" t="inlineStr">
        <is>
          <t>Itaguai</t>
        </is>
      </c>
      <c r="C3431" s="30" t="n">
        <v>71390985</v>
      </c>
      <c r="D3431" s="30">
        <f>"53510097734"</f>
        <v/>
      </c>
      <c r="E3431" s="30" t="inlineStr">
        <is>
          <t>FERNANDO HISASHI WATANABE</t>
        </is>
      </c>
      <c r="F3431" s="30" t="inlineStr">
        <is>
          <t>2018</t>
        </is>
      </c>
      <c r="G3431" s="40" t="n">
        <v>0</v>
      </c>
    </row>
    <row r="3432" ht="12" customHeight="1">
      <c r="A3432" s="30" t="inlineStr">
        <is>
          <t>ITG</t>
        </is>
      </c>
      <c r="B3432" s="30" t="inlineStr">
        <is>
          <t>Itaguai</t>
        </is>
      </c>
      <c r="C3432" s="30" t="n">
        <v>71390985</v>
      </c>
      <c r="D3432" s="30">
        <f>"53510097734"</f>
        <v/>
      </c>
      <c r="E3432" s="30" t="inlineStr">
        <is>
          <t>FERNANDO HISASHI WATANABE</t>
        </is>
      </c>
      <c r="F3432" s="30" t="inlineStr">
        <is>
          <t>2019</t>
        </is>
      </c>
      <c r="G3432" s="40" t="n">
        <v>0</v>
      </c>
    </row>
    <row r="3433" ht="12" customHeight="1">
      <c r="A3433" s="30" t="inlineStr">
        <is>
          <t>ITG</t>
        </is>
      </c>
      <c r="B3433" s="30" t="inlineStr">
        <is>
          <t>Itaguai</t>
        </is>
      </c>
      <c r="C3433" s="30" t="n">
        <v>71390985</v>
      </c>
      <c r="D3433" s="30">
        <f>"53510097734"</f>
        <v/>
      </c>
      <c r="E3433" s="30" t="inlineStr">
        <is>
          <t>FERNANDO HISASHI WATANABE</t>
        </is>
      </c>
      <c r="F3433" s="30" t="inlineStr">
        <is>
          <t>2020</t>
        </is>
      </c>
      <c r="G3433" s="40" t="n">
        <v>71190</v>
      </c>
    </row>
    <row r="3434" ht="12" customHeight="1">
      <c r="A3434" s="30" t="inlineStr">
        <is>
          <t>ITG</t>
        </is>
      </c>
      <c r="B3434" s="30" t="inlineStr">
        <is>
          <t>Itaguai</t>
        </is>
      </c>
      <c r="C3434" s="30" t="n">
        <v>71390985</v>
      </c>
      <c r="D3434" s="30">
        <f>"53510097734"</f>
        <v/>
      </c>
      <c r="E3434" s="30" t="inlineStr">
        <is>
          <t>FERNANDO HISASHI WATANABE</t>
        </is>
      </c>
      <c r="F3434" s="30" t="inlineStr">
        <is>
          <t>2021</t>
        </is>
      </c>
      <c r="G3434" s="40" t="n">
        <v>0</v>
      </c>
    </row>
    <row r="3435" ht="12" customHeight="1">
      <c r="A3435" s="30" t="inlineStr">
        <is>
          <t>ITG</t>
        </is>
      </c>
      <c r="B3435" s="30" t="inlineStr">
        <is>
          <t>Itaguai</t>
        </is>
      </c>
      <c r="C3435" s="30" t="n">
        <v>71390985</v>
      </c>
      <c r="D3435" s="30">
        <f>"53510097734"</f>
        <v/>
      </c>
      <c r="E3435" s="30" t="inlineStr">
        <is>
          <t>FERNANDO HISASHI WATANABE</t>
        </is>
      </c>
      <c r="F3435" s="30" t="inlineStr">
        <is>
          <t>2022</t>
        </is>
      </c>
      <c r="G3435" s="40" t="n">
        <v>10</v>
      </c>
    </row>
    <row r="3436" ht="12" customHeight="1">
      <c r="A3436" s="30" t="inlineStr">
        <is>
          <t>ITG</t>
        </is>
      </c>
      <c r="B3436" s="30" t="inlineStr">
        <is>
          <t>Itaguai</t>
        </is>
      </c>
      <c r="C3436" s="30" t="n">
        <v>71390985</v>
      </c>
      <c r="D3436" s="30">
        <f>"53510097734"</f>
        <v/>
      </c>
      <c r="E3436" s="30" t="inlineStr">
        <is>
          <t>FERNANDO HISASHI WATANABE</t>
        </is>
      </c>
      <c r="F3436" s="30" t="inlineStr">
        <is>
          <t>2023</t>
        </is>
      </c>
      <c r="G3436" s="40" t="n">
        <v>0</v>
      </c>
    </row>
    <row r="3437" ht="12" customHeight="1">
      <c r="A3437" s="30" t="inlineStr">
        <is>
          <t>ITG</t>
        </is>
      </c>
      <c r="B3437" s="30" t="inlineStr">
        <is>
          <t>Itaguai</t>
        </is>
      </c>
      <c r="C3437" s="30" t="n">
        <v>71391132</v>
      </c>
      <c r="D3437" s="30">
        <f>"00004775660659"</f>
        <v/>
      </c>
      <c r="E3437" s="30" t="inlineStr">
        <is>
          <t>ALTAIR JOSE CERQUEIRA</t>
        </is>
      </c>
      <c r="F3437" s="30" t="inlineStr">
        <is>
          <t>2017</t>
        </is>
      </c>
      <c r="G3437" s="40" t="n">
        <v>0</v>
      </c>
    </row>
    <row r="3438" ht="12" customHeight="1">
      <c r="A3438" s="30" t="inlineStr">
        <is>
          <t>ITG</t>
        </is>
      </c>
      <c r="B3438" s="30" t="inlineStr">
        <is>
          <t>Itaguai</t>
        </is>
      </c>
      <c r="C3438" s="30" t="n">
        <v>71391132</v>
      </c>
      <c r="D3438" s="30">
        <f>"00004775660659"</f>
        <v/>
      </c>
      <c r="E3438" s="30" t="inlineStr">
        <is>
          <t>ALTAIR JOSE CERQUEIRA</t>
        </is>
      </c>
      <c r="F3438" s="30" t="inlineStr">
        <is>
          <t>2018</t>
        </is>
      </c>
      <c r="G3438" s="40" t="n">
        <v>0</v>
      </c>
    </row>
    <row r="3439" ht="12" customHeight="1">
      <c r="A3439" s="30" t="inlineStr">
        <is>
          <t>ITG</t>
        </is>
      </c>
      <c r="B3439" s="30" t="inlineStr">
        <is>
          <t>Itaguai</t>
        </is>
      </c>
      <c r="C3439" s="30" t="n">
        <v>71391132</v>
      </c>
      <c r="D3439" s="30">
        <f>"00004775660659"</f>
        <v/>
      </c>
      <c r="E3439" s="30" t="inlineStr">
        <is>
          <t>ALTAIR JOSE CERQUEIRA</t>
        </is>
      </c>
      <c r="F3439" s="30" t="inlineStr">
        <is>
          <t>2019</t>
        </is>
      </c>
      <c r="G3439" s="40" t="n">
        <v>0</v>
      </c>
    </row>
    <row r="3440" ht="12" customHeight="1">
      <c r="A3440" s="30" t="inlineStr">
        <is>
          <t>ITG</t>
        </is>
      </c>
      <c r="B3440" s="30" t="inlineStr">
        <is>
          <t>Itaguai</t>
        </is>
      </c>
      <c r="C3440" s="30" t="n">
        <v>71391132</v>
      </c>
      <c r="D3440" s="30">
        <f>"00004775660659"</f>
        <v/>
      </c>
      <c r="E3440" s="30" t="inlineStr">
        <is>
          <t>ALTAIR JOSE CERQUEIRA</t>
        </is>
      </c>
      <c r="F3440" s="30" t="inlineStr">
        <is>
          <t>2020</t>
        </is>
      </c>
      <c r="G3440" s="40" t="n">
        <v>0</v>
      </c>
    </row>
    <row r="3441" ht="12" customHeight="1">
      <c r="A3441" s="30" t="inlineStr">
        <is>
          <t>ITG</t>
        </is>
      </c>
      <c r="B3441" s="30" t="inlineStr">
        <is>
          <t>Itaguai</t>
        </is>
      </c>
      <c r="C3441" s="30" t="n">
        <v>71391361</v>
      </c>
      <c r="D3441" s="30">
        <f>"20434723720"</f>
        <v/>
      </c>
      <c r="E3441" s="30" t="inlineStr">
        <is>
          <t>JOSE CELSO DA COSTA</t>
        </is>
      </c>
      <c r="F3441" s="30" t="inlineStr">
        <is>
          <t>2017</t>
        </is>
      </c>
      <c r="G3441" s="40" t="n">
        <v>0</v>
      </c>
    </row>
    <row r="3442" ht="12" customHeight="1">
      <c r="A3442" s="30" t="inlineStr">
        <is>
          <t>ITG</t>
        </is>
      </c>
      <c r="B3442" s="30" t="inlineStr">
        <is>
          <t>Itaguai</t>
        </is>
      </c>
      <c r="C3442" s="30" t="n">
        <v>71391361</v>
      </c>
      <c r="D3442" s="30">
        <f>"20434723720"</f>
        <v/>
      </c>
      <c r="E3442" s="30" t="inlineStr">
        <is>
          <t>JOSE CELSO DA COSTA</t>
        </is>
      </c>
      <c r="F3442" s="30" t="inlineStr">
        <is>
          <t>2018</t>
        </is>
      </c>
      <c r="G3442" s="40" t="n">
        <v>8970</v>
      </c>
    </row>
    <row r="3443" ht="12" customHeight="1">
      <c r="A3443" s="30" t="inlineStr">
        <is>
          <t>ITG</t>
        </is>
      </c>
      <c r="B3443" s="30" t="inlineStr">
        <is>
          <t>Itaguai</t>
        </is>
      </c>
      <c r="C3443" s="30" t="n">
        <v>71391361</v>
      </c>
      <c r="D3443" s="30">
        <f>"20434723720"</f>
        <v/>
      </c>
      <c r="E3443" s="30" t="inlineStr">
        <is>
          <t>JOSE CELSO DA COSTA</t>
        </is>
      </c>
      <c r="F3443" s="30" t="inlineStr">
        <is>
          <t>2019</t>
        </is>
      </c>
      <c r="G3443" s="40" t="n">
        <v>10764</v>
      </c>
    </row>
    <row r="3444" ht="12" customHeight="1">
      <c r="A3444" s="30" t="inlineStr">
        <is>
          <t>ITG</t>
        </is>
      </c>
      <c r="B3444" s="30" t="inlineStr">
        <is>
          <t>Itaguai</t>
        </is>
      </c>
      <c r="C3444" s="30" t="n">
        <v>71391361</v>
      </c>
      <c r="D3444" s="30">
        <f>"20434723720"</f>
        <v/>
      </c>
      <c r="E3444" s="30" t="inlineStr">
        <is>
          <t>JOSE CELSO DA COSTA</t>
        </is>
      </c>
      <c r="F3444" s="30" t="inlineStr">
        <is>
          <t>2020</t>
        </is>
      </c>
      <c r="G3444" s="40" t="n">
        <v>10500</v>
      </c>
    </row>
    <row r="3445" ht="12" customHeight="1">
      <c r="A3445" s="30" t="inlineStr">
        <is>
          <t>ITG</t>
        </is>
      </c>
      <c r="B3445" s="30" t="inlineStr">
        <is>
          <t>Itaguai</t>
        </is>
      </c>
      <c r="C3445" s="30" t="n">
        <v>71391361</v>
      </c>
      <c r="D3445" s="30">
        <f>"20434723720"</f>
        <v/>
      </c>
      <c r="E3445" s="30" t="inlineStr">
        <is>
          <t>JOSE CELSO DA COSTA</t>
        </is>
      </c>
      <c r="F3445" s="30" t="inlineStr">
        <is>
          <t>2021</t>
        </is>
      </c>
      <c r="G3445" s="40" t="n">
        <v>15520</v>
      </c>
    </row>
    <row r="3446" ht="12" customHeight="1">
      <c r="A3446" s="30" t="inlineStr">
        <is>
          <t>ITG</t>
        </is>
      </c>
      <c r="B3446" s="30" t="inlineStr">
        <is>
          <t>Itaguai</t>
        </is>
      </c>
      <c r="C3446" s="30" t="n">
        <v>71391361</v>
      </c>
      <c r="D3446" s="30">
        <f>"20434723720"</f>
        <v/>
      </c>
      <c r="E3446" s="30" t="inlineStr">
        <is>
          <t>JOSE CELSO DA COSTA</t>
        </is>
      </c>
      <c r="F3446" s="30" t="inlineStr">
        <is>
          <t>2022</t>
        </is>
      </c>
      <c r="G3446" s="40" t="n">
        <v>17526</v>
      </c>
    </row>
    <row r="3447" ht="12" customHeight="1">
      <c r="A3447" s="30" t="inlineStr">
        <is>
          <t>ITG</t>
        </is>
      </c>
      <c r="B3447" s="30" t="inlineStr">
        <is>
          <t>Itaguai</t>
        </is>
      </c>
      <c r="C3447" s="30" t="n">
        <v>71391361</v>
      </c>
      <c r="D3447" s="30">
        <f>"20434723720"</f>
        <v/>
      </c>
      <c r="E3447" s="30" t="inlineStr">
        <is>
          <t>JOSE CELSO DA COSTA</t>
        </is>
      </c>
      <c r="F3447" s="30" t="inlineStr">
        <is>
          <t>2023</t>
        </is>
      </c>
      <c r="G3447" s="40" t="n">
        <v>18965</v>
      </c>
    </row>
    <row r="3448" ht="12" customHeight="1">
      <c r="A3448" s="30" t="inlineStr">
        <is>
          <t>ITG</t>
        </is>
      </c>
      <c r="B3448" s="30" t="inlineStr">
        <is>
          <t>Itaguai</t>
        </is>
      </c>
      <c r="C3448" s="30" t="n">
        <v>71391566</v>
      </c>
      <c r="D3448" s="30">
        <f>"11516445791"</f>
        <v/>
      </c>
      <c r="E3448" s="30" t="inlineStr">
        <is>
          <t>JOAO ALVES MATOSO</t>
        </is>
      </c>
      <c r="F3448" s="30" t="inlineStr">
        <is>
          <t>2017</t>
        </is>
      </c>
      <c r="G3448" s="40" t="n">
        <v>28630</v>
      </c>
    </row>
    <row r="3449" ht="12" customHeight="1">
      <c r="A3449" s="30" t="inlineStr">
        <is>
          <t>ITG</t>
        </is>
      </c>
      <c r="B3449" s="30" t="inlineStr">
        <is>
          <t>Itaguai</t>
        </is>
      </c>
      <c r="C3449" s="30" t="n">
        <v>71391566</v>
      </c>
      <c r="D3449" s="30">
        <f>"11516445791"</f>
        <v/>
      </c>
      <c r="E3449" s="30" t="inlineStr">
        <is>
          <t>JOAO ALVES MATOSO</t>
        </is>
      </c>
      <c r="F3449" s="30" t="inlineStr">
        <is>
          <t>2018</t>
        </is>
      </c>
      <c r="G3449" s="40" t="n">
        <v>28630</v>
      </c>
    </row>
    <row r="3450" ht="12" customHeight="1">
      <c r="A3450" s="30" t="inlineStr">
        <is>
          <t>ITG</t>
        </is>
      </c>
      <c r="B3450" s="30" t="inlineStr">
        <is>
          <t>Itaguai</t>
        </is>
      </c>
      <c r="C3450" s="30" t="n">
        <v>71391566</v>
      </c>
      <c r="D3450" s="30">
        <f>"11516445791"</f>
        <v/>
      </c>
      <c r="E3450" s="30" t="inlineStr">
        <is>
          <t>JOAO ALVES MATOSO</t>
        </is>
      </c>
      <c r="F3450" s="30" t="inlineStr">
        <is>
          <t>2019</t>
        </is>
      </c>
      <c r="G3450" s="40" t="n">
        <v>0</v>
      </c>
    </row>
    <row r="3451" ht="12" customHeight="1">
      <c r="A3451" s="30" t="inlineStr">
        <is>
          <t>ITG</t>
        </is>
      </c>
      <c r="B3451" s="30" t="inlineStr">
        <is>
          <t>Itaguai</t>
        </is>
      </c>
      <c r="C3451" s="30" t="n">
        <v>71391566</v>
      </c>
      <c r="D3451" s="30">
        <f>"11516445791"</f>
        <v/>
      </c>
      <c r="E3451" s="30" t="inlineStr">
        <is>
          <t>JOAO ALVES MATOSO</t>
        </is>
      </c>
      <c r="F3451" s="30" t="inlineStr">
        <is>
          <t>2020</t>
        </is>
      </c>
      <c r="G3451" s="40" t="n">
        <v>28320</v>
      </c>
    </row>
    <row r="3452" ht="12" customHeight="1">
      <c r="A3452" s="30" t="inlineStr">
        <is>
          <t>ITG</t>
        </is>
      </c>
      <c r="B3452" s="30" t="inlineStr">
        <is>
          <t>Itaguai</t>
        </is>
      </c>
      <c r="C3452" s="30" t="n">
        <v>71391566</v>
      </c>
      <c r="D3452" s="30">
        <f>"11516445791"</f>
        <v/>
      </c>
      <c r="E3452" s="30" t="inlineStr">
        <is>
          <t>JOAO ALVES MATOSO</t>
        </is>
      </c>
      <c r="F3452" s="30" t="inlineStr">
        <is>
          <t>2021</t>
        </is>
      </c>
      <c r="G3452" s="40" t="n">
        <v>0</v>
      </c>
    </row>
    <row r="3453" ht="12" customHeight="1">
      <c r="A3453" s="30" t="inlineStr">
        <is>
          <t>ITG</t>
        </is>
      </c>
      <c r="B3453" s="30" t="inlineStr">
        <is>
          <t>Itaguai</t>
        </is>
      </c>
      <c r="C3453" s="30" t="n">
        <v>71391566</v>
      </c>
      <c r="D3453" s="30">
        <f>"11516445791"</f>
        <v/>
      </c>
      <c r="E3453" s="30" t="inlineStr">
        <is>
          <t>JOAO ALVES MATOSO</t>
        </is>
      </c>
      <c r="F3453" s="30" t="inlineStr">
        <is>
          <t>2022</t>
        </is>
      </c>
      <c r="G3453" s="40" t="n">
        <v>0</v>
      </c>
    </row>
    <row r="3454" ht="12" customHeight="1">
      <c r="A3454" s="30" t="inlineStr">
        <is>
          <t>ITG</t>
        </is>
      </c>
      <c r="B3454" s="30" t="inlineStr">
        <is>
          <t>Itaguai</t>
        </is>
      </c>
      <c r="C3454" s="30" t="n">
        <v>71391566</v>
      </c>
      <c r="D3454" s="30">
        <f>"11516445791"</f>
        <v/>
      </c>
      <c r="E3454" s="30" t="inlineStr">
        <is>
          <t>JOAO ALVES MATOSO</t>
        </is>
      </c>
      <c r="F3454" s="30" t="inlineStr">
        <is>
          <t>2023</t>
        </is>
      </c>
      <c r="G3454" s="40" t="n">
        <v>0</v>
      </c>
    </row>
    <row r="3455" ht="12" customHeight="1">
      <c r="A3455" s="30" t="inlineStr">
        <is>
          <t>ITG</t>
        </is>
      </c>
      <c r="B3455" s="30" t="inlineStr">
        <is>
          <t>Itaguai</t>
        </is>
      </c>
      <c r="C3455" s="30" t="n">
        <v>71392007</v>
      </c>
      <c r="D3455" s="30">
        <f>"41790316715"</f>
        <v/>
      </c>
      <c r="E3455" s="30" t="inlineStr">
        <is>
          <t>ALTAMIRO GOMES DA SILVA</t>
        </is>
      </c>
      <c r="F3455" s="30" t="inlineStr">
        <is>
          <t>2017</t>
        </is>
      </c>
      <c r="G3455" s="40" t="n">
        <v>0</v>
      </c>
    </row>
    <row r="3456" ht="12" customHeight="1">
      <c r="A3456" s="30" t="inlineStr">
        <is>
          <t>ITG</t>
        </is>
      </c>
      <c r="B3456" s="30" t="inlineStr">
        <is>
          <t>Itaguai</t>
        </is>
      </c>
      <c r="C3456" s="30" t="n">
        <v>71392007</v>
      </c>
      <c r="D3456" s="30">
        <f>"41790316715"</f>
        <v/>
      </c>
      <c r="E3456" s="30" t="inlineStr">
        <is>
          <t>ALTAMIRO GOMES DA SILVA</t>
        </is>
      </c>
      <c r="F3456" s="30" t="inlineStr">
        <is>
          <t>2018</t>
        </is>
      </c>
      <c r="G3456" s="40" t="n">
        <v>0</v>
      </c>
    </row>
    <row r="3457" ht="12" customHeight="1">
      <c r="A3457" s="30" t="inlineStr">
        <is>
          <t>ITG</t>
        </is>
      </c>
      <c r="B3457" s="30" t="inlineStr">
        <is>
          <t>Itaguai</t>
        </is>
      </c>
      <c r="C3457" s="30" t="n">
        <v>71392007</v>
      </c>
      <c r="D3457" s="30">
        <f>"41790316715"</f>
        <v/>
      </c>
      <c r="E3457" s="30" t="inlineStr">
        <is>
          <t>ALTAMIRO GOMES DA SILVA</t>
        </is>
      </c>
      <c r="F3457" s="30" t="inlineStr">
        <is>
          <t>2019</t>
        </is>
      </c>
      <c r="G3457" s="40" t="n">
        <v>0</v>
      </c>
    </row>
    <row r="3458" ht="12" customHeight="1">
      <c r="A3458" s="30" t="inlineStr">
        <is>
          <t>ITG</t>
        </is>
      </c>
      <c r="B3458" s="30" t="inlineStr">
        <is>
          <t>Itaguai</t>
        </is>
      </c>
      <c r="C3458" s="30" t="n">
        <v>71392104</v>
      </c>
      <c r="D3458" s="30">
        <f>"43401244787"</f>
        <v/>
      </c>
      <c r="E3458" s="30" t="inlineStr">
        <is>
          <t>LHOSO WATANABE</t>
        </is>
      </c>
      <c r="F3458" s="30" t="inlineStr">
        <is>
          <t>2017</t>
        </is>
      </c>
      <c r="G3458" s="40" t="n">
        <v>0</v>
      </c>
    </row>
    <row r="3459" ht="12" customHeight="1">
      <c r="A3459" s="30" t="inlineStr">
        <is>
          <t>ITG</t>
        </is>
      </c>
      <c r="B3459" s="30" t="inlineStr">
        <is>
          <t>Itaguai</t>
        </is>
      </c>
      <c r="C3459" s="30" t="n">
        <v>71392104</v>
      </c>
      <c r="D3459" s="30">
        <f>"43401244787"</f>
        <v/>
      </c>
      <c r="E3459" s="30" t="inlineStr">
        <is>
          <t>LHOSO WATANABE</t>
        </is>
      </c>
      <c r="F3459" s="30" t="inlineStr">
        <is>
          <t>2018</t>
        </is>
      </c>
      <c r="G3459" s="40" t="n">
        <v>0</v>
      </c>
    </row>
    <row r="3460" ht="12" customHeight="1">
      <c r="A3460" s="30" t="inlineStr">
        <is>
          <t>ITG</t>
        </is>
      </c>
      <c r="B3460" s="30" t="inlineStr">
        <is>
          <t>Itaguai</t>
        </is>
      </c>
      <c r="C3460" s="30" t="n">
        <v>71392104</v>
      </c>
      <c r="D3460" s="30">
        <f>"43401244787"</f>
        <v/>
      </c>
      <c r="E3460" s="30" t="inlineStr">
        <is>
          <t>LHOSO WATANABE</t>
        </is>
      </c>
      <c r="F3460" s="30" t="inlineStr">
        <is>
          <t>2019</t>
        </is>
      </c>
      <c r="G3460" s="40" t="n">
        <v>0</v>
      </c>
    </row>
    <row r="3461" ht="12" customHeight="1">
      <c r="A3461" s="30" t="inlineStr">
        <is>
          <t>ITG</t>
        </is>
      </c>
      <c r="B3461" s="30" t="inlineStr">
        <is>
          <t>Itaguai</t>
        </is>
      </c>
      <c r="C3461" s="30" t="n">
        <v>71392104</v>
      </c>
      <c r="D3461" s="30">
        <f>"43401244787"</f>
        <v/>
      </c>
      <c r="E3461" s="30" t="inlineStr">
        <is>
          <t>LHOSO WATANABE</t>
        </is>
      </c>
      <c r="F3461" s="30" t="inlineStr">
        <is>
          <t>2020</t>
        </is>
      </c>
      <c r="G3461" s="40" t="n">
        <v>108453</v>
      </c>
    </row>
    <row r="3462" ht="12" customHeight="1">
      <c r="A3462" s="30" t="inlineStr">
        <is>
          <t>ITG</t>
        </is>
      </c>
      <c r="B3462" s="30" t="inlineStr">
        <is>
          <t>Itaguai</t>
        </is>
      </c>
      <c r="C3462" s="30" t="n">
        <v>71392104</v>
      </c>
      <c r="D3462" s="30">
        <f>"43401244787"</f>
        <v/>
      </c>
      <c r="E3462" s="30" t="inlineStr">
        <is>
          <t>LHOSO WATANABE</t>
        </is>
      </c>
      <c r="F3462" s="30" t="inlineStr">
        <is>
          <t>2021</t>
        </is>
      </c>
      <c r="G3462" s="40" t="n">
        <v>2445</v>
      </c>
    </row>
    <row r="3463" ht="12" customHeight="1">
      <c r="A3463" s="30" t="inlineStr">
        <is>
          <t>ITG</t>
        </is>
      </c>
      <c r="B3463" s="30" t="inlineStr">
        <is>
          <t>Itaguai</t>
        </is>
      </c>
      <c r="C3463" s="30" t="n">
        <v>71392104</v>
      </c>
      <c r="D3463" s="30">
        <f>"43401244787"</f>
        <v/>
      </c>
      <c r="E3463" s="30" t="inlineStr">
        <is>
          <t>LHOSO WATANABE</t>
        </is>
      </c>
      <c r="F3463" s="30" t="inlineStr">
        <is>
          <t>2022</t>
        </is>
      </c>
      <c r="G3463" s="40" t="n">
        <v>0</v>
      </c>
    </row>
    <row r="3464" ht="12" customHeight="1">
      <c r="A3464" s="30" t="inlineStr">
        <is>
          <t>ITG</t>
        </is>
      </c>
      <c r="B3464" s="30" t="inlineStr">
        <is>
          <t>Itaguai</t>
        </is>
      </c>
      <c r="C3464" s="30" t="n">
        <v>71392104</v>
      </c>
      <c r="D3464" s="30">
        <f>"43401244787"</f>
        <v/>
      </c>
      <c r="E3464" s="30" t="inlineStr">
        <is>
          <t>LHOSO WATANABE</t>
        </is>
      </c>
      <c r="F3464" s="30" t="inlineStr">
        <is>
          <t>2023</t>
        </is>
      </c>
      <c r="G3464" s="40" t="n">
        <v>7900</v>
      </c>
    </row>
    <row r="3465" ht="12" customHeight="1">
      <c r="A3465" s="30" t="inlineStr">
        <is>
          <t>ITG</t>
        </is>
      </c>
      <c r="B3465" s="30" t="inlineStr">
        <is>
          <t>Itaguai</t>
        </is>
      </c>
      <c r="C3465" s="30" t="n">
        <v>71392155</v>
      </c>
      <c r="D3465" s="30">
        <f>"54341809768"</f>
        <v/>
      </c>
      <c r="E3465" s="30" t="inlineStr">
        <is>
          <t>MARIA IVONETE DA SILVA</t>
        </is>
      </c>
      <c r="F3465" s="30" t="inlineStr">
        <is>
          <t>2017</t>
        </is>
      </c>
      <c r="G3465" s="40" t="n">
        <v>0</v>
      </c>
    </row>
    <row r="3466" ht="12" customHeight="1">
      <c r="A3466" s="30" t="inlineStr">
        <is>
          <t>ITG</t>
        </is>
      </c>
      <c r="B3466" s="30" t="inlineStr">
        <is>
          <t>Itaguai</t>
        </is>
      </c>
      <c r="C3466" s="30" t="n">
        <v>71392155</v>
      </c>
      <c r="D3466" s="30">
        <f>"54341809768"</f>
        <v/>
      </c>
      <c r="E3466" s="30" t="inlineStr">
        <is>
          <t>MARIA IVONETE DA SILVA</t>
        </is>
      </c>
      <c r="F3466" s="30" t="inlineStr">
        <is>
          <t>2018</t>
        </is>
      </c>
      <c r="G3466" s="40" t="n">
        <v>0</v>
      </c>
    </row>
    <row r="3467" ht="12" customHeight="1">
      <c r="A3467" s="30" t="inlineStr">
        <is>
          <t>ITG</t>
        </is>
      </c>
      <c r="B3467" s="30" t="inlineStr">
        <is>
          <t>Itaguai</t>
        </is>
      </c>
      <c r="C3467" s="30" t="n">
        <v>71392155</v>
      </c>
      <c r="D3467" s="30">
        <f>"54341809768"</f>
        <v/>
      </c>
      <c r="E3467" s="30" t="inlineStr">
        <is>
          <t>MARIA IVONETE DA SILVA</t>
        </is>
      </c>
      <c r="F3467" s="30" t="inlineStr">
        <is>
          <t>2019</t>
        </is>
      </c>
      <c r="G3467" s="40" t="n">
        <v>0</v>
      </c>
    </row>
    <row r="3468" ht="12" customHeight="1">
      <c r="A3468" s="30" t="inlineStr">
        <is>
          <t>ITG</t>
        </is>
      </c>
      <c r="B3468" s="30" t="inlineStr">
        <is>
          <t>Itaguai</t>
        </is>
      </c>
      <c r="C3468" s="30" t="n">
        <v>71392155</v>
      </c>
      <c r="D3468" s="30">
        <f>"54341809768"</f>
        <v/>
      </c>
      <c r="E3468" s="30" t="inlineStr">
        <is>
          <t>MARIA IVONETE DA SILVA</t>
        </is>
      </c>
      <c r="F3468" s="30" t="inlineStr">
        <is>
          <t>2020</t>
        </is>
      </c>
      <c r="G3468" s="40" t="n">
        <v>2700</v>
      </c>
    </row>
    <row r="3469" ht="12" customHeight="1">
      <c r="A3469" s="30" t="inlineStr">
        <is>
          <t>ITG</t>
        </is>
      </c>
      <c r="B3469" s="30" t="inlineStr">
        <is>
          <t>Itaguai</t>
        </is>
      </c>
      <c r="C3469" s="30" t="n">
        <v>71392155</v>
      </c>
      <c r="D3469" s="30">
        <f>"54341809768"</f>
        <v/>
      </c>
      <c r="E3469" s="30" t="inlineStr">
        <is>
          <t>MARIA IVONETE DA SILVA</t>
        </is>
      </c>
      <c r="F3469" s="30" t="inlineStr">
        <is>
          <t>2021</t>
        </is>
      </c>
      <c r="G3469" s="40" t="n">
        <v>1350</v>
      </c>
    </row>
    <row r="3470" ht="12" customHeight="1">
      <c r="A3470" s="30" t="inlineStr">
        <is>
          <t>ITG</t>
        </is>
      </c>
      <c r="B3470" s="30" t="inlineStr">
        <is>
          <t>Itaguai</t>
        </is>
      </c>
      <c r="C3470" s="30" t="n">
        <v>71392155</v>
      </c>
      <c r="D3470" s="30">
        <f>"54341809768"</f>
        <v/>
      </c>
      <c r="E3470" s="30" t="inlineStr">
        <is>
          <t>MARIA IVONETE DA SILVA</t>
        </is>
      </c>
      <c r="F3470" s="30" t="inlineStr">
        <is>
          <t>2022</t>
        </is>
      </c>
      <c r="G3470" s="40" t="n">
        <v>0</v>
      </c>
    </row>
    <row r="3471" ht="12" customHeight="1">
      <c r="A3471" s="30" t="inlineStr">
        <is>
          <t>ITG</t>
        </is>
      </c>
      <c r="B3471" s="30" t="inlineStr">
        <is>
          <t>Itaguai</t>
        </is>
      </c>
      <c r="C3471" s="30" t="n">
        <v>71392155</v>
      </c>
      <c r="D3471" s="30">
        <f>"54341809768"</f>
        <v/>
      </c>
      <c r="E3471" s="30" t="inlineStr">
        <is>
          <t>MARIA IVONETE DA SILVA</t>
        </is>
      </c>
      <c r="F3471" s="30" t="inlineStr">
        <is>
          <t>2023</t>
        </is>
      </c>
      <c r="G3471" s="40" t="n">
        <v>0</v>
      </c>
    </row>
    <row r="3472" ht="12" customHeight="1">
      <c r="A3472" s="30" t="inlineStr">
        <is>
          <t>ITG</t>
        </is>
      </c>
      <c r="B3472" s="30" t="inlineStr">
        <is>
          <t>Itaguai</t>
        </is>
      </c>
      <c r="C3472" s="30" t="n">
        <v>71392210</v>
      </c>
      <c r="D3472" s="30">
        <f>"52358950700"</f>
        <v/>
      </c>
      <c r="E3472" s="30" t="inlineStr">
        <is>
          <t>CHARLES ROSA AFFONSO</t>
        </is>
      </c>
      <c r="F3472" s="30" t="inlineStr">
        <is>
          <t>2017</t>
        </is>
      </c>
      <c r="G3472" s="40" t="n">
        <v>0</v>
      </c>
    </row>
    <row r="3473" ht="12" customHeight="1">
      <c r="A3473" s="30" t="inlineStr">
        <is>
          <t>ITG</t>
        </is>
      </c>
      <c r="B3473" s="30" t="inlineStr">
        <is>
          <t>Itaguai</t>
        </is>
      </c>
      <c r="C3473" s="30" t="n">
        <v>71392210</v>
      </c>
      <c r="D3473" s="30">
        <f>"52358950700"</f>
        <v/>
      </c>
      <c r="E3473" s="30" t="inlineStr">
        <is>
          <t>CHARLES ROSA AFFONSO</t>
        </is>
      </c>
      <c r="F3473" s="30" t="inlineStr">
        <is>
          <t>2018</t>
        </is>
      </c>
      <c r="G3473" s="40" t="n">
        <v>0</v>
      </c>
    </row>
    <row r="3474" ht="12" customHeight="1">
      <c r="A3474" s="30" t="inlineStr">
        <is>
          <t>ITG</t>
        </is>
      </c>
      <c r="B3474" s="30" t="inlineStr">
        <is>
          <t>Itaguai</t>
        </is>
      </c>
      <c r="C3474" s="30" t="n">
        <v>71392210</v>
      </c>
      <c r="D3474" s="30">
        <f>"52358950700"</f>
        <v/>
      </c>
      <c r="E3474" s="30" t="inlineStr">
        <is>
          <t>CHARLES ROSA AFFONSO</t>
        </is>
      </c>
      <c r="F3474" s="30" t="inlineStr">
        <is>
          <t>2019</t>
        </is>
      </c>
      <c r="G3474" s="40" t="n">
        <v>0</v>
      </c>
    </row>
    <row r="3475" ht="12" customHeight="1">
      <c r="A3475" s="30" t="inlineStr">
        <is>
          <t>ITG</t>
        </is>
      </c>
      <c r="B3475" s="30" t="inlineStr">
        <is>
          <t>Itaguai</t>
        </is>
      </c>
      <c r="C3475" s="30" t="n">
        <v>71392350</v>
      </c>
      <c r="D3475" s="30">
        <f>"10817212787"</f>
        <v/>
      </c>
      <c r="E3475" s="30" t="inlineStr">
        <is>
          <t>WANTOYR DE AZEVEDO FRANCO</t>
        </is>
      </c>
      <c r="F3475" s="30" t="inlineStr">
        <is>
          <t>2017</t>
        </is>
      </c>
      <c r="G3475" s="40" t="n">
        <v>0</v>
      </c>
    </row>
    <row r="3476" ht="12" customHeight="1">
      <c r="A3476" s="30" t="inlineStr">
        <is>
          <t>ITG</t>
        </is>
      </c>
      <c r="B3476" s="30" t="inlineStr">
        <is>
          <t>Itaguai</t>
        </is>
      </c>
      <c r="C3476" s="30" t="n">
        <v>71392350</v>
      </c>
      <c r="D3476" s="30">
        <f>"10817212787"</f>
        <v/>
      </c>
      <c r="E3476" s="30" t="inlineStr">
        <is>
          <t>WANTOYR DE AZEVEDO FRANCO</t>
        </is>
      </c>
      <c r="F3476" s="30" t="inlineStr">
        <is>
          <t>2018</t>
        </is>
      </c>
      <c r="G3476" s="40" t="n">
        <v>0</v>
      </c>
    </row>
    <row r="3477" ht="12" customHeight="1">
      <c r="A3477" s="30" t="inlineStr">
        <is>
          <t>ITG</t>
        </is>
      </c>
      <c r="B3477" s="30" t="inlineStr">
        <is>
          <t>Itaguai</t>
        </is>
      </c>
      <c r="C3477" s="30" t="n">
        <v>71392350</v>
      </c>
      <c r="D3477" s="30">
        <f>"10817212787"</f>
        <v/>
      </c>
      <c r="E3477" s="30" t="inlineStr">
        <is>
          <t>WANTOYR DE AZEVEDO FRANCO</t>
        </is>
      </c>
      <c r="F3477" s="30" t="inlineStr">
        <is>
          <t>2019</t>
        </is>
      </c>
      <c r="G3477" s="40" t="n">
        <v>0</v>
      </c>
    </row>
    <row r="3478" ht="12" customHeight="1">
      <c r="A3478" s="30" t="inlineStr">
        <is>
          <t>ITG</t>
        </is>
      </c>
      <c r="B3478" s="30" t="inlineStr">
        <is>
          <t>Itaguai</t>
        </is>
      </c>
      <c r="C3478" s="30" t="n">
        <v>71392716</v>
      </c>
      <c r="D3478" s="30">
        <f>"47752890715"</f>
        <v/>
      </c>
      <c r="E3478" s="30" t="inlineStr">
        <is>
          <t>CARLOS NAHOYUKI MAEDA</t>
        </is>
      </c>
      <c r="F3478" s="30" t="inlineStr">
        <is>
          <t>2017</t>
        </is>
      </c>
      <c r="G3478" s="40" t="n">
        <v>0</v>
      </c>
    </row>
    <row r="3479" ht="12" customHeight="1">
      <c r="A3479" s="30" t="inlineStr">
        <is>
          <t>ITG</t>
        </is>
      </c>
      <c r="B3479" s="30" t="inlineStr">
        <is>
          <t>Itaguai</t>
        </is>
      </c>
      <c r="C3479" s="30" t="n">
        <v>71392716</v>
      </c>
      <c r="D3479" s="30">
        <f>"47752890715"</f>
        <v/>
      </c>
      <c r="E3479" s="30" t="inlineStr">
        <is>
          <t>CARLOS NAHOYUKI MAEDA</t>
        </is>
      </c>
      <c r="F3479" s="30" t="inlineStr">
        <is>
          <t>2018</t>
        </is>
      </c>
      <c r="G3479" s="40" t="n">
        <v>0</v>
      </c>
    </row>
    <row r="3480" ht="12" customHeight="1">
      <c r="A3480" s="30" t="inlineStr">
        <is>
          <t>ITG</t>
        </is>
      </c>
      <c r="B3480" s="30" t="inlineStr">
        <is>
          <t>Itaguai</t>
        </is>
      </c>
      <c r="C3480" s="30" t="n">
        <v>71392716</v>
      </c>
      <c r="D3480" s="30">
        <f>"47752890715"</f>
        <v/>
      </c>
      <c r="E3480" s="30" t="inlineStr">
        <is>
          <t>CARLOS NAHOYUKI MAEDA</t>
        </is>
      </c>
      <c r="F3480" s="30" t="inlineStr">
        <is>
          <t>2019</t>
        </is>
      </c>
      <c r="G3480" s="40" t="n">
        <v>0</v>
      </c>
    </row>
    <row r="3481" ht="12" customHeight="1">
      <c r="A3481" s="30" t="inlineStr">
        <is>
          <t>ITG</t>
        </is>
      </c>
      <c r="B3481" s="30" t="inlineStr">
        <is>
          <t>Itaguai</t>
        </is>
      </c>
      <c r="C3481" s="30" t="n">
        <v>71392716</v>
      </c>
      <c r="D3481" s="30">
        <f>"47752890715"</f>
        <v/>
      </c>
      <c r="E3481" s="30" t="inlineStr">
        <is>
          <t>CARLOS NAHOYUKI MAEDA</t>
        </is>
      </c>
      <c r="F3481" s="30" t="inlineStr">
        <is>
          <t>2020</t>
        </is>
      </c>
      <c r="G3481" s="40" t="n">
        <v>29460</v>
      </c>
    </row>
    <row r="3482" ht="12" customHeight="1">
      <c r="A3482" s="30" t="inlineStr">
        <is>
          <t>ITG</t>
        </is>
      </c>
      <c r="B3482" s="30" t="inlineStr">
        <is>
          <t>Itaguai</t>
        </is>
      </c>
      <c r="C3482" s="30" t="n">
        <v>71392716</v>
      </c>
      <c r="D3482" s="30">
        <f>"47752890715"</f>
        <v/>
      </c>
      <c r="E3482" s="30" t="inlineStr">
        <is>
          <t>CARLOS NAHOYUKI MAEDA</t>
        </is>
      </c>
      <c r="F3482" s="30" t="inlineStr">
        <is>
          <t>2021</t>
        </is>
      </c>
      <c r="G3482" s="40" t="n">
        <v>1205</v>
      </c>
    </row>
    <row r="3483" ht="12" customHeight="1">
      <c r="A3483" s="30" t="inlineStr">
        <is>
          <t>ITG</t>
        </is>
      </c>
      <c r="B3483" s="30" t="inlineStr">
        <is>
          <t>Itaguai</t>
        </is>
      </c>
      <c r="C3483" s="30" t="n">
        <v>71392716</v>
      </c>
      <c r="D3483" s="30">
        <f>"47752890715"</f>
        <v/>
      </c>
      <c r="E3483" s="30" t="inlineStr">
        <is>
          <t>CARLOS NAHOYUKI MAEDA</t>
        </is>
      </c>
      <c r="F3483" s="30" t="inlineStr">
        <is>
          <t>2022</t>
        </is>
      </c>
      <c r="G3483" s="40" t="n">
        <v>42740</v>
      </c>
    </row>
    <row r="3484" ht="12" customHeight="1">
      <c r="A3484" s="30" t="inlineStr">
        <is>
          <t>ITG</t>
        </is>
      </c>
      <c r="B3484" s="30" t="inlineStr">
        <is>
          <t>Itaguai</t>
        </is>
      </c>
      <c r="C3484" s="30" t="n">
        <v>71392716</v>
      </c>
      <c r="D3484" s="30">
        <f>"47752890715"</f>
        <v/>
      </c>
      <c r="E3484" s="30" t="inlineStr">
        <is>
          <t>CARLOS NAHOYUKI MAEDA</t>
        </is>
      </c>
      <c r="F3484" s="30" t="inlineStr">
        <is>
          <t>2023</t>
        </is>
      </c>
      <c r="G3484" s="40" t="n">
        <v>0</v>
      </c>
    </row>
    <row r="3485" ht="12" customHeight="1">
      <c r="A3485" s="30" t="inlineStr">
        <is>
          <t>ITG</t>
        </is>
      </c>
      <c r="B3485" s="30" t="inlineStr">
        <is>
          <t>Itaguai</t>
        </is>
      </c>
      <c r="C3485" s="30" t="n">
        <v>71392856</v>
      </c>
      <c r="D3485" s="30">
        <f>"02160170844"</f>
        <v/>
      </c>
      <c r="E3485" s="30" t="inlineStr">
        <is>
          <t>HITACI ONUKI</t>
        </is>
      </c>
      <c r="F3485" s="30" t="inlineStr">
        <is>
          <t>2017</t>
        </is>
      </c>
      <c r="G3485" s="40" t="n">
        <v>0</v>
      </c>
    </row>
    <row r="3486" ht="12" customHeight="1">
      <c r="A3486" s="30" t="inlineStr">
        <is>
          <t>ITG</t>
        </is>
      </c>
      <c r="B3486" s="30" t="inlineStr">
        <is>
          <t>Itaguai</t>
        </is>
      </c>
      <c r="C3486" s="30" t="n">
        <v>71392856</v>
      </c>
      <c r="D3486" s="30">
        <f>"02160170844"</f>
        <v/>
      </c>
      <c r="E3486" s="30" t="inlineStr">
        <is>
          <t>HITACI ONUKI</t>
        </is>
      </c>
      <c r="F3486" s="30" t="inlineStr">
        <is>
          <t>2018</t>
        </is>
      </c>
      <c r="G3486" s="40" t="n">
        <v>1</v>
      </c>
    </row>
    <row r="3487" ht="12" customHeight="1">
      <c r="A3487" s="30" t="inlineStr">
        <is>
          <t>ITG</t>
        </is>
      </c>
      <c r="B3487" s="30" t="inlineStr">
        <is>
          <t>Itaguai</t>
        </is>
      </c>
      <c r="C3487" s="30" t="n">
        <v>71392856</v>
      </c>
      <c r="D3487" s="30">
        <f>"02160170844"</f>
        <v/>
      </c>
      <c r="E3487" s="30" t="inlineStr">
        <is>
          <t>HITACI ONUKI</t>
        </is>
      </c>
      <c r="F3487" s="30" t="inlineStr">
        <is>
          <t>2019</t>
        </is>
      </c>
      <c r="G3487" s="40" t="n">
        <v>0</v>
      </c>
    </row>
    <row r="3488" ht="12" customHeight="1">
      <c r="A3488" s="30" t="inlineStr">
        <is>
          <t>ITG</t>
        </is>
      </c>
      <c r="B3488" s="30" t="inlineStr">
        <is>
          <t>Itaguai</t>
        </is>
      </c>
      <c r="C3488" s="30" t="n">
        <v>71392856</v>
      </c>
      <c r="D3488" s="30">
        <f>"02160170844"</f>
        <v/>
      </c>
      <c r="E3488" s="30" t="inlineStr">
        <is>
          <t>HITACI ONUKI</t>
        </is>
      </c>
      <c r="F3488" s="30" t="inlineStr">
        <is>
          <t>2020</t>
        </is>
      </c>
      <c r="G3488" s="40" t="n">
        <v>1</v>
      </c>
    </row>
    <row r="3489" ht="12" customHeight="1">
      <c r="A3489" s="30" t="inlineStr">
        <is>
          <t>ITG</t>
        </is>
      </c>
      <c r="B3489" s="30" t="inlineStr">
        <is>
          <t>Itaguai</t>
        </is>
      </c>
      <c r="C3489" s="30" t="n">
        <v>71392856</v>
      </c>
      <c r="D3489" s="30">
        <f>"02160170844"</f>
        <v/>
      </c>
      <c r="E3489" s="30" t="inlineStr">
        <is>
          <t>HITACI ONUKI</t>
        </is>
      </c>
      <c r="F3489" s="30" t="inlineStr">
        <is>
          <t>2021</t>
        </is>
      </c>
      <c r="G3489" s="40" t="n">
        <v>1</v>
      </c>
    </row>
    <row r="3490" ht="12" customHeight="1">
      <c r="A3490" s="30" t="inlineStr">
        <is>
          <t>ITG</t>
        </is>
      </c>
      <c r="B3490" s="30" t="inlineStr">
        <is>
          <t>Itaguai</t>
        </is>
      </c>
      <c r="C3490" s="30" t="n">
        <v>71392856</v>
      </c>
      <c r="D3490" s="30">
        <f>"02160170844"</f>
        <v/>
      </c>
      <c r="E3490" s="30" t="inlineStr">
        <is>
          <t>HITACI ONUKI</t>
        </is>
      </c>
      <c r="F3490" s="30" t="inlineStr">
        <is>
          <t>2022</t>
        </is>
      </c>
      <c r="G3490" s="40" t="n">
        <v>0.01</v>
      </c>
    </row>
    <row r="3491" ht="12" customHeight="1">
      <c r="A3491" s="30" t="inlineStr">
        <is>
          <t>ITG</t>
        </is>
      </c>
      <c r="B3491" s="30" t="inlineStr">
        <is>
          <t>Itaguai</t>
        </is>
      </c>
      <c r="C3491" s="30" t="n">
        <v>71392856</v>
      </c>
      <c r="D3491" s="30">
        <f>"02160170844"</f>
        <v/>
      </c>
      <c r="E3491" s="30" t="inlineStr">
        <is>
          <t>HITACI ONUKI</t>
        </is>
      </c>
      <c r="F3491" s="30" t="inlineStr">
        <is>
          <t>2023</t>
        </is>
      </c>
      <c r="G3491" s="40" t="n">
        <v>0.1</v>
      </c>
    </row>
    <row r="3492" ht="12" customHeight="1">
      <c r="A3492" s="30" t="inlineStr">
        <is>
          <t>ITG</t>
        </is>
      </c>
      <c r="B3492" s="30" t="inlineStr">
        <is>
          <t>Itaguai</t>
        </is>
      </c>
      <c r="C3492" s="30" t="n">
        <v>71652556</v>
      </c>
      <c r="D3492" s="30">
        <f>"30480159734"</f>
        <v/>
      </c>
      <c r="E3492" s="30" t="inlineStr">
        <is>
          <t>MANOEL ARRUDA</t>
        </is>
      </c>
      <c r="F3492" s="30" t="inlineStr">
        <is>
          <t>2017</t>
        </is>
      </c>
      <c r="G3492" s="40" t="n">
        <v>0</v>
      </c>
    </row>
    <row r="3493" ht="12" customHeight="1">
      <c r="A3493" s="30" t="inlineStr">
        <is>
          <t>ITG</t>
        </is>
      </c>
      <c r="B3493" s="30" t="inlineStr">
        <is>
          <t>Itaguai</t>
        </is>
      </c>
      <c r="C3493" s="30" t="n">
        <v>71652556</v>
      </c>
      <c r="D3493" s="30">
        <f>"30480159734"</f>
        <v/>
      </c>
      <c r="E3493" s="30" t="inlineStr">
        <is>
          <t>MANOEL ARRUDA</t>
        </is>
      </c>
      <c r="F3493" s="30" t="inlineStr">
        <is>
          <t>2018</t>
        </is>
      </c>
      <c r="G3493" s="40" t="n">
        <v>120</v>
      </c>
    </row>
    <row r="3494" ht="12" customHeight="1">
      <c r="A3494" s="30" t="inlineStr">
        <is>
          <t>ITG</t>
        </is>
      </c>
      <c r="B3494" s="30" t="inlineStr">
        <is>
          <t>Itaguai</t>
        </is>
      </c>
      <c r="C3494" s="30" t="n">
        <v>71652556</v>
      </c>
      <c r="D3494" s="30">
        <f>"30480159734"</f>
        <v/>
      </c>
      <c r="E3494" s="30" t="inlineStr">
        <is>
          <t>MANOEL ARRUDA</t>
        </is>
      </c>
      <c r="F3494" s="30" t="inlineStr">
        <is>
          <t>2019</t>
        </is>
      </c>
      <c r="G3494" s="40" t="n">
        <v>0</v>
      </c>
    </row>
    <row r="3495" ht="12" customHeight="1">
      <c r="A3495" s="30" t="inlineStr">
        <is>
          <t>ITG</t>
        </is>
      </c>
      <c r="B3495" s="30" t="inlineStr">
        <is>
          <t>Itaguai</t>
        </is>
      </c>
      <c r="C3495" s="30" t="n">
        <v>71652556</v>
      </c>
      <c r="D3495" s="30">
        <f>"30480159734"</f>
        <v/>
      </c>
      <c r="E3495" s="30" t="inlineStr">
        <is>
          <t>MANOEL ARRUDA</t>
        </is>
      </c>
      <c r="F3495" s="30" t="inlineStr">
        <is>
          <t>2020</t>
        </is>
      </c>
      <c r="G3495" s="40" t="n">
        <v>0</v>
      </c>
    </row>
    <row r="3496" ht="12" customHeight="1">
      <c r="A3496" s="30" t="inlineStr">
        <is>
          <t>ITG</t>
        </is>
      </c>
      <c r="B3496" s="30" t="inlineStr">
        <is>
          <t>Itaguai</t>
        </is>
      </c>
      <c r="C3496" s="30" t="n">
        <v>71686132</v>
      </c>
      <c r="D3496" s="30">
        <f>"11516305787"</f>
        <v/>
      </c>
      <c r="E3496" s="30" t="inlineStr">
        <is>
          <t>YOSHIO YAHAGI</t>
        </is>
      </c>
      <c r="F3496" s="30" t="inlineStr">
        <is>
          <t>2017</t>
        </is>
      </c>
      <c r="G3496" s="40" t="n">
        <v>0</v>
      </c>
    </row>
    <row r="3497" ht="12" customHeight="1">
      <c r="A3497" s="30" t="inlineStr">
        <is>
          <t>ITG</t>
        </is>
      </c>
      <c r="B3497" s="30" t="inlineStr">
        <is>
          <t>Itaguai</t>
        </is>
      </c>
      <c r="C3497" s="30" t="n">
        <v>71686132</v>
      </c>
      <c r="D3497" s="30">
        <f>"11516305787"</f>
        <v/>
      </c>
      <c r="E3497" s="30" t="inlineStr">
        <is>
          <t>YOSHIO YAHAGI</t>
        </is>
      </c>
      <c r="F3497" s="30" t="inlineStr">
        <is>
          <t>2018</t>
        </is>
      </c>
      <c r="G3497" s="40" t="n">
        <v>0</v>
      </c>
    </row>
    <row r="3498" ht="12" customHeight="1">
      <c r="A3498" s="30" t="inlineStr">
        <is>
          <t>ITG</t>
        </is>
      </c>
      <c r="B3498" s="30" t="inlineStr">
        <is>
          <t>Itaguai</t>
        </is>
      </c>
      <c r="C3498" s="30" t="n">
        <v>71686132</v>
      </c>
      <c r="D3498" s="30">
        <f>"11516305787"</f>
        <v/>
      </c>
      <c r="E3498" s="30" t="inlineStr">
        <is>
          <t>YOSHIO YAHAGI</t>
        </is>
      </c>
      <c r="F3498" s="30" t="inlineStr">
        <is>
          <t>2019</t>
        </is>
      </c>
      <c r="G3498" s="40" t="n">
        <v>0</v>
      </c>
    </row>
    <row r="3499" ht="12" customHeight="1">
      <c r="A3499" s="30" t="inlineStr">
        <is>
          <t>ITG</t>
        </is>
      </c>
      <c r="B3499" s="30" t="inlineStr">
        <is>
          <t>Itaguai</t>
        </is>
      </c>
      <c r="C3499" s="30" t="n">
        <v>71686132</v>
      </c>
      <c r="D3499" s="30">
        <f>"11516305787"</f>
        <v/>
      </c>
      <c r="E3499" s="30" t="inlineStr">
        <is>
          <t>YOSHIO YAHAGI</t>
        </is>
      </c>
      <c r="F3499" s="30" t="inlineStr">
        <is>
          <t>2020</t>
        </is>
      </c>
      <c r="G3499" s="40" t="n">
        <v>0</v>
      </c>
    </row>
    <row r="3500" ht="12" customHeight="1">
      <c r="A3500" s="30" t="inlineStr">
        <is>
          <t>ITG</t>
        </is>
      </c>
      <c r="B3500" s="30" t="inlineStr">
        <is>
          <t>Itaguai</t>
        </is>
      </c>
      <c r="C3500" s="30" t="n">
        <v>71686132</v>
      </c>
      <c r="D3500" s="30">
        <f>"11516305787"</f>
        <v/>
      </c>
      <c r="E3500" s="30" t="inlineStr">
        <is>
          <t>YOSHIO YAHAGI</t>
        </is>
      </c>
      <c r="F3500" s="30" t="inlineStr">
        <is>
          <t>2021</t>
        </is>
      </c>
      <c r="G3500" s="40" t="n">
        <v>0</v>
      </c>
    </row>
    <row r="3501" ht="12" customHeight="1">
      <c r="A3501" s="30" t="inlineStr">
        <is>
          <t>ITG</t>
        </is>
      </c>
      <c r="B3501" s="30" t="inlineStr">
        <is>
          <t>Itaguai</t>
        </is>
      </c>
      <c r="C3501" s="30" t="n">
        <v>71686132</v>
      </c>
      <c r="D3501" s="30">
        <f>"11516305787"</f>
        <v/>
      </c>
      <c r="E3501" s="30" t="inlineStr">
        <is>
          <t>YOSHIO YAHAGI</t>
        </is>
      </c>
      <c r="F3501" s="30" t="inlineStr">
        <is>
          <t>2022</t>
        </is>
      </c>
      <c r="G3501" s="40" t="n">
        <v>0</v>
      </c>
    </row>
    <row r="3502" ht="12" customHeight="1">
      <c r="A3502" s="30" t="inlineStr">
        <is>
          <t>ITG</t>
        </is>
      </c>
      <c r="B3502" s="30" t="inlineStr">
        <is>
          <t>Itaguai</t>
        </is>
      </c>
      <c r="C3502" s="30" t="n">
        <v>71686159</v>
      </c>
      <c r="D3502" s="30">
        <f>"11538562715"</f>
        <v/>
      </c>
      <c r="E3502" s="30" t="inlineStr">
        <is>
          <t>JOAO TAVARES DE AGUIAR</t>
        </is>
      </c>
      <c r="F3502" s="30" t="inlineStr">
        <is>
          <t>2017</t>
        </is>
      </c>
      <c r="G3502" s="40" t="n">
        <v>66267</v>
      </c>
    </row>
    <row r="3503" ht="12" customHeight="1">
      <c r="A3503" s="30" t="inlineStr">
        <is>
          <t>ITG</t>
        </is>
      </c>
      <c r="B3503" s="30" t="inlineStr">
        <is>
          <t>Itaguai</t>
        </is>
      </c>
      <c r="C3503" s="30" t="n">
        <v>71686159</v>
      </c>
      <c r="D3503" s="30">
        <f>"11538562715"</f>
        <v/>
      </c>
      <c r="E3503" s="30" t="inlineStr">
        <is>
          <t>JOAO TAVARES DE AGUIAR</t>
        </is>
      </c>
      <c r="F3503" s="30" t="inlineStr">
        <is>
          <t>2018</t>
        </is>
      </c>
      <c r="G3503" s="40" t="n">
        <v>79502</v>
      </c>
    </row>
    <row r="3504" ht="12" customHeight="1">
      <c r="A3504" s="30" t="inlineStr">
        <is>
          <t>ITG</t>
        </is>
      </c>
      <c r="B3504" s="30" t="inlineStr">
        <is>
          <t>Itaguai</t>
        </is>
      </c>
      <c r="C3504" s="30" t="n">
        <v>71686159</v>
      </c>
      <c r="D3504" s="30">
        <f>"11538562715"</f>
        <v/>
      </c>
      <c r="E3504" s="30" t="inlineStr">
        <is>
          <t>JOAO TAVARES DE AGUIAR</t>
        </is>
      </c>
      <c r="F3504" s="30" t="inlineStr">
        <is>
          <t>2019</t>
        </is>
      </c>
      <c r="G3504" s="40" t="n">
        <v>44744</v>
      </c>
    </row>
    <row r="3505" ht="12" customHeight="1">
      <c r="A3505" s="30" t="inlineStr">
        <is>
          <t>ITG</t>
        </is>
      </c>
      <c r="B3505" s="30" t="inlineStr">
        <is>
          <t>Itaguai</t>
        </is>
      </c>
      <c r="C3505" s="30" t="n">
        <v>71686159</v>
      </c>
      <c r="D3505" s="30">
        <f>"11538562715"</f>
        <v/>
      </c>
      <c r="E3505" s="30" t="inlineStr">
        <is>
          <t>JOAO TAVARES DE AGUIAR</t>
        </is>
      </c>
      <c r="F3505" s="30" t="inlineStr">
        <is>
          <t>2020</t>
        </is>
      </c>
      <c r="G3505" s="40" t="n">
        <v>52025</v>
      </c>
    </row>
    <row r="3506" ht="12" customHeight="1">
      <c r="A3506" s="30" t="inlineStr">
        <is>
          <t>ITG</t>
        </is>
      </c>
      <c r="B3506" s="30" t="inlineStr">
        <is>
          <t>Itaguai</t>
        </is>
      </c>
      <c r="C3506" s="30" t="n">
        <v>71686159</v>
      </c>
      <c r="D3506" s="30">
        <f>"11538562715"</f>
        <v/>
      </c>
      <c r="E3506" s="30" t="inlineStr">
        <is>
          <t>JOAO TAVARES DE AGUIAR</t>
        </is>
      </c>
      <c r="F3506" s="30" t="inlineStr">
        <is>
          <t>2021</t>
        </is>
      </c>
      <c r="G3506" s="40" t="n">
        <v>665535</v>
      </c>
    </row>
    <row r="3507" ht="12" customHeight="1">
      <c r="A3507" s="30" t="inlineStr">
        <is>
          <t>ITG</t>
        </is>
      </c>
      <c r="B3507" s="30" t="inlineStr">
        <is>
          <t>Itaguai</t>
        </is>
      </c>
      <c r="C3507" s="30" t="n">
        <v>71686159</v>
      </c>
      <c r="D3507" s="30">
        <f>"11538562715"</f>
        <v/>
      </c>
      <c r="E3507" s="30" t="inlineStr">
        <is>
          <t>JOAO TAVARES DE AGUIAR</t>
        </is>
      </c>
      <c r="F3507" s="30" t="inlineStr">
        <is>
          <t>2022</t>
        </is>
      </c>
      <c r="G3507" s="40" t="n">
        <v>41152</v>
      </c>
    </row>
    <row r="3508" ht="12" customHeight="1">
      <c r="A3508" s="30" t="inlineStr">
        <is>
          <t>ITG</t>
        </is>
      </c>
      <c r="B3508" s="30" t="inlineStr">
        <is>
          <t>Itaguai</t>
        </is>
      </c>
      <c r="C3508" s="30" t="n">
        <v>71686159</v>
      </c>
      <c r="D3508" s="30">
        <f>"11538562715"</f>
        <v/>
      </c>
      <c r="E3508" s="30" t="inlineStr">
        <is>
          <t>JOAO TAVARES DE AGUIAR</t>
        </is>
      </c>
      <c r="F3508" s="30" t="inlineStr">
        <is>
          <t>2023</t>
        </is>
      </c>
      <c r="G3508" s="40" t="n">
        <v>40555</v>
      </c>
    </row>
    <row r="3509" ht="12" customHeight="1">
      <c r="A3509" s="30" t="inlineStr">
        <is>
          <t>ITG</t>
        </is>
      </c>
      <c r="B3509" s="30" t="inlineStr">
        <is>
          <t>Itaguai</t>
        </is>
      </c>
      <c r="C3509" s="30" t="n">
        <v>71686272</v>
      </c>
      <c r="D3509" s="30">
        <f>"02956292749"</f>
        <v/>
      </c>
      <c r="E3509" s="30" t="inlineStr">
        <is>
          <t>LACIR SENDRA PITA</t>
        </is>
      </c>
      <c r="F3509" s="30" t="inlineStr">
        <is>
          <t>2017</t>
        </is>
      </c>
      <c r="G3509" s="40" t="n">
        <v>0</v>
      </c>
    </row>
    <row r="3510" ht="12" customHeight="1">
      <c r="A3510" s="30" t="inlineStr">
        <is>
          <t>ITG</t>
        </is>
      </c>
      <c r="B3510" s="30" t="inlineStr">
        <is>
          <t>Itaguai</t>
        </is>
      </c>
      <c r="C3510" s="30" t="n">
        <v>71686272</v>
      </c>
      <c r="D3510" s="30">
        <f>"02956292749"</f>
        <v/>
      </c>
      <c r="E3510" s="30" t="inlineStr">
        <is>
          <t>LACIR SENDRA PITA</t>
        </is>
      </c>
      <c r="F3510" s="30" t="inlineStr">
        <is>
          <t>2018</t>
        </is>
      </c>
      <c r="G3510" s="40" t="n">
        <v>0</v>
      </c>
    </row>
    <row r="3511" ht="12" customHeight="1">
      <c r="A3511" s="30" t="inlineStr">
        <is>
          <t>ITG</t>
        </is>
      </c>
      <c r="B3511" s="30" t="inlineStr">
        <is>
          <t>Itaguai</t>
        </is>
      </c>
      <c r="C3511" s="30" t="n">
        <v>71686272</v>
      </c>
      <c r="D3511" s="30">
        <f>"02956292749"</f>
        <v/>
      </c>
      <c r="E3511" s="30" t="inlineStr">
        <is>
          <t>LACIR SENDRA PITA</t>
        </is>
      </c>
      <c r="F3511" s="30" t="inlineStr">
        <is>
          <t>2019</t>
        </is>
      </c>
      <c r="G3511" s="40" t="n">
        <v>0</v>
      </c>
    </row>
    <row r="3512" ht="12" customHeight="1">
      <c r="A3512" s="30" t="inlineStr">
        <is>
          <t>ITG</t>
        </is>
      </c>
      <c r="B3512" s="30" t="inlineStr">
        <is>
          <t>Itaguai</t>
        </is>
      </c>
      <c r="C3512" s="30" t="n">
        <v>71686272</v>
      </c>
      <c r="D3512" s="30">
        <f>"02956292749"</f>
        <v/>
      </c>
      <c r="E3512" s="30" t="inlineStr">
        <is>
          <t>LACIR SENDRA PITA</t>
        </is>
      </c>
      <c r="F3512" s="30" t="inlineStr">
        <is>
          <t>2020</t>
        </is>
      </c>
      <c r="G3512" s="40" t="n">
        <v>0</v>
      </c>
    </row>
    <row r="3513" ht="12" customHeight="1">
      <c r="A3513" s="30" t="inlineStr">
        <is>
          <t>ITG</t>
        </is>
      </c>
      <c r="B3513" s="30" t="inlineStr">
        <is>
          <t>Itaguai</t>
        </is>
      </c>
      <c r="C3513" s="30" t="n">
        <v>71686272</v>
      </c>
      <c r="D3513" s="30">
        <f>"02956292749"</f>
        <v/>
      </c>
      <c r="E3513" s="30" t="inlineStr">
        <is>
          <t>LACIR SENDRA PITA</t>
        </is>
      </c>
      <c r="F3513" s="30" t="inlineStr">
        <is>
          <t>2021</t>
        </is>
      </c>
      <c r="G3513" s="40" t="n">
        <v>0</v>
      </c>
    </row>
    <row r="3514" ht="12" customHeight="1">
      <c r="A3514" s="30" t="inlineStr">
        <is>
          <t>ITG</t>
        </is>
      </c>
      <c r="B3514" s="30" t="inlineStr">
        <is>
          <t>Itaguai</t>
        </is>
      </c>
      <c r="C3514" s="30" t="n">
        <v>71686566</v>
      </c>
      <c r="D3514" s="30">
        <f>"22339515700"</f>
        <v/>
      </c>
      <c r="E3514" s="30" t="inlineStr">
        <is>
          <t>ANTONIO LUIZ GANDRA FILHO</t>
        </is>
      </c>
      <c r="F3514" s="30" t="inlineStr">
        <is>
          <t>2017</t>
        </is>
      </c>
      <c r="G3514" s="40" t="n">
        <v>1500</v>
      </c>
    </row>
    <row r="3515" ht="12" customHeight="1">
      <c r="A3515" s="30" t="inlineStr">
        <is>
          <t>ITG</t>
        </is>
      </c>
      <c r="B3515" s="30" t="inlineStr">
        <is>
          <t>Itaguai</t>
        </is>
      </c>
      <c r="C3515" s="30" t="n">
        <v>71686566</v>
      </c>
      <c r="D3515" s="30">
        <f>"22339515700"</f>
        <v/>
      </c>
      <c r="E3515" s="30" t="inlineStr">
        <is>
          <t>ANTONIO LUIZ GANDRA FILHO</t>
        </is>
      </c>
      <c r="F3515" s="30" t="inlineStr">
        <is>
          <t>2018</t>
        </is>
      </c>
      <c r="G3515" s="40" t="n">
        <v>0</v>
      </c>
    </row>
    <row r="3516" ht="12" customHeight="1">
      <c r="A3516" s="30" t="inlineStr">
        <is>
          <t>ITG</t>
        </is>
      </c>
      <c r="B3516" s="30" t="inlineStr">
        <is>
          <t>Itaguai</t>
        </is>
      </c>
      <c r="C3516" s="30" t="n">
        <v>71686566</v>
      </c>
      <c r="D3516" s="30">
        <f>"22339515700"</f>
        <v/>
      </c>
      <c r="E3516" s="30" t="inlineStr">
        <is>
          <t>ANTONIO LUIZ GANDRA FILHO</t>
        </is>
      </c>
      <c r="F3516" s="30" t="inlineStr">
        <is>
          <t>2019</t>
        </is>
      </c>
      <c r="G3516" s="40" t="n">
        <v>0</v>
      </c>
    </row>
    <row r="3517" ht="12" customHeight="1">
      <c r="A3517" s="30" t="inlineStr">
        <is>
          <t>ITG</t>
        </is>
      </c>
      <c r="B3517" s="30" t="inlineStr">
        <is>
          <t>Itaguai</t>
        </is>
      </c>
      <c r="C3517" s="30" t="n">
        <v>71686566</v>
      </c>
      <c r="D3517" s="30">
        <f>"22339515700"</f>
        <v/>
      </c>
      <c r="E3517" s="30" t="inlineStr">
        <is>
          <t>ANTONIO LUIZ GANDRA FILHO</t>
        </is>
      </c>
      <c r="F3517" s="30" t="inlineStr">
        <is>
          <t>2020</t>
        </is>
      </c>
      <c r="G3517" s="40" t="n">
        <v>0</v>
      </c>
    </row>
    <row r="3518" ht="12" customHeight="1">
      <c r="A3518" s="30" t="inlineStr">
        <is>
          <t>ITG</t>
        </is>
      </c>
      <c r="B3518" s="30" t="inlineStr">
        <is>
          <t>Itaguai</t>
        </is>
      </c>
      <c r="C3518" s="30" t="n">
        <v>71686566</v>
      </c>
      <c r="D3518" s="30">
        <f>"22339515700"</f>
        <v/>
      </c>
      <c r="E3518" s="30" t="inlineStr">
        <is>
          <t>ANTONIO LUIZ GANDRA FILHO</t>
        </is>
      </c>
      <c r="F3518" s="30" t="inlineStr">
        <is>
          <t>2021</t>
        </is>
      </c>
      <c r="G3518" s="40" t="n">
        <v>0</v>
      </c>
    </row>
    <row r="3519" ht="12" customHeight="1">
      <c r="A3519" s="30" t="inlineStr">
        <is>
          <t>ITG</t>
        </is>
      </c>
      <c r="B3519" s="30" t="inlineStr">
        <is>
          <t>Itaguai</t>
        </is>
      </c>
      <c r="C3519" s="30" t="n">
        <v>71686566</v>
      </c>
      <c r="D3519" s="30">
        <f>"22339515700"</f>
        <v/>
      </c>
      <c r="E3519" s="30" t="inlineStr">
        <is>
          <t>ANTONIO LUIZ GANDRA FILHO</t>
        </is>
      </c>
      <c r="F3519" s="30" t="inlineStr">
        <is>
          <t>2022</t>
        </is>
      </c>
      <c r="G3519" s="40" t="n">
        <v>0</v>
      </c>
    </row>
    <row r="3520" ht="12" customHeight="1">
      <c r="A3520" s="30" t="inlineStr">
        <is>
          <t>ITG</t>
        </is>
      </c>
      <c r="B3520" s="30" t="inlineStr">
        <is>
          <t>Itaguai</t>
        </is>
      </c>
      <c r="C3520" s="30" t="n">
        <v>71686566</v>
      </c>
      <c r="D3520" s="30">
        <f>"22339515700"</f>
        <v/>
      </c>
      <c r="E3520" s="30" t="inlineStr">
        <is>
          <t>ANTONIO LUIZ GANDRA FILHO</t>
        </is>
      </c>
      <c r="F3520" s="30" t="inlineStr">
        <is>
          <t>2023</t>
        </is>
      </c>
      <c r="G3520" s="40" t="n">
        <v>0</v>
      </c>
    </row>
    <row r="3521" ht="12" customHeight="1">
      <c r="A3521" s="30" t="inlineStr">
        <is>
          <t>ITG</t>
        </is>
      </c>
      <c r="B3521" s="30" t="inlineStr">
        <is>
          <t>Itaguai</t>
        </is>
      </c>
      <c r="C3521" s="30" t="n">
        <v>71686710</v>
      </c>
      <c r="D3521" s="30">
        <f>"11512407704"</f>
        <v/>
      </c>
      <c r="E3521" s="30" t="inlineStr">
        <is>
          <t>CRESIO ANDRIOLO MELGAÇO</t>
        </is>
      </c>
      <c r="F3521" s="30" t="inlineStr">
        <is>
          <t>2017</t>
        </is>
      </c>
      <c r="G3521" s="40" t="n">
        <v>1500</v>
      </c>
    </row>
    <row r="3522" ht="12" customHeight="1">
      <c r="A3522" s="30" t="inlineStr">
        <is>
          <t>ITG</t>
        </is>
      </c>
      <c r="B3522" s="30" t="inlineStr">
        <is>
          <t>Itaguai</t>
        </is>
      </c>
      <c r="C3522" s="30" t="n">
        <v>71686710</v>
      </c>
      <c r="D3522" s="30">
        <f>"11512407704"</f>
        <v/>
      </c>
      <c r="E3522" s="30" t="inlineStr">
        <is>
          <t>CRESIO ANDRIOLO MELGAÇO</t>
        </is>
      </c>
      <c r="F3522" s="30" t="inlineStr">
        <is>
          <t>2018</t>
        </is>
      </c>
      <c r="G3522" s="40" t="n">
        <v>0</v>
      </c>
    </row>
    <row r="3523" ht="12" customHeight="1">
      <c r="A3523" s="30" t="inlineStr">
        <is>
          <t>ITG</t>
        </is>
      </c>
      <c r="B3523" s="30" t="inlineStr">
        <is>
          <t>Itaguai</t>
        </is>
      </c>
      <c r="C3523" s="30" t="n">
        <v>71686710</v>
      </c>
      <c r="D3523" s="30">
        <f>"11512407704"</f>
        <v/>
      </c>
      <c r="E3523" s="30" t="inlineStr">
        <is>
          <t>CRESIO ANDRIOLO MELGAÇO</t>
        </is>
      </c>
      <c r="F3523" s="30" t="inlineStr">
        <is>
          <t>2019</t>
        </is>
      </c>
      <c r="G3523" s="40" t="n">
        <v>3020</v>
      </c>
    </row>
    <row r="3524" ht="12" customHeight="1">
      <c r="A3524" s="30" t="inlineStr">
        <is>
          <t>ITG</t>
        </is>
      </c>
      <c r="B3524" s="30" t="inlineStr">
        <is>
          <t>Itaguai</t>
        </is>
      </c>
      <c r="C3524" s="30" t="n">
        <v>71686710</v>
      </c>
      <c r="D3524" s="30">
        <f>"11512407704"</f>
        <v/>
      </c>
      <c r="E3524" s="30" t="inlineStr">
        <is>
          <t>CRESIO ANDRIOLO MELGAÇO</t>
        </is>
      </c>
      <c r="F3524" s="30" t="inlineStr">
        <is>
          <t>2020</t>
        </is>
      </c>
      <c r="G3524" s="40" t="n">
        <v>3100</v>
      </c>
    </row>
    <row r="3525" ht="12" customHeight="1">
      <c r="A3525" s="30" t="inlineStr">
        <is>
          <t>ITG</t>
        </is>
      </c>
      <c r="B3525" s="30" t="inlineStr">
        <is>
          <t>Itaguai</t>
        </is>
      </c>
      <c r="C3525" s="30" t="n">
        <v>71686710</v>
      </c>
      <c r="D3525" s="30">
        <f>"11512407704"</f>
        <v/>
      </c>
      <c r="E3525" s="30" t="inlineStr">
        <is>
          <t>CRESIO ANDRIOLO MELGAÇO</t>
        </is>
      </c>
      <c r="F3525" s="30" t="inlineStr">
        <is>
          <t>2021</t>
        </is>
      </c>
      <c r="G3525" s="40" t="n">
        <v>2900</v>
      </c>
    </row>
    <row r="3526" ht="12" customHeight="1">
      <c r="A3526" s="30" t="inlineStr">
        <is>
          <t>ITG</t>
        </is>
      </c>
      <c r="B3526" s="30" t="inlineStr">
        <is>
          <t>Itaguai</t>
        </is>
      </c>
      <c r="C3526" s="30" t="n">
        <v>71686710</v>
      </c>
      <c r="D3526" s="30">
        <f>"11512407704"</f>
        <v/>
      </c>
      <c r="E3526" s="30" t="inlineStr">
        <is>
          <t>CRESIO ANDRIOLO MELGAÇO</t>
        </is>
      </c>
      <c r="F3526" s="30" t="inlineStr">
        <is>
          <t>2022</t>
        </is>
      </c>
      <c r="G3526" s="40" t="n">
        <v>3000</v>
      </c>
    </row>
    <row r="3527" ht="12" customHeight="1">
      <c r="A3527" s="30" t="inlineStr">
        <is>
          <t>ITG</t>
        </is>
      </c>
      <c r="B3527" s="30" t="inlineStr">
        <is>
          <t>Itaguai</t>
        </is>
      </c>
      <c r="C3527" s="30" t="n">
        <v>71686710</v>
      </c>
      <c r="D3527" s="30">
        <f>"11512407704"</f>
        <v/>
      </c>
      <c r="E3527" s="30" t="inlineStr">
        <is>
          <t>CRESIO ANDRIOLO MELGAÇO</t>
        </is>
      </c>
      <c r="F3527" s="30" t="inlineStr">
        <is>
          <t>2023</t>
        </is>
      </c>
      <c r="G3527" s="40" t="n">
        <v>3000</v>
      </c>
    </row>
    <row r="3528" ht="12" customHeight="1">
      <c r="A3528" s="30" t="inlineStr">
        <is>
          <t>ITG</t>
        </is>
      </c>
      <c r="B3528" s="30" t="inlineStr">
        <is>
          <t>Itaguai</t>
        </is>
      </c>
      <c r="C3528" s="30" t="n">
        <v>71687163</v>
      </c>
      <c r="D3528" s="30">
        <f>"05354030706"</f>
        <v/>
      </c>
      <c r="E3528" s="30" t="inlineStr">
        <is>
          <t>SIRLEO RIBEIRO MAIA</t>
        </is>
      </c>
      <c r="F3528" s="30" t="inlineStr">
        <is>
          <t>2017</t>
        </is>
      </c>
      <c r="G3528" s="40" t="n">
        <v>0</v>
      </c>
    </row>
    <row r="3529" ht="12" customHeight="1">
      <c r="A3529" s="30" t="inlineStr">
        <is>
          <t>ITG</t>
        </is>
      </c>
      <c r="B3529" s="30" t="inlineStr">
        <is>
          <t>Itaguai</t>
        </is>
      </c>
      <c r="C3529" s="30" t="n">
        <v>71687163</v>
      </c>
      <c r="D3529" s="30">
        <f>"05354030706"</f>
        <v/>
      </c>
      <c r="E3529" s="30" t="inlineStr">
        <is>
          <t>SIRLEO RIBEIRO MAIA</t>
        </is>
      </c>
      <c r="F3529" s="30" t="inlineStr">
        <is>
          <t>2018</t>
        </is>
      </c>
      <c r="G3529" s="40" t="n">
        <v>0</v>
      </c>
    </row>
    <row r="3530" ht="12" customHeight="1">
      <c r="A3530" s="30" t="inlineStr">
        <is>
          <t>ITG</t>
        </is>
      </c>
      <c r="B3530" s="30" t="inlineStr">
        <is>
          <t>Itaguai</t>
        </is>
      </c>
      <c r="C3530" s="30" t="n">
        <v>71687163</v>
      </c>
      <c r="D3530" s="30">
        <f>"05354030706"</f>
        <v/>
      </c>
      <c r="E3530" s="30" t="inlineStr">
        <is>
          <t>SIRLEO RIBEIRO MAIA</t>
        </is>
      </c>
      <c r="F3530" s="30" t="inlineStr">
        <is>
          <t>2019</t>
        </is>
      </c>
      <c r="G3530" s="40" t="n">
        <v>0</v>
      </c>
    </row>
    <row r="3531" ht="12" customHeight="1">
      <c r="A3531" s="30" t="inlineStr">
        <is>
          <t>ITG</t>
        </is>
      </c>
      <c r="B3531" s="30" t="inlineStr">
        <is>
          <t>Itaguai</t>
        </is>
      </c>
      <c r="C3531" s="30" t="n">
        <v>71687163</v>
      </c>
      <c r="D3531" s="30">
        <f>"05354030706"</f>
        <v/>
      </c>
      <c r="E3531" s="30" t="inlineStr">
        <is>
          <t>SIRLEO RIBEIRO MAIA</t>
        </is>
      </c>
      <c r="F3531" s="30" t="inlineStr">
        <is>
          <t>2020</t>
        </is>
      </c>
      <c r="G3531" s="40" t="n">
        <v>0</v>
      </c>
    </row>
    <row r="3532" ht="12" customHeight="1">
      <c r="A3532" s="30" t="inlineStr">
        <is>
          <t>ITG</t>
        </is>
      </c>
      <c r="B3532" s="30" t="inlineStr">
        <is>
          <t>Itaguai</t>
        </is>
      </c>
      <c r="C3532" s="30" t="n">
        <v>71687163</v>
      </c>
      <c r="D3532" s="30">
        <f>"05354030706"</f>
        <v/>
      </c>
      <c r="E3532" s="30" t="inlineStr">
        <is>
          <t>SIRLEO RIBEIRO MAIA</t>
        </is>
      </c>
      <c r="F3532" s="30" t="inlineStr">
        <is>
          <t>2021</t>
        </is>
      </c>
      <c r="G3532" s="40" t="n">
        <v>0</v>
      </c>
    </row>
    <row r="3533" ht="12" customHeight="1">
      <c r="A3533" s="30" t="inlineStr">
        <is>
          <t>ITG</t>
        </is>
      </c>
      <c r="B3533" s="30" t="inlineStr">
        <is>
          <t>Itaguai</t>
        </is>
      </c>
      <c r="C3533" s="30" t="n">
        <v>71687163</v>
      </c>
      <c r="D3533" s="30">
        <f>"05354030706"</f>
        <v/>
      </c>
      <c r="E3533" s="30" t="inlineStr">
        <is>
          <t>SIRLEO RIBEIRO MAIA</t>
        </is>
      </c>
      <c r="F3533" s="30" t="inlineStr">
        <is>
          <t>2022</t>
        </is>
      </c>
      <c r="G3533" s="40" t="n">
        <v>0</v>
      </c>
    </row>
    <row r="3534" ht="12" customHeight="1">
      <c r="A3534" s="30" t="inlineStr">
        <is>
          <t>ITG</t>
        </is>
      </c>
      <c r="B3534" s="30" t="inlineStr">
        <is>
          <t>Itaguai</t>
        </is>
      </c>
      <c r="C3534" s="30" t="n">
        <v>71687163</v>
      </c>
      <c r="D3534" s="30">
        <f>"05354030706"</f>
        <v/>
      </c>
      <c r="E3534" s="30" t="inlineStr">
        <is>
          <t>SIRLEO RIBEIRO MAIA</t>
        </is>
      </c>
      <c r="F3534" s="30" t="inlineStr">
        <is>
          <t>2023</t>
        </is>
      </c>
      <c r="G3534" s="40" t="n">
        <v>0</v>
      </c>
    </row>
    <row r="3535" ht="12" customHeight="1">
      <c r="A3535" s="30" t="inlineStr">
        <is>
          <t>ITG</t>
        </is>
      </c>
      <c r="B3535" s="30" t="inlineStr">
        <is>
          <t>Itaguai</t>
        </is>
      </c>
      <c r="C3535" s="30" t="n">
        <v>71687376</v>
      </c>
      <c r="D3535" s="30">
        <f>"46438904791"</f>
        <v/>
      </c>
      <c r="E3535" s="30" t="inlineStr">
        <is>
          <t>DENERVAL CONSTANTINO DA SILVA</t>
        </is>
      </c>
      <c r="F3535" s="30" t="inlineStr">
        <is>
          <t>2017</t>
        </is>
      </c>
      <c r="G3535" s="40" t="n">
        <v>27031</v>
      </c>
    </row>
    <row r="3536" ht="12" customHeight="1">
      <c r="A3536" s="30" t="inlineStr">
        <is>
          <t>ITG</t>
        </is>
      </c>
      <c r="B3536" s="30" t="inlineStr">
        <is>
          <t>Itaguai</t>
        </is>
      </c>
      <c r="C3536" s="30" t="n">
        <v>71687376</v>
      </c>
      <c r="D3536" s="30">
        <f>"46438904791"</f>
        <v/>
      </c>
      <c r="E3536" s="30" t="inlineStr">
        <is>
          <t>DENERVAL CONSTANTINO DA SILVA</t>
        </is>
      </c>
      <c r="F3536" s="30" t="inlineStr">
        <is>
          <t>2018</t>
        </is>
      </c>
      <c r="G3536" s="40" t="n">
        <v>3070</v>
      </c>
    </row>
    <row r="3537" ht="12" customHeight="1">
      <c r="A3537" s="30" t="inlineStr">
        <is>
          <t>ITG</t>
        </is>
      </c>
      <c r="B3537" s="30" t="inlineStr">
        <is>
          <t>Itaguai</t>
        </is>
      </c>
      <c r="C3537" s="30" t="n">
        <v>71687376</v>
      </c>
      <c r="D3537" s="30">
        <f>"46438904791"</f>
        <v/>
      </c>
      <c r="E3537" s="30" t="inlineStr">
        <is>
          <t>DENERVAL CONSTANTINO DA SILVA</t>
        </is>
      </c>
      <c r="F3537" s="30" t="inlineStr">
        <is>
          <t>2019</t>
        </is>
      </c>
      <c r="G3537" s="40" t="n">
        <v>7310</v>
      </c>
    </row>
    <row r="3538" ht="12" customHeight="1">
      <c r="A3538" s="30" t="inlineStr">
        <is>
          <t>ITG</t>
        </is>
      </c>
      <c r="B3538" s="30" t="inlineStr">
        <is>
          <t>Itaguai</t>
        </is>
      </c>
      <c r="C3538" s="30" t="n">
        <v>71687376</v>
      </c>
      <c r="D3538" s="30">
        <f>"46438904791"</f>
        <v/>
      </c>
      <c r="E3538" s="30" t="inlineStr">
        <is>
          <t>DENERVAL CONSTANTINO DA SILVA</t>
        </is>
      </c>
      <c r="F3538" s="30" t="inlineStr">
        <is>
          <t>2020</t>
        </is>
      </c>
      <c r="G3538" s="40" t="n">
        <v>4430</v>
      </c>
    </row>
    <row r="3539" ht="12" customHeight="1">
      <c r="A3539" s="30" t="inlineStr">
        <is>
          <t>ITG</t>
        </is>
      </c>
      <c r="B3539" s="30" t="inlineStr">
        <is>
          <t>Itaguai</t>
        </is>
      </c>
      <c r="C3539" s="30" t="n">
        <v>71687376</v>
      </c>
      <c r="D3539" s="30">
        <f>"46438904791"</f>
        <v/>
      </c>
      <c r="E3539" s="30" t="inlineStr">
        <is>
          <t>DENERVAL CONSTANTINO DA SILVA</t>
        </is>
      </c>
      <c r="F3539" s="30" t="inlineStr">
        <is>
          <t>2021</t>
        </is>
      </c>
      <c r="G3539" s="40" t="n">
        <v>0</v>
      </c>
    </row>
    <row r="3540" ht="12" customHeight="1">
      <c r="A3540" s="30" t="inlineStr">
        <is>
          <t>ITG</t>
        </is>
      </c>
      <c r="B3540" s="30" t="inlineStr">
        <is>
          <t>Itaguai</t>
        </is>
      </c>
      <c r="C3540" s="30" t="n">
        <v>71687376</v>
      </c>
      <c r="D3540" s="30">
        <f>"46438904791"</f>
        <v/>
      </c>
      <c r="E3540" s="30" t="inlineStr">
        <is>
          <t>DENERVAL CONSTANTINO DA SILVA</t>
        </is>
      </c>
      <c r="F3540" s="30" t="inlineStr">
        <is>
          <t>2022</t>
        </is>
      </c>
      <c r="G3540" s="40" t="n">
        <v>0</v>
      </c>
    </row>
    <row r="3541" ht="12" customHeight="1">
      <c r="A3541" s="30" t="inlineStr">
        <is>
          <t>ITG</t>
        </is>
      </c>
      <c r="B3541" s="30" t="inlineStr">
        <is>
          <t>Itaguai</t>
        </is>
      </c>
      <c r="C3541" s="30" t="n">
        <v>71687376</v>
      </c>
      <c r="D3541" s="30">
        <f>"46438904791"</f>
        <v/>
      </c>
      <c r="E3541" s="30" t="inlineStr">
        <is>
          <t>DENERVAL CONSTANTINO DA SILVA</t>
        </is>
      </c>
      <c r="F3541" s="30" t="inlineStr">
        <is>
          <t>2023</t>
        </is>
      </c>
      <c r="G3541" s="40" t="n">
        <v>0</v>
      </c>
    </row>
    <row r="3542" ht="12" customHeight="1">
      <c r="A3542" s="30" t="inlineStr">
        <is>
          <t>ITG</t>
        </is>
      </c>
      <c r="B3542" s="30" t="inlineStr">
        <is>
          <t>Itaguai</t>
        </is>
      </c>
      <c r="C3542" s="30" t="n">
        <v>71687805</v>
      </c>
      <c r="D3542" s="30">
        <f>"03434028749"</f>
        <v/>
      </c>
      <c r="E3542" s="30" t="inlineStr">
        <is>
          <t>VALDEVINO DE SOUZA CAVACANTE</t>
        </is>
      </c>
      <c r="F3542" s="30" t="inlineStr">
        <is>
          <t>2017</t>
        </is>
      </c>
      <c r="G3542" s="40" t="n">
        <v>8000</v>
      </c>
    </row>
    <row r="3543" ht="12" customHeight="1">
      <c r="A3543" s="30" t="inlineStr">
        <is>
          <t>ITG</t>
        </is>
      </c>
      <c r="B3543" s="30" t="inlineStr">
        <is>
          <t>Itaguai</t>
        </is>
      </c>
      <c r="C3543" s="30" t="n">
        <v>71687805</v>
      </c>
      <c r="D3543" s="30">
        <f>"03434028749"</f>
        <v/>
      </c>
      <c r="E3543" s="30" t="inlineStr">
        <is>
          <t>VALDEVINO DE SOUZA CAVACANTE</t>
        </is>
      </c>
      <c r="F3543" s="30" t="inlineStr">
        <is>
          <t>2018</t>
        </is>
      </c>
      <c r="G3543" s="40" t="n">
        <v>5000</v>
      </c>
    </row>
    <row r="3544" ht="12" customHeight="1">
      <c r="A3544" s="30" t="inlineStr">
        <is>
          <t>ITG</t>
        </is>
      </c>
      <c r="B3544" s="30" t="inlineStr">
        <is>
          <t>Itaguai</t>
        </is>
      </c>
      <c r="C3544" s="30" t="n">
        <v>71687805</v>
      </c>
      <c r="D3544" s="30">
        <f>"03434028749"</f>
        <v/>
      </c>
      <c r="E3544" s="30" t="inlineStr">
        <is>
          <t>VALDEVINO DE SOUZA CAVACANTE</t>
        </is>
      </c>
      <c r="F3544" s="30" t="inlineStr">
        <is>
          <t>2019</t>
        </is>
      </c>
      <c r="G3544" s="40" t="n">
        <v>0</v>
      </c>
    </row>
    <row r="3545" ht="12" customHeight="1">
      <c r="A3545" s="30" t="inlineStr">
        <is>
          <t>ITG</t>
        </is>
      </c>
      <c r="B3545" s="30" t="inlineStr">
        <is>
          <t>Itaguai</t>
        </is>
      </c>
      <c r="C3545" s="30" t="n">
        <v>71687805</v>
      </c>
      <c r="D3545" s="30">
        <f>"03434028749"</f>
        <v/>
      </c>
      <c r="E3545" s="30" t="inlineStr">
        <is>
          <t>VALDEVINO DE SOUZA CAVACANTE</t>
        </is>
      </c>
      <c r="F3545" s="30" t="inlineStr">
        <is>
          <t>2020</t>
        </is>
      </c>
      <c r="G3545" s="40" t="n">
        <v>0</v>
      </c>
    </row>
    <row r="3546" ht="12" customHeight="1">
      <c r="A3546" s="30" t="inlineStr">
        <is>
          <t>ITG</t>
        </is>
      </c>
      <c r="B3546" s="30" t="inlineStr">
        <is>
          <t>Itaguai</t>
        </is>
      </c>
      <c r="C3546" s="30" t="n">
        <v>71687961</v>
      </c>
      <c r="D3546" s="30">
        <f>"73537268734"</f>
        <v/>
      </c>
      <c r="E3546" s="30" t="inlineStr">
        <is>
          <t>ROGERIO COUTO PEREIRA</t>
        </is>
      </c>
      <c r="F3546" s="30" t="inlineStr">
        <is>
          <t>2017</t>
        </is>
      </c>
      <c r="G3546" s="40" t="n">
        <v>28550</v>
      </c>
    </row>
    <row r="3547" ht="12" customHeight="1">
      <c r="A3547" s="30" t="inlineStr">
        <is>
          <t>ITG</t>
        </is>
      </c>
      <c r="B3547" s="30" t="inlineStr">
        <is>
          <t>Itaguai</t>
        </is>
      </c>
      <c r="C3547" s="30" t="n">
        <v>71687961</v>
      </c>
      <c r="D3547" s="30">
        <f>"73537268734"</f>
        <v/>
      </c>
      <c r="E3547" s="30" t="inlineStr">
        <is>
          <t>ROGERIO COUTO PEREIRA</t>
        </is>
      </c>
      <c r="F3547" s="30" t="inlineStr">
        <is>
          <t>2018</t>
        </is>
      </c>
      <c r="G3547" s="40" t="n">
        <v>900</v>
      </c>
    </row>
    <row r="3548" ht="12" customHeight="1">
      <c r="A3548" s="30" t="inlineStr">
        <is>
          <t>ITG</t>
        </is>
      </c>
      <c r="B3548" s="30" t="inlineStr">
        <is>
          <t>Itaguai</t>
        </is>
      </c>
      <c r="C3548" s="30" t="n">
        <v>71687961</v>
      </c>
      <c r="D3548" s="30">
        <f>"73537268734"</f>
        <v/>
      </c>
      <c r="E3548" s="30" t="inlineStr">
        <is>
          <t>ROGERIO COUTO PEREIRA</t>
        </is>
      </c>
      <c r="F3548" s="30" t="inlineStr">
        <is>
          <t>2019</t>
        </is>
      </c>
      <c r="G3548" s="40" t="n">
        <v>1265</v>
      </c>
    </row>
    <row r="3549" ht="12" customHeight="1">
      <c r="A3549" s="30" t="inlineStr">
        <is>
          <t>ITG</t>
        </is>
      </c>
      <c r="B3549" s="30" t="inlineStr">
        <is>
          <t>Itaguai</t>
        </is>
      </c>
      <c r="C3549" s="30" t="n">
        <v>71687961</v>
      </c>
      <c r="D3549" s="30">
        <f>"73537268734"</f>
        <v/>
      </c>
      <c r="E3549" s="30" t="inlineStr">
        <is>
          <t>ROGERIO COUTO PEREIRA</t>
        </is>
      </c>
      <c r="F3549" s="30" t="inlineStr">
        <is>
          <t>2020</t>
        </is>
      </c>
      <c r="G3549" s="40" t="n">
        <v>24822</v>
      </c>
    </row>
    <row r="3550" ht="12" customHeight="1">
      <c r="A3550" s="30" t="inlineStr">
        <is>
          <t>ITG</t>
        </is>
      </c>
      <c r="B3550" s="30" t="inlineStr">
        <is>
          <t>Itaguai</t>
        </is>
      </c>
      <c r="C3550" s="30" t="n">
        <v>71687961</v>
      </c>
      <c r="D3550" s="30">
        <f>"73537268734"</f>
        <v/>
      </c>
      <c r="E3550" s="30" t="inlineStr">
        <is>
          <t>ROGERIO COUTO PEREIRA</t>
        </is>
      </c>
      <c r="F3550" s="30" t="inlineStr">
        <is>
          <t>2021</t>
        </is>
      </c>
      <c r="G3550" s="40" t="n">
        <v>47184</v>
      </c>
    </row>
    <row r="3551" ht="12" customHeight="1">
      <c r="A3551" s="30" t="inlineStr">
        <is>
          <t>ITG</t>
        </is>
      </c>
      <c r="B3551" s="30" t="inlineStr">
        <is>
          <t>Itaguai</t>
        </is>
      </c>
      <c r="C3551" s="30" t="n">
        <v>71687961</v>
      </c>
      <c r="D3551" s="30">
        <f>"73537268734"</f>
        <v/>
      </c>
      <c r="E3551" s="30" t="inlineStr">
        <is>
          <t>ROGERIO COUTO PEREIRA</t>
        </is>
      </c>
      <c r="F3551" s="30" t="inlineStr">
        <is>
          <t>2022</t>
        </is>
      </c>
      <c r="G3551" s="40" t="n">
        <v>8847</v>
      </c>
    </row>
    <row r="3552" ht="12" customHeight="1">
      <c r="A3552" s="30" t="inlineStr">
        <is>
          <t>ITG</t>
        </is>
      </c>
      <c r="B3552" s="30" t="inlineStr">
        <is>
          <t>Itaguai</t>
        </is>
      </c>
      <c r="C3552" s="30" t="n">
        <v>71687961</v>
      </c>
      <c r="D3552" s="30">
        <f>"73537268734"</f>
        <v/>
      </c>
      <c r="E3552" s="30" t="inlineStr">
        <is>
          <t>ROGERIO COUTO PEREIRA</t>
        </is>
      </c>
      <c r="F3552" s="30" t="inlineStr">
        <is>
          <t>2023</t>
        </is>
      </c>
      <c r="G3552" s="40" t="n">
        <v>3488</v>
      </c>
    </row>
    <row r="3553" ht="12" customHeight="1">
      <c r="A3553" s="30" t="inlineStr">
        <is>
          <t>ITG</t>
        </is>
      </c>
      <c r="B3553" s="30" t="inlineStr">
        <is>
          <t>Itaguai</t>
        </is>
      </c>
      <c r="C3553" s="30" t="n">
        <v>72039920</v>
      </c>
      <c r="D3553" s="30">
        <f>"48468940704"</f>
        <v/>
      </c>
      <c r="E3553" s="30" t="inlineStr">
        <is>
          <t>PEDRO DOS SANTOS DIAS</t>
        </is>
      </c>
      <c r="F3553" s="30" t="inlineStr">
        <is>
          <t>2017</t>
        </is>
      </c>
      <c r="G3553" s="40" t="n">
        <v>3500</v>
      </c>
    </row>
    <row r="3554" ht="12" customHeight="1">
      <c r="A3554" s="30" t="inlineStr">
        <is>
          <t>ITG</t>
        </is>
      </c>
      <c r="B3554" s="30" t="inlineStr">
        <is>
          <t>Itaguai</t>
        </is>
      </c>
      <c r="C3554" s="30" t="n">
        <v>72039920</v>
      </c>
      <c r="D3554" s="30">
        <f>"48468940704"</f>
        <v/>
      </c>
      <c r="E3554" s="30" t="inlineStr">
        <is>
          <t>PEDRO DOS SANTOS DIAS</t>
        </is>
      </c>
      <c r="F3554" s="30" t="inlineStr">
        <is>
          <t>2018</t>
        </is>
      </c>
      <c r="G3554" s="40" t="n">
        <v>0</v>
      </c>
    </row>
    <row r="3555" ht="12" customHeight="1">
      <c r="A3555" s="30" t="inlineStr">
        <is>
          <t>ITG</t>
        </is>
      </c>
      <c r="B3555" s="30" t="inlineStr">
        <is>
          <t>Itaguai</t>
        </is>
      </c>
      <c r="C3555" s="30" t="n">
        <v>72039920</v>
      </c>
      <c r="D3555" s="30">
        <f>"48468940704"</f>
        <v/>
      </c>
      <c r="E3555" s="30" t="inlineStr">
        <is>
          <t>PEDRO DOS SANTOS DIAS</t>
        </is>
      </c>
      <c r="F3555" s="30" t="inlineStr">
        <is>
          <t>2019</t>
        </is>
      </c>
      <c r="G3555" s="40" t="n">
        <v>0</v>
      </c>
    </row>
    <row r="3556" ht="12" customHeight="1">
      <c r="A3556" s="30" t="inlineStr">
        <is>
          <t>ITG</t>
        </is>
      </c>
      <c r="B3556" s="30" t="inlineStr">
        <is>
          <t>Itaguai</t>
        </is>
      </c>
      <c r="C3556" s="30" t="n">
        <v>72058887</v>
      </c>
      <c r="D3556" s="30">
        <f>"44782101791"</f>
        <v/>
      </c>
      <c r="E3556" s="30" t="inlineStr">
        <is>
          <t>ANDRE CLEMENTINO TEIXEIRA</t>
        </is>
      </c>
      <c r="F3556" s="30" t="inlineStr">
        <is>
          <t>2017</t>
        </is>
      </c>
      <c r="G3556" s="40" t="n">
        <v>12000</v>
      </c>
    </row>
    <row r="3557" ht="12" customHeight="1">
      <c r="A3557" s="30" t="inlineStr">
        <is>
          <t>ITG</t>
        </is>
      </c>
      <c r="B3557" s="30" t="inlineStr">
        <is>
          <t>Itaguai</t>
        </is>
      </c>
      <c r="C3557" s="30" t="n">
        <v>72058887</v>
      </c>
      <c r="D3557" s="30">
        <f>"44782101791"</f>
        <v/>
      </c>
      <c r="E3557" s="30" t="inlineStr">
        <is>
          <t>ANDRE CLEMENTINO TEIXEIRA</t>
        </is>
      </c>
      <c r="F3557" s="30" t="inlineStr">
        <is>
          <t>2018</t>
        </is>
      </c>
      <c r="G3557" s="40" t="n">
        <v>13500</v>
      </c>
    </row>
    <row r="3558" ht="12" customHeight="1">
      <c r="A3558" s="30" t="inlineStr">
        <is>
          <t>ITG</t>
        </is>
      </c>
      <c r="B3558" s="30" t="inlineStr">
        <is>
          <t>Itaguai</t>
        </is>
      </c>
      <c r="C3558" s="30" t="n">
        <v>72058887</v>
      </c>
      <c r="D3558" s="30">
        <f>"44782101791"</f>
        <v/>
      </c>
      <c r="E3558" s="30" t="inlineStr">
        <is>
          <t>ANDRE CLEMENTINO TEIXEIRA</t>
        </is>
      </c>
      <c r="F3558" s="30" t="inlineStr">
        <is>
          <t>2019</t>
        </is>
      </c>
      <c r="G3558" s="40" t="n">
        <v>24650</v>
      </c>
    </row>
    <row r="3559" ht="12" customHeight="1">
      <c r="A3559" s="30" t="inlineStr">
        <is>
          <t>ITG</t>
        </is>
      </c>
      <c r="B3559" s="30" t="inlineStr">
        <is>
          <t>Itaguai</t>
        </is>
      </c>
      <c r="C3559" s="30" t="n">
        <v>72058887</v>
      </c>
      <c r="D3559" s="30">
        <f>"44782101791"</f>
        <v/>
      </c>
      <c r="E3559" s="30" t="inlineStr">
        <is>
          <t>ANDRE CLEMENTINO TEIXEIRA</t>
        </is>
      </c>
      <c r="F3559" s="30" t="inlineStr">
        <is>
          <t>2020</t>
        </is>
      </c>
      <c r="G3559" s="40" t="n">
        <v>20243</v>
      </c>
    </row>
    <row r="3560" ht="12" customHeight="1">
      <c r="A3560" s="30" t="inlineStr">
        <is>
          <t>ITG</t>
        </is>
      </c>
      <c r="B3560" s="30" t="inlineStr">
        <is>
          <t>Itaguai</t>
        </is>
      </c>
      <c r="C3560" s="30" t="n">
        <v>72058887</v>
      </c>
      <c r="D3560" s="30">
        <f>"44782101791"</f>
        <v/>
      </c>
      <c r="E3560" s="30" t="inlineStr">
        <is>
          <t>ANDRE CLEMENTINO TEIXEIRA</t>
        </is>
      </c>
      <c r="F3560" s="30" t="inlineStr">
        <is>
          <t>2021</t>
        </is>
      </c>
      <c r="G3560" s="40" t="n">
        <v>13749</v>
      </c>
    </row>
    <row r="3561" ht="12" customHeight="1">
      <c r="A3561" s="30" t="inlineStr">
        <is>
          <t>ITG</t>
        </is>
      </c>
      <c r="B3561" s="30" t="inlineStr">
        <is>
          <t>Itaguai</t>
        </is>
      </c>
      <c r="C3561" s="30" t="n">
        <v>72058887</v>
      </c>
      <c r="D3561" s="30">
        <f>"44782101791"</f>
        <v/>
      </c>
      <c r="E3561" s="30" t="inlineStr">
        <is>
          <t>ANDRE CLEMENTINO TEIXEIRA</t>
        </is>
      </c>
      <c r="F3561" s="30" t="inlineStr">
        <is>
          <t>2022</t>
        </is>
      </c>
      <c r="G3561" s="40" t="n">
        <v>18355</v>
      </c>
    </row>
    <row r="3562" ht="12" customHeight="1">
      <c r="A3562" s="30" t="inlineStr">
        <is>
          <t>ITG</t>
        </is>
      </c>
      <c r="B3562" s="30" t="inlineStr">
        <is>
          <t>Itaguai</t>
        </is>
      </c>
      <c r="C3562" s="30" t="n">
        <v>72058887</v>
      </c>
      <c r="D3562" s="30">
        <f>"44782101791"</f>
        <v/>
      </c>
      <c r="E3562" s="30" t="inlineStr">
        <is>
          <t>ANDRE CLEMENTINO TEIXEIRA</t>
        </is>
      </c>
      <c r="F3562" s="30" t="inlineStr">
        <is>
          <t>2023</t>
        </is>
      </c>
      <c r="G3562" s="40" t="n">
        <v>20213</v>
      </c>
    </row>
    <row r="3563" ht="12" customHeight="1">
      <c r="A3563" s="30" t="inlineStr">
        <is>
          <t>ITG</t>
        </is>
      </c>
      <c r="B3563" s="30" t="inlineStr">
        <is>
          <t>Itaguai</t>
        </is>
      </c>
      <c r="C3563" s="30" t="n">
        <v>72071247</v>
      </c>
      <c r="D3563" s="30">
        <f>"21524661791"</f>
        <v/>
      </c>
      <c r="E3563" s="30" t="inlineStr">
        <is>
          <t>LEONEL MARQUES</t>
        </is>
      </c>
      <c r="F3563" s="30" t="inlineStr">
        <is>
          <t>2017</t>
        </is>
      </c>
      <c r="G3563" s="40" t="n">
        <v>27443</v>
      </c>
    </row>
    <row r="3564" ht="12" customHeight="1">
      <c r="A3564" s="30" t="inlineStr">
        <is>
          <t>ITG</t>
        </is>
      </c>
      <c r="B3564" s="30" t="inlineStr">
        <is>
          <t>Itaguai</t>
        </is>
      </c>
      <c r="C3564" s="30" t="n">
        <v>72071247</v>
      </c>
      <c r="D3564" s="30">
        <f>"21524661791"</f>
        <v/>
      </c>
      <c r="E3564" s="30" t="inlineStr">
        <is>
          <t>LEONEL MARQUES</t>
        </is>
      </c>
      <c r="F3564" s="30" t="inlineStr">
        <is>
          <t>2018</t>
        </is>
      </c>
      <c r="G3564" s="40" t="n">
        <v>6925</v>
      </c>
    </row>
    <row r="3565" ht="12" customHeight="1">
      <c r="A3565" s="30" t="inlineStr">
        <is>
          <t>ITG</t>
        </is>
      </c>
      <c r="B3565" s="30" t="inlineStr">
        <is>
          <t>Itaguai</t>
        </is>
      </c>
      <c r="C3565" s="30" t="n">
        <v>72071247</v>
      </c>
      <c r="D3565" s="30">
        <f>"21524661791"</f>
        <v/>
      </c>
      <c r="E3565" s="30" t="inlineStr">
        <is>
          <t>LEONEL MARQUES</t>
        </is>
      </c>
      <c r="F3565" s="30" t="inlineStr">
        <is>
          <t>2019</t>
        </is>
      </c>
      <c r="G3565" s="40" t="n">
        <v>0</v>
      </c>
    </row>
    <row r="3566" ht="12" customHeight="1">
      <c r="A3566" s="30" t="inlineStr">
        <is>
          <t>ITG</t>
        </is>
      </c>
      <c r="B3566" s="30" t="inlineStr">
        <is>
          <t>Itaguai</t>
        </is>
      </c>
      <c r="C3566" s="30" t="n">
        <v>72071247</v>
      </c>
      <c r="D3566" s="30">
        <f>"21524661791"</f>
        <v/>
      </c>
      <c r="E3566" s="30" t="inlineStr">
        <is>
          <t>LEONEL MARQUES</t>
        </is>
      </c>
      <c r="F3566" s="30" t="inlineStr">
        <is>
          <t>2020</t>
        </is>
      </c>
      <c r="G3566" s="40" t="n">
        <v>0</v>
      </c>
    </row>
    <row r="3567" ht="12" customHeight="1">
      <c r="A3567" s="30" t="inlineStr">
        <is>
          <t>ITG</t>
        </is>
      </c>
      <c r="B3567" s="30" t="inlineStr">
        <is>
          <t>Itaguai</t>
        </is>
      </c>
      <c r="C3567" s="30" t="n">
        <v>72079892</v>
      </c>
      <c r="D3567" s="30">
        <f>"25730118015"</f>
        <v/>
      </c>
      <c r="E3567" s="30" t="inlineStr">
        <is>
          <t>JOSE ANTONIO ASSIS SCOTTON</t>
        </is>
      </c>
      <c r="F3567" s="30" t="inlineStr">
        <is>
          <t>2017</t>
        </is>
      </c>
      <c r="G3567" s="40" t="n">
        <v>19745</v>
      </c>
    </row>
    <row r="3568" ht="12" customHeight="1">
      <c r="A3568" s="30" t="inlineStr">
        <is>
          <t>ITG</t>
        </is>
      </c>
      <c r="B3568" s="30" t="inlineStr">
        <is>
          <t>Itaguai</t>
        </is>
      </c>
      <c r="C3568" s="30" t="n">
        <v>72079892</v>
      </c>
      <c r="D3568" s="30">
        <f>"25730118015"</f>
        <v/>
      </c>
      <c r="E3568" s="30" t="inlineStr">
        <is>
          <t>JOSE ANTONIO ASSIS SCOTTON</t>
        </is>
      </c>
      <c r="F3568" s="30" t="inlineStr">
        <is>
          <t>2018</t>
        </is>
      </c>
      <c r="G3568" s="40" t="n">
        <v>18860</v>
      </c>
    </row>
    <row r="3569" ht="12" customHeight="1">
      <c r="A3569" s="30" t="inlineStr">
        <is>
          <t>ITG</t>
        </is>
      </c>
      <c r="B3569" s="30" t="inlineStr">
        <is>
          <t>Itaguai</t>
        </is>
      </c>
      <c r="C3569" s="30" t="n">
        <v>72079892</v>
      </c>
      <c r="D3569" s="30">
        <f>"25730118015"</f>
        <v/>
      </c>
      <c r="E3569" s="30" t="inlineStr">
        <is>
          <t>JOSE ANTONIO ASSIS SCOTTON</t>
        </is>
      </c>
      <c r="F3569" s="30" t="inlineStr">
        <is>
          <t>2019</t>
        </is>
      </c>
      <c r="G3569" s="40" t="n">
        <v>25361</v>
      </c>
    </row>
    <row r="3570" ht="12" customHeight="1">
      <c r="A3570" s="30" t="inlineStr">
        <is>
          <t>ITG</t>
        </is>
      </c>
      <c r="B3570" s="30" t="inlineStr">
        <is>
          <t>Itaguai</t>
        </is>
      </c>
      <c r="C3570" s="30" t="n">
        <v>72079892</v>
      </c>
      <c r="D3570" s="30">
        <f>"25730118015"</f>
        <v/>
      </c>
      <c r="E3570" s="30" t="inlineStr">
        <is>
          <t>JOSE ANTONIO ASSIS SCOTTON</t>
        </is>
      </c>
      <c r="F3570" s="30" t="inlineStr">
        <is>
          <t>2020</t>
        </is>
      </c>
      <c r="G3570" s="40" t="n">
        <v>28894</v>
      </c>
    </row>
    <row r="3571" ht="12" customHeight="1">
      <c r="A3571" s="30" t="inlineStr">
        <is>
          <t>ITG</t>
        </is>
      </c>
      <c r="B3571" s="30" t="inlineStr">
        <is>
          <t>Itaguai</t>
        </is>
      </c>
      <c r="C3571" s="30" t="n">
        <v>72079892</v>
      </c>
      <c r="D3571" s="30">
        <f>"25730118015"</f>
        <v/>
      </c>
      <c r="E3571" s="30" t="inlineStr">
        <is>
          <t>JOSE ANTONIO ASSIS SCOTTON</t>
        </is>
      </c>
      <c r="F3571" s="30" t="inlineStr">
        <is>
          <t>2021</t>
        </is>
      </c>
      <c r="G3571" s="40" t="n">
        <v>15841</v>
      </c>
    </row>
    <row r="3572" ht="12" customHeight="1">
      <c r="A3572" s="30" t="inlineStr">
        <is>
          <t>ITG</t>
        </is>
      </c>
      <c r="B3572" s="30" t="inlineStr">
        <is>
          <t>Itaguai</t>
        </is>
      </c>
      <c r="C3572" s="30" t="n">
        <v>72079892</v>
      </c>
      <c r="D3572" s="30">
        <f>"25730118015"</f>
        <v/>
      </c>
      <c r="E3572" s="30" t="inlineStr">
        <is>
          <t>JOSE ANTONIO ASSIS SCOTTON</t>
        </is>
      </c>
      <c r="F3572" s="30" t="inlineStr">
        <is>
          <t>2022</t>
        </is>
      </c>
      <c r="G3572" s="40" t="n">
        <v>0</v>
      </c>
    </row>
    <row r="3573" ht="12" customHeight="1">
      <c r="A3573" s="30" t="inlineStr">
        <is>
          <t>ITG</t>
        </is>
      </c>
      <c r="B3573" s="30" t="inlineStr">
        <is>
          <t>Itaguai</t>
        </is>
      </c>
      <c r="C3573" s="30" t="n">
        <v>72079892</v>
      </c>
      <c r="D3573" s="30">
        <f>"25730118015"</f>
        <v/>
      </c>
      <c r="E3573" s="30" t="inlineStr">
        <is>
          <t>JOSE ANTONIO ASSIS SCOTTON</t>
        </is>
      </c>
      <c r="F3573" s="30" t="inlineStr">
        <is>
          <t>2023</t>
        </is>
      </c>
      <c r="G3573" s="40" t="n">
        <v>0</v>
      </c>
    </row>
    <row r="3574" ht="12" customHeight="1">
      <c r="A3574" s="30" t="inlineStr">
        <is>
          <t>ITG</t>
        </is>
      </c>
      <c r="B3574" s="30" t="inlineStr">
        <is>
          <t>Itaguai</t>
        </is>
      </c>
      <c r="C3574" s="30" t="n">
        <v>72085663</v>
      </c>
      <c r="D3574" s="30">
        <f>"05565358710"</f>
        <v/>
      </c>
      <c r="E3574" s="30" t="inlineStr">
        <is>
          <t>FELIPE GIMENES GONCALVES RAUNHEITTI G</t>
        </is>
      </c>
      <c r="F3574" s="30" t="inlineStr">
        <is>
          <t>2017</t>
        </is>
      </c>
      <c r="G3574" s="40" t="n">
        <v>363817.16</v>
      </c>
    </row>
    <row r="3575" ht="12" customHeight="1">
      <c r="A3575" s="30" t="inlineStr">
        <is>
          <t>ITG</t>
        </is>
      </c>
      <c r="B3575" s="30" t="inlineStr">
        <is>
          <t>Itaguai</t>
        </is>
      </c>
      <c r="C3575" s="30" t="n">
        <v>72085663</v>
      </c>
      <c r="D3575" s="30">
        <f>"05565358710"</f>
        <v/>
      </c>
      <c r="E3575" s="30" t="inlineStr">
        <is>
          <t>FELIPE GIMENES GONCALVES RAUNHEITTI G</t>
        </is>
      </c>
      <c r="F3575" s="30" t="inlineStr">
        <is>
          <t>2018</t>
        </is>
      </c>
      <c r="G3575" s="40" t="n">
        <v>0</v>
      </c>
    </row>
    <row r="3576" ht="12" customHeight="1">
      <c r="A3576" s="30" t="inlineStr">
        <is>
          <t>ITG</t>
        </is>
      </c>
      <c r="B3576" s="30" t="inlineStr">
        <is>
          <t>Itaguai</t>
        </is>
      </c>
      <c r="C3576" s="30" t="n">
        <v>72085663</v>
      </c>
      <c r="D3576" s="30">
        <f>"05565358710"</f>
        <v/>
      </c>
      <c r="E3576" s="30" t="inlineStr">
        <is>
          <t>FELIPE GIMENES GONCALVES RAUNHEITTI G</t>
        </is>
      </c>
      <c r="F3576" s="30" t="inlineStr">
        <is>
          <t>2019</t>
        </is>
      </c>
      <c r="G3576" s="40" t="n">
        <v>0</v>
      </c>
    </row>
    <row r="3577" ht="12" customHeight="1">
      <c r="A3577" s="30" t="inlineStr">
        <is>
          <t>ITG</t>
        </is>
      </c>
      <c r="B3577" s="30" t="inlineStr">
        <is>
          <t>Itaguai</t>
        </is>
      </c>
      <c r="C3577" s="30" t="n">
        <v>72085663</v>
      </c>
      <c r="D3577" s="30">
        <f>"05565358710"</f>
        <v/>
      </c>
      <c r="E3577" s="30" t="inlineStr">
        <is>
          <t>FELIPE GIMENES GONCALVES RAUNHEITTI G</t>
        </is>
      </c>
      <c r="F3577" s="30" t="inlineStr">
        <is>
          <t>2020</t>
        </is>
      </c>
      <c r="G3577" s="40" t="n">
        <v>0</v>
      </c>
    </row>
    <row r="3578" ht="12" customHeight="1">
      <c r="A3578" s="30" t="inlineStr">
        <is>
          <t>ITG</t>
        </is>
      </c>
      <c r="B3578" s="30" t="inlineStr">
        <is>
          <t>Itaguai</t>
        </is>
      </c>
      <c r="C3578" s="30" t="n">
        <v>72085663</v>
      </c>
      <c r="D3578" s="30">
        <f>"05565358710"</f>
        <v/>
      </c>
      <c r="E3578" s="30" t="inlineStr">
        <is>
          <t>FELIPE GIMENES GONCALVES RAUNHEITTI G</t>
        </is>
      </c>
      <c r="F3578" s="30" t="inlineStr">
        <is>
          <t>2021</t>
        </is>
      </c>
      <c r="G3578" s="40" t="n">
        <v>0</v>
      </c>
    </row>
    <row r="3579" ht="12" customHeight="1">
      <c r="A3579" s="30" t="inlineStr">
        <is>
          <t>ITG</t>
        </is>
      </c>
      <c r="B3579" s="30" t="inlineStr">
        <is>
          <t>Itaguai</t>
        </is>
      </c>
      <c r="C3579" s="30" t="n">
        <v>72085663</v>
      </c>
      <c r="D3579" s="30">
        <f>"05565358710"</f>
        <v/>
      </c>
      <c r="E3579" s="30" t="inlineStr">
        <is>
          <t>FELIPE GIMENES GONCALVES RAUNHEITTI G</t>
        </is>
      </c>
      <c r="F3579" s="30" t="inlineStr">
        <is>
          <t>2022</t>
        </is>
      </c>
      <c r="G3579" s="40" t="n">
        <v>0</v>
      </c>
    </row>
    <row r="3580" ht="12" customHeight="1">
      <c r="A3580" s="30" t="inlineStr">
        <is>
          <t>ITG</t>
        </is>
      </c>
      <c r="B3580" s="30" t="inlineStr">
        <is>
          <t>Itaguai</t>
        </is>
      </c>
      <c r="C3580" s="30" t="n">
        <v>72085663</v>
      </c>
      <c r="D3580" s="30">
        <f>"05565358710"</f>
        <v/>
      </c>
      <c r="E3580" s="30" t="inlineStr">
        <is>
          <t>FELIPE GIMENES GONCALVES RAUNHEITTI G</t>
        </is>
      </c>
      <c r="F3580" s="30" t="inlineStr">
        <is>
          <t>2023</t>
        </is>
      </c>
      <c r="G3580" s="40" t="n">
        <v>0</v>
      </c>
    </row>
    <row r="3581" ht="12" customHeight="1">
      <c r="A3581" s="30" t="inlineStr">
        <is>
          <t>ITG</t>
        </is>
      </c>
      <c r="B3581" s="30" t="inlineStr">
        <is>
          <t>Itaguai</t>
        </is>
      </c>
      <c r="C3581" s="30" t="n">
        <v>72090683</v>
      </c>
      <c r="D3581" s="30">
        <f>"32918879720"</f>
        <v/>
      </c>
      <c r="E3581" s="30" t="inlineStr">
        <is>
          <t>EDSON DE SOUZA SILVA</t>
        </is>
      </c>
      <c r="F3581" s="30" t="inlineStr">
        <is>
          <t>2017</t>
        </is>
      </c>
      <c r="G3581" s="40" t="n">
        <v>180839</v>
      </c>
    </row>
    <row r="3582" ht="12" customHeight="1">
      <c r="A3582" s="30" t="inlineStr">
        <is>
          <t>ITG</t>
        </is>
      </c>
      <c r="B3582" s="30" t="inlineStr">
        <is>
          <t>Itaguai</t>
        </is>
      </c>
      <c r="C3582" s="30" t="n">
        <v>72090683</v>
      </c>
      <c r="D3582" s="30">
        <f>"32918879720"</f>
        <v/>
      </c>
      <c r="E3582" s="30" t="inlineStr">
        <is>
          <t>EDSON DE SOUZA SILVA</t>
        </is>
      </c>
      <c r="F3582" s="30" t="inlineStr">
        <is>
          <t>2018</t>
        </is>
      </c>
      <c r="G3582" s="40" t="n">
        <v>0</v>
      </c>
    </row>
    <row r="3583" ht="12" customHeight="1">
      <c r="A3583" s="30" t="inlineStr">
        <is>
          <t>ITG</t>
        </is>
      </c>
      <c r="B3583" s="30" t="inlineStr">
        <is>
          <t>Itaguai</t>
        </is>
      </c>
      <c r="C3583" s="30" t="n">
        <v>72090683</v>
      </c>
      <c r="D3583" s="30">
        <f>"32918879720"</f>
        <v/>
      </c>
      <c r="E3583" s="30" t="inlineStr">
        <is>
          <t>EDSON DE SOUZA SILVA</t>
        </is>
      </c>
      <c r="F3583" s="30" t="inlineStr">
        <is>
          <t>2019</t>
        </is>
      </c>
      <c r="G3583" s="40" t="n">
        <v>0</v>
      </c>
    </row>
    <row r="3584" ht="12" customHeight="1">
      <c r="A3584" s="30" t="inlineStr">
        <is>
          <t>ITG</t>
        </is>
      </c>
      <c r="B3584" s="30" t="inlineStr">
        <is>
          <t>Itaguai</t>
        </is>
      </c>
      <c r="C3584" s="30" t="n">
        <v>72097629</v>
      </c>
      <c r="D3584" s="30">
        <f>"03527592750"</f>
        <v/>
      </c>
      <c r="E3584" s="30" t="inlineStr">
        <is>
          <t>MARCOS ANTONIO PEIXOTO DA FONSECA</t>
        </is>
      </c>
      <c r="F3584" s="30" t="inlineStr">
        <is>
          <t>2017</t>
        </is>
      </c>
      <c r="G3584" s="40" t="n">
        <v>2927564.62</v>
      </c>
    </row>
    <row r="3585" ht="12" customHeight="1">
      <c r="A3585" s="30" t="inlineStr">
        <is>
          <t>ITG</t>
        </is>
      </c>
      <c r="B3585" s="30" t="inlineStr">
        <is>
          <t>Itaguai</t>
        </is>
      </c>
      <c r="C3585" s="30" t="n">
        <v>72097629</v>
      </c>
      <c r="D3585" s="30">
        <f>"03527592750"</f>
        <v/>
      </c>
      <c r="E3585" s="30" t="inlineStr">
        <is>
          <t>MARCOS ANTONIO PEIXOTO DA FONSECA</t>
        </is>
      </c>
      <c r="F3585" s="30" t="inlineStr">
        <is>
          <t>2018</t>
        </is>
      </c>
      <c r="G3585" s="40" t="n">
        <v>2217375.72</v>
      </c>
    </row>
    <row r="3586" ht="12" customHeight="1">
      <c r="A3586" s="30" t="inlineStr">
        <is>
          <t>ITG</t>
        </is>
      </c>
      <c r="B3586" s="30" t="inlineStr">
        <is>
          <t>Itaguai</t>
        </is>
      </c>
      <c r="C3586" s="30" t="n">
        <v>72097629</v>
      </c>
      <c r="D3586" s="30">
        <f>"03527592750"</f>
        <v/>
      </c>
      <c r="E3586" s="30" t="inlineStr">
        <is>
          <t>MARCOS ANTONIO PEIXOTO DA FONSECA</t>
        </is>
      </c>
      <c r="F3586" s="30" t="inlineStr">
        <is>
          <t>2019</t>
        </is>
      </c>
      <c r="G3586" s="40" t="n">
        <v>4794842.34</v>
      </c>
    </row>
    <row r="3587" ht="12" customHeight="1">
      <c r="A3587" s="30" t="inlineStr">
        <is>
          <t>ITG</t>
        </is>
      </c>
      <c r="B3587" s="30" t="inlineStr">
        <is>
          <t>Itaguai</t>
        </is>
      </c>
      <c r="C3587" s="30" t="n">
        <v>72097629</v>
      </c>
      <c r="D3587" s="30">
        <f>"03527592750"</f>
        <v/>
      </c>
      <c r="E3587" s="30" t="inlineStr">
        <is>
          <t>MARCOS ANTONIO PEIXOTO DA FONSECA</t>
        </is>
      </c>
      <c r="F3587" s="30" t="inlineStr">
        <is>
          <t>2020</t>
        </is>
      </c>
      <c r="G3587" s="40" t="n">
        <v>10930291.13</v>
      </c>
    </row>
    <row r="3588" ht="12" customHeight="1">
      <c r="A3588" s="30" t="inlineStr">
        <is>
          <t>ITG</t>
        </is>
      </c>
      <c r="B3588" s="30" t="inlineStr">
        <is>
          <t>Itaguai</t>
        </is>
      </c>
      <c r="C3588" s="30" t="n">
        <v>72097629</v>
      </c>
      <c r="D3588" s="30">
        <f>"03527592750"</f>
        <v/>
      </c>
      <c r="E3588" s="30" t="inlineStr">
        <is>
          <t>MARCOS ANTONIO PEIXOTO DA FONSECA</t>
        </is>
      </c>
      <c r="F3588" s="30" t="inlineStr">
        <is>
          <t>2021</t>
        </is>
      </c>
      <c r="G3588" s="40" t="n">
        <v>18003421.74</v>
      </c>
    </row>
    <row r="3589" ht="12" customHeight="1">
      <c r="A3589" s="30" t="inlineStr">
        <is>
          <t>ITG</t>
        </is>
      </c>
      <c r="B3589" s="30" t="inlineStr">
        <is>
          <t>Itaguai</t>
        </is>
      </c>
      <c r="C3589" s="30" t="n">
        <v>72097629</v>
      </c>
      <c r="D3589" s="30">
        <f>"03527592750"</f>
        <v/>
      </c>
      <c r="E3589" s="30" t="inlineStr">
        <is>
          <t>MARCOS ANTONIO PEIXOTO DA FONSECA</t>
        </is>
      </c>
      <c r="F3589" s="30" t="inlineStr">
        <is>
          <t>2022</t>
        </is>
      </c>
      <c r="G3589" s="40" t="n">
        <v>173264</v>
      </c>
    </row>
    <row r="3590" ht="12" customHeight="1">
      <c r="A3590" s="30" t="inlineStr">
        <is>
          <t>ITG</t>
        </is>
      </c>
      <c r="B3590" s="30" t="inlineStr">
        <is>
          <t>Itaguai</t>
        </is>
      </c>
      <c r="C3590" s="30" t="n">
        <v>72097629</v>
      </c>
      <c r="D3590" s="30">
        <f>"03527592750"</f>
        <v/>
      </c>
      <c r="E3590" s="30" t="inlineStr">
        <is>
          <t>MARCOS ANTONIO PEIXOTO DA FONSECA</t>
        </is>
      </c>
      <c r="F3590" s="30" t="inlineStr">
        <is>
          <t>2023</t>
        </is>
      </c>
      <c r="G3590" s="40" t="n">
        <v>0</v>
      </c>
    </row>
    <row r="3591" ht="12" customHeight="1">
      <c r="A3591" s="30" t="inlineStr">
        <is>
          <t>ITG</t>
        </is>
      </c>
      <c r="B3591" s="30" t="inlineStr">
        <is>
          <t>Itaguai</t>
        </is>
      </c>
      <c r="C3591" s="30" t="n">
        <v>72142829</v>
      </c>
      <c r="D3591" s="30">
        <f>"02426552700"</f>
        <v/>
      </c>
      <c r="E3591" s="30" t="inlineStr">
        <is>
          <t>LUIZ CARLOS DE CARVALHO STUDART</t>
        </is>
      </c>
      <c r="F3591" s="30" t="inlineStr">
        <is>
          <t>2017</t>
        </is>
      </c>
      <c r="G3591" s="40" t="n">
        <v>37400</v>
      </c>
    </row>
    <row r="3592" ht="12" customHeight="1">
      <c r="A3592" s="30" t="inlineStr">
        <is>
          <t>ITG</t>
        </is>
      </c>
      <c r="B3592" s="30" t="inlineStr">
        <is>
          <t>Itaguai</t>
        </is>
      </c>
      <c r="C3592" s="30" t="n">
        <v>72142829</v>
      </c>
      <c r="D3592" s="30">
        <f>"02426552700"</f>
        <v/>
      </c>
      <c r="E3592" s="30" t="inlineStr">
        <is>
          <t>LUIZ CARLOS DE CARVALHO STUDART</t>
        </is>
      </c>
      <c r="F3592" s="30" t="inlineStr">
        <is>
          <t>2018</t>
        </is>
      </c>
      <c r="G3592" s="40" t="n">
        <v>87620</v>
      </c>
    </row>
    <row r="3593" ht="12" customHeight="1">
      <c r="A3593" s="30" t="inlineStr">
        <is>
          <t>ITG</t>
        </is>
      </c>
      <c r="B3593" s="30" t="inlineStr">
        <is>
          <t>Itaguai</t>
        </is>
      </c>
      <c r="C3593" s="30" t="n">
        <v>72142829</v>
      </c>
      <c r="D3593" s="30">
        <f>"02426552700"</f>
        <v/>
      </c>
      <c r="E3593" s="30" t="inlineStr">
        <is>
          <t>LUIZ CARLOS DE CARVALHO STUDART</t>
        </is>
      </c>
      <c r="F3593" s="30" t="inlineStr">
        <is>
          <t>2019</t>
        </is>
      </c>
      <c r="G3593" s="40" t="n">
        <v>55300</v>
      </c>
    </row>
    <row r="3594" ht="12" customHeight="1">
      <c r="A3594" s="30" t="inlineStr">
        <is>
          <t>ITG</t>
        </is>
      </c>
      <c r="B3594" s="30" t="inlineStr">
        <is>
          <t>Itaguai</t>
        </is>
      </c>
      <c r="C3594" s="30" t="n">
        <v>72142829</v>
      </c>
      <c r="D3594" s="30">
        <f>"02426552700"</f>
        <v/>
      </c>
      <c r="E3594" s="30" t="inlineStr">
        <is>
          <t>LUIZ CARLOS DE CARVALHO STUDART</t>
        </is>
      </c>
      <c r="F3594" s="30" t="inlineStr">
        <is>
          <t>2020</t>
        </is>
      </c>
      <c r="G3594" s="40" t="n">
        <v>0</v>
      </c>
    </row>
    <row r="3595" ht="12" customHeight="1">
      <c r="A3595" s="30" t="inlineStr">
        <is>
          <t>ITG</t>
        </is>
      </c>
      <c r="B3595" s="30" t="inlineStr">
        <is>
          <t>Itaguai</t>
        </is>
      </c>
      <c r="C3595" s="30" t="n">
        <v>72142829</v>
      </c>
      <c r="D3595" s="30">
        <f>"02426552700"</f>
        <v/>
      </c>
      <c r="E3595" s="30" t="inlineStr">
        <is>
          <t>LUIZ CARLOS DE CARVALHO STUDART</t>
        </is>
      </c>
      <c r="F3595" s="30" t="inlineStr">
        <is>
          <t>2021</t>
        </is>
      </c>
      <c r="G3595" s="40" t="n">
        <v>0</v>
      </c>
    </row>
    <row r="3596" ht="12" customHeight="1">
      <c r="A3596" s="30" t="inlineStr">
        <is>
          <t>ITG</t>
        </is>
      </c>
      <c r="B3596" s="30" t="inlineStr">
        <is>
          <t>Itaguai</t>
        </is>
      </c>
      <c r="C3596" s="30" t="n">
        <v>72142829</v>
      </c>
      <c r="D3596" s="30">
        <f>"02426552700"</f>
        <v/>
      </c>
      <c r="E3596" s="30" t="inlineStr">
        <is>
          <t>LUIZ CARLOS DE CARVALHO STUDART</t>
        </is>
      </c>
      <c r="F3596" s="30" t="inlineStr">
        <is>
          <t>2022</t>
        </is>
      </c>
      <c r="G3596" s="40" t="n">
        <v>0</v>
      </c>
    </row>
    <row r="3597" ht="12" customHeight="1">
      <c r="A3597" s="30" t="inlineStr">
        <is>
          <t>ITG</t>
        </is>
      </c>
      <c r="B3597" s="30" t="inlineStr">
        <is>
          <t>Itaguai</t>
        </is>
      </c>
      <c r="C3597" s="30" t="n">
        <v>72142829</v>
      </c>
      <c r="D3597" s="30">
        <f>"02426552700"</f>
        <v/>
      </c>
      <c r="E3597" s="30" t="inlineStr">
        <is>
          <t>LUIZ CARLOS DE CARVALHO STUDART</t>
        </is>
      </c>
      <c r="F3597" s="30" t="inlineStr">
        <is>
          <t>2023</t>
        </is>
      </c>
      <c r="G3597" s="40" t="n">
        <v>0</v>
      </c>
    </row>
    <row r="3598" ht="12" customHeight="1">
      <c r="A3598" s="30" t="inlineStr">
        <is>
          <t>ITG</t>
        </is>
      </c>
      <c r="B3598" s="30" t="inlineStr">
        <is>
          <t>Itaguai</t>
        </is>
      </c>
      <c r="C3598" s="30" t="n">
        <v>72162544</v>
      </c>
      <c r="D3598" s="30">
        <f>"01972624733"</f>
        <v/>
      </c>
      <c r="E3598" s="30" t="inlineStr">
        <is>
          <t>PEDRO PACHECO DA SILVA</t>
        </is>
      </c>
      <c r="F3598" s="30" t="inlineStr">
        <is>
          <t>2017</t>
        </is>
      </c>
      <c r="G3598" s="40" t="n">
        <v>0</v>
      </c>
    </row>
    <row r="3599" ht="12" customHeight="1">
      <c r="A3599" s="30" t="inlineStr">
        <is>
          <t>ITG</t>
        </is>
      </c>
      <c r="B3599" s="30" t="inlineStr">
        <is>
          <t>Itaguai</t>
        </is>
      </c>
      <c r="C3599" s="30" t="n">
        <v>72162544</v>
      </c>
      <c r="D3599" s="30">
        <f>"01972624733"</f>
        <v/>
      </c>
      <c r="E3599" s="30" t="inlineStr">
        <is>
          <t>PEDRO PACHECO DA SILVA</t>
        </is>
      </c>
      <c r="F3599" s="30" t="inlineStr">
        <is>
          <t>2018</t>
        </is>
      </c>
      <c r="G3599" s="40" t="n">
        <v>19340.67</v>
      </c>
    </row>
    <row r="3600" ht="12" customHeight="1">
      <c r="A3600" s="30" t="inlineStr">
        <is>
          <t>ITG</t>
        </is>
      </c>
      <c r="B3600" s="30" t="inlineStr">
        <is>
          <t>Itaguai</t>
        </is>
      </c>
      <c r="C3600" s="30" t="n">
        <v>72162544</v>
      </c>
      <c r="D3600" s="30">
        <f>"01972624733"</f>
        <v/>
      </c>
      <c r="E3600" s="30" t="inlineStr">
        <is>
          <t>PEDRO PACHECO DA SILVA</t>
        </is>
      </c>
      <c r="F3600" s="30" t="inlineStr">
        <is>
          <t>2019</t>
        </is>
      </c>
      <c r="G3600" s="40" t="n">
        <v>0</v>
      </c>
    </row>
    <row r="3601" ht="12" customHeight="1">
      <c r="A3601" s="30" t="inlineStr">
        <is>
          <t>ITG</t>
        </is>
      </c>
      <c r="B3601" s="30" t="inlineStr">
        <is>
          <t>Itaguai</t>
        </is>
      </c>
      <c r="C3601" s="30" t="n">
        <v>72162544</v>
      </c>
      <c r="D3601" s="30">
        <f>"01972624733"</f>
        <v/>
      </c>
      <c r="E3601" s="30" t="inlineStr">
        <is>
          <t>PEDRO PACHECO DA SILVA</t>
        </is>
      </c>
      <c r="F3601" s="30" t="inlineStr">
        <is>
          <t>2020</t>
        </is>
      </c>
      <c r="G3601" s="40" t="n">
        <v>0</v>
      </c>
    </row>
    <row r="3602" ht="12" customHeight="1">
      <c r="A3602" s="30" t="inlineStr">
        <is>
          <t>ITG</t>
        </is>
      </c>
      <c r="B3602" s="30" t="inlineStr">
        <is>
          <t>Itaguai</t>
        </is>
      </c>
      <c r="C3602" s="30" t="n">
        <v>72162544</v>
      </c>
      <c r="D3602" s="30">
        <f>"01972624733"</f>
        <v/>
      </c>
      <c r="E3602" s="30" t="inlineStr">
        <is>
          <t>PEDRO PACHECO DA SILVA</t>
        </is>
      </c>
      <c r="F3602" s="30" t="inlineStr">
        <is>
          <t>2021</t>
        </is>
      </c>
      <c r="G3602" s="40" t="n">
        <v>0</v>
      </c>
    </row>
    <row r="3603" ht="12" customHeight="1">
      <c r="A3603" s="30" t="inlineStr">
        <is>
          <t>ITG</t>
        </is>
      </c>
      <c r="B3603" s="30" t="inlineStr">
        <is>
          <t>Itaguai</t>
        </is>
      </c>
      <c r="C3603" s="30" t="n">
        <v>72169310</v>
      </c>
      <c r="D3603" s="30">
        <f>"03248969725"</f>
        <v/>
      </c>
      <c r="E3603" s="30" t="inlineStr">
        <is>
          <t>VILMAR DOS SANTOS  CAVALCANTE</t>
        </is>
      </c>
      <c r="F3603" s="30" t="inlineStr">
        <is>
          <t>2017</t>
        </is>
      </c>
      <c r="G3603" s="40" t="n">
        <v>5200</v>
      </c>
    </row>
    <row r="3604" ht="12" customHeight="1">
      <c r="A3604" s="30" t="inlineStr">
        <is>
          <t>ITG</t>
        </is>
      </c>
      <c r="B3604" s="30" t="inlineStr">
        <is>
          <t>Itaguai</t>
        </is>
      </c>
      <c r="C3604" s="30" t="n">
        <v>72169310</v>
      </c>
      <c r="D3604" s="30">
        <f>"03248969725"</f>
        <v/>
      </c>
      <c r="E3604" s="30" t="inlineStr">
        <is>
          <t>VILMAR DOS SANTOS  CAVALCANTE</t>
        </is>
      </c>
      <c r="F3604" s="30" t="inlineStr">
        <is>
          <t>2018</t>
        </is>
      </c>
      <c r="G3604" s="40" t="n">
        <v>8500</v>
      </c>
    </row>
    <row r="3605" ht="12" customHeight="1">
      <c r="A3605" s="30" t="inlineStr">
        <is>
          <t>ITG</t>
        </is>
      </c>
      <c r="B3605" s="30" t="inlineStr">
        <is>
          <t>Itaguai</t>
        </is>
      </c>
      <c r="C3605" s="30" t="n">
        <v>72169310</v>
      </c>
      <c r="D3605" s="30">
        <f>"03248969725"</f>
        <v/>
      </c>
      <c r="E3605" s="30" t="inlineStr">
        <is>
          <t>VILMAR DOS SANTOS  CAVALCANTE</t>
        </is>
      </c>
      <c r="F3605" s="30" t="inlineStr">
        <is>
          <t>2019</t>
        </is>
      </c>
      <c r="G3605" s="40" t="n">
        <v>20000</v>
      </c>
    </row>
    <row r="3606" ht="12" customHeight="1">
      <c r="A3606" s="30" t="inlineStr">
        <is>
          <t>ITG</t>
        </is>
      </c>
      <c r="B3606" s="30" t="inlineStr">
        <is>
          <t>Itaguai</t>
        </is>
      </c>
      <c r="C3606" s="30" t="n">
        <v>72169310</v>
      </c>
      <c r="D3606" s="30">
        <f>"03248969725"</f>
        <v/>
      </c>
      <c r="E3606" s="30" t="inlineStr">
        <is>
          <t>VILMAR DOS SANTOS  CAVALCANTE</t>
        </is>
      </c>
      <c r="F3606" s="30" t="inlineStr">
        <is>
          <t>2020</t>
        </is>
      </c>
      <c r="G3606" s="40" t="n">
        <v>5500</v>
      </c>
    </row>
    <row r="3607" ht="12" customHeight="1">
      <c r="A3607" s="30" t="inlineStr">
        <is>
          <t>ITG</t>
        </is>
      </c>
      <c r="B3607" s="30" t="inlineStr">
        <is>
          <t>Itaguai</t>
        </is>
      </c>
      <c r="C3607" s="30" t="n">
        <v>72169310</v>
      </c>
      <c r="D3607" s="30">
        <f>"03248969725"</f>
        <v/>
      </c>
      <c r="E3607" s="30" t="inlineStr">
        <is>
          <t>VILMAR DOS SANTOS  CAVALCANTE</t>
        </is>
      </c>
      <c r="F3607" s="30" t="inlineStr">
        <is>
          <t>2021</t>
        </is>
      </c>
      <c r="G3607" s="40" t="n">
        <v>12000</v>
      </c>
    </row>
    <row r="3608" ht="12" customHeight="1">
      <c r="A3608" s="30" t="inlineStr">
        <is>
          <t>ITG</t>
        </is>
      </c>
      <c r="B3608" s="30" t="inlineStr">
        <is>
          <t>Itaguai</t>
        </is>
      </c>
      <c r="C3608" s="30" t="n">
        <v>72169310</v>
      </c>
      <c r="D3608" s="30">
        <f>"03248969725"</f>
        <v/>
      </c>
      <c r="E3608" s="30" t="inlineStr">
        <is>
          <t>VILMAR DOS SANTOS  CAVALCANTE</t>
        </is>
      </c>
      <c r="F3608" s="30" t="inlineStr">
        <is>
          <t>2022</t>
        </is>
      </c>
      <c r="G3608" s="40" t="n">
        <v>10000</v>
      </c>
    </row>
    <row r="3609" ht="12" customHeight="1">
      <c r="A3609" s="30" t="inlineStr">
        <is>
          <t>ITG</t>
        </is>
      </c>
      <c r="B3609" s="30" t="inlineStr">
        <is>
          <t>Itaguai</t>
        </is>
      </c>
      <c r="C3609" s="30" t="n">
        <v>72169310</v>
      </c>
      <c r="D3609" s="30">
        <f>"03248969725"</f>
        <v/>
      </c>
      <c r="E3609" s="30" t="inlineStr">
        <is>
          <t>VILMAR DOS SANTOS  CAVALCANTE</t>
        </is>
      </c>
      <c r="F3609" s="30" t="inlineStr">
        <is>
          <t>2023</t>
        </is>
      </c>
      <c r="G3609" s="40" t="n">
        <v>12960</v>
      </c>
    </row>
    <row r="3610" ht="12" customHeight="1">
      <c r="A3610" s="30" t="inlineStr">
        <is>
          <t>ITG</t>
        </is>
      </c>
      <c r="B3610" s="30" t="inlineStr">
        <is>
          <t>Itaguai</t>
        </is>
      </c>
      <c r="C3610" s="30" t="n">
        <v>72235770</v>
      </c>
      <c r="D3610" s="30">
        <f>"00008437769"</f>
        <v/>
      </c>
      <c r="E3610" s="30" t="inlineStr">
        <is>
          <t>MARGARETH SOARES MELGACO</t>
        </is>
      </c>
      <c r="F3610" s="30" t="inlineStr">
        <is>
          <t>2018</t>
        </is>
      </c>
      <c r="G3610" s="40" t="n">
        <v>0</v>
      </c>
    </row>
    <row r="3611" ht="12" customHeight="1">
      <c r="A3611" s="30" t="inlineStr">
        <is>
          <t>ITG</t>
        </is>
      </c>
      <c r="B3611" s="30" t="inlineStr">
        <is>
          <t>Itaguai</t>
        </is>
      </c>
      <c r="C3611" s="30" t="n">
        <v>72235770</v>
      </c>
      <c r="D3611" s="30">
        <f>"00008437769"</f>
        <v/>
      </c>
      <c r="E3611" s="30" t="inlineStr">
        <is>
          <t>MARGARETH SOARES MELGACO</t>
        </is>
      </c>
      <c r="F3611" s="30" t="inlineStr">
        <is>
          <t>2019</t>
        </is>
      </c>
      <c r="G3611" s="40" t="n">
        <v>0</v>
      </c>
    </row>
    <row r="3612" ht="12" customHeight="1">
      <c r="A3612" s="30" t="inlineStr">
        <is>
          <t>ITG</t>
        </is>
      </c>
      <c r="B3612" s="30" t="inlineStr">
        <is>
          <t>Itaguai</t>
        </is>
      </c>
      <c r="C3612" s="30" t="n">
        <v>72235770</v>
      </c>
      <c r="D3612" s="30">
        <f>"00008437769"</f>
        <v/>
      </c>
      <c r="E3612" s="30" t="inlineStr">
        <is>
          <t>MARGARETH SOARES MELGACO</t>
        </is>
      </c>
      <c r="F3612" s="30" t="inlineStr">
        <is>
          <t>2020</t>
        </is>
      </c>
      <c r="G3612" s="40" t="n">
        <v>2760</v>
      </c>
    </row>
    <row r="3613" ht="12" customHeight="1">
      <c r="A3613" s="30" t="inlineStr">
        <is>
          <t>ITG</t>
        </is>
      </c>
      <c r="B3613" s="30" t="inlineStr">
        <is>
          <t>Itaguai</t>
        </is>
      </c>
      <c r="C3613" s="30" t="n">
        <v>72235770</v>
      </c>
      <c r="D3613" s="30">
        <f>"00008437769"</f>
        <v/>
      </c>
      <c r="E3613" s="30" t="inlineStr">
        <is>
          <t>MARGARETH SOARES MELGACO</t>
        </is>
      </c>
      <c r="F3613" s="30" t="inlineStr">
        <is>
          <t>2021</t>
        </is>
      </c>
      <c r="G3613" s="40" t="n">
        <v>0</v>
      </c>
    </row>
    <row r="3614" ht="12" customHeight="1">
      <c r="A3614" s="30" t="inlineStr">
        <is>
          <t>ITG</t>
        </is>
      </c>
      <c r="B3614" s="30" t="inlineStr">
        <is>
          <t>Itaguai</t>
        </is>
      </c>
      <c r="C3614" s="30" t="n">
        <v>72235770</v>
      </c>
      <c r="D3614" s="30">
        <f>"00008437769"</f>
        <v/>
      </c>
      <c r="E3614" s="30" t="inlineStr">
        <is>
          <t>MARGARETH SOARES MELGACO</t>
        </is>
      </c>
      <c r="F3614" s="30" t="inlineStr">
        <is>
          <t>2022</t>
        </is>
      </c>
      <c r="G3614" s="40" t="n">
        <v>0</v>
      </c>
    </row>
    <row r="3615" ht="12" customHeight="1">
      <c r="A3615" s="30" t="inlineStr">
        <is>
          <t>ITG</t>
        </is>
      </c>
      <c r="B3615" s="30" t="inlineStr">
        <is>
          <t>Itaguai</t>
        </is>
      </c>
      <c r="C3615" s="30" t="n">
        <v>72253337</v>
      </c>
      <c r="D3615" s="30">
        <f>"03364746796"</f>
        <v/>
      </c>
      <c r="E3615" s="30" t="inlineStr">
        <is>
          <t>GUILHERME MORAIS MACHADO</t>
        </is>
      </c>
      <c r="F3615" s="30" t="inlineStr">
        <is>
          <t>2017</t>
        </is>
      </c>
      <c r="G3615" s="40" t="n">
        <v>14120</v>
      </c>
    </row>
    <row r="3616" ht="12" customHeight="1">
      <c r="A3616" s="30" t="inlineStr">
        <is>
          <t>ITG</t>
        </is>
      </c>
      <c r="B3616" s="30" t="inlineStr">
        <is>
          <t>Itaguai</t>
        </is>
      </c>
      <c r="C3616" s="30" t="n">
        <v>72253337</v>
      </c>
      <c r="D3616" s="30">
        <f>"03364746796"</f>
        <v/>
      </c>
      <c r="E3616" s="30" t="inlineStr">
        <is>
          <t>GUILHERME MORAIS MACHADO</t>
        </is>
      </c>
      <c r="F3616" s="30" t="inlineStr">
        <is>
          <t>2018</t>
        </is>
      </c>
      <c r="G3616" s="40" t="n">
        <v>190904</v>
      </c>
    </row>
    <row r="3617" ht="12" customHeight="1">
      <c r="A3617" s="30" t="inlineStr">
        <is>
          <t>ITG</t>
        </is>
      </c>
      <c r="B3617" s="30" t="inlineStr">
        <is>
          <t>Itaguai</t>
        </is>
      </c>
      <c r="C3617" s="30" t="n">
        <v>72253337</v>
      </c>
      <c r="D3617" s="30">
        <f>"03364746796"</f>
        <v/>
      </c>
      <c r="E3617" s="30" t="inlineStr">
        <is>
          <t>GUILHERME MORAIS MACHADO</t>
        </is>
      </c>
      <c r="F3617" s="30" t="inlineStr">
        <is>
          <t>2019</t>
        </is>
      </c>
      <c r="G3617" s="40" t="n">
        <v>0</v>
      </c>
    </row>
    <row r="3618" ht="12" customHeight="1">
      <c r="A3618" s="30" t="inlineStr">
        <is>
          <t>ITG</t>
        </is>
      </c>
      <c r="B3618" s="30" t="inlineStr">
        <is>
          <t>Itaguai</t>
        </is>
      </c>
      <c r="C3618" s="30" t="n">
        <v>72253337</v>
      </c>
      <c r="D3618" s="30">
        <f>"03364746796"</f>
        <v/>
      </c>
      <c r="E3618" s="30" t="inlineStr">
        <is>
          <t>GUILHERME MORAIS MACHADO</t>
        </is>
      </c>
      <c r="F3618" s="30" t="inlineStr">
        <is>
          <t>2020</t>
        </is>
      </c>
      <c r="G3618" s="40" t="n">
        <v>83625</v>
      </c>
    </row>
    <row r="3619" ht="12" customHeight="1">
      <c r="A3619" s="30" t="inlineStr">
        <is>
          <t>ITG</t>
        </is>
      </c>
      <c r="B3619" s="30" t="inlineStr">
        <is>
          <t>Itaguai</t>
        </is>
      </c>
      <c r="C3619" s="30" t="n">
        <v>72253337</v>
      </c>
      <c r="D3619" s="30">
        <f>"03364746796"</f>
        <v/>
      </c>
      <c r="E3619" s="30" t="inlineStr">
        <is>
          <t>GUILHERME MORAIS MACHADO</t>
        </is>
      </c>
      <c r="F3619" s="30" t="inlineStr">
        <is>
          <t>2021</t>
        </is>
      </c>
      <c r="G3619" s="40" t="n">
        <v>0</v>
      </c>
    </row>
    <row r="3620" ht="12" customHeight="1">
      <c r="A3620" s="30" t="inlineStr">
        <is>
          <t>ITG</t>
        </is>
      </c>
      <c r="B3620" s="30" t="inlineStr">
        <is>
          <t>Itaguai</t>
        </is>
      </c>
      <c r="C3620" s="30" t="n">
        <v>72253337</v>
      </c>
      <c r="D3620" s="30">
        <f>"03364746796"</f>
        <v/>
      </c>
      <c r="E3620" s="30" t="inlineStr">
        <is>
          <t>GUILHERME MORAIS MACHADO</t>
        </is>
      </c>
      <c r="F3620" s="30" t="inlineStr">
        <is>
          <t>2022</t>
        </is>
      </c>
      <c r="G3620" s="40" t="n">
        <v>105422</v>
      </c>
    </row>
    <row r="3621" ht="12" customHeight="1">
      <c r="A3621" s="30" t="inlineStr">
        <is>
          <t>ITG</t>
        </is>
      </c>
      <c r="B3621" s="30" t="inlineStr">
        <is>
          <t>Itaguai</t>
        </is>
      </c>
      <c r="C3621" s="30" t="n">
        <v>72253337</v>
      </c>
      <c r="D3621" s="30">
        <f>"03364746796"</f>
        <v/>
      </c>
      <c r="E3621" s="30" t="inlineStr">
        <is>
          <t>GUILHERME MORAIS MACHADO</t>
        </is>
      </c>
      <c r="F3621" s="30" t="inlineStr">
        <is>
          <t>2023</t>
        </is>
      </c>
      <c r="G3621" s="40" t="n">
        <v>43819</v>
      </c>
    </row>
    <row r="3622" ht="12" customHeight="1">
      <c r="A3622" s="30" t="inlineStr">
        <is>
          <t>ITG</t>
        </is>
      </c>
      <c r="B3622" s="30" t="inlineStr">
        <is>
          <t>Itaguai</t>
        </is>
      </c>
      <c r="C3622" s="30" t="n">
        <v>72267486</v>
      </c>
      <c r="D3622" s="30">
        <f>"00007452430700"</f>
        <v/>
      </c>
      <c r="E3622" s="30" t="inlineStr">
        <is>
          <t>ERIVELTO SOUZA DA ROSA</t>
        </is>
      </c>
      <c r="F3622" s="30" t="inlineStr">
        <is>
          <t>2020</t>
        </is>
      </c>
      <c r="G3622" s="40" t="n">
        <v>0</v>
      </c>
    </row>
    <row r="3623" ht="12" customHeight="1">
      <c r="A3623" s="30" t="inlineStr">
        <is>
          <t>ITG</t>
        </is>
      </c>
      <c r="B3623" s="30" t="inlineStr">
        <is>
          <t>Itaguai</t>
        </is>
      </c>
      <c r="C3623" s="30" t="n">
        <v>72267486</v>
      </c>
      <c r="D3623" s="30">
        <f>"00007452430700"</f>
        <v/>
      </c>
      <c r="E3623" s="30" t="inlineStr">
        <is>
          <t>ERIVELTO SOUZA DA ROSA</t>
        </is>
      </c>
      <c r="F3623" s="30" t="inlineStr">
        <is>
          <t>2021</t>
        </is>
      </c>
      <c r="G3623" s="40" t="n">
        <v>0</v>
      </c>
    </row>
    <row r="3624" ht="12" customHeight="1">
      <c r="A3624" s="30" t="inlineStr">
        <is>
          <t>ITG</t>
        </is>
      </c>
      <c r="B3624" s="30" t="inlineStr">
        <is>
          <t>Itaguai</t>
        </is>
      </c>
      <c r="C3624" s="30" t="n">
        <v>72267486</v>
      </c>
      <c r="D3624" s="30">
        <f>"00007452430700"</f>
        <v/>
      </c>
      <c r="E3624" s="30" t="inlineStr">
        <is>
          <t>ERIVELTO SOUZA DA ROSA</t>
        </is>
      </c>
      <c r="F3624" s="30" t="inlineStr">
        <is>
          <t>2022</t>
        </is>
      </c>
      <c r="G3624" s="40" t="n">
        <v>0</v>
      </c>
    </row>
    <row r="3625" ht="12" customHeight="1">
      <c r="A3625" s="30" t="inlineStr">
        <is>
          <t>ITG</t>
        </is>
      </c>
      <c r="B3625" s="30" t="inlineStr">
        <is>
          <t>Itaguai</t>
        </is>
      </c>
      <c r="C3625" s="30" t="n">
        <v>72267486</v>
      </c>
      <c r="D3625" s="30">
        <f>"00007452430700"</f>
        <v/>
      </c>
      <c r="E3625" s="30" t="inlineStr">
        <is>
          <t>ERIVELTO SOUZA DA ROSA</t>
        </is>
      </c>
      <c r="F3625" s="30" t="inlineStr">
        <is>
          <t>2023</t>
        </is>
      </c>
      <c r="G3625" s="40" t="n">
        <v>24000</v>
      </c>
    </row>
    <row r="3626" ht="12" customHeight="1">
      <c r="A3626" s="30" t="inlineStr">
        <is>
          <t>ITG</t>
        </is>
      </c>
      <c r="B3626" s="30" t="inlineStr">
        <is>
          <t>Itaguai</t>
        </is>
      </c>
      <c r="C3626" s="30" t="n">
        <v>72294521</v>
      </c>
      <c r="D3626" s="30">
        <f>"07859302721"</f>
        <v/>
      </c>
      <c r="E3626" s="30" t="inlineStr">
        <is>
          <t>MARCO AURELIO DA COSTA ABADE</t>
        </is>
      </c>
      <c r="F3626" s="30" t="inlineStr">
        <is>
          <t>2017</t>
        </is>
      </c>
      <c r="G3626" s="40" t="n">
        <v>0</v>
      </c>
    </row>
    <row r="3627" ht="12" customHeight="1">
      <c r="A3627" s="30" t="inlineStr">
        <is>
          <t>ITG</t>
        </is>
      </c>
      <c r="B3627" s="30" t="inlineStr">
        <is>
          <t>Itaguai</t>
        </is>
      </c>
      <c r="C3627" s="30" t="n">
        <v>72294521</v>
      </c>
      <c r="D3627" s="30">
        <f>"07859302721"</f>
        <v/>
      </c>
      <c r="E3627" s="30" t="inlineStr">
        <is>
          <t>MARCO AURELIO DA COSTA ABADE</t>
        </is>
      </c>
      <c r="F3627" s="30" t="inlineStr">
        <is>
          <t>2018</t>
        </is>
      </c>
      <c r="G3627" s="40" t="n">
        <v>0</v>
      </c>
    </row>
    <row r="3628" ht="12" customHeight="1">
      <c r="A3628" s="30" t="inlineStr">
        <is>
          <t>ITG</t>
        </is>
      </c>
      <c r="B3628" s="30" t="inlineStr">
        <is>
          <t>Itaguai</t>
        </is>
      </c>
      <c r="C3628" s="30" t="n">
        <v>72294521</v>
      </c>
      <c r="D3628" s="30">
        <f>"07859302721"</f>
        <v/>
      </c>
      <c r="E3628" s="30" t="inlineStr">
        <is>
          <t>MARCO AURELIO DA COSTA ABADE</t>
        </is>
      </c>
      <c r="F3628" s="30" t="inlineStr">
        <is>
          <t>2019</t>
        </is>
      </c>
      <c r="G3628" s="40" t="n">
        <v>0</v>
      </c>
    </row>
    <row r="3629" ht="12" customHeight="1">
      <c r="A3629" s="30" t="inlineStr">
        <is>
          <t>ITG</t>
        </is>
      </c>
      <c r="B3629" s="30" t="inlineStr">
        <is>
          <t>Itaguai</t>
        </is>
      </c>
      <c r="C3629" s="30" t="n">
        <v>72314786</v>
      </c>
      <c r="D3629" s="30">
        <f>"04754262743"</f>
        <v/>
      </c>
      <c r="E3629" s="30" t="inlineStr">
        <is>
          <t>WILSON ALENCAR FILHO</t>
        </is>
      </c>
      <c r="F3629" s="30" t="inlineStr">
        <is>
          <t>2017</t>
        </is>
      </c>
      <c r="G3629" s="40" t="n">
        <v>36429</v>
      </c>
    </row>
    <row r="3630" ht="12" customHeight="1">
      <c r="A3630" s="30" t="inlineStr">
        <is>
          <t>ITG</t>
        </is>
      </c>
      <c r="B3630" s="30" t="inlineStr">
        <is>
          <t>Itaguai</t>
        </is>
      </c>
      <c r="C3630" s="30" t="n">
        <v>72314786</v>
      </c>
      <c r="D3630" s="30">
        <f>"04754262743"</f>
        <v/>
      </c>
      <c r="E3630" s="30" t="inlineStr">
        <is>
          <t>WILSON ALENCAR FILHO</t>
        </is>
      </c>
      <c r="F3630" s="30" t="inlineStr">
        <is>
          <t>2018</t>
        </is>
      </c>
      <c r="G3630" s="40" t="n">
        <v>31850</v>
      </c>
    </row>
    <row r="3631" ht="12" customHeight="1">
      <c r="A3631" s="30" t="inlineStr">
        <is>
          <t>ITG</t>
        </is>
      </c>
      <c r="B3631" s="30" t="inlineStr">
        <is>
          <t>Itaguai</t>
        </is>
      </c>
      <c r="C3631" s="30" t="n">
        <v>72314786</v>
      </c>
      <c r="D3631" s="30">
        <f>"04754262743"</f>
        <v/>
      </c>
      <c r="E3631" s="30" t="inlineStr">
        <is>
          <t>WILSON ALENCAR FILHO</t>
        </is>
      </c>
      <c r="F3631" s="30" t="inlineStr">
        <is>
          <t>2019</t>
        </is>
      </c>
      <c r="G3631" s="40" t="n">
        <v>46550</v>
      </c>
    </row>
    <row r="3632" ht="12" customHeight="1">
      <c r="A3632" s="30" t="inlineStr">
        <is>
          <t>ITG</t>
        </is>
      </c>
      <c r="B3632" s="30" t="inlineStr">
        <is>
          <t>Itaguai</t>
        </is>
      </c>
      <c r="C3632" s="30" t="n">
        <v>72314786</v>
      </c>
      <c r="D3632" s="30">
        <f>"04754262743"</f>
        <v/>
      </c>
      <c r="E3632" s="30" t="inlineStr">
        <is>
          <t>WILSON ALENCAR FILHO</t>
        </is>
      </c>
      <c r="F3632" s="30" t="inlineStr">
        <is>
          <t>2020</t>
        </is>
      </c>
      <c r="G3632" s="40" t="n">
        <v>0</v>
      </c>
    </row>
    <row r="3633" ht="12" customHeight="1">
      <c r="A3633" s="30" t="inlineStr">
        <is>
          <t>ITG</t>
        </is>
      </c>
      <c r="B3633" s="30" t="inlineStr">
        <is>
          <t>Itaguai</t>
        </is>
      </c>
      <c r="C3633" s="30" t="n">
        <v>72314786</v>
      </c>
      <c r="D3633" s="30">
        <f>"04754262743"</f>
        <v/>
      </c>
      <c r="E3633" s="30" t="inlineStr">
        <is>
          <t>WILSON ALENCAR FILHO</t>
        </is>
      </c>
      <c r="F3633" s="30" t="inlineStr">
        <is>
          <t>2021</t>
        </is>
      </c>
      <c r="G3633" s="40" t="n">
        <v>53450</v>
      </c>
    </row>
    <row r="3634" ht="12" customHeight="1">
      <c r="A3634" s="30" t="inlineStr">
        <is>
          <t>ITG</t>
        </is>
      </c>
      <c r="B3634" s="30" t="inlineStr">
        <is>
          <t>Itaguai</t>
        </is>
      </c>
      <c r="C3634" s="30" t="n">
        <v>72314786</v>
      </c>
      <c r="D3634" s="30">
        <f>"04754262743"</f>
        <v/>
      </c>
      <c r="E3634" s="30" t="inlineStr">
        <is>
          <t>WILSON ALENCAR FILHO</t>
        </is>
      </c>
      <c r="F3634" s="30" t="inlineStr">
        <is>
          <t>2022</t>
        </is>
      </c>
      <c r="G3634" s="40" t="n">
        <v>0</v>
      </c>
    </row>
    <row r="3635" ht="12" customHeight="1">
      <c r="A3635" s="30" t="inlineStr">
        <is>
          <t>ITG</t>
        </is>
      </c>
      <c r="B3635" s="30" t="inlineStr">
        <is>
          <t>Itaguai</t>
        </is>
      </c>
      <c r="C3635" s="30" t="n">
        <v>72314786</v>
      </c>
      <c r="D3635" s="30">
        <f>"04754262743"</f>
        <v/>
      </c>
      <c r="E3635" s="30" t="inlineStr">
        <is>
          <t>WILSON ALENCAR FILHO</t>
        </is>
      </c>
      <c r="F3635" s="30" t="inlineStr">
        <is>
          <t>2023</t>
        </is>
      </c>
      <c r="G3635" s="40" t="n">
        <v>68250</v>
      </c>
    </row>
    <row r="3636" ht="12" customHeight="1">
      <c r="A3636" s="30" t="inlineStr">
        <is>
          <t>ITG</t>
        </is>
      </c>
      <c r="B3636" s="30" t="inlineStr">
        <is>
          <t>Itaguai</t>
        </is>
      </c>
      <c r="C3636" s="30" t="n">
        <v>72325737</v>
      </c>
      <c r="D3636" s="30">
        <f>"80335730744"</f>
        <v/>
      </c>
      <c r="E3636" s="30" t="inlineStr">
        <is>
          <t>ROSEMBERG DA SILVA MOURA</t>
        </is>
      </c>
      <c r="F3636" s="30" t="inlineStr">
        <is>
          <t>2017</t>
        </is>
      </c>
      <c r="G3636" s="40" t="n">
        <v>0</v>
      </c>
    </row>
    <row r="3637" ht="12" customHeight="1">
      <c r="A3637" s="30" t="inlineStr">
        <is>
          <t>ITG</t>
        </is>
      </c>
      <c r="B3637" s="30" t="inlineStr">
        <is>
          <t>Itaguai</t>
        </is>
      </c>
      <c r="C3637" s="30" t="n">
        <v>72325737</v>
      </c>
      <c r="D3637" s="30">
        <f>"80335730744"</f>
        <v/>
      </c>
      <c r="E3637" s="30" t="inlineStr">
        <is>
          <t>ROSEMBERG DA SILVA MOURA</t>
        </is>
      </c>
      <c r="F3637" s="30" t="inlineStr">
        <is>
          <t>2018</t>
        </is>
      </c>
      <c r="G3637" s="40" t="n">
        <v>0</v>
      </c>
    </row>
    <row r="3638" ht="12" customHeight="1">
      <c r="A3638" s="30" t="inlineStr">
        <is>
          <t>ITG</t>
        </is>
      </c>
      <c r="B3638" s="30" t="inlineStr">
        <is>
          <t>Itaguai</t>
        </is>
      </c>
      <c r="C3638" s="30" t="n">
        <v>72325737</v>
      </c>
      <c r="D3638" s="30">
        <f>"80335730744"</f>
        <v/>
      </c>
      <c r="E3638" s="30" t="inlineStr">
        <is>
          <t>ROSEMBERG DA SILVA MOURA</t>
        </is>
      </c>
      <c r="F3638" s="30" t="inlineStr">
        <is>
          <t>2019</t>
        </is>
      </c>
      <c r="G3638" s="40" t="n">
        <v>0</v>
      </c>
    </row>
    <row r="3639" ht="12" customHeight="1">
      <c r="A3639" s="30" t="inlineStr">
        <is>
          <t>ITG</t>
        </is>
      </c>
      <c r="B3639" s="30" t="inlineStr">
        <is>
          <t>Itaguai</t>
        </is>
      </c>
      <c r="C3639" s="30" t="n">
        <v>72325737</v>
      </c>
      <c r="D3639" s="30">
        <f>"80335730744"</f>
        <v/>
      </c>
      <c r="E3639" s="30" t="inlineStr">
        <is>
          <t>ROSEMBERG DA SILVA MOURA</t>
        </is>
      </c>
      <c r="F3639" s="30" t="inlineStr">
        <is>
          <t>2020</t>
        </is>
      </c>
      <c r="G3639" s="40" t="n">
        <v>0</v>
      </c>
    </row>
    <row r="3640" ht="12" customHeight="1">
      <c r="A3640" s="30" t="inlineStr">
        <is>
          <t>ITG</t>
        </is>
      </c>
      <c r="B3640" s="30" t="inlineStr">
        <is>
          <t>Itaguai</t>
        </is>
      </c>
      <c r="C3640" s="30" t="n">
        <v>72325737</v>
      </c>
      <c r="D3640" s="30">
        <f>"80335730744"</f>
        <v/>
      </c>
      <c r="E3640" s="30" t="inlineStr">
        <is>
          <t>ROSEMBERG DA SILVA MOURA</t>
        </is>
      </c>
      <c r="F3640" s="30" t="inlineStr">
        <is>
          <t>2021</t>
        </is>
      </c>
      <c r="G3640" s="40" t="n">
        <v>0</v>
      </c>
    </row>
    <row r="3641" ht="12" customHeight="1">
      <c r="A3641" s="30" t="inlineStr">
        <is>
          <t>ITG</t>
        </is>
      </c>
      <c r="B3641" s="30" t="inlineStr">
        <is>
          <t>Itaguai</t>
        </is>
      </c>
      <c r="C3641" s="30" t="n">
        <v>72325737</v>
      </c>
      <c r="D3641" s="30">
        <f>"80335730744"</f>
        <v/>
      </c>
      <c r="E3641" s="30" t="inlineStr">
        <is>
          <t>ROSEMBERG DA SILVA MOURA</t>
        </is>
      </c>
      <c r="F3641" s="30" t="inlineStr">
        <is>
          <t>2022</t>
        </is>
      </c>
      <c r="G3641" s="40" t="n">
        <v>0</v>
      </c>
    </row>
    <row r="3642" ht="12" customHeight="1">
      <c r="A3642" s="30" t="inlineStr">
        <is>
          <t>ITG</t>
        </is>
      </c>
      <c r="B3642" s="30" t="inlineStr">
        <is>
          <t>Itaguai</t>
        </is>
      </c>
      <c r="C3642" s="30" t="n">
        <v>72325737</v>
      </c>
      <c r="D3642" s="30">
        <f>"80335730744"</f>
        <v/>
      </c>
      <c r="E3642" s="30" t="inlineStr">
        <is>
          <t>ROSEMBERG DA SILVA MOURA</t>
        </is>
      </c>
      <c r="F3642" s="30" t="inlineStr">
        <is>
          <t>2023</t>
        </is>
      </c>
      <c r="G3642" s="40" t="n">
        <v>0</v>
      </c>
    </row>
    <row r="3643" ht="12" customHeight="1">
      <c r="A3643" s="30" t="inlineStr">
        <is>
          <t>ITG</t>
        </is>
      </c>
      <c r="B3643" s="30" t="inlineStr">
        <is>
          <t>Itaguai</t>
        </is>
      </c>
      <c r="C3643" s="30" t="n">
        <v>72355059</v>
      </c>
      <c r="D3643" s="30">
        <f>"00685979750"</f>
        <v/>
      </c>
      <c r="E3643" s="30" t="inlineStr">
        <is>
          <t>KEIKO OBA HONDA</t>
        </is>
      </c>
      <c r="F3643" s="30" t="inlineStr">
        <is>
          <t>2017</t>
        </is>
      </c>
      <c r="G3643" s="40" t="n">
        <v>71605.60000000001</v>
      </c>
    </row>
    <row r="3644" ht="12" customHeight="1">
      <c r="A3644" s="30" t="inlineStr">
        <is>
          <t>ITG</t>
        </is>
      </c>
      <c r="B3644" s="30" t="inlineStr">
        <is>
          <t>Itaguai</t>
        </is>
      </c>
      <c r="C3644" s="30" t="n">
        <v>72355059</v>
      </c>
      <c r="D3644" s="30">
        <f>"00685979750"</f>
        <v/>
      </c>
      <c r="E3644" s="30" t="inlineStr">
        <is>
          <t>KEIKO OBA HONDA</t>
        </is>
      </c>
      <c r="F3644" s="30" t="inlineStr">
        <is>
          <t>2018</t>
        </is>
      </c>
      <c r="G3644" s="40" t="n">
        <v>0</v>
      </c>
    </row>
    <row r="3645" ht="12" customHeight="1">
      <c r="A3645" s="30" t="inlineStr">
        <is>
          <t>ITG</t>
        </is>
      </c>
      <c r="B3645" s="30" t="inlineStr">
        <is>
          <t>Itaguai</t>
        </is>
      </c>
      <c r="C3645" s="30" t="n">
        <v>72355059</v>
      </c>
      <c r="D3645" s="30">
        <f>"00685979750"</f>
        <v/>
      </c>
      <c r="E3645" s="30" t="inlineStr">
        <is>
          <t>KEIKO OBA HONDA</t>
        </is>
      </c>
      <c r="F3645" s="30" t="inlineStr">
        <is>
          <t>2019</t>
        </is>
      </c>
      <c r="G3645" s="40" t="n">
        <v>0</v>
      </c>
    </row>
    <row r="3646" ht="12" customHeight="1">
      <c r="A3646" s="30" t="inlineStr">
        <is>
          <t>ITG</t>
        </is>
      </c>
      <c r="B3646" s="30" t="inlineStr">
        <is>
          <t>Itaguai</t>
        </is>
      </c>
      <c r="C3646" s="30" t="n">
        <v>72355059</v>
      </c>
      <c r="D3646" s="30">
        <f>"00685979750"</f>
        <v/>
      </c>
      <c r="E3646" s="30" t="inlineStr">
        <is>
          <t>KEIKO OBA HONDA</t>
        </is>
      </c>
      <c r="F3646" s="30" t="inlineStr">
        <is>
          <t>2020</t>
        </is>
      </c>
      <c r="G3646" s="40" t="n">
        <v>100000</v>
      </c>
    </row>
    <row r="3647" ht="12" customHeight="1">
      <c r="A3647" s="30" t="inlineStr">
        <is>
          <t>ITG</t>
        </is>
      </c>
      <c r="B3647" s="30" t="inlineStr">
        <is>
          <t>Itaguai</t>
        </is>
      </c>
      <c r="C3647" s="30" t="n">
        <v>72355059</v>
      </c>
      <c r="D3647" s="30">
        <f>"00685979750"</f>
        <v/>
      </c>
      <c r="E3647" s="30" t="inlineStr">
        <is>
          <t>KEIKO OBA HONDA</t>
        </is>
      </c>
      <c r="F3647" s="30" t="inlineStr">
        <is>
          <t>2021</t>
        </is>
      </c>
      <c r="G3647" s="40" t="n">
        <v>92505</v>
      </c>
    </row>
    <row r="3648" ht="12" customHeight="1">
      <c r="A3648" s="30" t="inlineStr">
        <is>
          <t>ITG</t>
        </is>
      </c>
      <c r="B3648" s="30" t="inlineStr">
        <is>
          <t>Itaguai</t>
        </is>
      </c>
      <c r="C3648" s="30" t="n">
        <v>72355059</v>
      </c>
      <c r="D3648" s="30">
        <f>"00685979750"</f>
        <v/>
      </c>
      <c r="E3648" s="30" t="inlineStr">
        <is>
          <t>KEIKO OBA HONDA</t>
        </is>
      </c>
      <c r="F3648" s="30" t="inlineStr">
        <is>
          <t>2022</t>
        </is>
      </c>
      <c r="G3648" s="40" t="n">
        <v>80394.89999999999</v>
      </c>
    </row>
    <row r="3649" ht="12" customHeight="1">
      <c r="A3649" s="30" t="inlineStr">
        <is>
          <t>ITG</t>
        </is>
      </c>
      <c r="B3649" s="30" t="inlineStr">
        <is>
          <t>Itaguai</t>
        </is>
      </c>
      <c r="C3649" s="30" t="n">
        <v>72355059</v>
      </c>
      <c r="D3649" s="30">
        <f>"00685979750"</f>
        <v/>
      </c>
      <c r="E3649" s="30" t="inlineStr">
        <is>
          <t>KEIKO OBA HONDA</t>
        </is>
      </c>
      <c r="F3649" s="30" t="inlineStr">
        <is>
          <t>2023</t>
        </is>
      </c>
      <c r="G3649" s="40" t="n">
        <v>91959.49000000001</v>
      </c>
    </row>
    <row r="3650" ht="12" customHeight="1">
      <c r="A3650" s="30" t="inlineStr">
        <is>
          <t>ITG</t>
        </is>
      </c>
      <c r="B3650" s="30" t="inlineStr">
        <is>
          <t>Itaguai</t>
        </is>
      </c>
      <c r="C3650" s="30" t="n">
        <v>72363442</v>
      </c>
      <c r="D3650" s="30">
        <f>"49593722734"</f>
        <v/>
      </c>
      <c r="E3650" s="30" t="inlineStr">
        <is>
          <t>LUIZ GONZAGA GARCIA</t>
        </is>
      </c>
      <c r="F3650" s="30" t="inlineStr">
        <is>
          <t>2017</t>
        </is>
      </c>
      <c r="G3650" s="40" t="n">
        <v>59500</v>
      </c>
    </row>
    <row r="3651" ht="12" customHeight="1">
      <c r="A3651" s="30" t="inlineStr">
        <is>
          <t>ITG</t>
        </is>
      </c>
      <c r="B3651" s="30" t="inlineStr">
        <is>
          <t>Itaguai</t>
        </is>
      </c>
      <c r="C3651" s="30" t="n">
        <v>72363442</v>
      </c>
      <c r="D3651" s="30">
        <f>"49593722734"</f>
        <v/>
      </c>
      <c r="E3651" s="30" t="inlineStr">
        <is>
          <t>LUIZ GONZAGA GARCIA</t>
        </is>
      </c>
      <c r="F3651" s="30" t="inlineStr">
        <is>
          <t>2018</t>
        </is>
      </c>
      <c r="G3651" s="40" t="n">
        <v>59932</v>
      </c>
    </row>
    <row r="3652" ht="12" customHeight="1">
      <c r="A3652" s="30" t="inlineStr">
        <is>
          <t>ITG</t>
        </is>
      </c>
      <c r="B3652" s="30" t="inlineStr">
        <is>
          <t>Itaguai</t>
        </is>
      </c>
      <c r="C3652" s="30" t="n">
        <v>72363442</v>
      </c>
      <c r="D3652" s="30">
        <f>"49593722734"</f>
        <v/>
      </c>
      <c r="E3652" s="30" t="inlineStr">
        <is>
          <t>LUIZ GONZAGA GARCIA</t>
        </is>
      </c>
      <c r="F3652" s="30" t="inlineStr">
        <is>
          <t>2019</t>
        </is>
      </c>
      <c r="G3652" s="40" t="n">
        <v>141185.2</v>
      </c>
    </row>
    <row r="3653" ht="12" customHeight="1">
      <c r="A3653" s="30" t="inlineStr">
        <is>
          <t>ITG</t>
        </is>
      </c>
      <c r="B3653" s="30" t="inlineStr">
        <is>
          <t>Itaguai</t>
        </is>
      </c>
      <c r="C3653" s="30" t="n">
        <v>72363442</v>
      </c>
      <c r="D3653" s="30">
        <f>"49593722734"</f>
        <v/>
      </c>
      <c r="E3653" s="30" t="inlineStr">
        <is>
          <t>LUIZ GONZAGA GARCIA</t>
        </is>
      </c>
      <c r="F3653" s="30" t="inlineStr">
        <is>
          <t>2020</t>
        </is>
      </c>
      <c r="G3653" s="40" t="n">
        <v>0</v>
      </c>
    </row>
    <row r="3654" ht="12" customHeight="1">
      <c r="A3654" s="30" t="inlineStr">
        <is>
          <t>ITG</t>
        </is>
      </c>
      <c r="B3654" s="30" t="inlineStr">
        <is>
          <t>Itaguai</t>
        </is>
      </c>
      <c r="C3654" s="30" t="n">
        <v>72363442</v>
      </c>
      <c r="D3654" s="30">
        <f>"49593722734"</f>
        <v/>
      </c>
      <c r="E3654" s="30" t="inlineStr">
        <is>
          <t>LUIZ GONZAGA GARCIA</t>
        </is>
      </c>
      <c r="F3654" s="30" t="inlineStr">
        <is>
          <t>2021</t>
        </is>
      </c>
      <c r="G3654" s="40" t="n">
        <v>0</v>
      </c>
    </row>
    <row r="3655" ht="12" customHeight="1">
      <c r="A3655" s="30" t="inlineStr">
        <is>
          <t>ITG</t>
        </is>
      </c>
      <c r="B3655" s="30" t="inlineStr">
        <is>
          <t>Itaguai</t>
        </is>
      </c>
      <c r="C3655" s="30" t="n">
        <v>72372042</v>
      </c>
      <c r="D3655" s="30">
        <f>"02733976729"</f>
        <v/>
      </c>
      <c r="E3655" s="30" t="inlineStr">
        <is>
          <t>MARIA ESTELA DE LEMOS LIMA SANTORO</t>
        </is>
      </c>
      <c r="F3655" s="30" t="inlineStr">
        <is>
          <t>2017</t>
        </is>
      </c>
      <c r="G3655" s="40" t="n">
        <v>0</v>
      </c>
    </row>
    <row r="3656" ht="12" customHeight="1">
      <c r="A3656" s="30" t="inlineStr">
        <is>
          <t>ITG</t>
        </is>
      </c>
      <c r="B3656" s="30" t="inlineStr">
        <is>
          <t>Itaguai</t>
        </is>
      </c>
      <c r="C3656" s="30" t="n">
        <v>72372042</v>
      </c>
      <c r="D3656" s="30">
        <f>"02733976729"</f>
        <v/>
      </c>
      <c r="E3656" s="30" t="inlineStr">
        <is>
          <t>MARIA ESTELA DE LEMOS LIMA SANTORO</t>
        </is>
      </c>
      <c r="F3656" s="30" t="inlineStr">
        <is>
          <t>2018</t>
        </is>
      </c>
      <c r="G3656" s="40" t="n">
        <v>0</v>
      </c>
    </row>
    <row r="3657" ht="12" customHeight="1">
      <c r="A3657" s="30" t="inlineStr">
        <is>
          <t>ITG</t>
        </is>
      </c>
      <c r="B3657" s="30" t="inlineStr">
        <is>
          <t>Itaguai</t>
        </is>
      </c>
      <c r="C3657" s="30" t="n">
        <v>72372042</v>
      </c>
      <c r="D3657" s="30">
        <f>"02733976729"</f>
        <v/>
      </c>
      <c r="E3657" s="30" t="inlineStr">
        <is>
          <t>MARIA ESTELA DE LEMOS LIMA SANTORO</t>
        </is>
      </c>
      <c r="F3657" s="30" t="inlineStr">
        <is>
          <t>2019</t>
        </is>
      </c>
      <c r="G3657" s="40" t="n">
        <v>0</v>
      </c>
    </row>
    <row r="3658" ht="12" customHeight="1">
      <c r="A3658" s="30" t="inlineStr">
        <is>
          <t>ITG</t>
        </is>
      </c>
      <c r="B3658" s="30" t="inlineStr">
        <is>
          <t>Itaguai</t>
        </is>
      </c>
      <c r="C3658" s="30" t="n">
        <v>72372042</v>
      </c>
      <c r="D3658" s="30">
        <f>"02733976729"</f>
        <v/>
      </c>
      <c r="E3658" s="30" t="inlineStr">
        <is>
          <t>MARIA ESTELA DE LEMOS LIMA SANTORO</t>
        </is>
      </c>
      <c r="F3658" s="30" t="inlineStr">
        <is>
          <t>2020</t>
        </is>
      </c>
      <c r="G3658" s="40" t="n">
        <v>3567587.13</v>
      </c>
    </row>
    <row r="3659" ht="12" customHeight="1">
      <c r="A3659" s="30" t="inlineStr">
        <is>
          <t>ITG</t>
        </is>
      </c>
      <c r="B3659" s="30" t="inlineStr">
        <is>
          <t>Itaguai</t>
        </is>
      </c>
      <c r="C3659" s="30" t="n">
        <v>72372042</v>
      </c>
      <c r="D3659" s="30">
        <f>"02733976729"</f>
        <v/>
      </c>
      <c r="E3659" s="30" t="inlineStr">
        <is>
          <t>MARIA ESTELA DE LEMOS LIMA SANTORO</t>
        </is>
      </c>
      <c r="F3659" s="30" t="inlineStr">
        <is>
          <t>2021</t>
        </is>
      </c>
      <c r="G3659" s="40" t="n">
        <v>0</v>
      </c>
    </row>
    <row r="3660" ht="12" customHeight="1">
      <c r="A3660" s="30" t="inlineStr">
        <is>
          <t>ITG</t>
        </is>
      </c>
      <c r="B3660" s="30" t="inlineStr">
        <is>
          <t>Itaguai</t>
        </is>
      </c>
      <c r="C3660" s="30" t="n">
        <v>72372042</v>
      </c>
      <c r="D3660" s="30">
        <f>"02733976729"</f>
        <v/>
      </c>
      <c r="E3660" s="30" t="inlineStr">
        <is>
          <t>MARIA ESTELA DE LEMOS LIMA SANTORO</t>
        </is>
      </c>
      <c r="F3660" s="30" t="inlineStr">
        <is>
          <t>2022</t>
        </is>
      </c>
      <c r="G3660" s="40" t="n">
        <v>0</v>
      </c>
    </row>
    <row r="3661" ht="12" customHeight="1">
      <c r="A3661" s="30" t="inlineStr">
        <is>
          <t>ITG</t>
        </is>
      </c>
      <c r="B3661" s="30" t="inlineStr">
        <is>
          <t>Itaguai</t>
        </is>
      </c>
      <c r="C3661" s="30" t="n">
        <v>72372042</v>
      </c>
      <c r="D3661" s="30">
        <f>"02733976729"</f>
        <v/>
      </c>
      <c r="E3661" s="30" t="inlineStr">
        <is>
          <t>MARIA ESTELA DE LEMOS LIMA SANTORO</t>
        </is>
      </c>
      <c r="F3661" s="30" t="inlineStr">
        <is>
          <t>2023</t>
        </is>
      </c>
      <c r="G3661" s="40" t="n">
        <v>1868651.42</v>
      </c>
    </row>
    <row r="3662" ht="12" customHeight="1">
      <c r="A3662" s="30" t="inlineStr">
        <is>
          <t>ITG</t>
        </is>
      </c>
      <c r="B3662" s="30" t="inlineStr">
        <is>
          <t>Itaguai</t>
        </is>
      </c>
      <c r="C3662" s="30" t="n">
        <v>72375343</v>
      </c>
      <c r="D3662" s="30">
        <f>"02903444765"</f>
        <v/>
      </c>
      <c r="E3662" s="30" t="inlineStr">
        <is>
          <t>MARCOS HENRIQUE PEREIRA ALVES</t>
        </is>
      </c>
      <c r="F3662" s="30" t="inlineStr">
        <is>
          <t>2017</t>
        </is>
      </c>
      <c r="G3662" s="40" t="n">
        <v>0</v>
      </c>
    </row>
    <row r="3663" ht="12" customHeight="1">
      <c r="A3663" s="30" t="inlineStr">
        <is>
          <t>ITG</t>
        </is>
      </c>
      <c r="B3663" s="30" t="inlineStr">
        <is>
          <t>Itaguai</t>
        </is>
      </c>
      <c r="C3663" s="30" t="n">
        <v>72375343</v>
      </c>
      <c r="D3663" s="30">
        <f>"02903444765"</f>
        <v/>
      </c>
      <c r="E3663" s="30" t="inlineStr">
        <is>
          <t>MARCOS HENRIQUE PEREIRA ALVES</t>
        </is>
      </c>
      <c r="F3663" s="30" t="inlineStr">
        <is>
          <t>2018</t>
        </is>
      </c>
      <c r="G3663" s="40" t="n">
        <v>0</v>
      </c>
    </row>
    <row r="3664" ht="12" customHeight="1">
      <c r="A3664" s="30" t="inlineStr">
        <is>
          <t>ITG</t>
        </is>
      </c>
      <c r="B3664" s="30" t="inlineStr">
        <is>
          <t>Itaguai</t>
        </is>
      </c>
      <c r="C3664" s="30" t="n">
        <v>72375343</v>
      </c>
      <c r="D3664" s="30">
        <f>"02903444765"</f>
        <v/>
      </c>
      <c r="E3664" s="30" t="inlineStr">
        <is>
          <t>MARCOS HENRIQUE PEREIRA ALVES</t>
        </is>
      </c>
      <c r="F3664" s="30" t="inlineStr">
        <is>
          <t>2019</t>
        </is>
      </c>
      <c r="G3664" s="40" t="n">
        <v>0</v>
      </c>
    </row>
    <row r="3665" ht="12" customHeight="1">
      <c r="A3665" s="30" t="inlineStr">
        <is>
          <t>ITG</t>
        </is>
      </c>
      <c r="B3665" s="30" t="inlineStr">
        <is>
          <t>Itaguai</t>
        </is>
      </c>
      <c r="C3665" s="30" t="n">
        <v>72375343</v>
      </c>
      <c r="D3665" s="30">
        <f>"02903444765"</f>
        <v/>
      </c>
      <c r="E3665" s="30" t="inlineStr">
        <is>
          <t>MARCOS HENRIQUE PEREIRA ALVES</t>
        </is>
      </c>
      <c r="F3665" s="30" t="inlineStr">
        <is>
          <t>2020</t>
        </is>
      </c>
      <c r="G3665" s="40" t="n">
        <v>0</v>
      </c>
    </row>
    <row r="3666" ht="12" customHeight="1">
      <c r="A3666" s="30" t="inlineStr">
        <is>
          <t>ITG</t>
        </is>
      </c>
      <c r="B3666" s="30" t="inlineStr">
        <is>
          <t>Itaguai</t>
        </is>
      </c>
      <c r="C3666" s="30" t="n">
        <v>72375343</v>
      </c>
      <c r="D3666" s="30">
        <f>"02903444765"</f>
        <v/>
      </c>
      <c r="E3666" s="30" t="inlineStr">
        <is>
          <t>MARCOS HENRIQUE PEREIRA ALVES</t>
        </is>
      </c>
      <c r="F3666" s="30" t="inlineStr">
        <is>
          <t>2021</t>
        </is>
      </c>
      <c r="G3666" s="40" t="n">
        <v>0</v>
      </c>
    </row>
    <row r="3667" ht="12" customHeight="1">
      <c r="A3667" s="30" t="inlineStr">
        <is>
          <t>ITG</t>
        </is>
      </c>
      <c r="B3667" s="30" t="inlineStr">
        <is>
          <t>Itaguai</t>
        </is>
      </c>
      <c r="C3667" s="30" t="n">
        <v>72375343</v>
      </c>
      <c r="D3667" s="30">
        <f>"02903444765"</f>
        <v/>
      </c>
      <c r="E3667" s="30" t="inlineStr">
        <is>
          <t>MARCOS HENRIQUE PEREIRA ALVES</t>
        </is>
      </c>
      <c r="F3667" s="30" t="inlineStr">
        <is>
          <t>2022</t>
        </is>
      </c>
      <c r="G3667" s="40" t="n">
        <v>0</v>
      </c>
    </row>
    <row r="3668" ht="12" customHeight="1">
      <c r="A3668" s="30" t="inlineStr">
        <is>
          <t>ITG</t>
        </is>
      </c>
      <c r="B3668" s="30" t="inlineStr">
        <is>
          <t>Itaguai</t>
        </is>
      </c>
      <c r="C3668" s="30" t="n">
        <v>72375343</v>
      </c>
      <c r="D3668" s="30">
        <f>"02903444765"</f>
        <v/>
      </c>
      <c r="E3668" s="30" t="inlineStr">
        <is>
          <t>MARCOS HENRIQUE PEREIRA ALVES</t>
        </is>
      </c>
      <c r="F3668" s="30" t="inlineStr">
        <is>
          <t>2023</t>
        </is>
      </c>
      <c r="G3668" s="40" t="n">
        <v>0</v>
      </c>
    </row>
    <row r="3669" ht="12" customHeight="1">
      <c r="A3669" s="30" t="inlineStr">
        <is>
          <t>ITG</t>
        </is>
      </c>
      <c r="B3669" s="30" t="inlineStr">
        <is>
          <t>Itaguai</t>
        </is>
      </c>
      <c r="C3669" s="30" t="n">
        <v>72380665</v>
      </c>
      <c r="D3669" s="30">
        <f>"84148624700"</f>
        <v/>
      </c>
      <c r="E3669" s="30" t="inlineStr">
        <is>
          <t>JESSE RODRIGUES DE LIMA</t>
        </is>
      </c>
      <c r="F3669" s="30" t="inlineStr">
        <is>
          <t>2017</t>
        </is>
      </c>
      <c r="G3669" s="40" t="n">
        <v>9540</v>
      </c>
    </row>
    <row r="3670" ht="12" customHeight="1">
      <c r="A3670" s="30" t="inlineStr">
        <is>
          <t>ITG</t>
        </is>
      </c>
      <c r="B3670" s="30" t="inlineStr">
        <is>
          <t>Itaguai</t>
        </is>
      </c>
      <c r="C3670" s="30" t="n">
        <v>72380665</v>
      </c>
      <c r="D3670" s="30">
        <f>"84148624700"</f>
        <v/>
      </c>
      <c r="E3670" s="30" t="inlineStr">
        <is>
          <t>JESSE RODRIGUES DE LIMA</t>
        </is>
      </c>
      <c r="F3670" s="30" t="inlineStr">
        <is>
          <t>2018</t>
        </is>
      </c>
      <c r="G3670" s="40" t="n">
        <v>11560</v>
      </c>
    </row>
    <row r="3671" ht="12" customHeight="1">
      <c r="A3671" s="30" t="inlineStr">
        <is>
          <t>ITG</t>
        </is>
      </c>
      <c r="B3671" s="30" t="inlineStr">
        <is>
          <t>Itaguai</t>
        </is>
      </c>
      <c r="C3671" s="30" t="n">
        <v>72380665</v>
      </c>
      <c r="D3671" s="30">
        <f>"84148624700"</f>
        <v/>
      </c>
      <c r="E3671" s="30" t="inlineStr">
        <is>
          <t>JESSE RODRIGUES DE LIMA</t>
        </is>
      </c>
      <c r="F3671" s="30" t="inlineStr">
        <is>
          <t>2019</t>
        </is>
      </c>
      <c r="G3671" s="40" t="n">
        <v>10500</v>
      </c>
    </row>
    <row r="3672" ht="12" customHeight="1">
      <c r="A3672" s="30" t="inlineStr">
        <is>
          <t>ITG</t>
        </is>
      </c>
      <c r="B3672" s="30" t="inlineStr">
        <is>
          <t>Itaguai</t>
        </is>
      </c>
      <c r="C3672" s="30" t="n">
        <v>72380665</v>
      </c>
      <c r="D3672" s="30">
        <f>"84148624700"</f>
        <v/>
      </c>
      <c r="E3672" s="30" t="inlineStr">
        <is>
          <t>JESSE RODRIGUES DE LIMA</t>
        </is>
      </c>
      <c r="F3672" s="30" t="inlineStr">
        <is>
          <t>2020</t>
        </is>
      </c>
      <c r="G3672" s="40" t="n">
        <v>5500</v>
      </c>
    </row>
    <row r="3673" ht="12" customHeight="1">
      <c r="A3673" s="30" t="inlineStr">
        <is>
          <t>ITG</t>
        </is>
      </c>
      <c r="B3673" s="30" t="inlineStr">
        <is>
          <t>Itaguai</t>
        </is>
      </c>
      <c r="C3673" s="30" t="n">
        <v>72380665</v>
      </c>
      <c r="D3673" s="30">
        <f>"84148624700"</f>
        <v/>
      </c>
      <c r="E3673" s="30" t="inlineStr">
        <is>
          <t>JESSE RODRIGUES DE LIMA</t>
        </is>
      </c>
      <c r="F3673" s="30" t="inlineStr">
        <is>
          <t>2021</t>
        </is>
      </c>
      <c r="G3673" s="40" t="n">
        <v>10000</v>
      </c>
    </row>
    <row r="3674" ht="12" customHeight="1">
      <c r="A3674" s="30" t="inlineStr">
        <is>
          <t>ITG</t>
        </is>
      </c>
      <c r="B3674" s="30" t="inlineStr">
        <is>
          <t>Itaguai</t>
        </is>
      </c>
      <c r="C3674" s="30" t="n">
        <v>72380665</v>
      </c>
      <c r="D3674" s="30">
        <f>"84148624700"</f>
        <v/>
      </c>
      <c r="E3674" s="30" t="inlineStr">
        <is>
          <t>JESSE RODRIGUES DE LIMA</t>
        </is>
      </c>
      <c r="F3674" s="30" t="inlineStr">
        <is>
          <t>2022</t>
        </is>
      </c>
      <c r="G3674" s="40" t="n">
        <v>25200</v>
      </c>
    </row>
    <row r="3675" ht="12" customHeight="1">
      <c r="A3675" s="30" t="inlineStr">
        <is>
          <t>ITG</t>
        </is>
      </c>
      <c r="B3675" s="30" t="inlineStr">
        <is>
          <t>Itaguai</t>
        </is>
      </c>
      <c r="C3675" s="30" t="n">
        <v>72380665</v>
      </c>
      <c r="D3675" s="30">
        <f>"84148624700"</f>
        <v/>
      </c>
      <c r="E3675" s="30" t="inlineStr">
        <is>
          <t>JESSE RODRIGUES DE LIMA</t>
        </is>
      </c>
      <c r="F3675" s="30" t="inlineStr">
        <is>
          <t>2023</t>
        </is>
      </c>
      <c r="G3675" s="40" t="n">
        <v>26900</v>
      </c>
    </row>
    <row r="3676" ht="12" customHeight="1">
      <c r="A3676" s="30" t="inlineStr">
        <is>
          <t>ITG</t>
        </is>
      </c>
      <c r="B3676" s="30" t="inlineStr">
        <is>
          <t>Itaguai</t>
        </is>
      </c>
      <c r="C3676" s="30" t="n">
        <v>72393775</v>
      </c>
      <c r="D3676" s="30">
        <f>"32934173704"</f>
        <v/>
      </c>
      <c r="E3676" s="30" t="inlineStr">
        <is>
          <t>NILTON DE SOUZA SILVA</t>
        </is>
      </c>
      <c r="F3676" s="30" t="inlineStr">
        <is>
          <t>2017</t>
        </is>
      </c>
      <c r="G3676" s="40" t="n">
        <v>46130</v>
      </c>
    </row>
    <row r="3677" ht="12" customHeight="1">
      <c r="A3677" s="30" t="inlineStr">
        <is>
          <t>ITG</t>
        </is>
      </c>
      <c r="B3677" s="30" t="inlineStr">
        <is>
          <t>Itaguai</t>
        </is>
      </c>
      <c r="C3677" s="30" t="n">
        <v>72393775</v>
      </c>
      <c r="D3677" s="30">
        <f>"32934173704"</f>
        <v/>
      </c>
      <c r="E3677" s="30" t="inlineStr">
        <is>
          <t>NILTON DE SOUZA SILVA</t>
        </is>
      </c>
      <c r="F3677" s="30" t="inlineStr">
        <is>
          <t>2018</t>
        </is>
      </c>
      <c r="G3677" s="40" t="n">
        <v>38500</v>
      </c>
    </row>
    <row r="3678" ht="12" customHeight="1">
      <c r="A3678" s="30" t="inlineStr">
        <is>
          <t>ITG</t>
        </is>
      </c>
      <c r="B3678" s="30" t="inlineStr">
        <is>
          <t>Itaguai</t>
        </is>
      </c>
      <c r="C3678" s="30" t="n">
        <v>72393775</v>
      </c>
      <c r="D3678" s="30">
        <f>"32934173704"</f>
        <v/>
      </c>
      <c r="E3678" s="30" t="inlineStr">
        <is>
          <t>NILTON DE SOUZA SILVA</t>
        </is>
      </c>
      <c r="F3678" s="30" t="inlineStr">
        <is>
          <t>2019</t>
        </is>
      </c>
      <c r="G3678" s="40" t="n">
        <v>120880</v>
      </c>
    </row>
    <row r="3679" ht="12" customHeight="1">
      <c r="A3679" s="30" t="inlineStr">
        <is>
          <t>ITG</t>
        </is>
      </c>
      <c r="B3679" s="30" t="inlineStr">
        <is>
          <t>Itaguai</t>
        </is>
      </c>
      <c r="C3679" s="30" t="n">
        <v>72393775</v>
      </c>
      <c r="D3679" s="30">
        <f>"32934173704"</f>
        <v/>
      </c>
      <c r="E3679" s="30" t="inlineStr">
        <is>
          <t>NILTON DE SOUZA SILVA</t>
        </is>
      </c>
      <c r="F3679" s="30" t="inlineStr">
        <is>
          <t>2020</t>
        </is>
      </c>
      <c r="G3679" s="40" t="n">
        <v>26780</v>
      </c>
    </row>
    <row r="3680" ht="12" customHeight="1">
      <c r="A3680" s="30" t="inlineStr">
        <is>
          <t>ITG</t>
        </is>
      </c>
      <c r="B3680" s="30" t="inlineStr">
        <is>
          <t>Itaguai</t>
        </is>
      </c>
      <c r="C3680" s="30" t="n">
        <v>72393775</v>
      </c>
      <c r="D3680" s="30">
        <f>"32934173704"</f>
        <v/>
      </c>
      <c r="E3680" s="30" t="inlineStr">
        <is>
          <t>NILTON DE SOUZA SILVA</t>
        </is>
      </c>
      <c r="F3680" s="30" t="inlineStr">
        <is>
          <t>2021</t>
        </is>
      </c>
      <c r="G3680" s="40" t="n">
        <v>40340</v>
      </c>
    </row>
    <row r="3681" ht="12" customHeight="1">
      <c r="A3681" s="30" t="inlineStr">
        <is>
          <t>ITG</t>
        </is>
      </c>
      <c r="B3681" s="30" t="inlineStr">
        <is>
          <t>Itaguai</t>
        </is>
      </c>
      <c r="C3681" s="30" t="n">
        <v>72393775</v>
      </c>
      <c r="D3681" s="30">
        <f>"32934173704"</f>
        <v/>
      </c>
      <c r="E3681" s="30" t="inlineStr">
        <is>
          <t>NILTON DE SOUZA SILVA</t>
        </is>
      </c>
      <c r="F3681" s="30" t="inlineStr">
        <is>
          <t>2022</t>
        </is>
      </c>
      <c r="G3681" s="40" t="n">
        <v>53300</v>
      </c>
    </row>
    <row r="3682" ht="12" customHeight="1">
      <c r="A3682" s="30" t="inlineStr">
        <is>
          <t>ITG</t>
        </is>
      </c>
      <c r="B3682" s="30" t="inlineStr">
        <is>
          <t>Itaguai</t>
        </is>
      </c>
      <c r="C3682" s="30" t="n">
        <v>72393775</v>
      </c>
      <c r="D3682" s="30">
        <f>"32934173704"</f>
        <v/>
      </c>
      <c r="E3682" s="30" t="inlineStr">
        <is>
          <t>NILTON DE SOUZA SILVA</t>
        </is>
      </c>
      <c r="F3682" s="30" t="inlineStr">
        <is>
          <t>2023</t>
        </is>
      </c>
      <c r="G3682" s="40" t="n">
        <v>85440</v>
      </c>
    </row>
    <row r="3683" ht="12" customHeight="1">
      <c r="A3683" s="30" t="inlineStr">
        <is>
          <t>ITG</t>
        </is>
      </c>
      <c r="B3683" s="30" t="inlineStr">
        <is>
          <t>Itaguai</t>
        </is>
      </c>
      <c r="C3683" s="30" t="n">
        <v>72399307</v>
      </c>
      <c r="D3683" s="30">
        <f>"59318112734"</f>
        <v/>
      </c>
      <c r="E3683" s="30" t="inlineStr">
        <is>
          <t>ISAMU JORGE YAMASHITA</t>
        </is>
      </c>
      <c r="F3683" s="30" t="inlineStr">
        <is>
          <t>2017</t>
        </is>
      </c>
      <c r="G3683" s="40" t="n">
        <v>0</v>
      </c>
    </row>
    <row r="3684" ht="12" customHeight="1">
      <c r="A3684" s="30" t="inlineStr">
        <is>
          <t>ITG</t>
        </is>
      </c>
      <c r="B3684" s="30" t="inlineStr">
        <is>
          <t>Itaguai</t>
        </is>
      </c>
      <c r="C3684" s="30" t="n">
        <v>72399307</v>
      </c>
      <c r="D3684" s="30">
        <f>"59318112734"</f>
        <v/>
      </c>
      <c r="E3684" s="30" t="inlineStr">
        <is>
          <t>ISAMU JORGE YAMASHITA</t>
        </is>
      </c>
      <c r="F3684" s="30" t="inlineStr">
        <is>
          <t>2018</t>
        </is>
      </c>
      <c r="G3684" s="40" t="n">
        <v>0</v>
      </c>
    </row>
    <row r="3685" ht="12" customHeight="1">
      <c r="A3685" s="30" t="inlineStr">
        <is>
          <t>ITG</t>
        </is>
      </c>
      <c r="B3685" s="30" t="inlineStr">
        <is>
          <t>Itaguai</t>
        </is>
      </c>
      <c r="C3685" s="30" t="n">
        <v>72399307</v>
      </c>
      <c r="D3685" s="30">
        <f>"59318112734"</f>
        <v/>
      </c>
      <c r="E3685" s="30" t="inlineStr">
        <is>
          <t>ISAMU JORGE YAMASHITA</t>
        </is>
      </c>
      <c r="F3685" s="30" t="inlineStr">
        <is>
          <t>2019</t>
        </is>
      </c>
      <c r="G3685" s="40" t="n">
        <v>0</v>
      </c>
    </row>
    <row r="3686" ht="12" customHeight="1">
      <c r="A3686" s="30" t="inlineStr">
        <is>
          <t>ITG</t>
        </is>
      </c>
      <c r="B3686" s="30" t="inlineStr">
        <is>
          <t>Itaguai</t>
        </is>
      </c>
      <c r="C3686" s="30" t="n">
        <v>72400283</v>
      </c>
      <c r="D3686" s="30">
        <f>"03364188769"</f>
        <v/>
      </c>
      <c r="E3686" s="30" t="inlineStr">
        <is>
          <t>MARIA DE JESUS FERREIRA</t>
        </is>
      </c>
      <c r="F3686" s="30" t="inlineStr">
        <is>
          <t>2017</t>
        </is>
      </c>
      <c r="G3686" s="40" t="n">
        <v>184000</v>
      </c>
    </row>
    <row r="3687" ht="12" customHeight="1">
      <c r="A3687" s="30" t="inlineStr">
        <is>
          <t>ITG</t>
        </is>
      </c>
      <c r="B3687" s="30" t="inlineStr">
        <is>
          <t>Itaguai</t>
        </is>
      </c>
      <c r="C3687" s="30" t="n">
        <v>72400283</v>
      </c>
      <c r="D3687" s="30">
        <f>"03364188769"</f>
        <v/>
      </c>
      <c r="E3687" s="30" t="inlineStr">
        <is>
          <t>MARIA DE JESUS FERREIRA</t>
        </is>
      </c>
      <c r="F3687" s="30" t="inlineStr">
        <is>
          <t>2018</t>
        </is>
      </c>
      <c r="G3687" s="40" t="n">
        <v>0</v>
      </c>
    </row>
    <row r="3688" ht="12" customHeight="1">
      <c r="A3688" s="30" t="inlineStr">
        <is>
          <t>ITG</t>
        </is>
      </c>
      <c r="B3688" s="30" t="inlineStr">
        <is>
          <t>Itaguai</t>
        </is>
      </c>
      <c r="C3688" s="30" t="n">
        <v>72400283</v>
      </c>
      <c r="D3688" s="30">
        <f>"03364188769"</f>
        <v/>
      </c>
      <c r="E3688" s="30" t="inlineStr">
        <is>
          <t>MARIA DE JESUS FERREIRA</t>
        </is>
      </c>
      <c r="F3688" s="30" t="inlineStr">
        <is>
          <t>2019</t>
        </is>
      </c>
      <c r="G3688" s="40" t="n">
        <v>0</v>
      </c>
    </row>
    <row r="3689" ht="12" customHeight="1">
      <c r="A3689" s="30" t="inlineStr">
        <is>
          <t>ITG</t>
        </is>
      </c>
      <c r="B3689" s="30" t="inlineStr">
        <is>
          <t>Itaguai</t>
        </is>
      </c>
      <c r="C3689" s="30" t="n">
        <v>72400283</v>
      </c>
      <c r="D3689" s="30">
        <f>"03364188769"</f>
        <v/>
      </c>
      <c r="E3689" s="30" t="inlineStr">
        <is>
          <t>MARIA DE JESUS FERREIRA</t>
        </is>
      </c>
      <c r="F3689" s="30" t="inlineStr">
        <is>
          <t>2020</t>
        </is>
      </c>
      <c r="G3689" s="40" t="n">
        <v>0</v>
      </c>
    </row>
    <row r="3690" ht="12" customHeight="1">
      <c r="A3690" s="30" t="inlineStr">
        <is>
          <t>ITG</t>
        </is>
      </c>
      <c r="B3690" s="30" t="inlineStr">
        <is>
          <t>Itaguai</t>
        </is>
      </c>
      <c r="C3690" s="30" t="n">
        <v>72400283</v>
      </c>
      <c r="D3690" s="30">
        <f>"03364188769"</f>
        <v/>
      </c>
      <c r="E3690" s="30" t="inlineStr">
        <is>
          <t>MARIA DE JESUS FERREIRA</t>
        </is>
      </c>
      <c r="F3690" s="30" t="inlineStr">
        <is>
          <t>2021</t>
        </is>
      </c>
      <c r="G3690" s="40" t="n">
        <v>296850</v>
      </c>
    </row>
    <row r="3691" ht="12" customHeight="1">
      <c r="A3691" s="30" t="inlineStr">
        <is>
          <t>ITG</t>
        </is>
      </c>
      <c r="B3691" s="30" t="inlineStr">
        <is>
          <t>Itaguai</t>
        </is>
      </c>
      <c r="C3691" s="30" t="n">
        <v>72400283</v>
      </c>
      <c r="D3691" s="30">
        <f>"03364188769"</f>
        <v/>
      </c>
      <c r="E3691" s="30" t="inlineStr">
        <is>
          <t>MARIA DE JESUS FERREIRA</t>
        </is>
      </c>
      <c r="F3691" s="30" t="inlineStr">
        <is>
          <t>2022</t>
        </is>
      </c>
      <c r="G3691" s="40" t="n">
        <v>315000</v>
      </c>
    </row>
    <row r="3692" ht="12" customHeight="1">
      <c r="A3692" s="30" t="inlineStr">
        <is>
          <t>ITG</t>
        </is>
      </c>
      <c r="B3692" s="30" t="inlineStr">
        <is>
          <t>Itaguai</t>
        </is>
      </c>
      <c r="C3692" s="30" t="n">
        <v>72400283</v>
      </c>
      <c r="D3692" s="30">
        <f>"03364188769"</f>
        <v/>
      </c>
      <c r="E3692" s="30" t="inlineStr">
        <is>
          <t>MARIA DE JESUS FERREIRA</t>
        </is>
      </c>
      <c r="F3692" s="30" t="inlineStr">
        <is>
          <t>2023</t>
        </is>
      </c>
      <c r="G3692" s="40" t="n">
        <v>162000</v>
      </c>
    </row>
    <row r="3693" ht="12" customHeight="1">
      <c r="A3693" s="30" t="inlineStr">
        <is>
          <t>ITG</t>
        </is>
      </c>
      <c r="B3693" s="30" t="inlineStr">
        <is>
          <t>Itaguai</t>
        </is>
      </c>
      <c r="C3693" s="30" t="n">
        <v>72408594</v>
      </c>
      <c r="D3693" s="30">
        <f>"00003364188769"</f>
        <v/>
      </c>
      <c r="E3693" s="30" t="inlineStr">
        <is>
          <t>MARIA DE JESUS FERREIRA</t>
        </is>
      </c>
      <c r="F3693" s="30" t="inlineStr">
        <is>
          <t>2020</t>
        </is>
      </c>
      <c r="G3693" s="40" t="n">
        <v>0</v>
      </c>
    </row>
    <row r="3694" ht="12" customHeight="1">
      <c r="A3694" s="30" t="inlineStr">
        <is>
          <t>ITG</t>
        </is>
      </c>
      <c r="B3694" s="30" t="inlineStr">
        <is>
          <t>Itaguai</t>
        </is>
      </c>
      <c r="C3694" s="30" t="n">
        <v>72408594</v>
      </c>
      <c r="D3694" s="30">
        <f>"00003364188769"</f>
        <v/>
      </c>
      <c r="E3694" s="30" t="inlineStr">
        <is>
          <t>MARIA DE JESUS FERREIRA</t>
        </is>
      </c>
      <c r="F3694" s="30" t="inlineStr">
        <is>
          <t>2021</t>
        </is>
      </c>
      <c r="G3694" s="40" t="n">
        <v>0</v>
      </c>
    </row>
    <row r="3695" ht="12" customHeight="1">
      <c r="A3695" s="30" t="inlineStr">
        <is>
          <t>ITG</t>
        </is>
      </c>
      <c r="B3695" s="30" t="inlineStr">
        <is>
          <t>Itaguai</t>
        </is>
      </c>
      <c r="C3695" s="30" t="n">
        <v>72408594</v>
      </c>
      <c r="D3695" s="30">
        <f>"00003364188769"</f>
        <v/>
      </c>
      <c r="E3695" s="30" t="inlineStr">
        <is>
          <t>MARIA DE JESUS FERREIRA</t>
        </is>
      </c>
      <c r="F3695" s="30" t="inlineStr">
        <is>
          <t>2022</t>
        </is>
      </c>
      <c r="G3695" s="40" t="n">
        <v>0</v>
      </c>
    </row>
    <row r="3696" ht="12" customHeight="1">
      <c r="A3696" s="30" t="inlineStr">
        <is>
          <t>ITG</t>
        </is>
      </c>
      <c r="B3696" s="30" t="inlineStr">
        <is>
          <t>Itaguai</t>
        </is>
      </c>
      <c r="C3696" s="30" t="n">
        <v>72408594</v>
      </c>
      <c r="D3696" s="30">
        <f>"00003364188769"</f>
        <v/>
      </c>
      <c r="E3696" s="30" t="inlineStr">
        <is>
          <t>MARIA DE JESUS FERREIRA</t>
        </is>
      </c>
      <c r="F3696" s="30" t="inlineStr">
        <is>
          <t>2023</t>
        </is>
      </c>
      <c r="G3696" s="40" t="n">
        <v>0</v>
      </c>
    </row>
    <row r="3697" ht="12" customHeight="1">
      <c r="A3697" s="30" t="inlineStr">
        <is>
          <t>ITG</t>
        </is>
      </c>
      <c r="B3697" s="30" t="inlineStr">
        <is>
          <t>Itaguai</t>
        </is>
      </c>
      <c r="C3697" s="30" t="n">
        <v>72408608</v>
      </c>
      <c r="D3697" s="30">
        <f>"00003364188769"</f>
        <v/>
      </c>
      <c r="E3697" s="30" t="inlineStr">
        <is>
          <t>MARIA DE JESUS FERREIRA</t>
        </is>
      </c>
      <c r="F3697" s="30" t="inlineStr">
        <is>
          <t>2017</t>
        </is>
      </c>
      <c r="G3697" s="40" t="n">
        <v>30370</v>
      </c>
    </row>
    <row r="3698" ht="12" customHeight="1">
      <c r="A3698" s="30" t="inlineStr">
        <is>
          <t>ITG</t>
        </is>
      </c>
      <c r="B3698" s="30" t="inlineStr">
        <is>
          <t>Itaguai</t>
        </is>
      </c>
      <c r="C3698" s="30" t="n">
        <v>72408608</v>
      </c>
      <c r="D3698" s="30">
        <f>"00003364188769"</f>
        <v/>
      </c>
      <c r="E3698" s="30" t="inlineStr">
        <is>
          <t>MARIA DE JESUS FERREIRA</t>
        </is>
      </c>
      <c r="F3698" s="30" t="inlineStr">
        <is>
          <t>2018</t>
        </is>
      </c>
      <c r="G3698" s="40" t="n">
        <v>0</v>
      </c>
    </row>
    <row r="3699" ht="12" customHeight="1">
      <c r="A3699" s="30" t="inlineStr">
        <is>
          <t>ITG</t>
        </is>
      </c>
      <c r="B3699" s="30" t="inlineStr">
        <is>
          <t>Itaguai</t>
        </is>
      </c>
      <c r="C3699" s="30" t="n">
        <v>72408608</v>
      </c>
      <c r="D3699" s="30">
        <f>"00003364188769"</f>
        <v/>
      </c>
      <c r="E3699" s="30" t="inlineStr">
        <is>
          <t>MARIA DE JESUS FERREIRA</t>
        </is>
      </c>
      <c r="F3699" s="30" t="inlineStr">
        <is>
          <t>2019</t>
        </is>
      </c>
      <c r="G3699" s="40" t="n">
        <v>0</v>
      </c>
    </row>
    <row r="3700" ht="12" customHeight="1">
      <c r="A3700" s="30" t="inlineStr">
        <is>
          <t>ITG</t>
        </is>
      </c>
      <c r="B3700" s="30" t="inlineStr">
        <is>
          <t>Itaguai</t>
        </is>
      </c>
      <c r="C3700" s="30" t="n">
        <v>72408608</v>
      </c>
      <c r="D3700" s="30">
        <f>"00003364188769"</f>
        <v/>
      </c>
      <c r="E3700" s="30" t="inlineStr">
        <is>
          <t>MARIA DE JESUS FERREIRA</t>
        </is>
      </c>
      <c r="F3700" s="30" t="inlineStr">
        <is>
          <t>2020</t>
        </is>
      </c>
      <c r="G3700" s="40" t="n">
        <v>0</v>
      </c>
    </row>
    <row r="3701" ht="12" customHeight="1">
      <c r="A3701" s="30" t="inlineStr">
        <is>
          <t>ITG</t>
        </is>
      </c>
      <c r="B3701" s="30" t="inlineStr">
        <is>
          <t>Itaguai</t>
        </is>
      </c>
      <c r="C3701" s="30" t="n">
        <v>72408608</v>
      </c>
      <c r="D3701" s="30">
        <f>"00003364188769"</f>
        <v/>
      </c>
      <c r="E3701" s="30" t="inlineStr">
        <is>
          <t>MARIA DE JESUS FERREIRA</t>
        </is>
      </c>
      <c r="F3701" s="30" t="inlineStr">
        <is>
          <t>2021</t>
        </is>
      </c>
      <c r="G3701" s="40" t="n">
        <v>27600</v>
      </c>
    </row>
    <row r="3702" ht="12" customHeight="1">
      <c r="A3702" s="30" t="inlineStr">
        <is>
          <t>ITG</t>
        </is>
      </c>
      <c r="B3702" s="30" t="inlineStr">
        <is>
          <t>Itaguai</t>
        </is>
      </c>
      <c r="C3702" s="30" t="n">
        <v>72408608</v>
      </c>
      <c r="D3702" s="30">
        <f>"00003364188769"</f>
        <v/>
      </c>
      <c r="E3702" s="30" t="inlineStr">
        <is>
          <t>MARIA DE JESUS FERREIRA</t>
        </is>
      </c>
      <c r="F3702" s="30" t="inlineStr">
        <is>
          <t>2022</t>
        </is>
      </c>
      <c r="G3702" s="40" t="n">
        <v>6200</v>
      </c>
    </row>
    <row r="3703" ht="12" customHeight="1">
      <c r="A3703" s="30" t="inlineStr">
        <is>
          <t>ITG</t>
        </is>
      </c>
      <c r="B3703" s="30" t="inlineStr">
        <is>
          <t>Itaguai</t>
        </is>
      </c>
      <c r="C3703" s="30" t="n">
        <v>72408608</v>
      </c>
      <c r="D3703" s="30">
        <f>"00003364188769"</f>
        <v/>
      </c>
      <c r="E3703" s="30" t="inlineStr">
        <is>
          <t>MARIA DE JESUS FERREIRA</t>
        </is>
      </c>
      <c r="F3703" s="30" t="inlineStr">
        <is>
          <t>2023</t>
        </is>
      </c>
      <c r="G3703" s="40" t="n">
        <v>6300</v>
      </c>
    </row>
    <row r="3704" ht="12" customHeight="1">
      <c r="A3704" s="30" t="inlineStr">
        <is>
          <t>ITG</t>
        </is>
      </c>
      <c r="B3704" s="30" t="inlineStr">
        <is>
          <t>Itaguai</t>
        </is>
      </c>
      <c r="C3704" s="30" t="n">
        <v>72430867</v>
      </c>
      <c r="D3704" s="30">
        <f>"40150887787"</f>
        <v/>
      </c>
      <c r="E3704" s="30" t="inlineStr">
        <is>
          <t>JOSE CARLOS NAIPE DOS SANTOS</t>
        </is>
      </c>
      <c r="F3704" s="30" t="inlineStr">
        <is>
          <t>2017</t>
        </is>
      </c>
      <c r="G3704" s="40" t="n">
        <v>0</v>
      </c>
    </row>
    <row r="3705" ht="12" customHeight="1">
      <c r="A3705" s="30" t="inlineStr">
        <is>
          <t>ITG</t>
        </is>
      </c>
      <c r="B3705" s="30" t="inlineStr">
        <is>
          <t>Itaguai</t>
        </is>
      </c>
      <c r="C3705" s="30" t="n">
        <v>72430867</v>
      </c>
      <c r="D3705" s="30">
        <f>"40150887787"</f>
        <v/>
      </c>
      <c r="E3705" s="30" t="inlineStr">
        <is>
          <t>JOSE CARLOS NAIPE DOS SANTOS</t>
        </is>
      </c>
      <c r="F3705" s="30" t="inlineStr">
        <is>
          <t>2018</t>
        </is>
      </c>
      <c r="G3705" s="40" t="n">
        <v>0</v>
      </c>
    </row>
    <row r="3706" ht="12" customHeight="1">
      <c r="A3706" s="30" t="inlineStr">
        <is>
          <t>ITG</t>
        </is>
      </c>
      <c r="B3706" s="30" t="inlineStr">
        <is>
          <t>Itaguai</t>
        </is>
      </c>
      <c r="C3706" s="30" t="n">
        <v>72430867</v>
      </c>
      <c r="D3706" s="30">
        <f>"40150887787"</f>
        <v/>
      </c>
      <c r="E3706" s="30" t="inlineStr">
        <is>
          <t>JOSE CARLOS NAIPE DOS SANTOS</t>
        </is>
      </c>
      <c r="F3706" s="30" t="inlineStr">
        <is>
          <t>2019</t>
        </is>
      </c>
      <c r="G3706" s="40" t="n">
        <v>0</v>
      </c>
    </row>
    <row r="3707" ht="12" customHeight="1">
      <c r="A3707" s="30" t="inlineStr">
        <is>
          <t>ITG</t>
        </is>
      </c>
      <c r="B3707" s="30" t="inlineStr">
        <is>
          <t>Itaguai</t>
        </is>
      </c>
      <c r="C3707" s="30" t="n">
        <v>72430867</v>
      </c>
      <c r="D3707" s="30">
        <f>"40150887787"</f>
        <v/>
      </c>
      <c r="E3707" s="30" t="inlineStr">
        <is>
          <t>JOSE CARLOS NAIPE DOS SANTOS</t>
        </is>
      </c>
      <c r="F3707" s="30" t="inlineStr">
        <is>
          <t>2020</t>
        </is>
      </c>
      <c r="G3707" s="40" t="n">
        <v>0</v>
      </c>
    </row>
    <row r="3708" ht="12" customHeight="1">
      <c r="A3708" s="30" t="inlineStr">
        <is>
          <t>ITG</t>
        </is>
      </c>
      <c r="B3708" s="30" t="inlineStr">
        <is>
          <t>Itaguai</t>
        </is>
      </c>
      <c r="C3708" s="30" t="n">
        <v>72435176</v>
      </c>
      <c r="D3708" s="30">
        <f>"70541884700"</f>
        <v/>
      </c>
      <c r="E3708" s="30" t="inlineStr">
        <is>
          <t>ISAAC CLEMENTINO ROCHA</t>
        </is>
      </c>
      <c r="F3708" s="30" t="inlineStr">
        <is>
          <t>2017</t>
        </is>
      </c>
      <c r="G3708" s="40" t="n">
        <v>52310</v>
      </c>
    </row>
    <row r="3709" ht="12" customHeight="1">
      <c r="A3709" s="30" t="inlineStr">
        <is>
          <t>ITG</t>
        </is>
      </c>
      <c r="B3709" s="30" t="inlineStr">
        <is>
          <t>Itaguai</t>
        </is>
      </c>
      <c r="C3709" s="30" t="n">
        <v>72435176</v>
      </c>
      <c r="D3709" s="30">
        <f>"70541884700"</f>
        <v/>
      </c>
      <c r="E3709" s="30" t="inlineStr">
        <is>
          <t>ISAAC CLEMENTINO ROCHA</t>
        </is>
      </c>
      <c r="F3709" s="30" t="inlineStr">
        <is>
          <t>2018</t>
        </is>
      </c>
      <c r="G3709" s="40" t="n">
        <v>1800</v>
      </c>
    </row>
    <row r="3710" ht="12" customHeight="1">
      <c r="A3710" s="30" t="inlineStr">
        <is>
          <t>ITG</t>
        </is>
      </c>
      <c r="B3710" s="30" t="inlineStr">
        <is>
          <t>Itaguai</t>
        </is>
      </c>
      <c r="C3710" s="30" t="n">
        <v>72435176</v>
      </c>
      <c r="D3710" s="30">
        <f>"70541884700"</f>
        <v/>
      </c>
      <c r="E3710" s="30" t="inlineStr">
        <is>
          <t>ISAAC CLEMENTINO ROCHA</t>
        </is>
      </c>
      <c r="F3710" s="30" t="inlineStr">
        <is>
          <t>2019</t>
        </is>
      </c>
      <c r="G3710" s="40" t="n">
        <v>1500</v>
      </c>
    </row>
    <row r="3711" ht="12" customHeight="1">
      <c r="A3711" s="30" t="inlineStr">
        <is>
          <t>ITG</t>
        </is>
      </c>
      <c r="B3711" s="30" t="inlineStr">
        <is>
          <t>Itaguai</t>
        </is>
      </c>
      <c r="C3711" s="30" t="n">
        <v>72435176</v>
      </c>
      <c r="D3711" s="30">
        <f>"70541884700"</f>
        <v/>
      </c>
      <c r="E3711" s="30" t="inlineStr">
        <is>
          <t>ISAAC CLEMENTINO ROCHA</t>
        </is>
      </c>
      <c r="F3711" s="30" t="inlineStr">
        <is>
          <t>2020</t>
        </is>
      </c>
      <c r="G3711" s="40" t="n">
        <v>2600</v>
      </c>
    </row>
    <row r="3712" ht="12" customHeight="1">
      <c r="A3712" s="30" t="inlineStr">
        <is>
          <t>ITG</t>
        </is>
      </c>
      <c r="B3712" s="30" t="inlineStr">
        <is>
          <t>Itaguai</t>
        </is>
      </c>
      <c r="C3712" s="30" t="n">
        <v>72435176</v>
      </c>
      <c r="D3712" s="30">
        <f>"70541884700"</f>
        <v/>
      </c>
      <c r="E3712" s="30" t="inlineStr">
        <is>
          <t>ISAAC CLEMENTINO ROCHA</t>
        </is>
      </c>
      <c r="F3712" s="30" t="inlineStr">
        <is>
          <t>2021</t>
        </is>
      </c>
      <c r="G3712" s="40" t="n">
        <v>22400</v>
      </c>
    </row>
    <row r="3713" ht="12" customHeight="1">
      <c r="A3713" s="30" t="inlineStr">
        <is>
          <t>ITG</t>
        </is>
      </c>
      <c r="B3713" s="30" t="inlineStr">
        <is>
          <t>Itaguai</t>
        </is>
      </c>
      <c r="C3713" s="30" t="n">
        <v>72435176</v>
      </c>
      <c r="D3713" s="30">
        <f>"70541884700"</f>
        <v/>
      </c>
      <c r="E3713" s="30" t="inlineStr">
        <is>
          <t>ISAAC CLEMENTINO ROCHA</t>
        </is>
      </c>
      <c r="F3713" s="30" t="inlineStr">
        <is>
          <t>2022</t>
        </is>
      </c>
      <c r="G3713" s="40" t="n">
        <v>0</v>
      </c>
    </row>
    <row r="3714" ht="12" customHeight="1">
      <c r="A3714" s="30" t="inlineStr">
        <is>
          <t>ITG</t>
        </is>
      </c>
      <c r="B3714" s="30" t="inlineStr">
        <is>
          <t>Itaguai</t>
        </is>
      </c>
      <c r="C3714" s="30" t="n">
        <v>72435176</v>
      </c>
      <c r="D3714" s="30">
        <f>"70541884700"</f>
        <v/>
      </c>
      <c r="E3714" s="30" t="inlineStr">
        <is>
          <t>ISAAC CLEMENTINO ROCHA</t>
        </is>
      </c>
      <c r="F3714" s="30" t="inlineStr">
        <is>
          <t>2023</t>
        </is>
      </c>
      <c r="G3714" s="40" t="n">
        <v>0</v>
      </c>
    </row>
    <row r="3715" ht="12" customHeight="1">
      <c r="A3715" s="30" t="inlineStr">
        <is>
          <t>ITG</t>
        </is>
      </c>
      <c r="B3715" s="30" t="inlineStr">
        <is>
          <t>Itaguai</t>
        </is>
      </c>
      <c r="C3715" s="30" t="n">
        <v>72435320</v>
      </c>
      <c r="D3715" s="30">
        <f>"05355405746"</f>
        <v/>
      </c>
      <c r="E3715" s="30" t="inlineStr">
        <is>
          <t>CEZARE YUKIO IWANAGA</t>
        </is>
      </c>
      <c r="F3715" s="30" t="inlineStr">
        <is>
          <t>2017</t>
        </is>
      </c>
      <c r="G3715" s="40" t="n">
        <v>0</v>
      </c>
    </row>
    <row r="3716" ht="12" customHeight="1">
      <c r="A3716" s="30" t="inlineStr">
        <is>
          <t>ITG</t>
        </is>
      </c>
      <c r="B3716" s="30" t="inlineStr">
        <is>
          <t>Itaguai</t>
        </is>
      </c>
      <c r="C3716" s="30" t="n">
        <v>72435320</v>
      </c>
      <c r="D3716" s="30">
        <f>"05355405746"</f>
        <v/>
      </c>
      <c r="E3716" s="30" t="inlineStr">
        <is>
          <t>CEZARE YUKIO IWANAGA</t>
        </is>
      </c>
      <c r="F3716" s="30" t="inlineStr">
        <is>
          <t>2018</t>
        </is>
      </c>
      <c r="G3716" s="40" t="n">
        <v>0</v>
      </c>
    </row>
    <row r="3717" ht="12" customHeight="1">
      <c r="A3717" s="30" t="inlineStr">
        <is>
          <t>ITG</t>
        </is>
      </c>
      <c r="B3717" s="30" t="inlineStr">
        <is>
          <t>Itaguai</t>
        </is>
      </c>
      <c r="C3717" s="30" t="n">
        <v>72435320</v>
      </c>
      <c r="D3717" s="30">
        <f>"05355405746"</f>
        <v/>
      </c>
      <c r="E3717" s="30" t="inlineStr">
        <is>
          <t>CEZARE YUKIO IWANAGA</t>
        </is>
      </c>
      <c r="F3717" s="30" t="inlineStr">
        <is>
          <t>2019</t>
        </is>
      </c>
      <c r="G3717" s="40" t="n">
        <v>0</v>
      </c>
    </row>
    <row r="3718" ht="12" customHeight="1">
      <c r="A3718" s="30" t="inlineStr">
        <is>
          <t>ITG</t>
        </is>
      </c>
      <c r="B3718" s="30" t="inlineStr">
        <is>
          <t>Itaguai</t>
        </is>
      </c>
      <c r="C3718" s="30" t="n">
        <v>72435320</v>
      </c>
      <c r="D3718" s="30">
        <f>"05355405746"</f>
        <v/>
      </c>
      <c r="E3718" s="30" t="inlineStr">
        <is>
          <t>CEZARE YUKIO IWANAGA</t>
        </is>
      </c>
      <c r="F3718" s="30" t="inlineStr">
        <is>
          <t>2020</t>
        </is>
      </c>
      <c r="G3718" s="40" t="n">
        <v>0</v>
      </c>
    </row>
    <row r="3719" ht="12" customHeight="1">
      <c r="A3719" s="30" t="inlineStr">
        <is>
          <t>ITG</t>
        </is>
      </c>
      <c r="B3719" s="30" t="inlineStr">
        <is>
          <t>Itaguai</t>
        </is>
      </c>
      <c r="C3719" s="30" t="n">
        <v>72435320</v>
      </c>
      <c r="D3719" s="30">
        <f>"05355405746"</f>
        <v/>
      </c>
      <c r="E3719" s="30" t="inlineStr">
        <is>
          <t>CEZARE YUKIO IWANAGA</t>
        </is>
      </c>
      <c r="F3719" s="30" t="inlineStr">
        <is>
          <t>2021</t>
        </is>
      </c>
      <c r="G3719" s="40" t="n">
        <v>0</v>
      </c>
    </row>
    <row r="3720" ht="12" customHeight="1">
      <c r="A3720" s="30" t="inlineStr">
        <is>
          <t>ITG</t>
        </is>
      </c>
      <c r="B3720" s="30" t="inlineStr">
        <is>
          <t>Itaguai</t>
        </is>
      </c>
      <c r="C3720" s="30" t="n">
        <v>72435320</v>
      </c>
      <c r="D3720" s="30">
        <f>"05355405746"</f>
        <v/>
      </c>
      <c r="E3720" s="30" t="inlineStr">
        <is>
          <t>CEZARE YUKIO IWANAGA</t>
        </is>
      </c>
      <c r="F3720" s="30" t="inlineStr">
        <is>
          <t>2022</t>
        </is>
      </c>
      <c r="G3720" s="40" t="n">
        <v>0.1</v>
      </c>
    </row>
    <row r="3721" ht="12" customHeight="1">
      <c r="A3721" s="30" t="inlineStr">
        <is>
          <t>ITG</t>
        </is>
      </c>
      <c r="B3721" s="30" t="inlineStr">
        <is>
          <t>Itaguai</t>
        </is>
      </c>
      <c r="C3721" s="30" t="n">
        <v>72435320</v>
      </c>
      <c r="D3721" s="30">
        <f>"05355405746"</f>
        <v/>
      </c>
      <c r="E3721" s="30" t="inlineStr">
        <is>
          <t>CEZARE YUKIO IWANAGA</t>
        </is>
      </c>
      <c r="F3721" s="30" t="inlineStr">
        <is>
          <t>2023</t>
        </is>
      </c>
      <c r="G3721" s="40" t="n">
        <v>0.1</v>
      </c>
    </row>
    <row r="3722" ht="12" customHeight="1">
      <c r="A3722" s="30" t="inlineStr">
        <is>
          <t>ITG</t>
        </is>
      </c>
      <c r="B3722" s="30" t="inlineStr">
        <is>
          <t>Itaguai</t>
        </is>
      </c>
      <c r="C3722" s="30" t="n">
        <v>72436164</v>
      </c>
      <c r="D3722" s="30">
        <f>"07198594760"</f>
        <v/>
      </c>
      <c r="E3722" s="30" t="inlineStr">
        <is>
          <t>JULIO CESAR GONCALVES</t>
        </is>
      </c>
      <c r="F3722" s="30" t="inlineStr">
        <is>
          <t>2017</t>
        </is>
      </c>
      <c r="G3722" s="40" t="n">
        <v>15855</v>
      </c>
    </row>
    <row r="3723" ht="12" customHeight="1">
      <c r="A3723" s="30" t="inlineStr">
        <is>
          <t>ITG</t>
        </is>
      </c>
      <c r="B3723" s="30" t="inlineStr">
        <is>
          <t>Itaguai</t>
        </is>
      </c>
      <c r="C3723" s="30" t="n">
        <v>72436164</v>
      </c>
      <c r="D3723" s="30">
        <f>"07198594760"</f>
        <v/>
      </c>
      <c r="E3723" s="30" t="inlineStr">
        <is>
          <t>JULIO CESAR GONCALVES</t>
        </is>
      </c>
      <c r="F3723" s="30" t="inlineStr">
        <is>
          <t>2018</t>
        </is>
      </c>
      <c r="G3723" s="40" t="n">
        <v>7655</v>
      </c>
    </row>
    <row r="3724" ht="12" customHeight="1">
      <c r="A3724" s="30" t="inlineStr">
        <is>
          <t>ITG</t>
        </is>
      </c>
      <c r="B3724" s="30" t="inlineStr">
        <is>
          <t>Itaguai</t>
        </is>
      </c>
      <c r="C3724" s="30" t="n">
        <v>72436164</v>
      </c>
      <c r="D3724" s="30">
        <f>"07198594760"</f>
        <v/>
      </c>
      <c r="E3724" s="30" t="inlineStr">
        <is>
          <t>JULIO CESAR GONCALVES</t>
        </is>
      </c>
      <c r="F3724" s="30" t="inlineStr">
        <is>
          <t>2019</t>
        </is>
      </c>
      <c r="G3724" s="40" t="n">
        <v>0</v>
      </c>
    </row>
    <row r="3725" ht="12" customHeight="1">
      <c r="A3725" s="30" t="inlineStr">
        <is>
          <t>ITG</t>
        </is>
      </c>
      <c r="B3725" s="30" t="inlineStr">
        <is>
          <t>Itaguai</t>
        </is>
      </c>
      <c r="C3725" s="30" t="n">
        <v>72436164</v>
      </c>
      <c r="D3725" s="30">
        <f>"07198594760"</f>
        <v/>
      </c>
      <c r="E3725" s="30" t="inlineStr">
        <is>
          <t>JULIO CESAR GONCALVES</t>
        </is>
      </c>
      <c r="F3725" s="30" t="inlineStr">
        <is>
          <t>2020</t>
        </is>
      </c>
      <c r="G3725" s="40" t="n">
        <v>0</v>
      </c>
    </row>
    <row r="3726" ht="12" customHeight="1">
      <c r="A3726" s="30" t="inlineStr">
        <is>
          <t>ITG</t>
        </is>
      </c>
      <c r="B3726" s="30" t="inlineStr">
        <is>
          <t>Itaguai</t>
        </is>
      </c>
      <c r="C3726" s="30" t="n">
        <v>72436164</v>
      </c>
      <c r="D3726" s="30">
        <f>"07198594760"</f>
        <v/>
      </c>
      <c r="E3726" s="30" t="inlineStr">
        <is>
          <t>JULIO CESAR GONCALVES</t>
        </is>
      </c>
      <c r="F3726" s="30" t="inlineStr">
        <is>
          <t>2021</t>
        </is>
      </c>
      <c r="G3726" s="40" t="n">
        <v>0</v>
      </c>
    </row>
    <row r="3727" ht="12" customHeight="1">
      <c r="A3727" s="30" t="inlineStr">
        <is>
          <t>ITG</t>
        </is>
      </c>
      <c r="B3727" s="30" t="inlineStr">
        <is>
          <t>Itaguai</t>
        </is>
      </c>
      <c r="C3727" s="30" t="n">
        <v>72436164</v>
      </c>
      <c r="D3727" s="30">
        <f>"07198594760"</f>
        <v/>
      </c>
      <c r="E3727" s="30" t="inlineStr">
        <is>
          <t>JULIO CESAR GONCALVES</t>
        </is>
      </c>
      <c r="F3727" s="30" t="inlineStr">
        <is>
          <t>2022</t>
        </is>
      </c>
      <c r="G3727" s="40" t="n">
        <v>0</v>
      </c>
    </row>
    <row r="3728" ht="12" customHeight="1">
      <c r="A3728" s="30" t="inlineStr">
        <is>
          <t>ITG</t>
        </is>
      </c>
      <c r="B3728" s="30" t="inlineStr">
        <is>
          <t>Itaguai</t>
        </is>
      </c>
      <c r="C3728" s="30" t="n">
        <v>72436164</v>
      </c>
      <c r="D3728" s="30">
        <f>"07198594760"</f>
        <v/>
      </c>
      <c r="E3728" s="30" t="inlineStr">
        <is>
          <t>JULIO CESAR GONCALVES</t>
        </is>
      </c>
      <c r="F3728" s="30" t="inlineStr">
        <is>
          <t>2023</t>
        </is>
      </c>
      <c r="G3728" s="40" t="n">
        <v>0</v>
      </c>
    </row>
    <row r="3729" ht="12" customHeight="1">
      <c r="A3729" s="30" t="inlineStr">
        <is>
          <t>ITG</t>
        </is>
      </c>
      <c r="B3729" s="30" t="inlineStr">
        <is>
          <t>Itaguai</t>
        </is>
      </c>
      <c r="C3729" s="30" t="n">
        <v>72438329</v>
      </c>
      <c r="D3729" s="30">
        <f>"00009577099785"</f>
        <v/>
      </c>
      <c r="E3729" s="30" t="inlineStr">
        <is>
          <t>KATIA KEIKO KOJIMA</t>
        </is>
      </c>
      <c r="F3729" s="30" t="inlineStr">
        <is>
          <t>2020</t>
        </is>
      </c>
      <c r="G3729" s="40" t="n">
        <v>0</v>
      </c>
    </row>
    <row r="3730" ht="12" customHeight="1">
      <c r="A3730" s="30" t="inlineStr">
        <is>
          <t>ITG</t>
        </is>
      </c>
      <c r="B3730" s="30" t="inlineStr">
        <is>
          <t>Itaguai</t>
        </is>
      </c>
      <c r="C3730" s="30" t="n">
        <v>72438329</v>
      </c>
      <c r="D3730" s="30">
        <f>"00009577099785"</f>
        <v/>
      </c>
      <c r="E3730" s="30" t="inlineStr">
        <is>
          <t>KATIA KEIKO KOJIMA</t>
        </is>
      </c>
      <c r="F3730" s="30" t="inlineStr">
        <is>
          <t>2021</t>
        </is>
      </c>
      <c r="G3730" s="40" t="n">
        <v>0</v>
      </c>
    </row>
    <row r="3731" ht="12" customHeight="1">
      <c r="A3731" s="30" t="inlineStr">
        <is>
          <t>ITG</t>
        </is>
      </c>
      <c r="B3731" s="30" t="inlineStr">
        <is>
          <t>Itaguai</t>
        </is>
      </c>
      <c r="C3731" s="30" t="n">
        <v>72438329</v>
      </c>
      <c r="D3731" s="30">
        <f>"00009577099785"</f>
        <v/>
      </c>
      <c r="E3731" s="30" t="inlineStr">
        <is>
          <t>KATIA KEIKO KOJIMA</t>
        </is>
      </c>
      <c r="F3731" s="30" t="inlineStr">
        <is>
          <t>2022</t>
        </is>
      </c>
      <c r="G3731" s="40" t="n">
        <v>5000</v>
      </c>
    </row>
    <row r="3732" ht="12" customHeight="1">
      <c r="A3732" s="30" t="inlineStr">
        <is>
          <t>ITG</t>
        </is>
      </c>
      <c r="B3732" s="30" t="inlineStr">
        <is>
          <t>Itaguai</t>
        </is>
      </c>
      <c r="C3732" s="30" t="n">
        <v>72438329</v>
      </c>
      <c r="D3732" s="30">
        <f>"00009577099785"</f>
        <v/>
      </c>
      <c r="E3732" s="30" t="inlineStr">
        <is>
          <t>KATIA KEIKO KOJIMA</t>
        </is>
      </c>
      <c r="F3732" s="30" t="inlineStr">
        <is>
          <t>2023</t>
        </is>
      </c>
      <c r="G3732" s="40" t="n">
        <v>30000</v>
      </c>
    </row>
    <row r="3733" ht="12" customHeight="1">
      <c r="A3733" s="30" t="inlineStr">
        <is>
          <t>ITG</t>
        </is>
      </c>
      <c r="B3733" s="30" t="inlineStr">
        <is>
          <t>Itaguai</t>
        </is>
      </c>
      <c r="C3733" s="30" t="n">
        <v>72439449</v>
      </c>
      <c r="D3733" s="30">
        <f>"38203227791"</f>
        <v/>
      </c>
      <c r="E3733" s="30" t="inlineStr">
        <is>
          <t>BENEDITO DIAS GUIMARAES</t>
        </is>
      </c>
      <c r="F3733" s="30" t="inlineStr">
        <is>
          <t>2017</t>
        </is>
      </c>
      <c r="G3733" s="40" t="n">
        <v>1360</v>
      </c>
    </row>
    <row r="3734" ht="12" customHeight="1">
      <c r="A3734" s="30" t="inlineStr">
        <is>
          <t>ITG</t>
        </is>
      </c>
      <c r="B3734" s="30" t="inlineStr">
        <is>
          <t>Itaguai</t>
        </is>
      </c>
      <c r="C3734" s="30" t="n">
        <v>72439449</v>
      </c>
      <c r="D3734" s="30">
        <f>"38203227791"</f>
        <v/>
      </c>
      <c r="E3734" s="30" t="inlineStr">
        <is>
          <t>BENEDITO DIAS GUIMARAES</t>
        </is>
      </c>
      <c r="F3734" s="30" t="inlineStr">
        <is>
          <t>2018</t>
        </is>
      </c>
      <c r="G3734" s="40" t="n">
        <v>0</v>
      </c>
    </row>
    <row r="3735" ht="12" customHeight="1">
      <c r="A3735" s="30" t="inlineStr">
        <is>
          <t>ITG</t>
        </is>
      </c>
      <c r="B3735" s="30" t="inlineStr">
        <is>
          <t>Itaguai</t>
        </is>
      </c>
      <c r="C3735" s="30" t="n">
        <v>72439449</v>
      </c>
      <c r="D3735" s="30">
        <f>"38203227791"</f>
        <v/>
      </c>
      <c r="E3735" s="30" t="inlineStr">
        <is>
          <t>BENEDITO DIAS GUIMARAES</t>
        </is>
      </c>
      <c r="F3735" s="30" t="inlineStr">
        <is>
          <t>2019</t>
        </is>
      </c>
      <c r="G3735" s="40" t="n">
        <v>1528</v>
      </c>
    </row>
    <row r="3736" ht="12" customHeight="1">
      <c r="A3736" s="30" t="inlineStr">
        <is>
          <t>ITG</t>
        </is>
      </c>
      <c r="B3736" s="30" t="inlineStr">
        <is>
          <t>Itaguai</t>
        </is>
      </c>
      <c r="C3736" s="30" t="n">
        <v>72439449</v>
      </c>
      <c r="D3736" s="30">
        <f>"38203227791"</f>
        <v/>
      </c>
      <c r="E3736" s="30" t="inlineStr">
        <is>
          <t>BENEDITO DIAS GUIMARAES</t>
        </is>
      </c>
      <c r="F3736" s="30" t="inlineStr">
        <is>
          <t>2020</t>
        </is>
      </c>
      <c r="G3736" s="40" t="n">
        <v>0</v>
      </c>
    </row>
    <row r="3737" ht="12" customHeight="1">
      <c r="A3737" s="30" t="inlineStr">
        <is>
          <t>ITG</t>
        </is>
      </c>
      <c r="B3737" s="30" t="inlineStr">
        <is>
          <t>Itaguai</t>
        </is>
      </c>
      <c r="C3737" s="30" t="n">
        <v>72439449</v>
      </c>
      <c r="D3737" s="30">
        <f>"38203227791"</f>
        <v/>
      </c>
      <c r="E3737" s="30" t="inlineStr">
        <is>
          <t>BENEDITO DIAS GUIMARAES</t>
        </is>
      </c>
      <c r="F3737" s="30" t="inlineStr">
        <is>
          <t>2021</t>
        </is>
      </c>
      <c r="G3737" s="40" t="n">
        <v>5250</v>
      </c>
    </row>
    <row r="3738" ht="12" customHeight="1">
      <c r="A3738" s="30" t="inlineStr">
        <is>
          <t>ITG</t>
        </is>
      </c>
      <c r="B3738" s="30" t="inlineStr">
        <is>
          <t>Itaguai</t>
        </is>
      </c>
      <c r="C3738" s="30" t="n">
        <v>72439449</v>
      </c>
      <c r="D3738" s="30">
        <f>"38203227791"</f>
        <v/>
      </c>
      <c r="E3738" s="30" t="inlineStr">
        <is>
          <t>BENEDITO DIAS GUIMARAES</t>
        </is>
      </c>
      <c r="F3738" s="30" t="inlineStr">
        <is>
          <t>2022</t>
        </is>
      </c>
      <c r="G3738" s="40" t="n">
        <v>0</v>
      </c>
    </row>
    <row r="3739" ht="12" customHeight="1">
      <c r="A3739" s="30" t="inlineStr">
        <is>
          <t>ITG</t>
        </is>
      </c>
      <c r="B3739" s="30" t="inlineStr">
        <is>
          <t>Itaguai</t>
        </is>
      </c>
      <c r="C3739" s="30" t="n">
        <v>72439449</v>
      </c>
      <c r="D3739" s="30">
        <f>"38203227791"</f>
        <v/>
      </c>
      <c r="E3739" s="30" t="inlineStr">
        <is>
          <t>BENEDITO DIAS GUIMARAES</t>
        </is>
      </c>
      <c r="F3739" s="30" t="inlineStr">
        <is>
          <t>2023</t>
        </is>
      </c>
      <c r="G3739" s="40" t="n">
        <v>0</v>
      </c>
    </row>
    <row r="3740" ht="12" customHeight="1">
      <c r="A3740" s="30" t="inlineStr">
        <is>
          <t>ITG</t>
        </is>
      </c>
      <c r="B3740" s="30" t="inlineStr">
        <is>
          <t>Itaguai</t>
        </is>
      </c>
      <c r="C3740" s="30" t="n">
        <v>72440846</v>
      </c>
      <c r="D3740" s="30">
        <f>"09522503738"</f>
        <v/>
      </c>
      <c r="E3740" s="30" t="inlineStr">
        <is>
          <t>PAULO SERGIO DA SILVA CONCEICAO</t>
        </is>
      </c>
      <c r="F3740" s="30" t="inlineStr">
        <is>
          <t>2017</t>
        </is>
      </c>
      <c r="G3740" s="40" t="n">
        <v>1995</v>
      </c>
    </row>
    <row r="3741" ht="12" customHeight="1">
      <c r="A3741" s="30" t="inlineStr">
        <is>
          <t>ITG</t>
        </is>
      </c>
      <c r="B3741" s="30" t="inlineStr">
        <is>
          <t>Itaguai</t>
        </is>
      </c>
      <c r="C3741" s="30" t="n">
        <v>72440846</v>
      </c>
      <c r="D3741" s="30">
        <f>"09522503738"</f>
        <v/>
      </c>
      <c r="E3741" s="30" t="inlineStr">
        <is>
          <t>PAULO SERGIO DA SILVA CONCEICAO</t>
        </is>
      </c>
      <c r="F3741" s="30" t="inlineStr">
        <is>
          <t>2018</t>
        </is>
      </c>
      <c r="G3741" s="40" t="n">
        <v>1345</v>
      </c>
    </row>
    <row r="3742" ht="12" customHeight="1">
      <c r="A3742" s="30" t="inlineStr">
        <is>
          <t>ITG</t>
        </is>
      </c>
      <c r="B3742" s="30" t="inlineStr">
        <is>
          <t>Itaguai</t>
        </is>
      </c>
      <c r="C3742" s="30" t="n">
        <v>72440846</v>
      </c>
      <c r="D3742" s="30">
        <f>"09522503738"</f>
        <v/>
      </c>
      <c r="E3742" s="30" t="inlineStr">
        <is>
          <t>PAULO SERGIO DA SILVA CONCEICAO</t>
        </is>
      </c>
      <c r="F3742" s="30" t="inlineStr">
        <is>
          <t>2019</t>
        </is>
      </c>
      <c r="G3742" s="40" t="n">
        <v>9900</v>
      </c>
    </row>
    <row r="3743" ht="12" customHeight="1">
      <c r="A3743" s="30" t="inlineStr">
        <is>
          <t>ITG</t>
        </is>
      </c>
      <c r="B3743" s="30" t="inlineStr">
        <is>
          <t>Itaguai</t>
        </is>
      </c>
      <c r="C3743" s="30" t="n">
        <v>72440846</v>
      </c>
      <c r="D3743" s="30">
        <f>"09522503738"</f>
        <v/>
      </c>
      <c r="E3743" s="30" t="inlineStr">
        <is>
          <t>PAULO SERGIO DA SILVA CONCEICAO</t>
        </is>
      </c>
      <c r="F3743" s="30" t="inlineStr">
        <is>
          <t>2020</t>
        </is>
      </c>
      <c r="G3743" s="40" t="n">
        <v>6600</v>
      </c>
    </row>
    <row r="3744" ht="12" customHeight="1">
      <c r="A3744" s="30" t="inlineStr">
        <is>
          <t>ITG</t>
        </is>
      </c>
      <c r="B3744" s="30" t="inlineStr">
        <is>
          <t>Itaguai</t>
        </is>
      </c>
      <c r="C3744" s="30" t="n">
        <v>72440846</v>
      </c>
      <c r="D3744" s="30">
        <f>"09522503738"</f>
        <v/>
      </c>
      <c r="E3744" s="30" t="inlineStr">
        <is>
          <t>PAULO SERGIO DA SILVA CONCEICAO</t>
        </is>
      </c>
      <c r="F3744" s="30" t="inlineStr">
        <is>
          <t>2021</t>
        </is>
      </c>
      <c r="G3744" s="40" t="n">
        <v>25600</v>
      </c>
    </row>
    <row r="3745" ht="12" customHeight="1">
      <c r="A3745" s="30" t="inlineStr">
        <is>
          <t>ITG</t>
        </is>
      </c>
      <c r="B3745" s="30" t="inlineStr">
        <is>
          <t>Itaguai</t>
        </is>
      </c>
      <c r="C3745" s="30" t="n">
        <v>72440846</v>
      </c>
      <c r="D3745" s="30">
        <f>"09522503738"</f>
        <v/>
      </c>
      <c r="E3745" s="30" t="inlineStr">
        <is>
          <t>PAULO SERGIO DA SILVA CONCEICAO</t>
        </is>
      </c>
      <c r="F3745" s="30" t="inlineStr">
        <is>
          <t>2022</t>
        </is>
      </c>
      <c r="G3745" s="40" t="n">
        <v>23500</v>
      </c>
    </row>
    <row r="3746" ht="12" customHeight="1">
      <c r="A3746" s="30" t="inlineStr">
        <is>
          <t>ITG</t>
        </is>
      </c>
      <c r="B3746" s="30" t="inlineStr">
        <is>
          <t>Itaguai</t>
        </is>
      </c>
      <c r="C3746" s="30" t="n">
        <v>72440846</v>
      </c>
      <c r="D3746" s="30">
        <f>"09522503738"</f>
        <v/>
      </c>
      <c r="E3746" s="30" t="inlineStr">
        <is>
          <t>PAULO SERGIO DA SILVA CONCEICAO</t>
        </is>
      </c>
      <c r="F3746" s="30" t="inlineStr">
        <is>
          <t>2023</t>
        </is>
      </c>
      <c r="G3746" s="40" t="n">
        <v>22000</v>
      </c>
    </row>
    <row r="3747" ht="12" customHeight="1">
      <c r="A3747" s="30" t="inlineStr">
        <is>
          <t>ITG</t>
        </is>
      </c>
      <c r="B3747" s="30" t="inlineStr">
        <is>
          <t>Itaguai</t>
        </is>
      </c>
      <c r="C3747" s="30" t="n">
        <v>72446356</v>
      </c>
      <c r="D3747" s="30">
        <f>"09938287794"</f>
        <v/>
      </c>
      <c r="E3747" s="30" t="inlineStr">
        <is>
          <t>MOISES PACHECO ARRUDA</t>
        </is>
      </c>
      <c r="F3747" s="30" t="inlineStr">
        <is>
          <t>2018</t>
        </is>
      </c>
      <c r="G3747" s="40" t="n">
        <v>0</v>
      </c>
    </row>
    <row r="3748" ht="12" customHeight="1">
      <c r="A3748" s="30" t="inlineStr">
        <is>
          <t>ITG</t>
        </is>
      </c>
      <c r="B3748" s="30" t="inlineStr">
        <is>
          <t>Itaguai</t>
        </is>
      </c>
      <c r="C3748" s="30" t="n">
        <v>72446356</v>
      </c>
      <c r="D3748" s="30">
        <f>"09938287794"</f>
        <v/>
      </c>
      <c r="E3748" s="30" t="inlineStr">
        <is>
          <t>MOISES PACHECO ARRUDA</t>
        </is>
      </c>
      <c r="F3748" s="30" t="inlineStr">
        <is>
          <t>2019</t>
        </is>
      </c>
      <c r="G3748" s="40" t="n">
        <v>0</v>
      </c>
    </row>
    <row r="3749" ht="12" customHeight="1">
      <c r="A3749" s="30" t="inlineStr">
        <is>
          <t>ITG</t>
        </is>
      </c>
      <c r="B3749" s="30" t="inlineStr">
        <is>
          <t>Itaguai</t>
        </is>
      </c>
      <c r="C3749" s="30" t="n">
        <v>72446356</v>
      </c>
      <c r="D3749" s="30">
        <f>"09938287794"</f>
        <v/>
      </c>
      <c r="E3749" s="30" t="inlineStr">
        <is>
          <t>MOISES PACHECO ARRUDA</t>
        </is>
      </c>
      <c r="F3749" s="30" t="inlineStr">
        <is>
          <t>2020</t>
        </is>
      </c>
      <c r="G3749" s="40" t="n">
        <v>0</v>
      </c>
    </row>
    <row r="3750" ht="12" customHeight="1">
      <c r="A3750" s="30" t="inlineStr">
        <is>
          <t>ITG</t>
        </is>
      </c>
      <c r="B3750" s="30" t="inlineStr">
        <is>
          <t>Itaguai</t>
        </is>
      </c>
      <c r="C3750" s="30" t="n">
        <v>72446356</v>
      </c>
      <c r="D3750" s="30">
        <f>"09938287794"</f>
        <v/>
      </c>
      <c r="E3750" s="30" t="inlineStr">
        <is>
          <t>MOISES PACHECO ARRUDA</t>
        </is>
      </c>
      <c r="F3750" s="30" t="inlineStr">
        <is>
          <t>2021</t>
        </is>
      </c>
      <c r="G3750" s="40" t="n">
        <v>1200</v>
      </c>
    </row>
    <row r="3751" ht="12" customHeight="1">
      <c r="A3751" s="30" t="inlineStr">
        <is>
          <t>ITG</t>
        </is>
      </c>
      <c r="B3751" s="30" t="inlineStr">
        <is>
          <t>Itaguai</t>
        </is>
      </c>
      <c r="C3751" s="30" t="n">
        <v>72446356</v>
      </c>
      <c r="D3751" s="30">
        <f>"09938287794"</f>
        <v/>
      </c>
      <c r="E3751" s="30" t="inlineStr">
        <is>
          <t>MOISES PACHECO ARRUDA</t>
        </is>
      </c>
      <c r="F3751" s="30" t="inlineStr">
        <is>
          <t>2022</t>
        </is>
      </c>
      <c r="G3751" s="40" t="n">
        <v>24000</v>
      </c>
    </row>
    <row r="3752" ht="12" customHeight="1">
      <c r="A3752" s="30" t="inlineStr">
        <is>
          <t>ITG</t>
        </is>
      </c>
      <c r="B3752" s="30" t="inlineStr">
        <is>
          <t>Itaguai</t>
        </is>
      </c>
      <c r="C3752" s="30" t="n">
        <v>72446356</v>
      </c>
      <c r="D3752" s="30">
        <f>"09938287794"</f>
        <v/>
      </c>
      <c r="E3752" s="30" t="inlineStr">
        <is>
          <t>MOISES PACHECO ARRUDA</t>
        </is>
      </c>
      <c r="F3752" s="30" t="inlineStr">
        <is>
          <t>2023</t>
        </is>
      </c>
      <c r="G3752" s="40" t="n">
        <v>1500</v>
      </c>
    </row>
    <row r="3753" ht="12" customHeight="1">
      <c r="A3753" s="30" t="inlineStr">
        <is>
          <t>ITG</t>
        </is>
      </c>
      <c r="B3753" s="30" t="inlineStr">
        <is>
          <t>Itaguai</t>
        </is>
      </c>
      <c r="C3753" s="30" t="n">
        <v>72451414</v>
      </c>
      <c r="D3753" s="30">
        <f>"11465334700"</f>
        <v/>
      </c>
      <c r="E3753" s="30" t="inlineStr">
        <is>
          <t>MICHELE VERLY DA C AVELINO CANITES</t>
        </is>
      </c>
      <c r="F3753" s="30" t="inlineStr">
        <is>
          <t>2017</t>
        </is>
      </c>
      <c r="G3753" s="40" t="n">
        <v>0</v>
      </c>
    </row>
    <row r="3754" ht="12" customHeight="1">
      <c r="A3754" s="30" t="inlineStr">
        <is>
          <t>ITG</t>
        </is>
      </c>
      <c r="B3754" s="30" t="inlineStr">
        <is>
          <t>Itaguai</t>
        </is>
      </c>
      <c r="C3754" s="30" t="n">
        <v>72451414</v>
      </c>
      <c r="D3754" s="30">
        <f>"11465334700"</f>
        <v/>
      </c>
      <c r="E3754" s="30" t="inlineStr">
        <is>
          <t>MICHELE VERLY DA C AVELINO CANITES</t>
        </is>
      </c>
      <c r="F3754" s="30" t="inlineStr">
        <is>
          <t>2018</t>
        </is>
      </c>
      <c r="G3754" s="40" t="n">
        <v>0</v>
      </c>
    </row>
    <row r="3755" ht="12" customHeight="1">
      <c r="A3755" s="30" t="inlineStr">
        <is>
          <t>ITG</t>
        </is>
      </c>
      <c r="B3755" s="30" t="inlineStr">
        <is>
          <t>Itaguai</t>
        </is>
      </c>
      <c r="C3755" s="30" t="n">
        <v>72451414</v>
      </c>
      <c r="D3755" s="30">
        <f>"11465334700"</f>
        <v/>
      </c>
      <c r="E3755" s="30" t="inlineStr">
        <is>
          <t>MICHELE VERLY DA C AVELINO CANITES</t>
        </is>
      </c>
      <c r="F3755" s="30" t="inlineStr">
        <is>
          <t>2019</t>
        </is>
      </c>
      <c r="G3755" s="40" t="n">
        <v>0</v>
      </c>
    </row>
    <row r="3756" ht="12" customHeight="1">
      <c r="A3756" s="30" t="inlineStr">
        <is>
          <t>ITG</t>
        </is>
      </c>
      <c r="B3756" s="30" t="inlineStr">
        <is>
          <t>Itaguai</t>
        </is>
      </c>
      <c r="C3756" s="30" t="n">
        <v>72451414</v>
      </c>
      <c r="D3756" s="30">
        <f>"11465334700"</f>
        <v/>
      </c>
      <c r="E3756" s="30" t="inlineStr">
        <is>
          <t>MICHELE VERLY DA C AVELINO CANITES</t>
        </is>
      </c>
      <c r="F3756" s="30" t="inlineStr">
        <is>
          <t>2020</t>
        </is>
      </c>
      <c r="G3756" s="40" t="n">
        <v>0</v>
      </c>
    </row>
    <row r="3757" ht="12" customHeight="1">
      <c r="A3757" s="30" t="inlineStr">
        <is>
          <t>ITG</t>
        </is>
      </c>
      <c r="B3757" s="30" t="inlineStr">
        <is>
          <t>Itaguai</t>
        </is>
      </c>
      <c r="C3757" s="30" t="n">
        <v>72451414</v>
      </c>
      <c r="D3757" s="30">
        <f>"11465334700"</f>
        <v/>
      </c>
      <c r="E3757" s="30" t="inlineStr">
        <is>
          <t>MICHELE VERLY DA C AVELINO CANITES</t>
        </is>
      </c>
      <c r="F3757" s="30" t="inlineStr">
        <is>
          <t>2021</t>
        </is>
      </c>
      <c r="G3757" s="40" t="n">
        <v>0</v>
      </c>
    </row>
    <row r="3758" ht="12" customHeight="1">
      <c r="A3758" s="30" t="inlineStr">
        <is>
          <t>ITG</t>
        </is>
      </c>
      <c r="B3758" s="30" t="inlineStr">
        <is>
          <t>Itaguai</t>
        </is>
      </c>
      <c r="C3758" s="30" t="n">
        <v>72453484</v>
      </c>
      <c r="D3758" s="30">
        <f>"87239353753"</f>
        <v/>
      </c>
      <c r="E3758" s="30" t="inlineStr">
        <is>
          <t>ROGERIO MAGALHAES</t>
        </is>
      </c>
      <c r="F3758" s="30" t="inlineStr">
        <is>
          <t>2017</t>
        </is>
      </c>
      <c r="G3758" s="40" t="n">
        <v>0</v>
      </c>
    </row>
    <row r="3759" ht="12" customHeight="1">
      <c r="A3759" s="30" t="inlineStr">
        <is>
          <t>ITG</t>
        </is>
      </c>
      <c r="B3759" s="30" t="inlineStr">
        <is>
          <t>Itaguai</t>
        </is>
      </c>
      <c r="C3759" s="30" t="n">
        <v>72453484</v>
      </c>
      <c r="D3759" s="30">
        <f>"87239353753"</f>
        <v/>
      </c>
      <c r="E3759" s="30" t="inlineStr">
        <is>
          <t>ROGERIO MAGALHAES</t>
        </is>
      </c>
      <c r="F3759" s="30" t="inlineStr">
        <is>
          <t>2018</t>
        </is>
      </c>
      <c r="G3759" s="40" t="n">
        <v>131425.12</v>
      </c>
    </row>
    <row r="3760" ht="12" customHeight="1">
      <c r="A3760" s="30" t="inlineStr">
        <is>
          <t>ITG</t>
        </is>
      </c>
      <c r="B3760" s="30" t="inlineStr">
        <is>
          <t>Itaguai</t>
        </is>
      </c>
      <c r="C3760" s="30" t="n">
        <v>72453484</v>
      </c>
      <c r="D3760" s="30">
        <f>"87239353753"</f>
        <v/>
      </c>
      <c r="E3760" s="30" t="inlineStr">
        <is>
          <t>ROGERIO MAGALHAES</t>
        </is>
      </c>
      <c r="F3760" s="30" t="inlineStr">
        <is>
          <t>2019</t>
        </is>
      </c>
      <c r="G3760" s="40" t="n">
        <v>178840</v>
      </c>
    </row>
    <row r="3761" ht="12" customHeight="1">
      <c r="A3761" s="30" t="inlineStr">
        <is>
          <t>ITG</t>
        </is>
      </c>
      <c r="B3761" s="30" t="inlineStr">
        <is>
          <t>Itaguai</t>
        </is>
      </c>
      <c r="C3761" s="30" t="n">
        <v>72453484</v>
      </c>
      <c r="D3761" s="30">
        <f>"87239353753"</f>
        <v/>
      </c>
      <c r="E3761" s="30" t="inlineStr">
        <is>
          <t>ROGERIO MAGALHAES</t>
        </is>
      </c>
      <c r="F3761" s="30" t="inlineStr">
        <is>
          <t>2020</t>
        </is>
      </c>
      <c r="G3761" s="40" t="n">
        <v>0</v>
      </c>
    </row>
    <row r="3762" ht="12" customHeight="1">
      <c r="A3762" s="30" t="inlineStr">
        <is>
          <t>ITG</t>
        </is>
      </c>
      <c r="B3762" s="30" t="inlineStr">
        <is>
          <t>Itaguai</t>
        </is>
      </c>
      <c r="C3762" s="30" t="n">
        <v>72453484</v>
      </c>
      <c r="D3762" s="30">
        <f>"87239353753"</f>
        <v/>
      </c>
      <c r="E3762" s="30" t="inlineStr">
        <is>
          <t>ROGERIO MAGALHAES</t>
        </is>
      </c>
      <c r="F3762" s="30" t="inlineStr">
        <is>
          <t>2021</t>
        </is>
      </c>
      <c r="G3762" s="40" t="n">
        <v>0</v>
      </c>
    </row>
    <row r="3763" ht="12" customHeight="1">
      <c r="A3763" s="30" t="inlineStr">
        <is>
          <t>ITG</t>
        </is>
      </c>
      <c r="B3763" s="30" t="inlineStr">
        <is>
          <t>Itaguai</t>
        </is>
      </c>
      <c r="C3763" s="30" t="n">
        <v>72459377</v>
      </c>
      <c r="D3763" s="30">
        <f>"09775596700"</f>
        <v/>
      </c>
      <c r="E3763" s="30" t="inlineStr">
        <is>
          <t>DANIEL CARDOSO DE OLIVEIRA</t>
        </is>
      </c>
      <c r="F3763" s="30" t="inlineStr">
        <is>
          <t>2017</t>
        </is>
      </c>
      <c r="G3763" s="40" t="n">
        <v>17206.46</v>
      </c>
    </row>
    <row r="3764" ht="12" customHeight="1">
      <c r="A3764" s="30" t="inlineStr">
        <is>
          <t>ITG</t>
        </is>
      </c>
      <c r="B3764" s="30" t="inlineStr">
        <is>
          <t>Itaguai</t>
        </is>
      </c>
      <c r="C3764" s="30" t="n">
        <v>72459377</v>
      </c>
      <c r="D3764" s="30">
        <f>"09775596700"</f>
        <v/>
      </c>
      <c r="E3764" s="30" t="inlineStr">
        <is>
          <t>DANIEL CARDOSO DE OLIVEIRA</t>
        </is>
      </c>
      <c r="F3764" s="30" t="inlineStr">
        <is>
          <t>2018</t>
        </is>
      </c>
      <c r="G3764" s="40" t="n">
        <v>0</v>
      </c>
    </row>
    <row r="3765" ht="12" customHeight="1">
      <c r="A3765" s="30" t="inlineStr">
        <is>
          <t>ITG</t>
        </is>
      </c>
      <c r="B3765" s="30" t="inlineStr">
        <is>
          <t>Itaguai</t>
        </is>
      </c>
      <c r="C3765" s="30" t="n">
        <v>72459377</v>
      </c>
      <c r="D3765" s="30">
        <f>"09775596700"</f>
        <v/>
      </c>
      <c r="E3765" s="30" t="inlineStr">
        <is>
          <t>DANIEL CARDOSO DE OLIVEIRA</t>
        </is>
      </c>
      <c r="F3765" s="30" t="inlineStr">
        <is>
          <t>2019</t>
        </is>
      </c>
      <c r="G3765" s="40" t="n">
        <v>0</v>
      </c>
    </row>
    <row r="3766" ht="12" customHeight="1">
      <c r="A3766" s="30" t="inlineStr">
        <is>
          <t>ITG</t>
        </is>
      </c>
      <c r="B3766" s="30" t="inlineStr">
        <is>
          <t>Itaguai</t>
        </is>
      </c>
      <c r="C3766" s="30" t="n">
        <v>72459377</v>
      </c>
      <c r="D3766" s="30">
        <f>"09775596700"</f>
        <v/>
      </c>
      <c r="E3766" s="30" t="inlineStr">
        <is>
          <t>DANIEL CARDOSO DE OLIVEIRA</t>
        </is>
      </c>
      <c r="F3766" s="30" t="inlineStr">
        <is>
          <t>2020</t>
        </is>
      </c>
      <c r="G3766" s="40" t="n">
        <v>7594.73</v>
      </c>
    </row>
    <row r="3767" ht="12" customHeight="1">
      <c r="A3767" s="30" t="inlineStr">
        <is>
          <t>ITG</t>
        </is>
      </c>
      <c r="B3767" s="30" t="inlineStr">
        <is>
          <t>Itaguai</t>
        </is>
      </c>
      <c r="C3767" s="30" t="n">
        <v>72459377</v>
      </c>
      <c r="D3767" s="30">
        <f>"09775596700"</f>
        <v/>
      </c>
      <c r="E3767" s="30" t="inlineStr">
        <is>
          <t>DANIEL CARDOSO DE OLIVEIRA</t>
        </is>
      </c>
      <c r="F3767" s="30" t="inlineStr">
        <is>
          <t>2021</t>
        </is>
      </c>
      <c r="G3767" s="40" t="n">
        <v>0</v>
      </c>
    </row>
    <row r="3768" ht="12" customHeight="1">
      <c r="A3768" s="30" t="inlineStr">
        <is>
          <t>ITG</t>
        </is>
      </c>
      <c r="B3768" s="30" t="inlineStr">
        <is>
          <t>Itaguai</t>
        </is>
      </c>
      <c r="C3768" s="30" t="n">
        <v>72459377</v>
      </c>
      <c r="D3768" s="30">
        <f>"09775596700"</f>
        <v/>
      </c>
      <c r="E3768" s="30" t="inlineStr">
        <is>
          <t>DANIEL CARDOSO DE OLIVEIRA</t>
        </is>
      </c>
      <c r="F3768" s="30" t="inlineStr">
        <is>
          <t>2022</t>
        </is>
      </c>
      <c r="G3768" s="40" t="n">
        <v>36018.7</v>
      </c>
    </row>
    <row r="3769" ht="12" customHeight="1">
      <c r="A3769" s="30" t="inlineStr">
        <is>
          <t>ITG</t>
        </is>
      </c>
      <c r="B3769" s="30" t="inlineStr">
        <is>
          <t>Itaguai</t>
        </is>
      </c>
      <c r="C3769" s="30" t="n">
        <v>72459377</v>
      </c>
      <c r="D3769" s="30">
        <f>"09775596700"</f>
        <v/>
      </c>
      <c r="E3769" s="30" t="inlineStr">
        <is>
          <t>DANIEL CARDOSO DE OLIVEIRA</t>
        </is>
      </c>
      <c r="F3769" s="30" t="inlineStr">
        <is>
          <t>2023</t>
        </is>
      </c>
      <c r="G3769" s="40" t="n">
        <v>10897.89</v>
      </c>
    </row>
    <row r="3770" ht="12" customHeight="1">
      <c r="A3770" s="30" t="inlineStr">
        <is>
          <t>ITG</t>
        </is>
      </c>
      <c r="B3770" s="30" t="inlineStr">
        <is>
          <t>Itaguai</t>
        </is>
      </c>
      <c r="C3770" s="30" t="n">
        <v>72461150</v>
      </c>
      <c r="D3770" s="30">
        <f>"05648363702"</f>
        <v/>
      </c>
      <c r="E3770" s="30" t="inlineStr">
        <is>
          <t>TSUNEO JOSE IWANAGA</t>
        </is>
      </c>
      <c r="F3770" s="30" t="inlineStr">
        <is>
          <t>2017</t>
        </is>
      </c>
      <c r="G3770" s="40" t="n">
        <v>0</v>
      </c>
    </row>
    <row r="3771" ht="12" customHeight="1">
      <c r="A3771" s="30" t="inlineStr">
        <is>
          <t>ITG</t>
        </is>
      </c>
      <c r="B3771" s="30" t="inlineStr">
        <is>
          <t>Itaguai</t>
        </is>
      </c>
      <c r="C3771" s="30" t="n">
        <v>72461150</v>
      </c>
      <c r="D3771" s="30">
        <f>"05648363702"</f>
        <v/>
      </c>
      <c r="E3771" s="30" t="inlineStr">
        <is>
          <t>TSUNEO JOSE IWANAGA</t>
        </is>
      </c>
      <c r="F3771" s="30" t="inlineStr">
        <is>
          <t>2018</t>
        </is>
      </c>
      <c r="G3771" s="40" t="n">
        <v>0</v>
      </c>
    </row>
    <row r="3772" ht="12" customHeight="1">
      <c r="A3772" s="30" t="inlineStr">
        <is>
          <t>ITG</t>
        </is>
      </c>
      <c r="B3772" s="30" t="inlineStr">
        <is>
          <t>Itaguai</t>
        </is>
      </c>
      <c r="C3772" s="30" t="n">
        <v>72461150</v>
      </c>
      <c r="D3772" s="30">
        <f>"05648363702"</f>
        <v/>
      </c>
      <c r="E3772" s="30" t="inlineStr">
        <is>
          <t>TSUNEO JOSE IWANAGA</t>
        </is>
      </c>
      <c r="F3772" s="30" t="inlineStr">
        <is>
          <t>2019</t>
        </is>
      </c>
      <c r="G3772" s="40" t="n">
        <v>0</v>
      </c>
    </row>
    <row r="3773" ht="12" customHeight="1">
      <c r="A3773" s="30" t="inlineStr">
        <is>
          <t>ITG</t>
        </is>
      </c>
      <c r="B3773" s="30" t="inlineStr">
        <is>
          <t>Itaguai</t>
        </is>
      </c>
      <c r="C3773" s="30" t="n">
        <v>72461150</v>
      </c>
      <c r="D3773" s="30">
        <f>"05648363702"</f>
        <v/>
      </c>
      <c r="E3773" s="30" t="inlineStr">
        <is>
          <t>TSUNEO JOSE IWANAGA</t>
        </is>
      </c>
      <c r="F3773" s="30" t="inlineStr">
        <is>
          <t>2020</t>
        </is>
      </c>
      <c r="G3773" s="40" t="n">
        <v>19180</v>
      </c>
    </row>
    <row r="3774" ht="12" customHeight="1">
      <c r="A3774" s="30" t="inlineStr">
        <is>
          <t>ITG</t>
        </is>
      </c>
      <c r="B3774" s="30" t="inlineStr">
        <is>
          <t>Itaguai</t>
        </is>
      </c>
      <c r="C3774" s="30" t="n">
        <v>72461150</v>
      </c>
      <c r="D3774" s="30">
        <f>"05648363702"</f>
        <v/>
      </c>
      <c r="E3774" s="30" t="inlineStr">
        <is>
          <t>TSUNEO JOSE IWANAGA</t>
        </is>
      </c>
      <c r="F3774" s="30" t="inlineStr">
        <is>
          <t>2021</t>
        </is>
      </c>
      <c r="G3774" s="40" t="n">
        <v>24000</v>
      </c>
    </row>
    <row r="3775" ht="12" customHeight="1">
      <c r="A3775" s="30" t="inlineStr">
        <is>
          <t>ITG</t>
        </is>
      </c>
      <c r="B3775" s="30" t="inlineStr">
        <is>
          <t>Itaguai</t>
        </is>
      </c>
      <c r="C3775" s="30" t="n">
        <v>72461150</v>
      </c>
      <c r="D3775" s="30">
        <f>"05648363702"</f>
        <v/>
      </c>
      <c r="E3775" s="30" t="inlineStr">
        <is>
          <t>TSUNEO JOSE IWANAGA</t>
        </is>
      </c>
      <c r="F3775" s="30" t="inlineStr">
        <is>
          <t>2022</t>
        </is>
      </c>
      <c r="G3775" s="40" t="n">
        <v>0.01</v>
      </c>
    </row>
    <row r="3776" ht="12" customHeight="1">
      <c r="A3776" s="30" t="inlineStr">
        <is>
          <t>ITG</t>
        </is>
      </c>
      <c r="B3776" s="30" t="inlineStr">
        <is>
          <t>Itaguai</t>
        </is>
      </c>
      <c r="C3776" s="30" t="n">
        <v>72461150</v>
      </c>
      <c r="D3776" s="30">
        <f>"05648363702"</f>
        <v/>
      </c>
      <c r="E3776" s="30" t="inlineStr">
        <is>
          <t>TSUNEO JOSE IWANAGA</t>
        </is>
      </c>
      <c r="F3776" s="30" t="inlineStr">
        <is>
          <t>2023</t>
        </is>
      </c>
      <c r="G3776" s="40" t="n">
        <v>1</v>
      </c>
    </row>
    <row r="3777" ht="12" customHeight="1">
      <c r="A3777" s="30" t="inlineStr">
        <is>
          <t>ITG</t>
        </is>
      </c>
      <c r="B3777" s="30" t="inlineStr">
        <is>
          <t>Itaguai</t>
        </is>
      </c>
      <c r="C3777" s="30" t="n">
        <v>72461177</v>
      </c>
      <c r="D3777" s="30">
        <f>"02734021706"</f>
        <v/>
      </c>
      <c r="E3777" s="30" t="inlineStr">
        <is>
          <t>HERCILIA HARUMI IWANAGA</t>
        </is>
      </c>
      <c r="F3777" s="30" t="inlineStr">
        <is>
          <t>2017</t>
        </is>
      </c>
      <c r="G3777" s="40" t="n">
        <v>0</v>
      </c>
    </row>
    <row r="3778" ht="12" customHeight="1">
      <c r="A3778" s="30" t="inlineStr">
        <is>
          <t>ITG</t>
        </is>
      </c>
      <c r="B3778" s="30" t="inlineStr">
        <is>
          <t>Itaguai</t>
        </is>
      </c>
      <c r="C3778" s="30" t="n">
        <v>72461177</v>
      </c>
      <c r="D3778" s="30">
        <f>"02734021706"</f>
        <v/>
      </c>
      <c r="E3778" s="30" t="inlineStr">
        <is>
          <t>HERCILIA HARUMI IWANAGA</t>
        </is>
      </c>
      <c r="F3778" s="30" t="inlineStr">
        <is>
          <t>2018</t>
        </is>
      </c>
      <c r="G3778" s="40" t="n">
        <v>0</v>
      </c>
    </row>
    <row r="3779" ht="12" customHeight="1">
      <c r="A3779" s="30" t="inlineStr">
        <is>
          <t>ITG</t>
        </is>
      </c>
      <c r="B3779" s="30" t="inlineStr">
        <is>
          <t>Itaguai</t>
        </is>
      </c>
      <c r="C3779" s="30" t="n">
        <v>72461177</v>
      </c>
      <c r="D3779" s="30">
        <f>"02734021706"</f>
        <v/>
      </c>
      <c r="E3779" s="30" t="inlineStr">
        <is>
          <t>HERCILIA HARUMI IWANAGA</t>
        </is>
      </c>
      <c r="F3779" s="30" t="inlineStr">
        <is>
          <t>2019</t>
        </is>
      </c>
      <c r="G3779" s="40" t="n">
        <v>0</v>
      </c>
    </row>
    <row r="3780" ht="12" customHeight="1">
      <c r="A3780" s="30" t="inlineStr">
        <is>
          <t>ITG</t>
        </is>
      </c>
      <c r="B3780" s="30" t="inlineStr">
        <is>
          <t>Itaguai</t>
        </is>
      </c>
      <c r="C3780" s="30" t="n">
        <v>72461177</v>
      </c>
      <c r="D3780" s="30">
        <f>"02734021706"</f>
        <v/>
      </c>
      <c r="E3780" s="30" t="inlineStr">
        <is>
          <t>HERCILIA HARUMI IWANAGA</t>
        </is>
      </c>
      <c r="F3780" s="30" t="inlineStr">
        <is>
          <t>2020</t>
        </is>
      </c>
      <c r="G3780" s="40" t="n">
        <v>14300</v>
      </c>
    </row>
    <row r="3781" ht="12" customHeight="1">
      <c r="A3781" s="30" t="inlineStr">
        <is>
          <t>ITG</t>
        </is>
      </c>
      <c r="B3781" s="30" t="inlineStr">
        <is>
          <t>Itaguai</t>
        </is>
      </c>
      <c r="C3781" s="30" t="n">
        <v>72461177</v>
      </c>
      <c r="D3781" s="30">
        <f>"02734021706"</f>
        <v/>
      </c>
      <c r="E3781" s="30" t="inlineStr">
        <is>
          <t>HERCILIA HARUMI IWANAGA</t>
        </is>
      </c>
      <c r="F3781" s="30" t="inlineStr">
        <is>
          <t>2021</t>
        </is>
      </c>
      <c r="G3781" s="40" t="n">
        <v>14000</v>
      </c>
    </row>
    <row r="3782" ht="12" customHeight="1">
      <c r="A3782" s="30" t="inlineStr">
        <is>
          <t>ITG</t>
        </is>
      </c>
      <c r="B3782" s="30" t="inlineStr">
        <is>
          <t>Itaguai</t>
        </is>
      </c>
      <c r="C3782" s="30" t="n">
        <v>72461177</v>
      </c>
      <c r="D3782" s="30">
        <f>"02734021706"</f>
        <v/>
      </c>
      <c r="E3782" s="30" t="inlineStr">
        <is>
          <t>HERCILIA HARUMI IWANAGA</t>
        </is>
      </c>
      <c r="F3782" s="30" t="inlineStr">
        <is>
          <t>2022</t>
        </is>
      </c>
      <c r="G3782" s="40" t="n">
        <v>29669.31</v>
      </c>
    </row>
    <row r="3783" ht="12" customHeight="1">
      <c r="A3783" s="30" t="inlineStr">
        <is>
          <t>ITG</t>
        </is>
      </c>
      <c r="B3783" s="30" t="inlineStr">
        <is>
          <t>Itaguai</t>
        </is>
      </c>
      <c r="C3783" s="30" t="n">
        <v>72461177</v>
      </c>
      <c r="D3783" s="30">
        <f>"02734021706"</f>
        <v/>
      </c>
      <c r="E3783" s="30" t="inlineStr">
        <is>
          <t>HERCILIA HARUMI IWANAGA</t>
        </is>
      </c>
      <c r="F3783" s="30" t="inlineStr">
        <is>
          <t>2023</t>
        </is>
      </c>
      <c r="G3783" s="40" t="n">
        <v>7556.27</v>
      </c>
    </row>
    <row r="3784" ht="12" customHeight="1">
      <c r="A3784" s="30" t="inlineStr">
        <is>
          <t>ITG</t>
        </is>
      </c>
      <c r="B3784" s="30" t="inlineStr">
        <is>
          <t>Itaguai</t>
        </is>
      </c>
      <c r="C3784" s="30" t="n">
        <v>72463790</v>
      </c>
      <c r="D3784" s="30">
        <f>"04412568725"</f>
        <v/>
      </c>
      <c r="E3784" s="30" t="inlineStr">
        <is>
          <t>IZENILDE RODRIGUES DE OLIVEIRA</t>
        </is>
      </c>
      <c r="F3784" s="30" t="inlineStr">
        <is>
          <t>2017</t>
        </is>
      </c>
      <c r="G3784" s="40" t="n">
        <v>7281</v>
      </c>
    </row>
    <row r="3785" ht="12" customHeight="1">
      <c r="A3785" s="30" t="inlineStr">
        <is>
          <t>ITG</t>
        </is>
      </c>
      <c r="B3785" s="30" t="inlineStr">
        <is>
          <t>Itaguai</t>
        </is>
      </c>
      <c r="C3785" s="30" t="n">
        <v>72463790</v>
      </c>
      <c r="D3785" s="30">
        <f>"04412568725"</f>
        <v/>
      </c>
      <c r="E3785" s="30" t="inlineStr">
        <is>
          <t>IZENILDE RODRIGUES DE OLIVEIRA</t>
        </is>
      </c>
      <c r="F3785" s="30" t="inlineStr">
        <is>
          <t>2018</t>
        </is>
      </c>
      <c r="G3785" s="40" t="n">
        <v>0</v>
      </c>
    </row>
    <row r="3786" ht="12" customHeight="1">
      <c r="A3786" s="30" t="inlineStr">
        <is>
          <t>ITG</t>
        </is>
      </c>
      <c r="B3786" s="30" t="inlineStr">
        <is>
          <t>Itaguai</t>
        </is>
      </c>
      <c r="C3786" s="30" t="n">
        <v>72463790</v>
      </c>
      <c r="D3786" s="30">
        <f>"04412568725"</f>
        <v/>
      </c>
      <c r="E3786" s="30" t="inlineStr">
        <is>
          <t>IZENILDE RODRIGUES DE OLIVEIRA</t>
        </is>
      </c>
      <c r="F3786" s="30" t="inlineStr">
        <is>
          <t>2019</t>
        </is>
      </c>
      <c r="G3786" s="40" t="n">
        <v>0</v>
      </c>
    </row>
    <row r="3787" ht="12" customHeight="1">
      <c r="A3787" s="30" t="inlineStr">
        <is>
          <t>ITG</t>
        </is>
      </c>
      <c r="B3787" s="30" t="inlineStr">
        <is>
          <t>Itaguai</t>
        </is>
      </c>
      <c r="C3787" s="30" t="n">
        <v>72465628</v>
      </c>
      <c r="D3787" s="30">
        <f>"09347145769"</f>
        <v/>
      </c>
      <c r="E3787" s="30" t="inlineStr">
        <is>
          <t>ALVARO HONDA</t>
        </is>
      </c>
      <c r="F3787" s="30" t="inlineStr">
        <is>
          <t>2017</t>
        </is>
      </c>
      <c r="G3787" s="40" t="n">
        <v>0</v>
      </c>
    </row>
    <row r="3788" ht="12" customHeight="1">
      <c r="A3788" s="30" t="inlineStr">
        <is>
          <t>ITG</t>
        </is>
      </c>
      <c r="B3788" s="30" t="inlineStr">
        <is>
          <t>Itaguai</t>
        </is>
      </c>
      <c r="C3788" s="30" t="n">
        <v>72465628</v>
      </c>
      <c r="D3788" s="30">
        <f>"09347145769"</f>
        <v/>
      </c>
      <c r="E3788" s="30" t="inlineStr">
        <is>
          <t>ALVARO HONDA</t>
        </is>
      </c>
      <c r="F3788" s="30" t="inlineStr">
        <is>
          <t>2018</t>
        </is>
      </c>
      <c r="G3788" s="40" t="n">
        <v>173283.5</v>
      </c>
    </row>
    <row r="3789" ht="12" customHeight="1">
      <c r="A3789" s="30" t="inlineStr">
        <is>
          <t>ITG</t>
        </is>
      </c>
      <c r="B3789" s="30" t="inlineStr">
        <is>
          <t>Itaguai</t>
        </is>
      </c>
      <c r="C3789" s="30" t="n">
        <v>72465628</v>
      </c>
      <c r="D3789" s="30">
        <f>"09347145769"</f>
        <v/>
      </c>
      <c r="E3789" s="30" t="inlineStr">
        <is>
          <t>ALVARO HONDA</t>
        </is>
      </c>
      <c r="F3789" s="30" t="inlineStr">
        <is>
          <t>2019</t>
        </is>
      </c>
      <c r="G3789" s="40" t="n">
        <v>0</v>
      </c>
    </row>
    <row r="3790" ht="12" customHeight="1">
      <c r="A3790" s="30" t="inlineStr">
        <is>
          <t>ITG</t>
        </is>
      </c>
      <c r="B3790" s="30" t="inlineStr">
        <is>
          <t>Itaguai</t>
        </is>
      </c>
      <c r="C3790" s="30" t="n">
        <v>72465628</v>
      </c>
      <c r="D3790" s="30">
        <f>"09347145769"</f>
        <v/>
      </c>
      <c r="E3790" s="30" t="inlineStr">
        <is>
          <t>ALVARO HONDA</t>
        </is>
      </c>
      <c r="F3790" s="30" t="inlineStr">
        <is>
          <t>2020</t>
        </is>
      </c>
      <c r="G3790" s="40" t="n">
        <v>102889.45</v>
      </c>
    </row>
    <row r="3791" ht="12" customHeight="1">
      <c r="A3791" s="30" t="inlineStr">
        <is>
          <t>ITG</t>
        </is>
      </c>
      <c r="B3791" s="30" t="inlineStr">
        <is>
          <t>Itaguai</t>
        </is>
      </c>
      <c r="C3791" s="30" t="n">
        <v>72465628</v>
      </c>
      <c r="D3791" s="30">
        <f>"09347145769"</f>
        <v/>
      </c>
      <c r="E3791" s="30" t="inlineStr">
        <is>
          <t>ALVARO HONDA</t>
        </is>
      </c>
      <c r="F3791" s="30" t="inlineStr">
        <is>
          <t>2021</t>
        </is>
      </c>
      <c r="G3791" s="40" t="n">
        <v>278359.24</v>
      </c>
    </row>
    <row r="3792" ht="12" customHeight="1">
      <c r="A3792" s="30" t="inlineStr">
        <is>
          <t>ITG</t>
        </is>
      </c>
      <c r="B3792" s="30" t="inlineStr">
        <is>
          <t>Itaguai</t>
        </is>
      </c>
      <c r="C3792" s="30" t="n">
        <v>72465628</v>
      </c>
      <c r="D3792" s="30">
        <f>"09347145769"</f>
        <v/>
      </c>
      <c r="E3792" s="30" t="inlineStr">
        <is>
          <t>ALVARO HONDA</t>
        </is>
      </c>
      <c r="F3792" s="30" t="inlineStr">
        <is>
          <t>2022</t>
        </is>
      </c>
      <c r="G3792" s="40" t="n">
        <v>236686.4</v>
      </c>
    </row>
    <row r="3793" ht="12" customHeight="1">
      <c r="A3793" s="30" t="inlineStr">
        <is>
          <t>ITG</t>
        </is>
      </c>
      <c r="B3793" s="30" t="inlineStr">
        <is>
          <t>Itaguai</t>
        </is>
      </c>
      <c r="C3793" s="30" t="n">
        <v>72465628</v>
      </c>
      <c r="D3793" s="30">
        <f>"09347145769"</f>
        <v/>
      </c>
      <c r="E3793" s="30" t="inlineStr">
        <is>
          <t>ALVARO HONDA</t>
        </is>
      </c>
      <c r="F3793" s="30" t="inlineStr">
        <is>
          <t>2023</t>
        </is>
      </c>
      <c r="G3793" s="40" t="n">
        <v>139436.6</v>
      </c>
    </row>
    <row r="3794" ht="12" customHeight="1">
      <c r="A3794" s="30" t="inlineStr">
        <is>
          <t>ITG</t>
        </is>
      </c>
      <c r="B3794" s="30" t="inlineStr">
        <is>
          <t>Itaguai</t>
        </is>
      </c>
      <c r="C3794" s="30" t="n">
        <v>72468023</v>
      </c>
      <c r="D3794" s="30">
        <f>"00086483005768"</f>
        <v/>
      </c>
      <c r="E3794" s="30" t="inlineStr">
        <is>
          <t>MANOEL TORRES RACCA</t>
        </is>
      </c>
      <c r="F3794" s="30" t="inlineStr">
        <is>
          <t>2017</t>
        </is>
      </c>
      <c r="G3794" s="40" t="n">
        <v>10260</v>
      </c>
    </row>
    <row r="3795" ht="12" customHeight="1">
      <c r="A3795" s="30" t="inlineStr">
        <is>
          <t>ITG</t>
        </is>
      </c>
      <c r="B3795" s="30" t="inlineStr">
        <is>
          <t>Itaguai</t>
        </is>
      </c>
      <c r="C3795" s="30" t="n">
        <v>72468023</v>
      </c>
      <c r="D3795" s="30">
        <f>"00086483005768"</f>
        <v/>
      </c>
      <c r="E3795" s="30" t="inlineStr">
        <is>
          <t>MANOEL TORRES RACCA</t>
        </is>
      </c>
      <c r="F3795" s="30" t="inlineStr">
        <is>
          <t>2018</t>
        </is>
      </c>
      <c r="G3795" s="40" t="n">
        <v>7800</v>
      </c>
    </row>
    <row r="3796" ht="12" customHeight="1">
      <c r="A3796" s="30" t="inlineStr">
        <is>
          <t>ITG</t>
        </is>
      </c>
      <c r="B3796" s="30" t="inlineStr">
        <is>
          <t>Itaguai</t>
        </is>
      </c>
      <c r="C3796" s="30" t="n">
        <v>72468023</v>
      </c>
      <c r="D3796" s="30">
        <f>"00086483005768"</f>
        <v/>
      </c>
      <c r="E3796" s="30" t="inlineStr">
        <is>
          <t>MANOEL TORRES RACCA</t>
        </is>
      </c>
      <c r="F3796" s="30" t="inlineStr">
        <is>
          <t>2019</t>
        </is>
      </c>
      <c r="G3796" s="40" t="n">
        <v>7360</v>
      </c>
    </row>
    <row r="3797" ht="12" customHeight="1">
      <c r="A3797" s="30" t="inlineStr">
        <is>
          <t>ITG</t>
        </is>
      </c>
      <c r="B3797" s="30" t="inlineStr">
        <is>
          <t>Itaguai</t>
        </is>
      </c>
      <c r="C3797" s="30" t="n">
        <v>72468023</v>
      </c>
      <c r="D3797" s="30">
        <f>"00086483005768"</f>
        <v/>
      </c>
      <c r="E3797" s="30" t="inlineStr">
        <is>
          <t>MANOEL TORRES RACCA</t>
        </is>
      </c>
      <c r="F3797" s="30" t="inlineStr">
        <is>
          <t>2020</t>
        </is>
      </c>
      <c r="G3797" s="40" t="n">
        <v>0</v>
      </c>
    </row>
    <row r="3798" ht="12" customHeight="1">
      <c r="A3798" s="30" t="inlineStr">
        <is>
          <t>ITG</t>
        </is>
      </c>
      <c r="B3798" s="30" t="inlineStr">
        <is>
          <t>Itaguai</t>
        </is>
      </c>
      <c r="C3798" s="30" t="n">
        <v>72468023</v>
      </c>
      <c r="D3798" s="30">
        <f>"00086483005768"</f>
        <v/>
      </c>
      <c r="E3798" s="30" t="inlineStr">
        <is>
          <t>MANOEL TORRES RACCA</t>
        </is>
      </c>
      <c r="F3798" s="30" t="inlineStr">
        <is>
          <t>2021</t>
        </is>
      </c>
      <c r="G3798" s="40" t="n">
        <v>0</v>
      </c>
    </row>
    <row r="3799" ht="12" customHeight="1">
      <c r="A3799" s="30" t="inlineStr">
        <is>
          <t>ITG</t>
        </is>
      </c>
      <c r="B3799" s="30" t="inlineStr">
        <is>
          <t>Itaguai</t>
        </is>
      </c>
      <c r="C3799" s="30" t="n">
        <v>72469364</v>
      </c>
      <c r="D3799" s="30">
        <f>"00085724289768"</f>
        <v/>
      </c>
      <c r="E3799" s="30" t="inlineStr">
        <is>
          <t>MARIA BEATRIZ DA SILVA CANITES</t>
        </is>
      </c>
      <c r="F3799" s="30" t="inlineStr">
        <is>
          <t>2021</t>
        </is>
      </c>
      <c r="G3799" s="40" t="n">
        <v>0</v>
      </c>
    </row>
    <row r="3800" ht="12" customHeight="1">
      <c r="A3800" s="30" t="inlineStr">
        <is>
          <t>ITG</t>
        </is>
      </c>
      <c r="B3800" s="30" t="inlineStr">
        <is>
          <t>Itaguai</t>
        </is>
      </c>
      <c r="C3800" s="30" t="n">
        <v>72469364</v>
      </c>
      <c r="D3800" s="30">
        <f>"00085724289768"</f>
        <v/>
      </c>
      <c r="E3800" s="30" t="inlineStr">
        <is>
          <t>MARIA BEATRIZ DA SILVA CANITES</t>
        </is>
      </c>
      <c r="F3800" s="30" t="inlineStr">
        <is>
          <t>2022</t>
        </is>
      </c>
      <c r="G3800" s="40" t="n">
        <v>0</v>
      </c>
    </row>
    <row r="3801" ht="12" customHeight="1">
      <c r="A3801" s="30" t="inlineStr">
        <is>
          <t>ITG</t>
        </is>
      </c>
      <c r="B3801" s="30" t="inlineStr">
        <is>
          <t>Itaguai</t>
        </is>
      </c>
      <c r="C3801" s="30" t="n">
        <v>72469364</v>
      </c>
      <c r="D3801" s="30">
        <f>"00085724289768"</f>
        <v/>
      </c>
      <c r="E3801" s="30" t="inlineStr">
        <is>
          <t>MARIA BEATRIZ DA SILVA CANITES</t>
        </is>
      </c>
      <c r="F3801" s="30" t="inlineStr">
        <is>
          <t>2023</t>
        </is>
      </c>
      <c r="G3801" s="40" t="n">
        <v>14220.9</v>
      </c>
    </row>
    <row r="3802" ht="12" customHeight="1">
      <c r="A3802" s="30" t="inlineStr">
        <is>
          <t>ITG</t>
        </is>
      </c>
      <c r="B3802" s="30" t="inlineStr">
        <is>
          <t>Itaguai</t>
        </is>
      </c>
      <c r="C3802" s="30" t="n">
        <v>72470524</v>
      </c>
      <c r="D3802" s="30">
        <f>"00084877359753"</f>
        <v/>
      </c>
      <c r="E3802" s="30" t="inlineStr">
        <is>
          <t>ANTONIO MARCOS ALVES</t>
        </is>
      </c>
      <c r="F3802" s="30" t="inlineStr">
        <is>
          <t>2019</t>
        </is>
      </c>
      <c r="G3802" s="40" t="n">
        <v>0</v>
      </c>
    </row>
    <row r="3803" ht="12" customHeight="1">
      <c r="A3803" s="30" t="inlineStr">
        <is>
          <t>ITG</t>
        </is>
      </c>
      <c r="B3803" s="30" t="inlineStr">
        <is>
          <t>Itaguai</t>
        </is>
      </c>
      <c r="C3803" s="30" t="n">
        <v>72470524</v>
      </c>
      <c r="D3803" s="30">
        <f>"00084877359753"</f>
        <v/>
      </c>
      <c r="E3803" s="30" t="inlineStr">
        <is>
          <t>ANTONIO MARCOS ALVES</t>
        </is>
      </c>
      <c r="F3803" s="30" t="inlineStr">
        <is>
          <t>2020</t>
        </is>
      </c>
      <c r="G3803" s="40" t="n">
        <v>0</v>
      </c>
    </row>
    <row r="3804" ht="12" customHeight="1">
      <c r="A3804" s="30" t="inlineStr">
        <is>
          <t>ITG</t>
        </is>
      </c>
      <c r="B3804" s="30" t="inlineStr">
        <is>
          <t>Itaguai</t>
        </is>
      </c>
      <c r="C3804" s="30" t="n">
        <v>72470524</v>
      </c>
      <c r="D3804" s="30">
        <f>"00084877359753"</f>
        <v/>
      </c>
      <c r="E3804" s="30" t="inlineStr">
        <is>
          <t>ANTONIO MARCOS ALVES</t>
        </is>
      </c>
      <c r="F3804" s="30" t="inlineStr">
        <is>
          <t>2021</t>
        </is>
      </c>
      <c r="G3804" s="40" t="n">
        <v>7615.86</v>
      </c>
    </row>
    <row r="3805" ht="12" customHeight="1">
      <c r="A3805" s="30" t="inlineStr">
        <is>
          <t>ITG</t>
        </is>
      </c>
      <c r="B3805" s="30" t="inlineStr">
        <is>
          <t>Itaguai</t>
        </is>
      </c>
      <c r="C3805" s="30" t="n">
        <v>72470524</v>
      </c>
      <c r="D3805" s="30">
        <f>"00084877359753"</f>
        <v/>
      </c>
      <c r="E3805" s="30" t="inlineStr">
        <is>
          <t>ANTONIO MARCOS ALVES</t>
        </is>
      </c>
      <c r="F3805" s="30" t="inlineStr">
        <is>
          <t>2022</t>
        </is>
      </c>
      <c r="G3805" s="40" t="n">
        <v>39607.9</v>
      </c>
    </row>
    <row r="3806" ht="12" customHeight="1">
      <c r="A3806" s="30" t="inlineStr">
        <is>
          <t>ITG</t>
        </is>
      </c>
      <c r="B3806" s="30" t="inlineStr">
        <is>
          <t>Itaguai</t>
        </is>
      </c>
      <c r="C3806" s="30" t="n">
        <v>72470524</v>
      </c>
      <c r="D3806" s="30">
        <f>"00084877359753"</f>
        <v/>
      </c>
      <c r="E3806" s="30" t="inlineStr">
        <is>
          <t>ANTONIO MARCOS ALVES</t>
        </is>
      </c>
      <c r="F3806" s="30" t="inlineStr">
        <is>
          <t>2023</t>
        </is>
      </c>
      <c r="G3806" s="40" t="n">
        <v>24991.37</v>
      </c>
    </row>
    <row r="3807" ht="12" customHeight="1">
      <c r="A3807" s="30" t="inlineStr">
        <is>
          <t>ITG</t>
        </is>
      </c>
      <c r="B3807" s="30" t="inlineStr">
        <is>
          <t>Itaguai</t>
        </is>
      </c>
      <c r="C3807" s="30" t="n">
        <v>72471920</v>
      </c>
      <c r="D3807" s="30">
        <f>"69137668749"</f>
        <v/>
      </c>
      <c r="E3807" s="30" t="inlineStr">
        <is>
          <t>AGOSTINHO RODRIGUES ALVES</t>
        </is>
      </c>
      <c r="F3807" s="30" t="inlineStr">
        <is>
          <t>2017</t>
        </is>
      </c>
      <c r="G3807" s="40" t="n">
        <v>0</v>
      </c>
    </row>
    <row r="3808" ht="12" customHeight="1">
      <c r="A3808" s="30" t="inlineStr">
        <is>
          <t>ITG</t>
        </is>
      </c>
      <c r="B3808" s="30" t="inlineStr">
        <is>
          <t>Itaguai</t>
        </is>
      </c>
      <c r="C3808" s="30" t="n">
        <v>72471920</v>
      </c>
      <c r="D3808" s="30">
        <f>"69137668749"</f>
        <v/>
      </c>
      <c r="E3808" s="30" t="inlineStr">
        <is>
          <t>AGOSTINHO RODRIGUES ALVES</t>
        </is>
      </c>
      <c r="F3808" s="30" t="inlineStr">
        <is>
          <t>2018</t>
        </is>
      </c>
      <c r="G3808" s="40" t="n">
        <v>0</v>
      </c>
    </row>
    <row r="3809" ht="12" customHeight="1">
      <c r="A3809" s="30" t="inlineStr">
        <is>
          <t>ITG</t>
        </is>
      </c>
      <c r="B3809" s="30" t="inlineStr">
        <is>
          <t>Itaguai</t>
        </is>
      </c>
      <c r="C3809" s="30" t="n">
        <v>72471920</v>
      </c>
      <c r="D3809" s="30">
        <f>"69137668749"</f>
        <v/>
      </c>
      <c r="E3809" s="30" t="inlineStr">
        <is>
          <t>AGOSTINHO RODRIGUES ALVES</t>
        </is>
      </c>
      <c r="F3809" s="30" t="inlineStr">
        <is>
          <t>2019</t>
        </is>
      </c>
      <c r="G3809" s="40" t="n">
        <v>0</v>
      </c>
    </row>
    <row r="3810" ht="12" customHeight="1">
      <c r="A3810" s="30" t="inlineStr">
        <is>
          <t>ITG</t>
        </is>
      </c>
      <c r="B3810" s="30" t="inlineStr">
        <is>
          <t>Itaguai</t>
        </is>
      </c>
      <c r="C3810" s="30" t="n">
        <v>72471920</v>
      </c>
      <c r="D3810" s="30">
        <f>"69137668749"</f>
        <v/>
      </c>
      <c r="E3810" s="30" t="inlineStr">
        <is>
          <t>AGOSTINHO RODRIGUES ALVES</t>
        </is>
      </c>
      <c r="F3810" s="30" t="inlineStr">
        <is>
          <t>2020</t>
        </is>
      </c>
      <c r="G3810" s="40" t="n">
        <v>0</v>
      </c>
    </row>
    <row r="3811" ht="12" customHeight="1">
      <c r="A3811" s="30" t="inlineStr">
        <is>
          <t>ITG</t>
        </is>
      </c>
      <c r="B3811" s="30" t="inlineStr">
        <is>
          <t>Itaguai</t>
        </is>
      </c>
      <c r="C3811" s="30" t="n">
        <v>72471920</v>
      </c>
      <c r="D3811" s="30">
        <f>"69137668749"</f>
        <v/>
      </c>
      <c r="E3811" s="30" t="inlineStr">
        <is>
          <t>AGOSTINHO RODRIGUES ALVES</t>
        </is>
      </c>
      <c r="F3811" s="30" t="inlineStr">
        <is>
          <t>2021</t>
        </is>
      </c>
      <c r="G3811" s="40" t="n">
        <v>0</v>
      </c>
    </row>
    <row r="3812" ht="12" customHeight="1">
      <c r="A3812" s="30" t="inlineStr">
        <is>
          <t>ITG</t>
        </is>
      </c>
      <c r="B3812" s="30" t="inlineStr">
        <is>
          <t>Itaguai</t>
        </is>
      </c>
      <c r="C3812" s="30" t="n">
        <v>72484223</v>
      </c>
      <c r="D3812" s="30">
        <f>"04412801705"</f>
        <v/>
      </c>
      <c r="E3812" s="30" t="inlineStr">
        <is>
          <t>CARLOS JOSE BATISTA NOGUEIRA</t>
        </is>
      </c>
      <c r="F3812" s="30" t="inlineStr">
        <is>
          <t>2017</t>
        </is>
      </c>
      <c r="G3812" s="40" t="n">
        <v>38826</v>
      </c>
    </row>
    <row r="3813" ht="12" customHeight="1">
      <c r="A3813" s="30" t="inlineStr">
        <is>
          <t>ITG</t>
        </is>
      </c>
      <c r="B3813" s="30" t="inlineStr">
        <is>
          <t>Itaguai</t>
        </is>
      </c>
      <c r="C3813" s="30" t="n">
        <v>72484223</v>
      </c>
      <c r="D3813" s="30">
        <f>"04412801705"</f>
        <v/>
      </c>
      <c r="E3813" s="30" t="inlineStr">
        <is>
          <t>CARLOS JOSE BATISTA NOGUEIRA</t>
        </is>
      </c>
      <c r="F3813" s="30" t="inlineStr">
        <is>
          <t>2018</t>
        </is>
      </c>
      <c r="G3813" s="40" t="n">
        <v>10760</v>
      </c>
    </row>
    <row r="3814" ht="12" customHeight="1">
      <c r="A3814" s="30" t="inlineStr">
        <is>
          <t>ITG</t>
        </is>
      </c>
      <c r="B3814" s="30" t="inlineStr">
        <is>
          <t>Itaguai</t>
        </is>
      </c>
      <c r="C3814" s="30" t="n">
        <v>72484223</v>
      </c>
      <c r="D3814" s="30">
        <f>"04412801705"</f>
        <v/>
      </c>
      <c r="E3814" s="30" t="inlineStr">
        <is>
          <t>CARLOS JOSE BATISTA NOGUEIRA</t>
        </is>
      </c>
      <c r="F3814" s="30" t="inlineStr">
        <is>
          <t>2019</t>
        </is>
      </c>
      <c r="G3814" s="40" t="n">
        <v>1700</v>
      </c>
    </row>
    <row r="3815" ht="12" customHeight="1">
      <c r="A3815" s="30" t="inlineStr">
        <is>
          <t>ITG</t>
        </is>
      </c>
      <c r="B3815" s="30" t="inlineStr">
        <is>
          <t>Itaguai</t>
        </is>
      </c>
      <c r="C3815" s="30" t="n">
        <v>72484223</v>
      </c>
      <c r="D3815" s="30">
        <f>"04412801705"</f>
        <v/>
      </c>
      <c r="E3815" s="30" t="inlineStr">
        <is>
          <t>CARLOS JOSE BATISTA NOGUEIRA</t>
        </is>
      </c>
      <c r="F3815" s="30" t="inlineStr">
        <is>
          <t>2020</t>
        </is>
      </c>
      <c r="G3815" s="40" t="n">
        <v>0</v>
      </c>
    </row>
    <row r="3816" ht="12" customHeight="1">
      <c r="A3816" s="30" t="inlineStr">
        <is>
          <t>ITG</t>
        </is>
      </c>
      <c r="B3816" s="30" t="inlineStr">
        <is>
          <t>Itaguai</t>
        </is>
      </c>
      <c r="C3816" s="30" t="n">
        <v>72484223</v>
      </c>
      <c r="D3816" s="30">
        <f>"04412801705"</f>
        <v/>
      </c>
      <c r="E3816" s="30" t="inlineStr">
        <is>
          <t>CARLOS JOSE BATISTA NOGUEIRA</t>
        </is>
      </c>
      <c r="F3816" s="30" t="inlineStr">
        <is>
          <t>2021</t>
        </is>
      </c>
      <c r="G3816" s="40" t="n">
        <v>0</v>
      </c>
    </row>
    <row r="3817" ht="12" customHeight="1">
      <c r="A3817" s="30" t="inlineStr">
        <is>
          <t>ITG</t>
        </is>
      </c>
      <c r="B3817" s="30" t="inlineStr">
        <is>
          <t>Itaguai</t>
        </is>
      </c>
      <c r="C3817" s="30" t="n">
        <v>72485254</v>
      </c>
      <c r="D3817" s="30">
        <f>"09163221730"</f>
        <v/>
      </c>
      <c r="E3817" s="30" t="inlineStr">
        <is>
          <t>LUIZ ANTONIO MORISCO DOS SANTOS</t>
        </is>
      </c>
      <c r="F3817" s="30" t="inlineStr">
        <is>
          <t>2017</t>
        </is>
      </c>
      <c r="G3817" s="40" t="n">
        <v>10200</v>
      </c>
    </row>
    <row r="3818" ht="12" customHeight="1">
      <c r="A3818" s="30" t="inlineStr">
        <is>
          <t>ITG</t>
        </is>
      </c>
      <c r="B3818" s="30" t="inlineStr">
        <is>
          <t>Itaguai</t>
        </is>
      </c>
      <c r="C3818" s="30" t="n">
        <v>72485254</v>
      </c>
      <c r="D3818" s="30">
        <f>"09163221730"</f>
        <v/>
      </c>
      <c r="E3818" s="30" t="inlineStr">
        <is>
          <t>LUIZ ANTONIO MORISCO DOS SANTOS</t>
        </is>
      </c>
      <c r="F3818" s="30" t="inlineStr">
        <is>
          <t>2018</t>
        </is>
      </c>
      <c r="G3818" s="40" t="n">
        <v>4168</v>
      </c>
    </row>
    <row r="3819" ht="12" customHeight="1">
      <c r="A3819" s="30" t="inlineStr">
        <is>
          <t>ITG</t>
        </is>
      </c>
      <c r="B3819" s="30" t="inlineStr">
        <is>
          <t>Itaguai</t>
        </is>
      </c>
      <c r="C3819" s="30" t="n">
        <v>72485254</v>
      </c>
      <c r="D3819" s="30">
        <f>"09163221730"</f>
        <v/>
      </c>
      <c r="E3819" s="30" t="inlineStr">
        <is>
          <t>LUIZ ANTONIO MORISCO DOS SANTOS</t>
        </is>
      </c>
      <c r="F3819" s="30" t="inlineStr">
        <is>
          <t>2019</t>
        </is>
      </c>
      <c r="G3819" s="40" t="n">
        <v>0</v>
      </c>
    </row>
    <row r="3820" ht="12" customHeight="1">
      <c r="A3820" s="30" t="inlineStr">
        <is>
          <t>ITG</t>
        </is>
      </c>
      <c r="B3820" s="30" t="inlineStr">
        <is>
          <t>Itaguai</t>
        </is>
      </c>
      <c r="C3820" s="30" t="n">
        <v>72485254</v>
      </c>
      <c r="D3820" s="30">
        <f>"09163221730"</f>
        <v/>
      </c>
      <c r="E3820" s="30" t="inlineStr">
        <is>
          <t>LUIZ ANTONIO MORISCO DOS SANTOS</t>
        </is>
      </c>
      <c r="F3820" s="30" t="inlineStr">
        <is>
          <t>2020</t>
        </is>
      </c>
      <c r="G3820" s="40" t="n">
        <v>0</v>
      </c>
    </row>
    <row r="3821" ht="12" customHeight="1">
      <c r="A3821" s="30" t="inlineStr">
        <is>
          <t>ITG</t>
        </is>
      </c>
      <c r="B3821" s="30" t="inlineStr">
        <is>
          <t>Itaguai</t>
        </is>
      </c>
      <c r="C3821" s="30" t="n">
        <v>72485254</v>
      </c>
      <c r="D3821" s="30">
        <f>"09163221730"</f>
        <v/>
      </c>
      <c r="E3821" s="30" t="inlineStr">
        <is>
          <t>LUIZ ANTONIO MORISCO DOS SANTOS</t>
        </is>
      </c>
      <c r="F3821" s="30" t="inlineStr">
        <is>
          <t>2021</t>
        </is>
      </c>
      <c r="G3821" s="40" t="n">
        <v>0</v>
      </c>
    </row>
    <row r="3822" ht="12" customHeight="1">
      <c r="A3822" s="30" t="inlineStr">
        <is>
          <t>ITG</t>
        </is>
      </c>
      <c r="B3822" s="30" t="inlineStr">
        <is>
          <t>Itaguai</t>
        </is>
      </c>
      <c r="C3822" s="30" t="n">
        <v>72485254</v>
      </c>
      <c r="D3822" s="30">
        <f>"09163221730"</f>
        <v/>
      </c>
      <c r="E3822" s="30" t="inlineStr">
        <is>
          <t>LUIZ ANTONIO MORISCO DOS SANTOS</t>
        </is>
      </c>
      <c r="F3822" s="30" t="inlineStr">
        <is>
          <t>2022</t>
        </is>
      </c>
      <c r="G3822" s="40" t="n">
        <v>0</v>
      </c>
    </row>
    <row r="3823" ht="12" customHeight="1">
      <c r="A3823" s="30" t="inlineStr">
        <is>
          <t>ITG</t>
        </is>
      </c>
      <c r="B3823" s="30" t="inlineStr">
        <is>
          <t>Itaguai</t>
        </is>
      </c>
      <c r="C3823" s="30" t="n">
        <v>72485254</v>
      </c>
      <c r="D3823" s="30">
        <f>"09163221730"</f>
        <v/>
      </c>
      <c r="E3823" s="30" t="inlineStr">
        <is>
          <t>LUIZ ANTONIO MORISCO DOS SANTOS</t>
        </is>
      </c>
      <c r="F3823" s="30" t="inlineStr">
        <is>
          <t>2023</t>
        </is>
      </c>
      <c r="G3823" s="40" t="n">
        <v>16425</v>
      </c>
    </row>
    <row r="3824" ht="12" customHeight="1">
      <c r="A3824" s="30" t="inlineStr">
        <is>
          <t>ITG</t>
        </is>
      </c>
      <c r="B3824" s="30" t="inlineStr">
        <is>
          <t>Itaguai</t>
        </is>
      </c>
      <c r="C3824" s="30" t="n">
        <v>72513312</v>
      </c>
      <c r="D3824" s="30">
        <f>"22375597753"</f>
        <v/>
      </c>
      <c r="E3824" s="30" t="inlineStr">
        <is>
          <t>PEDRO SARTI NETO</t>
        </is>
      </c>
      <c r="F3824" s="30" t="inlineStr">
        <is>
          <t>2017</t>
        </is>
      </c>
      <c r="G3824" s="40" t="n">
        <v>114000</v>
      </c>
    </row>
    <row r="3825" ht="12" customHeight="1">
      <c r="A3825" s="30" t="inlineStr">
        <is>
          <t>ITG</t>
        </is>
      </c>
      <c r="B3825" s="30" t="inlineStr">
        <is>
          <t>Itaguai</t>
        </is>
      </c>
      <c r="C3825" s="30" t="n">
        <v>72513312</v>
      </c>
      <c r="D3825" s="30">
        <f>"22375597753"</f>
        <v/>
      </c>
      <c r="E3825" s="30" t="inlineStr">
        <is>
          <t>PEDRO SARTI NETO</t>
        </is>
      </c>
      <c r="F3825" s="30" t="inlineStr">
        <is>
          <t>2018</t>
        </is>
      </c>
      <c r="G3825" s="40" t="n">
        <v>175825</v>
      </c>
    </row>
    <row r="3826" ht="12" customHeight="1">
      <c r="A3826" s="30" t="inlineStr">
        <is>
          <t>ITG</t>
        </is>
      </c>
      <c r="B3826" s="30" t="inlineStr">
        <is>
          <t>Itaguai</t>
        </is>
      </c>
      <c r="C3826" s="30" t="n">
        <v>72513312</v>
      </c>
      <c r="D3826" s="30">
        <f>"22375597753"</f>
        <v/>
      </c>
      <c r="E3826" s="30" t="inlineStr">
        <is>
          <t>PEDRO SARTI NETO</t>
        </is>
      </c>
      <c r="F3826" s="30" t="inlineStr">
        <is>
          <t>2019</t>
        </is>
      </c>
      <c r="G3826" s="40" t="n">
        <v>0</v>
      </c>
    </row>
    <row r="3827" ht="12" customHeight="1">
      <c r="A3827" s="30" t="inlineStr">
        <is>
          <t>ITG</t>
        </is>
      </c>
      <c r="B3827" s="30" t="inlineStr">
        <is>
          <t>Itaguai</t>
        </is>
      </c>
      <c r="C3827" s="30" t="n">
        <v>72513312</v>
      </c>
      <c r="D3827" s="30">
        <f>"22375597753"</f>
        <v/>
      </c>
      <c r="E3827" s="30" t="inlineStr">
        <is>
          <t>PEDRO SARTI NETO</t>
        </is>
      </c>
      <c r="F3827" s="30" t="inlineStr">
        <is>
          <t>2020</t>
        </is>
      </c>
      <c r="G3827" s="40" t="n">
        <v>0</v>
      </c>
    </row>
    <row r="3828" ht="12" customHeight="1">
      <c r="A3828" s="30" t="inlineStr">
        <is>
          <t>ITG</t>
        </is>
      </c>
      <c r="B3828" s="30" t="inlineStr">
        <is>
          <t>Itaguai</t>
        </is>
      </c>
      <c r="C3828" s="30" t="n">
        <v>72513312</v>
      </c>
      <c r="D3828" s="30">
        <f>"22375597753"</f>
        <v/>
      </c>
      <c r="E3828" s="30" t="inlineStr">
        <is>
          <t>PEDRO SARTI NETO</t>
        </is>
      </c>
      <c r="F3828" s="30" t="inlineStr">
        <is>
          <t>2021</t>
        </is>
      </c>
      <c r="G3828" s="40" t="n">
        <v>146648.4</v>
      </c>
    </row>
    <row r="3829" ht="12" customHeight="1">
      <c r="A3829" s="30" t="inlineStr">
        <is>
          <t>ITG</t>
        </is>
      </c>
      <c r="B3829" s="30" t="inlineStr">
        <is>
          <t>Itaguai</t>
        </is>
      </c>
      <c r="C3829" s="30" t="n">
        <v>72513312</v>
      </c>
      <c r="D3829" s="30">
        <f>"22375597753"</f>
        <v/>
      </c>
      <c r="E3829" s="30" t="inlineStr">
        <is>
          <t>PEDRO SARTI NETO</t>
        </is>
      </c>
      <c r="F3829" s="30" t="inlineStr">
        <is>
          <t>2022</t>
        </is>
      </c>
      <c r="G3829" s="40" t="n">
        <v>83700</v>
      </c>
    </row>
    <row r="3830" ht="12" customHeight="1">
      <c r="A3830" s="30" t="inlineStr">
        <is>
          <t>ITG</t>
        </is>
      </c>
      <c r="B3830" s="30" t="inlineStr">
        <is>
          <t>Itaguai</t>
        </is>
      </c>
      <c r="C3830" s="30" t="n">
        <v>72513312</v>
      </c>
      <c r="D3830" s="30">
        <f>"22375597753"</f>
        <v/>
      </c>
      <c r="E3830" s="30" t="inlineStr">
        <is>
          <t>PEDRO SARTI NETO</t>
        </is>
      </c>
      <c r="F3830" s="30" t="inlineStr">
        <is>
          <t>2023</t>
        </is>
      </c>
      <c r="G3830" s="40" t="n">
        <v>23000</v>
      </c>
    </row>
    <row r="3831" ht="12" customHeight="1">
      <c r="A3831" s="30" t="inlineStr">
        <is>
          <t>ITG</t>
        </is>
      </c>
      <c r="B3831" s="30" t="inlineStr">
        <is>
          <t>Itaguai</t>
        </is>
      </c>
      <c r="C3831" s="30" t="n">
        <v>72518748</v>
      </c>
      <c r="D3831" s="30">
        <f>"11091981752"</f>
        <v/>
      </c>
      <c r="E3831" s="30" t="inlineStr">
        <is>
          <t>LUIZ ANTONIO TEIXEIRA DA SILVA</t>
        </is>
      </c>
      <c r="F3831" s="30" t="inlineStr">
        <is>
          <t>2017</t>
        </is>
      </c>
      <c r="G3831" s="40" t="n">
        <v>3248</v>
      </c>
    </row>
    <row r="3832" ht="12" customHeight="1">
      <c r="A3832" s="30" t="inlineStr">
        <is>
          <t>ITG</t>
        </is>
      </c>
      <c r="B3832" s="30" t="inlineStr">
        <is>
          <t>Itaguai</t>
        </is>
      </c>
      <c r="C3832" s="30" t="n">
        <v>72518748</v>
      </c>
      <c r="D3832" s="30">
        <f>"11091981752"</f>
        <v/>
      </c>
      <c r="E3832" s="30" t="inlineStr">
        <is>
          <t>LUIZ ANTONIO TEIXEIRA DA SILVA</t>
        </is>
      </c>
      <c r="F3832" s="30" t="inlineStr">
        <is>
          <t>2018</t>
        </is>
      </c>
      <c r="G3832" s="40" t="n">
        <v>9393</v>
      </c>
    </row>
    <row r="3833" ht="12" customHeight="1">
      <c r="A3833" s="30" t="inlineStr">
        <is>
          <t>ITG</t>
        </is>
      </c>
      <c r="B3833" s="30" t="inlineStr">
        <is>
          <t>Itaguai</t>
        </is>
      </c>
      <c r="C3833" s="30" t="n">
        <v>72518748</v>
      </c>
      <c r="D3833" s="30">
        <f>"11091981752"</f>
        <v/>
      </c>
      <c r="E3833" s="30" t="inlineStr">
        <is>
          <t>LUIZ ANTONIO TEIXEIRA DA SILVA</t>
        </is>
      </c>
      <c r="F3833" s="30" t="inlineStr">
        <is>
          <t>2019</t>
        </is>
      </c>
      <c r="G3833" s="40" t="n">
        <v>11536</v>
      </c>
    </row>
    <row r="3834" ht="12" customHeight="1">
      <c r="A3834" s="30" t="inlineStr">
        <is>
          <t>ITG</t>
        </is>
      </c>
      <c r="B3834" s="30" t="inlineStr">
        <is>
          <t>Itaguai</t>
        </is>
      </c>
      <c r="C3834" s="30" t="n">
        <v>72518748</v>
      </c>
      <c r="D3834" s="30">
        <f>"11091981752"</f>
        <v/>
      </c>
      <c r="E3834" s="30" t="inlineStr">
        <is>
          <t>LUIZ ANTONIO TEIXEIRA DA SILVA</t>
        </is>
      </c>
      <c r="F3834" s="30" t="inlineStr">
        <is>
          <t>2020</t>
        </is>
      </c>
      <c r="G3834" s="40" t="n">
        <v>6916</v>
      </c>
    </row>
    <row r="3835" ht="12" customHeight="1">
      <c r="A3835" s="30" t="inlineStr">
        <is>
          <t>ITG</t>
        </is>
      </c>
      <c r="B3835" s="30" t="inlineStr">
        <is>
          <t>Itaguai</t>
        </is>
      </c>
      <c r="C3835" s="30" t="n">
        <v>72518748</v>
      </c>
      <c r="D3835" s="30">
        <f>"11091981752"</f>
        <v/>
      </c>
      <c r="E3835" s="30" t="inlineStr">
        <is>
          <t>LUIZ ANTONIO TEIXEIRA DA SILVA</t>
        </is>
      </c>
      <c r="F3835" s="30" t="inlineStr">
        <is>
          <t>2021</t>
        </is>
      </c>
      <c r="G3835" s="40" t="n">
        <v>13310</v>
      </c>
    </row>
    <row r="3836" ht="12" customHeight="1">
      <c r="A3836" s="30" t="inlineStr">
        <is>
          <t>ITG</t>
        </is>
      </c>
      <c r="B3836" s="30" t="inlineStr">
        <is>
          <t>Itaguai</t>
        </is>
      </c>
      <c r="C3836" s="30" t="n">
        <v>72518748</v>
      </c>
      <c r="D3836" s="30">
        <f>"11091981752"</f>
        <v/>
      </c>
      <c r="E3836" s="30" t="inlineStr">
        <is>
          <t>LUIZ ANTONIO TEIXEIRA DA SILVA</t>
        </is>
      </c>
      <c r="F3836" s="30" t="inlineStr">
        <is>
          <t>2022</t>
        </is>
      </c>
      <c r="G3836" s="40" t="n">
        <v>16860</v>
      </c>
    </row>
    <row r="3837" ht="12" customHeight="1">
      <c r="A3837" s="30" t="inlineStr">
        <is>
          <t>ITG</t>
        </is>
      </c>
      <c r="B3837" s="30" t="inlineStr">
        <is>
          <t>Itaguai</t>
        </is>
      </c>
      <c r="C3837" s="30" t="n">
        <v>72518748</v>
      </c>
      <c r="D3837" s="30">
        <f>"11091981752"</f>
        <v/>
      </c>
      <c r="E3837" s="30" t="inlineStr">
        <is>
          <t>LUIZ ANTONIO TEIXEIRA DA SILVA</t>
        </is>
      </c>
      <c r="F3837" s="30" t="inlineStr">
        <is>
          <t>2023</t>
        </is>
      </c>
      <c r="G3837" s="40" t="n">
        <v>12416</v>
      </c>
    </row>
    <row r="3838" ht="12" customHeight="1">
      <c r="A3838" s="30" t="inlineStr">
        <is>
          <t>ITG</t>
        </is>
      </c>
      <c r="B3838" s="30" t="inlineStr">
        <is>
          <t>Itaguai</t>
        </is>
      </c>
      <c r="C3838" s="30" t="n">
        <v>72522842</v>
      </c>
      <c r="D3838" s="30">
        <f>"42657105734"</f>
        <v/>
      </c>
      <c r="E3838" s="30" t="inlineStr">
        <is>
          <t>ADEL RUIZ LIBANO</t>
        </is>
      </c>
      <c r="F3838" s="30" t="inlineStr">
        <is>
          <t>2017</t>
        </is>
      </c>
      <c r="G3838" s="40" t="n">
        <v>0</v>
      </c>
    </row>
    <row r="3839" ht="12" customHeight="1">
      <c r="A3839" s="30" t="inlineStr">
        <is>
          <t>ITG</t>
        </is>
      </c>
      <c r="B3839" s="30" t="inlineStr">
        <is>
          <t>Itaguai</t>
        </is>
      </c>
      <c r="C3839" s="30" t="n">
        <v>72522842</v>
      </c>
      <c r="D3839" s="30">
        <f>"42657105734"</f>
        <v/>
      </c>
      <c r="E3839" s="30" t="inlineStr">
        <is>
          <t>ADEL RUIZ LIBANO</t>
        </is>
      </c>
      <c r="F3839" s="30" t="inlineStr">
        <is>
          <t>2018</t>
        </is>
      </c>
      <c r="G3839" s="40" t="n">
        <v>0</v>
      </c>
    </row>
    <row r="3840" ht="12" customHeight="1">
      <c r="A3840" s="30" t="inlineStr">
        <is>
          <t>ITG</t>
        </is>
      </c>
      <c r="B3840" s="30" t="inlineStr">
        <is>
          <t>Itaguai</t>
        </is>
      </c>
      <c r="C3840" s="30" t="n">
        <v>72522842</v>
      </c>
      <c r="D3840" s="30">
        <f>"42657105734"</f>
        <v/>
      </c>
      <c r="E3840" s="30" t="inlineStr">
        <is>
          <t>ADEL RUIZ LIBANO</t>
        </is>
      </c>
      <c r="F3840" s="30" t="inlineStr">
        <is>
          <t>2019</t>
        </is>
      </c>
      <c r="G3840" s="40" t="n">
        <v>100040</v>
      </c>
    </row>
    <row r="3841" ht="12" customHeight="1">
      <c r="A3841" s="30" t="inlineStr">
        <is>
          <t>ITG</t>
        </is>
      </c>
      <c r="B3841" s="30" t="inlineStr">
        <is>
          <t>Itaguai</t>
        </is>
      </c>
      <c r="C3841" s="30" t="n">
        <v>72522842</v>
      </c>
      <c r="D3841" s="30">
        <f>"42657105734"</f>
        <v/>
      </c>
      <c r="E3841" s="30" t="inlineStr">
        <is>
          <t>ADEL RUIZ LIBANO</t>
        </is>
      </c>
      <c r="F3841" s="30" t="inlineStr">
        <is>
          <t>2020</t>
        </is>
      </c>
      <c r="G3841" s="40" t="n">
        <v>161000</v>
      </c>
    </row>
    <row r="3842" ht="12" customHeight="1">
      <c r="A3842" s="30" t="inlineStr">
        <is>
          <t>ITG</t>
        </is>
      </c>
      <c r="B3842" s="30" t="inlineStr">
        <is>
          <t>Itaguai</t>
        </is>
      </c>
      <c r="C3842" s="30" t="n">
        <v>72522842</v>
      </c>
      <c r="D3842" s="30">
        <f>"42657105734"</f>
        <v/>
      </c>
      <c r="E3842" s="30" t="inlineStr">
        <is>
          <t>ADEL RUIZ LIBANO</t>
        </is>
      </c>
      <c r="F3842" s="30" t="inlineStr">
        <is>
          <t>2021</t>
        </is>
      </c>
      <c r="G3842" s="40" t="n">
        <v>140592</v>
      </c>
    </row>
    <row r="3843" ht="12" customHeight="1">
      <c r="A3843" s="30" t="inlineStr">
        <is>
          <t>ITG</t>
        </is>
      </c>
      <c r="B3843" s="30" t="inlineStr">
        <is>
          <t>Itaguai</t>
        </is>
      </c>
      <c r="C3843" s="30" t="n">
        <v>72522842</v>
      </c>
      <c r="D3843" s="30">
        <f>"42657105734"</f>
        <v/>
      </c>
      <c r="E3843" s="30" t="inlineStr">
        <is>
          <t>ADEL RUIZ LIBANO</t>
        </is>
      </c>
      <c r="F3843" s="30" t="inlineStr">
        <is>
          <t>2022</t>
        </is>
      </c>
      <c r="G3843" s="40" t="n">
        <v>117206</v>
      </c>
    </row>
    <row r="3844" ht="12" customHeight="1">
      <c r="A3844" s="30" t="inlineStr">
        <is>
          <t>ITG</t>
        </is>
      </c>
      <c r="B3844" s="30" t="inlineStr">
        <is>
          <t>Itaguai</t>
        </is>
      </c>
      <c r="C3844" s="30" t="n">
        <v>72522842</v>
      </c>
      <c r="D3844" s="30">
        <f>"42657105734"</f>
        <v/>
      </c>
      <c r="E3844" s="30" t="inlineStr">
        <is>
          <t>ADEL RUIZ LIBANO</t>
        </is>
      </c>
      <c r="F3844" s="30" t="inlineStr">
        <is>
          <t>2023</t>
        </is>
      </c>
      <c r="G3844" s="40" t="n">
        <v>104980</v>
      </c>
    </row>
    <row r="3845" ht="12" customHeight="1">
      <c r="A3845" s="30" t="inlineStr">
        <is>
          <t>ITG</t>
        </is>
      </c>
      <c r="B3845" s="30" t="inlineStr">
        <is>
          <t>Itaguai</t>
        </is>
      </c>
      <c r="C3845" s="30" t="n">
        <v>72527518</v>
      </c>
      <c r="D3845" s="30">
        <f>"68661975700"</f>
        <v/>
      </c>
      <c r="E3845" s="30" t="inlineStr">
        <is>
          <t>ISMAEL DE ALMEIDA BATALHA</t>
        </is>
      </c>
      <c r="F3845" s="30" t="inlineStr">
        <is>
          <t>2017</t>
        </is>
      </c>
      <c r="G3845" s="40" t="n">
        <v>0</v>
      </c>
    </row>
    <row r="3846" ht="12" customHeight="1">
      <c r="A3846" s="30" t="inlineStr">
        <is>
          <t>ITG</t>
        </is>
      </c>
      <c r="B3846" s="30" t="inlineStr">
        <is>
          <t>Itaguai</t>
        </is>
      </c>
      <c r="C3846" s="30" t="n">
        <v>72527518</v>
      </c>
      <c r="D3846" s="30">
        <f>"68661975700"</f>
        <v/>
      </c>
      <c r="E3846" s="30" t="inlineStr">
        <is>
          <t>ISMAEL DE ALMEIDA BATALHA</t>
        </is>
      </c>
      <c r="F3846" s="30" t="inlineStr">
        <is>
          <t>2018</t>
        </is>
      </c>
      <c r="G3846" s="40" t="n">
        <v>620</v>
      </c>
    </row>
    <row r="3847" ht="12" customHeight="1">
      <c r="A3847" s="30" t="inlineStr">
        <is>
          <t>ITG</t>
        </is>
      </c>
      <c r="B3847" s="30" t="inlineStr">
        <is>
          <t>Itaguai</t>
        </is>
      </c>
      <c r="C3847" s="30" t="n">
        <v>72527518</v>
      </c>
      <c r="D3847" s="30">
        <f>"68661975700"</f>
        <v/>
      </c>
      <c r="E3847" s="30" t="inlineStr">
        <is>
          <t>ISMAEL DE ALMEIDA BATALHA</t>
        </is>
      </c>
      <c r="F3847" s="30" t="inlineStr">
        <is>
          <t>2019</t>
        </is>
      </c>
      <c r="G3847" s="40" t="n">
        <v>0</v>
      </c>
    </row>
    <row r="3848" ht="12" customHeight="1">
      <c r="A3848" s="30" t="inlineStr">
        <is>
          <t>ITG</t>
        </is>
      </c>
      <c r="B3848" s="30" t="inlineStr">
        <is>
          <t>Itaguai</t>
        </is>
      </c>
      <c r="C3848" s="30" t="n">
        <v>72527518</v>
      </c>
      <c r="D3848" s="30">
        <f>"68661975700"</f>
        <v/>
      </c>
      <c r="E3848" s="30" t="inlineStr">
        <is>
          <t>ISMAEL DE ALMEIDA BATALHA</t>
        </is>
      </c>
      <c r="F3848" s="30" t="inlineStr">
        <is>
          <t>2020</t>
        </is>
      </c>
      <c r="G3848" s="40" t="n">
        <v>26480</v>
      </c>
    </row>
    <row r="3849" ht="12" customHeight="1">
      <c r="A3849" s="30" t="inlineStr">
        <is>
          <t>ITG</t>
        </is>
      </c>
      <c r="B3849" s="30" t="inlineStr">
        <is>
          <t>Itaguai</t>
        </is>
      </c>
      <c r="C3849" s="30" t="n">
        <v>72527518</v>
      </c>
      <c r="D3849" s="30">
        <f>"68661975700"</f>
        <v/>
      </c>
      <c r="E3849" s="30" t="inlineStr">
        <is>
          <t>ISMAEL DE ALMEIDA BATALHA</t>
        </is>
      </c>
      <c r="F3849" s="30" t="inlineStr">
        <is>
          <t>2021</t>
        </is>
      </c>
      <c r="G3849" s="40" t="n">
        <v>14966</v>
      </c>
    </row>
    <row r="3850" ht="12" customHeight="1">
      <c r="A3850" s="30" t="inlineStr">
        <is>
          <t>ITG</t>
        </is>
      </c>
      <c r="B3850" s="30" t="inlineStr">
        <is>
          <t>Itaguai</t>
        </is>
      </c>
      <c r="C3850" s="30" t="n">
        <v>72527518</v>
      </c>
      <c r="D3850" s="30">
        <f>"68661975700"</f>
        <v/>
      </c>
      <c r="E3850" s="30" t="inlineStr">
        <is>
          <t>ISMAEL DE ALMEIDA BATALHA</t>
        </is>
      </c>
      <c r="F3850" s="30" t="inlineStr">
        <is>
          <t>2022</t>
        </is>
      </c>
      <c r="G3850" s="40" t="n">
        <v>25167.9</v>
      </c>
    </row>
    <row r="3851" ht="12" customHeight="1">
      <c r="A3851" s="30" t="inlineStr">
        <is>
          <t>ITG</t>
        </is>
      </c>
      <c r="B3851" s="30" t="inlineStr">
        <is>
          <t>Itaguai</t>
        </is>
      </c>
      <c r="C3851" s="30" t="n">
        <v>72527518</v>
      </c>
      <c r="D3851" s="30">
        <f>"68661975700"</f>
        <v/>
      </c>
      <c r="E3851" s="30" t="inlineStr">
        <is>
          <t>ISMAEL DE ALMEIDA BATALHA</t>
        </is>
      </c>
      <c r="F3851" s="30" t="inlineStr">
        <is>
          <t>2023</t>
        </is>
      </c>
      <c r="G3851" s="40" t="n">
        <v>12820</v>
      </c>
    </row>
    <row r="3852" ht="12" customHeight="1">
      <c r="A3852" s="30" t="inlineStr">
        <is>
          <t>ITG</t>
        </is>
      </c>
      <c r="B3852" s="30" t="inlineStr">
        <is>
          <t>Itaguai</t>
        </is>
      </c>
      <c r="C3852" s="30" t="n">
        <v>72527836</v>
      </c>
      <c r="D3852" s="30">
        <f>"05349437720"</f>
        <v/>
      </c>
      <c r="E3852" s="30" t="inlineStr">
        <is>
          <t>AGENOR DE OLIVEIRA TEIXEIRA</t>
        </is>
      </c>
      <c r="F3852" s="30" t="inlineStr">
        <is>
          <t>2017</t>
        </is>
      </c>
      <c r="G3852" s="40" t="n">
        <v>0</v>
      </c>
    </row>
    <row r="3853" ht="12" customHeight="1">
      <c r="A3853" s="30" t="inlineStr">
        <is>
          <t>ITG</t>
        </is>
      </c>
      <c r="B3853" s="30" t="inlineStr">
        <is>
          <t>Itaguai</t>
        </is>
      </c>
      <c r="C3853" s="30" t="n">
        <v>72527836</v>
      </c>
      <c r="D3853" s="30">
        <f>"05349437720"</f>
        <v/>
      </c>
      <c r="E3853" s="30" t="inlineStr">
        <is>
          <t>AGENOR DE OLIVEIRA TEIXEIRA</t>
        </is>
      </c>
      <c r="F3853" s="30" t="inlineStr">
        <is>
          <t>2018</t>
        </is>
      </c>
      <c r="G3853" s="40" t="n">
        <v>0</v>
      </c>
    </row>
    <row r="3854" ht="12" customHeight="1">
      <c r="A3854" s="30" t="inlineStr">
        <is>
          <t>ITG</t>
        </is>
      </c>
      <c r="B3854" s="30" t="inlineStr">
        <is>
          <t>Itaguai</t>
        </is>
      </c>
      <c r="C3854" s="30" t="n">
        <v>72527836</v>
      </c>
      <c r="D3854" s="30">
        <f>"05349437720"</f>
        <v/>
      </c>
      <c r="E3854" s="30" t="inlineStr">
        <is>
          <t>AGENOR DE OLIVEIRA TEIXEIRA</t>
        </is>
      </c>
      <c r="F3854" s="30" t="inlineStr">
        <is>
          <t>2019</t>
        </is>
      </c>
      <c r="G3854" s="40" t="n">
        <v>0</v>
      </c>
    </row>
    <row r="3855" ht="12" customHeight="1">
      <c r="A3855" s="30" t="inlineStr">
        <is>
          <t>ITG</t>
        </is>
      </c>
      <c r="B3855" s="30" t="inlineStr">
        <is>
          <t>Itaguai</t>
        </is>
      </c>
      <c r="C3855" s="30" t="n">
        <v>72527836</v>
      </c>
      <c r="D3855" s="30">
        <f>"05349437720"</f>
        <v/>
      </c>
      <c r="E3855" s="30" t="inlineStr">
        <is>
          <t>AGENOR DE OLIVEIRA TEIXEIRA</t>
        </is>
      </c>
      <c r="F3855" s="30" t="inlineStr">
        <is>
          <t>2020</t>
        </is>
      </c>
      <c r="G3855" s="40" t="n">
        <v>0</v>
      </c>
    </row>
    <row r="3856" ht="12" customHeight="1">
      <c r="A3856" s="30" t="inlineStr">
        <is>
          <t>ITG</t>
        </is>
      </c>
      <c r="B3856" s="30" t="inlineStr">
        <is>
          <t>Itaguai</t>
        </is>
      </c>
      <c r="C3856" s="30" t="n">
        <v>72527836</v>
      </c>
      <c r="D3856" s="30">
        <f>"05349437720"</f>
        <v/>
      </c>
      <c r="E3856" s="30" t="inlineStr">
        <is>
          <t>AGENOR DE OLIVEIRA TEIXEIRA</t>
        </is>
      </c>
      <c r="F3856" s="30" t="inlineStr">
        <is>
          <t>2021</t>
        </is>
      </c>
      <c r="G3856" s="40" t="n">
        <v>0</v>
      </c>
    </row>
    <row r="3857" ht="12" customHeight="1">
      <c r="A3857" s="30" t="inlineStr">
        <is>
          <t>ITG</t>
        </is>
      </c>
      <c r="B3857" s="30" t="inlineStr">
        <is>
          <t>Itaguai</t>
        </is>
      </c>
      <c r="C3857" s="30" t="n">
        <v>72527836</v>
      </c>
      <c r="D3857" s="30">
        <f>"05349437720"</f>
        <v/>
      </c>
      <c r="E3857" s="30" t="inlineStr">
        <is>
          <t>AGENOR DE OLIVEIRA TEIXEIRA</t>
        </is>
      </c>
      <c r="F3857" s="30" t="inlineStr">
        <is>
          <t>2022</t>
        </is>
      </c>
      <c r="G3857" s="40" t="n">
        <v>0</v>
      </c>
    </row>
    <row r="3858" ht="12" customHeight="1">
      <c r="A3858" s="30" t="inlineStr">
        <is>
          <t>ITG</t>
        </is>
      </c>
      <c r="B3858" s="30" t="inlineStr">
        <is>
          <t>Itaguai</t>
        </is>
      </c>
      <c r="C3858" s="30" t="n">
        <v>75038615</v>
      </c>
      <c r="D3858" s="30">
        <f>"31652597000182"</f>
        <v/>
      </c>
      <c r="E3858" s="30" t="inlineStr">
        <is>
          <t>YUCCA AGROINDUSTRIAL LTDA</t>
        </is>
      </c>
      <c r="F3858" s="30" t="inlineStr">
        <is>
          <t>2017</t>
        </is>
      </c>
      <c r="G3858" s="40" t="n">
        <v>0</v>
      </c>
    </row>
    <row r="3859" ht="12" customHeight="1">
      <c r="A3859" s="30" t="inlineStr">
        <is>
          <t>ITG</t>
        </is>
      </c>
      <c r="B3859" s="30" t="inlineStr">
        <is>
          <t>Itaguai</t>
        </is>
      </c>
      <c r="C3859" s="30" t="n">
        <v>75038615</v>
      </c>
      <c r="D3859" s="30">
        <f>"31652597000182"</f>
        <v/>
      </c>
      <c r="E3859" s="30" t="inlineStr">
        <is>
          <t>YUCCA AGROINDUSTRIAL LTDA</t>
        </is>
      </c>
      <c r="F3859" s="30" t="inlineStr">
        <is>
          <t>2018</t>
        </is>
      </c>
      <c r="G3859" s="40" t="n">
        <v>0</v>
      </c>
    </row>
    <row r="3860" ht="12" customHeight="1">
      <c r="A3860" s="30" t="inlineStr">
        <is>
          <t>ITG</t>
        </is>
      </c>
      <c r="B3860" s="30" t="inlineStr">
        <is>
          <t>Itaguai</t>
        </is>
      </c>
      <c r="C3860" s="30" t="n">
        <v>75038615</v>
      </c>
      <c r="D3860" s="30">
        <f>"31652597000182"</f>
        <v/>
      </c>
      <c r="E3860" s="30" t="inlineStr">
        <is>
          <t>YUCCA AGROINDUSTRIAL LTDA</t>
        </is>
      </c>
      <c r="F3860" s="30" t="inlineStr">
        <is>
          <t>2019</t>
        </is>
      </c>
      <c r="G3860" s="40" t="n">
        <v>0</v>
      </c>
    </row>
    <row r="3861" ht="12" customHeight="1">
      <c r="A3861" s="30" t="inlineStr">
        <is>
          <t>ITG</t>
        </is>
      </c>
      <c r="B3861" s="30" t="inlineStr">
        <is>
          <t>Itaguai</t>
        </is>
      </c>
      <c r="C3861" s="30" t="n">
        <v>75038615</v>
      </c>
      <c r="D3861" s="30">
        <f>"31652597000182"</f>
        <v/>
      </c>
      <c r="E3861" s="30" t="inlineStr">
        <is>
          <t>YUCCA AGROINDUSTRIAL LTDA</t>
        </is>
      </c>
      <c r="F3861" s="30" t="inlineStr">
        <is>
          <t>2020</t>
        </is>
      </c>
      <c r="G3861" s="40" t="n">
        <v>0</v>
      </c>
    </row>
    <row r="3862" ht="12" customHeight="1">
      <c r="A3862" s="30" t="inlineStr">
        <is>
          <t>ITG</t>
        </is>
      </c>
      <c r="B3862" s="30" t="inlineStr">
        <is>
          <t>Itaguai</t>
        </is>
      </c>
      <c r="C3862" s="30" t="n">
        <v>75586744</v>
      </c>
      <c r="D3862" s="30">
        <f>"57012098000548"</f>
        <v/>
      </c>
      <c r="E3862" s="30" t="inlineStr">
        <is>
          <t>TRANSLUTE TRANSPORTES RODOVIARIO LTDA</t>
        </is>
      </c>
      <c r="F3862" s="30" t="inlineStr">
        <is>
          <t>2020</t>
        </is>
      </c>
      <c r="G3862" s="40" t="n">
        <v>0</v>
      </c>
    </row>
    <row r="3863" ht="12" customHeight="1">
      <c r="A3863" s="30" t="inlineStr">
        <is>
          <t>ITG</t>
        </is>
      </c>
      <c r="B3863" s="30" t="inlineStr">
        <is>
          <t>Itaguai</t>
        </is>
      </c>
      <c r="C3863" s="30" t="n">
        <v>75586744</v>
      </c>
      <c r="D3863" s="30">
        <f>"57012098000548"</f>
        <v/>
      </c>
      <c r="E3863" s="30" t="inlineStr">
        <is>
          <t>TRANSLUTE TRANSPORTES RODOVIARIO LTDA</t>
        </is>
      </c>
      <c r="F3863" s="30" t="inlineStr">
        <is>
          <t>2021</t>
        </is>
      </c>
      <c r="G3863" s="40" t="n">
        <v>0</v>
      </c>
    </row>
    <row r="3864" ht="12" customHeight="1">
      <c r="A3864" s="30" t="inlineStr">
        <is>
          <t>ITG</t>
        </is>
      </c>
      <c r="B3864" s="30" t="inlineStr">
        <is>
          <t>Itaguai</t>
        </is>
      </c>
      <c r="C3864" s="30" t="n">
        <v>75586744</v>
      </c>
      <c r="D3864" s="30">
        <f>"57012098000548"</f>
        <v/>
      </c>
      <c r="E3864" s="30" t="inlineStr">
        <is>
          <t>TRANSLUTE TRANSPORTES RODOVIARIO LTDA</t>
        </is>
      </c>
      <c r="F3864" s="30" t="inlineStr">
        <is>
          <t>2022</t>
        </is>
      </c>
      <c r="G3864" s="40" t="n">
        <v>11.03</v>
      </c>
    </row>
    <row r="3865" ht="12" customHeight="1">
      <c r="A3865" s="30" t="inlineStr">
        <is>
          <t>ITG</t>
        </is>
      </c>
      <c r="B3865" s="30" t="inlineStr">
        <is>
          <t>Itaguai</t>
        </is>
      </c>
      <c r="C3865" s="30" t="n">
        <v>75586744</v>
      </c>
      <c r="D3865" s="30">
        <f>"57012098000548"</f>
        <v/>
      </c>
      <c r="E3865" s="30" t="inlineStr">
        <is>
          <t>TRANSLUTE TRANSPORTES RODOVIARIO LTDA</t>
        </is>
      </c>
      <c r="F3865" s="30" t="inlineStr">
        <is>
          <t>2023</t>
        </is>
      </c>
      <c r="G3865" s="40" t="n">
        <v>35.51</v>
      </c>
    </row>
    <row r="3866" ht="12" customHeight="1">
      <c r="A3866" s="30" t="inlineStr">
        <is>
          <t>ITG</t>
        </is>
      </c>
      <c r="B3866" s="30" t="inlineStr">
        <is>
          <t>Itaguai</t>
        </is>
      </c>
      <c r="C3866" s="30" t="n">
        <v>75701535</v>
      </c>
      <c r="D3866" s="30">
        <f>"29899143000169"</f>
        <v/>
      </c>
      <c r="E3866" s="30" t="inlineStr">
        <is>
          <t>VIACAO TREZE DE JUNHO LTDA</t>
        </is>
      </c>
      <c r="F3866" s="30" t="inlineStr">
        <is>
          <t>2017</t>
        </is>
      </c>
      <c r="G3866" s="40" t="n">
        <v>0</v>
      </c>
    </row>
    <row r="3867" ht="12" customHeight="1">
      <c r="A3867" s="30" t="inlineStr">
        <is>
          <t>ITG</t>
        </is>
      </c>
      <c r="B3867" s="30" t="inlineStr">
        <is>
          <t>Itaguai</t>
        </is>
      </c>
      <c r="C3867" s="30" t="n">
        <v>75701535</v>
      </c>
      <c r="D3867" s="30">
        <f>"29899143000169"</f>
        <v/>
      </c>
      <c r="E3867" s="30" t="inlineStr">
        <is>
          <t>VIACAO TREZE DE JUNHO LTDA</t>
        </is>
      </c>
      <c r="F3867" s="30" t="inlineStr">
        <is>
          <t>2018</t>
        </is>
      </c>
      <c r="G3867" s="40" t="n">
        <v>0</v>
      </c>
    </row>
    <row r="3868" ht="12" customHeight="1">
      <c r="A3868" s="30" t="inlineStr">
        <is>
          <t>ITG</t>
        </is>
      </c>
      <c r="B3868" s="30" t="inlineStr">
        <is>
          <t>Itaguai</t>
        </is>
      </c>
      <c r="C3868" s="30" t="n">
        <v>75701535</v>
      </c>
      <c r="D3868" s="30">
        <f>"29899143000169"</f>
        <v/>
      </c>
      <c r="E3868" s="30" t="inlineStr">
        <is>
          <t>VIACAO TREZE DE JUNHO LTDA</t>
        </is>
      </c>
      <c r="F3868" s="30" t="inlineStr">
        <is>
          <t>2019</t>
        </is>
      </c>
      <c r="G3868" s="40" t="n">
        <v>9600</v>
      </c>
    </row>
    <row r="3869" ht="12" customHeight="1">
      <c r="A3869" s="30" t="inlineStr">
        <is>
          <t>ITG</t>
        </is>
      </c>
      <c r="B3869" s="30" t="inlineStr">
        <is>
          <t>Itaguai</t>
        </is>
      </c>
      <c r="C3869" s="30" t="n">
        <v>75701535</v>
      </c>
      <c r="D3869" s="30">
        <f>"29899143000169"</f>
        <v/>
      </c>
      <c r="E3869" s="30" t="inlineStr">
        <is>
          <t>VIACAO TREZE DE JUNHO LTDA</t>
        </is>
      </c>
      <c r="F3869" s="30" t="inlineStr">
        <is>
          <t>2020</t>
        </is>
      </c>
      <c r="G3869" s="40" t="n">
        <v>0</v>
      </c>
    </row>
    <row r="3870" ht="12" customHeight="1">
      <c r="A3870" s="30" t="inlineStr">
        <is>
          <t>ITG</t>
        </is>
      </c>
      <c r="B3870" s="30" t="inlineStr">
        <is>
          <t>Itaguai</t>
        </is>
      </c>
      <c r="C3870" s="30" t="n">
        <v>75701535</v>
      </c>
      <c r="D3870" s="30">
        <f>"29899143000169"</f>
        <v/>
      </c>
      <c r="E3870" s="30" t="inlineStr">
        <is>
          <t>VIACAO TREZE DE JUNHO LTDA</t>
        </is>
      </c>
      <c r="F3870" s="30" t="inlineStr">
        <is>
          <t>2021</t>
        </is>
      </c>
      <c r="G3870" s="40" t="n">
        <v>4600</v>
      </c>
    </row>
    <row r="3871" ht="12" customHeight="1">
      <c r="A3871" s="30" t="inlineStr">
        <is>
          <t>ITG</t>
        </is>
      </c>
      <c r="B3871" s="30" t="inlineStr">
        <is>
          <t>Itaguai</t>
        </is>
      </c>
      <c r="C3871" s="30" t="n">
        <v>75701535</v>
      </c>
      <c r="D3871" s="30">
        <f>"29899143000169"</f>
        <v/>
      </c>
      <c r="E3871" s="30" t="inlineStr">
        <is>
          <t>VIACAO TREZE DE JUNHO LTDA</t>
        </is>
      </c>
      <c r="F3871" s="30" t="inlineStr">
        <is>
          <t>2022</t>
        </is>
      </c>
      <c r="G3871" s="40" t="n">
        <v>9100</v>
      </c>
    </row>
    <row r="3872" ht="12" customHeight="1">
      <c r="A3872" s="30" t="inlineStr">
        <is>
          <t>ITG</t>
        </is>
      </c>
      <c r="B3872" s="30" t="inlineStr">
        <is>
          <t>Itaguai</t>
        </is>
      </c>
      <c r="C3872" s="30" t="n">
        <v>75701535</v>
      </c>
      <c r="D3872" s="30">
        <f>"29899143000169"</f>
        <v/>
      </c>
      <c r="E3872" s="30" t="inlineStr">
        <is>
          <t>VIACAO TREZE DE JUNHO LTDA</t>
        </is>
      </c>
      <c r="F3872" s="30" t="inlineStr">
        <is>
          <t>2023</t>
        </is>
      </c>
      <c r="G3872" s="40" t="n">
        <v>11050</v>
      </c>
    </row>
    <row r="3873" ht="12" customHeight="1">
      <c r="A3873" s="30" t="inlineStr">
        <is>
          <t>ITG</t>
        </is>
      </c>
      <c r="B3873" s="30" t="inlineStr">
        <is>
          <t>Itaguai</t>
        </is>
      </c>
      <c r="C3873" s="30" t="n">
        <v>75733003</v>
      </c>
      <c r="D3873" s="30">
        <f>"02411941000143"</f>
        <v/>
      </c>
      <c r="E3873" s="30" t="inlineStr">
        <is>
          <t>FUNERARIA ULTIMA SAUDADE LTDA ME</t>
        </is>
      </c>
      <c r="F3873" s="30" t="inlineStr">
        <is>
          <t>2017</t>
        </is>
      </c>
      <c r="G3873" s="40" t="n">
        <v>0</v>
      </c>
    </row>
    <row r="3874" ht="12" customHeight="1">
      <c r="A3874" s="30" t="inlineStr">
        <is>
          <t>ITG</t>
        </is>
      </c>
      <c r="B3874" s="30" t="inlineStr">
        <is>
          <t>Itaguai</t>
        </is>
      </c>
      <c r="C3874" s="30" t="n">
        <v>75733003</v>
      </c>
      <c r="D3874" s="30">
        <f>"02411941000143"</f>
        <v/>
      </c>
      <c r="E3874" s="30" t="inlineStr">
        <is>
          <t>FUNERARIA ULTIMA SAUDADE LTDA ME</t>
        </is>
      </c>
      <c r="F3874" s="30" t="inlineStr">
        <is>
          <t>2018</t>
        </is>
      </c>
      <c r="G3874" s="40" t="n">
        <v>0</v>
      </c>
    </row>
    <row r="3875" ht="12" customHeight="1">
      <c r="A3875" s="30" t="inlineStr">
        <is>
          <t>ITG</t>
        </is>
      </c>
      <c r="B3875" s="30" t="inlineStr">
        <is>
          <t>Itaguai</t>
        </is>
      </c>
      <c r="C3875" s="30" t="n">
        <v>75733003</v>
      </c>
      <c r="D3875" s="30">
        <f>"02411941000143"</f>
        <v/>
      </c>
      <c r="E3875" s="30" t="inlineStr">
        <is>
          <t>FUNERARIA ULTIMA SAUDADE LTDA ME</t>
        </is>
      </c>
      <c r="F3875" s="30" t="inlineStr">
        <is>
          <t>2019</t>
        </is>
      </c>
      <c r="G3875" s="40" t="n">
        <v>0</v>
      </c>
    </row>
    <row r="3876" ht="12" customHeight="1">
      <c r="A3876" s="30" t="inlineStr">
        <is>
          <t>ITG</t>
        </is>
      </c>
      <c r="B3876" s="30" t="inlineStr">
        <is>
          <t>Itaguai</t>
        </is>
      </c>
      <c r="C3876" s="30" t="n">
        <v>75733003</v>
      </c>
      <c r="D3876" s="30">
        <f>"02411941000143"</f>
        <v/>
      </c>
      <c r="E3876" s="30" t="inlineStr">
        <is>
          <t>FUNERARIA ULTIMA SAUDADE LTDA ME</t>
        </is>
      </c>
      <c r="F3876" s="30" t="inlineStr">
        <is>
          <t>2020</t>
        </is>
      </c>
      <c r="G3876" s="40" t="n">
        <v>0</v>
      </c>
    </row>
    <row r="3877" ht="12" customHeight="1">
      <c r="A3877" s="30" t="inlineStr">
        <is>
          <t>ITG</t>
        </is>
      </c>
      <c r="B3877" s="30" t="inlineStr">
        <is>
          <t>Itaguai</t>
        </is>
      </c>
      <c r="C3877" s="30" t="n">
        <v>75733003</v>
      </c>
      <c r="D3877" s="30">
        <f>"02411941000143"</f>
        <v/>
      </c>
      <c r="E3877" s="30" t="inlineStr">
        <is>
          <t>FUNERARIA ULTIMA SAUDADE LTDA ME</t>
        </is>
      </c>
      <c r="F3877" s="30" t="inlineStr">
        <is>
          <t>2021</t>
        </is>
      </c>
      <c r="G3877" s="40" t="n">
        <v>0</v>
      </c>
    </row>
    <row r="3878" ht="12" customHeight="1">
      <c r="A3878" s="30" t="inlineStr">
        <is>
          <t>ITG</t>
        </is>
      </c>
      <c r="B3878" s="30" t="inlineStr">
        <is>
          <t>Itaguai</t>
        </is>
      </c>
      <c r="C3878" s="30" t="n">
        <v>75733569</v>
      </c>
      <c r="D3878" s="30">
        <f>"36124881000108"</f>
        <v/>
      </c>
      <c r="E3878" s="30" t="inlineStr">
        <is>
          <t>ITAGUAUTO AUTO CENTER E PECAS LTDA ME</t>
        </is>
      </c>
      <c r="F3878" s="30" t="inlineStr">
        <is>
          <t>2017</t>
        </is>
      </c>
      <c r="G3878" s="40" t="n">
        <v>0</v>
      </c>
    </row>
    <row r="3879" ht="12" customHeight="1">
      <c r="A3879" s="30" t="inlineStr">
        <is>
          <t>ITG</t>
        </is>
      </c>
      <c r="B3879" s="30" t="inlineStr">
        <is>
          <t>Itaguai</t>
        </is>
      </c>
      <c r="C3879" s="30" t="n">
        <v>75733569</v>
      </c>
      <c r="D3879" s="30">
        <f>"36124881000108"</f>
        <v/>
      </c>
      <c r="E3879" s="30" t="inlineStr">
        <is>
          <t>ITAGUAUTO AUTO CENTER E PECAS LTDA ME</t>
        </is>
      </c>
      <c r="F3879" s="30" t="inlineStr">
        <is>
          <t>2018</t>
        </is>
      </c>
      <c r="G3879" s="40" t="n">
        <v>0</v>
      </c>
    </row>
    <row r="3880" ht="12" customHeight="1">
      <c r="A3880" s="30" t="inlineStr">
        <is>
          <t>ITG</t>
        </is>
      </c>
      <c r="B3880" s="30" t="inlineStr">
        <is>
          <t>Itaguai</t>
        </is>
      </c>
      <c r="C3880" s="30" t="n">
        <v>75733569</v>
      </c>
      <c r="D3880" s="30">
        <f>"36124881000108"</f>
        <v/>
      </c>
      <c r="E3880" s="30" t="inlineStr">
        <is>
          <t>ITAGUAUTO AUTO CENTER E PECAS LTDA ME</t>
        </is>
      </c>
      <c r="F3880" s="30" t="inlineStr">
        <is>
          <t>2019</t>
        </is>
      </c>
      <c r="G3880" s="40" t="n">
        <v>0</v>
      </c>
    </row>
    <row r="3881" ht="12" customHeight="1">
      <c r="A3881" s="30" t="inlineStr">
        <is>
          <t>ITG</t>
        </is>
      </c>
      <c r="B3881" s="30" t="inlineStr">
        <is>
          <t>Itaguai</t>
        </is>
      </c>
      <c r="C3881" s="30" t="n">
        <v>75733844</v>
      </c>
      <c r="D3881" s="30">
        <f>"33438250012173"</f>
        <v/>
      </c>
      <c r="E3881" s="30" t="inlineStr">
        <is>
          <t>DROGARIAS PACHECO S/A</t>
        </is>
      </c>
      <c r="F3881" s="30" t="inlineStr">
        <is>
          <t>2017</t>
        </is>
      </c>
      <c r="G3881" s="40" t="n">
        <v>3046883.61</v>
      </c>
    </row>
    <row r="3882" ht="12" customHeight="1">
      <c r="A3882" s="30" t="inlineStr">
        <is>
          <t>ITG</t>
        </is>
      </c>
      <c r="B3882" s="30" t="inlineStr">
        <is>
          <t>Itaguai</t>
        </is>
      </c>
      <c r="C3882" s="30" t="n">
        <v>75733844</v>
      </c>
      <c r="D3882" s="30">
        <f>"33438250012173"</f>
        <v/>
      </c>
      <c r="E3882" s="30" t="inlineStr">
        <is>
          <t>DROGARIAS PACHECO S/A</t>
        </is>
      </c>
      <c r="F3882" s="30" t="inlineStr">
        <is>
          <t>2018</t>
        </is>
      </c>
      <c r="G3882" s="40" t="n">
        <v>2534715.92</v>
      </c>
    </row>
    <row r="3883" ht="12" customHeight="1">
      <c r="A3883" s="30" t="inlineStr">
        <is>
          <t>ITG</t>
        </is>
      </c>
      <c r="B3883" s="30" t="inlineStr">
        <is>
          <t>Itaguai</t>
        </is>
      </c>
      <c r="C3883" s="30" t="n">
        <v>75733844</v>
      </c>
      <c r="D3883" s="30">
        <f>"33438250012173"</f>
        <v/>
      </c>
      <c r="E3883" s="30" t="inlineStr">
        <is>
          <t>DROGARIAS PACHECO S/A</t>
        </is>
      </c>
      <c r="F3883" s="30" t="inlineStr">
        <is>
          <t>2019</t>
        </is>
      </c>
      <c r="G3883" s="40" t="n">
        <v>3075246.65</v>
      </c>
    </row>
    <row r="3884" ht="12" customHeight="1">
      <c r="A3884" s="30" t="inlineStr">
        <is>
          <t>ITG</t>
        </is>
      </c>
      <c r="B3884" s="30" t="inlineStr">
        <is>
          <t>Itaguai</t>
        </is>
      </c>
      <c r="C3884" s="30" t="n">
        <v>75733844</v>
      </c>
      <c r="D3884" s="30">
        <f>"33438250012173"</f>
        <v/>
      </c>
      <c r="E3884" s="30" t="inlineStr">
        <is>
          <t>DROGARIAS PACHECO S/A</t>
        </is>
      </c>
      <c r="F3884" s="30" t="inlineStr">
        <is>
          <t>2020</t>
        </is>
      </c>
      <c r="G3884" s="40" t="n">
        <v>3769318.32</v>
      </c>
    </row>
    <row r="3885" ht="12" customHeight="1">
      <c r="A3885" s="30" t="inlineStr">
        <is>
          <t>ITG</t>
        </is>
      </c>
      <c r="B3885" s="30" t="inlineStr">
        <is>
          <t>Itaguai</t>
        </is>
      </c>
      <c r="C3885" s="30" t="n">
        <v>75733844</v>
      </c>
      <c r="D3885" s="30">
        <f>"33438250012173"</f>
        <v/>
      </c>
      <c r="E3885" s="30" t="inlineStr">
        <is>
          <t>DROGARIAS PACHECO S/A</t>
        </is>
      </c>
      <c r="F3885" s="30" t="inlineStr">
        <is>
          <t>2021</t>
        </is>
      </c>
      <c r="G3885" s="40" t="n">
        <v>3241566.03</v>
      </c>
    </row>
    <row r="3886" ht="12" customHeight="1">
      <c r="A3886" s="30" t="inlineStr">
        <is>
          <t>ITG</t>
        </is>
      </c>
      <c r="B3886" s="30" t="inlineStr">
        <is>
          <t>Itaguai</t>
        </is>
      </c>
      <c r="C3886" s="30" t="n">
        <v>75733844</v>
      </c>
      <c r="D3886" s="30">
        <f>"33438250012173"</f>
        <v/>
      </c>
      <c r="E3886" s="30" t="inlineStr">
        <is>
          <t>DROGARIAS PACHECO S/A</t>
        </is>
      </c>
      <c r="F3886" s="30" t="inlineStr">
        <is>
          <t>2022</t>
        </is>
      </c>
      <c r="G3886" s="40" t="n">
        <v>3468884.23</v>
      </c>
    </row>
    <row r="3887" ht="12" customHeight="1">
      <c r="A3887" s="30" t="inlineStr">
        <is>
          <t>ITG</t>
        </is>
      </c>
      <c r="B3887" s="30" t="inlineStr">
        <is>
          <t>Itaguai</t>
        </is>
      </c>
      <c r="C3887" s="30" t="n">
        <v>75733844</v>
      </c>
      <c r="D3887" s="30">
        <f>"33438250012173"</f>
        <v/>
      </c>
      <c r="E3887" s="30" t="inlineStr">
        <is>
          <t>DROGARIAS PACHECO S/A</t>
        </is>
      </c>
      <c r="F3887" s="30" t="inlineStr">
        <is>
          <t>2023</t>
        </is>
      </c>
      <c r="G3887" s="40" t="n">
        <v>2357891.79</v>
      </c>
    </row>
    <row r="3888" ht="12" customHeight="1">
      <c r="A3888" s="30" t="inlineStr">
        <is>
          <t>ITG</t>
        </is>
      </c>
      <c r="B3888" s="30" t="inlineStr">
        <is>
          <t>Itaguai</t>
        </is>
      </c>
      <c r="C3888" s="30" t="n">
        <v>75733879</v>
      </c>
      <c r="D3888" s="30">
        <f>"72372998000409"</f>
        <v/>
      </c>
      <c r="E3888" s="30" t="inlineStr">
        <is>
          <t>COMPANHIA PORTUARIA BAIA DE SEPETIBA</t>
        </is>
      </c>
      <c r="F3888" s="30" t="inlineStr">
        <is>
          <t>2017</t>
        </is>
      </c>
      <c r="G3888" s="40" t="n">
        <v>0</v>
      </c>
    </row>
    <row r="3889" ht="12" customHeight="1">
      <c r="A3889" s="30" t="inlineStr">
        <is>
          <t>ITG</t>
        </is>
      </c>
      <c r="B3889" s="30" t="inlineStr">
        <is>
          <t>Itaguai</t>
        </is>
      </c>
      <c r="C3889" s="30" t="n">
        <v>75733879</v>
      </c>
      <c r="D3889" s="30">
        <f>"72372998000409"</f>
        <v/>
      </c>
      <c r="E3889" s="30" t="inlineStr">
        <is>
          <t>COMPANHIA PORTUARIA BAIA DE SEPETIBA</t>
        </is>
      </c>
      <c r="F3889" s="30" t="inlineStr">
        <is>
          <t>2018</t>
        </is>
      </c>
      <c r="G3889" s="40" t="n">
        <v>0</v>
      </c>
    </row>
    <row r="3890" ht="12" customHeight="1">
      <c r="A3890" s="30" t="inlineStr">
        <is>
          <t>ITG</t>
        </is>
      </c>
      <c r="B3890" s="30" t="inlineStr">
        <is>
          <t>Itaguai</t>
        </is>
      </c>
      <c r="C3890" s="30" t="n">
        <v>75733879</v>
      </c>
      <c r="D3890" s="30">
        <f>"72372998000409"</f>
        <v/>
      </c>
      <c r="E3890" s="30" t="inlineStr">
        <is>
          <t>COMPANHIA PORTUARIA BAIA DE SEPETIBA</t>
        </is>
      </c>
      <c r="F3890" s="30" t="inlineStr">
        <is>
          <t>2019</t>
        </is>
      </c>
      <c r="G3890" s="40" t="n">
        <v>0</v>
      </c>
    </row>
    <row r="3891" ht="12" customHeight="1">
      <c r="A3891" s="30" t="inlineStr">
        <is>
          <t>ITG</t>
        </is>
      </c>
      <c r="B3891" s="30" t="inlineStr">
        <is>
          <t>Itaguai</t>
        </is>
      </c>
      <c r="C3891" s="30" t="n">
        <v>75733933</v>
      </c>
      <c r="D3891" s="30">
        <f>"02751952000172"</f>
        <v/>
      </c>
      <c r="E3891" s="30" t="inlineStr">
        <is>
          <t>CAAPEBA RESTAURANTE EIRELI</t>
        </is>
      </c>
      <c r="F3891" s="30" t="inlineStr">
        <is>
          <t>2017</t>
        </is>
      </c>
      <c r="G3891" s="40" t="n">
        <v>306458.35</v>
      </c>
    </row>
    <row r="3892" ht="12" customHeight="1">
      <c r="A3892" s="30" t="inlineStr">
        <is>
          <t>ITG</t>
        </is>
      </c>
      <c r="B3892" s="30" t="inlineStr">
        <is>
          <t>Itaguai</t>
        </is>
      </c>
      <c r="C3892" s="30" t="n">
        <v>75733933</v>
      </c>
      <c r="D3892" s="30">
        <f>"02751952000172"</f>
        <v/>
      </c>
      <c r="E3892" s="30" t="inlineStr">
        <is>
          <t>CAAPEBA RESTAURANTE EIRELI</t>
        </is>
      </c>
      <c r="F3892" s="30" t="inlineStr">
        <is>
          <t>2018</t>
        </is>
      </c>
      <c r="G3892" s="40" t="n">
        <v>0</v>
      </c>
    </row>
    <row r="3893" ht="12" customHeight="1">
      <c r="A3893" s="30" t="inlineStr">
        <is>
          <t>ITG</t>
        </is>
      </c>
      <c r="B3893" s="30" t="inlineStr">
        <is>
          <t>Itaguai</t>
        </is>
      </c>
      <c r="C3893" s="30" t="n">
        <v>75733933</v>
      </c>
      <c r="D3893" s="30">
        <f>"02751952000172"</f>
        <v/>
      </c>
      <c r="E3893" s="30" t="inlineStr">
        <is>
          <t>CAAPEBA RESTAURANTE EIRELI</t>
        </is>
      </c>
      <c r="F3893" s="30" t="inlineStr">
        <is>
          <t>2019</t>
        </is>
      </c>
      <c r="G3893" s="40" t="n">
        <v>230724.19</v>
      </c>
    </row>
    <row r="3894" ht="12" customHeight="1">
      <c r="A3894" s="30" t="inlineStr">
        <is>
          <t>ITG</t>
        </is>
      </c>
      <c r="B3894" s="30" t="inlineStr">
        <is>
          <t>Itaguai</t>
        </is>
      </c>
      <c r="C3894" s="30" t="n">
        <v>75733933</v>
      </c>
      <c r="D3894" s="30">
        <f>"02751952000172"</f>
        <v/>
      </c>
      <c r="E3894" s="30" t="inlineStr">
        <is>
          <t>CAAPEBA RESTAURANTE EIRELI</t>
        </is>
      </c>
      <c r="F3894" s="30" t="inlineStr">
        <is>
          <t>2020</t>
        </is>
      </c>
      <c r="G3894" s="40" t="n">
        <v>0</v>
      </c>
    </row>
    <row r="3895" ht="12" customHeight="1">
      <c r="A3895" s="30" t="inlineStr">
        <is>
          <t>ITG</t>
        </is>
      </c>
      <c r="B3895" s="30" t="inlineStr">
        <is>
          <t>Itaguai</t>
        </is>
      </c>
      <c r="C3895" s="30" t="n">
        <v>75733933</v>
      </c>
      <c r="D3895" s="30">
        <f>"02751952000172"</f>
        <v/>
      </c>
      <c r="E3895" s="30" t="inlineStr">
        <is>
          <t>CAAPEBA RESTAURANTE EIRELI</t>
        </is>
      </c>
      <c r="F3895" s="30" t="inlineStr">
        <is>
          <t>2021</t>
        </is>
      </c>
      <c r="G3895" s="40" t="n">
        <v>0</v>
      </c>
    </row>
    <row r="3896" ht="12" customHeight="1">
      <c r="A3896" s="30" t="inlineStr">
        <is>
          <t>ITG</t>
        </is>
      </c>
      <c r="B3896" s="30" t="inlineStr">
        <is>
          <t>Itaguai</t>
        </is>
      </c>
      <c r="C3896" s="30" t="n">
        <v>75733933</v>
      </c>
      <c r="D3896" s="30">
        <f>"02751952000172"</f>
        <v/>
      </c>
      <c r="E3896" s="30" t="inlineStr">
        <is>
          <t>CAAPEBA RESTAURANTE EIRELI</t>
        </is>
      </c>
      <c r="F3896" s="30" t="inlineStr">
        <is>
          <t>2022</t>
        </is>
      </c>
      <c r="G3896" s="40" t="n">
        <v>0</v>
      </c>
    </row>
    <row r="3897" ht="12" customHeight="1">
      <c r="A3897" s="30" t="inlineStr">
        <is>
          <t>ITG</t>
        </is>
      </c>
      <c r="B3897" s="30" t="inlineStr">
        <is>
          <t>Itaguai</t>
        </is>
      </c>
      <c r="C3897" s="30" t="n">
        <v>75734565</v>
      </c>
      <c r="D3897" s="30">
        <f>"03017244000175"</f>
        <v/>
      </c>
      <c r="E3897" s="30" t="inlineStr">
        <is>
          <t>RIO MAR DE ITAGUAI COMERCIO DE PRODUTOS ALIMENTICIOS LTDA</t>
        </is>
      </c>
      <c r="F3897" s="30" t="inlineStr">
        <is>
          <t>2017</t>
        </is>
      </c>
      <c r="G3897" s="40" t="n">
        <v>3667990.68</v>
      </c>
    </row>
    <row r="3898" ht="12" customHeight="1">
      <c r="A3898" s="30" t="inlineStr">
        <is>
          <t>ITG</t>
        </is>
      </c>
      <c r="B3898" s="30" t="inlineStr">
        <is>
          <t>Itaguai</t>
        </is>
      </c>
      <c r="C3898" s="30" t="n">
        <v>75734565</v>
      </c>
      <c r="D3898" s="30">
        <f>"03017244000175"</f>
        <v/>
      </c>
      <c r="E3898" s="30" t="inlineStr">
        <is>
          <t>RIO MAR DE ITAGUAI COMERCIO DE PRODUTOS ALIMENTICIOS LTDA</t>
        </is>
      </c>
      <c r="F3898" s="30" t="inlineStr">
        <is>
          <t>2018</t>
        </is>
      </c>
      <c r="G3898" s="40" t="n">
        <v>3612747.62</v>
      </c>
    </row>
    <row r="3899" ht="12" customHeight="1">
      <c r="A3899" s="30" t="inlineStr">
        <is>
          <t>ITG</t>
        </is>
      </c>
      <c r="B3899" s="30" t="inlineStr">
        <is>
          <t>Itaguai</t>
        </is>
      </c>
      <c r="C3899" s="30" t="n">
        <v>75734565</v>
      </c>
      <c r="D3899" s="30">
        <f>"03017244000175"</f>
        <v/>
      </c>
      <c r="E3899" s="30" t="inlineStr">
        <is>
          <t>RIO MAR DE ITAGUAI COMERCIO DE PRODUTOS ALIMENTICIOS LTDA</t>
        </is>
      </c>
      <c r="F3899" s="30" t="inlineStr">
        <is>
          <t>2019</t>
        </is>
      </c>
      <c r="G3899" s="40" t="n">
        <v>2914565.29</v>
      </c>
    </row>
    <row r="3900" ht="12" customHeight="1">
      <c r="A3900" s="30" t="inlineStr">
        <is>
          <t>ITG</t>
        </is>
      </c>
      <c r="B3900" s="30" t="inlineStr">
        <is>
          <t>Itaguai</t>
        </is>
      </c>
      <c r="C3900" s="30" t="n">
        <v>75734565</v>
      </c>
      <c r="D3900" s="30">
        <f>"03017244000175"</f>
        <v/>
      </c>
      <c r="E3900" s="30" t="inlineStr">
        <is>
          <t>RIO MAR DE ITAGUAI COMERCIO DE PRODUTOS ALIMENTICIOS LTDA</t>
        </is>
      </c>
      <c r="F3900" s="30" t="inlineStr">
        <is>
          <t>2020</t>
        </is>
      </c>
      <c r="G3900" s="40" t="n">
        <v>2719041.54</v>
      </c>
    </row>
    <row r="3901" ht="12" customHeight="1">
      <c r="A3901" s="30" t="inlineStr">
        <is>
          <t>ITG</t>
        </is>
      </c>
      <c r="B3901" s="30" t="inlineStr">
        <is>
          <t>Itaguai</t>
        </is>
      </c>
      <c r="C3901" s="30" t="n">
        <v>75734565</v>
      </c>
      <c r="D3901" s="30">
        <f>"03017244000175"</f>
        <v/>
      </c>
      <c r="E3901" s="30" t="inlineStr">
        <is>
          <t>RIO MAR DE ITAGUAI COMERCIO DE PRODUTOS ALIMENTICIOS LTDA</t>
        </is>
      </c>
      <c r="F3901" s="30" t="inlineStr">
        <is>
          <t>2021</t>
        </is>
      </c>
      <c r="G3901" s="40" t="n">
        <v>1938712.85</v>
      </c>
    </row>
    <row r="3902" ht="12" customHeight="1">
      <c r="A3902" s="30" t="inlineStr">
        <is>
          <t>ITG</t>
        </is>
      </c>
      <c r="B3902" s="30" t="inlineStr">
        <is>
          <t>Itaguai</t>
        </is>
      </c>
      <c r="C3902" s="30" t="n">
        <v>75734565</v>
      </c>
      <c r="D3902" s="30">
        <f>"03017244000175"</f>
        <v/>
      </c>
      <c r="E3902" s="30" t="inlineStr">
        <is>
          <t>RIO MAR DE ITAGUAI COMERCIO DE PRODUTOS ALIMENTICIOS LTDA</t>
        </is>
      </c>
      <c r="F3902" s="30" t="inlineStr">
        <is>
          <t>2022</t>
        </is>
      </c>
      <c r="G3902" s="40" t="n">
        <v>0</v>
      </c>
    </row>
    <row r="3903" ht="12" customHeight="1">
      <c r="A3903" s="30" t="inlineStr">
        <is>
          <t>ITG</t>
        </is>
      </c>
      <c r="B3903" s="30" t="inlineStr">
        <is>
          <t>Itaguai</t>
        </is>
      </c>
      <c r="C3903" s="30" t="n">
        <v>75734565</v>
      </c>
      <c r="D3903" s="30">
        <f>"03017244000175"</f>
        <v/>
      </c>
      <c r="E3903" s="30" t="inlineStr">
        <is>
          <t>RIO MAR DE ITAGUAI COMERCIO DE PRODUTOS ALIMENTICIOS LTDA</t>
        </is>
      </c>
      <c r="F3903" s="30" t="inlineStr">
        <is>
          <t>2023</t>
        </is>
      </c>
      <c r="G3903" s="40" t="n">
        <v>0</v>
      </c>
    </row>
    <row r="3904" ht="12" customHeight="1">
      <c r="A3904" s="30" t="inlineStr">
        <is>
          <t>ITG</t>
        </is>
      </c>
      <c r="B3904" s="30" t="inlineStr">
        <is>
          <t>Itaguai</t>
        </is>
      </c>
      <c r="C3904" s="30" t="n">
        <v>75751516</v>
      </c>
      <c r="D3904" s="30">
        <f>"03106908000172"</f>
        <v/>
      </c>
      <c r="E3904" s="30" t="inlineStr">
        <is>
          <t>AUTO CENTER AUGENI LTDA ME</t>
        </is>
      </c>
      <c r="F3904" s="30" t="inlineStr">
        <is>
          <t>2020</t>
        </is>
      </c>
      <c r="G3904" s="40" t="n">
        <v>0</v>
      </c>
    </row>
    <row r="3905" ht="12" customHeight="1">
      <c r="A3905" s="30" t="inlineStr">
        <is>
          <t>ITG</t>
        </is>
      </c>
      <c r="B3905" s="30" t="inlineStr">
        <is>
          <t>Itaguai</t>
        </is>
      </c>
      <c r="C3905" s="30" t="n">
        <v>75751516</v>
      </c>
      <c r="D3905" s="30">
        <f>"03106908000172"</f>
        <v/>
      </c>
      <c r="E3905" s="30" t="inlineStr">
        <is>
          <t>AUTO CENTER AUGENI LTDA ME</t>
        </is>
      </c>
      <c r="F3905" s="30" t="inlineStr">
        <is>
          <t>2021</t>
        </is>
      </c>
      <c r="G3905" s="40" t="n">
        <v>0</v>
      </c>
    </row>
    <row r="3906" ht="12" customHeight="1">
      <c r="A3906" s="30" t="inlineStr">
        <is>
          <t>ITG</t>
        </is>
      </c>
      <c r="B3906" s="30" t="inlineStr">
        <is>
          <t>Itaguai</t>
        </is>
      </c>
      <c r="C3906" s="30" t="n">
        <v>75751516</v>
      </c>
      <c r="D3906" s="30">
        <f>"03106908000172"</f>
        <v/>
      </c>
      <c r="E3906" s="30" t="inlineStr">
        <is>
          <t>AUTO CENTER AUGENI LTDA ME</t>
        </is>
      </c>
      <c r="F3906" s="30" t="inlineStr">
        <is>
          <t>2022</t>
        </is>
      </c>
      <c r="G3906" s="40" t="n">
        <v>0</v>
      </c>
    </row>
    <row r="3907" ht="12" customHeight="1">
      <c r="A3907" s="30" t="inlineStr">
        <is>
          <t>ITG</t>
        </is>
      </c>
      <c r="B3907" s="30" t="inlineStr">
        <is>
          <t>Itaguai</t>
        </is>
      </c>
      <c r="C3907" s="30" t="n">
        <v>75751516</v>
      </c>
      <c r="D3907" s="30">
        <f>"03106908000172"</f>
        <v/>
      </c>
      <c r="E3907" s="30" t="inlineStr">
        <is>
          <t>AUTO CENTER AUGENI LTDA ME</t>
        </is>
      </c>
      <c r="F3907" s="30" t="inlineStr">
        <is>
          <t>2023</t>
        </is>
      </c>
      <c r="G3907" s="40" t="n">
        <v>0</v>
      </c>
    </row>
    <row r="3908" ht="12" customHeight="1">
      <c r="A3908" s="30" t="inlineStr">
        <is>
          <t>ITG</t>
        </is>
      </c>
      <c r="B3908" s="30" t="inlineStr">
        <is>
          <t>Itaguai</t>
        </is>
      </c>
      <c r="C3908" s="30" t="n">
        <v>75775938</v>
      </c>
      <c r="D3908" s="30">
        <f>"02979668000158"</f>
        <v/>
      </c>
      <c r="E3908" s="30" t="inlineStr">
        <is>
          <t>TRANSP QUEIROZ EIRELI EPP</t>
        </is>
      </c>
      <c r="F3908" s="30" t="inlineStr">
        <is>
          <t>2017</t>
        </is>
      </c>
      <c r="G3908" s="40" t="n">
        <v>759.51</v>
      </c>
    </row>
    <row r="3909" ht="12" customHeight="1">
      <c r="A3909" s="30" t="inlineStr">
        <is>
          <t>ITG</t>
        </is>
      </c>
      <c r="B3909" s="30" t="inlineStr">
        <is>
          <t>Itaguai</t>
        </is>
      </c>
      <c r="C3909" s="30" t="n">
        <v>75775938</v>
      </c>
      <c r="D3909" s="30">
        <f>"02979668000158"</f>
        <v/>
      </c>
      <c r="E3909" s="30" t="inlineStr">
        <is>
          <t>TRANSP QUEIROZ EIRELI EPP</t>
        </is>
      </c>
      <c r="F3909" s="30" t="inlineStr">
        <is>
          <t>2018</t>
        </is>
      </c>
      <c r="G3909" s="40" t="n">
        <v>0</v>
      </c>
    </row>
    <row r="3910" ht="12" customHeight="1">
      <c r="A3910" s="30" t="inlineStr">
        <is>
          <t>ITG</t>
        </is>
      </c>
      <c r="B3910" s="30" t="inlineStr">
        <is>
          <t>Itaguai</t>
        </is>
      </c>
      <c r="C3910" s="30" t="n">
        <v>75775938</v>
      </c>
      <c r="D3910" s="30">
        <f>"02979668000158"</f>
        <v/>
      </c>
      <c r="E3910" s="30" t="inlineStr">
        <is>
          <t>TRANSP QUEIROZ EIRELI EPP</t>
        </is>
      </c>
      <c r="F3910" s="30" t="inlineStr">
        <is>
          <t>2019</t>
        </is>
      </c>
      <c r="G3910" s="40" t="n">
        <v>0</v>
      </c>
    </row>
    <row r="3911" ht="12" customHeight="1">
      <c r="A3911" s="30" t="inlineStr">
        <is>
          <t>ITG</t>
        </is>
      </c>
      <c r="B3911" s="30" t="inlineStr">
        <is>
          <t>Itaguai</t>
        </is>
      </c>
      <c r="C3911" s="30" t="n">
        <v>75775938</v>
      </c>
      <c r="D3911" s="30">
        <f>"02979668000158"</f>
        <v/>
      </c>
      <c r="E3911" s="30" t="inlineStr">
        <is>
          <t>TRANSP QUEIROZ EIRELI EPP</t>
        </is>
      </c>
      <c r="F3911" s="30" t="inlineStr">
        <is>
          <t>2020</t>
        </is>
      </c>
      <c r="G3911" s="40" t="n">
        <v>8067.48</v>
      </c>
    </row>
    <row r="3912" ht="12" customHeight="1">
      <c r="A3912" s="30" t="inlineStr">
        <is>
          <t>ITG</t>
        </is>
      </c>
      <c r="B3912" s="30" t="inlineStr">
        <is>
          <t>Itaguai</t>
        </is>
      </c>
      <c r="C3912" s="30" t="n">
        <v>75775938</v>
      </c>
      <c r="D3912" s="30">
        <f>"02979668000158"</f>
        <v/>
      </c>
      <c r="E3912" s="30" t="inlineStr">
        <is>
          <t>TRANSP QUEIROZ EIRELI EPP</t>
        </is>
      </c>
      <c r="F3912" s="30" t="inlineStr">
        <is>
          <t>2021</t>
        </is>
      </c>
      <c r="G3912" s="40" t="n">
        <v>0</v>
      </c>
    </row>
    <row r="3913" ht="12" customHeight="1">
      <c r="A3913" s="30" t="inlineStr">
        <is>
          <t>ITG</t>
        </is>
      </c>
      <c r="B3913" s="30" t="inlineStr">
        <is>
          <t>Itaguai</t>
        </is>
      </c>
      <c r="C3913" s="30" t="n">
        <v>75775938</v>
      </c>
      <c r="D3913" s="30">
        <f>"02979668000158"</f>
        <v/>
      </c>
      <c r="E3913" s="30" t="inlineStr">
        <is>
          <t>TRANSP QUEIROZ EIRELI EPP</t>
        </is>
      </c>
      <c r="F3913" s="30" t="inlineStr">
        <is>
          <t>2022</t>
        </is>
      </c>
      <c r="G3913" s="40" t="n">
        <v>0</v>
      </c>
    </row>
    <row r="3914" ht="12" customHeight="1">
      <c r="A3914" s="30" t="inlineStr">
        <is>
          <t>ITG</t>
        </is>
      </c>
      <c r="B3914" s="30" t="inlineStr">
        <is>
          <t>Itaguai</t>
        </is>
      </c>
      <c r="C3914" s="30" t="n">
        <v>75794134</v>
      </c>
      <c r="D3914" s="30">
        <f>"43244631002455"</f>
        <v/>
      </c>
      <c r="E3914" s="30" t="inlineStr">
        <is>
          <t>TRANSPORTADORA AMERICANA LTDA</t>
        </is>
      </c>
      <c r="F3914" s="30" t="inlineStr">
        <is>
          <t>2017</t>
        </is>
      </c>
      <c r="G3914" s="40" t="n">
        <v>2682.56</v>
      </c>
    </row>
    <row r="3915" ht="12" customHeight="1">
      <c r="A3915" s="30" t="inlineStr">
        <is>
          <t>ITG</t>
        </is>
      </c>
      <c r="B3915" s="30" t="inlineStr">
        <is>
          <t>Itaguai</t>
        </is>
      </c>
      <c r="C3915" s="30" t="n">
        <v>75794134</v>
      </c>
      <c r="D3915" s="30">
        <f>"43244631002455"</f>
        <v/>
      </c>
      <c r="E3915" s="30" t="inlineStr">
        <is>
          <t>TRANSPORTADORA AMERICANA LTDA</t>
        </is>
      </c>
      <c r="F3915" s="30" t="inlineStr">
        <is>
          <t>2018</t>
        </is>
      </c>
      <c r="G3915" s="40" t="n">
        <v>2572.34</v>
      </c>
    </row>
    <row r="3916" ht="12" customHeight="1">
      <c r="A3916" s="30" t="inlineStr">
        <is>
          <t>ITG</t>
        </is>
      </c>
      <c r="B3916" s="30" t="inlineStr">
        <is>
          <t>Itaguai</t>
        </is>
      </c>
      <c r="C3916" s="30" t="n">
        <v>75794134</v>
      </c>
      <c r="D3916" s="30">
        <f>"43244631002455"</f>
        <v/>
      </c>
      <c r="E3916" s="30" t="inlineStr">
        <is>
          <t>TRANSPORTADORA AMERICANA LTDA</t>
        </is>
      </c>
      <c r="F3916" s="30" t="inlineStr">
        <is>
          <t>2019</t>
        </is>
      </c>
      <c r="G3916" s="40" t="n">
        <v>938.23</v>
      </c>
    </row>
    <row r="3917" ht="12" customHeight="1">
      <c r="A3917" s="30" t="inlineStr">
        <is>
          <t>ITG</t>
        </is>
      </c>
      <c r="B3917" s="30" t="inlineStr">
        <is>
          <t>Itaguai</t>
        </is>
      </c>
      <c r="C3917" s="30" t="n">
        <v>75794134</v>
      </c>
      <c r="D3917" s="30">
        <f>"43244631002455"</f>
        <v/>
      </c>
      <c r="E3917" s="30" t="inlineStr">
        <is>
          <t>TRANSPORTADORA AMERICANA LTDA</t>
        </is>
      </c>
      <c r="F3917" s="30" t="inlineStr">
        <is>
          <t>2020</t>
        </is>
      </c>
      <c r="G3917" s="40" t="n">
        <v>2686.47</v>
      </c>
    </row>
    <row r="3918" ht="12" customHeight="1">
      <c r="A3918" s="30" t="inlineStr">
        <is>
          <t>ITG</t>
        </is>
      </c>
      <c r="B3918" s="30" t="inlineStr">
        <is>
          <t>Itaguai</t>
        </is>
      </c>
      <c r="C3918" s="30" t="n">
        <v>75794134</v>
      </c>
      <c r="D3918" s="30">
        <f>"43244631002455"</f>
        <v/>
      </c>
      <c r="E3918" s="30" t="inlineStr">
        <is>
          <t>TRANSPORTADORA AMERICANA LTDA</t>
        </is>
      </c>
      <c r="F3918" s="30" t="inlineStr">
        <is>
          <t>2021</t>
        </is>
      </c>
      <c r="G3918" s="40" t="n">
        <v>2452.01</v>
      </c>
    </row>
    <row r="3919" ht="12" customHeight="1">
      <c r="A3919" s="30" t="inlineStr">
        <is>
          <t>ITG</t>
        </is>
      </c>
      <c r="B3919" s="30" t="inlineStr">
        <is>
          <t>Itaguai</t>
        </is>
      </c>
      <c r="C3919" s="30" t="n">
        <v>75794134</v>
      </c>
      <c r="D3919" s="30">
        <f>"43244631002455"</f>
        <v/>
      </c>
      <c r="E3919" s="30" t="inlineStr">
        <is>
          <t>TRANSPORTADORA AMERICANA LTDA</t>
        </is>
      </c>
      <c r="F3919" s="30" t="inlineStr">
        <is>
          <t>2022</t>
        </is>
      </c>
      <c r="G3919" s="40" t="n">
        <v>494.17</v>
      </c>
    </row>
    <row r="3920" ht="12" customHeight="1">
      <c r="A3920" s="30" t="inlineStr">
        <is>
          <t>ITG</t>
        </is>
      </c>
      <c r="B3920" s="30" t="inlineStr">
        <is>
          <t>Itaguai</t>
        </is>
      </c>
      <c r="C3920" s="30" t="n">
        <v>75794134</v>
      </c>
      <c r="D3920" s="30">
        <f>"43244631002455"</f>
        <v/>
      </c>
      <c r="E3920" s="30" t="inlineStr">
        <is>
          <t>TRANSPORTADORA AMERICANA LTDA</t>
        </is>
      </c>
      <c r="F3920" s="30" t="inlineStr">
        <is>
          <t>2023</t>
        </is>
      </c>
      <c r="G3920" s="40" t="n">
        <v>0</v>
      </c>
    </row>
    <row r="3921" ht="12" customHeight="1">
      <c r="A3921" s="30" t="inlineStr">
        <is>
          <t>ITG</t>
        </is>
      </c>
      <c r="B3921" s="30" t="inlineStr">
        <is>
          <t>Itaguai</t>
        </is>
      </c>
      <c r="C3921" s="30" t="n">
        <v>75795580</v>
      </c>
      <c r="D3921" s="30">
        <f>"02714518000112"</f>
        <v/>
      </c>
      <c r="E3921" s="30" t="inlineStr">
        <is>
          <t>A PRIMORDIAL LOGISTICA EM TRANSPORTES LTDA</t>
        </is>
      </c>
      <c r="F3921" s="30" t="inlineStr">
        <is>
          <t>2019</t>
        </is>
      </c>
      <c r="G3921" s="40" t="n">
        <v>0</v>
      </c>
    </row>
    <row r="3922" ht="12" customHeight="1">
      <c r="A3922" s="30" t="inlineStr">
        <is>
          <t>ITG</t>
        </is>
      </c>
      <c r="B3922" s="30" t="inlineStr">
        <is>
          <t>Itaguai</t>
        </is>
      </c>
      <c r="C3922" s="30" t="n">
        <v>75795580</v>
      </c>
      <c r="D3922" s="30">
        <f>"02714518000112"</f>
        <v/>
      </c>
      <c r="E3922" s="30" t="inlineStr">
        <is>
          <t>A PRIMORDIAL LOGISTICA EM TRANSPORTES LTDA</t>
        </is>
      </c>
      <c r="F3922" s="30" t="inlineStr">
        <is>
          <t>2020</t>
        </is>
      </c>
      <c r="G3922" s="40" t="n">
        <v>0</v>
      </c>
    </row>
    <row r="3923" ht="12" customHeight="1">
      <c r="A3923" s="30" t="inlineStr">
        <is>
          <t>ITG</t>
        </is>
      </c>
      <c r="B3923" s="30" t="inlineStr">
        <is>
          <t>Itaguai</t>
        </is>
      </c>
      <c r="C3923" s="30" t="n">
        <v>75795580</v>
      </c>
      <c r="D3923" s="30">
        <f>"02714518000112"</f>
        <v/>
      </c>
      <c r="E3923" s="30" t="inlineStr">
        <is>
          <t>A PRIMORDIAL LOGISTICA EM TRANSPORTES LTDA</t>
        </is>
      </c>
      <c r="F3923" s="30" t="inlineStr">
        <is>
          <t>2021</t>
        </is>
      </c>
      <c r="G3923" s="40" t="n">
        <v>11045.67</v>
      </c>
    </row>
    <row r="3924" ht="12" customHeight="1">
      <c r="A3924" s="30" t="inlineStr">
        <is>
          <t>ITG</t>
        </is>
      </c>
      <c r="B3924" s="30" t="inlineStr">
        <is>
          <t>Itaguai</t>
        </is>
      </c>
      <c r="C3924" s="30" t="n">
        <v>75795580</v>
      </c>
      <c r="D3924" s="30">
        <f>"02714518000112"</f>
        <v/>
      </c>
      <c r="E3924" s="30" t="inlineStr">
        <is>
          <t>A PRIMORDIAL LOGISTICA EM TRANSPORTES LTDA</t>
        </is>
      </c>
      <c r="F3924" s="30" t="inlineStr">
        <is>
          <t>2022</t>
        </is>
      </c>
      <c r="G3924" s="40" t="n">
        <v>1495.29</v>
      </c>
    </row>
    <row r="3925" ht="12" customHeight="1">
      <c r="A3925" s="30" t="inlineStr">
        <is>
          <t>ITG</t>
        </is>
      </c>
      <c r="B3925" s="30" t="inlineStr">
        <is>
          <t>Itaguai</t>
        </is>
      </c>
      <c r="C3925" s="30" t="n">
        <v>75795580</v>
      </c>
      <c r="D3925" s="30">
        <f>"02714518000112"</f>
        <v/>
      </c>
      <c r="E3925" s="30" t="inlineStr">
        <is>
          <t>A PRIMORDIAL LOGISTICA EM TRANSPORTES LTDA</t>
        </is>
      </c>
      <c r="F3925" s="30" t="inlineStr">
        <is>
          <t>2023</t>
        </is>
      </c>
      <c r="G3925" s="40" t="n">
        <v>0</v>
      </c>
    </row>
    <row r="3926" ht="12" customHeight="1">
      <c r="A3926" s="30" t="inlineStr">
        <is>
          <t>ITG</t>
        </is>
      </c>
      <c r="B3926" s="30" t="inlineStr">
        <is>
          <t>Itaguai</t>
        </is>
      </c>
      <c r="C3926" s="30" t="n">
        <v>75795629</v>
      </c>
      <c r="D3926" s="30">
        <f>"01114430000288"</f>
        <v/>
      </c>
      <c r="E3926" s="30" t="inlineStr">
        <is>
          <t>TRANSFUTURO TRANSPORTES LTDA</t>
        </is>
      </c>
      <c r="F3926" s="30" t="inlineStr">
        <is>
          <t>2017</t>
        </is>
      </c>
      <c r="G3926" s="40" t="n">
        <v>10600.26</v>
      </c>
    </row>
    <row r="3927" ht="12" customHeight="1">
      <c r="A3927" s="30" t="inlineStr">
        <is>
          <t>ITG</t>
        </is>
      </c>
      <c r="B3927" s="30" t="inlineStr">
        <is>
          <t>Itaguai</t>
        </is>
      </c>
      <c r="C3927" s="30" t="n">
        <v>75795629</v>
      </c>
      <c r="D3927" s="30">
        <f>"01114430000288"</f>
        <v/>
      </c>
      <c r="E3927" s="30" t="inlineStr">
        <is>
          <t>TRANSFUTURO TRANSPORTES LTDA</t>
        </is>
      </c>
      <c r="F3927" s="30" t="inlineStr">
        <is>
          <t>2018</t>
        </is>
      </c>
      <c r="G3927" s="40" t="n">
        <v>0</v>
      </c>
    </row>
    <row r="3928" ht="12" customHeight="1">
      <c r="A3928" s="30" t="inlineStr">
        <is>
          <t>ITG</t>
        </is>
      </c>
      <c r="B3928" s="30" t="inlineStr">
        <is>
          <t>Itaguai</t>
        </is>
      </c>
      <c r="C3928" s="30" t="n">
        <v>75795629</v>
      </c>
      <c r="D3928" s="30">
        <f>"01114430000288"</f>
        <v/>
      </c>
      <c r="E3928" s="30" t="inlineStr">
        <is>
          <t>TRANSFUTURO TRANSPORTES LTDA</t>
        </is>
      </c>
      <c r="F3928" s="30" t="inlineStr">
        <is>
          <t>2019</t>
        </is>
      </c>
      <c r="G3928" s="40" t="n">
        <v>1410</v>
      </c>
    </row>
    <row r="3929" ht="12" customHeight="1">
      <c r="A3929" s="30" t="inlineStr">
        <is>
          <t>ITG</t>
        </is>
      </c>
      <c r="B3929" s="30" t="inlineStr">
        <is>
          <t>Itaguai</t>
        </is>
      </c>
      <c r="C3929" s="30" t="n">
        <v>75795629</v>
      </c>
      <c r="D3929" s="30">
        <f>"01114430000288"</f>
        <v/>
      </c>
      <c r="E3929" s="30" t="inlineStr">
        <is>
          <t>TRANSFUTURO TRANSPORTES LTDA</t>
        </is>
      </c>
      <c r="F3929" s="30" t="inlineStr">
        <is>
          <t>2020</t>
        </is>
      </c>
      <c r="G3929" s="40" t="n">
        <v>30796.37</v>
      </c>
    </row>
    <row r="3930" ht="12" customHeight="1">
      <c r="A3930" s="30" t="inlineStr">
        <is>
          <t>ITG</t>
        </is>
      </c>
      <c r="B3930" s="30" t="inlineStr">
        <is>
          <t>Itaguai</t>
        </is>
      </c>
      <c r="C3930" s="30" t="n">
        <v>75795629</v>
      </c>
      <c r="D3930" s="30">
        <f>"01114430000288"</f>
        <v/>
      </c>
      <c r="E3930" s="30" t="inlineStr">
        <is>
          <t>TRANSFUTURO TRANSPORTES LTDA</t>
        </is>
      </c>
      <c r="F3930" s="30" t="inlineStr">
        <is>
          <t>2021</t>
        </is>
      </c>
      <c r="G3930" s="40" t="n">
        <v>12750</v>
      </c>
    </row>
    <row r="3931" ht="12" customHeight="1">
      <c r="A3931" s="30" t="inlineStr">
        <is>
          <t>ITG</t>
        </is>
      </c>
      <c r="B3931" s="30" t="inlineStr">
        <is>
          <t>Itaguai</t>
        </is>
      </c>
      <c r="C3931" s="30" t="n">
        <v>75795629</v>
      </c>
      <c r="D3931" s="30">
        <f>"01114430000288"</f>
        <v/>
      </c>
      <c r="E3931" s="30" t="inlineStr">
        <is>
          <t>TRANSFUTURO TRANSPORTES LTDA</t>
        </is>
      </c>
      <c r="F3931" s="30" t="inlineStr">
        <is>
          <t>2022</t>
        </is>
      </c>
      <c r="G3931" s="40" t="n">
        <v>0</v>
      </c>
    </row>
    <row r="3932" ht="12" customHeight="1">
      <c r="A3932" s="30" t="inlineStr">
        <is>
          <t>ITG</t>
        </is>
      </c>
      <c r="B3932" s="30" t="inlineStr">
        <is>
          <t>Itaguai</t>
        </is>
      </c>
      <c r="C3932" s="30" t="n">
        <v>75795629</v>
      </c>
      <c r="D3932" s="30">
        <f>"01114430000288"</f>
        <v/>
      </c>
      <c r="E3932" s="30" t="inlineStr">
        <is>
          <t>TRANSFUTURO TRANSPORTES LTDA</t>
        </is>
      </c>
      <c r="F3932" s="30" t="inlineStr">
        <is>
          <t>2023</t>
        </is>
      </c>
      <c r="G3932" s="40" t="n">
        <v>0</v>
      </c>
    </row>
    <row r="3933" ht="12" customHeight="1">
      <c r="A3933" s="30" t="inlineStr">
        <is>
          <t>ITG</t>
        </is>
      </c>
      <c r="B3933" s="30" t="inlineStr">
        <is>
          <t>Itaguai</t>
        </is>
      </c>
      <c r="C3933" s="30" t="n">
        <v>75819625</v>
      </c>
      <c r="D3933" s="30">
        <f>"03094658000106"</f>
        <v/>
      </c>
      <c r="E3933" s="30" t="inlineStr">
        <is>
          <t>GEFCO LOGISTICA DO BRASIL LTDA</t>
        </is>
      </c>
      <c r="F3933" s="30" t="inlineStr">
        <is>
          <t>2019</t>
        </is>
      </c>
      <c r="G3933" s="40" t="n">
        <v>0</v>
      </c>
    </row>
    <row r="3934" ht="12" customHeight="1">
      <c r="A3934" s="30" t="inlineStr">
        <is>
          <t>ITG</t>
        </is>
      </c>
      <c r="B3934" s="30" t="inlineStr">
        <is>
          <t>Itaguai</t>
        </is>
      </c>
      <c r="C3934" s="30" t="n">
        <v>75819625</v>
      </c>
      <c r="D3934" s="30">
        <f>"03094658000106"</f>
        <v/>
      </c>
      <c r="E3934" s="30" t="inlineStr">
        <is>
          <t>GEFCO LOGISTICA DO BRASIL LTDA</t>
        </is>
      </c>
      <c r="F3934" s="30" t="inlineStr">
        <is>
          <t>2020</t>
        </is>
      </c>
      <c r="G3934" s="40" t="n">
        <v>0</v>
      </c>
    </row>
    <row r="3935" ht="12" customHeight="1">
      <c r="A3935" s="30" t="inlineStr">
        <is>
          <t>ITG</t>
        </is>
      </c>
      <c r="B3935" s="30" t="inlineStr">
        <is>
          <t>Itaguai</t>
        </is>
      </c>
      <c r="C3935" s="30" t="n">
        <v>75819625</v>
      </c>
      <c r="D3935" s="30">
        <f>"03094658000106"</f>
        <v/>
      </c>
      <c r="E3935" s="30" t="inlineStr">
        <is>
          <t>GEFCO LOGISTICA DO BRASIL LTDA</t>
        </is>
      </c>
      <c r="F3935" s="30" t="inlineStr">
        <is>
          <t>2021</t>
        </is>
      </c>
      <c r="G3935" s="40" t="n">
        <v>41582.25</v>
      </c>
    </row>
    <row r="3936" ht="12" customHeight="1">
      <c r="A3936" s="30" t="inlineStr">
        <is>
          <t>ITG</t>
        </is>
      </c>
      <c r="B3936" s="30" t="inlineStr">
        <is>
          <t>Itaguai</t>
        </is>
      </c>
      <c r="C3936" s="30" t="n">
        <v>75819625</v>
      </c>
      <c r="D3936" s="30">
        <f>"03094658000106"</f>
        <v/>
      </c>
      <c r="E3936" s="30" t="inlineStr">
        <is>
          <t>GEFCO LOGISTICA DO BRASIL LTDA</t>
        </is>
      </c>
      <c r="F3936" s="30" t="inlineStr">
        <is>
          <t>2022</t>
        </is>
      </c>
      <c r="G3936" s="40" t="n">
        <v>0</v>
      </c>
    </row>
    <row r="3937" ht="12" customHeight="1">
      <c r="A3937" s="30" t="inlineStr">
        <is>
          <t>ITG</t>
        </is>
      </c>
      <c r="B3937" s="30" t="inlineStr">
        <is>
          <t>Itaguai</t>
        </is>
      </c>
      <c r="C3937" s="30" t="n">
        <v>75819625</v>
      </c>
      <c r="D3937" s="30">
        <f>"03094658000106"</f>
        <v/>
      </c>
      <c r="E3937" s="30" t="inlineStr">
        <is>
          <t>GEFCO LOGISTICA DO BRASIL LTDA</t>
        </is>
      </c>
      <c r="F3937" s="30" t="inlineStr">
        <is>
          <t>2023</t>
        </is>
      </c>
      <c r="G3937" s="40" t="n">
        <v>0</v>
      </c>
    </row>
    <row r="3938" ht="12" customHeight="1">
      <c r="A3938" s="30" t="inlineStr">
        <is>
          <t>ITG</t>
        </is>
      </c>
      <c r="B3938" s="30" t="inlineStr">
        <is>
          <t>Itaguai</t>
        </is>
      </c>
      <c r="C3938" s="30" t="n">
        <v>75823193</v>
      </c>
      <c r="D3938" s="30">
        <f>"03577561000146"</f>
        <v/>
      </c>
      <c r="E3938" s="30" t="inlineStr">
        <is>
          <t>GLOBAL COMERCIO DE SOLDAS, FERRAMENTAS E MAT DE SEGURANCA LTDA</t>
        </is>
      </c>
      <c r="F3938" s="30" t="inlineStr">
        <is>
          <t>2020</t>
        </is>
      </c>
      <c r="G3938" s="40" t="n">
        <v>0</v>
      </c>
    </row>
    <row r="3939" ht="12" customHeight="1">
      <c r="A3939" s="30" t="inlineStr">
        <is>
          <t>ITG</t>
        </is>
      </c>
      <c r="B3939" s="30" t="inlineStr">
        <is>
          <t>Itaguai</t>
        </is>
      </c>
      <c r="C3939" s="30" t="n">
        <v>75823193</v>
      </c>
      <c r="D3939" s="30">
        <f>"03577561000146"</f>
        <v/>
      </c>
      <c r="E3939" s="30" t="inlineStr">
        <is>
          <t>GLOBAL COMERCIO DE SOLDAS, FERRAMENTAS E MAT DE SEGURANCA LTDA</t>
        </is>
      </c>
      <c r="F3939" s="30" t="inlineStr">
        <is>
          <t>2021</t>
        </is>
      </c>
      <c r="G3939" s="40" t="n">
        <v>0</v>
      </c>
    </row>
    <row r="3940" ht="12" customHeight="1">
      <c r="A3940" s="30" t="inlineStr">
        <is>
          <t>ITG</t>
        </is>
      </c>
      <c r="B3940" s="30" t="inlineStr">
        <is>
          <t>Itaguai</t>
        </is>
      </c>
      <c r="C3940" s="30" t="n">
        <v>75823193</v>
      </c>
      <c r="D3940" s="30">
        <f>"03577561000146"</f>
        <v/>
      </c>
      <c r="E3940" s="30" t="inlineStr">
        <is>
          <t>GLOBAL COMERCIO DE SOLDAS, FERRAMENTAS E MAT DE SEGURANCA LTDA</t>
        </is>
      </c>
      <c r="F3940" s="30" t="inlineStr">
        <is>
          <t>2022</t>
        </is>
      </c>
      <c r="G3940" s="40" t="n">
        <v>591317.49</v>
      </c>
    </row>
    <row r="3941" ht="12" customHeight="1">
      <c r="A3941" s="30" t="inlineStr">
        <is>
          <t>ITG</t>
        </is>
      </c>
      <c r="B3941" s="30" t="inlineStr">
        <is>
          <t>Itaguai</t>
        </is>
      </c>
      <c r="C3941" s="30" t="n">
        <v>75823193</v>
      </c>
      <c r="D3941" s="30">
        <f>"03577561000146"</f>
        <v/>
      </c>
      <c r="E3941" s="30" t="inlineStr">
        <is>
          <t>GLOBAL COMERCIO DE SOLDAS, FERRAMENTAS E MAT DE SEGURANCA LTDA</t>
        </is>
      </c>
      <c r="F3941" s="30" t="inlineStr">
        <is>
          <t>2023</t>
        </is>
      </c>
      <c r="G3941" s="40" t="n">
        <v>481252.65</v>
      </c>
    </row>
    <row r="3942" ht="12" customHeight="1">
      <c r="A3942" s="30" t="inlineStr">
        <is>
          <t>ITG</t>
        </is>
      </c>
      <c r="B3942" s="30" t="inlineStr">
        <is>
          <t>Itaguai</t>
        </is>
      </c>
      <c r="C3942" s="30" t="n">
        <v>75823223</v>
      </c>
      <c r="D3942" s="30">
        <f>"03590204000118"</f>
        <v/>
      </c>
      <c r="E3942" s="30" t="inlineStr">
        <is>
          <t>ITA GAS DO BRASIL LTDA</t>
        </is>
      </c>
      <c r="F3942" s="30" t="inlineStr">
        <is>
          <t>2017</t>
        </is>
      </c>
      <c r="G3942" s="40" t="n">
        <v>3825338.08</v>
      </c>
    </row>
    <row r="3943" ht="12" customHeight="1">
      <c r="A3943" s="30" t="inlineStr">
        <is>
          <t>ITG</t>
        </is>
      </c>
      <c r="B3943" s="30" t="inlineStr">
        <is>
          <t>Itaguai</t>
        </is>
      </c>
      <c r="C3943" s="30" t="n">
        <v>75823223</v>
      </c>
      <c r="D3943" s="30">
        <f>"03590204000118"</f>
        <v/>
      </c>
      <c r="E3943" s="30" t="inlineStr">
        <is>
          <t>ITA GAS DO BRASIL LTDA</t>
        </is>
      </c>
      <c r="F3943" s="30" t="inlineStr">
        <is>
          <t>2018</t>
        </is>
      </c>
      <c r="G3943" s="40" t="n">
        <v>3919039.11</v>
      </c>
    </row>
    <row r="3944" ht="12" customHeight="1">
      <c r="A3944" s="30" t="inlineStr">
        <is>
          <t>ITG</t>
        </is>
      </c>
      <c r="B3944" s="30" t="inlineStr">
        <is>
          <t>Itaguai</t>
        </is>
      </c>
      <c r="C3944" s="30" t="n">
        <v>75823223</v>
      </c>
      <c r="D3944" s="30">
        <f>"03590204000118"</f>
        <v/>
      </c>
      <c r="E3944" s="30" t="inlineStr">
        <is>
          <t>ITA GAS DO BRASIL LTDA</t>
        </is>
      </c>
      <c r="F3944" s="30" t="inlineStr">
        <is>
          <t>2019</t>
        </is>
      </c>
      <c r="G3944" s="40" t="n">
        <v>3069491.26</v>
      </c>
    </row>
    <row r="3945" ht="12" customHeight="1">
      <c r="A3945" s="30" t="inlineStr">
        <is>
          <t>ITG</t>
        </is>
      </c>
      <c r="B3945" s="30" t="inlineStr">
        <is>
          <t>Itaguai</t>
        </is>
      </c>
      <c r="C3945" s="30" t="n">
        <v>75823223</v>
      </c>
      <c r="D3945" s="30">
        <f>"03590204000118"</f>
        <v/>
      </c>
      <c r="E3945" s="30" t="inlineStr">
        <is>
          <t>ITA GAS DO BRASIL LTDA</t>
        </is>
      </c>
      <c r="F3945" s="30" t="inlineStr">
        <is>
          <t>2020</t>
        </is>
      </c>
      <c r="G3945" s="40" t="n">
        <v>2405965.72</v>
      </c>
    </row>
    <row r="3946" ht="12" customHeight="1">
      <c r="A3946" s="30" t="inlineStr">
        <is>
          <t>ITG</t>
        </is>
      </c>
      <c r="B3946" s="30" t="inlineStr">
        <is>
          <t>Itaguai</t>
        </is>
      </c>
      <c r="C3946" s="30" t="n">
        <v>75823223</v>
      </c>
      <c r="D3946" s="30">
        <f>"03590204000118"</f>
        <v/>
      </c>
      <c r="E3946" s="30" t="inlineStr">
        <is>
          <t>ITA GAS DO BRASIL LTDA</t>
        </is>
      </c>
      <c r="F3946" s="30" t="inlineStr">
        <is>
          <t>2021</t>
        </is>
      </c>
      <c r="G3946" s="40" t="n">
        <v>2242739.04</v>
      </c>
    </row>
    <row r="3947" ht="12" customHeight="1">
      <c r="A3947" s="30" t="inlineStr">
        <is>
          <t>ITG</t>
        </is>
      </c>
      <c r="B3947" s="30" t="inlineStr">
        <is>
          <t>Itaguai</t>
        </is>
      </c>
      <c r="C3947" s="30" t="n">
        <v>75823223</v>
      </c>
      <c r="D3947" s="30">
        <f>"03590204000118"</f>
        <v/>
      </c>
      <c r="E3947" s="30" t="inlineStr">
        <is>
          <t>ITA GAS DO BRASIL LTDA</t>
        </is>
      </c>
      <c r="F3947" s="30" t="inlineStr">
        <is>
          <t>2022</t>
        </is>
      </c>
      <c r="G3947" s="40" t="n">
        <v>2543974.95</v>
      </c>
    </row>
    <row r="3948" ht="12" customHeight="1">
      <c r="A3948" s="30" t="inlineStr">
        <is>
          <t>ITG</t>
        </is>
      </c>
      <c r="B3948" s="30" t="inlineStr">
        <is>
          <t>Itaguai</t>
        </is>
      </c>
      <c r="C3948" s="30" t="n">
        <v>75823223</v>
      </c>
      <c r="D3948" s="30">
        <f>"03590204000118"</f>
        <v/>
      </c>
      <c r="E3948" s="30" t="inlineStr">
        <is>
          <t>ITA GAS DO BRASIL LTDA</t>
        </is>
      </c>
      <c r="F3948" s="30" t="inlineStr">
        <is>
          <t>2023</t>
        </is>
      </c>
      <c r="G3948" s="40" t="n">
        <v>2063948.53</v>
      </c>
    </row>
    <row r="3949" ht="12" customHeight="1">
      <c r="A3949" s="30" t="inlineStr">
        <is>
          <t>ITG</t>
        </is>
      </c>
      <c r="B3949" s="30" t="inlineStr">
        <is>
          <t>Itaguai</t>
        </is>
      </c>
      <c r="C3949" s="30" t="n">
        <v>75823339</v>
      </c>
      <c r="D3949" s="30">
        <f>"03642412000113"</f>
        <v/>
      </c>
      <c r="E3949" s="30" t="inlineStr">
        <is>
          <t>E R PEIXOTO GAIO BAZAR</t>
        </is>
      </c>
      <c r="F3949" s="30" t="inlineStr">
        <is>
          <t>2017</t>
        </is>
      </c>
      <c r="G3949" s="40" t="n">
        <v>0</v>
      </c>
    </row>
    <row r="3950" ht="12" customHeight="1">
      <c r="A3950" s="30" t="inlineStr">
        <is>
          <t>ITG</t>
        </is>
      </c>
      <c r="B3950" s="30" t="inlineStr">
        <is>
          <t>Itaguai</t>
        </is>
      </c>
      <c r="C3950" s="30" t="n">
        <v>75823339</v>
      </c>
      <c r="D3950" s="30">
        <f>"03642412000113"</f>
        <v/>
      </c>
      <c r="E3950" s="30" t="inlineStr">
        <is>
          <t>E R PEIXOTO GAIO BAZAR</t>
        </is>
      </c>
      <c r="F3950" s="30" t="inlineStr">
        <is>
          <t>2018</t>
        </is>
      </c>
      <c r="G3950" s="40" t="n">
        <v>0</v>
      </c>
    </row>
    <row r="3951" ht="12" customHeight="1">
      <c r="A3951" s="30" t="inlineStr">
        <is>
          <t>ITG</t>
        </is>
      </c>
      <c r="B3951" s="30" t="inlineStr">
        <is>
          <t>Itaguai</t>
        </is>
      </c>
      <c r="C3951" s="30" t="n">
        <v>75823339</v>
      </c>
      <c r="D3951" s="30">
        <f>"03642412000113"</f>
        <v/>
      </c>
      <c r="E3951" s="30" t="inlineStr">
        <is>
          <t>E R PEIXOTO GAIO BAZAR</t>
        </is>
      </c>
      <c r="F3951" s="30" t="inlineStr">
        <is>
          <t>2019</t>
        </is>
      </c>
      <c r="G3951" s="40" t="n">
        <v>0</v>
      </c>
    </row>
    <row r="3952" ht="12" customHeight="1">
      <c r="A3952" s="30" t="inlineStr">
        <is>
          <t>ITG</t>
        </is>
      </c>
      <c r="B3952" s="30" t="inlineStr">
        <is>
          <t>Itaguai</t>
        </is>
      </c>
      <c r="C3952" s="30" t="n">
        <v>75823339</v>
      </c>
      <c r="D3952" s="30">
        <f>"03642412000113"</f>
        <v/>
      </c>
      <c r="E3952" s="30" t="inlineStr">
        <is>
          <t>E R PEIXOTO GAIO BAZAR</t>
        </is>
      </c>
      <c r="F3952" s="30" t="inlineStr">
        <is>
          <t>2020</t>
        </is>
      </c>
      <c r="G3952" s="40" t="n">
        <v>0</v>
      </c>
    </row>
    <row r="3953" ht="12" customHeight="1">
      <c r="A3953" s="30" t="inlineStr">
        <is>
          <t>ITG</t>
        </is>
      </c>
      <c r="B3953" s="30" t="inlineStr">
        <is>
          <t>Itaguai</t>
        </is>
      </c>
      <c r="C3953" s="30" t="n">
        <v>75823339</v>
      </c>
      <c r="D3953" s="30">
        <f>"03642412000113"</f>
        <v/>
      </c>
      <c r="E3953" s="30" t="inlineStr">
        <is>
          <t>E R PEIXOTO GAIO BAZAR</t>
        </is>
      </c>
      <c r="F3953" s="30" t="inlineStr">
        <is>
          <t>2021</t>
        </is>
      </c>
      <c r="G3953" s="40" t="n">
        <v>0</v>
      </c>
    </row>
    <row r="3954" ht="12" customHeight="1">
      <c r="A3954" s="30" t="inlineStr">
        <is>
          <t>ITG</t>
        </is>
      </c>
      <c r="B3954" s="30" t="inlineStr">
        <is>
          <t>Itaguai</t>
        </is>
      </c>
      <c r="C3954" s="30" t="n">
        <v>75823339</v>
      </c>
      <c r="D3954" s="30">
        <f>"03642412000113"</f>
        <v/>
      </c>
      <c r="E3954" s="30" t="inlineStr">
        <is>
          <t>E R PEIXOTO GAIO BAZAR</t>
        </is>
      </c>
      <c r="F3954" s="30" t="inlineStr">
        <is>
          <t>2022</t>
        </is>
      </c>
      <c r="G3954" s="40" t="n">
        <v>0</v>
      </c>
    </row>
    <row r="3955" ht="12" customHeight="1">
      <c r="A3955" s="30" t="inlineStr">
        <is>
          <t>ITG</t>
        </is>
      </c>
      <c r="B3955" s="30" t="inlineStr">
        <is>
          <t>Itaguai</t>
        </is>
      </c>
      <c r="C3955" s="30" t="n">
        <v>75823339</v>
      </c>
      <c r="D3955" s="30">
        <f>"03642412000113"</f>
        <v/>
      </c>
      <c r="E3955" s="30" t="inlineStr">
        <is>
          <t>E R PEIXOTO GAIO BAZAR</t>
        </is>
      </c>
      <c r="F3955" s="30" t="inlineStr">
        <is>
          <t>2023</t>
        </is>
      </c>
      <c r="G3955" s="40" t="n">
        <v>0</v>
      </c>
    </row>
    <row r="3956" ht="12" customHeight="1">
      <c r="A3956" s="30" t="inlineStr">
        <is>
          <t>ITG</t>
        </is>
      </c>
      <c r="B3956" s="30" t="inlineStr">
        <is>
          <t>Itaguai</t>
        </is>
      </c>
      <c r="C3956" s="30" t="n">
        <v>75823622</v>
      </c>
      <c r="D3956" s="30">
        <f>"36453744000370"</f>
        <v/>
      </c>
      <c r="E3956" s="30" t="inlineStr">
        <is>
          <t>SUPERMERCADO BERG E BERG LTDA</t>
        </is>
      </c>
      <c r="F3956" s="30" t="inlineStr">
        <is>
          <t>2017</t>
        </is>
      </c>
      <c r="G3956" s="40" t="n">
        <v>13395596.76</v>
      </c>
    </row>
    <row r="3957" ht="12" customHeight="1">
      <c r="A3957" s="30" t="inlineStr">
        <is>
          <t>ITG</t>
        </is>
      </c>
      <c r="B3957" s="30" t="inlineStr">
        <is>
          <t>Itaguai</t>
        </is>
      </c>
      <c r="C3957" s="30" t="n">
        <v>75823622</v>
      </c>
      <c r="D3957" s="30">
        <f>"36453744000370"</f>
        <v/>
      </c>
      <c r="E3957" s="30" t="inlineStr">
        <is>
          <t>SUPERMERCADO BERG E BERG LTDA</t>
        </is>
      </c>
      <c r="F3957" s="30" t="inlineStr">
        <is>
          <t>2018</t>
        </is>
      </c>
      <c r="G3957" s="40" t="n">
        <v>9676857.77</v>
      </c>
    </row>
    <row r="3958" ht="12" customHeight="1">
      <c r="A3958" s="30" t="inlineStr">
        <is>
          <t>ITG</t>
        </is>
      </c>
      <c r="B3958" s="30" t="inlineStr">
        <is>
          <t>Itaguai</t>
        </is>
      </c>
      <c r="C3958" s="30" t="n">
        <v>75823622</v>
      </c>
      <c r="D3958" s="30">
        <f>"36453744000370"</f>
        <v/>
      </c>
      <c r="E3958" s="30" t="inlineStr">
        <is>
          <t>SUPERMERCADO BERG E BERG LTDA</t>
        </is>
      </c>
      <c r="F3958" s="30" t="inlineStr">
        <is>
          <t>2019</t>
        </is>
      </c>
      <c r="G3958" s="40" t="n">
        <v>8824315.4</v>
      </c>
    </row>
    <row r="3959" ht="12" customHeight="1">
      <c r="A3959" s="30" t="inlineStr">
        <is>
          <t>ITG</t>
        </is>
      </c>
      <c r="B3959" s="30" t="inlineStr">
        <is>
          <t>Itaguai</t>
        </is>
      </c>
      <c r="C3959" s="30" t="n">
        <v>75823622</v>
      </c>
      <c r="D3959" s="30">
        <f>"36453744000370"</f>
        <v/>
      </c>
      <c r="E3959" s="30" t="inlineStr">
        <is>
          <t>SUPERMERCADO BERG E BERG LTDA</t>
        </is>
      </c>
      <c r="F3959" s="30" t="inlineStr">
        <is>
          <t>2020</t>
        </is>
      </c>
      <c r="G3959" s="40" t="n">
        <v>7599924.03</v>
      </c>
    </row>
    <row r="3960" ht="12" customHeight="1">
      <c r="A3960" s="30" t="inlineStr">
        <is>
          <t>ITG</t>
        </is>
      </c>
      <c r="B3960" s="30" t="inlineStr">
        <is>
          <t>Itaguai</t>
        </is>
      </c>
      <c r="C3960" s="30" t="n">
        <v>75823622</v>
      </c>
      <c r="D3960" s="30">
        <f>"36453744000370"</f>
        <v/>
      </c>
      <c r="E3960" s="30" t="inlineStr">
        <is>
          <t>SUPERMERCADO BERG E BERG LTDA</t>
        </is>
      </c>
      <c r="F3960" s="30" t="inlineStr">
        <is>
          <t>2021</t>
        </is>
      </c>
      <c r="G3960" s="40" t="n">
        <v>9921880.550000001</v>
      </c>
    </row>
    <row r="3961" ht="12" customHeight="1">
      <c r="A3961" s="30" t="inlineStr">
        <is>
          <t>ITG</t>
        </is>
      </c>
      <c r="B3961" s="30" t="inlineStr">
        <is>
          <t>Itaguai</t>
        </is>
      </c>
      <c r="C3961" s="30" t="n">
        <v>75823622</v>
      </c>
      <c r="D3961" s="30">
        <f>"36453744000370"</f>
        <v/>
      </c>
      <c r="E3961" s="30" t="inlineStr">
        <is>
          <t>SUPERMERCADO BERG E BERG LTDA</t>
        </is>
      </c>
      <c r="F3961" s="30" t="inlineStr">
        <is>
          <t>2022</t>
        </is>
      </c>
      <c r="G3961" s="40" t="n">
        <v>0</v>
      </c>
    </row>
    <row r="3962" ht="12" customHeight="1">
      <c r="A3962" s="30" t="inlineStr">
        <is>
          <t>ITG</t>
        </is>
      </c>
      <c r="B3962" s="30" t="inlineStr">
        <is>
          <t>Itaguai</t>
        </is>
      </c>
      <c r="C3962" s="30" t="n">
        <v>75823622</v>
      </c>
      <c r="D3962" s="30">
        <f>"36453744000370"</f>
        <v/>
      </c>
      <c r="E3962" s="30" t="inlineStr">
        <is>
          <t>SUPERMERCADO BERG E BERG LTDA</t>
        </is>
      </c>
      <c r="F3962" s="30" t="inlineStr">
        <is>
          <t>2023</t>
        </is>
      </c>
      <c r="G3962" s="40" t="n">
        <v>0</v>
      </c>
    </row>
    <row r="3963" ht="12" customHeight="1">
      <c r="A3963" s="30" t="inlineStr">
        <is>
          <t>ITG</t>
        </is>
      </c>
      <c r="B3963" s="30" t="inlineStr">
        <is>
          <t>Itaguai</t>
        </is>
      </c>
      <c r="C3963" s="30" t="n">
        <v>75824041</v>
      </c>
      <c r="D3963" s="30">
        <f>"03960389000105"</f>
        <v/>
      </c>
      <c r="E3963" s="30" t="inlineStr">
        <is>
          <t>BOTICA ITAGUAI LTDA ME</t>
        </is>
      </c>
      <c r="F3963" s="30" t="inlineStr">
        <is>
          <t>2017</t>
        </is>
      </c>
      <c r="G3963" s="40" t="n">
        <v>1277549.39</v>
      </c>
    </row>
    <row r="3964" ht="12" customHeight="1">
      <c r="A3964" s="30" t="inlineStr">
        <is>
          <t>ITG</t>
        </is>
      </c>
      <c r="B3964" s="30" t="inlineStr">
        <is>
          <t>Itaguai</t>
        </is>
      </c>
      <c r="C3964" s="30" t="n">
        <v>75824041</v>
      </c>
      <c r="D3964" s="30">
        <f>"03960389000105"</f>
        <v/>
      </c>
      <c r="E3964" s="30" t="inlineStr">
        <is>
          <t>BOTICA ITAGUAI LTDA ME</t>
        </is>
      </c>
      <c r="F3964" s="30" t="inlineStr">
        <is>
          <t>2018</t>
        </is>
      </c>
      <c r="G3964" s="40" t="n">
        <v>770442.17</v>
      </c>
    </row>
    <row r="3965" ht="12" customHeight="1">
      <c r="A3965" s="30" t="inlineStr">
        <is>
          <t>ITG</t>
        </is>
      </c>
      <c r="B3965" s="30" t="inlineStr">
        <is>
          <t>Itaguai</t>
        </is>
      </c>
      <c r="C3965" s="30" t="n">
        <v>75824041</v>
      </c>
      <c r="D3965" s="30">
        <f>"03960389000105"</f>
        <v/>
      </c>
      <c r="E3965" s="30" t="inlineStr">
        <is>
          <t>BOTICA ITAGUAI LTDA ME</t>
        </is>
      </c>
      <c r="F3965" s="30" t="inlineStr">
        <is>
          <t>2019</t>
        </is>
      </c>
      <c r="G3965" s="40" t="n">
        <v>1088435.6</v>
      </c>
    </row>
    <row r="3966" ht="12" customHeight="1">
      <c r="A3966" s="30" t="inlineStr">
        <is>
          <t>ITG</t>
        </is>
      </c>
      <c r="B3966" s="30" t="inlineStr">
        <is>
          <t>Itaguai</t>
        </is>
      </c>
      <c r="C3966" s="30" t="n">
        <v>75824041</v>
      </c>
      <c r="D3966" s="30">
        <f>"03960389000105"</f>
        <v/>
      </c>
      <c r="E3966" s="30" t="inlineStr">
        <is>
          <t>BOTICA ITAGUAI LTDA ME</t>
        </is>
      </c>
      <c r="F3966" s="30" t="inlineStr">
        <is>
          <t>2020</t>
        </is>
      </c>
      <c r="G3966" s="40" t="n">
        <v>896850.0600000001</v>
      </c>
    </row>
    <row r="3967" ht="12" customHeight="1">
      <c r="A3967" s="30" t="inlineStr">
        <is>
          <t>ITG</t>
        </is>
      </c>
      <c r="B3967" s="30" t="inlineStr">
        <is>
          <t>Itaguai</t>
        </is>
      </c>
      <c r="C3967" s="30" t="n">
        <v>75824041</v>
      </c>
      <c r="D3967" s="30">
        <f>"03960389000105"</f>
        <v/>
      </c>
      <c r="E3967" s="30" t="inlineStr">
        <is>
          <t>BOTICA ITAGUAI LTDA ME</t>
        </is>
      </c>
      <c r="F3967" s="30" t="inlineStr">
        <is>
          <t>2021</t>
        </is>
      </c>
      <c r="G3967" s="40" t="n">
        <v>1063783.23</v>
      </c>
    </row>
    <row r="3968" ht="12" customHeight="1">
      <c r="A3968" s="30" t="inlineStr">
        <is>
          <t>ITG</t>
        </is>
      </c>
      <c r="B3968" s="30" t="inlineStr">
        <is>
          <t>Itaguai</t>
        </is>
      </c>
      <c r="C3968" s="30" t="n">
        <v>75824041</v>
      </c>
      <c r="D3968" s="30">
        <f>"03960389000105"</f>
        <v/>
      </c>
      <c r="E3968" s="30" t="inlineStr">
        <is>
          <t>BOTICA ITAGUAI LTDA ME</t>
        </is>
      </c>
      <c r="F3968" s="30" t="inlineStr">
        <is>
          <t>2022</t>
        </is>
      </c>
      <c r="G3968" s="40" t="n">
        <v>1346098.58</v>
      </c>
    </row>
    <row r="3969" ht="12" customHeight="1">
      <c r="A3969" s="30" t="inlineStr">
        <is>
          <t>ITG</t>
        </is>
      </c>
      <c r="B3969" s="30" t="inlineStr">
        <is>
          <t>Itaguai</t>
        </is>
      </c>
      <c r="C3969" s="30" t="n">
        <v>75824041</v>
      </c>
      <c r="D3969" s="30">
        <f>"03960389000105"</f>
        <v/>
      </c>
      <c r="E3969" s="30" t="inlineStr">
        <is>
          <t>BOTICA ITAGUAI LTDA ME</t>
        </is>
      </c>
      <c r="F3969" s="30" t="inlineStr">
        <is>
          <t>2023</t>
        </is>
      </c>
      <c r="G3969" s="40" t="n">
        <v>1809151.99</v>
      </c>
    </row>
    <row r="3970" ht="12" customHeight="1">
      <c r="A3970" s="30" t="inlineStr">
        <is>
          <t>ITG</t>
        </is>
      </c>
      <c r="B3970" s="30" t="inlineStr">
        <is>
          <t>Itaguai</t>
        </is>
      </c>
      <c r="C3970" s="30" t="n">
        <v>75824149</v>
      </c>
      <c r="D3970" s="30">
        <f>"03978226000150"</f>
        <v/>
      </c>
      <c r="E3970" s="30" t="inlineStr">
        <is>
          <t>JLPF TRANSPORTES E PRE MOLDADOS LTDA</t>
        </is>
      </c>
      <c r="F3970" s="30" t="inlineStr">
        <is>
          <t>2017</t>
        </is>
      </c>
      <c r="G3970" s="40" t="n">
        <v>0</v>
      </c>
    </row>
    <row r="3971" ht="12" customHeight="1">
      <c r="A3971" s="30" t="inlineStr">
        <is>
          <t>ITG</t>
        </is>
      </c>
      <c r="B3971" s="30" t="inlineStr">
        <is>
          <t>Itaguai</t>
        </is>
      </c>
      <c r="C3971" s="30" t="n">
        <v>75824149</v>
      </c>
      <c r="D3971" s="30">
        <f>"03978226000150"</f>
        <v/>
      </c>
      <c r="E3971" s="30" t="inlineStr">
        <is>
          <t>JLPF TRANSPORTES E PRE MOLDADOS LTDA</t>
        </is>
      </c>
      <c r="F3971" s="30" t="inlineStr">
        <is>
          <t>2018</t>
        </is>
      </c>
      <c r="G3971" s="40" t="n">
        <v>0</v>
      </c>
    </row>
    <row r="3972" ht="12" customHeight="1">
      <c r="A3972" s="30" t="inlineStr">
        <is>
          <t>ITG</t>
        </is>
      </c>
      <c r="B3972" s="30" t="inlineStr">
        <is>
          <t>Itaguai</t>
        </is>
      </c>
      <c r="C3972" s="30" t="n">
        <v>75824149</v>
      </c>
      <c r="D3972" s="30">
        <f>"03978226000150"</f>
        <v/>
      </c>
      <c r="E3972" s="30" t="inlineStr">
        <is>
          <t>JLPF TRANSPORTES E PRE MOLDADOS LTDA</t>
        </is>
      </c>
      <c r="F3972" s="30" t="inlineStr">
        <is>
          <t>2019</t>
        </is>
      </c>
      <c r="G3972" s="40" t="n">
        <v>0</v>
      </c>
    </row>
    <row r="3973" ht="12" customHeight="1">
      <c r="A3973" s="30" t="inlineStr">
        <is>
          <t>ITG</t>
        </is>
      </c>
      <c r="B3973" s="30" t="inlineStr">
        <is>
          <t>Itaguai</t>
        </is>
      </c>
      <c r="C3973" s="30" t="n">
        <v>75824149</v>
      </c>
      <c r="D3973" s="30">
        <f>"03978226000150"</f>
        <v/>
      </c>
      <c r="E3973" s="30" t="inlineStr">
        <is>
          <t>JLPF TRANSPORTES E PRE MOLDADOS LTDA</t>
        </is>
      </c>
      <c r="F3973" s="30" t="inlineStr">
        <is>
          <t>2020</t>
        </is>
      </c>
      <c r="G3973" s="40" t="n">
        <v>0</v>
      </c>
    </row>
    <row r="3974" ht="12" customHeight="1">
      <c r="A3974" s="30" t="inlineStr">
        <is>
          <t>ITG</t>
        </is>
      </c>
      <c r="B3974" s="30" t="inlineStr">
        <is>
          <t>Itaguai</t>
        </is>
      </c>
      <c r="C3974" s="30" t="n">
        <v>75824157</v>
      </c>
      <c r="D3974" s="30">
        <f>"04023382000120"</f>
        <v/>
      </c>
      <c r="E3974" s="30" t="inlineStr">
        <is>
          <t>J B LOGISTICA LTDA</t>
        </is>
      </c>
      <c r="F3974" s="30" t="inlineStr">
        <is>
          <t>2017</t>
        </is>
      </c>
      <c r="G3974" s="40" t="n">
        <v>0</v>
      </c>
    </row>
    <row r="3975" ht="12" customHeight="1">
      <c r="A3975" s="30" t="inlineStr">
        <is>
          <t>ITG</t>
        </is>
      </c>
      <c r="B3975" s="30" t="inlineStr">
        <is>
          <t>Itaguai</t>
        </is>
      </c>
      <c r="C3975" s="30" t="n">
        <v>75824157</v>
      </c>
      <c r="D3975" s="30">
        <f>"04023382000120"</f>
        <v/>
      </c>
      <c r="E3975" s="30" t="inlineStr">
        <is>
          <t>J B LOGISTICA LTDA</t>
        </is>
      </c>
      <c r="F3975" s="30" t="inlineStr">
        <is>
          <t>2018</t>
        </is>
      </c>
      <c r="G3975" s="40" t="n">
        <v>0</v>
      </c>
    </row>
    <row r="3976" ht="12" customHeight="1">
      <c r="A3976" s="30" t="inlineStr">
        <is>
          <t>ITG</t>
        </is>
      </c>
      <c r="B3976" s="30" t="inlineStr">
        <is>
          <t>Itaguai</t>
        </is>
      </c>
      <c r="C3976" s="30" t="n">
        <v>75824157</v>
      </c>
      <c r="D3976" s="30">
        <f>"04023382000120"</f>
        <v/>
      </c>
      <c r="E3976" s="30" t="inlineStr">
        <is>
          <t>J B LOGISTICA LTDA</t>
        </is>
      </c>
      <c r="F3976" s="30" t="inlineStr">
        <is>
          <t>2019</t>
        </is>
      </c>
      <c r="G3976" s="40" t="n">
        <v>0</v>
      </c>
    </row>
    <row r="3977" ht="12" customHeight="1">
      <c r="A3977" s="30" t="inlineStr">
        <is>
          <t>ITG</t>
        </is>
      </c>
      <c r="B3977" s="30" t="inlineStr">
        <is>
          <t>Itaguai</t>
        </is>
      </c>
      <c r="C3977" s="30" t="n">
        <v>75824157</v>
      </c>
      <c r="D3977" s="30">
        <f>"04023382000120"</f>
        <v/>
      </c>
      <c r="E3977" s="30" t="inlineStr">
        <is>
          <t>J B LOGISTICA LTDA</t>
        </is>
      </c>
      <c r="F3977" s="30" t="inlineStr">
        <is>
          <t>2020</t>
        </is>
      </c>
      <c r="G3977" s="40" t="n">
        <v>0</v>
      </c>
    </row>
    <row r="3978" ht="12" customHeight="1">
      <c r="A3978" s="30" t="inlineStr">
        <is>
          <t>ITG</t>
        </is>
      </c>
      <c r="B3978" s="30" t="inlineStr">
        <is>
          <t>Itaguai</t>
        </is>
      </c>
      <c r="C3978" s="30" t="n">
        <v>75824157</v>
      </c>
      <c r="D3978" s="30">
        <f>"04023382000120"</f>
        <v/>
      </c>
      <c r="E3978" s="30" t="inlineStr">
        <is>
          <t>J B LOGISTICA LTDA</t>
        </is>
      </c>
      <c r="F3978" s="30" t="inlineStr">
        <is>
          <t>2021</t>
        </is>
      </c>
      <c r="G3978" s="40" t="n">
        <v>0</v>
      </c>
    </row>
    <row r="3979" ht="12" customHeight="1">
      <c r="A3979" s="30" t="inlineStr">
        <is>
          <t>ITG</t>
        </is>
      </c>
      <c r="B3979" s="30" t="inlineStr">
        <is>
          <t>Itaguai</t>
        </is>
      </c>
      <c r="C3979" s="30" t="n">
        <v>75824157</v>
      </c>
      <c r="D3979" s="30">
        <f>"04023382000120"</f>
        <v/>
      </c>
      <c r="E3979" s="30" t="inlineStr">
        <is>
          <t>J B LOGISTICA LTDA</t>
        </is>
      </c>
      <c r="F3979" s="30" t="inlineStr">
        <is>
          <t>2022</t>
        </is>
      </c>
      <c r="G3979" s="40" t="n">
        <v>0</v>
      </c>
    </row>
    <row r="3980" ht="12" customHeight="1">
      <c r="A3980" s="30" t="inlineStr">
        <is>
          <t>ITG</t>
        </is>
      </c>
      <c r="B3980" s="30" t="inlineStr">
        <is>
          <t>Itaguai</t>
        </is>
      </c>
      <c r="C3980" s="30" t="n">
        <v>75824297</v>
      </c>
      <c r="D3980" s="30">
        <f>"04041907000150"</f>
        <v/>
      </c>
      <c r="E3980" s="30" t="inlineStr">
        <is>
          <t>DIMOCOSTAS E ABREU COMERCIO DE DERIVADOS DE PETROLEO LTDA</t>
        </is>
      </c>
      <c r="F3980" s="30" t="inlineStr">
        <is>
          <t>2017</t>
        </is>
      </c>
      <c r="G3980" s="40" t="n">
        <v>2572948.95</v>
      </c>
    </row>
    <row r="3981" ht="12" customHeight="1">
      <c r="A3981" s="30" t="inlineStr">
        <is>
          <t>ITG</t>
        </is>
      </c>
      <c r="B3981" s="30" t="inlineStr">
        <is>
          <t>Itaguai</t>
        </is>
      </c>
      <c r="C3981" s="30" t="n">
        <v>75824297</v>
      </c>
      <c r="D3981" s="30">
        <f>"04041907000150"</f>
        <v/>
      </c>
      <c r="E3981" s="30" t="inlineStr">
        <is>
          <t>DIMOCOSTAS E ABREU COMERCIO DE DERIVADOS DE PETROLEO LTDA</t>
        </is>
      </c>
      <c r="F3981" s="30" t="inlineStr">
        <is>
          <t>2018</t>
        </is>
      </c>
      <c r="G3981" s="40" t="n">
        <v>2078477.88</v>
      </c>
    </row>
    <row r="3982" ht="12" customHeight="1">
      <c r="A3982" s="30" t="inlineStr">
        <is>
          <t>ITG</t>
        </is>
      </c>
      <c r="B3982" s="30" t="inlineStr">
        <is>
          <t>Itaguai</t>
        </is>
      </c>
      <c r="C3982" s="30" t="n">
        <v>75824297</v>
      </c>
      <c r="D3982" s="30">
        <f>"04041907000150"</f>
        <v/>
      </c>
      <c r="E3982" s="30" t="inlineStr">
        <is>
          <t>DIMOCOSTAS E ABREU COMERCIO DE DERIVADOS DE PETROLEO LTDA</t>
        </is>
      </c>
      <c r="F3982" s="30" t="inlineStr">
        <is>
          <t>2019</t>
        </is>
      </c>
      <c r="G3982" s="40" t="n">
        <v>1922767.55</v>
      </c>
    </row>
    <row r="3983" ht="12" customHeight="1">
      <c r="A3983" s="30" t="inlineStr">
        <is>
          <t>ITG</t>
        </is>
      </c>
      <c r="B3983" s="30" t="inlineStr">
        <is>
          <t>Itaguai</t>
        </is>
      </c>
      <c r="C3983" s="30" t="n">
        <v>75824297</v>
      </c>
      <c r="D3983" s="30">
        <f>"04041907000150"</f>
        <v/>
      </c>
      <c r="E3983" s="30" t="inlineStr">
        <is>
          <t>DIMOCOSTAS E ABREU COMERCIO DE DERIVADOS DE PETROLEO LTDA</t>
        </is>
      </c>
      <c r="F3983" s="30" t="inlineStr">
        <is>
          <t>2020</t>
        </is>
      </c>
      <c r="G3983" s="40" t="n">
        <v>2464831.12</v>
      </c>
    </row>
    <row r="3984" ht="12" customHeight="1">
      <c r="A3984" s="30" t="inlineStr">
        <is>
          <t>ITG</t>
        </is>
      </c>
      <c r="B3984" s="30" t="inlineStr">
        <is>
          <t>Itaguai</t>
        </is>
      </c>
      <c r="C3984" s="30" t="n">
        <v>75824297</v>
      </c>
      <c r="D3984" s="30">
        <f>"04041907000150"</f>
        <v/>
      </c>
      <c r="E3984" s="30" t="inlineStr">
        <is>
          <t>DIMOCOSTAS E ABREU COMERCIO DE DERIVADOS DE PETROLEO LTDA</t>
        </is>
      </c>
      <c r="F3984" s="30" t="inlineStr">
        <is>
          <t>2021</t>
        </is>
      </c>
      <c r="G3984" s="40" t="n">
        <v>1546922.64</v>
      </c>
    </row>
    <row r="3985" ht="12" customHeight="1">
      <c r="A3985" s="30" t="inlineStr">
        <is>
          <t>ITG</t>
        </is>
      </c>
      <c r="B3985" s="30" t="inlineStr">
        <is>
          <t>Itaguai</t>
        </is>
      </c>
      <c r="C3985" s="30" t="n">
        <v>75824297</v>
      </c>
      <c r="D3985" s="30">
        <f>"04041907000150"</f>
        <v/>
      </c>
      <c r="E3985" s="30" t="inlineStr">
        <is>
          <t>DIMOCOSTAS E ABREU COMERCIO DE DERIVADOS DE PETROLEO LTDA</t>
        </is>
      </c>
      <c r="F3985" s="30" t="inlineStr">
        <is>
          <t>2022</t>
        </is>
      </c>
      <c r="G3985" s="40" t="n">
        <v>1614828.8</v>
      </c>
    </row>
    <row r="3986" ht="12" customHeight="1">
      <c r="A3986" s="30" t="inlineStr">
        <is>
          <t>ITG</t>
        </is>
      </c>
      <c r="B3986" s="30" t="inlineStr">
        <is>
          <t>Itaguai</t>
        </is>
      </c>
      <c r="C3986" s="30" t="n">
        <v>75824297</v>
      </c>
      <c r="D3986" s="30">
        <f>"04041907000150"</f>
        <v/>
      </c>
      <c r="E3986" s="30" t="inlineStr">
        <is>
          <t>DIMOCOSTAS E ABREU COMERCIO DE DERIVADOS DE PETROLEO LTDA</t>
        </is>
      </c>
      <c r="F3986" s="30" t="inlineStr">
        <is>
          <t>2023</t>
        </is>
      </c>
      <c r="G3986" s="40" t="n">
        <v>3059275.71</v>
      </c>
    </row>
    <row r="3987" ht="12" customHeight="1">
      <c r="A3987" s="30" t="inlineStr">
        <is>
          <t>ITG</t>
        </is>
      </c>
      <c r="B3987" s="30" t="inlineStr">
        <is>
          <t>Itaguai</t>
        </is>
      </c>
      <c r="C3987" s="30" t="n">
        <v>75824521</v>
      </c>
      <c r="D3987" s="30">
        <f>"04141294000122"</f>
        <v/>
      </c>
      <c r="E3987" s="30" t="inlineStr">
        <is>
          <t>SILVA E SOUZA SERVICOS FUNERARIOS LTDA ME</t>
        </is>
      </c>
      <c r="F3987" s="30" t="inlineStr">
        <is>
          <t>2017</t>
        </is>
      </c>
      <c r="G3987" s="40" t="n">
        <v>0</v>
      </c>
    </row>
    <row r="3988" ht="12" customHeight="1">
      <c r="A3988" s="30" t="inlineStr">
        <is>
          <t>ITG</t>
        </is>
      </c>
      <c r="B3988" s="30" t="inlineStr">
        <is>
          <t>Itaguai</t>
        </is>
      </c>
      <c r="C3988" s="30" t="n">
        <v>75824521</v>
      </c>
      <c r="D3988" s="30">
        <f>"04141294000122"</f>
        <v/>
      </c>
      <c r="E3988" s="30" t="inlineStr">
        <is>
          <t>SILVA E SOUZA SERVICOS FUNERARIOS LTDA ME</t>
        </is>
      </c>
      <c r="F3988" s="30" t="inlineStr">
        <is>
          <t>2018</t>
        </is>
      </c>
      <c r="G3988" s="40" t="n">
        <v>0</v>
      </c>
    </row>
    <row r="3989" ht="12" customHeight="1">
      <c r="A3989" s="30" t="inlineStr">
        <is>
          <t>ITG</t>
        </is>
      </c>
      <c r="B3989" s="30" t="inlineStr">
        <is>
          <t>Itaguai</t>
        </is>
      </c>
      <c r="C3989" s="30" t="n">
        <v>75824521</v>
      </c>
      <c r="D3989" s="30">
        <f>"04141294000122"</f>
        <v/>
      </c>
      <c r="E3989" s="30" t="inlineStr">
        <is>
          <t>SILVA E SOUZA SERVICOS FUNERARIOS LTDA ME</t>
        </is>
      </c>
      <c r="F3989" s="30" t="inlineStr">
        <is>
          <t>2019</t>
        </is>
      </c>
      <c r="G3989" s="40" t="n">
        <v>0</v>
      </c>
    </row>
    <row r="3990" ht="12" customHeight="1">
      <c r="A3990" s="30" t="inlineStr">
        <is>
          <t>ITG</t>
        </is>
      </c>
      <c r="B3990" s="30" t="inlineStr">
        <is>
          <t>Itaguai</t>
        </is>
      </c>
      <c r="C3990" s="30" t="n">
        <v>75824610</v>
      </c>
      <c r="D3990" s="30">
        <f>"04178625000107"</f>
        <v/>
      </c>
      <c r="E3990" s="30" t="inlineStr">
        <is>
          <t>TFT PREPARACAO E COMERCIO DE DERIVADOS DE CARNES E TRANSPORTES LTDA</t>
        </is>
      </c>
      <c r="F3990" s="30" t="inlineStr">
        <is>
          <t>2017</t>
        </is>
      </c>
      <c r="G3990" s="40" t="n">
        <v>8345740.58</v>
      </c>
    </row>
    <row r="3991" ht="12" customHeight="1">
      <c r="A3991" s="30" t="inlineStr">
        <is>
          <t>ITG</t>
        </is>
      </c>
      <c r="B3991" s="30" t="inlineStr">
        <is>
          <t>Itaguai</t>
        </is>
      </c>
      <c r="C3991" s="30" t="n">
        <v>75824610</v>
      </c>
      <c r="D3991" s="30">
        <f>"04178625000107"</f>
        <v/>
      </c>
      <c r="E3991" s="30" t="inlineStr">
        <is>
          <t>TFT PREPARACAO E COMERCIO DE DERIVADOS DE CARNES E TRANSPORTES LTDA</t>
        </is>
      </c>
      <c r="F3991" s="30" t="inlineStr">
        <is>
          <t>2018</t>
        </is>
      </c>
      <c r="G3991" s="40" t="n">
        <v>8145383.67</v>
      </c>
    </row>
    <row r="3992" ht="12" customHeight="1">
      <c r="A3992" s="30" t="inlineStr">
        <is>
          <t>ITG</t>
        </is>
      </c>
      <c r="B3992" s="30" t="inlineStr">
        <is>
          <t>Itaguai</t>
        </is>
      </c>
      <c r="C3992" s="30" t="n">
        <v>75824610</v>
      </c>
      <c r="D3992" s="30">
        <f>"04178625000107"</f>
        <v/>
      </c>
      <c r="E3992" s="30" t="inlineStr">
        <is>
          <t>TFT PREPARACAO E COMERCIO DE DERIVADOS DE CARNES E TRANSPORTES LTDA</t>
        </is>
      </c>
      <c r="F3992" s="30" t="inlineStr">
        <is>
          <t>2019</t>
        </is>
      </c>
      <c r="G3992" s="40" t="n">
        <v>11347257.96</v>
      </c>
    </row>
    <row r="3993" ht="12" customHeight="1">
      <c r="A3993" s="30" t="inlineStr">
        <is>
          <t>ITG</t>
        </is>
      </c>
      <c r="B3993" s="30" t="inlineStr">
        <is>
          <t>Itaguai</t>
        </is>
      </c>
      <c r="C3993" s="30" t="n">
        <v>75824610</v>
      </c>
      <c r="D3993" s="30">
        <f>"04178625000107"</f>
        <v/>
      </c>
      <c r="E3993" s="30" t="inlineStr">
        <is>
          <t>TFT PREPARACAO E COMERCIO DE DERIVADOS DE CARNES E TRANSPORTES LTDA</t>
        </is>
      </c>
      <c r="F3993" s="30" t="inlineStr">
        <is>
          <t>2020</t>
        </is>
      </c>
      <c r="G3993" s="40" t="n">
        <v>8650390.310000001</v>
      </c>
    </row>
    <row r="3994" ht="12" customHeight="1">
      <c r="A3994" s="30" t="inlineStr">
        <is>
          <t>ITG</t>
        </is>
      </c>
      <c r="B3994" s="30" t="inlineStr">
        <is>
          <t>Itaguai</t>
        </is>
      </c>
      <c r="C3994" s="30" t="n">
        <v>75824610</v>
      </c>
      <c r="D3994" s="30">
        <f>"04178625000107"</f>
        <v/>
      </c>
      <c r="E3994" s="30" t="inlineStr">
        <is>
          <t>TFT PREPARACAO E COMERCIO DE DERIVADOS DE CARNES E TRANSPORTES LTDA</t>
        </is>
      </c>
      <c r="F3994" s="30" t="inlineStr">
        <is>
          <t>2021</t>
        </is>
      </c>
      <c r="G3994" s="40" t="n">
        <v>14267520.79</v>
      </c>
    </row>
    <row r="3995" ht="12" customHeight="1">
      <c r="A3995" s="30" t="inlineStr">
        <is>
          <t>ITG</t>
        </is>
      </c>
      <c r="B3995" s="30" t="inlineStr">
        <is>
          <t>Itaguai</t>
        </is>
      </c>
      <c r="C3995" s="30" t="n">
        <v>75824610</v>
      </c>
      <c r="D3995" s="30">
        <f>"04178625000107"</f>
        <v/>
      </c>
      <c r="E3995" s="30" t="inlineStr">
        <is>
          <t>TFT PREPARACAO E COMERCIO DE DERIVADOS DE CARNES E TRANSPORTES LTDA</t>
        </is>
      </c>
      <c r="F3995" s="30" t="inlineStr">
        <is>
          <t>2022</t>
        </is>
      </c>
      <c r="G3995" s="40" t="n">
        <v>13817768.5</v>
      </c>
    </row>
    <row r="3996" ht="12" customHeight="1">
      <c r="A3996" s="30" t="inlineStr">
        <is>
          <t>ITG</t>
        </is>
      </c>
      <c r="B3996" s="30" t="inlineStr">
        <is>
          <t>Itaguai</t>
        </is>
      </c>
      <c r="C3996" s="30" t="n">
        <v>75824610</v>
      </c>
      <c r="D3996" s="30">
        <f>"04178625000107"</f>
        <v/>
      </c>
      <c r="E3996" s="30" t="inlineStr">
        <is>
          <t>TFT PREPARACAO E COMERCIO DE DERIVADOS DE CARNES E TRANSPORTES LTDA</t>
        </is>
      </c>
      <c r="F3996" s="30" t="inlineStr">
        <is>
          <t>2023</t>
        </is>
      </c>
      <c r="G3996" s="40" t="n">
        <v>3530613.26</v>
      </c>
    </row>
    <row r="3997" ht="12" customHeight="1">
      <c r="A3997" s="30" t="inlineStr">
        <is>
          <t>ITG</t>
        </is>
      </c>
      <c r="B3997" s="30" t="inlineStr">
        <is>
          <t>Itaguai</t>
        </is>
      </c>
      <c r="C3997" s="30" t="n">
        <v>75846223</v>
      </c>
      <c r="D3997" s="30">
        <f>"02653803000170"</f>
        <v/>
      </c>
      <c r="E3997" s="30" t="inlineStr">
        <is>
          <t>SM - RIO TRANSPORTE E LOGÍSTICA EIRELI</t>
        </is>
      </c>
      <c r="F3997" s="30" t="inlineStr">
        <is>
          <t>2017</t>
        </is>
      </c>
      <c r="G3997" s="40" t="n">
        <v>0</v>
      </c>
    </row>
    <row r="3998" ht="12" customHeight="1">
      <c r="A3998" s="30" t="inlineStr">
        <is>
          <t>ITG</t>
        </is>
      </c>
      <c r="B3998" s="30" t="inlineStr">
        <is>
          <t>Itaguai</t>
        </is>
      </c>
      <c r="C3998" s="30" t="n">
        <v>75846223</v>
      </c>
      <c r="D3998" s="30">
        <f>"02653803000170"</f>
        <v/>
      </c>
      <c r="E3998" s="30" t="inlineStr">
        <is>
          <t>SM - RIO TRANSPORTE E LOGÍSTICA EIRELI</t>
        </is>
      </c>
      <c r="F3998" s="30" t="inlineStr">
        <is>
          <t>2018</t>
        </is>
      </c>
      <c r="G3998" s="40" t="n">
        <v>1561.97</v>
      </c>
    </row>
    <row r="3999" ht="12" customHeight="1">
      <c r="A3999" s="30" t="inlineStr">
        <is>
          <t>ITG</t>
        </is>
      </c>
      <c r="B3999" s="30" t="inlineStr">
        <is>
          <t>Itaguai</t>
        </is>
      </c>
      <c r="C3999" s="30" t="n">
        <v>75846223</v>
      </c>
      <c r="D3999" s="30">
        <f>"02653803000170"</f>
        <v/>
      </c>
      <c r="E3999" s="30" t="inlineStr">
        <is>
          <t>SM - RIO TRANSPORTE E LOGÍSTICA EIRELI</t>
        </is>
      </c>
      <c r="F3999" s="30" t="inlineStr">
        <is>
          <t>2019</t>
        </is>
      </c>
      <c r="G3999" s="40" t="n">
        <v>0</v>
      </c>
    </row>
    <row r="4000" ht="12" customHeight="1">
      <c r="A4000" s="30" t="inlineStr">
        <is>
          <t>ITG</t>
        </is>
      </c>
      <c r="B4000" s="30" t="inlineStr">
        <is>
          <t>Itaguai</t>
        </is>
      </c>
      <c r="C4000" s="30" t="n">
        <v>75846223</v>
      </c>
      <c r="D4000" s="30">
        <f>"02653803000170"</f>
        <v/>
      </c>
      <c r="E4000" s="30" t="inlineStr">
        <is>
          <t>SM - RIO TRANSPORTE E LOGÍSTICA EIRELI</t>
        </is>
      </c>
      <c r="F4000" s="30" t="inlineStr">
        <is>
          <t>2020</t>
        </is>
      </c>
      <c r="G4000" s="40" t="n">
        <v>0</v>
      </c>
    </row>
    <row r="4001" ht="12" customHeight="1">
      <c r="A4001" s="30" t="inlineStr">
        <is>
          <t>ITG</t>
        </is>
      </c>
      <c r="B4001" s="30" t="inlineStr">
        <is>
          <t>Itaguai</t>
        </is>
      </c>
      <c r="C4001" s="30" t="n">
        <v>75849567</v>
      </c>
      <c r="D4001" s="30">
        <f>"19694199000476"</f>
        <v/>
      </c>
      <c r="E4001" s="30" t="inlineStr">
        <is>
          <t>TRANSREFER TRANSPORTE E LOGISTICA LTDA</t>
        </is>
      </c>
      <c r="F4001" s="30" t="inlineStr">
        <is>
          <t>2017</t>
        </is>
      </c>
      <c r="G4001" s="40" t="n">
        <v>564.8099999999999</v>
      </c>
    </row>
    <row r="4002" ht="12" customHeight="1">
      <c r="A4002" s="30" t="inlineStr">
        <is>
          <t>ITG</t>
        </is>
      </c>
      <c r="B4002" s="30" t="inlineStr">
        <is>
          <t>Itaguai</t>
        </is>
      </c>
      <c r="C4002" s="30" t="n">
        <v>75849567</v>
      </c>
      <c r="D4002" s="30">
        <f>"19694199000476"</f>
        <v/>
      </c>
      <c r="E4002" s="30" t="inlineStr">
        <is>
          <t>TRANSREFER TRANSPORTE E LOGISTICA LTDA</t>
        </is>
      </c>
      <c r="F4002" s="30" t="inlineStr">
        <is>
          <t>2018</t>
        </is>
      </c>
      <c r="G4002" s="40" t="n">
        <v>293.87</v>
      </c>
    </row>
    <row r="4003" ht="12" customHeight="1">
      <c r="A4003" s="30" t="inlineStr">
        <is>
          <t>ITG</t>
        </is>
      </c>
      <c r="B4003" s="30" t="inlineStr">
        <is>
          <t>Itaguai</t>
        </is>
      </c>
      <c r="C4003" s="30" t="n">
        <v>75849567</v>
      </c>
      <c r="D4003" s="30">
        <f>"19694199000476"</f>
        <v/>
      </c>
      <c r="E4003" s="30" t="inlineStr">
        <is>
          <t>TRANSREFER TRANSPORTE E LOGISTICA LTDA</t>
        </is>
      </c>
      <c r="F4003" s="30" t="inlineStr">
        <is>
          <t>2019</t>
        </is>
      </c>
      <c r="G4003" s="40" t="n">
        <v>1019.3</v>
      </c>
    </row>
    <row r="4004" ht="12" customHeight="1">
      <c r="A4004" s="30" t="inlineStr">
        <is>
          <t>ITG</t>
        </is>
      </c>
      <c r="B4004" s="30" t="inlineStr">
        <is>
          <t>Itaguai</t>
        </is>
      </c>
      <c r="C4004" s="30" t="n">
        <v>75849567</v>
      </c>
      <c r="D4004" s="30">
        <f>"19694199000476"</f>
        <v/>
      </c>
      <c r="E4004" s="30" t="inlineStr">
        <is>
          <t>TRANSREFER TRANSPORTE E LOGISTICA LTDA</t>
        </is>
      </c>
      <c r="F4004" s="30" t="inlineStr">
        <is>
          <t>2020</t>
        </is>
      </c>
      <c r="G4004" s="40" t="n">
        <v>753.9299999999999</v>
      </c>
    </row>
    <row r="4005" ht="12" customHeight="1">
      <c r="A4005" s="30" t="inlineStr">
        <is>
          <t>ITG</t>
        </is>
      </c>
      <c r="B4005" s="30" t="inlineStr">
        <is>
          <t>Itaguai</t>
        </is>
      </c>
      <c r="C4005" s="30" t="n">
        <v>75849567</v>
      </c>
      <c r="D4005" s="30">
        <f>"19694199000476"</f>
        <v/>
      </c>
      <c r="E4005" s="30" t="inlineStr">
        <is>
          <t>TRANSREFER TRANSPORTE E LOGISTICA LTDA</t>
        </is>
      </c>
      <c r="F4005" s="30" t="inlineStr">
        <is>
          <t>2021</t>
        </is>
      </c>
      <c r="G4005" s="40" t="n">
        <v>299.15</v>
      </c>
    </row>
    <row r="4006" ht="12" customHeight="1">
      <c r="A4006" s="30" t="inlineStr">
        <is>
          <t>ITG</t>
        </is>
      </c>
      <c r="B4006" s="30" t="inlineStr">
        <is>
          <t>Itaguai</t>
        </is>
      </c>
      <c r="C4006" s="30" t="n">
        <v>75849567</v>
      </c>
      <c r="D4006" s="30">
        <f>"19694199000476"</f>
        <v/>
      </c>
      <c r="E4006" s="30" t="inlineStr">
        <is>
          <t>TRANSREFER TRANSPORTE E LOGISTICA LTDA</t>
        </is>
      </c>
      <c r="F4006" s="30" t="inlineStr">
        <is>
          <t>2022</t>
        </is>
      </c>
      <c r="G4006" s="40" t="n">
        <v>0</v>
      </c>
    </row>
    <row r="4007" ht="12" customHeight="1">
      <c r="A4007" s="30" t="inlineStr">
        <is>
          <t>ITG</t>
        </is>
      </c>
      <c r="B4007" s="30" t="inlineStr">
        <is>
          <t>Itaguai</t>
        </is>
      </c>
      <c r="C4007" s="30" t="n">
        <v>75849567</v>
      </c>
      <c r="D4007" s="30">
        <f>"19694199000476"</f>
        <v/>
      </c>
      <c r="E4007" s="30" t="inlineStr">
        <is>
          <t>TRANSREFER TRANSPORTE E LOGISTICA LTDA</t>
        </is>
      </c>
      <c r="F4007" s="30" t="inlineStr">
        <is>
          <t>2023</t>
        </is>
      </c>
      <c r="G4007" s="40" t="n">
        <v>108.94</v>
      </c>
    </row>
    <row r="4008" ht="12" customHeight="1">
      <c r="A4008" s="30" t="inlineStr">
        <is>
          <t>ITG</t>
        </is>
      </c>
      <c r="B4008" s="30" t="inlineStr">
        <is>
          <t>Itaguai</t>
        </is>
      </c>
      <c r="C4008" s="30" t="n">
        <v>75865694</v>
      </c>
      <c r="D4008" s="30">
        <f>"02849294000156"</f>
        <v/>
      </c>
      <c r="E4008" s="30" t="inlineStr">
        <is>
          <t>VIDA SAUDAVEL DISTRIBUIDORA DE AGUA MINERAL LTDA</t>
        </is>
      </c>
      <c r="F4008" s="30" t="inlineStr">
        <is>
          <t>2017</t>
        </is>
      </c>
      <c r="G4008" s="40" t="n">
        <v>0</v>
      </c>
    </row>
    <row r="4009" ht="12" customHeight="1">
      <c r="A4009" s="30" t="inlineStr">
        <is>
          <t>ITG</t>
        </is>
      </c>
      <c r="B4009" s="30" t="inlineStr">
        <is>
          <t>Itaguai</t>
        </is>
      </c>
      <c r="C4009" s="30" t="n">
        <v>75865694</v>
      </c>
      <c r="D4009" s="30">
        <f>"02849294000156"</f>
        <v/>
      </c>
      <c r="E4009" s="30" t="inlineStr">
        <is>
          <t>VIDA SAUDAVEL DISTRIBUIDORA DE AGUA MINERAL LTDA</t>
        </is>
      </c>
      <c r="F4009" s="30" t="inlineStr">
        <is>
          <t>2018</t>
        </is>
      </c>
      <c r="G4009" s="40" t="n">
        <v>0</v>
      </c>
    </row>
    <row r="4010" ht="12" customHeight="1">
      <c r="A4010" s="30" t="inlineStr">
        <is>
          <t>ITG</t>
        </is>
      </c>
      <c r="B4010" s="30" t="inlineStr">
        <is>
          <t>Itaguai</t>
        </is>
      </c>
      <c r="C4010" s="30" t="n">
        <v>75865694</v>
      </c>
      <c r="D4010" s="30">
        <f>"02849294000156"</f>
        <v/>
      </c>
      <c r="E4010" s="30" t="inlineStr">
        <is>
          <t>VIDA SAUDAVEL DISTRIBUIDORA DE AGUA MINERAL LTDA</t>
        </is>
      </c>
      <c r="F4010" s="30" t="inlineStr">
        <is>
          <t>2019</t>
        </is>
      </c>
      <c r="G4010" s="40" t="n">
        <v>6754.93</v>
      </c>
    </row>
    <row r="4011" ht="12" customHeight="1">
      <c r="A4011" s="30" t="inlineStr">
        <is>
          <t>ITG</t>
        </is>
      </c>
      <c r="B4011" s="30" t="inlineStr">
        <is>
          <t>Itaguai</t>
        </is>
      </c>
      <c r="C4011" s="30" t="n">
        <v>75865694</v>
      </c>
      <c r="D4011" s="30">
        <f>"02849294000156"</f>
        <v/>
      </c>
      <c r="E4011" s="30" t="inlineStr">
        <is>
          <t>VIDA SAUDAVEL DISTRIBUIDORA DE AGUA MINERAL LTDA</t>
        </is>
      </c>
      <c r="F4011" s="30" t="inlineStr">
        <is>
          <t>2020</t>
        </is>
      </c>
      <c r="G4011" s="40" t="n">
        <v>0</v>
      </c>
    </row>
    <row r="4012" ht="12" customHeight="1">
      <c r="A4012" s="30" t="inlineStr">
        <is>
          <t>ITG</t>
        </is>
      </c>
      <c r="B4012" s="30" t="inlineStr">
        <is>
          <t>Itaguai</t>
        </is>
      </c>
      <c r="C4012" s="30" t="n">
        <v>75865694</v>
      </c>
      <c r="D4012" s="30">
        <f>"02849294000156"</f>
        <v/>
      </c>
      <c r="E4012" s="30" t="inlineStr">
        <is>
          <t>VIDA SAUDAVEL DISTRIBUIDORA DE AGUA MINERAL LTDA</t>
        </is>
      </c>
      <c r="F4012" s="30" t="inlineStr">
        <is>
          <t>2021</t>
        </is>
      </c>
      <c r="G4012" s="40" t="n">
        <v>0</v>
      </c>
    </row>
    <row r="4013" ht="12" customHeight="1">
      <c r="A4013" s="30" t="inlineStr">
        <is>
          <t>ITG</t>
        </is>
      </c>
      <c r="B4013" s="30" t="inlineStr">
        <is>
          <t>Itaguai</t>
        </is>
      </c>
      <c r="C4013" s="30" t="n">
        <v>75968779</v>
      </c>
      <c r="D4013" s="30">
        <f>"88317847001460"</f>
        <v/>
      </c>
      <c r="E4013" s="30" t="inlineStr">
        <is>
          <t>RAPIDO TRANSPAULO LTDA</t>
        </is>
      </c>
      <c r="F4013" s="30" t="inlineStr">
        <is>
          <t>2017</t>
        </is>
      </c>
      <c r="G4013" s="40" t="n">
        <v>1651.7</v>
      </c>
    </row>
    <row r="4014" ht="12" customHeight="1">
      <c r="A4014" s="30" t="inlineStr">
        <is>
          <t>ITG</t>
        </is>
      </c>
      <c r="B4014" s="30" t="inlineStr">
        <is>
          <t>Itaguai</t>
        </is>
      </c>
      <c r="C4014" s="30" t="n">
        <v>75968779</v>
      </c>
      <c r="D4014" s="30">
        <f>"88317847001460"</f>
        <v/>
      </c>
      <c r="E4014" s="30" t="inlineStr">
        <is>
          <t>RAPIDO TRANSPAULO LTDA</t>
        </is>
      </c>
      <c r="F4014" s="30" t="inlineStr">
        <is>
          <t>2018</t>
        </is>
      </c>
      <c r="G4014" s="40" t="n">
        <v>0</v>
      </c>
    </row>
    <row r="4015" ht="12" customHeight="1">
      <c r="A4015" s="30" t="inlineStr">
        <is>
          <t>ITG</t>
        </is>
      </c>
      <c r="B4015" s="30" t="inlineStr">
        <is>
          <t>Itaguai</t>
        </is>
      </c>
      <c r="C4015" s="30" t="n">
        <v>75968779</v>
      </c>
      <c r="D4015" s="30">
        <f>"88317847001460"</f>
        <v/>
      </c>
      <c r="E4015" s="30" t="inlineStr">
        <is>
          <t>RAPIDO TRANSPAULO LTDA</t>
        </is>
      </c>
      <c r="F4015" s="30" t="inlineStr">
        <is>
          <t>2019</t>
        </is>
      </c>
      <c r="G4015" s="40" t="n">
        <v>0</v>
      </c>
    </row>
    <row r="4016" ht="12" customHeight="1">
      <c r="A4016" s="30" t="inlineStr">
        <is>
          <t>ITG</t>
        </is>
      </c>
      <c r="B4016" s="30" t="inlineStr">
        <is>
          <t>Itaguai</t>
        </is>
      </c>
      <c r="C4016" s="30" t="n">
        <v>76026831</v>
      </c>
      <c r="D4016" s="30">
        <f>"60664828007340"</f>
        <v/>
      </c>
      <c r="E4016" s="30" t="inlineStr">
        <is>
          <t>EMPRESA DE TRANSPORTES ATLAS LTDA</t>
        </is>
      </c>
      <c r="F4016" s="30" t="inlineStr">
        <is>
          <t>2017</t>
        </is>
      </c>
      <c r="G4016" s="40" t="n">
        <v>1147.95</v>
      </c>
    </row>
    <row r="4017" ht="12" customHeight="1">
      <c r="A4017" s="30" t="inlineStr">
        <is>
          <t>ITG</t>
        </is>
      </c>
      <c r="B4017" s="30" t="inlineStr">
        <is>
          <t>Itaguai</t>
        </is>
      </c>
      <c r="C4017" s="30" t="n">
        <v>76026831</v>
      </c>
      <c r="D4017" s="30">
        <f>"60664828007340"</f>
        <v/>
      </c>
      <c r="E4017" s="30" t="inlineStr">
        <is>
          <t>EMPRESA DE TRANSPORTES ATLAS LTDA</t>
        </is>
      </c>
      <c r="F4017" s="30" t="inlineStr">
        <is>
          <t>2018</t>
        </is>
      </c>
      <c r="G4017" s="40" t="n">
        <v>677.08</v>
      </c>
    </row>
    <row r="4018" ht="12" customHeight="1">
      <c r="A4018" s="30" t="inlineStr">
        <is>
          <t>ITG</t>
        </is>
      </c>
      <c r="B4018" s="30" t="inlineStr">
        <is>
          <t>Itaguai</t>
        </is>
      </c>
      <c r="C4018" s="30" t="n">
        <v>76026831</v>
      </c>
      <c r="D4018" s="30">
        <f>"60664828007340"</f>
        <v/>
      </c>
      <c r="E4018" s="30" t="inlineStr">
        <is>
          <t>EMPRESA DE TRANSPORTES ATLAS LTDA</t>
        </is>
      </c>
      <c r="F4018" s="30" t="inlineStr">
        <is>
          <t>2019</t>
        </is>
      </c>
      <c r="G4018" s="40" t="n">
        <v>903.35</v>
      </c>
    </row>
    <row r="4019" ht="12" customHeight="1">
      <c r="A4019" s="30" t="inlineStr">
        <is>
          <t>ITG</t>
        </is>
      </c>
      <c r="B4019" s="30" t="inlineStr">
        <is>
          <t>Itaguai</t>
        </is>
      </c>
      <c r="C4019" s="30" t="n">
        <v>76026831</v>
      </c>
      <c r="D4019" s="30">
        <f>"60664828007340"</f>
        <v/>
      </c>
      <c r="E4019" s="30" t="inlineStr">
        <is>
          <t>EMPRESA DE TRANSPORTES ATLAS LTDA</t>
        </is>
      </c>
      <c r="F4019" s="30" t="inlineStr">
        <is>
          <t>2020</t>
        </is>
      </c>
      <c r="G4019" s="40" t="n">
        <v>0</v>
      </c>
    </row>
    <row r="4020" ht="12" customHeight="1">
      <c r="A4020" s="30" t="inlineStr">
        <is>
          <t>ITG</t>
        </is>
      </c>
      <c r="B4020" s="30" t="inlineStr">
        <is>
          <t>Itaguai</t>
        </is>
      </c>
      <c r="C4020" s="30" t="n">
        <v>76026831</v>
      </c>
      <c r="D4020" s="30">
        <f>"60664828007340"</f>
        <v/>
      </c>
      <c r="E4020" s="30" t="inlineStr">
        <is>
          <t>EMPRESA DE TRANSPORTES ATLAS LTDA</t>
        </is>
      </c>
      <c r="F4020" s="30" t="inlineStr">
        <is>
          <t>2021</t>
        </is>
      </c>
      <c r="G4020" s="40" t="n">
        <v>0</v>
      </c>
    </row>
    <row r="4021" ht="12" customHeight="1">
      <c r="A4021" s="30" t="inlineStr">
        <is>
          <t>ITG</t>
        </is>
      </c>
      <c r="B4021" s="30" t="inlineStr">
        <is>
          <t>Itaguai</t>
        </is>
      </c>
      <c r="C4021" s="30" t="n">
        <v>76038996</v>
      </c>
      <c r="D4021" s="30">
        <f>"03333219000109"</f>
        <v/>
      </c>
      <c r="E4021" s="30" t="inlineStr">
        <is>
          <t>KVA SEQUIP LOCACAO DE GERADORES LTDA</t>
        </is>
      </c>
      <c r="F4021" s="30" t="inlineStr">
        <is>
          <t>2017</t>
        </is>
      </c>
      <c r="G4021" s="40" t="n">
        <v>0</v>
      </c>
    </row>
    <row r="4022" ht="12" customHeight="1">
      <c r="A4022" s="30" t="inlineStr">
        <is>
          <t>ITG</t>
        </is>
      </c>
      <c r="B4022" s="30" t="inlineStr">
        <is>
          <t>Itaguai</t>
        </is>
      </c>
      <c r="C4022" s="30" t="n">
        <v>76038996</v>
      </c>
      <c r="D4022" s="30">
        <f>"03333219000109"</f>
        <v/>
      </c>
      <c r="E4022" s="30" t="inlineStr">
        <is>
          <t>KVA SEQUIP LOCACAO DE GERADORES LTDA</t>
        </is>
      </c>
      <c r="F4022" s="30" t="inlineStr">
        <is>
          <t>2018</t>
        </is>
      </c>
      <c r="G4022" s="40" t="n">
        <v>0</v>
      </c>
    </row>
    <row r="4023" ht="12" customHeight="1">
      <c r="A4023" s="30" t="inlineStr">
        <is>
          <t>ITG</t>
        </is>
      </c>
      <c r="B4023" s="30" t="inlineStr">
        <is>
          <t>Itaguai</t>
        </is>
      </c>
      <c r="C4023" s="30" t="n">
        <v>76038996</v>
      </c>
      <c r="D4023" s="30">
        <f>"03333219000109"</f>
        <v/>
      </c>
      <c r="E4023" s="30" t="inlineStr">
        <is>
          <t>KVA SEQUIP LOCACAO DE GERADORES LTDA</t>
        </is>
      </c>
      <c r="F4023" s="30" t="inlineStr">
        <is>
          <t>2019</t>
        </is>
      </c>
      <c r="G4023" s="40" t="n">
        <v>0</v>
      </c>
    </row>
    <row r="4024" ht="12" customHeight="1">
      <c r="A4024" s="30" t="inlineStr">
        <is>
          <t>ITG</t>
        </is>
      </c>
      <c r="B4024" s="30" t="inlineStr">
        <is>
          <t>Itaguai</t>
        </is>
      </c>
      <c r="C4024" s="30" t="n">
        <v>76038996</v>
      </c>
      <c r="D4024" s="30">
        <f>"03333219000109"</f>
        <v/>
      </c>
      <c r="E4024" s="30" t="inlineStr">
        <is>
          <t>KVA SEQUIP LOCACAO DE GERADORES LTDA</t>
        </is>
      </c>
      <c r="F4024" s="30" t="inlineStr">
        <is>
          <t>2020</t>
        </is>
      </c>
      <c r="G4024" s="40" t="n">
        <v>0</v>
      </c>
    </row>
    <row r="4025" ht="12" customHeight="1">
      <c r="A4025" s="30" t="inlineStr">
        <is>
          <t>ITG</t>
        </is>
      </c>
      <c r="B4025" s="30" t="inlineStr">
        <is>
          <t>Itaguai</t>
        </is>
      </c>
      <c r="C4025" s="30" t="n">
        <v>76085927</v>
      </c>
      <c r="D4025" s="30">
        <f>"26341222000323"</f>
        <v/>
      </c>
      <c r="E4025" s="30" t="inlineStr">
        <is>
          <t>EXPRESSO M 2000 LTDA</t>
        </is>
      </c>
      <c r="F4025" s="30" t="inlineStr">
        <is>
          <t>2017</t>
        </is>
      </c>
      <c r="G4025" s="40" t="n">
        <v>0</v>
      </c>
    </row>
    <row r="4026" ht="12" customHeight="1">
      <c r="A4026" s="30" t="inlineStr">
        <is>
          <t>ITG</t>
        </is>
      </c>
      <c r="B4026" s="30" t="inlineStr">
        <is>
          <t>Itaguai</t>
        </is>
      </c>
      <c r="C4026" s="30" t="n">
        <v>76085927</v>
      </c>
      <c r="D4026" s="30">
        <f>"26341222000323"</f>
        <v/>
      </c>
      <c r="E4026" s="30" t="inlineStr">
        <is>
          <t>EXPRESSO M 2000 LTDA</t>
        </is>
      </c>
      <c r="F4026" s="30" t="inlineStr">
        <is>
          <t>2018</t>
        </is>
      </c>
      <c r="G4026" s="40" t="n">
        <v>1087.84</v>
      </c>
    </row>
    <row r="4027" ht="12" customHeight="1">
      <c r="A4027" s="30" t="inlineStr">
        <is>
          <t>ITG</t>
        </is>
      </c>
      <c r="B4027" s="30" t="inlineStr">
        <is>
          <t>Itaguai</t>
        </is>
      </c>
      <c r="C4027" s="30" t="n">
        <v>76085927</v>
      </c>
      <c r="D4027" s="30">
        <f>"26341222000323"</f>
        <v/>
      </c>
      <c r="E4027" s="30" t="inlineStr">
        <is>
          <t>EXPRESSO M 2000 LTDA</t>
        </is>
      </c>
      <c r="F4027" s="30" t="inlineStr">
        <is>
          <t>2019</t>
        </is>
      </c>
      <c r="G4027" s="40" t="n">
        <v>0</v>
      </c>
    </row>
    <row r="4028" ht="12" customHeight="1">
      <c r="A4028" s="30" t="inlineStr">
        <is>
          <t>ITG</t>
        </is>
      </c>
      <c r="B4028" s="30" t="inlineStr">
        <is>
          <t>Itaguai</t>
        </is>
      </c>
      <c r="C4028" s="30" t="n">
        <v>76085927</v>
      </c>
      <c r="D4028" s="30">
        <f>"26341222000323"</f>
        <v/>
      </c>
      <c r="E4028" s="30" t="inlineStr">
        <is>
          <t>EXPRESSO M 2000 LTDA</t>
        </is>
      </c>
      <c r="F4028" s="30" t="inlineStr">
        <is>
          <t>2020</t>
        </is>
      </c>
      <c r="G4028" s="40" t="n">
        <v>0</v>
      </c>
    </row>
    <row r="4029" ht="12" customHeight="1">
      <c r="A4029" s="30" t="inlineStr">
        <is>
          <t>ITG</t>
        </is>
      </c>
      <c r="B4029" s="30" t="inlineStr">
        <is>
          <t>Itaguai</t>
        </is>
      </c>
      <c r="C4029" s="30" t="n">
        <v>76085927</v>
      </c>
      <c r="D4029" s="30">
        <f>"26341222000323"</f>
        <v/>
      </c>
      <c r="E4029" s="30" t="inlineStr">
        <is>
          <t>EXPRESSO M 2000 LTDA</t>
        </is>
      </c>
      <c r="F4029" s="30" t="inlineStr">
        <is>
          <t>2021</t>
        </is>
      </c>
      <c r="G4029" s="40" t="n">
        <v>269.75</v>
      </c>
    </row>
    <row r="4030" ht="12" customHeight="1">
      <c r="A4030" s="30" t="inlineStr">
        <is>
          <t>ITG</t>
        </is>
      </c>
      <c r="B4030" s="30" t="inlineStr">
        <is>
          <t>Itaguai</t>
        </is>
      </c>
      <c r="C4030" s="30" t="n">
        <v>76085927</v>
      </c>
      <c r="D4030" s="30">
        <f>"26341222000323"</f>
        <v/>
      </c>
      <c r="E4030" s="30" t="inlineStr">
        <is>
          <t>EXPRESSO M 2000 LTDA</t>
        </is>
      </c>
      <c r="F4030" s="30" t="inlineStr">
        <is>
          <t>2022</t>
        </is>
      </c>
      <c r="G4030" s="40" t="n">
        <v>0</v>
      </c>
    </row>
    <row r="4031" ht="12" customHeight="1">
      <c r="A4031" s="30" t="inlineStr">
        <is>
          <t>ITG</t>
        </is>
      </c>
      <c r="B4031" s="30" t="inlineStr">
        <is>
          <t>Itaguai</t>
        </is>
      </c>
      <c r="C4031" s="30" t="n">
        <v>76085927</v>
      </c>
      <c r="D4031" s="30">
        <f>"26341222000323"</f>
        <v/>
      </c>
      <c r="E4031" s="30" t="inlineStr">
        <is>
          <t>EXPRESSO M 2000 LTDA</t>
        </is>
      </c>
      <c r="F4031" s="30" t="inlineStr">
        <is>
          <t>2023</t>
        </is>
      </c>
      <c r="G4031" s="40" t="n">
        <v>0</v>
      </c>
    </row>
    <row r="4032" ht="12" customHeight="1">
      <c r="A4032" s="30" t="inlineStr">
        <is>
          <t>ITG</t>
        </is>
      </c>
      <c r="B4032" s="30" t="inlineStr">
        <is>
          <t>Itaguai</t>
        </is>
      </c>
      <c r="C4032" s="30" t="n">
        <v>76105502</v>
      </c>
      <c r="D4032" s="30">
        <f>"03419953000187"</f>
        <v/>
      </c>
      <c r="E4032" s="30" t="inlineStr">
        <is>
          <t>MARFRAN TRANSPORTES E LOGISTICA LTDA ME</t>
        </is>
      </c>
      <c r="F4032" s="30" t="inlineStr">
        <is>
          <t>2017</t>
        </is>
      </c>
      <c r="G4032" s="40" t="n">
        <v>2517.93</v>
      </c>
    </row>
    <row r="4033" ht="12" customHeight="1">
      <c r="A4033" s="30" t="inlineStr">
        <is>
          <t>ITG</t>
        </is>
      </c>
      <c r="B4033" s="30" t="inlineStr">
        <is>
          <t>Itaguai</t>
        </is>
      </c>
      <c r="C4033" s="30" t="n">
        <v>76105502</v>
      </c>
      <c r="D4033" s="30">
        <f>"03419953000187"</f>
        <v/>
      </c>
      <c r="E4033" s="30" t="inlineStr">
        <is>
          <t>MARFRAN TRANSPORTES E LOGISTICA LTDA ME</t>
        </is>
      </c>
      <c r="F4033" s="30" t="inlineStr">
        <is>
          <t>2018</t>
        </is>
      </c>
      <c r="G4033" s="40" t="n">
        <v>0</v>
      </c>
    </row>
    <row r="4034" ht="12" customHeight="1">
      <c r="A4034" s="30" t="inlineStr">
        <is>
          <t>ITG</t>
        </is>
      </c>
      <c r="B4034" s="30" t="inlineStr">
        <is>
          <t>Itaguai</t>
        </is>
      </c>
      <c r="C4034" s="30" t="n">
        <v>76105502</v>
      </c>
      <c r="D4034" s="30">
        <f>"03419953000187"</f>
        <v/>
      </c>
      <c r="E4034" s="30" t="inlineStr">
        <is>
          <t>MARFRAN TRANSPORTES E LOGISTICA LTDA ME</t>
        </is>
      </c>
      <c r="F4034" s="30" t="inlineStr">
        <is>
          <t>2019</t>
        </is>
      </c>
      <c r="G4034" s="40" t="n">
        <v>3285.12</v>
      </c>
    </row>
    <row r="4035" ht="12" customHeight="1">
      <c r="A4035" s="30" t="inlineStr">
        <is>
          <t>ITG</t>
        </is>
      </c>
      <c r="B4035" s="30" t="inlineStr">
        <is>
          <t>Itaguai</t>
        </is>
      </c>
      <c r="C4035" s="30" t="n">
        <v>76105502</v>
      </c>
      <c r="D4035" s="30">
        <f>"03419953000187"</f>
        <v/>
      </c>
      <c r="E4035" s="30" t="inlineStr">
        <is>
          <t>MARFRAN TRANSPORTES E LOGISTICA LTDA ME</t>
        </is>
      </c>
      <c r="F4035" s="30" t="inlineStr">
        <is>
          <t>2020</t>
        </is>
      </c>
      <c r="G4035" s="40" t="n">
        <v>0</v>
      </c>
    </row>
    <row r="4036" ht="12" customHeight="1">
      <c r="A4036" s="30" t="inlineStr">
        <is>
          <t>ITG</t>
        </is>
      </c>
      <c r="B4036" s="30" t="inlineStr">
        <is>
          <t>Itaguai</t>
        </is>
      </c>
      <c r="C4036" s="30" t="n">
        <v>76105502</v>
      </c>
      <c r="D4036" s="30">
        <f>"03419953000187"</f>
        <v/>
      </c>
      <c r="E4036" s="30" t="inlineStr">
        <is>
          <t>MARFRAN TRANSPORTES E LOGISTICA LTDA ME</t>
        </is>
      </c>
      <c r="F4036" s="30" t="inlineStr">
        <is>
          <t>2021</t>
        </is>
      </c>
      <c r="G4036" s="40" t="n">
        <v>0</v>
      </c>
    </row>
    <row r="4037" ht="12" customHeight="1">
      <c r="A4037" s="30" t="inlineStr">
        <is>
          <t>ITG</t>
        </is>
      </c>
      <c r="B4037" s="30" t="inlineStr">
        <is>
          <t>Itaguai</t>
        </is>
      </c>
      <c r="C4037" s="30" t="n">
        <v>76159122</v>
      </c>
      <c r="D4037" s="30">
        <f>"03537249000129"</f>
        <v/>
      </c>
      <c r="E4037" s="30" t="inlineStr">
        <is>
          <t>CSN ENERGIA S/A</t>
        </is>
      </c>
      <c r="F4037" s="30" t="inlineStr">
        <is>
          <t>2017</t>
        </is>
      </c>
      <c r="G4037" s="40" t="n">
        <v>23246320.17</v>
      </c>
    </row>
    <row r="4038" ht="12" customHeight="1">
      <c r="A4038" s="30" t="inlineStr">
        <is>
          <t>ITG</t>
        </is>
      </c>
      <c r="B4038" s="30" t="inlineStr">
        <is>
          <t>Itaguai</t>
        </is>
      </c>
      <c r="C4038" s="30" t="n">
        <v>76159122</v>
      </c>
      <c r="D4038" s="30">
        <f>"03537249000129"</f>
        <v/>
      </c>
      <c r="E4038" s="30" t="inlineStr">
        <is>
          <t>CSN ENERGIA S/A</t>
        </is>
      </c>
      <c r="F4038" s="30" t="inlineStr">
        <is>
          <t>2018</t>
        </is>
      </c>
      <c r="G4038" s="40" t="n">
        <v>15990254.28</v>
      </c>
    </row>
    <row r="4039" ht="12" customHeight="1">
      <c r="A4039" s="30" t="inlineStr">
        <is>
          <t>ITG</t>
        </is>
      </c>
      <c r="B4039" s="30" t="inlineStr">
        <is>
          <t>Itaguai</t>
        </is>
      </c>
      <c r="C4039" s="30" t="n">
        <v>76159122</v>
      </c>
      <c r="D4039" s="30">
        <f>"03537249000129"</f>
        <v/>
      </c>
      <c r="E4039" s="30" t="inlineStr">
        <is>
          <t>CSN ENERGIA S/A</t>
        </is>
      </c>
      <c r="F4039" s="30" t="inlineStr">
        <is>
          <t>2019</t>
        </is>
      </c>
      <c r="G4039" s="40" t="n">
        <v>15668082.61</v>
      </c>
    </row>
    <row r="4040" ht="12" customHeight="1">
      <c r="A4040" s="30" t="inlineStr">
        <is>
          <t>ITG</t>
        </is>
      </c>
      <c r="B4040" s="30" t="inlineStr">
        <is>
          <t>Itaguai</t>
        </is>
      </c>
      <c r="C4040" s="30" t="n">
        <v>76159122</v>
      </c>
      <c r="D4040" s="30">
        <f>"03537249000129"</f>
        <v/>
      </c>
      <c r="E4040" s="30" t="inlineStr">
        <is>
          <t>CSN ENERGIA S/A</t>
        </is>
      </c>
      <c r="F4040" s="30" t="inlineStr">
        <is>
          <t>2020</t>
        </is>
      </c>
      <c r="G4040" s="40" t="n">
        <v>8144818.32</v>
      </c>
    </row>
    <row r="4041" ht="12" customHeight="1">
      <c r="A4041" s="30" t="inlineStr">
        <is>
          <t>ITG</t>
        </is>
      </c>
      <c r="B4041" s="30" t="inlineStr">
        <is>
          <t>Itaguai</t>
        </is>
      </c>
      <c r="C4041" s="30" t="n">
        <v>76159122</v>
      </c>
      <c r="D4041" s="30">
        <f>"03537249000129"</f>
        <v/>
      </c>
      <c r="E4041" s="30" t="inlineStr">
        <is>
          <t>CSN ENERGIA S/A</t>
        </is>
      </c>
      <c r="F4041" s="30" t="inlineStr">
        <is>
          <t>2021</t>
        </is>
      </c>
      <c r="G4041" s="40" t="n">
        <v>956561.66</v>
      </c>
    </row>
    <row r="4042" ht="12" customHeight="1">
      <c r="A4042" s="30" t="inlineStr">
        <is>
          <t>ITG</t>
        </is>
      </c>
      <c r="B4042" s="30" t="inlineStr">
        <is>
          <t>Itaguai</t>
        </is>
      </c>
      <c r="C4042" s="30" t="n">
        <v>76159122</v>
      </c>
      <c r="D4042" s="30">
        <f>"03537249000129"</f>
        <v/>
      </c>
      <c r="E4042" s="30" t="inlineStr">
        <is>
          <t>CSN ENERGIA S/A</t>
        </is>
      </c>
      <c r="F4042" s="30" t="inlineStr">
        <is>
          <t>2022</t>
        </is>
      </c>
      <c r="G4042" s="40" t="n">
        <v>801987.88</v>
      </c>
    </row>
    <row r="4043" ht="12" customHeight="1">
      <c r="A4043" s="30" t="inlineStr">
        <is>
          <t>ITG</t>
        </is>
      </c>
      <c r="B4043" s="30" t="inlineStr">
        <is>
          <t>Itaguai</t>
        </is>
      </c>
      <c r="C4043" s="30" t="n">
        <v>76159122</v>
      </c>
      <c r="D4043" s="30">
        <f>"03537249000129"</f>
        <v/>
      </c>
      <c r="E4043" s="30" t="inlineStr">
        <is>
          <t>CSN ENERGIA S/A</t>
        </is>
      </c>
      <c r="F4043" s="30" t="inlineStr">
        <is>
          <t>2023</t>
        </is>
      </c>
      <c r="G4043" s="40" t="n">
        <v>155487.22</v>
      </c>
    </row>
    <row r="4044" ht="12" customHeight="1">
      <c r="A4044" s="30" t="inlineStr">
        <is>
          <t>ITG</t>
        </is>
      </c>
      <c r="B4044" s="30" t="inlineStr">
        <is>
          <t>Itaguai</t>
        </is>
      </c>
      <c r="C4044" s="30" t="n">
        <v>76187681</v>
      </c>
      <c r="D4044" s="30">
        <f>"02870124000315"</f>
        <v/>
      </c>
      <c r="E4044" s="30" t="inlineStr">
        <is>
          <t>LENARGE TRANSPORTES E SERVICOS LTDA</t>
        </is>
      </c>
      <c r="F4044" s="30" t="inlineStr">
        <is>
          <t>2017</t>
        </is>
      </c>
      <c r="G4044" s="40" t="n">
        <v>0</v>
      </c>
    </row>
    <row r="4045" ht="12" customHeight="1">
      <c r="A4045" s="30" t="inlineStr">
        <is>
          <t>ITG</t>
        </is>
      </c>
      <c r="B4045" s="30" t="inlineStr">
        <is>
          <t>Itaguai</t>
        </is>
      </c>
      <c r="C4045" s="30" t="n">
        <v>76187681</v>
      </c>
      <c r="D4045" s="30">
        <f>"02870124000315"</f>
        <v/>
      </c>
      <c r="E4045" s="30" t="inlineStr">
        <is>
          <t>LENARGE TRANSPORTES E SERVICOS LTDA</t>
        </is>
      </c>
      <c r="F4045" s="30" t="inlineStr">
        <is>
          <t>2018</t>
        </is>
      </c>
      <c r="G4045" s="40" t="n">
        <v>0</v>
      </c>
    </row>
    <row r="4046" ht="12" customHeight="1">
      <c r="A4046" s="30" t="inlineStr">
        <is>
          <t>ITG</t>
        </is>
      </c>
      <c r="B4046" s="30" t="inlineStr">
        <is>
          <t>Itaguai</t>
        </is>
      </c>
      <c r="C4046" s="30" t="n">
        <v>76187681</v>
      </c>
      <c r="D4046" s="30">
        <f>"02870124000315"</f>
        <v/>
      </c>
      <c r="E4046" s="30" t="inlineStr">
        <is>
          <t>LENARGE TRANSPORTES E SERVICOS LTDA</t>
        </is>
      </c>
      <c r="F4046" s="30" t="inlineStr">
        <is>
          <t>2019</t>
        </is>
      </c>
      <c r="G4046" s="40" t="n">
        <v>19687822.12</v>
      </c>
    </row>
    <row r="4047" ht="12" customHeight="1">
      <c r="A4047" s="30" t="inlineStr">
        <is>
          <t>ITG</t>
        </is>
      </c>
      <c r="B4047" s="30" t="inlineStr">
        <is>
          <t>Itaguai</t>
        </is>
      </c>
      <c r="C4047" s="30" t="n">
        <v>76187681</v>
      </c>
      <c r="D4047" s="30">
        <f>"02870124000315"</f>
        <v/>
      </c>
      <c r="E4047" s="30" t="inlineStr">
        <is>
          <t>LENARGE TRANSPORTES E SERVICOS LTDA</t>
        </is>
      </c>
      <c r="F4047" s="30" t="inlineStr">
        <is>
          <t>2020</t>
        </is>
      </c>
      <c r="G4047" s="40" t="n">
        <v>22269778.08</v>
      </c>
    </row>
    <row r="4048" ht="12" customHeight="1">
      <c r="A4048" s="30" t="inlineStr">
        <is>
          <t>ITG</t>
        </is>
      </c>
      <c r="B4048" s="30" t="inlineStr">
        <is>
          <t>Itaguai</t>
        </is>
      </c>
      <c r="C4048" s="30" t="n">
        <v>76187681</v>
      </c>
      <c r="D4048" s="30">
        <f>"02870124000315"</f>
        <v/>
      </c>
      <c r="E4048" s="30" t="inlineStr">
        <is>
          <t>LENARGE TRANSPORTES E SERVICOS LTDA</t>
        </is>
      </c>
      <c r="F4048" s="30" t="inlineStr">
        <is>
          <t>2021</t>
        </is>
      </c>
      <c r="G4048" s="40" t="n">
        <v>31373245.57</v>
      </c>
    </row>
    <row r="4049" ht="12" customHeight="1">
      <c r="A4049" s="30" t="inlineStr">
        <is>
          <t>ITG</t>
        </is>
      </c>
      <c r="B4049" s="30" t="inlineStr">
        <is>
          <t>Itaguai</t>
        </is>
      </c>
      <c r="C4049" s="30" t="n">
        <v>76187681</v>
      </c>
      <c r="D4049" s="30">
        <f>"02870124000315"</f>
        <v/>
      </c>
      <c r="E4049" s="30" t="inlineStr">
        <is>
          <t>LENARGE TRANSPORTES E SERVICOS LTDA</t>
        </is>
      </c>
      <c r="F4049" s="30" t="inlineStr">
        <is>
          <t>2022</t>
        </is>
      </c>
      <c r="G4049" s="40" t="n">
        <v>44873294.96</v>
      </c>
    </row>
    <row r="4050" ht="12" customHeight="1">
      <c r="A4050" s="30" t="inlineStr">
        <is>
          <t>ITG</t>
        </is>
      </c>
      <c r="B4050" s="30" t="inlineStr">
        <is>
          <t>Itaguai</t>
        </is>
      </c>
      <c r="C4050" s="30" t="n">
        <v>76187681</v>
      </c>
      <c r="D4050" s="30">
        <f>"02870124000315"</f>
        <v/>
      </c>
      <c r="E4050" s="30" t="inlineStr">
        <is>
          <t>LENARGE TRANSPORTES E SERVICOS LTDA</t>
        </is>
      </c>
      <c r="F4050" s="30" t="inlineStr">
        <is>
          <t>2023</t>
        </is>
      </c>
      <c r="G4050" s="40" t="n">
        <v>43350213.63</v>
      </c>
    </row>
    <row r="4051" ht="12" customHeight="1">
      <c r="A4051" s="30" t="inlineStr">
        <is>
          <t>ITG</t>
        </is>
      </c>
      <c r="B4051" s="30" t="inlineStr">
        <is>
          <t>Itaguai</t>
        </is>
      </c>
      <c r="C4051" s="30" t="n">
        <v>76197482</v>
      </c>
      <c r="D4051" s="30">
        <f>"01619241000186"</f>
        <v/>
      </c>
      <c r="E4051" s="30" t="inlineStr">
        <is>
          <t>WMS WORLD MARINE SERVICE LTDA</t>
        </is>
      </c>
      <c r="F4051" s="30" t="inlineStr">
        <is>
          <t>2017</t>
        </is>
      </c>
      <c r="G4051" s="40" t="n">
        <v>35714.63</v>
      </c>
    </row>
    <row r="4052" ht="12" customHeight="1">
      <c r="A4052" s="30" t="inlineStr">
        <is>
          <t>ITG</t>
        </is>
      </c>
      <c r="B4052" s="30" t="inlineStr">
        <is>
          <t>Itaguai</t>
        </is>
      </c>
      <c r="C4052" s="30" t="n">
        <v>76197482</v>
      </c>
      <c r="D4052" s="30">
        <f>"01619241000186"</f>
        <v/>
      </c>
      <c r="E4052" s="30" t="inlineStr">
        <is>
          <t>WMS WORLD MARINE SERVICE LTDA</t>
        </is>
      </c>
      <c r="F4052" s="30" t="inlineStr">
        <is>
          <t>2018</t>
        </is>
      </c>
      <c r="G4052" s="40" t="n">
        <v>37104.18</v>
      </c>
    </row>
    <row r="4053" ht="12" customHeight="1">
      <c r="A4053" s="30" t="inlineStr">
        <is>
          <t>ITG</t>
        </is>
      </c>
      <c r="B4053" s="30" t="inlineStr">
        <is>
          <t>Itaguai</t>
        </is>
      </c>
      <c r="C4053" s="30" t="n">
        <v>76197482</v>
      </c>
      <c r="D4053" s="30">
        <f>"01619241000186"</f>
        <v/>
      </c>
      <c r="E4053" s="30" t="inlineStr">
        <is>
          <t>WMS WORLD MARINE SERVICE LTDA</t>
        </is>
      </c>
      <c r="F4053" s="30" t="inlineStr">
        <is>
          <t>2019</t>
        </is>
      </c>
      <c r="G4053" s="40" t="n">
        <v>147790.44</v>
      </c>
    </row>
    <row r="4054" ht="12" customHeight="1">
      <c r="A4054" s="30" t="inlineStr">
        <is>
          <t>ITG</t>
        </is>
      </c>
      <c r="B4054" s="30" t="inlineStr">
        <is>
          <t>Itaguai</t>
        </is>
      </c>
      <c r="C4054" s="30" t="n">
        <v>76197482</v>
      </c>
      <c r="D4054" s="30">
        <f>"01619241000186"</f>
        <v/>
      </c>
      <c r="E4054" s="30" t="inlineStr">
        <is>
          <t>WMS WORLD MARINE SERVICE LTDA</t>
        </is>
      </c>
      <c r="F4054" s="30" t="inlineStr">
        <is>
          <t>2020</t>
        </is>
      </c>
      <c r="G4054" s="40" t="n">
        <v>0</v>
      </c>
    </row>
    <row r="4055" ht="12" customHeight="1">
      <c r="A4055" s="30" t="inlineStr">
        <is>
          <t>ITG</t>
        </is>
      </c>
      <c r="B4055" s="30" t="inlineStr">
        <is>
          <t>Itaguai</t>
        </is>
      </c>
      <c r="C4055" s="30" t="n">
        <v>76197482</v>
      </c>
      <c r="D4055" s="30">
        <f>"01619241000186"</f>
        <v/>
      </c>
      <c r="E4055" s="30" t="inlineStr">
        <is>
          <t>WMS WORLD MARINE SERVICE LTDA</t>
        </is>
      </c>
      <c r="F4055" s="30" t="inlineStr">
        <is>
          <t>2021</t>
        </is>
      </c>
      <c r="G4055" s="40" t="n">
        <v>41502.4</v>
      </c>
    </row>
    <row r="4056" ht="12" customHeight="1">
      <c r="A4056" s="30" t="inlineStr">
        <is>
          <t>ITG</t>
        </is>
      </c>
      <c r="B4056" s="30" t="inlineStr">
        <is>
          <t>Itaguai</t>
        </is>
      </c>
      <c r="C4056" s="30" t="n">
        <v>76197482</v>
      </c>
      <c r="D4056" s="30">
        <f>"01619241000186"</f>
        <v/>
      </c>
      <c r="E4056" s="30" t="inlineStr">
        <is>
          <t>WMS WORLD MARINE SERVICE LTDA</t>
        </is>
      </c>
      <c r="F4056" s="30" t="inlineStr">
        <is>
          <t>2022</t>
        </is>
      </c>
      <c r="G4056" s="40" t="n">
        <v>1797.26</v>
      </c>
    </row>
    <row r="4057" ht="12" customHeight="1">
      <c r="A4057" s="30" t="inlineStr">
        <is>
          <t>ITG</t>
        </is>
      </c>
      <c r="B4057" s="30" t="inlineStr">
        <is>
          <t>Itaguai</t>
        </is>
      </c>
      <c r="C4057" s="30" t="n">
        <v>76197482</v>
      </c>
      <c r="D4057" s="30">
        <f>"01619241000186"</f>
        <v/>
      </c>
      <c r="E4057" s="30" t="inlineStr">
        <is>
          <t>WMS WORLD MARINE SERVICE LTDA</t>
        </is>
      </c>
      <c r="F4057" s="30" t="inlineStr">
        <is>
          <t>2023</t>
        </is>
      </c>
      <c r="G4057" s="40" t="n">
        <v>16906.86</v>
      </c>
    </row>
    <row r="4058" ht="12" customHeight="1">
      <c r="A4058" s="30" t="inlineStr">
        <is>
          <t>ITG</t>
        </is>
      </c>
      <c r="B4058" s="30" t="inlineStr">
        <is>
          <t>Itaguai</t>
        </is>
      </c>
      <c r="C4058" s="30" t="n">
        <v>76208042</v>
      </c>
      <c r="D4058" s="30">
        <f>"93288124000103"</f>
        <v/>
      </c>
      <c r="E4058" s="30" t="inlineStr">
        <is>
          <t>TURISPALL TRANSPORTES E TURISMO LTDA ME</t>
        </is>
      </c>
      <c r="F4058" s="30" t="inlineStr">
        <is>
          <t>2019</t>
        </is>
      </c>
      <c r="G4058" s="40" t="n">
        <v>0</v>
      </c>
    </row>
    <row r="4059" ht="12" customHeight="1">
      <c r="A4059" s="30" t="inlineStr">
        <is>
          <t>ITG</t>
        </is>
      </c>
      <c r="B4059" s="30" t="inlineStr">
        <is>
          <t>Itaguai</t>
        </is>
      </c>
      <c r="C4059" s="30" t="n">
        <v>76208042</v>
      </c>
      <c r="D4059" s="30">
        <f>"93288124000103"</f>
        <v/>
      </c>
      <c r="E4059" s="30" t="inlineStr">
        <is>
          <t>TURISPALL TRANSPORTES E TURISMO LTDA ME</t>
        </is>
      </c>
      <c r="F4059" s="30" t="inlineStr">
        <is>
          <t>2020</t>
        </is>
      </c>
      <c r="G4059" s="40" t="n">
        <v>0</v>
      </c>
    </row>
    <row r="4060" ht="12" customHeight="1">
      <c r="A4060" s="30" t="inlineStr">
        <is>
          <t>ITG</t>
        </is>
      </c>
      <c r="B4060" s="30" t="inlineStr">
        <is>
          <t>Itaguai</t>
        </is>
      </c>
      <c r="C4060" s="30" t="n">
        <v>76208042</v>
      </c>
      <c r="D4060" s="30">
        <f>"93288124000103"</f>
        <v/>
      </c>
      <c r="E4060" s="30" t="inlineStr">
        <is>
          <t>TURISPALL TRANSPORTES E TURISMO LTDA ME</t>
        </is>
      </c>
      <c r="F4060" s="30" t="inlineStr">
        <is>
          <t>2021</t>
        </is>
      </c>
      <c r="G4060" s="40" t="n">
        <v>2500</v>
      </c>
    </row>
    <row r="4061" ht="12" customHeight="1">
      <c r="A4061" s="30" t="inlineStr">
        <is>
          <t>ITG</t>
        </is>
      </c>
      <c r="B4061" s="30" t="inlineStr">
        <is>
          <t>Itaguai</t>
        </is>
      </c>
      <c r="C4061" s="30" t="n">
        <v>76208042</v>
      </c>
      <c r="D4061" s="30">
        <f>"93288124000103"</f>
        <v/>
      </c>
      <c r="E4061" s="30" t="inlineStr">
        <is>
          <t>TURISPALL TRANSPORTES E TURISMO LTDA ME</t>
        </is>
      </c>
      <c r="F4061" s="30" t="inlineStr">
        <is>
          <t>2022</t>
        </is>
      </c>
      <c r="G4061" s="40" t="n">
        <v>0</v>
      </c>
    </row>
    <row r="4062" ht="12" customHeight="1">
      <c r="A4062" s="30" t="inlineStr">
        <is>
          <t>ITG</t>
        </is>
      </c>
      <c r="B4062" s="30" t="inlineStr">
        <is>
          <t>Itaguai</t>
        </is>
      </c>
      <c r="C4062" s="30" t="n">
        <v>76208042</v>
      </c>
      <c r="D4062" s="30">
        <f>"93288124000103"</f>
        <v/>
      </c>
      <c r="E4062" s="30" t="inlineStr">
        <is>
          <t>TURISPALL TRANSPORTES E TURISMO LTDA ME</t>
        </is>
      </c>
      <c r="F4062" s="30" t="inlineStr">
        <is>
          <t>2023</t>
        </is>
      </c>
      <c r="G4062" s="40" t="n">
        <v>0</v>
      </c>
    </row>
    <row r="4063" ht="12" customHeight="1">
      <c r="A4063" s="30" t="inlineStr">
        <is>
          <t>ITG</t>
        </is>
      </c>
      <c r="B4063" s="30" t="inlineStr">
        <is>
          <t>Itaguai</t>
        </is>
      </c>
      <c r="C4063" s="30" t="n">
        <v>76208549</v>
      </c>
      <c r="D4063" s="30">
        <f>"19199348000773"</f>
        <v/>
      </c>
      <c r="E4063" s="30" t="inlineStr">
        <is>
          <t>SADA TRANSPORTES E ARMAZENAGENS S/A</t>
        </is>
      </c>
      <c r="F4063" s="30" t="inlineStr">
        <is>
          <t>2017</t>
        </is>
      </c>
      <c r="G4063" s="40" t="n">
        <v>4982994.06</v>
      </c>
    </row>
    <row r="4064" ht="12" customHeight="1">
      <c r="A4064" s="30" t="inlineStr">
        <is>
          <t>ITG</t>
        </is>
      </c>
      <c r="B4064" s="30" t="inlineStr">
        <is>
          <t>Itaguai</t>
        </is>
      </c>
      <c r="C4064" s="30" t="n">
        <v>76208549</v>
      </c>
      <c r="D4064" s="30">
        <f>"19199348000773"</f>
        <v/>
      </c>
      <c r="E4064" s="30" t="inlineStr">
        <is>
          <t>SADA TRANSPORTES E ARMAZENAGENS S/A</t>
        </is>
      </c>
      <c r="F4064" s="30" t="inlineStr">
        <is>
          <t>2018</t>
        </is>
      </c>
      <c r="G4064" s="40" t="n">
        <v>5162477.17</v>
      </c>
    </row>
    <row r="4065" ht="12" customHeight="1">
      <c r="A4065" s="30" t="inlineStr">
        <is>
          <t>ITG</t>
        </is>
      </c>
      <c r="B4065" s="30" t="inlineStr">
        <is>
          <t>Itaguai</t>
        </is>
      </c>
      <c r="C4065" s="30" t="n">
        <v>76208549</v>
      </c>
      <c r="D4065" s="30">
        <f>"19199348000773"</f>
        <v/>
      </c>
      <c r="E4065" s="30" t="inlineStr">
        <is>
          <t>SADA TRANSPORTES E ARMAZENAGENS S/A</t>
        </is>
      </c>
      <c r="F4065" s="30" t="inlineStr">
        <is>
          <t>2019</t>
        </is>
      </c>
      <c r="G4065" s="40" t="n">
        <v>4770817.92</v>
      </c>
    </row>
    <row r="4066" ht="12" customHeight="1">
      <c r="A4066" s="30" t="inlineStr">
        <is>
          <t>ITG</t>
        </is>
      </c>
      <c r="B4066" s="30" t="inlineStr">
        <is>
          <t>Itaguai</t>
        </is>
      </c>
      <c r="C4066" s="30" t="n">
        <v>76208549</v>
      </c>
      <c r="D4066" s="30">
        <f>"19199348000773"</f>
        <v/>
      </c>
      <c r="E4066" s="30" t="inlineStr">
        <is>
          <t>SADA TRANSPORTES E ARMAZENAGENS S/A</t>
        </is>
      </c>
      <c r="F4066" s="30" t="inlineStr">
        <is>
          <t>2020</t>
        </is>
      </c>
      <c r="G4066" s="40" t="n">
        <v>2204977.47</v>
      </c>
    </row>
    <row r="4067" ht="12" customHeight="1">
      <c r="A4067" s="30" t="inlineStr">
        <is>
          <t>ITG</t>
        </is>
      </c>
      <c r="B4067" s="30" t="inlineStr">
        <is>
          <t>Itaguai</t>
        </is>
      </c>
      <c r="C4067" s="30" t="n">
        <v>76208549</v>
      </c>
      <c r="D4067" s="30">
        <f>"19199348000773"</f>
        <v/>
      </c>
      <c r="E4067" s="30" t="inlineStr">
        <is>
          <t>SADA TRANSPORTES E ARMAZENAGENS S/A</t>
        </is>
      </c>
      <c r="F4067" s="30" t="inlineStr">
        <is>
          <t>2021</t>
        </is>
      </c>
      <c r="G4067" s="40" t="n">
        <v>2663730.04</v>
      </c>
    </row>
    <row r="4068" ht="12" customHeight="1">
      <c r="A4068" s="30" t="inlineStr">
        <is>
          <t>ITG</t>
        </is>
      </c>
      <c r="B4068" s="30" t="inlineStr">
        <is>
          <t>Itaguai</t>
        </is>
      </c>
      <c r="C4068" s="30" t="n">
        <v>76208549</v>
      </c>
      <c r="D4068" s="30">
        <f>"19199348000773"</f>
        <v/>
      </c>
      <c r="E4068" s="30" t="inlineStr">
        <is>
          <t>SADA TRANSPORTES E ARMAZENAGENS S/A</t>
        </is>
      </c>
      <c r="F4068" s="30" t="inlineStr">
        <is>
          <t>2022</t>
        </is>
      </c>
      <c r="G4068" s="40" t="n">
        <v>1523625.13</v>
      </c>
    </row>
    <row r="4069" ht="12" customHeight="1">
      <c r="A4069" s="30" t="inlineStr">
        <is>
          <t>ITG</t>
        </is>
      </c>
      <c r="B4069" s="30" t="inlineStr">
        <is>
          <t>Itaguai</t>
        </is>
      </c>
      <c r="C4069" s="30" t="n">
        <v>76208549</v>
      </c>
      <c r="D4069" s="30">
        <f>"19199348000773"</f>
        <v/>
      </c>
      <c r="E4069" s="30" t="inlineStr">
        <is>
          <t>SADA TRANSPORTES E ARMAZENAGENS S/A</t>
        </is>
      </c>
      <c r="F4069" s="30" t="inlineStr">
        <is>
          <t>2023</t>
        </is>
      </c>
      <c r="G4069" s="40" t="n">
        <v>2122438.52</v>
      </c>
    </row>
    <row r="4070" ht="12" customHeight="1">
      <c r="A4070" s="30" t="inlineStr">
        <is>
          <t>ITG</t>
        </is>
      </c>
      <c r="B4070" s="30" t="inlineStr">
        <is>
          <t>Itaguai</t>
        </is>
      </c>
      <c r="C4070" s="30" t="n">
        <v>76208603</v>
      </c>
      <c r="D4070" s="30">
        <f>"04239395000130"</f>
        <v/>
      </c>
      <c r="E4070" s="30" t="inlineStr">
        <is>
          <t>CAP DE ITAGUAI AUTO PECAS LTDA</t>
        </is>
      </c>
      <c r="F4070" s="30" t="inlineStr">
        <is>
          <t>2017</t>
        </is>
      </c>
      <c r="G4070" s="40" t="n">
        <v>0</v>
      </c>
    </row>
    <row r="4071" ht="12" customHeight="1">
      <c r="A4071" s="30" t="inlineStr">
        <is>
          <t>ITG</t>
        </is>
      </c>
      <c r="B4071" s="30" t="inlineStr">
        <is>
          <t>Itaguai</t>
        </is>
      </c>
      <c r="C4071" s="30" t="n">
        <v>76208603</v>
      </c>
      <c r="D4071" s="30">
        <f>"04239395000130"</f>
        <v/>
      </c>
      <c r="E4071" s="30" t="inlineStr">
        <is>
          <t>CAP DE ITAGUAI AUTO PECAS LTDA</t>
        </is>
      </c>
      <c r="F4071" s="30" t="inlineStr">
        <is>
          <t>2018</t>
        </is>
      </c>
      <c r="G4071" s="40" t="n">
        <v>50214.8</v>
      </c>
    </row>
    <row r="4072" ht="12" customHeight="1">
      <c r="A4072" s="30" t="inlineStr">
        <is>
          <t>ITG</t>
        </is>
      </c>
      <c r="B4072" s="30" t="inlineStr">
        <is>
          <t>Itaguai</t>
        </is>
      </c>
      <c r="C4072" s="30" t="n">
        <v>76208603</v>
      </c>
      <c r="D4072" s="30">
        <f>"04239395000130"</f>
        <v/>
      </c>
      <c r="E4072" s="30" t="inlineStr">
        <is>
          <t>CAP DE ITAGUAI AUTO PECAS LTDA</t>
        </is>
      </c>
      <c r="F4072" s="30" t="inlineStr">
        <is>
          <t>2019</t>
        </is>
      </c>
      <c r="G4072" s="40" t="n">
        <v>0</v>
      </c>
    </row>
    <row r="4073" ht="12" customHeight="1">
      <c r="A4073" s="30" t="inlineStr">
        <is>
          <t>ITG</t>
        </is>
      </c>
      <c r="B4073" s="30" t="inlineStr">
        <is>
          <t>Itaguai</t>
        </is>
      </c>
      <c r="C4073" s="30" t="n">
        <v>76208603</v>
      </c>
      <c r="D4073" s="30">
        <f>"04239395000130"</f>
        <v/>
      </c>
      <c r="E4073" s="30" t="inlineStr">
        <is>
          <t>CAP DE ITAGUAI AUTO PECAS LTDA</t>
        </is>
      </c>
      <c r="F4073" s="30" t="inlineStr">
        <is>
          <t>2020</t>
        </is>
      </c>
      <c r="G4073" s="40" t="n">
        <v>0</v>
      </c>
    </row>
    <row r="4074" ht="12" customHeight="1">
      <c r="A4074" s="30" t="inlineStr">
        <is>
          <t>ITG</t>
        </is>
      </c>
      <c r="B4074" s="30" t="inlineStr">
        <is>
          <t>Itaguai</t>
        </is>
      </c>
      <c r="C4074" s="30" t="n">
        <v>76208603</v>
      </c>
      <c r="D4074" s="30">
        <f>"04239395000130"</f>
        <v/>
      </c>
      <c r="E4074" s="30" t="inlineStr">
        <is>
          <t>CAP DE ITAGUAI AUTO PECAS LTDA</t>
        </is>
      </c>
      <c r="F4074" s="30" t="inlineStr">
        <is>
          <t>2021</t>
        </is>
      </c>
      <c r="G4074" s="40" t="n">
        <v>219598.26</v>
      </c>
    </row>
    <row r="4075" ht="12" customHeight="1">
      <c r="A4075" s="30" t="inlineStr">
        <is>
          <t>ITG</t>
        </is>
      </c>
      <c r="B4075" s="30" t="inlineStr">
        <is>
          <t>Itaguai</t>
        </is>
      </c>
      <c r="C4075" s="30" t="n">
        <v>76208603</v>
      </c>
      <c r="D4075" s="30">
        <f>"04239395000130"</f>
        <v/>
      </c>
      <c r="E4075" s="30" t="inlineStr">
        <is>
          <t>CAP DE ITAGUAI AUTO PECAS LTDA</t>
        </is>
      </c>
      <c r="F4075" s="30" t="inlineStr">
        <is>
          <t>2022</t>
        </is>
      </c>
      <c r="G4075" s="40" t="n">
        <v>0</v>
      </c>
    </row>
    <row r="4076" ht="12" customHeight="1">
      <c r="A4076" s="30" t="inlineStr">
        <is>
          <t>ITG</t>
        </is>
      </c>
      <c r="B4076" s="30" t="inlineStr">
        <is>
          <t>Itaguai</t>
        </is>
      </c>
      <c r="C4076" s="30" t="n">
        <v>76208603</v>
      </c>
      <c r="D4076" s="30">
        <f>"04239395000130"</f>
        <v/>
      </c>
      <c r="E4076" s="30" t="inlineStr">
        <is>
          <t>CAP DE ITAGUAI AUTO PECAS LTDA</t>
        </is>
      </c>
      <c r="F4076" s="30" t="inlineStr">
        <is>
          <t>2023</t>
        </is>
      </c>
      <c r="G4076" s="40" t="n">
        <v>0</v>
      </c>
    </row>
    <row r="4077" ht="12" customHeight="1">
      <c r="A4077" s="30" t="inlineStr">
        <is>
          <t>ITG</t>
        </is>
      </c>
      <c r="B4077" s="30" t="inlineStr">
        <is>
          <t>Itaguai</t>
        </is>
      </c>
      <c r="C4077" s="30" t="n">
        <v>76208751</v>
      </c>
      <c r="D4077" s="30">
        <f>"56642960010504"</f>
        <v/>
      </c>
      <c r="E4077" s="30" t="inlineStr">
        <is>
          <t>LOJAS CEM S A</t>
        </is>
      </c>
      <c r="F4077" s="30" t="inlineStr">
        <is>
          <t>2017</t>
        </is>
      </c>
      <c r="G4077" s="40" t="n">
        <v>8770594.34</v>
      </c>
    </row>
    <row r="4078" ht="12" customHeight="1">
      <c r="A4078" s="30" t="inlineStr">
        <is>
          <t>ITG</t>
        </is>
      </c>
      <c r="B4078" s="30" t="inlineStr">
        <is>
          <t>Itaguai</t>
        </is>
      </c>
      <c r="C4078" s="30" t="n">
        <v>76208751</v>
      </c>
      <c r="D4078" s="30">
        <f>"56642960010504"</f>
        <v/>
      </c>
      <c r="E4078" s="30" t="inlineStr">
        <is>
          <t>LOJAS CEM S A</t>
        </is>
      </c>
      <c r="F4078" s="30" t="inlineStr">
        <is>
          <t>2018</t>
        </is>
      </c>
      <c r="G4078" s="40" t="n">
        <v>7950735.29</v>
      </c>
    </row>
    <row r="4079" ht="12" customHeight="1">
      <c r="A4079" s="30" t="inlineStr">
        <is>
          <t>ITG</t>
        </is>
      </c>
      <c r="B4079" s="30" t="inlineStr">
        <is>
          <t>Itaguai</t>
        </is>
      </c>
      <c r="C4079" s="30" t="n">
        <v>76208751</v>
      </c>
      <c r="D4079" s="30">
        <f>"56642960010504"</f>
        <v/>
      </c>
      <c r="E4079" s="30" t="inlineStr">
        <is>
          <t>LOJAS CEM S A</t>
        </is>
      </c>
      <c r="F4079" s="30" t="inlineStr">
        <is>
          <t>2019</t>
        </is>
      </c>
      <c r="G4079" s="40" t="n">
        <v>8197758.79</v>
      </c>
    </row>
    <row r="4080" ht="12" customHeight="1">
      <c r="A4080" s="30" t="inlineStr">
        <is>
          <t>ITG</t>
        </is>
      </c>
      <c r="B4080" s="30" t="inlineStr">
        <is>
          <t>Itaguai</t>
        </is>
      </c>
      <c r="C4080" s="30" t="n">
        <v>76208751</v>
      </c>
      <c r="D4080" s="30">
        <f>"56642960010504"</f>
        <v/>
      </c>
      <c r="E4080" s="30" t="inlineStr">
        <is>
          <t>LOJAS CEM S A</t>
        </is>
      </c>
      <c r="F4080" s="30" t="inlineStr">
        <is>
          <t>2020</t>
        </is>
      </c>
      <c r="G4080" s="40" t="n">
        <v>8856576.01</v>
      </c>
    </row>
    <row r="4081" ht="12" customHeight="1">
      <c r="A4081" s="30" t="inlineStr">
        <is>
          <t>ITG</t>
        </is>
      </c>
      <c r="B4081" s="30" t="inlineStr">
        <is>
          <t>Itaguai</t>
        </is>
      </c>
      <c r="C4081" s="30" t="n">
        <v>76208751</v>
      </c>
      <c r="D4081" s="30">
        <f>"56642960010504"</f>
        <v/>
      </c>
      <c r="E4081" s="30" t="inlineStr">
        <is>
          <t>LOJAS CEM S A</t>
        </is>
      </c>
      <c r="F4081" s="30" t="inlineStr">
        <is>
          <t>2021</t>
        </is>
      </c>
      <c r="G4081" s="40" t="n">
        <v>8361872.26</v>
      </c>
    </row>
    <row r="4082" ht="12" customHeight="1">
      <c r="A4082" s="30" t="inlineStr">
        <is>
          <t>ITG</t>
        </is>
      </c>
      <c r="B4082" s="30" t="inlineStr">
        <is>
          <t>Itaguai</t>
        </is>
      </c>
      <c r="C4082" s="30" t="n">
        <v>76208751</v>
      </c>
      <c r="D4082" s="30">
        <f>"56642960010504"</f>
        <v/>
      </c>
      <c r="E4082" s="30" t="inlineStr">
        <is>
          <t>LOJAS CEM S A</t>
        </is>
      </c>
      <c r="F4082" s="30" t="inlineStr">
        <is>
          <t>2022</t>
        </is>
      </c>
      <c r="G4082" s="40" t="n">
        <v>4797074.55</v>
      </c>
    </row>
    <row r="4083" ht="12" customHeight="1">
      <c r="A4083" s="30" t="inlineStr">
        <is>
          <t>ITG</t>
        </is>
      </c>
      <c r="B4083" s="30" t="inlineStr">
        <is>
          <t>Itaguai</t>
        </is>
      </c>
      <c r="C4083" s="30" t="n">
        <v>76208751</v>
      </c>
      <c r="D4083" s="30">
        <f>"56642960010504"</f>
        <v/>
      </c>
      <c r="E4083" s="30" t="inlineStr">
        <is>
          <t>LOJAS CEM S A</t>
        </is>
      </c>
      <c r="F4083" s="30" t="inlineStr">
        <is>
          <t>2023</t>
        </is>
      </c>
      <c r="G4083" s="40" t="n">
        <v>5057014.87</v>
      </c>
    </row>
    <row r="4084" ht="12" customHeight="1">
      <c r="A4084" s="30" t="inlineStr">
        <is>
          <t>ITG</t>
        </is>
      </c>
      <c r="B4084" s="30" t="inlineStr">
        <is>
          <t>Itaguai</t>
        </is>
      </c>
      <c r="C4084" s="30" t="n">
        <v>76208972</v>
      </c>
      <c r="D4084" s="30">
        <f>"04316457000160"</f>
        <v/>
      </c>
      <c r="E4084" s="30" t="inlineStr">
        <is>
          <t>MACCOMEVAP INDUSTRIA COMERCIO DE TECNOLOGIA EM ILUMINACAO E SERVICOS ELETROMECANICOS LTDA</t>
        </is>
      </c>
      <c r="F4084" s="30" t="inlineStr">
        <is>
          <t>2017</t>
        </is>
      </c>
      <c r="G4084" s="40" t="n">
        <v>4226680.92</v>
      </c>
    </row>
    <row r="4085" ht="12" customHeight="1">
      <c r="A4085" s="30" t="inlineStr">
        <is>
          <t>ITG</t>
        </is>
      </c>
      <c r="B4085" s="30" t="inlineStr">
        <is>
          <t>Itaguai</t>
        </is>
      </c>
      <c r="C4085" s="30" t="n">
        <v>76208972</v>
      </c>
      <c r="D4085" s="30">
        <f>"04316457000160"</f>
        <v/>
      </c>
      <c r="E4085" s="30" t="inlineStr">
        <is>
          <t>MACCOMEVAP INDUSTRIA COMERCIO DE TECNOLOGIA EM ILUMINACAO E SERVICOS ELETROMECANICOS LTDA</t>
        </is>
      </c>
      <c r="F4085" s="30" t="inlineStr">
        <is>
          <t>2018</t>
        </is>
      </c>
      <c r="G4085" s="40" t="n">
        <v>3579894.18</v>
      </c>
    </row>
    <row r="4086" ht="12" customHeight="1">
      <c r="A4086" s="30" t="inlineStr">
        <is>
          <t>ITG</t>
        </is>
      </c>
      <c r="B4086" s="30" t="inlineStr">
        <is>
          <t>Itaguai</t>
        </is>
      </c>
      <c r="C4086" s="30" t="n">
        <v>76208972</v>
      </c>
      <c r="D4086" s="30">
        <f>"04316457000160"</f>
        <v/>
      </c>
      <c r="E4086" s="30" t="inlineStr">
        <is>
          <t>MACCOMEVAP INDUSTRIA COMERCIO DE TECNOLOGIA EM ILUMINACAO E SERVICOS ELETROMECANICOS LTDA</t>
        </is>
      </c>
      <c r="F4086" s="30" t="inlineStr">
        <is>
          <t>2019</t>
        </is>
      </c>
      <c r="G4086" s="40" t="n">
        <v>12726467.16</v>
      </c>
    </row>
    <row r="4087" ht="12" customHeight="1">
      <c r="A4087" s="30" t="inlineStr">
        <is>
          <t>ITG</t>
        </is>
      </c>
      <c r="B4087" s="30" t="inlineStr">
        <is>
          <t>Itaguai</t>
        </is>
      </c>
      <c r="C4087" s="30" t="n">
        <v>76208972</v>
      </c>
      <c r="D4087" s="30">
        <f>"04316457000160"</f>
        <v/>
      </c>
      <c r="E4087" s="30" t="inlineStr">
        <is>
          <t>MACCOMEVAP INDUSTRIA COMERCIO DE TECNOLOGIA EM ILUMINACAO E SERVICOS ELETROMECANICOS LTDA</t>
        </is>
      </c>
      <c r="F4087" s="30" t="inlineStr">
        <is>
          <t>2020</t>
        </is>
      </c>
      <c r="G4087" s="40" t="n">
        <v>17435833.4</v>
      </c>
    </row>
    <row r="4088" ht="12" customHeight="1">
      <c r="A4088" s="30" t="inlineStr">
        <is>
          <t>ITG</t>
        </is>
      </c>
      <c r="B4088" s="30" t="inlineStr">
        <is>
          <t>Itaguai</t>
        </is>
      </c>
      <c r="C4088" s="30" t="n">
        <v>76208972</v>
      </c>
      <c r="D4088" s="30">
        <f>"04316457000160"</f>
        <v/>
      </c>
      <c r="E4088" s="30" t="inlineStr">
        <is>
          <t>MACCOMEVAP INDUSTRIA COMERCIO DE TECNOLOGIA EM ILUMINACAO E SERVICOS ELETROMECANICOS LTDA</t>
        </is>
      </c>
      <c r="F4088" s="30" t="inlineStr">
        <is>
          <t>2021</t>
        </is>
      </c>
      <c r="G4088" s="40" t="n">
        <v>21557874.53</v>
      </c>
    </row>
    <row r="4089" ht="12" customHeight="1">
      <c r="A4089" s="30" t="inlineStr">
        <is>
          <t>ITG</t>
        </is>
      </c>
      <c r="B4089" s="30" t="inlineStr">
        <is>
          <t>Itaguai</t>
        </is>
      </c>
      <c r="C4089" s="30" t="n">
        <v>76208972</v>
      </c>
      <c r="D4089" s="30">
        <f>"04316457000160"</f>
        <v/>
      </c>
      <c r="E4089" s="30" t="inlineStr">
        <is>
          <t>MACCOMEVAP INDUSTRIA COMERCIO DE TECNOLOGIA EM ILUMINACAO E SERVICOS ELETROMECANICOS LTDA</t>
        </is>
      </c>
      <c r="F4089" s="30" t="inlineStr">
        <is>
          <t>2022</t>
        </is>
      </c>
      <c r="G4089" s="40" t="n">
        <v>25432906.58</v>
      </c>
    </row>
    <row r="4090" ht="12" customHeight="1">
      <c r="A4090" s="30" t="inlineStr">
        <is>
          <t>ITG</t>
        </is>
      </c>
      <c r="B4090" s="30" t="inlineStr">
        <is>
          <t>Itaguai</t>
        </is>
      </c>
      <c r="C4090" s="30" t="n">
        <v>76208972</v>
      </c>
      <c r="D4090" s="30">
        <f>"04316457000160"</f>
        <v/>
      </c>
      <c r="E4090" s="30" t="inlineStr">
        <is>
          <t>MACCOMEVAP INDUSTRIA COMERCIO DE TECNOLOGIA EM ILUMINACAO E SERVICOS ELETROMECANICOS LTDA</t>
        </is>
      </c>
      <c r="F4090" s="30" t="inlineStr">
        <is>
          <t>2023</t>
        </is>
      </c>
      <c r="G4090" s="40" t="n">
        <v>39452869.03</v>
      </c>
    </row>
    <row r="4091" ht="12" customHeight="1">
      <c r="A4091" s="30" t="inlineStr">
        <is>
          <t>ITG</t>
        </is>
      </c>
      <c r="B4091" s="30" t="inlineStr">
        <is>
          <t>Itaguai</t>
        </is>
      </c>
      <c r="C4091" s="30" t="n">
        <v>76209200</v>
      </c>
      <c r="D4091" s="30">
        <f>"04524750000113"</f>
        <v/>
      </c>
      <c r="E4091" s="30" t="inlineStr">
        <is>
          <t>MULTIMARCAS SOCIEDADE DE TECNICA GM</t>
        </is>
      </c>
      <c r="F4091" s="30" t="inlineStr">
        <is>
          <t>2017</t>
        </is>
      </c>
      <c r="G4091" s="40" t="n">
        <v>0</v>
      </c>
    </row>
    <row r="4092" ht="12" customHeight="1">
      <c r="A4092" s="30" t="inlineStr">
        <is>
          <t>ITG</t>
        </is>
      </c>
      <c r="B4092" s="30" t="inlineStr">
        <is>
          <t>Itaguai</t>
        </is>
      </c>
      <c r="C4092" s="30" t="n">
        <v>76209200</v>
      </c>
      <c r="D4092" s="30">
        <f>"04524750000113"</f>
        <v/>
      </c>
      <c r="E4092" s="30" t="inlineStr">
        <is>
          <t>MULTIMARCAS SOCIEDADE DE TECNICA GM</t>
        </is>
      </c>
      <c r="F4092" s="30" t="inlineStr">
        <is>
          <t>2018</t>
        </is>
      </c>
      <c r="G4092" s="40" t="n">
        <v>0</v>
      </c>
    </row>
    <row r="4093" ht="12" customHeight="1">
      <c r="A4093" s="30" t="inlineStr">
        <is>
          <t>ITG</t>
        </is>
      </c>
      <c r="B4093" s="30" t="inlineStr">
        <is>
          <t>Itaguai</t>
        </is>
      </c>
      <c r="C4093" s="30" t="n">
        <v>76209200</v>
      </c>
      <c r="D4093" s="30">
        <f>"04524750000113"</f>
        <v/>
      </c>
      <c r="E4093" s="30" t="inlineStr">
        <is>
          <t>MULTIMARCAS SOCIEDADE DE TECNICA GM</t>
        </is>
      </c>
      <c r="F4093" s="30" t="inlineStr">
        <is>
          <t>2019</t>
        </is>
      </c>
      <c r="G4093" s="40" t="n">
        <v>0</v>
      </c>
    </row>
    <row r="4094" ht="12" customHeight="1">
      <c r="A4094" s="30" t="inlineStr">
        <is>
          <t>ITG</t>
        </is>
      </c>
      <c r="B4094" s="30" t="inlineStr">
        <is>
          <t>Itaguai</t>
        </is>
      </c>
      <c r="C4094" s="30" t="n">
        <v>76209200</v>
      </c>
      <c r="D4094" s="30">
        <f>"04524750000113"</f>
        <v/>
      </c>
      <c r="E4094" s="30" t="inlineStr">
        <is>
          <t>MULTIMARCAS SOCIEDADE DE TECNICA GM</t>
        </is>
      </c>
      <c r="F4094" s="30" t="inlineStr">
        <is>
          <t>2020</t>
        </is>
      </c>
      <c r="G4094" s="40" t="n">
        <v>0</v>
      </c>
    </row>
    <row r="4095" ht="12" customHeight="1">
      <c r="A4095" s="30" t="inlineStr">
        <is>
          <t>ITG</t>
        </is>
      </c>
      <c r="B4095" s="30" t="inlineStr">
        <is>
          <t>Itaguai</t>
        </is>
      </c>
      <c r="C4095" s="30" t="n">
        <v>76221723</v>
      </c>
      <c r="D4095" s="30">
        <f>"04564857000195"</f>
        <v/>
      </c>
      <c r="E4095" s="30" t="inlineStr">
        <is>
          <t>BLOCFER MATERIAIS DE CONSTRUCAO LTDA ME</t>
        </is>
      </c>
      <c r="F4095" s="30" t="inlineStr">
        <is>
          <t>2017</t>
        </is>
      </c>
      <c r="G4095" s="40" t="n">
        <v>0</v>
      </c>
    </row>
    <row r="4096" ht="12" customHeight="1">
      <c r="A4096" s="30" t="inlineStr">
        <is>
          <t>ITG</t>
        </is>
      </c>
      <c r="B4096" s="30" t="inlineStr">
        <is>
          <t>Itaguai</t>
        </is>
      </c>
      <c r="C4096" s="30" t="n">
        <v>76221723</v>
      </c>
      <c r="D4096" s="30">
        <f>"04564857000195"</f>
        <v/>
      </c>
      <c r="E4096" s="30" t="inlineStr">
        <is>
          <t>BLOCFER MATERIAIS DE CONSTRUCAO LTDA ME</t>
        </is>
      </c>
      <c r="F4096" s="30" t="inlineStr">
        <is>
          <t>2018</t>
        </is>
      </c>
      <c r="G4096" s="40" t="n">
        <v>0</v>
      </c>
    </row>
    <row r="4097" ht="12" customHeight="1">
      <c r="A4097" s="30" t="inlineStr">
        <is>
          <t>ITG</t>
        </is>
      </c>
      <c r="B4097" s="30" t="inlineStr">
        <is>
          <t>Itaguai</t>
        </is>
      </c>
      <c r="C4097" s="30" t="n">
        <v>76221723</v>
      </c>
      <c r="D4097" s="30">
        <f>"04564857000195"</f>
        <v/>
      </c>
      <c r="E4097" s="30" t="inlineStr">
        <is>
          <t>BLOCFER MATERIAIS DE CONSTRUCAO LTDA ME</t>
        </is>
      </c>
      <c r="F4097" s="30" t="inlineStr">
        <is>
          <t>2019</t>
        </is>
      </c>
      <c r="G4097" s="40" t="n">
        <v>0</v>
      </c>
    </row>
    <row r="4098" ht="12" customHeight="1">
      <c r="A4098" s="30" t="inlineStr">
        <is>
          <t>ITG</t>
        </is>
      </c>
      <c r="B4098" s="30" t="inlineStr">
        <is>
          <t>Itaguai</t>
        </is>
      </c>
      <c r="C4098" s="30" t="n">
        <v>76221723</v>
      </c>
      <c r="D4098" s="30">
        <f>"04564857000195"</f>
        <v/>
      </c>
      <c r="E4098" s="30" t="inlineStr">
        <is>
          <t>BLOCFER MATERIAIS DE CONSTRUCAO LTDA ME</t>
        </is>
      </c>
      <c r="F4098" s="30" t="inlineStr">
        <is>
          <t>2020</t>
        </is>
      </c>
      <c r="G4098" s="40" t="n">
        <v>42975.28</v>
      </c>
    </row>
    <row r="4099" ht="12" customHeight="1">
      <c r="A4099" s="30" t="inlineStr">
        <is>
          <t>ITG</t>
        </is>
      </c>
      <c r="B4099" s="30" t="inlineStr">
        <is>
          <t>Itaguai</t>
        </is>
      </c>
      <c r="C4099" s="30" t="n">
        <v>76221723</v>
      </c>
      <c r="D4099" s="30">
        <f>"04564857000195"</f>
        <v/>
      </c>
      <c r="E4099" s="30" t="inlineStr">
        <is>
          <t>BLOCFER MATERIAIS DE CONSTRUCAO LTDA ME</t>
        </is>
      </c>
      <c r="F4099" s="30" t="inlineStr">
        <is>
          <t>2021</t>
        </is>
      </c>
      <c r="G4099" s="40" t="n">
        <v>0</v>
      </c>
    </row>
    <row r="4100" ht="12" customHeight="1">
      <c r="A4100" s="30" t="inlineStr">
        <is>
          <t>ITG</t>
        </is>
      </c>
      <c r="B4100" s="30" t="inlineStr">
        <is>
          <t>Itaguai</t>
        </is>
      </c>
      <c r="C4100" s="30" t="n">
        <v>76221723</v>
      </c>
      <c r="D4100" s="30">
        <f>"04564857000195"</f>
        <v/>
      </c>
      <c r="E4100" s="30" t="inlineStr">
        <is>
          <t>BLOCFER MATERIAIS DE CONSTRUCAO LTDA ME</t>
        </is>
      </c>
      <c r="F4100" s="30" t="inlineStr">
        <is>
          <t>2022</t>
        </is>
      </c>
      <c r="G4100" s="40" t="n">
        <v>0</v>
      </c>
    </row>
    <row r="4101" ht="12" customHeight="1">
      <c r="A4101" s="30" t="inlineStr">
        <is>
          <t>ITG</t>
        </is>
      </c>
      <c r="B4101" s="30" t="inlineStr">
        <is>
          <t>Itaguai</t>
        </is>
      </c>
      <c r="C4101" s="30" t="n">
        <v>76221723</v>
      </c>
      <c r="D4101" s="30">
        <f>"04564857000195"</f>
        <v/>
      </c>
      <c r="E4101" s="30" t="inlineStr">
        <is>
          <t>BLOCFER MATERIAIS DE CONSTRUCAO LTDA ME</t>
        </is>
      </c>
      <c r="F4101" s="30" t="inlineStr">
        <is>
          <t>2023</t>
        </is>
      </c>
      <c r="G4101" s="40" t="n">
        <v>0</v>
      </c>
    </row>
    <row r="4102" ht="12" customHeight="1">
      <c r="A4102" s="30" t="inlineStr">
        <is>
          <t>ITG</t>
        </is>
      </c>
      <c r="B4102" s="30" t="inlineStr">
        <is>
          <t>Itaguai</t>
        </is>
      </c>
      <c r="C4102" s="30" t="n">
        <v>76224382</v>
      </c>
      <c r="D4102" s="30">
        <f>"81442014000833"</f>
        <v/>
      </c>
      <c r="E4102" s="30" t="inlineStr">
        <is>
          <t>MOINHO GLOBO ALIMENTOS S A</t>
        </is>
      </c>
      <c r="F4102" s="30" t="inlineStr">
        <is>
          <t>2019</t>
        </is>
      </c>
      <c r="G4102" s="40" t="n">
        <v>0</v>
      </c>
    </row>
    <row r="4103" ht="12" customHeight="1">
      <c r="A4103" s="30" t="inlineStr">
        <is>
          <t>ITG</t>
        </is>
      </c>
      <c r="B4103" s="30" t="inlineStr">
        <is>
          <t>Itaguai</t>
        </is>
      </c>
      <c r="C4103" s="30" t="n">
        <v>76224382</v>
      </c>
      <c r="D4103" s="30">
        <f>"81442014000833"</f>
        <v/>
      </c>
      <c r="E4103" s="30" t="inlineStr">
        <is>
          <t>MOINHO GLOBO ALIMENTOS S A</t>
        </is>
      </c>
      <c r="F4103" s="30" t="inlineStr">
        <is>
          <t>2020</t>
        </is>
      </c>
      <c r="G4103" s="40" t="n">
        <v>0</v>
      </c>
    </row>
    <row r="4104" ht="12" customHeight="1">
      <c r="A4104" s="30" t="inlineStr">
        <is>
          <t>ITG</t>
        </is>
      </c>
      <c r="B4104" s="30" t="inlineStr">
        <is>
          <t>Itaguai</t>
        </is>
      </c>
      <c r="C4104" s="30" t="n">
        <v>76224382</v>
      </c>
      <c r="D4104" s="30">
        <f>"81442014000833"</f>
        <v/>
      </c>
      <c r="E4104" s="30" t="inlineStr">
        <is>
          <t>MOINHO GLOBO ALIMENTOS S A</t>
        </is>
      </c>
      <c r="F4104" s="30" t="inlineStr">
        <is>
          <t>2021</t>
        </is>
      </c>
      <c r="G4104" s="40" t="n">
        <v>360896.34</v>
      </c>
    </row>
    <row r="4105" ht="12" customHeight="1">
      <c r="A4105" s="30" t="inlineStr">
        <is>
          <t>ITG</t>
        </is>
      </c>
      <c r="B4105" s="30" t="inlineStr">
        <is>
          <t>Itaguai</t>
        </is>
      </c>
      <c r="C4105" s="30" t="n">
        <v>76224382</v>
      </c>
      <c r="D4105" s="30">
        <f>"81442014000833"</f>
        <v/>
      </c>
      <c r="E4105" s="30" t="inlineStr">
        <is>
          <t>MOINHO GLOBO ALIMENTOS S A</t>
        </is>
      </c>
      <c r="F4105" s="30" t="inlineStr">
        <is>
          <t>2022</t>
        </is>
      </c>
      <c r="G4105" s="40" t="n">
        <v>284083.22</v>
      </c>
    </row>
    <row r="4106" ht="12" customHeight="1">
      <c r="A4106" s="30" t="inlineStr">
        <is>
          <t>ITG</t>
        </is>
      </c>
      <c r="B4106" s="30" t="inlineStr">
        <is>
          <t>Itaguai</t>
        </is>
      </c>
      <c r="C4106" s="30" t="n">
        <v>76224382</v>
      </c>
      <c r="D4106" s="30">
        <f>"81442014000833"</f>
        <v/>
      </c>
      <c r="E4106" s="30" t="inlineStr">
        <is>
          <t>MOINHO GLOBO ALIMENTOS S A</t>
        </is>
      </c>
      <c r="F4106" s="30" t="inlineStr">
        <is>
          <t>2023</t>
        </is>
      </c>
      <c r="G4106" s="40" t="n">
        <v>428493.06</v>
      </c>
    </row>
    <row r="4107" ht="12" customHeight="1">
      <c r="A4107" s="30" t="inlineStr">
        <is>
          <t>ITG</t>
        </is>
      </c>
      <c r="B4107" s="30" t="inlineStr">
        <is>
          <t>Itaguai</t>
        </is>
      </c>
      <c r="C4107" s="30" t="n">
        <v>76230145</v>
      </c>
      <c r="D4107" s="30">
        <f>"04360163000136"</f>
        <v/>
      </c>
      <c r="E4107" s="30" t="inlineStr">
        <is>
          <t>S S D SILVA DISTRIBUIDORA DE GAS GLP ME</t>
        </is>
      </c>
      <c r="F4107" s="30" t="inlineStr">
        <is>
          <t>2017</t>
        </is>
      </c>
      <c r="G4107" s="40" t="n">
        <v>0</v>
      </c>
    </row>
    <row r="4108" ht="12" customHeight="1">
      <c r="A4108" s="30" t="inlineStr">
        <is>
          <t>ITG</t>
        </is>
      </c>
      <c r="B4108" s="30" t="inlineStr">
        <is>
          <t>Itaguai</t>
        </is>
      </c>
      <c r="C4108" s="30" t="n">
        <v>76230145</v>
      </c>
      <c r="D4108" s="30">
        <f>"04360163000136"</f>
        <v/>
      </c>
      <c r="E4108" s="30" t="inlineStr">
        <is>
          <t>S S D SILVA DISTRIBUIDORA DE GAS GLP ME</t>
        </is>
      </c>
      <c r="F4108" s="30" t="inlineStr">
        <is>
          <t>2018</t>
        </is>
      </c>
      <c r="G4108" s="40" t="n">
        <v>109547.7</v>
      </c>
    </row>
    <row r="4109" ht="12" customHeight="1">
      <c r="A4109" s="30" t="inlineStr">
        <is>
          <t>ITG</t>
        </is>
      </c>
      <c r="B4109" s="30" t="inlineStr">
        <is>
          <t>Itaguai</t>
        </is>
      </c>
      <c r="C4109" s="30" t="n">
        <v>76230145</v>
      </c>
      <c r="D4109" s="30">
        <f>"04360163000136"</f>
        <v/>
      </c>
      <c r="E4109" s="30" t="inlineStr">
        <is>
          <t>S S D SILVA DISTRIBUIDORA DE GAS GLP ME</t>
        </is>
      </c>
      <c r="F4109" s="30" t="inlineStr">
        <is>
          <t>2019</t>
        </is>
      </c>
      <c r="G4109" s="40" t="n">
        <v>163805.53</v>
      </c>
    </row>
    <row r="4110" ht="12" customHeight="1">
      <c r="A4110" s="30" t="inlineStr">
        <is>
          <t>ITG</t>
        </is>
      </c>
      <c r="B4110" s="30" t="inlineStr">
        <is>
          <t>Itaguai</t>
        </is>
      </c>
      <c r="C4110" s="30" t="n">
        <v>76230145</v>
      </c>
      <c r="D4110" s="30">
        <f>"04360163000136"</f>
        <v/>
      </c>
      <c r="E4110" s="30" t="inlineStr">
        <is>
          <t>S S D SILVA DISTRIBUIDORA DE GAS GLP ME</t>
        </is>
      </c>
      <c r="F4110" s="30" t="inlineStr">
        <is>
          <t>2020</t>
        </is>
      </c>
      <c r="G4110" s="40" t="n">
        <v>58779.92</v>
      </c>
    </row>
    <row r="4111" ht="12" customHeight="1">
      <c r="A4111" s="30" t="inlineStr">
        <is>
          <t>ITG</t>
        </is>
      </c>
      <c r="B4111" s="30" t="inlineStr">
        <is>
          <t>Itaguai</t>
        </is>
      </c>
      <c r="C4111" s="30" t="n">
        <v>76230145</v>
      </c>
      <c r="D4111" s="30">
        <f>"04360163000136"</f>
        <v/>
      </c>
      <c r="E4111" s="30" t="inlineStr">
        <is>
          <t>S S D SILVA DISTRIBUIDORA DE GAS GLP ME</t>
        </is>
      </c>
      <c r="F4111" s="30" t="inlineStr">
        <is>
          <t>2021</t>
        </is>
      </c>
      <c r="G4111" s="40" t="n">
        <v>284528</v>
      </c>
    </row>
    <row r="4112" ht="12" customHeight="1">
      <c r="A4112" s="30" t="inlineStr">
        <is>
          <t>ITG</t>
        </is>
      </c>
      <c r="B4112" s="30" t="inlineStr">
        <is>
          <t>Itaguai</t>
        </is>
      </c>
      <c r="C4112" s="30" t="n">
        <v>76230145</v>
      </c>
      <c r="D4112" s="30">
        <f>"04360163000136"</f>
        <v/>
      </c>
      <c r="E4112" s="30" t="inlineStr">
        <is>
          <t>S S D SILVA DISTRIBUIDORA DE GAS GLP ME</t>
        </is>
      </c>
      <c r="F4112" s="30" t="inlineStr">
        <is>
          <t>2022</t>
        </is>
      </c>
      <c r="G4112" s="40" t="n">
        <v>456675.21</v>
      </c>
    </row>
    <row r="4113" ht="12" customHeight="1">
      <c r="A4113" s="30" t="inlineStr">
        <is>
          <t>ITG</t>
        </is>
      </c>
      <c r="B4113" s="30" t="inlineStr">
        <is>
          <t>Itaguai</t>
        </is>
      </c>
      <c r="C4113" s="30" t="n">
        <v>76230145</v>
      </c>
      <c r="D4113" s="30">
        <f>"04360163000136"</f>
        <v/>
      </c>
      <c r="E4113" s="30" t="inlineStr">
        <is>
          <t>S S D SILVA DISTRIBUIDORA DE GAS GLP ME</t>
        </is>
      </c>
      <c r="F4113" s="30" t="inlineStr">
        <is>
          <t>2023</t>
        </is>
      </c>
      <c r="G4113" s="40" t="n">
        <v>737626.73</v>
      </c>
    </row>
    <row r="4114" ht="12" customHeight="1">
      <c r="A4114" s="30" t="inlineStr">
        <is>
          <t>ITG</t>
        </is>
      </c>
      <c r="B4114" s="30" t="inlineStr">
        <is>
          <t>Itaguai</t>
        </is>
      </c>
      <c r="C4114" s="30" t="n">
        <v>77019090</v>
      </c>
      <c r="D4114" s="30">
        <f>"03384298000764"</f>
        <v/>
      </c>
      <c r="E4114" s="30" t="inlineStr">
        <is>
          <t>FLUMAR TRANSPORTES DE QUIMICOS E GASES LTDA</t>
        </is>
      </c>
      <c r="F4114" s="30" t="inlineStr">
        <is>
          <t>2017</t>
        </is>
      </c>
      <c r="G4114" s="40" t="n">
        <v>0</v>
      </c>
    </row>
    <row r="4115" ht="12" customHeight="1">
      <c r="A4115" s="30" t="inlineStr">
        <is>
          <t>ITG</t>
        </is>
      </c>
      <c r="B4115" s="30" t="inlineStr">
        <is>
          <t>Itaguai</t>
        </is>
      </c>
      <c r="C4115" s="30" t="n">
        <v>77019090</v>
      </c>
      <c r="D4115" s="30">
        <f>"03384298000764"</f>
        <v/>
      </c>
      <c r="E4115" s="30" t="inlineStr">
        <is>
          <t>FLUMAR TRANSPORTES DE QUIMICOS E GASES LTDA</t>
        </is>
      </c>
      <c r="F4115" s="30" t="inlineStr">
        <is>
          <t>2018</t>
        </is>
      </c>
      <c r="G4115" s="40" t="n">
        <v>18154517.53</v>
      </c>
    </row>
    <row r="4116" ht="12" customHeight="1">
      <c r="A4116" s="30" t="inlineStr">
        <is>
          <t>ITG</t>
        </is>
      </c>
      <c r="B4116" s="30" t="inlineStr">
        <is>
          <t>Itaguai</t>
        </is>
      </c>
      <c r="C4116" s="30" t="n">
        <v>77019090</v>
      </c>
      <c r="D4116" s="30">
        <f>"03384298000764"</f>
        <v/>
      </c>
      <c r="E4116" s="30" t="inlineStr">
        <is>
          <t>FLUMAR TRANSPORTES DE QUIMICOS E GASES LTDA</t>
        </is>
      </c>
      <c r="F4116" s="30" t="inlineStr">
        <is>
          <t>2019</t>
        </is>
      </c>
      <c r="G4116" s="40" t="n">
        <v>0</v>
      </c>
    </row>
    <row r="4117" ht="12" customHeight="1">
      <c r="A4117" s="30" t="inlineStr">
        <is>
          <t>ITG</t>
        </is>
      </c>
      <c r="B4117" s="30" t="inlineStr">
        <is>
          <t>Itaguai</t>
        </is>
      </c>
      <c r="C4117" s="30" t="n">
        <v>77019090</v>
      </c>
      <c r="D4117" s="30">
        <f>"03384298000764"</f>
        <v/>
      </c>
      <c r="E4117" s="30" t="inlineStr">
        <is>
          <t>FLUMAR TRANSPORTES DE QUIMICOS E GASES LTDA</t>
        </is>
      </c>
      <c r="F4117" s="30" t="inlineStr">
        <is>
          <t>2020</t>
        </is>
      </c>
      <c r="G4117" s="40" t="n">
        <v>0</v>
      </c>
    </row>
    <row r="4118" ht="12" customHeight="1">
      <c r="A4118" s="30" t="inlineStr">
        <is>
          <t>ITG</t>
        </is>
      </c>
      <c r="B4118" s="30" t="inlineStr">
        <is>
          <t>Itaguai</t>
        </is>
      </c>
      <c r="C4118" s="30" t="n">
        <v>77028412</v>
      </c>
      <c r="D4118" s="30">
        <f>"17215039000552"</f>
        <v/>
      </c>
      <c r="E4118" s="30" t="inlineStr">
        <is>
          <t>TRANSPORTES PESADOS MINAS S A</t>
        </is>
      </c>
      <c r="F4118" s="30" t="inlineStr">
        <is>
          <t>2017</t>
        </is>
      </c>
      <c r="G4118" s="40" t="n">
        <v>4009.75</v>
      </c>
    </row>
    <row r="4119" ht="12" customHeight="1">
      <c r="A4119" s="30" t="inlineStr">
        <is>
          <t>ITG</t>
        </is>
      </c>
      <c r="B4119" s="30" t="inlineStr">
        <is>
          <t>Itaguai</t>
        </is>
      </c>
      <c r="C4119" s="30" t="n">
        <v>77028412</v>
      </c>
      <c r="D4119" s="30">
        <f>"17215039000552"</f>
        <v/>
      </c>
      <c r="E4119" s="30" t="inlineStr">
        <is>
          <t>TRANSPORTES PESADOS MINAS S A</t>
        </is>
      </c>
      <c r="F4119" s="30" t="inlineStr">
        <is>
          <t>2018</t>
        </is>
      </c>
      <c r="G4119" s="40" t="n">
        <v>0</v>
      </c>
    </row>
    <row r="4120" ht="12" customHeight="1">
      <c r="A4120" s="30" t="inlineStr">
        <is>
          <t>ITG</t>
        </is>
      </c>
      <c r="B4120" s="30" t="inlineStr">
        <is>
          <t>Itaguai</t>
        </is>
      </c>
      <c r="C4120" s="30" t="n">
        <v>77028412</v>
      </c>
      <c r="D4120" s="30">
        <f>"17215039000552"</f>
        <v/>
      </c>
      <c r="E4120" s="30" t="inlineStr">
        <is>
          <t>TRANSPORTES PESADOS MINAS S A</t>
        </is>
      </c>
      <c r="F4120" s="30" t="inlineStr">
        <is>
          <t>2019</t>
        </is>
      </c>
      <c r="G4120" s="40" t="n">
        <v>105935.94</v>
      </c>
    </row>
    <row r="4121" ht="12" customHeight="1">
      <c r="A4121" s="30" t="inlineStr">
        <is>
          <t>ITG</t>
        </is>
      </c>
      <c r="B4121" s="30" t="inlineStr">
        <is>
          <t>Itaguai</t>
        </is>
      </c>
      <c r="C4121" s="30" t="n">
        <v>77028412</v>
      </c>
      <c r="D4121" s="30">
        <f>"17215039000552"</f>
        <v/>
      </c>
      <c r="E4121" s="30" t="inlineStr">
        <is>
          <t>TRANSPORTES PESADOS MINAS S A</t>
        </is>
      </c>
      <c r="F4121" s="30" t="inlineStr">
        <is>
          <t>2020</t>
        </is>
      </c>
      <c r="G4121" s="40" t="n">
        <v>18513.4</v>
      </c>
    </row>
    <row r="4122" ht="12" customHeight="1">
      <c r="A4122" s="30" t="inlineStr">
        <is>
          <t>ITG</t>
        </is>
      </c>
      <c r="B4122" s="30" t="inlineStr">
        <is>
          <t>Itaguai</t>
        </is>
      </c>
      <c r="C4122" s="30" t="n">
        <v>77028412</v>
      </c>
      <c r="D4122" s="30">
        <f>"17215039000552"</f>
        <v/>
      </c>
      <c r="E4122" s="30" t="inlineStr">
        <is>
          <t>TRANSPORTES PESADOS MINAS S A</t>
        </is>
      </c>
      <c r="F4122" s="30" t="inlineStr">
        <is>
          <t>2021</t>
        </is>
      </c>
      <c r="G4122" s="40" t="n">
        <v>11819.44</v>
      </c>
    </row>
    <row r="4123" ht="12" customHeight="1">
      <c r="A4123" s="30" t="inlineStr">
        <is>
          <t>ITG</t>
        </is>
      </c>
      <c r="B4123" s="30" t="inlineStr">
        <is>
          <t>Itaguai</t>
        </is>
      </c>
      <c r="C4123" s="30" t="n">
        <v>77028412</v>
      </c>
      <c r="D4123" s="30">
        <f>"17215039000552"</f>
        <v/>
      </c>
      <c r="E4123" s="30" t="inlineStr">
        <is>
          <t>TRANSPORTES PESADOS MINAS S A</t>
        </is>
      </c>
      <c r="F4123" s="30" t="inlineStr">
        <is>
          <t>2022</t>
        </is>
      </c>
      <c r="G4123" s="40" t="n">
        <v>483558.75</v>
      </c>
    </row>
    <row r="4124" ht="12" customHeight="1">
      <c r="A4124" s="30" t="inlineStr">
        <is>
          <t>ITG</t>
        </is>
      </c>
      <c r="B4124" s="30" t="inlineStr">
        <is>
          <t>Itaguai</t>
        </is>
      </c>
      <c r="C4124" s="30" t="n">
        <v>77028412</v>
      </c>
      <c r="D4124" s="30">
        <f>"17215039000552"</f>
        <v/>
      </c>
      <c r="E4124" s="30" t="inlineStr">
        <is>
          <t>TRANSPORTES PESADOS MINAS S A</t>
        </is>
      </c>
      <c r="F4124" s="30" t="inlineStr">
        <is>
          <t>2023</t>
        </is>
      </c>
      <c r="G4124" s="40" t="n">
        <v>1560751.49</v>
      </c>
    </row>
    <row r="4125" ht="12" customHeight="1">
      <c r="A4125" s="30" t="inlineStr">
        <is>
          <t>ITG</t>
        </is>
      </c>
      <c r="B4125" s="30" t="inlineStr">
        <is>
          <t>Itaguai</t>
        </is>
      </c>
      <c r="C4125" s="30" t="n">
        <v>77032037</v>
      </c>
      <c r="D4125" s="30">
        <f>"03564702000196"</f>
        <v/>
      </c>
      <c r="E4125" s="30" t="inlineStr">
        <is>
          <t>PH TRANSPORTES EIRELI</t>
        </is>
      </c>
      <c r="F4125" s="30" t="inlineStr">
        <is>
          <t>2017</t>
        </is>
      </c>
      <c r="G4125" s="40" t="n">
        <v>0</v>
      </c>
    </row>
    <row r="4126" ht="12" customHeight="1">
      <c r="A4126" s="30" t="inlineStr">
        <is>
          <t>ITG</t>
        </is>
      </c>
      <c r="B4126" s="30" t="inlineStr">
        <is>
          <t>Itaguai</t>
        </is>
      </c>
      <c r="C4126" s="30" t="n">
        <v>77032037</v>
      </c>
      <c r="D4126" s="30">
        <f>"03564702000196"</f>
        <v/>
      </c>
      <c r="E4126" s="30" t="inlineStr">
        <is>
          <t>PH TRANSPORTES EIRELI</t>
        </is>
      </c>
      <c r="F4126" s="30" t="inlineStr">
        <is>
          <t>2018</t>
        </is>
      </c>
      <c r="G4126" s="40" t="n">
        <v>0</v>
      </c>
    </row>
    <row r="4127" ht="12" customHeight="1">
      <c r="A4127" s="30" t="inlineStr">
        <is>
          <t>ITG</t>
        </is>
      </c>
      <c r="B4127" s="30" t="inlineStr">
        <is>
          <t>Itaguai</t>
        </is>
      </c>
      <c r="C4127" s="30" t="n">
        <v>77032037</v>
      </c>
      <c r="D4127" s="30">
        <f>"03564702000196"</f>
        <v/>
      </c>
      <c r="E4127" s="30" t="inlineStr">
        <is>
          <t>PH TRANSPORTES EIRELI</t>
        </is>
      </c>
      <c r="F4127" s="30" t="inlineStr">
        <is>
          <t>2019</t>
        </is>
      </c>
      <c r="G4127" s="40" t="n">
        <v>1668822.45</v>
      </c>
    </row>
    <row r="4128" ht="12" customHeight="1">
      <c r="A4128" s="30" t="inlineStr">
        <is>
          <t>ITG</t>
        </is>
      </c>
      <c r="B4128" s="30" t="inlineStr">
        <is>
          <t>Itaguai</t>
        </is>
      </c>
      <c r="C4128" s="30" t="n">
        <v>77032037</v>
      </c>
      <c r="D4128" s="30">
        <f>"03564702000196"</f>
        <v/>
      </c>
      <c r="E4128" s="30" t="inlineStr">
        <is>
          <t>PH TRANSPORTES EIRELI</t>
        </is>
      </c>
      <c r="F4128" s="30" t="inlineStr">
        <is>
          <t>2020</t>
        </is>
      </c>
      <c r="G4128" s="40" t="n">
        <v>1327230.18</v>
      </c>
    </row>
    <row r="4129" ht="12" customHeight="1">
      <c r="A4129" s="30" t="inlineStr">
        <is>
          <t>ITG</t>
        </is>
      </c>
      <c r="B4129" s="30" t="inlineStr">
        <is>
          <t>Itaguai</t>
        </is>
      </c>
      <c r="C4129" s="30" t="n">
        <v>77032037</v>
      </c>
      <c r="D4129" s="30">
        <f>"03564702000196"</f>
        <v/>
      </c>
      <c r="E4129" s="30" t="inlineStr">
        <is>
          <t>PH TRANSPORTES EIRELI</t>
        </is>
      </c>
      <c r="F4129" s="30" t="inlineStr">
        <is>
          <t>2021</t>
        </is>
      </c>
      <c r="G4129" s="40" t="n">
        <v>0</v>
      </c>
    </row>
    <row r="4130" ht="12" customHeight="1">
      <c r="A4130" s="30" t="inlineStr">
        <is>
          <t>ITG</t>
        </is>
      </c>
      <c r="B4130" s="30" t="inlineStr">
        <is>
          <t>Itaguai</t>
        </is>
      </c>
      <c r="C4130" s="30" t="n">
        <v>77032037</v>
      </c>
      <c r="D4130" s="30">
        <f>"03564702000196"</f>
        <v/>
      </c>
      <c r="E4130" s="30" t="inlineStr">
        <is>
          <t>PH TRANSPORTES EIRELI</t>
        </is>
      </c>
      <c r="F4130" s="30" t="inlineStr">
        <is>
          <t>2022</t>
        </is>
      </c>
      <c r="G4130" s="40" t="n">
        <v>0</v>
      </c>
    </row>
    <row r="4131" ht="12" customHeight="1">
      <c r="A4131" s="30" t="inlineStr">
        <is>
          <t>ITG</t>
        </is>
      </c>
      <c r="B4131" s="30" t="inlineStr">
        <is>
          <t>Itaguai</t>
        </is>
      </c>
      <c r="C4131" s="30" t="n">
        <v>77032037</v>
      </c>
      <c r="D4131" s="30">
        <f>"03564702000196"</f>
        <v/>
      </c>
      <c r="E4131" s="30" t="inlineStr">
        <is>
          <t>PH TRANSPORTES EIRELI</t>
        </is>
      </c>
      <c r="F4131" s="30" t="inlineStr">
        <is>
          <t>2023</t>
        </is>
      </c>
      <c r="G4131" s="40" t="n">
        <v>79361.41</v>
      </c>
    </row>
    <row r="4132" ht="12" customHeight="1">
      <c r="A4132" s="30" t="inlineStr">
        <is>
          <t>ITG</t>
        </is>
      </c>
      <c r="B4132" s="30" t="inlineStr">
        <is>
          <t>Itaguai</t>
        </is>
      </c>
      <c r="C4132" s="30" t="n">
        <v>77038523</v>
      </c>
      <c r="D4132" s="30">
        <f>"43854116005240"</f>
        <v/>
      </c>
      <c r="E4132" s="30" t="inlineStr">
        <is>
          <t>CEVA LOGISTICS LTDA</t>
        </is>
      </c>
      <c r="F4132" s="30" t="inlineStr">
        <is>
          <t>2021</t>
        </is>
      </c>
      <c r="G4132" s="40" t="n">
        <v>0</v>
      </c>
    </row>
    <row r="4133" ht="12" customHeight="1">
      <c r="A4133" s="30" t="inlineStr">
        <is>
          <t>ITG</t>
        </is>
      </c>
      <c r="B4133" s="30" t="inlineStr">
        <is>
          <t>Itaguai</t>
        </is>
      </c>
      <c r="C4133" s="30" t="n">
        <v>77038523</v>
      </c>
      <c r="D4133" s="30">
        <f>"43854116005240"</f>
        <v/>
      </c>
      <c r="E4133" s="30" t="inlineStr">
        <is>
          <t>CEVA LOGISTICS LTDA</t>
        </is>
      </c>
      <c r="F4133" s="30" t="inlineStr">
        <is>
          <t>2022</t>
        </is>
      </c>
      <c r="G4133" s="40" t="n">
        <v>0</v>
      </c>
    </row>
    <row r="4134" ht="12" customHeight="1">
      <c r="A4134" s="30" t="inlineStr">
        <is>
          <t>ITG</t>
        </is>
      </c>
      <c r="B4134" s="30" t="inlineStr">
        <is>
          <t>Itaguai</t>
        </is>
      </c>
      <c r="C4134" s="30" t="n">
        <v>77038523</v>
      </c>
      <c r="D4134" s="30">
        <f>"43854116005240"</f>
        <v/>
      </c>
      <c r="E4134" s="30" t="inlineStr">
        <is>
          <t>CEVA LOGISTICS LTDA</t>
        </is>
      </c>
      <c r="F4134" s="30" t="inlineStr">
        <is>
          <t>2023</t>
        </is>
      </c>
      <c r="G4134" s="40" t="n">
        <v>1594.14</v>
      </c>
    </row>
    <row r="4135" ht="12" customHeight="1">
      <c r="A4135" s="30" t="inlineStr">
        <is>
          <t>ITG</t>
        </is>
      </c>
      <c r="B4135" s="30" t="inlineStr">
        <is>
          <t>Itaguai</t>
        </is>
      </c>
      <c r="C4135" s="30" t="n">
        <v>77052275</v>
      </c>
      <c r="D4135" s="30">
        <f>"66702325001015"</f>
        <v/>
      </c>
      <c r="E4135" s="30" t="inlineStr">
        <is>
          <t>TORA LOGISTICA ARMAZENS E TERMINAIS MULTIMODAIS S/A</t>
        </is>
      </c>
      <c r="F4135" s="30" t="inlineStr">
        <is>
          <t>2018</t>
        </is>
      </c>
      <c r="G4135" s="40" t="n">
        <v>0</v>
      </c>
    </row>
    <row r="4136" ht="12" customHeight="1">
      <c r="A4136" s="30" t="inlineStr">
        <is>
          <t>ITG</t>
        </is>
      </c>
      <c r="B4136" s="30" t="inlineStr">
        <is>
          <t>Itaguai</t>
        </is>
      </c>
      <c r="C4136" s="30" t="n">
        <v>77052275</v>
      </c>
      <c r="D4136" s="30">
        <f>"66702325001015"</f>
        <v/>
      </c>
      <c r="E4136" s="30" t="inlineStr">
        <is>
          <t>TORA LOGISTICA ARMAZENS E TERMINAIS MULTIMODAIS S/A</t>
        </is>
      </c>
      <c r="F4136" s="30" t="inlineStr">
        <is>
          <t>2019</t>
        </is>
      </c>
      <c r="G4136" s="40" t="n">
        <v>0</v>
      </c>
    </row>
    <row r="4137" ht="12" customHeight="1">
      <c r="A4137" s="30" t="inlineStr">
        <is>
          <t>ITG</t>
        </is>
      </c>
      <c r="B4137" s="30" t="inlineStr">
        <is>
          <t>Itaguai</t>
        </is>
      </c>
      <c r="C4137" s="30" t="n">
        <v>77052275</v>
      </c>
      <c r="D4137" s="30">
        <f>"66702325001015"</f>
        <v/>
      </c>
      <c r="E4137" s="30" t="inlineStr">
        <is>
          <t>TORA LOGISTICA ARMAZENS E TERMINAIS MULTIMODAIS S/A</t>
        </is>
      </c>
      <c r="F4137" s="30" t="inlineStr">
        <is>
          <t>2020</t>
        </is>
      </c>
      <c r="G4137" s="40" t="n">
        <v>24785.28</v>
      </c>
    </row>
    <row r="4138" ht="12" customHeight="1">
      <c r="A4138" s="30" t="inlineStr">
        <is>
          <t>ITG</t>
        </is>
      </c>
      <c r="B4138" s="30" t="inlineStr">
        <is>
          <t>Itaguai</t>
        </is>
      </c>
      <c r="C4138" s="30" t="n">
        <v>77052275</v>
      </c>
      <c r="D4138" s="30">
        <f>"66702325001015"</f>
        <v/>
      </c>
      <c r="E4138" s="30" t="inlineStr">
        <is>
          <t>TORA LOGISTICA ARMAZENS E TERMINAIS MULTIMODAIS S/A</t>
        </is>
      </c>
      <c r="F4138" s="30" t="inlineStr">
        <is>
          <t>2021</t>
        </is>
      </c>
      <c r="G4138" s="40" t="n">
        <v>0</v>
      </c>
    </row>
    <row r="4139" ht="12" customHeight="1">
      <c r="A4139" s="30" t="inlineStr">
        <is>
          <t>ITG</t>
        </is>
      </c>
      <c r="B4139" s="30" t="inlineStr">
        <is>
          <t>Itaguai</t>
        </is>
      </c>
      <c r="C4139" s="30" t="n">
        <v>77052275</v>
      </c>
      <c r="D4139" s="30">
        <f>"66702325001015"</f>
        <v/>
      </c>
      <c r="E4139" s="30" t="inlineStr">
        <is>
          <t>TORA LOGISTICA ARMAZENS E TERMINAIS MULTIMODAIS S/A</t>
        </is>
      </c>
      <c r="F4139" s="30" t="inlineStr">
        <is>
          <t>2022</t>
        </is>
      </c>
      <c r="G4139" s="40" t="n">
        <v>38671.9</v>
      </c>
    </row>
    <row r="4140" ht="12" customHeight="1">
      <c r="A4140" s="30" t="inlineStr">
        <is>
          <t>ITG</t>
        </is>
      </c>
      <c r="B4140" s="30" t="inlineStr">
        <is>
          <t>Itaguai</t>
        </is>
      </c>
      <c r="C4140" s="30" t="n">
        <v>77052275</v>
      </c>
      <c r="D4140" s="30">
        <f>"66702325001015"</f>
        <v/>
      </c>
      <c r="E4140" s="30" t="inlineStr">
        <is>
          <t>TORA LOGISTICA ARMAZENS E TERMINAIS MULTIMODAIS S/A</t>
        </is>
      </c>
      <c r="F4140" s="30" t="inlineStr">
        <is>
          <t>2023</t>
        </is>
      </c>
      <c r="G4140" s="40" t="n">
        <v>13927.22</v>
      </c>
    </row>
    <row r="4141" ht="12" customHeight="1">
      <c r="A4141" s="30" t="inlineStr">
        <is>
          <t>ITG</t>
        </is>
      </c>
      <c r="B4141" s="30" t="inlineStr">
        <is>
          <t>Itaguai</t>
        </is>
      </c>
      <c r="C4141" s="30" t="n">
        <v>77054545</v>
      </c>
      <c r="D4141" s="30">
        <f>"03757239000107"</f>
        <v/>
      </c>
      <c r="E4141" s="30" t="inlineStr">
        <is>
          <t>SPEED WORK TRANSPORTES EIRELI</t>
        </is>
      </c>
      <c r="F4141" s="30" t="inlineStr">
        <is>
          <t>2017</t>
        </is>
      </c>
      <c r="G4141" s="40" t="n">
        <v>8.779999999999999</v>
      </c>
    </row>
    <row r="4142" ht="12" customHeight="1">
      <c r="A4142" s="30" t="inlineStr">
        <is>
          <t>ITG</t>
        </is>
      </c>
      <c r="B4142" s="30" t="inlineStr">
        <is>
          <t>Itaguai</t>
        </is>
      </c>
      <c r="C4142" s="30" t="n">
        <v>77054545</v>
      </c>
      <c r="D4142" s="30">
        <f>"03757239000107"</f>
        <v/>
      </c>
      <c r="E4142" s="30" t="inlineStr">
        <is>
          <t>SPEED WORK TRANSPORTES EIRELI</t>
        </is>
      </c>
      <c r="F4142" s="30" t="inlineStr">
        <is>
          <t>2018</t>
        </is>
      </c>
      <c r="G4142" s="40" t="n">
        <v>562.79</v>
      </c>
    </row>
    <row r="4143" ht="12" customHeight="1">
      <c r="A4143" s="30" t="inlineStr">
        <is>
          <t>ITG</t>
        </is>
      </c>
      <c r="B4143" s="30" t="inlineStr">
        <is>
          <t>Itaguai</t>
        </is>
      </c>
      <c r="C4143" s="30" t="n">
        <v>77054545</v>
      </c>
      <c r="D4143" s="30">
        <f>"03757239000107"</f>
        <v/>
      </c>
      <c r="E4143" s="30" t="inlineStr">
        <is>
          <t>SPEED WORK TRANSPORTES EIRELI</t>
        </is>
      </c>
      <c r="F4143" s="30" t="inlineStr">
        <is>
          <t>2019</t>
        </is>
      </c>
      <c r="G4143" s="40" t="n">
        <v>0</v>
      </c>
    </row>
    <row r="4144" ht="12" customHeight="1">
      <c r="A4144" s="30" t="inlineStr">
        <is>
          <t>ITG</t>
        </is>
      </c>
      <c r="B4144" s="30" t="inlineStr">
        <is>
          <t>Itaguai</t>
        </is>
      </c>
      <c r="C4144" s="30" t="n">
        <v>77054545</v>
      </c>
      <c r="D4144" s="30">
        <f>"03757239000107"</f>
        <v/>
      </c>
      <c r="E4144" s="30" t="inlineStr">
        <is>
          <t>SPEED WORK TRANSPORTES EIRELI</t>
        </is>
      </c>
      <c r="F4144" s="30" t="inlineStr">
        <is>
          <t>2020</t>
        </is>
      </c>
      <c r="G4144" s="40" t="n">
        <v>4445.92</v>
      </c>
    </row>
    <row r="4145" ht="12" customHeight="1">
      <c r="A4145" s="30" t="inlineStr">
        <is>
          <t>ITG</t>
        </is>
      </c>
      <c r="B4145" s="30" t="inlineStr">
        <is>
          <t>Itaguai</t>
        </is>
      </c>
      <c r="C4145" s="30" t="n">
        <v>77054545</v>
      </c>
      <c r="D4145" s="30">
        <f>"03757239000107"</f>
        <v/>
      </c>
      <c r="E4145" s="30" t="inlineStr">
        <is>
          <t>SPEED WORK TRANSPORTES EIRELI</t>
        </is>
      </c>
      <c r="F4145" s="30" t="inlineStr">
        <is>
          <t>2021</t>
        </is>
      </c>
      <c r="G4145" s="40" t="n">
        <v>0</v>
      </c>
    </row>
    <row r="4146" ht="12" customHeight="1">
      <c r="A4146" s="30" t="inlineStr">
        <is>
          <t>ITG</t>
        </is>
      </c>
      <c r="B4146" s="30" t="inlineStr">
        <is>
          <t>Itaguai</t>
        </is>
      </c>
      <c r="C4146" s="30" t="n">
        <v>77054545</v>
      </c>
      <c r="D4146" s="30">
        <f>"03757239000107"</f>
        <v/>
      </c>
      <c r="E4146" s="30" t="inlineStr">
        <is>
          <t>SPEED WORK TRANSPORTES EIRELI</t>
        </is>
      </c>
      <c r="F4146" s="30" t="inlineStr">
        <is>
          <t>2022</t>
        </is>
      </c>
      <c r="G4146" s="40" t="n">
        <v>46132.69</v>
      </c>
    </row>
    <row r="4147" ht="12" customHeight="1">
      <c r="A4147" s="30" t="inlineStr">
        <is>
          <t>ITG</t>
        </is>
      </c>
      <c r="B4147" s="30" t="inlineStr">
        <is>
          <t>Itaguai</t>
        </is>
      </c>
      <c r="C4147" s="30" t="n">
        <v>77054545</v>
      </c>
      <c r="D4147" s="30">
        <f>"03757239000107"</f>
        <v/>
      </c>
      <c r="E4147" s="30" t="inlineStr">
        <is>
          <t>SPEED WORK TRANSPORTES EIRELI</t>
        </is>
      </c>
      <c r="F4147" s="30" t="inlineStr">
        <is>
          <t>2023</t>
        </is>
      </c>
      <c r="G4147" s="40" t="n">
        <v>111313.95</v>
      </c>
    </row>
    <row r="4148" ht="12" customHeight="1">
      <c r="A4148" s="30" t="inlineStr">
        <is>
          <t>ITG</t>
        </is>
      </c>
      <c r="B4148" s="30" t="inlineStr">
        <is>
          <t>Itaguai</t>
        </is>
      </c>
      <c r="C4148" s="30" t="n">
        <v>77062238</v>
      </c>
      <c r="D4148" s="30">
        <f>"20468310009360"</f>
        <v/>
      </c>
      <c r="E4148" s="30" t="inlineStr">
        <is>
          <t>TORA TRANSPORTES INDUSTRIAIS LTDA</t>
        </is>
      </c>
      <c r="F4148" s="30" t="inlineStr">
        <is>
          <t>2017</t>
        </is>
      </c>
      <c r="G4148" s="40" t="n">
        <v>9548.75</v>
      </c>
    </row>
    <row r="4149" ht="12" customHeight="1">
      <c r="A4149" s="30" t="inlineStr">
        <is>
          <t>ITG</t>
        </is>
      </c>
      <c r="B4149" s="30" t="inlineStr">
        <is>
          <t>Itaguai</t>
        </is>
      </c>
      <c r="C4149" s="30" t="n">
        <v>77062238</v>
      </c>
      <c r="D4149" s="30">
        <f>"20468310009360"</f>
        <v/>
      </c>
      <c r="E4149" s="30" t="inlineStr">
        <is>
          <t>TORA TRANSPORTES INDUSTRIAIS LTDA</t>
        </is>
      </c>
      <c r="F4149" s="30" t="inlineStr">
        <is>
          <t>2018</t>
        </is>
      </c>
      <c r="G4149" s="40" t="n">
        <v>12350.17</v>
      </c>
    </row>
    <row r="4150" ht="12" customHeight="1">
      <c r="A4150" s="30" t="inlineStr">
        <is>
          <t>ITG</t>
        </is>
      </c>
      <c r="B4150" s="30" t="inlineStr">
        <is>
          <t>Itaguai</t>
        </is>
      </c>
      <c r="C4150" s="30" t="n">
        <v>77062238</v>
      </c>
      <c r="D4150" s="30">
        <f>"20468310009360"</f>
        <v/>
      </c>
      <c r="E4150" s="30" t="inlineStr">
        <is>
          <t>TORA TRANSPORTES INDUSTRIAIS LTDA</t>
        </is>
      </c>
      <c r="F4150" s="30" t="inlineStr">
        <is>
          <t>2019</t>
        </is>
      </c>
      <c r="G4150" s="40" t="n">
        <v>198343.76</v>
      </c>
    </row>
    <row r="4151" ht="12" customHeight="1">
      <c r="A4151" s="30" t="inlineStr">
        <is>
          <t>ITG</t>
        </is>
      </c>
      <c r="B4151" s="30" t="inlineStr">
        <is>
          <t>Itaguai</t>
        </is>
      </c>
      <c r="C4151" s="30" t="n">
        <v>77062238</v>
      </c>
      <c r="D4151" s="30">
        <f>"20468310009360"</f>
        <v/>
      </c>
      <c r="E4151" s="30" t="inlineStr">
        <is>
          <t>TORA TRANSPORTES INDUSTRIAIS LTDA</t>
        </is>
      </c>
      <c r="F4151" s="30" t="inlineStr">
        <is>
          <t>2020</t>
        </is>
      </c>
      <c r="G4151" s="40" t="n">
        <v>226568.51</v>
      </c>
    </row>
    <row r="4152" ht="12" customHeight="1">
      <c r="A4152" s="30" t="inlineStr">
        <is>
          <t>ITG</t>
        </is>
      </c>
      <c r="B4152" s="30" t="inlineStr">
        <is>
          <t>Itaguai</t>
        </is>
      </c>
      <c r="C4152" s="30" t="n">
        <v>77062238</v>
      </c>
      <c r="D4152" s="30">
        <f>"20468310009360"</f>
        <v/>
      </c>
      <c r="E4152" s="30" t="inlineStr">
        <is>
          <t>TORA TRANSPORTES INDUSTRIAIS LTDA</t>
        </is>
      </c>
      <c r="F4152" s="30" t="inlineStr">
        <is>
          <t>2021</t>
        </is>
      </c>
      <c r="G4152" s="40" t="n">
        <v>163864.9</v>
      </c>
    </row>
    <row r="4153" ht="12" customHeight="1">
      <c r="A4153" s="30" t="inlineStr">
        <is>
          <t>ITG</t>
        </is>
      </c>
      <c r="B4153" s="30" t="inlineStr">
        <is>
          <t>Itaguai</t>
        </is>
      </c>
      <c r="C4153" s="30" t="n">
        <v>77062238</v>
      </c>
      <c r="D4153" s="30">
        <f>"20468310009360"</f>
        <v/>
      </c>
      <c r="E4153" s="30" t="inlineStr">
        <is>
          <t>TORA TRANSPORTES INDUSTRIAIS LTDA</t>
        </is>
      </c>
      <c r="F4153" s="30" t="inlineStr">
        <is>
          <t>2022</t>
        </is>
      </c>
      <c r="G4153" s="40" t="n">
        <v>188919.4</v>
      </c>
    </row>
    <row r="4154" ht="12" customHeight="1">
      <c r="A4154" s="30" t="inlineStr">
        <is>
          <t>ITG</t>
        </is>
      </c>
      <c r="B4154" s="30" t="inlineStr">
        <is>
          <t>Itaguai</t>
        </is>
      </c>
      <c r="C4154" s="30" t="n">
        <v>77062238</v>
      </c>
      <c r="D4154" s="30">
        <f>"20468310009360"</f>
        <v/>
      </c>
      <c r="E4154" s="30" t="inlineStr">
        <is>
          <t>TORA TRANSPORTES INDUSTRIAIS LTDA</t>
        </is>
      </c>
      <c r="F4154" s="30" t="inlineStr">
        <is>
          <t>2023</t>
        </is>
      </c>
      <c r="G4154" s="40" t="n">
        <v>26779.63</v>
      </c>
    </row>
    <row r="4155" ht="12" customHeight="1">
      <c r="A4155" s="30" t="inlineStr">
        <is>
          <t>ITG</t>
        </is>
      </c>
      <c r="B4155" s="30" t="inlineStr">
        <is>
          <t>Itaguai</t>
        </is>
      </c>
      <c r="C4155" s="30" t="n">
        <v>77071431</v>
      </c>
      <c r="D4155" s="30">
        <f>"01125797000620"</f>
        <v/>
      </c>
      <c r="E4155" s="30" t="inlineStr">
        <is>
          <t>ATIVA DISTRIBUICAO E LOGISTICA LTDA</t>
        </is>
      </c>
      <c r="F4155" s="30" t="inlineStr">
        <is>
          <t>2017</t>
        </is>
      </c>
      <c r="G4155" s="40" t="n">
        <v>1062.89</v>
      </c>
    </row>
    <row r="4156" ht="12" customHeight="1">
      <c r="A4156" s="30" t="inlineStr">
        <is>
          <t>ITG</t>
        </is>
      </c>
      <c r="B4156" s="30" t="inlineStr">
        <is>
          <t>Itaguai</t>
        </is>
      </c>
      <c r="C4156" s="30" t="n">
        <v>77071431</v>
      </c>
      <c r="D4156" s="30">
        <f>"01125797000620"</f>
        <v/>
      </c>
      <c r="E4156" s="30" t="inlineStr">
        <is>
          <t>ATIVA DISTRIBUICAO E LOGISTICA LTDA</t>
        </is>
      </c>
      <c r="F4156" s="30" t="inlineStr">
        <is>
          <t>2018</t>
        </is>
      </c>
      <c r="G4156" s="40" t="n">
        <v>2312.75</v>
      </c>
    </row>
    <row r="4157" ht="12" customHeight="1">
      <c r="A4157" s="30" t="inlineStr">
        <is>
          <t>ITG</t>
        </is>
      </c>
      <c r="B4157" s="30" t="inlineStr">
        <is>
          <t>Itaguai</t>
        </is>
      </c>
      <c r="C4157" s="30" t="n">
        <v>77071431</v>
      </c>
      <c r="D4157" s="30">
        <f>"01125797000620"</f>
        <v/>
      </c>
      <c r="E4157" s="30" t="inlineStr">
        <is>
          <t>ATIVA DISTRIBUICAO E LOGISTICA LTDA</t>
        </is>
      </c>
      <c r="F4157" s="30" t="inlineStr">
        <is>
          <t>2019</t>
        </is>
      </c>
      <c r="G4157" s="40" t="n">
        <v>6007.48</v>
      </c>
    </row>
    <row r="4158" ht="12" customHeight="1">
      <c r="A4158" s="30" t="inlineStr">
        <is>
          <t>ITG</t>
        </is>
      </c>
      <c r="B4158" s="30" t="inlineStr">
        <is>
          <t>Itaguai</t>
        </is>
      </c>
      <c r="C4158" s="30" t="n">
        <v>77071431</v>
      </c>
      <c r="D4158" s="30">
        <f>"01125797000620"</f>
        <v/>
      </c>
      <c r="E4158" s="30" t="inlineStr">
        <is>
          <t>ATIVA DISTRIBUICAO E LOGISTICA LTDA</t>
        </is>
      </c>
      <c r="F4158" s="30" t="inlineStr">
        <is>
          <t>2020</t>
        </is>
      </c>
      <c r="G4158" s="40" t="n">
        <v>10684.16</v>
      </c>
    </row>
    <row r="4159" ht="12" customHeight="1">
      <c r="A4159" s="30" t="inlineStr">
        <is>
          <t>ITG</t>
        </is>
      </c>
      <c r="B4159" s="30" t="inlineStr">
        <is>
          <t>Itaguai</t>
        </is>
      </c>
      <c r="C4159" s="30" t="n">
        <v>77071431</v>
      </c>
      <c r="D4159" s="30">
        <f>"01125797000620"</f>
        <v/>
      </c>
      <c r="E4159" s="30" t="inlineStr">
        <is>
          <t>ATIVA DISTRIBUICAO E LOGISTICA LTDA</t>
        </is>
      </c>
      <c r="F4159" s="30" t="inlineStr">
        <is>
          <t>2021</t>
        </is>
      </c>
      <c r="G4159" s="40" t="n">
        <v>1376.21</v>
      </c>
    </row>
    <row r="4160" ht="12" customHeight="1">
      <c r="A4160" s="30" t="inlineStr">
        <is>
          <t>ITG</t>
        </is>
      </c>
      <c r="B4160" s="30" t="inlineStr">
        <is>
          <t>Itaguai</t>
        </is>
      </c>
      <c r="C4160" s="30" t="n">
        <v>77071431</v>
      </c>
      <c r="D4160" s="30">
        <f>"01125797000620"</f>
        <v/>
      </c>
      <c r="E4160" s="30" t="inlineStr">
        <is>
          <t>ATIVA DISTRIBUICAO E LOGISTICA LTDA</t>
        </is>
      </c>
      <c r="F4160" s="30" t="inlineStr">
        <is>
          <t>2022</t>
        </is>
      </c>
      <c r="G4160" s="40" t="n">
        <v>0</v>
      </c>
    </row>
    <row r="4161" ht="12" customHeight="1">
      <c r="A4161" s="30" t="inlineStr">
        <is>
          <t>ITG</t>
        </is>
      </c>
      <c r="B4161" s="30" t="inlineStr">
        <is>
          <t>Itaguai</t>
        </is>
      </c>
      <c r="C4161" s="30" t="n">
        <v>77071431</v>
      </c>
      <c r="D4161" s="30">
        <f>"01125797000620"</f>
        <v/>
      </c>
      <c r="E4161" s="30" t="inlineStr">
        <is>
          <t>ATIVA DISTRIBUICAO E LOGISTICA LTDA</t>
        </is>
      </c>
      <c r="F4161" s="30" t="inlineStr">
        <is>
          <t>2023</t>
        </is>
      </c>
      <c r="G4161" s="40" t="n">
        <v>0</v>
      </c>
    </row>
    <row r="4162" ht="12" customHeight="1">
      <c r="A4162" s="30" t="inlineStr">
        <is>
          <t>ITG</t>
        </is>
      </c>
      <c r="B4162" s="30" t="inlineStr">
        <is>
          <t>Itaguai</t>
        </is>
      </c>
      <c r="C4162" s="30" t="n">
        <v>77076042</v>
      </c>
      <c r="D4162" s="30">
        <f>"03948646000193"</f>
        <v/>
      </c>
      <c r="E4162" s="30" t="inlineStr">
        <is>
          <t>EQUITRANS EQUIPAMENTOS TRANSPORTE E LOGISTICA LTDA</t>
        </is>
      </c>
      <c r="F4162" s="30" t="inlineStr">
        <is>
          <t>2017</t>
        </is>
      </c>
      <c r="G4162" s="40" t="n">
        <v>249313.12</v>
      </c>
    </row>
    <row r="4163" ht="12" customHeight="1">
      <c r="A4163" s="30" t="inlineStr">
        <is>
          <t>ITG</t>
        </is>
      </c>
      <c r="B4163" s="30" t="inlineStr">
        <is>
          <t>Itaguai</t>
        </is>
      </c>
      <c r="C4163" s="30" t="n">
        <v>77076042</v>
      </c>
      <c r="D4163" s="30">
        <f>"03948646000193"</f>
        <v/>
      </c>
      <c r="E4163" s="30" t="inlineStr">
        <is>
          <t>EQUITRANS EQUIPAMENTOS TRANSPORTE E LOGISTICA LTDA</t>
        </is>
      </c>
      <c r="F4163" s="30" t="inlineStr">
        <is>
          <t>2018</t>
        </is>
      </c>
      <c r="G4163" s="40" t="n">
        <v>500712.73</v>
      </c>
    </row>
    <row r="4164" ht="12" customHeight="1">
      <c r="A4164" s="30" t="inlineStr">
        <is>
          <t>ITG</t>
        </is>
      </c>
      <c r="B4164" s="30" t="inlineStr">
        <is>
          <t>Itaguai</t>
        </is>
      </c>
      <c r="C4164" s="30" t="n">
        <v>77076042</v>
      </c>
      <c r="D4164" s="30">
        <f>"03948646000193"</f>
        <v/>
      </c>
      <c r="E4164" s="30" t="inlineStr">
        <is>
          <t>EQUITRANS EQUIPAMENTOS TRANSPORTE E LOGISTICA LTDA</t>
        </is>
      </c>
      <c r="F4164" s="30" t="inlineStr">
        <is>
          <t>2019</t>
        </is>
      </c>
      <c r="G4164" s="40" t="n">
        <v>699220.7</v>
      </c>
    </row>
    <row r="4165" ht="12" customHeight="1">
      <c r="A4165" s="30" t="inlineStr">
        <is>
          <t>ITG</t>
        </is>
      </c>
      <c r="B4165" s="30" t="inlineStr">
        <is>
          <t>Itaguai</t>
        </is>
      </c>
      <c r="C4165" s="30" t="n">
        <v>77076042</v>
      </c>
      <c r="D4165" s="30">
        <f>"03948646000193"</f>
        <v/>
      </c>
      <c r="E4165" s="30" t="inlineStr">
        <is>
          <t>EQUITRANS EQUIPAMENTOS TRANSPORTE E LOGISTICA LTDA</t>
        </is>
      </c>
      <c r="F4165" s="30" t="inlineStr">
        <is>
          <t>2020</t>
        </is>
      </c>
      <c r="G4165" s="40" t="n">
        <v>258911.73</v>
      </c>
    </row>
    <row r="4166" ht="12" customHeight="1">
      <c r="A4166" s="30" t="inlineStr">
        <is>
          <t>ITG</t>
        </is>
      </c>
      <c r="B4166" s="30" t="inlineStr">
        <is>
          <t>Itaguai</t>
        </is>
      </c>
      <c r="C4166" s="30" t="n">
        <v>77076042</v>
      </c>
      <c r="D4166" s="30">
        <f>"03948646000193"</f>
        <v/>
      </c>
      <c r="E4166" s="30" t="inlineStr">
        <is>
          <t>EQUITRANS EQUIPAMENTOS TRANSPORTE E LOGISTICA LTDA</t>
        </is>
      </c>
      <c r="F4166" s="30" t="inlineStr">
        <is>
          <t>2021</t>
        </is>
      </c>
      <c r="G4166" s="40" t="n">
        <v>161235.7</v>
      </c>
    </row>
    <row r="4167" ht="12" customHeight="1">
      <c r="A4167" s="30" t="inlineStr">
        <is>
          <t>ITG</t>
        </is>
      </c>
      <c r="B4167" s="30" t="inlineStr">
        <is>
          <t>Itaguai</t>
        </is>
      </c>
      <c r="C4167" s="30" t="n">
        <v>77076042</v>
      </c>
      <c r="D4167" s="30">
        <f>"03948646000193"</f>
        <v/>
      </c>
      <c r="E4167" s="30" t="inlineStr">
        <is>
          <t>EQUITRANS EQUIPAMENTOS TRANSPORTE E LOGISTICA LTDA</t>
        </is>
      </c>
      <c r="F4167" s="30" t="inlineStr">
        <is>
          <t>2022</t>
        </is>
      </c>
      <c r="G4167" s="40" t="n">
        <v>1041487.16</v>
      </c>
    </row>
    <row r="4168" ht="12" customHeight="1">
      <c r="A4168" s="30" t="inlineStr">
        <is>
          <t>ITG</t>
        </is>
      </c>
      <c r="B4168" s="30" t="inlineStr">
        <is>
          <t>Itaguai</t>
        </is>
      </c>
      <c r="C4168" s="30" t="n">
        <v>77076042</v>
      </c>
      <c r="D4168" s="30">
        <f>"03948646000193"</f>
        <v/>
      </c>
      <c r="E4168" s="30" t="inlineStr">
        <is>
          <t>EQUITRANS EQUIPAMENTOS TRANSPORTE E LOGISTICA LTDA</t>
        </is>
      </c>
      <c r="F4168" s="30" t="inlineStr">
        <is>
          <t>2023</t>
        </is>
      </c>
      <c r="G4168" s="40" t="n">
        <v>824930.15</v>
      </c>
    </row>
    <row r="4169" ht="12" customHeight="1">
      <c r="A4169" s="30" t="inlineStr">
        <is>
          <t>ITG</t>
        </is>
      </c>
      <c r="B4169" s="30" t="inlineStr">
        <is>
          <t>Itaguai</t>
        </is>
      </c>
      <c r="C4169" s="30" t="n">
        <v>77086897</v>
      </c>
      <c r="D4169" s="30">
        <f>"33438250015008"</f>
        <v/>
      </c>
      <c r="E4169" s="30" t="inlineStr">
        <is>
          <t>DROGARIAS PACHECO S/A</t>
        </is>
      </c>
      <c r="F4169" s="30" t="inlineStr">
        <is>
          <t>2017</t>
        </is>
      </c>
      <c r="G4169" s="40" t="n">
        <v>2555600.69</v>
      </c>
    </row>
    <row r="4170" ht="12" customHeight="1">
      <c r="A4170" s="30" t="inlineStr">
        <is>
          <t>ITG</t>
        </is>
      </c>
      <c r="B4170" s="30" t="inlineStr">
        <is>
          <t>Itaguai</t>
        </is>
      </c>
      <c r="C4170" s="30" t="n">
        <v>77086897</v>
      </c>
      <c r="D4170" s="30">
        <f>"33438250015008"</f>
        <v/>
      </c>
      <c r="E4170" s="30" t="inlineStr">
        <is>
          <t>DROGARIAS PACHECO S/A</t>
        </is>
      </c>
      <c r="F4170" s="30" t="inlineStr">
        <is>
          <t>2018</t>
        </is>
      </c>
      <c r="G4170" s="40" t="n">
        <v>2405261</v>
      </c>
    </row>
    <row r="4171" ht="12" customHeight="1">
      <c r="A4171" s="30" t="inlineStr">
        <is>
          <t>ITG</t>
        </is>
      </c>
      <c r="B4171" s="30" t="inlineStr">
        <is>
          <t>Itaguai</t>
        </is>
      </c>
      <c r="C4171" s="30" t="n">
        <v>77086897</v>
      </c>
      <c r="D4171" s="30">
        <f>"33438250015008"</f>
        <v/>
      </c>
      <c r="E4171" s="30" t="inlineStr">
        <is>
          <t>DROGARIAS PACHECO S/A</t>
        </is>
      </c>
      <c r="F4171" s="30" t="inlineStr">
        <is>
          <t>2019</t>
        </is>
      </c>
      <c r="G4171" s="40" t="n">
        <v>2777914.19</v>
      </c>
    </row>
    <row r="4172" ht="12" customHeight="1">
      <c r="A4172" s="30" t="inlineStr">
        <is>
          <t>ITG</t>
        </is>
      </c>
      <c r="B4172" s="30" t="inlineStr">
        <is>
          <t>Itaguai</t>
        </is>
      </c>
      <c r="C4172" s="30" t="n">
        <v>77086897</v>
      </c>
      <c r="D4172" s="30">
        <f>"33438250015008"</f>
        <v/>
      </c>
      <c r="E4172" s="30" t="inlineStr">
        <is>
          <t>DROGARIAS PACHECO S/A</t>
        </is>
      </c>
      <c r="F4172" s="30" t="inlineStr">
        <is>
          <t>2020</t>
        </is>
      </c>
      <c r="G4172" s="40" t="n">
        <v>2971988.16</v>
      </c>
    </row>
    <row r="4173" ht="12" customHeight="1">
      <c r="A4173" s="30" t="inlineStr">
        <is>
          <t>ITG</t>
        </is>
      </c>
      <c r="B4173" s="30" t="inlineStr">
        <is>
          <t>Itaguai</t>
        </is>
      </c>
      <c r="C4173" s="30" t="n">
        <v>77086897</v>
      </c>
      <c r="D4173" s="30">
        <f>"33438250015008"</f>
        <v/>
      </c>
      <c r="E4173" s="30" t="inlineStr">
        <is>
          <t>DROGARIAS PACHECO S/A</t>
        </is>
      </c>
      <c r="F4173" s="30" t="inlineStr">
        <is>
          <t>2021</t>
        </is>
      </c>
      <c r="G4173" s="40" t="n">
        <v>2750147.1</v>
      </c>
    </row>
    <row r="4174" ht="12" customHeight="1">
      <c r="A4174" s="30" t="inlineStr">
        <is>
          <t>ITG</t>
        </is>
      </c>
      <c r="B4174" s="30" t="inlineStr">
        <is>
          <t>Itaguai</t>
        </is>
      </c>
      <c r="C4174" s="30" t="n">
        <v>77086897</v>
      </c>
      <c r="D4174" s="30">
        <f>"33438250015008"</f>
        <v/>
      </c>
      <c r="E4174" s="30" t="inlineStr">
        <is>
          <t>DROGARIAS PACHECO S/A</t>
        </is>
      </c>
      <c r="F4174" s="30" t="inlineStr">
        <is>
          <t>2022</t>
        </is>
      </c>
      <c r="G4174" s="40" t="n">
        <v>3096532.24</v>
      </c>
    </row>
    <row r="4175" ht="12" customHeight="1">
      <c r="A4175" s="30" t="inlineStr">
        <is>
          <t>ITG</t>
        </is>
      </c>
      <c r="B4175" s="30" t="inlineStr">
        <is>
          <t>Itaguai</t>
        </is>
      </c>
      <c r="C4175" s="30" t="n">
        <v>77086897</v>
      </c>
      <c r="D4175" s="30">
        <f>"33438250015008"</f>
        <v/>
      </c>
      <c r="E4175" s="30" t="inlineStr">
        <is>
          <t>DROGARIAS PACHECO S/A</t>
        </is>
      </c>
      <c r="F4175" s="30" t="inlineStr">
        <is>
          <t>2023</t>
        </is>
      </c>
      <c r="G4175" s="40" t="n">
        <v>2635181.23</v>
      </c>
    </row>
    <row r="4176" ht="12" customHeight="1">
      <c r="A4176" s="30" t="inlineStr">
        <is>
          <t>ITG</t>
        </is>
      </c>
      <c r="B4176" s="30" t="inlineStr">
        <is>
          <t>Itaguai</t>
        </is>
      </c>
      <c r="C4176" s="30" t="n">
        <v>77089535</v>
      </c>
      <c r="D4176" s="30">
        <f>"36761633000402"</f>
        <v/>
      </c>
      <c r="E4176" s="30" t="inlineStr">
        <is>
          <t>SEM FURO TRANSPORTES LTDA</t>
        </is>
      </c>
      <c r="F4176" s="30" t="inlineStr">
        <is>
          <t>2017</t>
        </is>
      </c>
      <c r="G4176" s="40" t="n">
        <v>480.4</v>
      </c>
    </row>
    <row r="4177" ht="12" customHeight="1">
      <c r="A4177" s="30" t="inlineStr">
        <is>
          <t>ITG</t>
        </is>
      </c>
      <c r="B4177" s="30" t="inlineStr">
        <is>
          <t>Itaguai</t>
        </is>
      </c>
      <c r="C4177" s="30" t="n">
        <v>77089535</v>
      </c>
      <c r="D4177" s="30">
        <f>"36761633000402"</f>
        <v/>
      </c>
      <c r="E4177" s="30" t="inlineStr">
        <is>
          <t>SEM FURO TRANSPORTES LTDA</t>
        </is>
      </c>
      <c r="F4177" s="30" t="inlineStr">
        <is>
          <t>2018</t>
        </is>
      </c>
      <c r="G4177" s="40" t="n">
        <v>0</v>
      </c>
    </row>
    <row r="4178" ht="12" customHeight="1">
      <c r="A4178" s="30" t="inlineStr">
        <is>
          <t>ITG</t>
        </is>
      </c>
      <c r="B4178" s="30" t="inlineStr">
        <is>
          <t>Itaguai</t>
        </is>
      </c>
      <c r="C4178" s="30" t="n">
        <v>77089535</v>
      </c>
      <c r="D4178" s="30">
        <f>"36761633000402"</f>
        <v/>
      </c>
      <c r="E4178" s="30" t="inlineStr">
        <is>
          <t>SEM FURO TRANSPORTES LTDA</t>
        </is>
      </c>
      <c r="F4178" s="30" t="inlineStr">
        <is>
          <t>2019</t>
        </is>
      </c>
      <c r="G4178" s="40" t="n">
        <v>0</v>
      </c>
    </row>
    <row r="4179" ht="12" customHeight="1">
      <c r="A4179" s="30" t="inlineStr">
        <is>
          <t>ITG</t>
        </is>
      </c>
      <c r="B4179" s="30" t="inlineStr">
        <is>
          <t>Itaguai</t>
        </is>
      </c>
      <c r="C4179" s="30" t="n">
        <v>77099301</v>
      </c>
      <c r="D4179" s="30">
        <f>"92644483000851"</f>
        <v/>
      </c>
      <c r="E4179" s="30" t="inlineStr">
        <is>
          <t>TRANSPORTES GABARDO LTDA</t>
        </is>
      </c>
      <c r="F4179" s="30" t="inlineStr">
        <is>
          <t>2017</t>
        </is>
      </c>
      <c r="G4179" s="40" t="n">
        <v>0</v>
      </c>
    </row>
    <row r="4180" ht="12" customHeight="1">
      <c r="A4180" s="30" t="inlineStr">
        <is>
          <t>ITG</t>
        </is>
      </c>
      <c r="B4180" s="30" t="inlineStr">
        <is>
          <t>Itaguai</t>
        </is>
      </c>
      <c r="C4180" s="30" t="n">
        <v>77099301</v>
      </c>
      <c r="D4180" s="30">
        <f>"92644483000851"</f>
        <v/>
      </c>
      <c r="E4180" s="30" t="inlineStr">
        <is>
          <t>TRANSPORTES GABARDO LTDA</t>
        </is>
      </c>
      <c r="F4180" s="30" t="inlineStr">
        <is>
          <t>2018</t>
        </is>
      </c>
      <c r="G4180" s="40" t="n">
        <v>0</v>
      </c>
    </row>
    <row r="4181" ht="12" customHeight="1">
      <c r="A4181" s="30" t="inlineStr">
        <is>
          <t>ITG</t>
        </is>
      </c>
      <c r="B4181" s="30" t="inlineStr">
        <is>
          <t>Itaguai</t>
        </is>
      </c>
      <c r="C4181" s="30" t="n">
        <v>77099301</v>
      </c>
      <c r="D4181" s="30">
        <f>"92644483000851"</f>
        <v/>
      </c>
      <c r="E4181" s="30" t="inlineStr">
        <is>
          <t>TRANSPORTES GABARDO LTDA</t>
        </is>
      </c>
      <c r="F4181" s="30" t="inlineStr">
        <is>
          <t>2019</t>
        </is>
      </c>
      <c r="G4181" s="40" t="n">
        <v>2000</v>
      </c>
    </row>
    <row r="4182" ht="12" customHeight="1">
      <c r="A4182" s="30" t="inlineStr">
        <is>
          <t>ITG</t>
        </is>
      </c>
      <c r="B4182" s="30" t="inlineStr">
        <is>
          <t>Itaguai</t>
        </is>
      </c>
      <c r="C4182" s="30" t="n">
        <v>77099301</v>
      </c>
      <c r="D4182" s="30">
        <f>"92644483000851"</f>
        <v/>
      </c>
      <c r="E4182" s="30" t="inlineStr">
        <is>
          <t>TRANSPORTES GABARDO LTDA</t>
        </is>
      </c>
      <c r="F4182" s="30" t="inlineStr">
        <is>
          <t>2020</t>
        </is>
      </c>
      <c r="G4182" s="40" t="n">
        <v>1500</v>
      </c>
    </row>
    <row r="4183" ht="12" customHeight="1">
      <c r="A4183" s="30" t="inlineStr">
        <is>
          <t>ITG</t>
        </is>
      </c>
      <c r="B4183" s="30" t="inlineStr">
        <is>
          <t>Itaguai</t>
        </is>
      </c>
      <c r="C4183" s="30" t="n">
        <v>77099301</v>
      </c>
      <c r="D4183" s="30">
        <f>"92644483000851"</f>
        <v/>
      </c>
      <c r="E4183" s="30" t="inlineStr">
        <is>
          <t>TRANSPORTES GABARDO LTDA</t>
        </is>
      </c>
      <c r="F4183" s="30" t="inlineStr">
        <is>
          <t>2021</t>
        </is>
      </c>
      <c r="G4183" s="40" t="n">
        <v>700</v>
      </c>
    </row>
    <row r="4184" ht="12" customHeight="1">
      <c r="A4184" s="30" t="inlineStr">
        <is>
          <t>ITG</t>
        </is>
      </c>
      <c r="B4184" s="30" t="inlineStr">
        <is>
          <t>Itaguai</t>
        </is>
      </c>
      <c r="C4184" s="30" t="n">
        <v>77099301</v>
      </c>
      <c r="D4184" s="30">
        <f>"92644483000851"</f>
        <v/>
      </c>
      <c r="E4184" s="30" t="inlineStr">
        <is>
          <t>TRANSPORTES GABARDO LTDA</t>
        </is>
      </c>
      <c r="F4184" s="30" t="inlineStr">
        <is>
          <t>2022</t>
        </is>
      </c>
      <c r="G4184" s="40" t="n">
        <v>1200</v>
      </c>
    </row>
    <row r="4185" ht="12" customHeight="1">
      <c r="A4185" s="30" t="inlineStr">
        <is>
          <t>ITG</t>
        </is>
      </c>
      <c r="B4185" s="30" t="inlineStr">
        <is>
          <t>Itaguai</t>
        </is>
      </c>
      <c r="C4185" s="30" t="n">
        <v>77099301</v>
      </c>
      <c r="D4185" s="30">
        <f>"92644483000851"</f>
        <v/>
      </c>
      <c r="E4185" s="30" t="inlineStr">
        <is>
          <t>TRANSPORTES GABARDO LTDA</t>
        </is>
      </c>
      <c r="F4185" s="30" t="inlineStr">
        <is>
          <t>2023</t>
        </is>
      </c>
      <c r="G4185" s="40" t="n">
        <v>5400</v>
      </c>
    </row>
    <row r="4186" ht="12" customHeight="1">
      <c r="A4186" s="30" t="inlineStr">
        <is>
          <t>ITG</t>
        </is>
      </c>
      <c r="B4186" s="30" t="inlineStr">
        <is>
          <t>Itaguai</t>
        </is>
      </c>
      <c r="C4186" s="30" t="n">
        <v>77118888</v>
      </c>
      <c r="D4186" s="30">
        <f>"04192493000160"</f>
        <v/>
      </c>
      <c r="E4186" s="30" t="inlineStr">
        <is>
          <t>REALEZA TRANSPORTES VIAGENS E TURISMO LTDA ME</t>
        </is>
      </c>
      <c r="F4186" s="30" t="inlineStr">
        <is>
          <t>2017</t>
        </is>
      </c>
      <c r="G4186" s="40" t="n">
        <v>6400</v>
      </c>
    </row>
    <row r="4187" ht="12" customHeight="1">
      <c r="A4187" s="30" t="inlineStr">
        <is>
          <t>ITG</t>
        </is>
      </c>
      <c r="B4187" s="30" t="inlineStr">
        <is>
          <t>Itaguai</t>
        </is>
      </c>
      <c r="C4187" s="30" t="n">
        <v>77118888</v>
      </c>
      <c r="D4187" s="30">
        <f>"04192493000160"</f>
        <v/>
      </c>
      <c r="E4187" s="30" t="inlineStr">
        <is>
          <t>REALEZA TRANSPORTES VIAGENS E TURISMO LTDA ME</t>
        </is>
      </c>
      <c r="F4187" s="30" t="inlineStr">
        <is>
          <t>2018</t>
        </is>
      </c>
      <c r="G4187" s="40" t="n">
        <v>1400</v>
      </c>
    </row>
    <row r="4188" ht="12" customHeight="1">
      <c r="A4188" s="30" t="inlineStr">
        <is>
          <t>ITG</t>
        </is>
      </c>
      <c r="B4188" s="30" t="inlineStr">
        <is>
          <t>Itaguai</t>
        </is>
      </c>
      <c r="C4188" s="30" t="n">
        <v>77118888</v>
      </c>
      <c r="D4188" s="30">
        <f>"04192493000160"</f>
        <v/>
      </c>
      <c r="E4188" s="30" t="inlineStr">
        <is>
          <t>REALEZA TRANSPORTES VIAGENS E TURISMO LTDA ME</t>
        </is>
      </c>
      <c r="F4188" s="30" t="inlineStr">
        <is>
          <t>2019</t>
        </is>
      </c>
      <c r="G4188" s="40" t="n">
        <v>0</v>
      </c>
    </row>
    <row r="4189" ht="12" customHeight="1">
      <c r="A4189" s="30" t="inlineStr">
        <is>
          <t>ITG</t>
        </is>
      </c>
      <c r="B4189" s="30" t="inlineStr">
        <is>
          <t>Itaguai</t>
        </is>
      </c>
      <c r="C4189" s="30" t="n">
        <v>77118888</v>
      </c>
      <c r="D4189" s="30">
        <f>"04192493000160"</f>
        <v/>
      </c>
      <c r="E4189" s="30" t="inlineStr">
        <is>
          <t>REALEZA TRANSPORTES VIAGENS E TURISMO LTDA ME</t>
        </is>
      </c>
      <c r="F4189" s="30" t="inlineStr">
        <is>
          <t>2020</t>
        </is>
      </c>
      <c r="G4189" s="40" t="n">
        <v>0</v>
      </c>
    </row>
    <row r="4190" ht="12" customHeight="1">
      <c r="A4190" s="30" t="inlineStr">
        <is>
          <t>ITG</t>
        </is>
      </c>
      <c r="B4190" s="30" t="inlineStr">
        <is>
          <t>Itaguai</t>
        </is>
      </c>
      <c r="C4190" s="30" t="n">
        <v>77120688</v>
      </c>
      <c r="D4190" s="30">
        <f>"19368927001006"</f>
        <v/>
      </c>
      <c r="E4190" s="30" t="inlineStr">
        <is>
          <t>EXPRESSO NEPOMUCENO SA</t>
        </is>
      </c>
      <c r="F4190" s="30" t="inlineStr">
        <is>
          <t>2017</t>
        </is>
      </c>
      <c r="G4190" s="40" t="n">
        <v>2968.23</v>
      </c>
    </row>
    <row r="4191" ht="12" customHeight="1">
      <c r="A4191" s="30" t="inlineStr">
        <is>
          <t>ITG</t>
        </is>
      </c>
      <c r="B4191" s="30" t="inlineStr">
        <is>
          <t>Itaguai</t>
        </is>
      </c>
      <c r="C4191" s="30" t="n">
        <v>77120688</v>
      </c>
      <c r="D4191" s="30">
        <f>"19368927001006"</f>
        <v/>
      </c>
      <c r="E4191" s="30" t="inlineStr">
        <is>
          <t>EXPRESSO NEPOMUCENO SA</t>
        </is>
      </c>
      <c r="F4191" s="30" t="inlineStr">
        <is>
          <t>2018</t>
        </is>
      </c>
      <c r="G4191" s="40" t="n">
        <v>0</v>
      </c>
    </row>
    <row r="4192" ht="12" customHeight="1">
      <c r="A4192" s="30" t="inlineStr">
        <is>
          <t>ITG</t>
        </is>
      </c>
      <c r="B4192" s="30" t="inlineStr">
        <is>
          <t>Itaguai</t>
        </is>
      </c>
      <c r="C4192" s="30" t="n">
        <v>77120688</v>
      </c>
      <c r="D4192" s="30">
        <f>"19368927001006"</f>
        <v/>
      </c>
      <c r="E4192" s="30" t="inlineStr">
        <is>
          <t>EXPRESSO NEPOMUCENO SA</t>
        </is>
      </c>
      <c r="F4192" s="30" t="inlineStr">
        <is>
          <t>2019</t>
        </is>
      </c>
      <c r="G4192" s="40" t="n">
        <v>0</v>
      </c>
    </row>
    <row r="4193" ht="12" customHeight="1">
      <c r="A4193" s="30" t="inlineStr">
        <is>
          <t>ITG</t>
        </is>
      </c>
      <c r="B4193" s="30" t="inlineStr">
        <is>
          <t>Itaguai</t>
        </is>
      </c>
      <c r="C4193" s="30" t="n">
        <v>77120688</v>
      </c>
      <c r="D4193" s="30">
        <f>"19368927001006"</f>
        <v/>
      </c>
      <c r="E4193" s="30" t="inlineStr">
        <is>
          <t>EXPRESSO NEPOMUCENO SA</t>
        </is>
      </c>
      <c r="F4193" s="30" t="inlineStr">
        <is>
          <t>2020</t>
        </is>
      </c>
      <c r="G4193" s="40" t="n">
        <v>0</v>
      </c>
    </row>
    <row r="4194" ht="12" customHeight="1">
      <c r="A4194" s="30" t="inlineStr">
        <is>
          <t>ITG</t>
        </is>
      </c>
      <c r="B4194" s="30" t="inlineStr">
        <is>
          <t>Itaguai</t>
        </is>
      </c>
      <c r="C4194" s="30" t="n">
        <v>77120688</v>
      </c>
      <c r="D4194" s="30">
        <f>"19368927001006"</f>
        <v/>
      </c>
      <c r="E4194" s="30" t="inlineStr">
        <is>
          <t>EXPRESSO NEPOMUCENO SA</t>
        </is>
      </c>
      <c r="F4194" s="30" t="inlineStr">
        <is>
          <t>2021</t>
        </is>
      </c>
      <c r="G4194" s="40" t="n">
        <v>9990.23</v>
      </c>
    </row>
    <row r="4195" ht="12" customHeight="1">
      <c r="A4195" s="30" t="inlineStr">
        <is>
          <t>ITG</t>
        </is>
      </c>
      <c r="B4195" s="30" t="inlineStr">
        <is>
          <t>Itaguai</t>
        </is>
      </c>
      <c r="C4195" s="30" t="n">
        <v>77120688</v>
      </c>
      <c r="D4195" s="30">
        <f>"19368927001006"</f>
        <v/>
      </c>
      <c r="E4195" s="30" t="inlineStr">
        <is>
          <t>EXPRESSO NEPOMUCENO SA</t>
        </is>
      </c>
      <c r="F4195" s="30" t="inlineStr">
        <is>
          <t>2022</t>
        </is>
      </c>
      <c r="G4195" s="40" t="n">
        <v>0</v>
      </c>
    </row>
    <row r="4196" ht="12" customHeight="1">
      <c r="A4196" s="30" t="inlineStr">
        <is>
          <t>ITG</t>
        </is>
      </c>
      <c r="B4196" s="30" t="inlineStr">
        <is>
          <t>Itaguai</t>
        </is>
      </c>
      <c r="C4196" s="30" t="n">
        <v>77120688</v>
      </c>
      <c r="D4196" s="30">
        <f>"19368927001006"</f>
        <v/>
      </c>
      <c r="E4196" s="30" t="inlineStr">
        <is>
          <t>EXPRESSO NEPOMUCENO SA</t>
        </is>
      </c>
      <c r="F4196" s="30" t="inlineStr">
        <is>
          <t>2023</t>
        </is>
      </c>
      <c r="G4196" s="40" t="n">
        <v>0</v>
      </c>
    </row>
    <row r="4197" ht="12" customHeight="1">
      <c r="A4197" s="30" t="inlineStr">
        <is>
          <t>ITG</t>
        </is>
      </c>
      <c r="B4197" s="30" t="inlineStr">
        <is>
          <t>Itaguai</t>
        </is>
      </c>
      <c r="C4197" s="30" t="n">
        <v>77126600</v>
      </c>
      <c r="D4197" s="30">
        <f>"62408703000534"</f>
        <v/>
      </c>
      <c r="E4197" s="30" t="inlineStr">
        <is>
          <t>MOPRI TRANSPORTE LTDA</t>
        </is>
      </c>
      <c r="F4197" s="30" t="inlineStr">
        <is>
          <t>2017</t>
        </is>
      </c>
      <c r="G4197" s="40" t="n">
        <v>0</v>
      </c>
    </row>
    <row r="4198" ht="12" customHeight="1">
      <c r="A4198" s="30" t="inlineStr">
        <is>
          <t>ITG</t>
        </is>
      </c>
      <c r="B4198" s="30" t="inlineStr">
        <is>
          <t>Itaguai</t>
        </is>
      </c>
      <c r="C4198" s="30" t="n">
        <v>77126600</v>
      </c>
      <c r="D4198" s="30">
        <f>"62408703000534"</f>
        <v/>
      </c>
      <c r="E4198" s="30" t="inlineStr">
        <is>
          <t>MOPRI TRANSPORTE LTDA</t>
        </is>
      </c>
      <c r="F4198" s="30" t="inlineStr">
        <is>
          <t>2018</t>
        </is>
      </c>
      <c r="G4198" s="40" t="n">
        <v>1230.09</v>
      </c>
    </row>
    <row r="4199" ht="12" customHeight="1">
      <c r="A4199" s="30" t="inlineStr">
        <is>
          <t>ITG</t>
        </is>
      </c>
      <c r="B4199" s="30" t="inlineStr">
        <is>
          <t>Itaguai</t>
        </is>
      </c>
      <c r="C4199" s="30" t="n">
        <v>77126600</v>
      </c>
      <c r="D4199" s="30">
        <f>"62408703000534"</f>
        <v/>
      </c>
      <c r="E4199" s="30" t="inlineStr">
        <is>
          <t>MOPRI TRANSPORTE LTDA</t>
        </is>
      </c>
      <c r="F4199" s="30" t="inlineStr">
        <is>
          <t>2019</t>
        </is>
      </c>
      <c r="G4199" s="40" t="n">
        <v>0</v>
      </c>
    </row>
    <row r="4200" ht="12" customHeight="1">
      <c r="A4200" s="30" t="inlineStr">
        <is>
          <t>ITG</t>
        </is>
      </c>
      <c r="B4200" s="30" t="inlineStr">
        <is>
          <t>Itaguai</t>
        </is>
      </c>
      <c r="C4200" s="30" t="n">
        <v>77126600</v>
      </c>
      <c r="D4200" s="30">
        <f>"62408703000534"</f>
        <v/>
      </c>
      <c r="E4200" s="30" t="inlineStr">
        <is>
          <t>MOPRI TRANSPORTE LTDA</t>
        </is>
      </c>
      <c r="F4200" s="30" t="inlineStr">
        <is>
          <t>2020</t>
        </is>
      </c>
      <c r="G4200" s="40" t="n">
        <v>0</v>
      </c>
    </row>
    <row r="4201" ht="12" customHeight="1">
      <c r="A4201" s="30" t="inlineStr">
        <is>
          <t>ITG</t>
        </is>
      </c>
      <c r="B4201" s="30" t="inlineStr">
        <is>
          <t>Itaguai</t>
        </is>
      </c>
      <c r="C4201" s="30" t="n">
        <v>77142126</v>
      </c>
      <c r="D4201" s="30">
        <f>"04155259000324"</f>
        <v/>
      </c>
      <c r="E4201" s="30" t="inlineStr">
        <is>
          <t>TRANSPORTADORA M M A LTDA</t>
        </is>
      </c>
      <c r="F4201" s="30" t="inlineStr">
        <is>
          <t>2018</t>
        </is>
      </c>
      <c r="G4201" s="40" t="n">
        <v>0</v>
      </c>
    </row>
    <row r="4202" ht="12" customHeight="1">
      <c r="A4202" s="30" t="inlineStr">
        <is>
          <t>ITG</t>
        </is>
      </c>
      <c r="B4202" s="30" t="inlineStr">
        <is>
          <t>Itaguai</t>
        </is>
      </c>
      <c r="C4202" s="30" t="n">
        <v>77142126</v>
      </c>
      <c r="D4202" s="30">
        <f>"04155259000324"</f>
        <v/>
      </c>
      <c r="E4202" s="30" t="inlineStr">
        <is>
          <t>TRANSPORTADORA M M A LTDA</t>
        </is>
      </c>
      <c r="F4202" s="30" t="inlineStr">
        <is>
          <t>2019</t>
        </is>
      </c>
      <c r="G4202" s="40" t="n">
        <v>0</v>
      </c>
    </row>
    <row r="4203" ht="12" customHeight="1">
      <c r="A4203" s="30" t="inlineStr">
        <is>
          <t>ITG</t>
        </is>
      </c>
      <c r="B4203" s="30" t="inlineStr">
        <is>
          <t>Itaguai</t>
        </is>
      </c>
      <c r="C4203" s="30" t="n">
        <v>77142126</v>
      </c>
      <c r="D4203" s="30">
        <f>"04155259000324"</f>
        <v/>
      </c>
      <c r="E4203" s="30" t="inlineStr">
        <is>
          <t>TRANSPORTADORA M M A LTDA</t>
        </is>
      </c>
      <c r="F4203" s="30" t="inlineStr">
        <is>
          <t>2020</t>
        </is>
      </c>
      <c r="G4203" s="40" t="n">
        <v>2197.99</v>
      </c>
    </row>
    <row r="4204" ht="12" customHeight="1">
      <c r="A4204" s="30" t="inlineStr">
        <is>
          <t>ITG</t>
        </is>
      </c>
      <c r="B4204" s="30" t="inlineStr">
        <is>
          <t>Itaguai</t>
        </is>
      </c>
      <c r="C4204" s="30" t="n">
        <v>77142126</v>
      </c>
      <c r="D4204" s="30">
        <f>"04155259000324"</f>
        <v/>
      </c>
      <c r="E4204" s="30" t="inlineStr">
        <is>
          <t>TRANSPORTADORA M M A LTDA</t>
        </is>
      </c>
      <c r="F4204" s="30" t="inlineStr">
        <is>
          <t>2021</t>
        </is>
      </c>
      <c r="G4204" s="40" t="n">
        <v>3518.35</v>
      </c>
    </row>
    <row r="4205" ht="12" customHeight="1">
      <c r="A4205" s="30" t="inlineStr">
        <is>
          <t>ITG</t>
        </is>
      </c>
      <c r="B4205" s="30" t="inlineStr">
        <is>
          <t>Itaguai</t>
        </is>
      </c>
      <c r="C4205" s="30" t="n">
        <v>77142126</v>
      </c>
      <c r="D4205" s="30">
        <f>"04155259000324"</f>
        <v/>
      </c>
      <c r="E4205" s="30" t="inlineStr">
        <is>
          <t>TRANSPORTADORA M M A LTDA</t>
        </is>
      </c>
      <c r="F4205" s="30" t="inlineStr">
        <is>
          <t>2022</t>
        </is>
      </c>
      <c r="G4205" s="40" t="n">
        <v>2269.21</v>
      </c>
    </row>
    <row r="4206" ht="12" customHeight="1">
      <c r="A4206" s="30" t="inlineStr">
        <is>
          <t>ITG</t>
        </is>
      </c>
      <c r="B4206" s="30" t="inlineStr">
        <is>
          <t>Itaguai</t>
        </is>
      </c>
      <c r="C4206" s="30" t="n">
        <v>77142126</v>
      </c>
      <c r="D4206" s="30">
        <f>"04155259000324"</f>
        <v/>
      </c>
      <c r="E4206" s="30" t="inlineStr">
        <is>
          <t>TRANSPORTADORA M M A LTDA</t>
        </is>
      </c>
      <c r="F4206" s="30" t="inlineStr">
        <is>
          <t>2023</t>
        </is>
      </c>
      <c r="G4206" s="40" t="n">
        <v>2596.89</v>
      </c>
    </row>
    <row r="4207" ht="12" customHeight="1">
      <c r="A4207" s="30" t="inlineStr">
        <is>
          <t>ITG</t>
        </is>
      </c>
      <c r="B4207" s="30" t="inlineStr">
        <is>
          <t>Itaguai</t>
        </is>
      </c>
      <c r="C4207" s="30" t="n">
        <v>77169261</v>
      </c>
      <c r="D4207" s="30">
        <f>"32492373002167"</f>
        <v/>
      </c>
      <c r="E4207" s="30" t="inlineStr">
        <is>
          <t>TRANSPORTE EXCELSIOR LTDA</t>
        </is>
      </c>
      <c r="F4207" s="30" t="inlineStr">
        <is>
          <t>2017</t>
        </is>
      </c>
      <c r="G4207" s="40" t="n">
        <v>340967.89</v>
      </c>
    </row>
    <row r="4208" ht="12" customHeight="1">
      <c r="A4208" s="30" t="inlineStr">
        <is>
          <t>ITG</t>
        </is>
      </c>
      <c r="B4208" s="30" t="inlineStr">
        <is>
          <t>Itaguai</t>
        </is>
      </c>
      <c r="C4208" s="30" t="n">
        <v>77169261</v>
      </c>
      <c r="D4208" s="30">
        <f>"32492373002167"</f>
        <v/>
      </c>
      <c r="E4208" s="30" t="inlineStr">
        <is>
          <t>TRANSPORTE EXCELSIOR LTDA</t>
        </is>
      </c>
      <c r="F4208" s="30" t="inlineStr">
        <is>
          <t>2018</t>
        </is>
      </c>
      <c r="G4208" s="40" t="n">
        <v>134709.13</v>
      </c>
    </row>
    <row r="4209" ht="12" customHeight="1">
      <c r="A4209" s="30" t="inlineStr">
        <is>
          <t>ITG</t>
        </is>
      </c>
      <c r="B4209" s="30" t="inlineStr">
        <is>
          <t>Itaguai</t>
        </is>
      </c>
      <c r="C4209" s="30" t="n">
        <v>77169261</v>
      </c>
      <c r="D4209" s="30">
        <f>"32492373002167"</f>
        <v/>
      </c>
      <c r="E4209" s="30" t="inlineStr">
        <is>
          <t>TRANSPORTE EXCELSIOR LTDA</t>
        </is>
      </c>
      <c r="F4209" s="30" t="inlineStr">
        <is>
          <t>2019</t>
        </is>
      </c>
      <c r="G4209" s="40" t="n">
        <v>213001.54</v>
      </c>
    </row>
    <row r="4210" ht="12" customHeight="1">
      <c r="A4210" s="30" t="inlineStr">
        <is>
          <t>ITG</t>
        </is>
      </c>
      <c r="B4210" s="30" t="inlineStr">
        <is>
          <t>Itaguai</t>
        </is>
      </c>
      <c r="C4210" s="30" t="n">
        <v>77169261</v>
      </c>
      <c r="D4210" s="30">
        <f>"32492373002167"</f>
        <v/>
      </c>
      <c r="E4210" s="30" t="inlineStr">
        <is>
          <t>TRANSPORTE EXCELSIOR LTDA</t>
        </is>
      </c>
      <c r="F4210" s="30" t="inlineStr">
        <is>
          <t>2020</t>
        </is>
      </c>
      <c r="G4210" s="40" t="n">
        <v>219815.43</v>
      </c>
    </row>
    <row r="4211" ht="12" customHeight="1">
      <c r="A4211" s="30" t="inlineStr">
        <is>
          <t>ITG</t>
        </is>
      </c>
      <c r="B4211" s="30" t="inlineStr">
        <is>
          <t>Itaguai</t>
        </is>
      </c>
      <c r="C4211" s="30" t="n">
        <v>77169261</v>
      </c>
      <c r="D4211" s="30">
        <f>"32492373002167"</f>
        <v/>
      </c>
      <c r="E4211" s="30" t="inlineStr">
        <is>
          <t>TRANSPORTE EXCELSIOR LTDA</t>
        </is>
      </c>
      <c r="F4211" s="30" t="inlineStr">
        <is>
          <t>2021</t>
        </is>
      </c>
      <c r="G4211" s="40" t="n">
        <v>328362.91</v>
      </c>
    </row>
    <row r="4212" ht="12" customHeight="1">
      <c r="A4212" s="30" t="inlineStr">
        <is>
          <t>ITG</t>
        </is>
      </c>
      <c r="B4212" s="30" t="inlineStr">
        <is>
          <t>Itaguai</t>
        </is>
      </c>
      <c r="C4212" s="30" t="n">
        <v>77169261</v>
      </c>
      <c r="D4212" s="30">
        <f>"32492373002167"</f>
        <v/>
      </c>
      <c r="E4212" s="30" t="inlineStr">
        <is>
          <t>TRANSPORTE EXCELSIOR LTDA</t>
        </is>
      </c>
      <c r="F4212" s="30" t="inlineStr">
        <is>
          <t>2022</t>
        </is>
      </c>
      <c r="G4212" s="40" t="n">
        <v>507545.06</v>
      </c>
    </row>
    <row r="4213" ht="12" customHeight="1">
      <c r="A4213" s="30" t="inlineStr">
        <is>
          <t>ITG</t>
        </is>
      </c>
      <c r="B4213" s="30" t="inlineStr">
        <is>
          <t>Itaguai</t>
        </is>
      </c>
      <c r="C4213" s="30" t="n">
        <v>77169261</v>
      </c>
      <c r="D4213" s="30">
        <f>"32492373002167"</f>
        <v/>
      </c>
      <c r="E4213" s="30" t="inlineStr">
        <is>
          <t>TRANSPORTE EXCELSIOR LTDA</t>
        </is>
      </c>
      <c r="F4213" s="30" t="inlineStr">
        <is>
          <t>2023</t>
        </is>
      </c>
      <c r="G4213" s="40" t="n">
        <v>554467.01</v>
      </c>
    </row>
    <row r="4214" ht="12" customHeight="1">
      <c r="A4214" s="30" t="inlineStr">
        <is>
          <t>ITG</t>
        </is>
      </c>
      <c r="B4214" s="30" t="inlineStr">
        <is>
          <t>Itaguai</t>
        </is>
      </c>
      <c r="C4214" s="30" t="n">
        <v>77191097</v>
      </c>
      <c r="D4214" s="30">
        <f>"04020515000376"</f>
        <v/>
      </c>
      <c r="E4214" s="30" t="inlineStr">
        <is>
          <t>PONTOCOM SERVICES LTDA</t>
        </is>
      </c>
      <c r="F4214" s="30" t="inlineStr">
        <is>
          <t>2017</t>
        </is>
      </c>
      <c r="G4214" s="40" t="n">
        <v>0</v>
      </c>
    </row>
    <row r="4215" ht="12" customHeight="1">
      <c r="A4215" s="30" t="inlineStr">
        <is>
          <t>ITG</t>
        </is>
      </c>
      <c r="B4215" s="30" t="inlineStr">
        <is>
          <t>Itaguai</t>
        </is>
      </c>
      <c r="C4215" s="30" t="n">
        <v>77191097</v>
      </c>
      <c r="D4215" s="30">
        <f>"04020515000376"</f>
        <v/>
      </c>
      <c r="E4215" s="30" t="inlineStr">
        <is>
          <t>PONTOCOM SERVICES LTDA</t>
        </is>
      </c>
      <c r="F4215" s="30" t="inlineStr">
        <is>
          <t>2018</t>
        </is>
      </c>
      <c r="G4215" s="40" t="n">
        <v>0</v>
      </c>
    </row>
    <row r="4216" ht="12" customHeight="1">
      <c r="A4216" s="30" t="inlineStr">
        <is>
          <t>ITG</t>
        </is>
      </c>
      <c r="B4216" s="30" t="inlineStr">
        <is>
          <t>Itaguai</t>
        </is>
      </c>
      <c r="C4216" s="30" t="n">
        <v>77191097</v>
      </c>
      <c r="D4216" s="30">
        <f>"04020515000376"</f>
        <v/>
      </c>
      <c r="E4216" s="30" t="inlineStr">
        <is>
          <t>PONTOCOM SERVICES LTDA</t>
        </is>
      </c>
      <c r="F4216" s="30" t="inlineStr">
        <is>
          <t>2019</t>
        </is>
      </c>
      <c r="G4216" s="40" t="n">
        <v>707.71</v>
      </c>
    </row>
    <row r="4217" ht="12" customHeight="1">
      <c r="A4217" s="30" t="inlineStr">
        <is>
          <t>ITG</t>
        </is>
      </c>
      <c r="B4217" s="30" t="inlineStr">
        <is>
          <t>Itaguai</t>
        </is>
      </c>
      <c r="C4217" s="30" t="n">
        <v>77191097</v>
      </c>
      <c r="D4217" s="30">
        <f>"04020515000376"</f>
        <v/>
      </c>
      <c r="E4217" s="30" t="inlineStr">
        <is>
          <t>PONTOCOM SERVICES LTDA</t>
        </is>
      </c>
      <c r="F4217" s="30" t="inlineStr">
        <is>
          <t>2020</t>
        </is>
      </c>
      <c r="G4217" s="40" t="n">
        <v>0</v>
      </c>
    </row>
    <row r="4218" ht="12" customHeight="1">
      <c r="A4218" s="30" t="inlineStr">
        <is>
          <t>ITG</t>
        </is>
      </c>
      <c r="B4218" s="30" t="inlineStr">
        <is>
          <t>Itaguai</t>
        </is>
      </c>
      <c r="C4218" s="30" t="n">
        <v>77191097</v>
      </c>
      <c r="D4218" s="30">
        <f>"04020515000376"</f>
        <v/>
      </c>
      <c r="E4218" s="30" t="inlineStr">
        <is>
          <t>PONTOCOM SERVICES LTDA</t>
        </is>
      </c>
      <c r="F4218" s="30" t="inlineStr">
        <is>
          <t>2021</t>
        </is>
      </c>
      <c r="G4218" s="40" t="n">
        <v>0</v>
      </c>
    </row>
    <row r="4219" ht="12" customHeight="1">
      <c r="A4219" s="30" t="inlineStr">
        <is>
          <t>ITG</t>
        </is>
      </c>
      <c r="B4219" s="30" t="inlineStr">
        <is>
          <t>Itaguai</t>
        </is>
      </c>
      <c r="C4219" s="30" t="n">
        <v>77235477</v>
      </c>
      <c r="D4219" s="30">
        <f>"04644026000123"</f>
        <v/>
      </c>
      <c r="E4219" s="30" t="inlineStr">
        <is>
          <t>ANDRATI COMERCIO E SERVIÇOS EIRELI</t>
        </is>
      </c>
      <c r="F4219" s="30" t="inlineStr">
        <is>
          <t>2017</t>
        </is>
      </c>
      <c r="G4219" s="40" t="n">
        <v>0</v>
      </c>
    </row>
    <row r="4220" ht="12" customHeight="1">
      <c r="A4220" s="30" t="inlineStr">
        <is>
          <t>ITG</t>
        </is>
      </c>
      <c r="B4220" s="30" t="inlineStr">
        <is>
          <t>Itaguai</t>
        </is>
      </c>
      <c r="C4220" s="30" t="n">
        <v>77235477</v>
      </c>
      <c r="D4220" s="30">
        <f>"04644026000123"</f>
        <v/>
      </c>
      <c r="E4220" s="30" t="inlineStr">
        <is>
          <t>ANDRATI COMERCIO E SERVIÇOS EIRELI</t>
        </is>
      </c>
      <c r="F4220" s="30" t="inlineStr">
        <is>
          <t>2018</t>
        </is>
      </c>
      <c r="G4220" s="40" t="n">
        <v>0</v>
      </c>
    </row>
    <row r="4221" ht="12" customHeight="1">
      <c r="A4221" s="30" t="inlineStr">
        <is>
          <t>ITG</t>
        </is>
      </c>
      <c r="B4221" s="30" t="inlineStr">
        <is>
          <t>Itaguai</t>
        </is>
      </c>
      <c r="C4221" s="30" t="n">
        <v>77235477</v>
      </c>
      <c r="D4221" s="30">
        <f>"04644026000123"</f>
        <v/>
      </c>
      <c r="E4221" s="30" t="inlineStr">
        <is>
          <t>ANDRATI COMERCIO E SERVIÇOS EIRELI</t>
        </is>
      </c>
      <c r="F4221" s="30" t="inlineStr">
        <is>
          <t>2019</t>
        </is>
      </c>
      <c r="G4221" s="40" t="n">
        <v>0</v>
      </c>
    </row>
    <row r="4222" ht="12" customHeight="1">
      <c r="A4222" s="30" t="inlineStr">
        <is>
          <t>ITG</t>
        </is>
      </c>
      <c r="B4222" s="30" t="inlineStr">
        <is>
          <t>Itaguai</t>
        </is>
      </c>
      <c r="C4222" s="30" t="n">
        <v>77235477</v>
      </c>
      <c r="D4222" s="30">
        <f>"04644026000123"</f>
        <v/>
      </c>
      <c r="E4222" s="30" t="inlineStr">
        <is>
          <t>ANDRATI COMERCIO E SERVIÇOS EIRELI</t>
        </is>
      </c>
      <c r="F4222" s="30" t="inlineStr">
        <is>
          <t>2020</t>
        </is>
      </c>
      <c r="G4222" s="40" t="n">
        <v>0</v>
      </c>
    </row>
    <row r="4223" ht="12" customHeight="1">
      <c r="A4223" s="30" t="inlineStr">
        <is>
          <t>ITG</t>
        </is>
      </c>
      <c r="B4223" s="30" t="inlineStr">
        <is>
          <t>Itaguai</t>
        </is>
      </c>
      <c r="C4223" s="30" t="n">
        <v>77238182</v>
      </c>
      <c r="D4223" s="30">
        <f>"04206050004410"</f>
        <v/>
      </c>
      <c r="E4223" s="30" t="inlineStr">
        <is>
          <t>TIM CELULAR S/A</t>
        </is>
      </c>
      <c r="F4223" s="30" t="inlineStr">
        <is>
          <t>2017</t>
        </is>
      </c>
      <c r="G4223" s="40" t="n">
        <v>4712834.47</v>
      </c>
    </row>
    <row r="4224" ht="12" customHeight="1">
      <c r="A4224" s="30" t="inlineStr">
        <is>
          <t>ITG</t>
        </is>
      </c>
      <c r="B4224" s="30" t="inlineStr">
        <is>
          <t>Itaguai</t>
        </is>
      </c>
      <c r="C4224" s="30" t="n">
        <v>77238182</v>
      </c>
      <c r="D4224" s="30">
        <f>"04206050004410"</f>
        <v/>
      </c>
      <c r="E4224" s="30" t="inlineStr">
        <is>
          <t>TIM CELULAR S/A</t>
        </is>
      </c>
      <c r="F4224" s="30" t="inlineStr">
        <is>
          <t>2018</t>
        </is>
      </c>
      <c r="G4224" s="40" t="n">
        <v>3994787.59</v>
      </c>
    </row>
    <row r="4225" ht="12" customHeight="1">
      <c r="A4225" s="30" t="inlineStr">
        <is>
          <t>ITG</t>
        </is>
      </c>
      <c r="B4225" s="30" t="inlineStr">
        <is>
          <t>Itaguai</t>
        </is>
      </c>
      <c r="C4225" s="30" t="n">
        <v>77238182</v>
      </c>
      <c r="D4225" s="30">
        <f>"04206050004410"</f>
        <v/>
      </c>
      <c r="E4225" s="30" t="inlineStr">
        <is>
          <t>TIM CELULAR S/A</t>
        </is>
      </c>
      <c r="F4225" s="30" t="inlineStr">
        <is>
          <t>2019</t>
        </is>
      </c>
      <c r="G4225" s="40" t="n">
        <v>0</v>
      </c>
    </row>
    <row r="4226" ht="12" customHeight="1">
      <c r="A4226" s="30" t="inlineStr">
        <is>
          <t>ITG</t>
        </is>
      </c>
      <c r="B4226" s="30" t="inlineStr">
        <is>
          <t>Itaguai</t>
        </is>
      </c>
      <c r="C4226" s="30" t="n">
        <v>77238182</v>
      </c>
      <c r="D4226" s="30">
        <f>"04206050004410"</f>
        <v/>
      </c>
      <c r="E4226" s="30" t="inlineStr">
        <is>
          <t>TIM CELULAR S/A</t>
        </is>
      </c>
      <c r="F4226" s="30" t="inlineStr">
        <is>
          <t>2020</t>
        </is>
      </c>
      <c r="G4226" s="40" t="n">
        <v>0</v>
      </c>
    </row>
    <row r="4227" ht="12" customHeight="1">
      <c r="A4227" s="30" t="inlineStr">
        <is>
          <t>ITG</t>
        </is>
      </c>
      <c r="B4227" s="30" t="inlineStr">
        <is>
          <t>Itaguai</t>
        </is>
      </c>
      <c r="C4227" s="30" t="n">
        <v>77269576</v>
      </c>
      <c r="D4227" s="30">
        <f>"04567423000149"</f>
        <v/>
      </c>
      <c r="E4227" s="30" t="inlineStr">
        <is>
          <t>J V CURUMIM MATERIAL DE CONSTRUCAO LTDA</t>
        </is>
      </c>
      <c r="F4227" s="30" t="inlineStr">
        <is>
          <t>2017</t>
        </is>
      </c>
      <c r="G4227" s="40" t="n">
        <v>81998.02</v>
      </c>
    </row>
    <row r="4228" ht="12" customHeight="1">
      <c r="A4228" s="30" t="inlineStr">
        <is>
          <t>ITG</t>
        </is>
      </c>
      <c r="B4228" s="30" t="inlineStr">
        <is>
          <t>Itaguai</t>
        </is>
      </c>
      <c r="C4228" s="30" t="n">
        <v>77269576</v>
      </c>
      <c r="D4228" s="30">
        <f>"04567423000149"</f>
        <v/>
      </c>
      <c r="E4228" s="30" t="inlineStr">
        <is>
          <t>J V CURUMIM MATERIAL DE CONSTRUCAO LTDA</t>
        </is>
      </c>
      <c r="F4228" s="30" t="inlineStr">
        <is>
          <t>2018</t>
        </is>
      </c>
      <c r="G4228" s="40" t="n">
        <v>0</v>
      </c>
    </row>
    <row r="4229" ht="12" customHeight="1">
      <c r="A4229" s="30" t="inlineStr">
        <is>
          <t>ITG</t>
        </is>
      </c>
      <c r="B4229" s="30" t="inlineStr">
        <is>
          <t>Itaguai</t>
        </is>
      </c>
      <c r="C4229" s="30" t="n">
        <v>77269576</v>
      </c>
      <c r="D4229" s="30">
        <f>"04567423000149"</f>
        <v/>
      </c>
      <c r="E4229" s="30" t="inlineStr">
        <is>
          <t>J V CURUMIM MATERIAL DE CONSTRUCAO LTDA</t>
        </is>
      </c>
      <c r="F4229" s="30" t="inlineStr">
        <is>
          <t>2019</t>
        </is>
      </c>
      <c r="G4229" s="40" t="n">
        <v>0</v>
      </c>
    </row>
    <row r="4230" ht="12" customHeight="1">
      <c r="A4230" s="30" t="inlineStr">
        <is>
          <t>ITG</t>
        </is>
      </c>
      <c r="B4230" s="30" t="inlineStr">
        <is>
          <t>Itaguai</t>
        </is>
      </c>
      <c r="C4230" s="30" t="n">
        <v>77272666</v>
      </c>
      <c r="D4230" s="30">
        <f>"33042730000880"</f>
        <v/>
      </c>
      <c r="E4230" s="30" t="inlineStr">
        <is>
          <t>COMPANHIA SIDERURGICA NACIONAL</t>
        </is>
      </c>
      <c r="F4230" s="30" t="inlineStr">
        <is>
          <t>2017</t>
        </is>
      </c>
      <c r="G4230" s="40" t="n">
        <v>244771686.66</v>
      </c>
    </row>
    <row r="4231" ht="12" customHeight="1">
      <c r="A4231" s="30" t="inlineStr">
        <is>
          <t>ITG</t>
        </is>
      </c>
      <c r="B4231" s="30" t="inlineStr">
        <is>
          <t>Itaguai</t>
        </is>
      </c>
      <c r="C4231" s="30" t="n">
        <v>77272666</v>
      </c>
      <c r="D4231" s="30">
        <f>"33042730000880"</f>
        <v/>
      </c>
      <c r="E4231" s="30" t="inlineStr">
        <is>
          <t>COMPANHIA SIDERURGICA NACIONAL</t>
        </is>
      </c>
      <c r="F4231" s="30" t="inlineStr">
        <is>
          <t>2018</t>
        </is>
      </c>
      <c r="G4231" s="40" t="n">
        <v>126281719.2</v>
      </c>
    </row>
    <row r="4232" ht="12" customHeight="1">
      <c r="A4232" s="30" t="inlineStr">
        <is>
          <t>ITG</t>
        </is>
      </c>
      <c r="B4232" s="30" t="inlineStr">
        <is>
          <t>Itaguai</t>
        </is>
      </c>
      <c r="C4232" s="30" t="n">
        <v>77272666</v>
      </c>
      <c r="D4232" s="30">
        <f>"33042730000880"</f>
        <v/>
      </c>
      <c r="E4232" s="30" t="inlineStr">
        <is>
          <t>COMPANHIA SIDERURGICA NACIONAL</t>
        </is>
      </c>
      <c r="F4232" s="30" t="inlineStr">
        <is>
          <t>2019</t>
        </is>
      </c>
      <c r="G4232" s="40" t="n">
        <v>0</v>
      </c>
    </row>
    <row r="4233" ht="12" customHeight="1">
      <c r="A4233" s="30" t="inlineStr">
        <is>
          <t>ITG</t>
        </is>
      </c>
      <c r="B4233" s="30" t="inlineStr">
        <is>
          <t>Itaguai</t>
        </is>
      </c>
      <c r="C4233" s="30" t="n">
        <v>77272666</v>
      </c>
      <c r="D4233" s="30">
        <f>"33042730000880"</f>
        <v/>
      </c>
      <c r="E4233" s="30" t="inlineStr">
        <is>
          <t>COMPANHIA SIDERURGICA NACIONAL</t>
        </is>
      </c>
      <c r="F4233" s="30" t="inlineStr">
        <is>
          <t>2020</t>
        </is>
      </c>
      <c r="G4233" s="40" t="n">
        <v>19761346.28</v>
      </c>
    </row>
    <row r="4234" ht="12" customHeight="1">
      <c r="A4234" s="30" t="inlineStr">
        <is>
          <t>ITG</t>
        </is>
      </c>
      <c r="B4234" s="30" t="inlineStr">
        <is>
          <t>Itaguai</t>
        </is>
      </c>
      <c r="C4234" s="30" t="n">
        <v>77272666</v>
      </c>
      <c r="D4234" s="30">
        <f>"33042730000880"</f>
        <v/>
      </c>
      <c r="E4234" s="30" t="inlineStr">
        <is>
          <t>COMPANHIA SIDERURGICA NACIONAL</t>
        </is>
      </c>
      <c r="F4234" s="30" t="inlineStr">
        <is>
          <t>2021</t>
        </is>
      </c>
      <c r="G4234" s="40" t="n">
        <v>0</v>
      </c>
    </row>
    <row r="4235" ht="12" customHeight="1">
      <c r="A4235" s="30" t="inlineStr">
        <is>
          <t>ITG</t>
        </is>
      </c>
      <c r="B4235" s="30" t="inlineStr">
        <is>
          <t>Itaguai</t>
        </is>
      </c>
      <c r="C4235" s="30" t="n">
        <v>77272666</v>
      </c>
      <c r="D4235" s="30">
        <f>"33042730000880"</f>
        <v/>
      </c>
      <c r="E4235" s="30" t="inlineStr">
        <is>
          <t>COMPANHIA SIDERURGICA NACIONAL</t>
        </is>
      </c>
      <c r="F4235" s="30" t="inlineStr">
        <is>
          <t>2022</t>
        </is>
      </c>
      <c r="G4235" s="40" t="n">
        <v>26423952.54</v>
      </c>
    </row>
    <row r="4236" ht="12" customHeight="1">
      <c r="A4236" s="30" t="inlineStr">
        <is>
          <t>ITG</t>
        </is>
      </c>
      <c r="B4236" s="30" t="inlineStr">
        <is>
          <t>Itaguai</t>
        </is>
      </c>
      <c r="C4236" s="30" t="n">
        <v>77272666</v>
      </c>
      <c r="D4236" s="30">
        <f>"33042730000880"</f>
        <v/>
      </c>
      <c r="E4236" s="30" t="inlineStr">
        <is>
          <t>COMPANHIA SIDERURGICA NACIONAL</t>
        </is>
      </c>
      <c r="F4236" s="30" t="inlineStr">
        <is>
          <t>2023</t>
        </is>
      </c>
      <c r="G4236" s="40" t="n">
        <v>66063439.72</v>
      </c>
    </row>
    <row r="4237" ht="12" customHeight="1">
      <c r="A4237" s="30" t="inlineStr">
        <is>
          <t>ITG</t>
        </is>
      </c>
      <c r="B4237" s="30" t="inlineStr">
        <is>
          <t>Itaguai</t>
        </is>
      </c>
      <c r="C4237" s="30" t="n">
        <v>77280707</v>
      </c>
      <c r="D4237" s="30">
        <f>"04676236000101"</f>
        <v/>
      </c>
      <c r="E4237" s="30" t="inlineStr">
        <is>
          <t>MINERACAO SANTA LUZIA DE ITAGUAI LTDA</t>
        </is>
      </c>
      <c r="F4237" s="30" t="inlineStr">
        <is>
          <t>2017</t>
        </is>
      </c>
      <c r="G4237" s="40" t="n">
        <v>10409415.57</v>
      </c>
    </row>
    <row r="4238" ht="12" customHeight="1">
      <c r="A4238" s="30" t="inlineStr">
        <is>
          <t>ITG</t>
        </is>
      </c>
      <c r="B4238" s="30" t="inlineStr">
        <is>
          <t>Itaguai</t>
        </is>
      </c>
      <c r="C4238" s="30" t="n">
        <v>77280707</v>
      </c>
      <c r="D4238" s="30">
        <f>"04676236000101"</f>
        <v/>
      </c>
      <c r="E4238" s="30" t="inlineStr">
        <is>
          <t>MINERACAO SANTA LUZIA DE ITAGUAI LTDA</t>
        </is>
      </c>
      <c r="F4238" s="30" t="inlineStr">
        <is>
          <t>2018</t>
        </is>
      </c>
      <c r="G4238" s="40" t="n">
        <v>12369199.77</v>
      </c>
    </row>
    <row r="4239" ht="12" customHeight="1">
      <c r="A4239" s="30" t="inlineStr">
        <is>
          <t>ITG</t>
        </is>
      </c>
      <c r="B4239" s="30" t="inlineStr">
        <is>
          <t>Itaguai</t>
        </is>
      </c>
      <c r="C4239" s="30" t="n">
        <v>77280707</v>
      </c>
      <c r="D4239" s="30">
        <f>"04676236000101"</f>
        <v/>
      </c>
      <c r="E4239" s="30" t="inlineStr">
        <is>
          <t>MINERACAO SANTA LUZIA DE ITAGUAI LTDA</t>
        </is>
      </c>
      <c r="F4239" s="30" t="inlineStr">
        <is>
          <t>2019</t>
        </is>
      </c>
      <c r="G4239" s="40" t="n">
        <v>11177816.3</v>
      </c>
    </row>
    <row r="4240" ht="12" customHeight="1">
      <c r="A4240" s="30" t="inlineStr">
        <is>
          <t>ITG</t>
        </is>
      </c>
      <c r="B4240" s="30" t="inlineStr">
        <is>
          <t>Itaguai</t>
        </is>
      </c>
      <c r="C4240" s="30" t="n">
        <v>77280707</v>
      </c>
      <c r="D4240" s="30">
        <f>"04676236000101"</f>
        <v/>
      </c>
      <c r="E4240" s="30" t="inlineStr">
        <is>
          <t>MINERACAO SANTA LUZIA DE ITAGUAI LTDA</t>
        </is>
      </c>
      <c r="F4240" s="30" t="inlineStr">
        <is>
          <t>2020</t>
        </is>
      </c>
      <c r="G4240" s="40" t="n">
        <v>17139486.2</v>
      </c>
    </row>
    <row r="4241" ht="12" customHeight="1">
      <c r="A4241" s="30" t="inlineStr">
        <is>
          <t>ITG</t>
        </is>
      </c>
      <c r="B4241" s="30" t="inlineStr">
        <is>
          <t>Itaguai</t>
        </is>
      </c>
      <c r="C4241" s="30" t="n">
        <v>77280707</v>
      </c>
      <c r="D4241" s="30">
        <f>"04676236000101"</f>
        <v/>
      </c>
      <c r="E4241" s="30" t="inlineStr">
        <is>
          <t>MINERACAO SANTA LUZIA DE ITAGUAI LTDA</t>
        </is>
      </c>
      <c r="F4241" s="30" t="inlineStr">
        <is>
          <t>2021</t>
        </is>
      </c>
      <c r="G4241" s="40" t="n">
        <v>26778441.92</v>
      </c>
    </row>
    <row r="4242" ht="12" customHeight="1">
      <c r="A4242" s="30" t="inlineStr">
        <is>
          <t>ITG</t>
        </is>
      </c>
      <c r="B4242" s="30" t="inlineStr">
        <is>
          <t>Itaguai</t>
        </is>
      </c>
      <c r="C4242" s="30" t="n">
        <v>77280707</v>
      </c>
      <c r="D4242" s="30">
        <f>"04676236000101"</f>
        <v/>
      </c>
      <c r="E4242" s="30" t="inlineStr">
        <is>
          <t>MINERACAO SANTA LUZIA DE ITAGUAI LTDA</t>
        </is>
      </c>
      <c r="F4242" s="30" t="inlineStr">
        <is>
          <t>2022</t>
        </is>
      </c>
      <c r="G4242" s="40" t="n">
        <v>49405923.95</v>
      </c>
    </row>
    <row r="4243" ht="12" customHeight="1">
      <c r="A4243" s="30" t="inlineStr">
        <is>
          <t>ITG</t>
        </is>
      </c>
      <c r="B4243" s="30" t="inlineStr">
        <is>
          <t>Itaguai</t>
        </is>
      </c>
      <c r="C4243" s="30" t="n">
        <v>77280707</v>
      </c>
      <c r="D4243" s="30">
        <f>"04676236000101"</f>
        <v/>
      </c>
      <c r="E4243" s="30" t="inlineStr">
        <is>
          <t>MINERACAO SANTA LUZIA DE ITAGUAI LTDA</t>
        </is>
      </c>
      <c r="F4243" s="30" t="inlineStr">
        <is>
          <t>2023</t>
        </is>
      </c>
      <c r="G4243" s="40" t="n">
        <v>53354119.67</v>
      </c>
    </row>
    <row r="4244" ht="12" customHeight="1">
      <c r="A4244" s="30" t="inlineStr">
        <is>
          <t>ITG</t>
        </is>
      </c>
      <c r="B4244" s="30" t="inlineStr">
        <is>
          <t>Itaguai</t>
        </is>
      </c>
      <c r="C4244" s="30" t="n">
        <v>77290028</v>
      </c>
      <c r="D4244" s="30">
        <f>"03341775000461"</f>
        <v/>
      </c>
      <c r="E4244" s="30" t="inlineStr">
        <is>
          <t>TRANSPORTES MOBILINE LTDA</t>
        </is>
      </c>
      <c r="F4244" s="30" t="inlineStr">
        <is>
          <t>2017</t>
        </is>
      </c>
      <c r="G4244" s="40" t="n">
        <v>95</v>
      </c>
    </row>
    <row r="4245" ht="12" customHeight="1">
      <c r="A4245" s="30" t="inlineStr">
        <is>
          <t>ITG</t>
        </is>
      </c>
      <c r="B4245" s="30" t="inlineStr">
        <is>
          <t>Itaguai</t>
        </is>
      </c>
      <c r="C4245" s="30" t="n">
        <v>77290028</v>
      </c>
      <c r="D4245" s="30">
        <f>"03341775000461"</f>
        <v/>
      </c>
      <c r="E4245" s="30" t="inlineStr">
        <is>
          <t>TRANSPORTES MOBILINE LTDA</t>
        </is>
      </c>
      <c r="F4245" s="30" t="inlineStr">
        <is>
          <t>2018</t>
        </is>
      </c>
      <c r="G4245" s="40" t="n">
        <v>95.05</v>
      </c>
    </row>
    <row r="4246" ht="12" customHeight="1">
      <c r="A4246" s="30" t="inlineStr">
        <is>
          <t>ITG</t>
        </is>
      </c>
      <c r="B4246" s="30" t="inlineStr">
        <is>
          <t>Itaguai</t>
        </is>
      </c>
      <c r="C4246" s="30" t="n">
        <v>77290028</v>
      </c>
      <c r="D4246" s="30">
        <f>"03341775000461"</f>
        <v/>
      </c>
      <c r="E4246" s="30" t="inlineStr">
        <is>
          <t>TRANSPORTES MOBILINE LTDA</t>
        </is>
      </c>
      <c r="F4246" s="30" t="inlineStr">
        <is>
          <t>2019</t>
        </is>
      </c>
      <c r="G4246" s="40" t="n">
        <v>0.05</v>
      </c>
    </row>
    <row r="4247" ht="12" customHeight="1">
      <c r="A4247" s="30" t="inlineStr">
        <is>
          <t>ITG</t>
        </is>
      </c>
      <c r="B4247" s="30" t="inlineStr">
        <is>
          <t>Itaguai</t>
        </is>
      </c>
      <c r="C4247" s="30" t="n">
        <v>77290028</v>
      </c>
      <c r="D4247" s="30">
        <f>"03341775000461"</f>
        <v/>
      </c>
      <c r="E4247" s="30" t="inlineStr">
        <is>
          <t>TRANSPORTES MOBILINE LTDA</t>
        </is>
      </c>
      <c r="F4247" s="30" t="inlineStr">
        <is>
          <t>2020</t>
        </is>
      </c>
      <c r="G4247" s="40" t="n">
        <v>240</v>
      </c>
    </row>
    <row r="4248" ht="12" customHeight="1">
      <c r="A4248" s="30" t="inlineStr">
        <is>
          <t>ITG</t>
        </is>
      </c>
      <c r="B4248" s="30" t="inlineStr">
        <is>
          <t>Itaguai</t>
        </is>
      </c>
      <c r="C4248" s="30" t="n">
        <v>77290028</v>
      </c>
      <c r="D4248" s="30">
        <f>"03341775000461"</f>
        <v/>
      </c>
      <c r="E4248" s="30" t="inlineStr">
        <is>
          <t>TRANSPORTES MOBILINE LTDA</t>
        </is>
      </c>
      <c r="F4248" s="30" t="inlineStr">
        <is>
          <t>2021</t>
        </is>
      </c>
      <c r="G4248" s="40" t="n">
        <v>302.65</v>
      </c>
    </row>
    <row r="4249" ht="12" customHeight="1">
      <c r="A4249" s="30" t="inlineStr">
        <is>
          <t>ITG</t>
        </is>
      </c>
      <c r="B4249" s="30" t="inlineStr">
        <is>
          <t>Itaguai</t>
        </is>
      </c>
      <c r="C4249" s="30" t="n">
        <v>77290028</v>
      </c>
      <c r="D4249" s="30">
        <f>"03341775000461"</f>
        <v/>
      </c>
      <c r="E4249" s="30" t="inlineStr">
        <is>
          <t>TRANSPORTES MOBILINE LTDA</t>
        </is>
      </c>
      <c r="F4249" s="30" t="inlineStr">
        <is>
          <t>2022</t>
        </is>
      </c>
      <c r="G4249" s="40" t="n">
        <v>0</v>
      </c>
    </row>
    <row r="4250" ht="12" customHeight="1">
      <c r="A4250" s="30" t="inlineStr">
        <is>
          <t>ITG</t>
        </is>
      </c>
      <c r="B4250" s="30" t="inlineStr">
        <is>
          <t>Itaguai</t>
        </is>
      </c>
      <c r="C4250" s="30" t="n">
        <v>77290028</v>
      </c>
      <c r="D4250" s="30">
        <f>"03341775000461"</f>
        <v/>
      </c>
      <c r="E4250" s="30" t="inlineStr">
        <is>
          <t>TRANSPORTES MOBILINE LTDA</t>
        </is>
      </c>
      <c r="F4250" s="30" t="inlineStr">
        <is>
          <t>2023</t>
        </is>
      </c>
      <c r="G4250" s="40" t="n">
        <v>0</v>
      </c>
    </row>
    <row r="4251" ht="12" customHeight="1">
      <c r="A4251" s="30" t="inlineStr">
        <is>
          <t>ITG</t>
        </is>
      </c>
      <c r="B4251" s="30" t="inlineStr">
        <is>
          <t>Itaguai</t>
        </is>
      </c>
      <c r="C4251" s="30" t="n">
        <v>77310550</v>
      </c>
      <c r="D4251" s="30">
        <f>"04850539000190"</f>
        <v/>
      </c>
      <c r="E4251" s="30" t="inlineStr">
        <is>
          <t>HERMINIO COMERCIO E LOCACAO DE VEICULOS LTDA ME</t>
        </is>
      </c>
      <c r="F4251" s="30" t="inlineStr">
        <is>
          <t>2017</t>
        </is>
      </c>
      <c r="G4251" s="40" t="n">
        <v>158101.72</v>
      </c>
    </row>
    <row r="4252" ht="12" customHeight="1">
      <c r="A4252" s="30" t="inlineStr">
        <is>
          <t>ITG</t>
        </is>
      </c>
      <c r="B4252" s="30" t="inlineStr">
        <is>
          <t>Itaguai</t>
        </is>
      </c>
      <c r="C4252" s="30" t="n">
        <v>77310550</v>
      </c>
      <c r="D4252" s="30">
        <f>"04850539000190"</f>
        <v/>
      </c>
      <c r="E4252" s="30" t="inlineStr">
        <is>
          <t>HERMINIO COMERCIO E LOCACAO DE VEICULOS LTDA ME</t>
        </is>
      </c>
      <c r="F4252" s="30" t="inlineStr">
        <is>
          <t>2018</t>
        </is>
      </c>
      <c r="G4252" s="40" t="n">
        <v>37744.65</v>
      </c>
    </row>
    <row r="4253" ht="12" customHeight="1">
      <c r="A4253" s="30" t="inlineStr">
        <is>
          <t>ITG</t>
        </is>
      </c>
      <c r="B4253" s="30" t="inlineStr">
        <is>
          <t>Itaguai</t>
        </is>
      </c>
      <c r="C4253" s="30" t="n">
        <v>77310550</v>
      </c>
      <c r="D4253" s="30">
        <f>"04850539000190"</f>
        <v/>
      </c>
      <c r="E4253" s="30" t="inlineStr">
        <is>
          <t>HERMINIO COMERCIO E LOCACAO DE VEICULOS LTDA ME</t>
        </is>
      </c>
      <c r="F4253" s="30" t="inlineStr">
        <is>
          <t>2019</t>
        </is>
      </c>
      <c r="G4253" s="40" t="n">
        <v>0</v>
      </c>
    </row>
    <row r="4254" ht="12" customHeight="1">
      <c r="A4254" s="30" t="inlineStr">
        <is>
          <t>ITG</t>
        </is>
      </c>
      <c r="B4254" s="30" t="inlineStr">
        <is>
          <t>Itaguai</t>
        </is>
      </c>
      <c r="C4254" s="30" t="n">
        <v>77310550</v>
      </c>
      <c r="D4254" s="30">
        <f>"04850539000190"</f>
        <v/>
      </c>
      <c r="E4254" s="30" t="inlineStr">
        <is>
          <t>HERMINIO COMERCIO E LOCACAO DE VEICULOS LTDA ME</t>
        </is>
      </c>
      <c r="F4254" s="30" t="inlineStr">
        <is>
          <t>2020</t>
        </is>
      </c>
      <c r="G4254" s="40" t="n">
        <v>730470</v>
      </c>
    </row>
    <row r="4255" ht="12" customHeight="1">
      <c r="A4255" s="30" t="inlineStr">
        <is>
          <t>ITG</t>
        </is>
      </c>
      <c r="B4255" s="30" t="inlineStr">
        <is>
          <t>Itaguai</t>
        </is>
      </c>
      <c r="C4255" s="30" t="n">
        <v>77310550</v>
      </c>
      <c r="D4255" s="30">
        <f>"04850539000190"</f>
        <v/>
      </c>
      <c r="E4255" s="30" t="inlineStr">
        <is>
          <t>HERMINIO COMERCIO E LOCACAO DE VEICULOS LTDA ME</t>
        </is>
      </c>
      <c r="F4255" s="30" t="inlineStr">
        <is>
          <t>2021</t>
        </is>
      </c>
      <c r="G4255" s="40" t="n">
        <v>280320.64</v>
      </c>
    </row>
    <row r="4256" ht="12" customHeight="1">
      <c r="A4256" s="30" t="inlineStr">
        <is>
          <t>ITG</t>
        </is>
      </c>
      <c r="B4256" s="30" t="inlineStr">
        <is>
          <t>Itaguai</t>
        </is>
      </c>
      <c r="C4256" s="30" t="n">
        <v>77310550</v>
      </c>
      <c r="D4256" s="30">
        <f>"04850539000190"</f>
        <v/>
      </c>
      <c r="E4256" s="30" t="inlineStr">
        <is>
          <t>HERMINIO COMERCIO E LOCACAO DE VEICULOS LTDA ME</t>
        </is>
      </c>
      <c r="F4256" s="30" t="inlineStr">
        <is>
          <t>2022</t>
        </is>
      </c>
      <c r="G4256" s="40" t="n">
        <v>3658278</v>
      </c>
    </row>
    <row r="4257" ht="12" customHeight="1">
      <c r="A4257" s="30" t="inlineStr">
        <is>
          <t>ITG</t>
        </is>
      </c>
      <c r="B4257" s="30" t="inlineStr">
        <is>
          <t>Itaguai</t>
        </is>
      </c>
      <c r="C4257" s="30" t="n">
        <v>77310550</v>
      </c>
      <c r="D4257" s="30">
        <f>"04850539000190"</f>
        <v/>
      </c>
      <c r="E4257" s="30" t="inlineStr">
        <is>
          <t>HERMINIO COMERCIO E LOCACAO DE VEICULOS LTDA ME</t>
        </is>
      </c>
      <c r="F4257" s="30" t="inlineStr">
        <is>
          <t>2023</t>
        </is>
      </c>
      <c r="G4257" s="40" t="n">
        <v>0</v>
      </c>
    </row>
    <row r="4258" ht="12" customHeight="1">
      <c r="A4258" s="30" t="inlineStr">
        <is>
          <t>ITG</t>
        </is>
      </c>
      <c r="B4258" s="30" t="inlineStr">
        <is>
          <t>Itaguai</t>
        </is>
      </c>
      <c r="C4258" s="30" t="n">
        <v>77322167</v>
      </c>
      <c r="D4258" s="30">
        <f>"65293383001584"</f>
        <v/>
      </c>
      <c r="E4258" s="30" t="inlineStr">
        <is>
          <t>TRANSNORTE CARGAS E ENCOMENDAS LTDA</t>
        </is>
      </c>
      <c r="F4258" s="30" t="inlineStr">
        <is>
          <t>2017</t>
        </is>
      </c>
      <c r="G4258" s="40" t="n">
        <v>0</v>
      </c>
    </row>
    <row r="4259" ht="12" customHeight="1">
      <c r="A4259" s="30" t="inlineStr">
        <is>
          <t>ITG</t>
        </is>
      </c>
      <c r="B4259" s="30" t="inlineStr">
        <is>
          <t>Itaguai</t>
        </is>
      </c>
      <c r="C4259" s="30" t="n">
        <v>77322167</v>
      </c>
      <c r="D4259" s="30">
        <f>"65293383001584"</f>
        <v/>
      </c>
      <c r="E4259" s="30" t="inlineStr">
        <is>
          <t>TRANSNORTE CARGAS E ENCOMENDAS LTDA</t>
        </is>
      </c>
      <c r="F4259" s="30" t="inlineStr">
        <is>
          <t>2018</t>
        </is>
      </c>
      <c r="G4259" s="40" t="n">
        <v>3922.45</v>
      </c>
    </row>
    <row r="4260" ht="12" customHeight="1">
      <c r="A4260" s="30" t="inlineStr">
        <is>
          <t>ITG</t>
        </is>
      </c>
      <c r="B4260" s="30" t="inlineStr">
        <is>
          <t>Itaguai</t>
        </is>
      </c>
      <c r="C4260" s="30" t="n">
        <v>77322167</v>
      </c>
      <c r="D4260" s="30">
        <f>"65293383001584"</f>
        <v/>
      </c>
      <c r="E4260" s="30" t="inlineStr">
        <is>
          <t>TRANSNORTE CARGAS E ENCOMENDAS LTDA</t>
        </is>
      </c>
      <c r="F4260" s="30" t="inlineStr">
        <is>
          <t>2019</t>
        </is>
      </c>
      <c r="G4260" s="40" t="n">
        <v>3196.15</v>
      </c>
    </row>
    <row r="4261" ht="12" customHeight="1">
      <c r="A4261" s="30" t="inlineStr">
        <is>
          <t>ITG</t>
        </is>
      </c>
      <c r="B4261" s="30" t="inlineStr">
        <is>
          <t>Itaguai</t>
        </is>
      </c>
      <c r="C4261" s="30" t="n">
        <v>77322167</v>
      </c>
      <c r="D4261" s="30">
        <f>"65293383001584"</f>
        <v/>
      </c>
      <c r="E4261" s="30" t="inlineStr">
        <is>
          <t>TRANSNORTE CARGAS E ENCOMENDAS LTDA</t>
        </is>
      </c>
      <c r="F4261" s="30" t="inlineStr">
        <is>
          <t>2020</t>
        </is>
      </c>
      <c r="G4261" s="40" t="n">
        <v>0</v>
      </c>
    </row>
    <row r="4262" ht="12" customHeight="1">
      <c r="A4262" s="30" t="inlineStr">
        <is>
          <t>ITG</t>
        </is>
      </c>
      <c r="B4262" s="30" t="inlineStr">
        <is>
          <t>Itaguai</t>
        </is>
      </c>
      <c r="C4262" s="30" t="n">
        <v>77322167</v>
      </c>
      <c r="D4262" s="30">
        <f>"65293383001584"</f>
        <v/>
      </c>
      <c r="E4262" s="30" t="inlineStr">
        <is>
          <t>TRANSNORTE CARGAS E ENCOMENDAS LTDA</t>
        </is>
      </c>
      <c r="F4262" s="30" t="inlineStr">
        <is>
          <t>2021</t>
        </is>
      </c>
      <c r="G4262" s="40" t="n">
        <v>0</v>
      </c>
    </row>
    <row r="4263" ht="12" customHeight="1">
      <c r="A4263" s="30" t="inlineStr">
        <is>
          <t>ITG</t>
        </is>
      </c>
      <c r="B4263" s="30" t="inlineStr">
        <is>
          <t>Itaguai</t>
        </is>
      </c>
      <c r="C4263" s="30" t="n">
        <v>77339531</v>
      </c>
      <c r="D4263" s="30">
        <f>"04970037000101"</f>
        <v/>
      </c>
      <c r="E4263" s="30" t="inlineStr">
        <is>
          <t>M &amp; R DE ITAGUAI NAUTICA LTDA ME</t>
        </is>
      </c>
      <c r="F4263" s="30" t="inlineStr">
        <is>
          <t>2018</t>
        </is>
      </c>
      <c r="G4263" s="40" t="n">
        <v>0</v>
      </c>
    </row>
    <row r="4264" ht="12" customHeight="1">
      <c r="A4264" s="30" t="inlineStr">
        <is>
          <t>ITG</t>
        </is>
      </c>
      <c r="B4264" s="30" t="inlineStr">
        <is>
          <t>Itaguai</t>
        </is>
      </c>
      <c r="C4264" s="30" t="n">
        <v>77339531</v>
      </c>
      <c r="D4264" s="30">
        <f>"04970037000101"</f>
        <v/>
      </c>
      <c r="E4264" s="30" t="inlineStr">
        <is>
          <t>M &amp; R DE ITAGUAI NAUTICA LTDA ME</t>
        </is>
      </c>
      <c r="F4264" s="30" t="inlineStr">
        <is>
          <t>2019</t>
        </is>
      </c>
      <c r="G4264" s="40" t="n">
        <v>0</v>
      </c>
    </row>
    <row r="4265" ht="12" customHeight="1">
      <c r="A4265" s="30" t="inlineStr">
        <is>
          <t>ITG</t>
        </is>
      </c>
      <c r="B4265" s="30" t="inlineStr">
        <is>
          <t>Itaguai</t>
        </is>
      </c>
      <c r="C4265" s="30" t="n">
        <v>77339531</v>
      </c>
      <c r="D4265" s="30">
        <f>"04970037000101"</f>
        <v/>
      </c>
      <c r="E4265" s="30" t="inlineStr">
        <is>
          <t>M &amp; R DE ITAGUAI NAUTICA LTDA ME</t>
        </is>
      </c>
      <c r="F4265" s="30" t="inlineStr">
        <is>
          <t>2020</t>
        </is>
      </c>
      <c r="G4265" s="40" t="n">
        <v>28676.54</v>
      </c>
    </row>
    <row r="4266" ht="12" customHeight="1">
      <c r="A4266" s="30" t="inlineStr">
        <is>
          <t>ITG</t>
        </is>
      </c>
      <c r="B4266" s="30" t="inlineStr">
        <is>
          <t>Itaguai</t>
        </is>
      </c>
      <c r="C4266" s="30" t="n">
        <v>77339531</v>
      </c>
      <c r="D4266" s="30">
        <f>"04970037000101"</f>
        <v/>
      </c>
      <c r="E4266" s="30" t="inlineStr">
        <is>
          <t>M &amp; R DE ITAGUAI NAUTICA LTDA ME</t>
        </is>
      </c>
      <c r="F4266" s="30" t="inlineStr">
        <is>
          <t>2021</t>
        </is>
      </c>
      <c r="G4266" s="40" t="n">
        <v>74142.64</v>
      </c>
    </row>
    <row r="4267" ht="12" customHeight="1">
      <c r="A4267" s="30" t="inlineStr">
        <is>
          <t>ITG</t>
        </is>
      </c>
      <c r="B4267" s="30" t="inlineStr">
        <is>
          <t>Itaguai</t>
        </is>
      </c>
      <c r="C4267" s="30" t="n">
        <v>77339531</v>
      </c>
      <c r="D4267" s="30">
        <f>"04970037000101"</f>
        <v/>
      </c>
      <c r="E4267" s="30" t="inlineStr">
        <is>
          <t>M &amp; R DE ITAGUAI NAUTICA LTDA ME</t>
        </is>
      </c>
      <c r="F4267" s="30" t="inlineStr">
        <is>
          <t>2022</t>
        </is>
      </c>
      <c r="G4267" s="40" t="n">
        <v>136685.2</v>
      </c>
    </row>
    <row r="4268" ht="12" customHeight="1">
      <c r="A4268" s="30" t="inlineStr">
        <is>
          <t>ITG</t>
        </is>
      </c>
      <c r="B4268" s="30" t="inlineStr">
        <is>
          <t>Itaguai</t>
        </is>
      </c>
      <c r="C4268" s="30" t="n">
        <v>77339531</v>
      </c>
      <c r="D4268" s="30">
        <f>"04970037000101"</f>
        <v/>
      </c>
      <c r="E4268" s="30" t="inlineStr">
        <is>
          <t>M &amp; R DE ITAGUAI NAUTICA LTDA ME</t>
        </is>
      </c>
      <c r="F4268" s="30" t="inlineStr">
        <is>
          <t>2023</t>
        </is>
      </c>
      <c r="G4268" s="40" t="n">
        <v>171269.9</v>
      </c>
    </row>
    <row r="4269" ht="12" customHeight="1">
      <c r="A4269" s="30" t="inlineStr">
        <is>
          <t>ITG</t>
        </is>
      </c>
      <c r="B4269" s="30" t="inlineStr">
        <is>
          <t>Itaguai</t>
        </is>
      </c>
      <c r="C4269" s="30" t="n">
        <v>77346015</v>
      </c>
      <c r="D4269" s="30">
        <f>"81382525000483"</f>
        <v/>
      </c>
      <c r="E4269" s="30" t="inlineStr">
        <is>
          <t>SUL CONTINENTAL TRANSPORTES LTDA</t>
        </is>
      </c>
      <c r="F4269" s="30" t="inlineStr">
        <is>
          <t>2017</t>
        </is>
      </c>
      <c r="G4269" s="40" t="n">
        <v>0</v>
      </c>
    </row>
    <row r="4270" ht="12" customHeight="1">
      <c r="A4270" s="30" t="inlineStr">
        <is>
          <t>ITG</t>
        </is>
      </c>
      <c r="B4270" s="30" t="inlineStr">
        <is>
          <t>Itaguai</t>
        </is>
      </c>
      <c r="C4270" s="30" t="n">
        <v>77346015</v>
      </c>
      <c r="D4270" s="30">
        <f>"81382525000483"</f>
        <v/>
      </c>
      <c r="E4270" s="30" t="inlineStr">
        <is>
          <t>SUL CONTINENTAL TRANSPORTES LTDA</t>
        </is>
      </c>
      <c r="F4270" s="30" t="inlineStr">
        <is>
          <t>2018</t>
        </is>
      </c>
      <c r="G4270" s="40" t="n">
        <v>0</v>
      </c>
    </row>
    <row r="4271" ht="12" customHeight="1">
      <c r="A4271" s="30" t="inlineStr">
        <is>
          <t>ITG</t>
        </is>
      </c>
      <c r="B4271" s="30" t="inlineStr">
        <is>
          <t>Itaguai</t>
        </is>
      </c>
      <c r="C4271" s="30" t="n">
        <v>77346015</v>
      </c>
      <c r="D4271" s="30">
        <f>"81382525000483"</f>
        <v/>
      </c>
      <c r="E4271" s="30" t="inlineStr">
        <is>
          <t>SUL CONTINENTAL TRANSPORTES LTDA</t>
        </is>
      </c>
      <c r="F4271" s="30" t="inlineStr">
        <is>
          <t>2019</t>
        </is>
      </c>
      <c r="G4271" s="40" t="n">
        <v>0</v>
      </c>
    </row>
    <row r="4272" ht="12" customHeight="1">
      <c r="A4272" s="30" t="inlineStr">
        <is>
          <t>ITG</t>
        </is>
      </c>
      <c r="B4272" s="30" t="inlineStr">
        <is>
          <t>Itaguai</t>
        </is>
      </c>
      <c r="C4272" s="30" t="n">
        <v>77346015</v>
      </c>
      <c r="D4272" s="30">
        <f>"81382525000483"</f>
        <v/>
      </c>
      <c r="E4272" s="30" t="inlineStr">
        <is>
          <t>SUL CONTINENTAL TRANSPORTES LTDA</t>
        </is>
      </c>
      <c r="F4272" s="30" t="inlineStr">
        <is>
          <t>2020</t>
        </is>
      </c>
      <c r="G4272" s="40" t="n">
        <v>0</v>
      </c>
    </row>
    <row r="4273" ht="12" customHeight="1">
      <c r="A4273" s="30" t="inlineStr">
        <is>
          <t>ITG</t>
        </is>
      </c>
      <c r="B4273" s="30" t="inlineStr">
        <is>
          <t>Itaguai</t>
        </is>
      </c>
      <c r="C4273" s="30" t="n">
        <v>77346015</v>
      </c>
      <c r="D4273" s="30">
        <f>"81382525000483"</f>
        <v/>
      </c>
      <c r="E4273" s="30" t="inlineStr">
        <is>
          <t>SUL CONTINENTAL TRANSPORTES LTDA</t>
        </is>
      </c>
      <c r="F4273" s="30" t="inlineStr">
        <is>
          <t>2021</t>
        </is>
      </c>
      <c r="G4273" s="40" t="n">
        <v>0</v>
      </c>
    </row>
    <row r="4274" ht="12" customHeight="1">
      <c r="A4274" s="30" t="inlineStr">
        <is>
          <t>ITG</t>
        </is>
      </c>
      <c r="B4274" s="30" t="inlineStr">
        <is>
          <t>Itaguai</t>
        </is>
      </c>
      <c r="C4274" s="30" t="n">
        <v>77346015</v>
      </c>
      <c r="D4274" s="30">
        <f>"81382525000483"</f>
        <v/>
      </c>
      <c r="E4274" s="30" t="inlineStr">
        <is>
          <t>SUL CONTINENTAL TRANSPORTES LTDA</t>
        </is>
      </c>
      <c r="F4274" s="30" t="inlineStr">
        <is>
          <t>2022</t>
        </is>
      </c>
      <c r="G4274" s="40" t="n">
        <v>0</v>
      </c>
    </row>
    <row r="4275" ht="12" customHeight="1">
      <c r="A4275" s="30" t="inlineStr">
        <is>
          <t>ITG</t>
        </is>
      </c>
      <c r="B4275" s="30" t="inlineStr">
        <is>
          <t>Itaguai</t>
        </is>
      </c>
      <c r="C4275" s="30" t="n">
        <v>77346015</v>
      </c>
      <c r="D4275" s="30">
        <f>"81382525000483"</f>
        <v/>
      </c>
      <c r="E4275" s="30" t="inlineStr">
        <is>
          <t>SUL CONTINENTAL TRANSPORTES LTDA</t>
        </is>
      </c>
      <c r="F4275" s="30" t="inlineStr">
        <is>
          <t>2023</t>
        </is>
      </c>
      <c r="G4275" s="40" t="n">
        <v>0</v>
      </c>
    </row>
    <row r="4276" ht="12" customHeight="1">
      <c r="A4276" s="30" t="inlineStr">
        <is>
          <t>ITG</t>
        </is>
      </c>
      <c r="B4276" s="30" t="inlineStr">
        <is>
          <t>Itaguai</t>
        </is>
      </c>
      <c r="C4276" s="30" t="n">
        <v>77346090</v>
      </c>
      <c r="D4276" s="30">
        <f>"60395126000649"</f>
        <v/>
      </c>
      <c r="E4276" s="30" t="inlineStr">
        <is>
          <t>JARAGUA EQUIPAMENTOS INDUSTRIAIS LTDA - EM RECUPERA??O JUDICIAL</t>
        </is>
      </c>
      <c r="F4276" s="30" t="inlineStr">
        <is>
          <t>2017</t>
        </is>
      </c>
      <c r="G4276" s="40" t="n">
        <v>0</v>
      </c>
    </row>
    <row r="4277" ht="12" customHeight="1">
      <c r="A4277" s="30" t="inlineStr">
        <is>
          <t>ITG</t>
        </is>
      </c>
      <c r="B4277" s="30" t="inlineStr">
        <is>
          <t>Itaguai</t>
        </is>
      </c>
      <c r="C4277" s="30" t="n">
        <v>77346090</v>
      </c>
      <c r="D4277" s="30">
        <f>"60395126000649"</f>
        <v/>
      </c>
      <c r="E4277" s="30" t="inlineStr">
        <is>
          <t>JARAGUA EQUIPAMENTOS INDUSTRIAIS LTDA - EM RECUPERA??O JUDICIAL</t>
        </is>
      </c>
      <c r="F4277" s="30" t="inlineStr">
        <is>
          <t>2018</t>
        </is>
      </c>
      <c r="G4277" s="40" t="n">
        <v>0</v>
      </c>
    </row>
    <row r="4278" ht="12" customHeight="1">
      <c r="A4278" s="30" t="inlineStr">
        <is>
          <t>ITG</t>
        </is>
      </c>
      <c r="B4278" s="30" t="inlineStr">
        <is>
          <t>Itaguai</t>
        </is>
      </c>
      <c r="C4278" s="30" t="n">
        <v>77346090</v>
      </c>
      <c r="D4278" s="30">
        <f>"60395126000649"</f>
        <v/>
      </c>
      <c r="E4278" s="30" t="inlineStr">
        <is>
          <t>JARAGUA EQUIPAMENTOS INDUSTRIAIS LTDA - EM RECUPERA??O JUDICIAL</t>
        </is>
      </c>
      <c r="F4278" s="30" t="inlineStr">
        <is>
          <t>2019</t>
        </is>
      </c>
      <c r="G4278" s="40" t="n">
        <v>0</v>
      </c>
    </row>
    <row r="4279" ht="12" customHeight="1">
      <c r="A4279" s="30" t="inlineStr">
        <is>
          <t>ITG</t>
        </is>
      </c>
      <c r="B4279" s="30" t="inlineStr">
        <is>
          <t>Itaguai</t>
        </is>
      </c>
      <c r="C4279" s="30" t="n">
        <v>77346090</v>
      </c>
      <c r="D4279" s="30">
        <f>"60395126000649"</f>
        <v/>
      </c>
      <c r="E4279" s="30" t="inlineStr">
        <is>
          <t>JARAGUA EQUIPAMENTOS INDUSTRIAIS LTDA - EM RECUPERA??O JUDICIAL</t>
        </is>
      </c>
      <c r="F4279" s="30" t="inlineStr">
        <is>
          <t>2020</t>
        </is>
      </c>
      <c r="G4279" s="40" t="n">
        <v>0</v>
      </c>
    </row>
    <row r="4280" ht="12" customHeight="1">
      <c r="A4280" s="30" t="inlineStr">
        <is>
          <t>ITG</t>
        </is>
      </c>
      <c r="B4280" s="30" t="inlineStr">
        <is>
          <t>Itaguai</t>
        </is>
      </c>
      <c r="C4280" s="30" t="n">
        <v>77346090</v>
      </c>
      <c r="D4280" s="30">
        <f>"60395126000649"</f>
        <v/>
      </c>
      <c r="E4280" s="30" t="inlineStr">
        <is>
          <t>JARAGUA EQUIPAMENTOS INDUSTRIAIS LTDA - EM RECUPERA??O JUDICIAL</t>
        </is>
      </c>
      <c r="F4280" s="30" t="inlineStr">
        <is>
          <t>2021</t>
        </is>
      </c>
      <c r="G4280" s="40" t="n">
        <v>0</v>
      </c>
    </row>
    <row r="4281" ht="12" customHeight="1">
      <c r="A4281" s="30" t="inlineStr">
        <is>
          <t>ITG</t>
        </is>
      </c>
      <c r="B4281" s="30" t="inlineStr">
        <is>
          <t>Itaguai</t>
        </is>
      </c>
      <c r="C4281" s="30" t="n">
        <v>77346090</v>
      </c>
      <c r="D4281" s="30">
        <f>"60395126000649"</f>
        <v/>
      </c>
      <c r="E4281" s="30" t="inlineStr">
        <is>
          <t>JARAGUA EQUIPAMENTOS INDUSTRIAIS LTDA - EM RECUPERA??O JUDICIAL</t>
        </is>
      </c>
      <c r="F4281" s="30" t="inlineStr">
        <is>
          <t>2022</t>
        </is>
      </c>
      <c r="G4281" s="40" t="n">
        <v>0</v>
      </c>
    </row>
    <row r="4282" ht="12" customHeight="1">
      <c r="A4282" s="30" t="inlineStr">
        <is>
          <t>ITG</t>
        </is>
      </c>
      <c r="B4282" s="30" t="inlineStr">
        <is>
          <t>Itaguai</t>
        </is>
      </c>
      <c r="C4282" s="30" t="n">
        <v>77346090</v>
      </c>
      <c r="D4282" s="30">
        <f>"60395126000649"</f>
        <v/>
      </c>
      <c r="E4282" s="30" t="inlineStr">
        <is>
          <t>JARAGUA EQUIPAMENTOS INDUSTRIAIS LTDA - EM RECUPERA??O JUDICIAL</t>
        </is>
      </c>
      <c r="F4282" s="30" t="inlineStr">
        <is>
          <t>2023</t>
        </is>
      </c>
      <c r="G4282" s="40" t="n">
        <v>0</v>
      </c>
    </row>
    <row r="4283" ht="12" customHeight="1">
      <c r="A4283" s="30" t="inlineStr">
        <is>
          <t>ITG</t>
        </is>
      </c>
      <c r="B4283" s="30" t="inlineStr">
        <is>
          <t>Itaguai</t>
        </is>
      </c>
      <c r="C4283" s="30" t="n">
        <v>77357467</v>
      </c>
      <c r="D4283" s="30">
        <f>"05041164000180"</f>
        <v/>
      </c>
      <c r="E4283" s="30" t="inlineStr">
        <is>
          <t>UNIMODAL RIO LTDA</t>
        </is>
      </c>
      <c r="F4283" s="30" t="inlineStr">
        <is>
          <t>2017</t>
        </is>
      </c>
      <c r="G4283" s="40" t="n">
        <v>0</v>
      </c>
    </row>
    <row r="4284" ht="12" customHeight="1">
      <c r="A4284" s="30" t="inlineStr">
        <is>
          <t>ITG</t>
        </is>
      </c>
      <c r="B4284" s="30" t="inlineStr">
        <is>
          <t>Itaguai</t>
        </is>
      </c>
      <c r="C4284" s="30" t="n">
        <v>77357467</v>
      </c>
      <c r="D4284" s="30">
        <f>"05041164000180"</f>
        <v/>
      </c>
      <c r="E4284" s="30" t="inlineStr">
        <is>
          <t>UNIMODAL RIO LTDA</t>
        </is>
      </c>
      <c r="F4284" s="30" t="inlineStr">
        <is>
          <t>2018</t>
        </is>
      </c>
      <c r="G4284" s="40" t="n">
        <v>3592.01</v>
      </c>
    </row>
    <row r="4285" ht="12" customHeight="1">
      <c r="A4285" s="30" t="inlineStr">
        <is>
          <t>ITG</t>
        </is>
      </c>
      <c r="B4285" s="30" t="inlineStr">
        <is>
          <t>Itaguai</t>
        </is>
      </c>
      <c r="C4285" s="30" t="n">
        <v>77357467</v>
      </c>
      <c r="D4285" s="30">
        <f>"05041164000180"</f>
        <v/>
      </c>
      <c r="E4285" s="30" t="inlineStr">
        <is>
          <t>UNIMODAL RIO LTDA</t>
        </is>
      </c>
      <c r="F4285" s="30" t="inlineStr">
        <is>
          <t>2019</t>
        </is>
      </c>
      <c r="G4285" s="40" t="n">
        <v>2116.69</v>
      </c>
    </row>
    <row r="4286" ht="12" customHeight="1">
      <c r="A4286" s="30" t="inlineStr">
        <is>
          <t>ITG</t>
        </is>
      </c>
      <c r="B4286" s="30" t="inlineStr">
        <is>
          <t>Itaguai</t>
        </is>
      </c>
      <c r="C4286" s="30" t="n">
        <v>77357467</v>
      </c>
      <c r="D4286" s="30">
        <f>"05041164000180"</f>
        <v/>
      </c>
      <c r="E4286" s="30" t="inlineStr">
        <is>
          <t>UNIMODAL RIO LTDA</t>
        </is>
      </c>
      <c r="F4286" s="30" t="inlineStr">
        <is>
          <t>2020</t>
        </is>
      </c>
      <c r="G4286" s="40" t="n">
        <v>0</v>
      </c>
    </row>
    <row r="4287" ht="12" customHeight="1">
      <c r="A4287" s="30" t="inlineStr">
        <is>
          <t>ITG</t>
        </is>
      </c>
      <c r="B4287" s="30" t="inlineStr">
        <is>
          <t>Itaguai</t>
        </is>
      </c>
      <c r="C4287" s="30" t="n">
        <v>77357467</v>
      </c>
      <c r="D4287" s="30">
        <f>"05041164000180"</f>
        <v/>
      </c>
      <c r="E4287" s="30" t="inlineStr">
        <is>
          <t>UNIMODAL RIO LTDA</t>
        </is>
      </c>
      <c r="F4287" s="30" t="inlineStr">
        <is>
          <t>2021</t>
        </is>
      </c>
      <c r="G4287" s="40" t="n">
        <v>135871.55</v>
      </c>
    </row>
    <row r="4288" ht="12" customHeight="1">
      <c r="A4288" s="30" t="inlineStr">
        <is>
          <t>ITG</t>
        </is>
      </c>
      <c r="B4288" s="30" t="inlineStr">
        <is>
          <t>Itaguai</t>
        </is>
      </c>
      <c r="C4288" s="30" t="n">
        <v>77357467</v>
      </c>
      <c r="D4288" s="30">
        <f>"05041164000180"</f>
        <v/>
      </c>
      <c r="E4288" s="30" t="inlineStr">
        <is>
          <t>UNIMODAL RIO LTDA</t>
        </is>
      </c>
      <c r="F4288" s="30" t="inlineStr">
        <is>
          <t>2022</t>
        </is>
      </c>
      <c r="G4288" s="40" t="n">
        <v>36596.25</v>
      </c>
    </row>
    <row r="4289" ht="12" customHeight="1">
      <c r="A4289" s="30" t="inlineStr">
        <is>
          <t>ITG</t>
        </is>
      </c>
      <c r="B4289" s="30" t="inlineStr">
        <is>
          <t>Itaguai</t>
        </is>
      </c>
      <c r="C4289" s="30" t="n">
        <v>77357467</v>
      </c>
      <c r="D4289" s="30">
        <f>"05041164000180"</f>
        <v/>
      </c>
      <c r="E4289" s="30" t="inlineStr">
        <is>
          <t>UNIMODAL RIO LTDA</t>
        </is>
      </c>
      <c r="F4289" s="30" t="inlineStr">
        <is>
          <t>2023</t>
        </is>
      </c>
      <c r="G4289" s="40" t="n">
        <v>0</v>
      </c>
    </row>
    <row r="4290" ht="12" customHeight="1">
      <c r="A4290" s="30" t="inlineStr">
        <is>
          <t>ITG</t>
        </is>
      </c>
      <c r="B4290" s="30" t="inlineStr">
        <is>
          <t>Itaguai</t>
        </is>
      </c>
      <c r="C4290" s="30" t="n">
        <v>77365117</v>
      </c>
      <c r="D4290" s="30">
        <f>"05014171000193"</f>
        <v/>
      </c>
      <c r="E4290" s="30" t="inlineStr">
        <is>
          <t>A D G DE JESUS TRANSPORTES LTDA</t>
        </is>
      </c>
      <c r="F4290" s="30" t="inlineStr">
        <is>
          <t>2017</t>
        </is>
      </c>
      <c r="G4290" s="40" t="n">
        <v>1959777.8</v>
      </c>
    </row>
    <row r="4291" ht="12" customHeight="1">
      <c r="A4291" s="30" t="inlineStr">
        <is>
          <t>ITG</t>
        </is>
      </c>
      <c r="B4291" s="30" t="inlineStr">
        <is>
          <t>Itaguai</t>
        </is>
      </c>
      <c r="C4291" s="30" t="n">
        <v>77365117</v>
      </c>
      <c r="D4291" s="30">
        <f>"05014171000193"</f>
        <v/>
      </c>
      <c r="E4291" s="30" t="inlineStr">
        <is>
          <t>A D G DE JESUS TRANSPORTES LTDA</t>
        </is>
      </c>
      <c r="F4291" s="30" t="inlineStr">
        <is>
          <t>2018</t>
        </is>
      </c>
      <c r="G4291" s="40" t="n">
        <v>988632.98</v>
      </c>
    </row>
    <row r="4292" ht="12" customHeight="1">
      <c r="A4292" s="30" t="inlineStr">
        <is>
          <t>ITG</t>
        </is>
      </c>
      <c r="B4292" s="30" t="inlineStr">
        <is>
          <t>Itaguai</t>
        </is>
      </c>
      <c r="C4292" s="30" t="n">
        <v>77365117</v>
      </c>
      <c r="D4292" s="30">
        <f>"05014171000193"</f>
        <v/>
      </c>
      <c r="E4292" s="30" t="inlineStr">
        <is>
          <t>A D G DE JESUS TRANSPORTES LTDA</t>
        </is>
      </c>
      <c r="F4292" s="30" t="inlineStr">
        <is>
          <t>2019</t>
        </is>
      </c>
      <c r="G4292" s="40" t="n">
        <v>398622</v>
      </c>
    </row>
    <row r="4293" ht="12" customHeight="1">
      <c r="A4293" s="30" t="inlineStr">
        <is>
          <t>ITG</t>
        </is>
      </c>
      <c r="B4293" s="30" t="inlineStr">
        <is>
          <t>Itaguai</t>
        </is>
      </c>
      <c r="C4293" s="30" t="n">
        <v>77365117</v>
      </c>
      <c r="D4293" s="30">
        <f>"05014171000193"</f>
        <v/>
      </c>
      <c r="E4293" s="30" t="inlineStr">
        <is>
          <t>A D G DE JESUS TRANSPORTES LTDA</t>
        </is>
      </c>
      <c r="F4293" s="30" t="inlineStr">
        <is>
          <t>2020</t>
        </is>
      </c>
      <c r="G4293" s="40" t="n">
        <v>233181.01</v>
      </c>
    </row>
    <row r="4294" ht="12" customHeight="1">
      <c r="A4294" s="30" t="inlineStr">
        <is>
          <t>ITG</t>
        </is>
      </c>
      <c r="B4294" s="30" t="inlineStr">
        <is>
          <t>Itaguai</t>
        </is>
      </c>
      <c r="C4294" s="30" t="n">
        <v>77365117</v>
      </c>
      <c r="D4294" s="30">
        <f>"05014171000193"</f>
        <v/>
      </c>
      <c r="E4294" s="30" t="inlineStr">
        <is>
          <t>A D G DE JESUS TRANSPORTES LTDA</t>
        </is>
      </c>
      <c r="F4294" s="30" t="inlineStr">
        <is>
          <t>2021</t>
        </is>
      </c>
      <c r="G4294" s="40" t="n">
        <v>117666.76</v>
      </c>
    </row>
    <row r="4295" ht="12" customHeight="1">
      <c r="A4295" s="30" t="inlineStr">
        <is>
          <t>ITG</t>
        </is>
      </c>
      <c r="B4295" s="30" t="inlineStr">
        <is>
          <t>Itaguai</t>
        </is>
      </c>
      <c r="C4295" s="30" t="n">
        <v>77365117</v>
      </c>
      <c r="D4295" s="30">
        <f>"05014171000193"</f>
        <v/>
      </c>
      <c r="E4295" s="30" t="inlineStr">
        <is>
          <t>A D G DE JESUS TRANSPORTES LTDA</t>
        </is>
      </c>
      <c r="F4295" s="30" t="inlineStr">
        <is>
          <t>2022</t>
        </is>
      </c>
      <c r="G4295" s="40" t="n">
        <v>0</v>
      </c>
    </row>
    <row r="4296" ht="12" customHeight="1">
      <c r="A4296" s="30" t="inlineStr">
        <is>
          <t>ITG</t>
        </is>
      </c>
      <c r="B4296" s="30" t="inlineStr">
        <is>
          <t>Itaguai</t>
        </is>
      </c>
      <c r="C4296" s="30" t="n">
        <v>77365117</v>
      </c>
      <c r="D4296" s="30">
        <f>"05014171000193"</f>
        <v/>
      </c>
      <c r="E4296" s="30" t="inlineStr">
        <is>
          <t>A D G DE JESUS TRANSPORTES LTDA</t>
        </is>
      </c>
      <c r="F4296" s="30" t="inlineStr">
        <is>
          <t>2023</t>
        </is>
      </c>
      <c r="G4296" s="40" t="n">
        <v>0</v>
      </c>
    </row>
    <row r="4297" ht="12" customHeight="1">
      <c r="A4297" s="30" t="inlineStr">
        <is>
          <t>ITG</t>
        </is>
      </c>
      <c r="B4297" s="30" t="inlineStr">
        <is>
          <t>Itaguai</t>
        </is>
      </c>
      <c r="C4297" s="30" t="n">
        <v>77372741</v>
      </c>
      <c r="D4297" s="30">
        <f>"05095704000109"</f>
        <v/>
      </c>
      <c r="E4297" s="30" t="inlineStr">
        <is>
          <t>MALUPA COMERCIO DE ROUPAS LTDA ME</t>
        </is>
      </c>
      <c r="F4297" s="30" t="inlineStr">
        <is>
          <t>2018</t>
        </is>
      </c>
      <c r="G4297" s="40" t="n">
        <v>0</v>
      </c>
    </row>
    <row r="4298" ht="12" customHeight="1">
      <c r="A4298" s="30" t="inlineStr">
        <is>
          <t>ITG</t>
        </is>
      </c>
      <c r="B4298" s="30" t="inlineStr">
        <is>
          <t>Itaguai</t>
        </is>
      </c>
      <c r="C4298" s="30" t="n">
        <v>77372741</v>
      </c>
      <c r="D4298" s="30">
        <f>"05095704000109"</f>
        <v/>
      </c>
      <c r="E4298" s="30" t="inlineStr">
        <is>
          <t>MALUPA COMERCIO DE ROUPAS LTDA ME</t>
        </is>
      </c>
      <c r="F4298" s="30" t="inlineStr">
        <is>
          <t>2019</t>
        </is>
      </c>
      <c r="G4298" s="40" t="n">
        <v>0</v>
      </c>
    </row>
    <row r="4299" ht="12" customHeight="1">
      <c r="A4299" s="30" t="inlineStr">
        <is>
          <t>ITG</t>
        </is>
      </c>
      <c r="B4299" s="30" t="inlineStr">
        <is>
          <t>Itaguai</t>
        </is>
      </c>
      <c r="C4299" s="30" t="n">
        <v>77372741</v>
      </c>
      <c r="D4299" s="30">
        <f>"05095704000109"</f>
        <v/>
      </c>
      <c r="E4299" s="30" t="inlineStr">
        <is>
          <t>MALUPA COMERCIO DE ROUPAS LTDA ME</t>
        </is>
      </c>
      <c r="F4299" s="30" t="inlineStr">
        <is>
          <t>2020</t>
        </is>
      </c>
      <c r="G4299" s="40" t="n">
        <v>0</v>
      </c>
    </row>
    <row r="4300" ht="12" customHeight="1">
      <c r="A4300" s="30" t="inlineStr">
        <is>
          <t>ITG</t>
        </is>
      </c>
      <c r="B4300" s="30" t="inlineStr">
        <is>
          <t>Itaguai</t>
        </is>
      </c>
      <c r="C4300" s="30" t="n">
        <v>77372741</v>
      </c>
      <c r="D4300" s="30">
        <f>"05095704000109"</f>
        <v/>
      </c>
      <c r="E4300" s="30" t="inlineStr">
        <is>
          <t>MALUPA COMERCIO DE ROUPAS LTDA ME</t>
        </is>
      </c>
      <c r="F4300" s="30" t="inlineStr">
        <is>
          <t>2021</t>
        </is>
      </c>
      <c r="G4300" s="40" t="n">
        <v>0</v>
      </c>
    </row>
    <row r="4301" ht="12" customHeight="1">
      <c r="A4301" s="30" t="inlineStr">
        <is>
          <t>ITG</t>
        </is>
      </c>
      <c r="B4301" s="30" t="inlineStr">
        <is>
          <t>Itaguai</t>
        </is>
      </c>
      <c r="C4301" s="30" t="n">
        <v>77372741</v>
      </c>
      <c r="D4301" s="30">
        <f>"05095704000109"</f>
        <v/>
      </c>
      <c r="E4301" s="30" t="inlineStr">
        <is>
          <t>MALUPA COMERCIO DE ROUPAS LTDA ME</t>
        </is>
      </c>
      <c r="F4301" s="30" t="inlineStr">
        <is>
          <t>2022</t>
        </is>
      </c>
      <c r="G4301" s="40" t="n">
        <v>0</v>
      </c>
    </row>
    <row r="4302" ht="12" customHeight="1">
      <c r="A4302" s="30" t="inlineStr">
        <is>
          <t>ITG</t>
        </is>
      </c>
      <c r="B4302" s="30" t="inlineStr">
        <is>
          <t>Itaguai</t>
        </is>
      </c>
      <c r="C4302" s="30" t="n">
        <v>77372741</v>
      </c>
      <c r="D4302" s="30">
        <f>"05095704000109"</f>
        <v/>
      </c>
      <c r="E4302" s="30" t="inlineStr">
        <is>
          <t>MALUPA COMERCIO DE ROUPAS LTDA ME</t>
        </is>
      </c>
      <c r="F4302" s="30" t="inlineStr">
        <is>
          <t>2023</t>
        </is>
      </c>
      <c r="G4302" s="40" t="n">
        <v>0</v>
      </c>
    </row>
    <row r="4303" ht="12" customHeight="1">
      <c r="A4303" s="30" t="inlineStr">
        <is>
          <t>ITG</t>
        </is>
      </c>
      <c r="B4303" s="30" t="inlineStr">
        <is>
          <t>Itaguai</t>
        </is>
      </c>
      <c r="C4303" s="30" t="n">
        <v>77415831</v>
      </c>
      <c r="D4303" s="30">
        <f>"05214772000140"</f>
        <v/>
      </c>
      <c r="E4303" s="30" t="inlineStr">
        <is>
          <t>RODOLOG TRANSPORTES MULTIMODAIS LTDA</t>
        </is>
      </c>
      <c r="F4303" s="30" t="inlineStr">
        <is>
          <t>2018</t>
        </is>
      </c>
      <c r="G4303" s="40" t="n">
        <v>0</v>
      </c>
    </row>
    <row r="4304" ht="12" customHeight="1">
      <c r="A4304" s="30" t="inlineStr">
        <is>
          <t>ITG</t>
        </is>
      </c>
      <c r="B4304" s="30" t="inlineStr">
        <is>
          <t>Itaguai</t>
        </is>
      </c>
      <c r="C4304" s="30" t="n">
        <v>77415831</v>
      </c>
      <c r="D4304" s="30">
        <f>"05214772000140"</f>
        <v/>
      </c>
      <c r="E4304" s="30" t="inlineStr">
        <is>
          <t>RODOLOG TRANSPORTES MULTIMODAIS LTDA</t>
        </is>
      </c>
      <c r="F4304" s="30" t="inlineStr">
        <is>
          <t>2019</t>
        </is>
      </c>
      <c r="G4304" s="40" t="n">
        <v>0</v>
      </c>
    </row>
    <row r="4305" ht="12" customHeight="1">
      <c r="A4305" s="30" t="inlineStr">
        <is>
          <t>ITG</t>
        </is>
      </c>
      <c r="B4305" s="30" t="inlineStr">
        <is>
          <t>Itaguai</t>
        </is>
      </c>
      <c r="C4305" s="30" t="n">
        <v>77415831</v>
      </c>
      <c r="D4305" s="30">
        <f>"05214772000140"</f>
        <v/>
      </c>
      <c r="E4305" s="30" t="inlineStr">
        <is>
          <t>RODOLOG TRANSPORTES MULTIMODAIS LTDA</t>
        </is>
      </c>
      <c r="F4305" s="30" t="inlineStr">
        <is>
          <t>2020</t>
        </is>
      </c>
      <c r="G4305" s="40" t="n">
        <v>291.76</v>
      </c>
    </row>
    <row r="4306" ht="12" customHeight="1">
      <c r="A4306" s="30" t="inlineStr">
        <is>
          <t>ITG</t>
        </is>
      </c>
      <c r="B4306" s="30" t="inlineStr">
        <is>
          <t>Itaguai</t>
        </is>
      </c>
      <c r="C4306" s="30" t="n">
        <v>77415831</v>
      </c>
      <c r="D4306" s="30">
        <f>"05214772000140"</f>
        <v/>
      </c>
      <c r="E4306" s="30" t="inlineStr">
        <is>
          <t>RODOLOG TRANSPORTES MULTIMODAIS LTDA</t>
        </is>
      </c>
      <c r="F4306" s="30" t="inlineStr">
        <is>
          <t>2021</t>
        </is>
      </c>
      <c r="G4306" s="40" t="n">
        <v>0</v>
      </c>
    </row>
    <row r="4307" ht="12" customHeight="1">
      <c r="A4307" s="30" t="inlineStr">
        <is>
          <t>ITG</t>
        </is>
      </c>
      <c r="B4307" s="30" t="inlineStr">
        <is>
          <t>Itaguai</t>
        </is>
      </c>
      <c r="C4307" s="30" t="n">
        <v>77415831</v>
      </c>
      <c r="D4307" s="30">
        <f>"05214772000140"</f>
        <v/>
      </c>
      <c r="E4307" s="30" t="inlineStr">
        <is>
          <t>RODOLOG TRANSPORTES MULTIMODAIS LTDA</t>
        </is>
      </c>
      <c r="F4307" s="30" t="inlineStr">
        <is>
          <t>2022</t>
        </is>
      </c>
      <c r="G4307" s="40" t="n">
        <v>0</v>
      </c>
    </row>
    <row r="4308" ht="12" customHeight="1">
      <c r="A4308" s="30" t="inlineStr">
        <is>
          <t>ITG</t>
        </is>
      </c>
      <c r="B4308" s="30" t="inlineStr">
        <is>
          <t>Itaguai</t>
        </is>
      </c>
      <c r="C4308" s="30" t="n">
        <v>77421718</v>
      </c>
      <c r="D4308" s="30">
        <f>"01014373000508"</f>
        <v/>
      </c>
      <c r="E4308" s="30" t="inlineStr">
        <is>
          <t>AEROSOFT CARGAS AEREAS LTDA</t>
        </is>
      </c>
      <c r="F4308" s="30" t="inlineStr">
        <is>
          <t>2017</t>
        </is>
      </c>
      <c r="G4308" s="40" t="n">
        <v>0</v>
      </c>
    </row>
    <row r="4309" ht="12" customHeight="1">
      <c r="A4309" s="30" t="inlineStr">
        <is>
          <t>ITG</t>
        </is>
      </c>
      <c r="B4309" s="30" t="inlineStr">
        <is>
          <t>Itaguai</t>
        </is>
      </c>
      <c r="C4309" s="30" t="n">
        <v>77421718</v>
      </c>
      <c r="D4309" s="30">
        <f>"01014373000508"</f>
        <v/>
      </c>
      <c r="E4309" s="30" t="inlineStr">
        <is>
          <t>AEROSOFT CARGAS AEREAS LTDA</t>
        </is>
      </c>
      <c r="F4309" s="30" t="inlineStr">
        <is>
          <t>2018</t>
        </is>
      </c>
      <c r="G4309" s="40" t="n">
        <v>0</v>
      </c>
    </row>
    <row r="4310" ht="12" customHeight="1">
      <c r="A4310" s="30" t="inlineStr">
        <is>
          <t>ITG</t>
        </is>
      </c>
      <c r="B4310" s="30" t="inlineStr">
        <is>
          <t>Itaguai</t>
        </is>
      </c>
      <c r="C4310" s="30" t="n">
        <v>77421718</v>
      </c>
      <c r="D4310" s="30">
        <f>"01014373000508"</f>
        <v/>
      </c>
      <c r="E4310" s="30" t="inlineStr">
        <is>
          <t>AEROSOFT CARGAS AEREAS LTDA</t>
        </is>
      </c>
      <c r="F4310" s="30" t="inlineStr">
        <is>
          <t>2019</t>
        </is>
      </c>
      <c r="G4310" s="40" t="n">
        <v>1236.75</v>
      </c>
    </row>
    <row r="4311" ht="12" customHeight="1">
      <c r="A4311" s="30" t="inlineStr">
        <is>
          <t>ITG</t>
        </is>
      </c>
      <c r="B4311" s="30" t="inlineStr">
        <is>
          <t>Itaguai</t>
        </is>
      </c>
      <c r="C4311" s="30" t="n">
        <v>77421718</v>
      </c>
      <c r="D4311" s="30">
        <f>"01014373000508"</f>
        <v/>
      </c>
      <c r="E4311" s="30" t="inlineStr">
        <is>
          <t>AEROSOFT CARGAS AEREAS LTDA</t>
        </is>
      </c>
      <c r="F4311" s="30" t="inlineStr">
        <is>
          <t>2020</t>
        </is>
      </c>
      <c r="G4311" s="40" t="n">
        <v>3478.1</v>
      </c>
    </row>
    <row r="4312" ht="12" customHeight="1">
      <c r="A4312" s="30" t="inlineStr">
        <is>
          <t>ITG</t>
        </is>
      </c>
      <c r="B4312" s="30" t="inlineStr">
        <is>
          <t>Itaguai</t>
        </is>
      </c>
      <c r="C4312" s="30" t="n">
        <v>77421718</v>
      </c>
      <c r="D4312" s="30">
        <f>"01014373000508"</f>
        <v/>
      </c>
      <c r="E4312" s="30" t="inlineStr">
        <is>
          <t>AEROSOFT CARGAS AEREAS LTDA</t>
        </is>
      </c>
      <c r="F4312" s="30" t="inlineStr">
        <is>
          <t>2021</t>
        </is>
      </c>
      <c r="G4312" s="40" t="n">
        <v>1752.81</v>
      </c>
    </row>
    <row r="4313" ht="12" customHeight="1">
      <c r="A4313" s="30" t="inlineStr">
        <is>
          <t>ITG</t>
        </is>
      </c>
      <c r="B4313" s="30" t="inlineStr">
        <is>
          <t>Itaguai</t>
        </is>
      </c>
      <c r="C4313" s="30" t="n">
        <v>77421718</v>
      </c>
      <c r="D4313" s="30">
        <f>"01014373000508"</f>
        <v/>
      </c>
      <c r="E4313" s="30" t="inlineStr">
        <is>
          <t>AEROSOFT CARGAS AEREAS LTDA</t>
        </is>
      </c>
      <c r="F4313" s="30" t="inlineStr">
        <is>
          <t>2022</t>
        </is>
      </c>
      <c r="G4313" s="40" t="n">
        <v>1842.64</v>
      </c>
    </row>
    <row r="4314" ht="12" customHeight="1">
      <c r="A4314" s="30" t="inlineStr">
        <is>
          <t>ITG</t>
        </is>
      </c>
      <c r="B4314" s="30" t="inlineStr">
        <is>
          <t>Itaguai</t>
        </is>
      </c>
      <c r="C4314" s="30" t="n">
        <v>77421718</v>
      </c>
      <c r="D4314" s="30">
        <f>"01014373000508"</f>
        <v/>
      </c>
      <c r="E4314" s="30" t="inlineStr">
        <is>
          <t>AEROSOFT CARGAS AEREAS LTDA</t>
        </is>
      </c>
      <c r="F4314" s="30" t="inlineStr">
        <is>
          <t>2023</t>
        </is>
      </c>
      <c r="G4314" s="40" t="n">
        <v>3251.91</v>
      </c>
    </row>
    <row r="4315" ht="12" customHeight="1">
      <c r="A4315" s="30" t="inlineStr">
        <is>
          <t>ITG</t>
        </is>
      </c>
      <c r="B4315" s="30" t="inlineStr">
        <is>
          <t>Itaguai</t>
        </is>
      </c>
      <c r="C4315" s="30" t="n">
        <v>77443673</v>
      </c>
      <c r="D4315" s="30">
        <f>"05294609000134"</f>
        <v/>
      </c>
      <c r="E4315" s="30" t="inlineStr">
        <is>
          <t>ZIRANLOG ARMAZENS GERAIS E TRANSPORTES EIRELI</t>
        </is>
      </c>
      <c r="F4315" s="30" t="inlineStr">
        <is>
          <t>2017</t>
        </is>
      </c>
      <c r="G4315" s="40" t="n">
        <v>0</v>
      </c>
    </row>
    <row r="4316" ht="12" customHeight="1">
      <c r="A4316" s="30" t="inlineStr">
        <is>
          <t>ITG</t>
        </is>
      </c>
      <c r="B4316" s="30" t="inlineStr">
        <is>
          <t>Itaguai</t>
        </is>
      </c>
      <c r="C4316" s="30" t="n">
        <v>77443673</v>
      </c>
      <c r="D4316" s="30">
        <f>"05294609000134"</f>
        <v/>
      </c>
      <c r="E4316" s="30" t="inlineStr">
        <is>
          <t>ZIRANLOG ARMAZENS GERAIS E TRANSPORTES EIRELI</t>
        </is>
      </c>
      <c r="F4316" s="30" t="inlineStr">
        <is>
          <t>2018</t>
        </is>
      </c>
      <c r="G4316" s="40" t="n">
        <v>0</v>
      </c>
    </row>
    <row r="4317" ht="12" customHeight="1">
      <c r="A4317" s="30" t="inlineStr">
        <is>
          <t>ITG</t>
        </is>
      </c>
      <c r="B4317" s="30" t="inlineStr">
        <is>
          <t>Itaguai</t>
        </is>
      </c>
      <c r="C4317" s="30" t="n">
        <v>77443673</v>
      </c>
      <c r="D4317" s="30">
        <f>"05294609000134"</f>
        <v/>
      </c>
      <c r="E4317" s="30" t="inlineStr">
        <is>
          <t>ZIRANLOG ARMAZENS GERAIS E TRANSPORTES EIRELI</t>
        </is>
      </c>
      <c r="F4317" s="30" t="inlineStr">
        <is>
          <t>2019</t>
        </is>
      </c>
      <c r="G4317" s="40" t="n">
        <v>2921781.2</v>
      </c>
    </row>
    <row r="4318" ht="12" customHeight="1">
      <c r="A4318" s="30" t="inlineStr">
        <is>
          <t>ITG</t>
        </is>
      </c>
      <c r="B4318" s="30" t="inlineStr">
        <is>
          <t>Itaguai</t>
        </is>
      </c>
      <c r="C4318" s="30" t="n">
        <v>77443673</v>
      </c>
      <c r="D4318" s="30">
        <f>"05294609000134"</f>
        <v/>
      </c>
      <c r="E4318" s="30" t="inlineStr">
        <is>
          <t>ZIRANLOG ARMAZENS GERAIS E TRANSPORTES EIRELI</t>
        </is>
      </c>
      <c r="F4318" s="30" t="inlineStr">
        <is>
          <t>2020</t>
        </is>
      </c>
      <c r="G4318" s="40" t="n">
        <v>1320970.22</v>
      </c>
    </row>
    <row r="4319" ht="12" customHeight="1">
      <c r="A4319" s="30" t="inlineStr">
        <is>
          <t>ITG</t>
        </is>
      </c>
      <c r="B4319" s="30" t="inlineStr">
        <is>
          <t>Itaguai</t>
        </is>
      </c>
      <c r="C4319" s="30" t="n">
        <v>77443673</v>
      </c>
      <c r="D4319" s="30">
        <f>"05294609000134"</f>
        <v/>
      </c>
      <c r="E4319" s="30" t="inlineStr">
        <is>
          <t>ZIRANLOG ARMAZENS GERAIS E TRANSPORTES EIRELI</t>
        </is>
      </c>
      <c r="F4319" s="30" t="inlineStr">
        <is>
          <t>2021</t>
        </is>
      </c>
      <c r="G4319" s="40" t="n">
        <v>672301.11</v>
      </c>
    </row>
    <row r="4320" ht="12" customHeight="1">
      <c r="A4320" s="30" t="inlineStr">
        <is>
          <t>ITG</t>
        </is>
      </c>
      <c r="B4320" s="30" t="inlineStr">
        <is>
          <t>Itaguai</t>
        </is>
      </c>
      <c r="C4320" s="30" t="n">
        <v>77443673</v>
      </c>
      <c r="D4320" s="30">
        <f>"05294609000134"</f>
        <v/>
      </c>
      <c r="E4320" s="30" t="inlineStr">
        <is>
          <t>ZIRANLOG ARMAZENS GERAIS E TRANSPORTES EIRELI</t>
        </is>
      </c>
      <c r="F4320" s="30" t="inlineStr">
        <is>
          <t>2022</t>
        </is>
      </c>
      <c r="G4320" s="40" t="n">
        <v>835788.6899999999</v>
      </c>
    </row>
    <row r="4321" ht="12" customHeight="1">
      <c r="A4321" s="30" t="inlineStr">
        <is>
          <t>ITG</t>
        </is>
      </c>
      <c r="B4321" s="30" t="inlineStr">
        <is>
          <t>Itaguai</t>
        </is>
      </c>
      <c r="C4321" s="30" t="n">
        <v>77443673</v>
      </c>
      <c r="D4321" s="30">
        <f>"05294609000134"</f>
        <v/>
      </c>
      <c r="E4321" s="30" t="inlineStr">
        <is>
          <t>ZIRANLOG ARMAZENS GERAIS E TRANSPORTES EIRELI</t>
        </is>
      </c>
      <c r="F4321" s="30" t="inlineStr">
        <is>
          <t>2023</t>
        </is>
      </c>
      <c r="G4321" s="40" t="n">
        <v>426154.86</v>
      </c>
    </row>
    <row r="4322" ht="12" customHeight="1">
      <c r="A4322" s="30" t="inlineStr">
        <is>
          <t>ITG</t>
        </is>
      </c>
      <c r="B4322" s="30" t="inlineStr">
        <is>
          <t>Itaguai</t>
        </is>
      </c>
      <c r="C4322" s="30" t="n">
        <v>77452443</v>
      </c>
      <c r="D4322" s="30">
        <f>"02558157001487"</f>
        <v/>
      </c>
      <c r="E4322" s="30" t="inlineStr">
        <is>
          <t>TELEFONICA BRASIL S.A.</t>
        </is>
      </c>
      <c r="F4322" s="30" t="inlineStr">
        <is>
          <t>2017</t>
        </is>
      </c>
      <c r="G4322" s="40" t="n">
        <v>13628755.25</v>
      </c>
    </row>
    <row r="4323" ht="12" customHeight="1">
      <c r="A4323" s="30" t="inlineStr">
        <is>
          <t>ITG</t>
        </is>
      </c>
      <c r="B4323" s="30" t="inlineStr">
        <is>
          <t>Itaguai</t>
        </is>
      </c>
      <c r="C4323" s="30" t="n">
        <v>77452443</v>
      </c>
      <c r="D4323" s="30">
        <f>"02558157001487"</f>
        <v/>
      </c>
      <c r="E4323" s="30" t="inlineStr">
        <is>
          <t>TELEFONICA BRASIL S.A.</t>
        </is>
      </c>
      <c r="F4323" s="30" t="inlineStr">
        <is>
          <t>2018</t>
        </is>
      </c>
      <c r="G4323" s="40" t="n">
        <v>11667066.24</v>
      </c>
    </row>
    <row r="4324" ht="12" customHeight="1">
      <c r="A4324" s="30" t="inlineStr">
        <is>
          <t>ITG</t>
        </is>
      </c>
      <c r="B4324" s="30" t="inlineStr">
        <is>
          <t>Itaguai</t>
        </is>
      </c>
      <c r="C4324" s="30" t="n">
        <v>77452443</v>
      </c>
      <c r="D4324" s="30">
        <f>"02558157001487"</f>
        <v/>
      </c>
      <c r="E4324" s="30" t="inlineStr">
        <is>
          <t>TELEFONICA BRASIL S.A.</t>
        </is>
      </c>
      <c r="F4324" s="30" t="inlineStr">
        <is>
          <t>2019</t>
        </is>
      </c>
      <c r="G4324" s="40" t="n">
        <v>11023288.69</v>
      </c>
    </row>
    <row r="4325" ht="12" customHeight="1">
      <c r="A4325" s="30" t="inlineStr">
        <is>
          <t>ITG</t>
        </is>
      </c>
      <c r="B4325" s="30" t="inlineStr">
        <is>
          <t>Itaguai</t>
        </is>
      </c>
      <c r="C4325" s="30" t="n">
        <v>77452443</v>
      </c>
      <c r="D4325" s="30">
        <f>"02558157001487"</f>
        <v/>
      </c>
      <c r="E4325" s="30" t="inlineStr">
        <is>
          <t>TELEFONICA BRASIL S.A.</t>
        </is>
      </c>
      <c r="F4325" s="30" t="inlineStr">
        <is>
          <t>2020</t>
        </is>
      </c>
      <c r="G4325" s="40" t="n">
        <v>10308735.51</v>
      </c>
    </row>
    <row r="4326" ht="12" customHeight="1">
      <c r="A4326" s="30" t="inlineStr">
        <is>
          <t>ITG</t>
        </is>
      </c>
      <c r="B4326" s="30" t="inlineStr">
        <is>
          <t>Itaguai</t>
        </is>
      </c>
      <c r="C4326" s="30" t="n">
        <v>77452443</v>
      </c>
      <c r="D4326" s="30">
        <f>"02558157001487"</f>
        <v/>
      </c>
      <c r="E4326" s="30" t="inlineStr">
        <is>
          <t>TELEFONICA BRASIL S.A.</t>
        </is>
      </c>
      <c r="F4326" s="30" t="inlineStr">
        <is>
          <t>2021</t>
        </is>
      </c>
      <c r="G4326" s="40" t="n">
        <v>12581655.2</v>
      </c>
    </row>
    <row r="4327" ht="12" customHeight="1">
      <c r="A4327" s="30" t="inlineStr">
        <is>
          <t>ITG</t>
        </is>
      </c>
      <c r="B4327" s="30" t="inlineStr">
        <is>
          <t>Itaguai</t>
        </is>
      </c>
      <c r="C4327" s="30" t="n">
        <v>77452443</v>
      </c>
      <c r="D4327" s="30">
        <f>"02558157001487"</f>
        <v/>
      </c>
      <c r="E4327" s="30" t="inlineStr">
        <is>
          <t>TELEFONICA BRASIL S.A.</t>
        </is>
      </c>
      <c r="F4327" s="30" t="inlineStr">
        <is>
          <t>2022</t>
        </is>
      </c>
      <c r="G4327" s="40" t="n">
        <v>12401948.73</v>
      </c>
    </row>
    <row r="4328" ht="12" customHeight="1">
      <c r="A4328" s="30" t="inlineStr">
        <is>
          <t>ITG</t>
        </is>
      </c>
      <c r="B4328" s="30" t="inlineStr">
        <is>
          <t>Itaguai</t>
        </is>
      </c>
      <c r="C4328" s="30" t="n">
        <v>77452443</v>
      </c>
      <c r="D4328" s="30">
        <f>"02558157001487"</f>
        <v/>
      </c>
      <c r="E4328" s="30" t="inlineStr">
        <is>
          <t>TELEFONICA BRASIL S.A.</t>
        </is>
      </c>
      <c r="F4328" s="30" t="inlineStr">
        <is>
          <t>2023</t>
        </is>
      </c>
      <c r="G4328" s="40" t="n">
        <v>11762705.46</v>
      </c>
    </row>
    <row r="4329" ht="12" customHeight="1">
      <c r="A4329" s="30" t="inlineStr">
        <is>
          <t>ITG</t>
        </is>
      </c>
      <c r="B4329" s="30" t="inlineStr">
        <is>
          <t>Itaguai</t>
        </is>
      </c>
      <c r="C4329" s="30" t="n">
        <v>77477659</v>
      </c>
      <c r="D4329" s="30">
        <f>"02085838000231"</f>
        <v/>
      </c>
      <c r="E4329" s="30" t="inlineStr">
        <is>
          <t>RODO CARGO ENCOMENDAS URGENTES LTDA</t>
        </is>
      </c>
      <c r="F4329" s="30" t="inlineStr">
        <is>
          <t>2018</t>
        </is>
      </c>
      <c r="G4329" s="40" t="n">
        <v>0</v>
      </c>
    </row>
    <row r="4330" ht="12" customHeight="1">
      <c r="A4330" s="30" t="inlineStr">
        <is>
          <t>ITG</t>
        </is>
      </c>
      <c r="B4330" s="30" t="inlineStr">
        <is>
          <t>Itaguai</t>
        </is>
      </c>
      <c r="C4330" s="30" t="n">
        <v>77477659</v>
      </c>
      <c r="D4330" s="30">
        <f>"02085838000231"</f>
        <v/>
      </c>
      <c r="E4330" s="30" t="inlineStr">
        <is>
          <t>RODO CARGO ENCOMENDAS URGENTES LTDA</t>
        </is>
      </c>
      <c r="F4330" s="30" t="inlineStr">
        <is>
          <t>2019</t>
        </is>
      </c>
      <c r="G4330" s="40" t="n">
        <v>0</v>
      </c>
    </row>
    <row r="4331" ht="12" customHeight="1">
      <c r="A4331" s="30" t="inlineStr">
        <is>
          <t>ITG</t>
        </is>
      </c>
      <c r="B4331" s="30" t="inlineStr">
        <is>
          <t>Itaguai</t>
        </is>
      </c>
      <c r="C4331" s="30" t="n">
        <v>77477659</v>
      </c>
      <c r="D4331" s="30">
        <f>"02085838000231"</f>
        <v/>
      </c>
      <c r="E4331" s="30" t="inlineStr">
        <is>
          <t>RODO CARGO ENCOMENDAS URGENTES LTDA</t>
        </is>
      </c>
      <c r="F4331" s="30" t="inlineStr">
        <is>
          <t>2020</t>
        </is>
      </c>
      <c r="G4331" s="40" t="n">
        <v>175.48</v>
      </c>
    </row>
    <row r="4332" ht="12" customHeight="1">
      <c r="A4332" s="30" t="inlineStr">
        <is>
          <t>ITG</t>
        </is>
      </c>
      <c r="B4332" s="30" t="inlineStr">
        <is>
          <t>Itaguai</t>
        </is>
      </c>
      <c r="C4332" s="30" t="n">
        <v>77477659</v>
      </c>
      <c r="D4332" s="30">
        <f>"02085838000231"</f>
        <v/>
      </c>
      <c r="E4332" s="30" t="inlineStr">
        <is>
          <t>RODO CARGO ENCOMENDAS URGENTES LTDA</t>
        </is>
      </c>
      <c r="F4332" s="30" t="inlineStr">
        <is>
          <t>2021</t>
        </is>
      </c>
      <c r="G4332" s="40" t="n">
        <v>202.09</v>
      </c>
    </row>
    <row r="4333" ht="12" customHeight="1">
      <c r="A4333" s="30" t="inlineStr">
        <is>
          <t>ITG</t>
        </is>
      </c>
      <c r="B4333" s="30" t="inlineStr">
        <is>
          <t>Itaguai</t>
        </is>
      </c>
      <c r="C4333" s="30" t="n">
        <v>77477659</v>
      </c>
      <c r="D4333" s="30">
        <f>"02085838000231"</f>
        <v/>
      </c>
      <c r="E4333" s="30" t="inlineStr">
        <is>
          <t>RODO CARGO ENCOMENDAS URGENTES LTDA</t>
        </is>
      </c>
      <c r="F4333" s="30" t="inlineStr">
        <is>
          <t>2022</t>
        </is>
      </c>
      <c r="G4333" s="40" t="n">
        <v>66.03</v>
      </c>
    </row>
    <row r="4334" ht="12" customHeight="1">
      <c r="A4334" s="30" t="inlineStr">
        <is>
          <t>ITG</t>
        </is>
      </c>
      <c r="B4334" s="30" t="inlineStr">
        <is>
          <t>Itaguai</t>
        </is>
      </c>
      <c r="C4334" s="30" t="n">
        <v>77477659</v>
      </c>
      <c r="D4334" s="30">
        <f>"02085838000231"</f>
        <v/>
      </c>
      <c r="E4334" s="30" t="inlineStr">
        <is>
          <t>RODO CARGO ENCOMENDAS URGENTES LTDA</t>
        </is>
      </c>
      <c r="F4334" s="30" t="inlineStr">
        <is>
          <t>2023</t>
        </is>
      </c>
      <c r="G4334" s="40" t="n">
        <v>268.22</v>
      </c>
    </row>
    <row r="4335" ht="12" customHeight="1">
      <c r="A4335" s="30" t="inlineStr">
        <is>
          <t>ITG</t>
        </is>
      </c>
      <c r="B4335" s="30" t="inlineStr">
        <is>
          <t>Itaguai</t>
        </is>
      </c>
      <c r="C4335" s="30" t="n">
        <v>77481087</v>
      </c>
      <c r="D4335" s="30">
        <f>"03094658001170"</f>
        <v/>
      </c>
      <c r="E4335" s="30" t="inlineStr">
        <is>
          <t>GEFCO LOGISTICA DO BRASIL LTDA</t>
        </is>
      </c>
      <c r="F4335" s="30" t="inlineStr">
        <is>
          <t>2017</t>
        </is>
      </c>
      <c r="G4335" s="40" t="n">
        <v>0</v>
      </c>
    </row>
    <row r="4336" ht="12" customHeight="1">
      <c r="A4336" s="30" t="inlineStr">
        <is>
          <t>ITG</t>
        </is>
      </c>
      <c r="B4336" s="30" t="inlineStr">
        <is>
          <t>Itaguai</t>
        </is>
      </c>
      <c r="C4336" s="30" t="n">
        <v>77481087</v>
      </c>
      <c r="D4336" s="30">
        <f>"03094658001170"</f>
        <v/>
      </c>
      <c r="E4336" s="30" t="inlineStr">
        <is>
          <t>GEFCO LOGISTICA DO BRASIL LTDA</t>
        </is>
      </c>
      <c r="F4336" s="30" t="inlineStr">
        <is>
          <t>2018</t>
        </is>
      </c>
      <c r="G4336" s="40" t="n">
        <v>0</v>
      </c>
    </row>
    <row r="4337" ht="12" customHeight="1">
      <c r="A4337" s="30" t="inlineStr">
        <is>
          <t>ITG</t>
        </is>
      </c>
      <c r="B4337" s="30" t="inlineStr">
        <is>
          <t>Itaguai</t>
        </is>
      </c>
      <c r="C4337" s="30" t="n">
        <v>77481087</v>
      </c>
      <c r="D4337" s="30">
        <f>"03094658001170"</f>
        <v/>
      </c>
      <c r="E4337" s="30" t="inlineStr">
        <is>
          <t>GEFCO LOGISTICA DO BRASIL LTDA</t>
        </is>
      </c>
      <c r="F4337" s="30" t="inlineStr">
        <is>
          <t>2019</t>
        </is>
      </c>
      <c r="G4337" s="40" t="n">
        <v>0</v>
      </c>
    </row>
    <row r="4338" ht="12" customHeight="1">
      <c r="A4338" s="30" t="inlineStr">
        <is>
          <t>ITG</t>
        </is>
      </c>
      <c r="B4338" s="30" t="inlineStr">
        <is>
          <t>Itaguai</t>
        </is>
      </c>
      <c r="C4338" s="30" t="n">
        <v>77481087</v>
      </c>
      <c r="D4338" s="30">
        <f>"03094658001170"</f>
        <v/>
      </c>
      <c r="E4338" s="30" t="inlineStr">
        <is>
          <t>GEFCO LOGISTICA DO BRASIL LTDA</t>
        </is>
      </c>
      <c r="F4338" s="30" t="inlineStr">
        <is>
          <t>2020</t>
        </is>
      </c>
      <c r="G4338" s="40" t="n">
        <v>0</v>
      </c>
    </row>
    <row r="4339" ht="12" customHeight="1">
      <c r="A4339" s="30" t="inlineStr">
        <is>
          <t>ITG</t>
        </is>
      </c>
      <c r="B4339" s="30" t="inlineStr">
        <is>
          <t>Itaguai</t>
        </is>
      </c>
      <c r="C4339" s="30" t="n">
        <v>77483594</v>
      </c>
      <c r="D4339" s="30">
        <f>"01988184000293"</f>
        <v/>
      </c>
      <c r="E4339" s="30" t="inlineStr">
        <is>
          <t>OBORN EXPEDITION VESTUARIO EIRELI EPP</t>
        </is>
      </c>
      <c r="F4339" s="30" t="inlineStr">
        <is>
          <t>2017</t>
        </is>
      </c>
      <c r="G4339" s="40" t="n">
        <v>0</v>
      </c>
    </row>
    <row r="4340" ht="12" customHeight="1">
      <c r="A4340" s="30" t="inlineStr">
        <is>
          <t>ITG</t>
        </is>
      </c>
      <c r="B4340" s="30" t="inlineStr">
        <is>
          <t>Itaguai</t>
        </is>
      </c>
      <c r="C4340" s="30" t="n">
        <v>77483594</v>
      </c>
      <c r="D4340" s="30">
        <f>"01988184000293"</f>
        <v/>
      </c>
      <c r="E4340" s="30" t="inlineStr">
        <is>
          <t>OBORN EXPEDITION VESTUARIO EIRELI EPP</t>
        </is>
      </c>
      <c r="F4340" s="30" t="inlineStr">
        <is>
          <t>2018</t>
        </is>
      </c>
      <c r="G4340" s="40" t="n">
        <v>0</v>
      </c>
    </row>
    <row r="4341" ht="12" customHeight="1">
      <c r="A4341" s="30" t="inlineStr">
        <is>
          <t>ITG</t>
        </is>
      </c>
      <c r="B4341" s="30" t="inlineStr">
        <is>
          <t>Itaguai</t>
        </is>
      </c>
      <c r="C4341" s="30" t="n">
        <v>77483594</v>
      </c>
      <c r="D4341" s="30">
        <f>"01988184000293"</f>
        <v/>
      </c>
      <c r="E4341" s="30" t="inlineStr">
        <is>
          <t>OBORN EXPEDITION VESTUARIO EIRELI EPP</t>
        </is>
      </c>
      <c r="F4341" s="30" t="inlineStr">
        <is>
          <t>2019</t>
        </is>
      </c>
      <c r="G4341" s="40" t="n">
        <v>0</v>
      </c>
    </row>
    <row r="4342" ht="12" customHeight="1">
      <c r="A4342" s="30" t="inlineStr">
        <is>
          <t>ITG</t>
        </is>
      </c>
      <c r="B4342" s="30" t="inlineStr">
        <is>
          <t>Itaguai</t>
        </is>
      </c>
      <c r="C4342" s="30" t="n">
        <v>77485554</v>
      </c>
      <c r="D4342" s="30">
        <f>"44597524000420"</f>
        <v/>
      </c>
      <c r="E4342" s="30" t="inlineStr">
        <is>
          <t>TRANSPORTADORA CAPIVARI LTDA</t>
        </is>
      </c>
      <c r="F4342" s="30" t="inlineStr">
        <is>
          <t>2017</t>
        </is>
      </c>
      <c r="G4342" s="40" t="n">
        <v>118.44</v>
      </c>
    </row>
    <row r="4343" ht="12" customHeight="1">
      <c r="A4343" s="30" t="inlineStr">
        <is>
          <t>ITG</t>
        </is>
      </c>
      <c r="B4343" s="30" t="inlineStr">
        <is>
          <t>Itaguai</t>
        </is>
      </c>
      <c r="C4343" s="30" t="n">
        <v>77485554</v>
      </c>
      <c r="D4343" s="30">
        <f>"44597524000420"</f>
        <v/>
      </c>
      <c r="E4343" s="30" t="inlineStr">
        <is>
          <t>TRANSPORTADORA CAPIVARI LTDA</t>
        </is>
      </c>
      <c r="F4343" s="30" t="inlineStr">
        <is>
          <t>2018</t>
        </is>
      </c>
      <c r="G4343" s="40" t="n">
        <v>0</v>
      </c>
    </row>
    <row r="4344" ht="12" customHeight="1">
      <c r="A4344" s="30" t="inlineStr">
        <is>
          <t>ITG</t>
        </is>
      </c>
      <c r="B4344" s="30" t="inlineStr">
        <is>
          <t>Itaguai</t>
        </is>
      </c>
      <c r="C4344" s="30" t="n">
        <v>77485554</v>
      </c>
      <c r="D4344" s="30">
        <f>"44597524000420"</f>
        <v/>
      </c>
      <c r="E4344" s="30" t="inlineStr">
        <is>
          <t>TRANSPORTADORA CAPIVARI LTDA</t>
        </is>
      </c>
      <c r="F4344" s="30" t="inlineStr">
        <is>
          <t>2019</t>
        </is>
      </c>
      <c r="G4344" s="40" t="n">
        <v>807.23</v>
      </c>
    </row>
    <row r="4345" ht="12" customHeight="1">
      <c r="A4345" s="30" t="inlineStr">
        <is>
          <t>ITG</t>
        </is>
      </c>
      <c r="B4345" s="30" t="inlineStr">
        <is>
          <t>Itaguai</t>
        </is>
      </c>
      <c r="C4345" s="30" t="n">
        <v>77485554</v>
      </c>
      <c r="D4345" s="30">
        <f>"44597524000420"</f>
        <v/>
      </c>
      <c r="E4345" s="30" t="inlineStr">
        <is>
          <t>TRANSPORTADORA CAPIVARI LTDA</t>
        </is>
      </c>
      <c r="F4345" s="30" t="inlineStr">
        <is>
          <t>2020</t>
        </is>
      </c>
      <c r="G4345" s="40" t="n">
        <v>0</v>
      </c>
    </row>
    <row r="4346" ht="12" customHeight="1">
      <c r="A4346" s="30" t="inlineStr">
        <is>
          <t>ITG</t>
        </is>
      </c>
      <c r="B4346" s="30" t="inlineStr">
        <is>
          <t>Itaguai</t>
        </is>
      </c>
      <c r="C4346" s="30" t="n">
        <v>77485554</v>
      </c>
      <c r="D4346" s="30">
        <f>"44597524000420"</f>
        <v/>
      </c>
      <c r="E4346" s="30" t="inlineStr">
        <is>
          <t>TRANSPORTADORA CAPIVARI LTDA</t>
        </is>
      </c>
      <c r="F4346" s="30" t="inlineStr">
        <is>
          <t>2021</t>
        </is>
      </c>
      <c r="G4346" s="40" t="n">
        <v>0</v>
      </c>
    </row>
    <row r="4347" ht="12" customHeight="1">
      <c r="A4347" s="30" t="inlineStr">
        <is>
          <t>ITG</t>
        </is>
      </c>
      <c r="B4347" s="30" t="inlineStr">
        <is>
          <t>Itaguai</t>
        </is>
      </c>
      <c r="C4347" s="30" t="n">
        <v>77514287</v>
      </c>
      <c r="D4347" s="30">
        <f>"05513322000158"</f>
        <v/>
      </c>
      <c r="E4347" s="30" t="inlineStr">
        <is>
          <t>AGIFLEX METALURGICA LTDA ME</t>
        </is>
      </c>
      <c r="F4347" s="30" t="inlineStr">
        <is>
          <t>2017</t>
        </is>
      </c>
      <c r="G4347" s="40" t="n">
        <v>1082747.81</v>
      </c>
    </row>
    <row r="4348" ht="12" customHeight="1">
      <c r="A4348" s="30" t="inlineStr">
        <is>
          <t>ITG</t>
        </is>
      </c>
      <c r="B4348" s="30" t="inlineStr">
        <is>
          <t>Itaguai</t>
        </is>
      </c>
      <c r="C4348" s="30" t="n">
        <v>77514287</v>
      </c>
      <c r="D4348" s="30">
        <f>"05513322000158"</f>
        <v/>
      </c>
      <c r="E4348" s="30" t="inlineStr">
        <is>
          <t>AGIFLEX METALURGICA LTDA ME</t>
        </is>
      </c>
      <c r="F4348" s="30" t="inlineStr">
        <is>
          <t>2018</t>
        </is>
      </c>
      <c r="G4348" s="40" t="n">
        <v>890345.77</v>
      </c>
    </row>
    <row r="4349" ht="12" customHeight="1">
      <c r="A4349" s="30" t="inlineStr">
        <is>
          <t>ITG</t>
        </is>
      </c>
      <c r="B4349" s="30" t="inlineStr">
        <is>
          <t>Itaguai</t>
        </is>
      </c>
      <c r="C4349" s="30" t="n">
        <v>77514287</v>
      </c>
      <c r="D4349" s="30">
        <f>"05513322000158"</f>
        <v/>
      </c>
      <c r="E4349" s="30" t="inlineStr">
        <is>
          <t>AGIFLEX METALURGICA LTDA ME</t>
        </is>
      </c>
      <c r="F4349" s="30" t="inlineStr">
        <is>
          <t>2019</t>
        </is>
      </c>
      <c r="G4349" s="40" t="n">
        <v>752455.95</v>
      </c>
    </row>
    <row r="4350" ht="12" customHeight="1">
      <c r="A4350" s="30" t="inlineStr">
        <is>
          <t>ITG</t>
        </is>
      </c>
      <c r="B4350" s="30" t="inlineStr">
        <is>
          <t>Itaguai</t>
        </is>
      </c>
      <c r="C4350" s="30" t="n">
        <v>77514287</v>
      </c>
      <c r="D4350" s="30">
        <f>"05513322000158"</f>
        <v/>
      </c>
      <c r="E4350" s="30" t="inlineStr">
        <is>
          <t>AGIFLEX METALURGICA LTDA ME</t>
        </is>
      </c>
      <c r="F4350" s="30" t="inlineStr">
        <is>
          <t>2020</t>
        </is>
      </c>
      <c r="G4350" s="40" t="n">
        <v>142974.95</v>
      </c>
    </row>
    <row r="4351" ht="12" customHeight="1">
      <c r="A4351" s="30" t="inlineStr">
        <is>
          <t>ITG</t>
        </is>
      </c>
      <c r="B4351" s="30" t="inlineStr">
        <is>
          <t>Itaguai</t>
        </is>
      </c>
      <c r="C4351" s="30" t="n">
        <v>77514287</v>
      </c>
      <c r="D4351" s="30">
        <f>"05513322000158"</f>
        <v/>
      </c>
      <c r="E4351" s="30" t="inlineStr">
        <is>
          <t>AGIFLEX METALURGICA LTDA ME</t>
        </is>
      </c>
      <c r="F4351" s="30" t="inlineStr">
        <is>
          <t>2021</t>
        </is>
      </c>
      <c r="G4351" s="40" t="n">
        <v>0</v>
      </c>
    </row>
    <row r="4352" ht="12" customHeight="1">
      <c r="A4352" s="30" t="inlineStr">
        <is>
          <t>ITG</t>
        </is>
      </c>
      <c r="B4352" s="30" t="inlineStr">
        <is>
          <t>Itaguai</t>
        </is>
      </c>
      <c r="C4352" s="30" t="n">
        <v>77514287</v>
      </c>
      <c r="D4352" s="30">
        <f>"05513322000158"</f>
        <v/>
      </c>
      <c r="E4352" s="30" t="inlineStr">
        <is>
          <t>AGIFLEX METALURGICA LTDA ME</t>
        </is>
      </c>
      <c r="F4352" s="30" t="inlineStr">
        <is>
          <t>2022</t>
        </is>
      </c>
      <c r="G4352" s="40" t="n">
        <v>0</v>
      </c>
    </row>
    <row r="4353" ht="12" customHeight="1">
      <c r="A4353" s="30" t="inlineStr">
        <is>
          <t>ITG</t>
        </is>
      </c>
      <c r="B4353" s="30" t="inlineStr">
        <is>
          <t>Itaguai</t>
        </is>
      </c>
      <c r="C4353" s="30" t="n">
        <v>77514287</v>
      </c>
      <c r="D4353" s="30">
        <f>"05513322000158"</f>
        <v/>
      </c>
      <c r="E4353" s="30" t="inlineStr">
        <is>
          <t>AGIFLEX METALURGICA LTDA ME</t>
        </is>
      </c>
      <c r="F4353" s="30" t="inlineStr">
        <is>
          <t>2023</t>
        </is>
      </c>
      <c r="G4353" s="40" t="n">
        <v>0</v>
      </c>
    </row>
    <row r="4354" ht="12" customHeight="1">
      <c r="A4354" s="30" t="inlineStr">
        <is>
          <t>ITG</t>
        </is>
      </c>
      <c r="B4354" s="30" t="inlineStr">
        <is>
          <t>Itaguai</t>
        </is>
      </c>
      <c r="C4354" s="30" t="n">
        <v>77522905</v>
      </c>
      <c r="D4354" s="30">
        <f>"04833584000137"</f>
        <v/>
      </c>
      <c r="E4354" s="30" t="inlineStr">
        <is>
          <t>TRANSMARGOO TURISMO E FRETAMENTO EIRELI</t>
        </is>
      </c>
      <c r="F4354" s="30" t="inlineStr">
        <is>
          <t>2017</t>
        </is>
      </c>
      <c r="G4354" s="40" t="n">
        <v>24650</v>
      </c>
    </row>
    <row r="4355" ht="12" customHeight="1">
      <c r="A4355" s="30" t="inlineStr">
        <is>
          <t>ITG</t>
        </is>
      </c>
      <c r="B4355" s="30" t="inlineStr">
        <is>
          <t>Itaguai</t>
        </is>
      </c>
      <c r="C4355" s="30" t="n">
        <v>77522905</v>
      </c>
      <c r="D4355" s="30">
        <f>"04833584000137"</f>
        <v/>
      </c>
      <c r="E4355" s="30" t="inlineStr">
        <is>
          <t>TRANSMARGOO TURISMO E FRETAMENTO EIRELI</t>
        </is>
      </c>
      <c r="F4355" s="30" t="inlineStr">
        <is>
          <t>2018</t>
        </is>
      </c>
      <c r="G4355" s="40" t="n">
        <v>0</v>
      </c>
    </row>
    <row r="4356" ht="12" customHeight="1">
      <c r="A4356" s="30" t="inlineStr">
        <is>
          <t>ITG</t>
        </is>
      </c>
      <c r="B4356" s="30" t="inlineStr">
        <is>
          <t>Itaguai</t>
        </is>
      </c>
      <c r="C4356" s="30" t="n">
        <v>77522905</v>
      </c>
      <c r="D4356" s="30">
        <f>"04833584000137"</f>
        <v/>
      </c>
      <c r="E4356" s="30" t="inlineStr">
        <is>
          <t>TRANSMARGOO TURISMO E FRETAMENTO EIRELI</t>
        </is>
      </c>
      <c r="F4356" s="30" t="inlineStr">
        <is>
          <t>2019</t>
        </is>
      </c>
      <c r="G4356" s="40" t="n">
        <v>0</v>
      </c>
    </row>
    <row r="4357" ht="12" customHeight="1">
      <c r="A4357" s="30" t="inlineStr">
        <is>
          <t>ITG</t>
        </is>
      </c>
      <c r="B4357" s="30" t="inlineStr">
        <is>
          <t>Itaguai</t>
        </is>
      </c>
      <c r="C4357" s="30" t="n">
        <v>77523197</v>
      </c>
      <c r="D4357" s="30">
        <f>"05545986000107"</f>
        <v/>
      </c>
      <c r="E4357" s="30" t="inlineStr">
        <is>
          <t>ELETRO NELKA BAZAR E FERRAGENS LTDA</t>
        </is>
      </c>
      <c r="F4357" s="30" t="inlineStr">
        <is>
          <t>2017</t>
        </is>
      </c>
      <c r="G4357" s="40" t="n">
        <v>1888900.43</v>
      </c>
    </row>
    <row r="4358" ht="12" customHeight="1">
      <c r="A4358" s="30" t="inlineStr">
        <is>
          <t>ITG</t>
        </is>
      </c>
      <c r="B4358" s="30" t="inlineStr">
        <is>
          <t>Itaguai</t>
        </is>
      </c>
      <c r="C4358" s="30" t="n">
        <v>77523197</v>
      </c>
      <c r="D4358" s="30">
        <f>"05545986000107"</f>
        <v/>
      </c>
      <c r="E4358" s="30" t="inlineStr">
        <is>
          <t>ELETRO NELKA BAZAR E FERRAGENS LTDA</t>
        </is>
      </c>
      <c r="F4358" s="30" t="inlineStr">
        <is>
          <t>2018</t>
        </is>
      </c>
      <c r="G4358" s="40" t="n">
        <v>3161524.92</v>
      </c>
    </row>
    <row r="4359" ht="12" customHeight="1">
      <c r="A4359" s="30" t="inlineStr">
        <is>
          <t>ITG</t>
        </is>
      </c>
      <c r="B4359" s="30" t="inlineStr">
        <is>
          <t>Itaguai</t>
        </is>
      </c>
      <c r="C4359" s="30" t="n">
        <v>77523197</v>
      </c>
      <c r="D4359" s="30">
        <f>"05545986000107"</f>
        <v/>
      </c>
      <c r="E4359" s="30" t="inlineStr">
        <is>
          <t>ELETRO NELKA BAZAR E FERRAGENS LTDA</t>
        </is>
      </c>
      <c r="F4359" s="30" t="inlineStr">
        <is>
          <t>2019</t>
        </is>
      </c>
      <c r="G4359" s="40" t="n">
        <v>3285880.33</v>
      </c>
    </row>
    <row r="4360" ht="12" customHeight="1">
      <c r="A4360" s="30" t="inlineStr">
        <is>
          <t>ITG</t>
        </is>
      </c>
      <c r="B4360" s="30" t="inlineStr">
        <is>
          <t>Itaguai</t>
        </is>
      </c>
      <c r="C4360" s="30" t="n">
        <v>77523197</v>
      </c>
      <c r="D4360" s="30">
        <f>"05545986000107"</f>
        <v/>
      </c>
      <c r="E4360" s="30" t="inlineStr">
        <is>
          <t>ELETRO NELKA BAZAR E FERRAGENS LTDA</t>
        </is>
      </c>
      <c r="F4360" s="30" t="inlineStr">
        <is>
          <t>2020</t>
        </is>
      </c>
      <c r="G4360" s="40" t="n">
        <v>2371786.08</v>
      </c>
    </row>
    <row r="4361" ht="12" customHeight="1">
      <c r="A4361" s="30" t="inlineStr">
        <is>
          <t>ITG</t>
        </is>
      </c>
      <c r="B4361" s="30" t="inlineStr">
        <is>
          <t>Itaguai</t>
        </is>
      </c>
      <c r="C4361" s="30" t="n">
        <v>77523197</v>
      </c>
      <c r="D4361" s="30">
        <f>"05545986000107"</f>
        <v/>
      </c>
      <c r="E4361" s="30" t="inlineStr">
        <is>
          <t>ELETRO NELKA BAZAR E FERRAGENS LTDA</t>
        </is>
      </c>
      <c r="F4361" s="30" t="inlineStr">
        <is>
          <t>2021</t>
        </is>
      </c>
      <c r="G4361" s="40" t="n">
        <v>1120613.27</v>
      </c>
    </row>
    <row r="4362" ht="12" customHeight="1">
      <c r="A4362" s="30" t="inlineStr">
        <is>
          <t>ITG</t>
        </is>
      </c>
      <c r="B4362" s="30" t="inlineStr">
        <is>
          <t>Itaguai</t>
        </is>
      </c>
      <c r="C4362" s="30" t="n">
        <v>77523197</v>
      </c>
      <c r="D4362" s="30">
        <f>"05545986000107"</f>
        <v/>
      </c>
      <c r="E4362" s="30" t="inlineStr">
        <is>
          <t>ELETRO NELKA BAZAR E FERRAGENS LTDA</t>
        </is>
      </c>
      <c r="F4362" s="30" t="inlineStr">
        <is>
          <t>2022</t>
        </is>
      </c>
      <c r="G4362" s="40" t="n">
        <v>3645878.75</v>
      </c>
    </row>
    <row r="4363" ht="12" customHeight="1">
      <c r="A4363" s="30" t="inlineStr">
        <is>
          <t>ITG</t>
        </is>
      </c>
      <c r="B4363" s="30" t="inlineStr">
        <is>
          <t>Itaguai</t>
        </is>
      </c>
      <c r="C4363" s="30" t="n">
        <v>77523197</v>
      </c>
      <c r="D4363" s="30">
        <f>"05545986000107"</f>
        <v/>
      </c>
      <c r="E4363" s="30" t="inlineStr">
        <is>
          <t>ELETRO NELKA BAZAR E FERRAGENS LTDA</t>
        </is>
      </c>
      <c r="F4363" s="30" t="inlineStr">
        <is>
          <t>2023</t>
        </is>
      </c>
      <c r="G4363" s="40" t="n">
        <v>1480785.06</v>
      </c>
    </row>
    <row r="4364" ht="12" customHeight="1">
      <c r="A4364" s="30" t="inlineStr">
        <is>
          <t>ITG</t>
        </is>
      </c>
      <c r="B4364" s="30" t="inlineStr">
        <is>
          <t>Itaguai</t>
        </is>
      </c>
      <c r="C4364" s="30" t="n">
        <v>77527168</v>
      </c>
      <c r="D4364" s="30">
        <f>"05557441000102"</f>
        <v/>
      </c>
      <c r="E4364" s="30" t="inlineStr">
        <is>
          <t>FABRIND FABRICACOES INDUSTRIAIS LTDA ME</t>
        </is>
      </c>
      <c r="F4364" s="30" t="inlineStr">
        <is>
          <t>2017</t>
        </is>
      </c>
      <c r="G4364" s="40" t="n">
        <v>0</v>
      </c>
    </row>
    <row r="4365" ht="12" customHeight="1">
      <c r="A4365" s="30" t="inlineStr">
        <is>
          <t>ITG</t>
        </is>
      </c>
      <c r="B4365" s="30" t="inlineStr">
        <is>
          <t>Itaguai</t>
        </is>
      </c>
      <c r="C4365" s="30" t="n">
        <v>77527168</v>
      </c>
      <c r="D4365" s="30">
        <f>"05557441000102"</f>
        <v/>
      </c>
      <c r="E4365" s="30" t="inlineStr">
        <is>
          <t>FABRIND FABRICACOES INDUSTRIAIS LTDA ME</t>
        </is>
      </c>
      <c r="F4365" s="30" t="inlineStr">
        <is>
          <t>2018</t>
        </is>
      </c>
      <c r="G4365" s="40" t="n">
        <v>0</v>
      </c>
    </row>
    <row r="4366" ht="12" customHeight="1">
      <c r="A4366" s="30" t="inlineStr">
        <is>
          <t>ITG</t>
        </is>
      </c>
      <c r="B4366" s="30" t="inlineStr">
        <is>
          <t>Itaguai</t>
        </is>
      </c>
      <c r="C4366" s="30" t="n">
        <v>77527168</v>
      </c>
      <c r="D4366" s="30">
        <f>"05557441000102"</f>
        <v/>
      </c>
      <c r="E4366" s="30" t="inlineStr">
        <is>
          <t>FABRIND FABRICACOES INDUSTRIAIS LTDA ME</t>
        </is>
      </c>
      <c r="F4366" s="30" t="inlineStr">
        <is>
          <t>2019</t>
        </is>
      </c>
      <c r="G4366" s="40" t="n">
        <v>0</v>
      </c>
    </row>
    <row r="4367" ht="12" customHeight="1">
      <c r="A4367" s="30" t="inlineStr">
        <is>
          <t>ITG</t>
        </is>
      </c>
      <c r="B4367" s="30" t="inlineStr">
        <is>
          <t>Itaguai</t>
        </is>
      </c>
      <c r="C4367" s="30" t="n">
        <v>77527168</v>
      </c>
      <c r="D4367" s="30">
        <f>"05557441000102"</f>
        <v/>
      </c>
      <c r="E4367" s="30" t="inlineStr">
        <is>
          <t>FABRIND FABRICACOES INDUSTRIAIS LTDA ME</t>
        </is>
      </c>
      <c r="F4367" s="30" t="inlineStr">
        <is>
          <t>2020</t>
        </is>
      </c>
      <c r="G4367" s="40" t="n">
        <v>0</v>
      </c>
    </row>
    <row r="4368" ht="12" customHeight="1">
      <c r="A4368" s="30" t="inlineStr">
        <is>
          <t>ITG</t>
        </is>
      </c>
      <c r="B4368" s="30" t="inlineStr">
        <is>
          <t>Itaguai</t>
        </is>
      </c>
      <c r="C4368" s="30" t="n">
        <v>77527168</v>
      </c>
      <c r="D4368" s="30">
        <f>"05557441000102"</f>
        <v/>
      </c>
      <c r="E4368" s="30" t="inlineStr">
        <is>
          <t>FABRIND FABRICACOES INDUSTRIAIS LTDA ME</t>
        </is>
      </c>
      <c r="F4368" s="30" t="inlineStr">
        <is>
          <t>2021</t>
        </is>
      </c>
      <c r="G4368" s="40" t="n">
        <v>0</v>
      </c>
    </row>
    <row r="4369" ht="12" customHeight="1">
      <c r="A4369" s="30" t="inlineStr">
        <is>
          <t>ITG</t>
        </is>
      </c>
      <c r="B4369" s="30" t="inlineStr">
        <is>
          <t>Itaguai</t>
        </is>
      </c>
      <c r="C4369" s="30" t="n">
        <v>77527168</v>
      </c>
      <c r="D4369" s="30">
        <f>"05557441000102"</f>
        <v/>
      </c>
      <c r="E4369" s="30" t="inlineStr">
        <is>
          <t>FABRIND FABRICACOES INDUSTRIAIS LTDA ME</t>
        </is>
      </c>
      <c r="F4369" s="30" t="inlineStr">
        <is>
          <t>2022</t>
        </is>
      </c>
      <c r="G4369" s="40" t="n">
        <v>0</v>
      </c>
    </row>
    <row r="4370" ht="12" customHeight="1">
      <c r="A4370" s="30" t="inlineStr">
        <is>
          <t>ITG</t>
        </is>
      </c>
      <c r="B4370" s="30" t="inlineStr">
        <is>
          <t>Itaguai</t>
        </is>
      </c>
      <c r="C4370" s="30" t="n">
        <v>77527168</v>
      </c>
      <c r="D4370" s="30">
        <f>"05557441000102"</f>
        <v/>
      </c>
      <c r="E4370" s="30" t="inlineStr">
        <is>
          <t>FABRIND FABRICACOES INDUSTRIAIS LTDA ME</t>
        </is>
      </c>
      <c r="F4370" s="30" t="inlineStr">
        <is>
          <t>2023</t>
        </is>
      </c>
      <c r="G4370" s="40" t="n">
        <v>0</v>
      </c>
    </row>
    <row r="4371" ht="12" customHeight="1">
      <c r="A4371" s="30" t="inlineStr">
        <is>
          <t>ITG</t>
        </is>
      </c>
      <c r="B4371" s="30" t="inlineStr">
        <is>
          <t>Itaguai</t>
        </is>
      </c>
      <c r="C4371" s="30" t="n">
        <v>77575839</v>
      </c>
      <c r="D4371" s="30">
        <f>"26178616000574"</f>
        <v/>
      </c>
      <c r="E4371" s="30" t="inlineStr">
        <is>
          <t>EMPREENDIMENTOS RODEIRO S/A</t>
        </is>
      </c>
      <c r="F4371" s="30" t="inlineStr">
        <is>
          <t>2017</t>
        </is>
      </c>
      <c r="G4371" s="40" t="n">
        <v>0</v>
      </c>
    </row>
    <row r="4372" ht="12" customHeight="1">
      <c r="A4372" s="30" t="inlineStr">
        <is>
          <t>ITG</t>
        </is>
      </c>
      <c r="B4372" s="30" t="inlineStr">
        <is>
          <t>Itaguai</t>
        </is>
      </c>
      <c r="C4372" s="30" t="n">
        <v>77575839</v>
      </c>
      <c r="D4372" s="30">
        <f>"26178616000574"</f>
        <v/>
      </c>
      <c r="E4372" s="30" t="inlineStr">
        <is>
          <t>EMPREENDIMENTOS RODEIRO S/A</t>
        </is>
      </c>
      <c r="F4372" s="30" t="inlineStr">
        <is>
          <t>2018</t>
        </is>
      </c>
      <c r="G4372" s="40" t="n">
        <v>0</v>
      </c>
    </row>
    <row r="4373" ht="12" customHeight="1">
      <c r="A4373" s="30" t="inlineStr">
        <is>
          <t>ITG</t>
        </is>
      </c>
      <c r="B4373" s="30" t="inlineStr">
        <is>
          <t>Itaguai</t>
        </is>
      </c>
      <c r="C4373" s="30" t="n">
        <v>77575839</v>
      </c>
      <c r="D4373" s="30">
        <f>"26178616000574"</f>
        <v/>
      </c>
      <c r="E4373" s="30" t="inlineStr">
        <is>
          <t>EMPREENDIMENTOS RODEIRO S/A</t>
        </is>
      </c>
      <c r="F4373" s="30" t="inlineStr">
        <is>
          <t>2019</t>
        </is>
      </c>
      <c r="G4373" s="40" t="n">
        <v>0</v>
      </c>
    </row>
    <row r="4374" ht="12" customHeight="1">
      <c r="A4374" s="30" t="inlineStr">
        <is>
          <t>ITG</t>
        </is>
      </c>
      <c r="B4374" s="30" t="inlineStr">
        <is>
          <t>Itaguai</t>
        </is>
      </c>
      <c r="C4374" s="30" t="n">
        <v>77575839</v>
      </c>
      <c r="D4374" s="30">
        <f>"26178616000574"</f>
        <v/>
      </c>
      <c r="E4374" s="30" t="inlineStr">
        <is>
          <t>EMPREENDIMENTOS RODEIRO S/A</t>
        </is>
      </c>
      <c r="F4374" s="30" t="inlineStr">
        <is>
          <t>2020</t>
        </is>
      </c>
      <c r="G4374" s="40" t="n">
        <v>0</v>
      </c>
    </row>
    <row r="4375" ht="12" customHeight="1">
      <c r="A4375" s="30" t="inlineStr">
        <is>
          <t>ITG</t>
        </is>
      </c>
      <c r="B4375" s="30" t="inlineStr">
        <is>
          <t>Itaguai</t>
        </is>
      </c>
      <c r="C4375" s="30" t="n">
        <v>77594949</v>
      </c>
      <c r="D4375" s="30">
        <f>"00650831000370"</f>
        <v/>
      </c>
      <c r="E4375" s="30" t="inlineStr">
        <is>
          <t>EFITRANS TRANSPORTES LTDA</t>
        </is>
      </c>
      <c r="F4375" s="30" t="inlineStr">
        <is>
          <t>2017</t>
        </is>
      </c>
      <c r="G4375" s="40" t="n">
        <v>46697.87</v>
      </c>
    </row>
    <row r="4376" ht="12" customHeight="1">
      <c r="A4376" s="30" t="inlineStr">
        <is>
          <t>ITG</t>
        </is>
      </c>
      <c r="B4376" s="30" t="inlineStr">
        <is>
          <t>Itaguai</t>
        </is>
      </c>
      <c r="C4376" s="30" t="n">
        <v>77594949</v>
      </c>
      <c r="D4376" s="30">
        <f>"00650831000370"</f>
        <v/>
      </c>
      <c r="E4376" s="30" t="inlineStr">
        <is>
          <t>EFITRANS TRANSPORTES LTDA</t>
        </is>
      </c>
      <c r="F4376" s="30" t="inlineStr">
        <is>
          <t>2018</t>
        </is>
      </c>
      <c r="G4376" s="40" t="n">
        <v>41741.23</v>
      </c>
    </row>
    <row r="4377" ht="12" customHeight="1">
      <c r="A4377" s="30" t="inlineStr">
        <is>
          <t>ITG</t>
        </is>
      </c>
      <c r="B4377" s="30" t="inlineStr">
        <is>
          <t>Itaguai</t>
        </is>
      </c>
      <c r="C4377" s="30" t="n">
        <v>77594949</v>
      </c>
      <c r="D4377" s="30">
        <f>"00650831000370"</f>
        <v/>
      </c>
      <c r="E4377" s="30" t="inlineStr">
        <is>
          <t>EFITRANS TRANSPORTES LTDA</t>
        </is>
      </c>
      <c r="F4377" s="30" t="inlineStr">
        <is>
          <t>2019</t>
        </is>
      </c>
      <c r="G4377" s="40" t="n">
        <v>50438.91</v>
      </c>
    </row>
    <row r="4378" ht="12" customHeight="1">
      <c r="A4378" s="30" t="inlineStr">
        <is>
          <t>ITG</t>
        </is>
      </c>
      <c r="B4378" s="30" t="inlineStr">
        <is>
          <t>Itaguai</t>
        </is>
      </c>
      <c r="C4378" s="30" t="n">
        <v>77594949</v>
      </c>
      <c r="D4378" s="30">
        <f>"00650831000370"</f>
        <v/>
      </c>
      <c r="E4378" s="30" t="inlineStr">
        <is>
          <t>EFITRANS TRANSPORTES LTDA</t>
        </is>
      </c>
      <c r="F4378" s="30" t="inlineStr">
        <is>
          <t>2020</t>
        </is>
      </c>
      <c r="G4378" s="40" t="n">
        <v>187987.05</v>
      </c>
    </row>
    <row r="4379" ht="12" customHeight="1">
      <c r="A4379" s="30" t="inlineStr">
        <is>
          <t>ITG</t>
        </is>
      </c>
      <c r="B4379" s="30" t="inlineStr">
        <is>
          <t>Itaguai</t>
        </is>
      </c>
      <c r="C4379" s="30" t="n">
        <v>77594949</v>
      </c>
      <c r="D4379" s="30">
        <f>"00650831000370"</f>
        <v/>
      </c>
      <c r="E4379" s="30" t="inlineStr">
        <is>
          <t>EFITRANS TRANSPORTES LTDA</t>
        </is>
      </c>
      <c r="F4379" s="30" t="inlineStr">
        <is>
          <t>2021</t>
        </is>
      </c>
      <c r="G4379" s="40" t="n">
        <v>27771.88</v>
      </c>
    </row>
    <row r="4380" ht="12" customHeight="1">
      <c r="A4380" s="30" t="inlineStr">
        <is>
          <t>ITG</t>
        </is>
      </c>
      <c r="B4380" s="30" t="inlineStr">
        <is>
          <t>Itaguai</t>
        </is>
      </c>
      <c r="C4380" s="30" t="n">
        <v>77594949</v>
      </c>
      <c r="D4380" s="30">
        <f>"00650831000370"</f>
        <v/>
      </c>
      <c r="E4380" s="30" t="inlineStr">
        <is>
          <t>EFITRANS TRANSPORTES LTDA</t>
        </is>
      </c>
      <c r="F4380" s="30" t="inlineStr">
        <is>
          <t>2022</t>
        </is>
      </c>
      <c r="G4380" s="40" t="n">
        <v>24404.62</v>
      </c>
    </row>
    <row r="4381" ht="12" customHeight="1">
      <c r="A4381" s="30" t="inlineStr">
        <is>
          <t>ITG</t>
        </is>
      </c>
      <c r="B4381" s="30" t="inlineStr">
        <is>
          <t>Itaguai</t>
        </is>
      </c>
      <c r="C4381" s="30" t="n">
        <v>77594949</v>
      </c>
      <c r="D4381" s="30">
        <f>"00650831000370"</f>
        <v/>
      </c>
      <c r="E4381" s="30" t="inlineStr">
        <is>
          <t>EFITRANS TRANSPORTES LTDA</t>
        </is>
      </c>
      <c r="F4381" s="30" t="inlineStr">
        <is>
          <t>2023</t>
        </is>
      </c>
      <c r="G4381" s="40" t="n">
        <v>30481.46</v>
      </c>
    </row>
    <row r="4382" ht="12" customHeight="1">
      <c r="A4382" s="30" t="inlineStr">
        <is>
          <t>ITG</t>
        </is>
      </c>
      <c r="B4382" s="30" t="inlineStr">
        <is>
          <t>Itaguai</t>
        </is>
      </c>
      <c r="C4382" s="30" t="n">
        <v>77613129</v>
      </c>
      <c r="D4382" s="30">
        <f>"05514580000230"</f>
        <v/>
      </c>
      <c r="E4382" s="30" t="inlineStr">
        <is>
          <t>EXPRESSO MONTCAR 2003 LTDA</t>
        </is>
      </c>
      <c r="F4382" s="30" t="inlineStr">
        <is>
          <t>2017</t>
        </is>
      </c>
      <c r="G4382" s="40" t="n">
        <v>3292.15</v>
      </c>
    </row>
    <row r="4383" ht="12" customHeight="1">
      <c r="A4383" s="30" t="inlineStr">
        <is>
          <t>ITG</t>
        </is>
      </c>
      <c r="B4383" s="30" t="inlineStr">
        <is>
          <t>Itaguai</t>
        </is>
      </c>
      <c r="C4383" s="30" t="n">
        <v>77613129</v>
      </c>
      <c r="D4383" s="30">
        <f>"05514580000230"</f>
        <v/>
      </c>
      <c r="E4383" s="30" t="inlineStr">
        <is>
          <t>EXPRESSO MONTCAR 2003 LTDA</t>
        </is>
      </c>
      <c r="F4383" s="30" t="inlineStr">
        <is>
          <t>2018</t>
        </is>
      </c>
      <c r="G4383" s="40" t="n">
        <v>2948.21</v>
      </c>
    </row>
    <row r="4384" ht="12" customHeight="1">
      <c r="A4384" s="30" t="inlineStr">
        <is>
          <t>ITG</t>
        </is>
      </c>
      <c r="B4384" s="30" t="inlineStr">
        <is>
          <t>Itaguai</t>
        </is>
      </c>
      <c r="C4384" s="30" t="n">
        <v>77613129</v>
      </c>
      <c r="D4384" s="30">
        <f>"05514580000230"</f>
        <v/>
      </c>
      <c r="E4384" s="30" t="inlineStr">
        <is>
          <t>EXPRESSO MONTCAR 2003 LTDA</t>
        </is>
      </c>
      <c r="F4384" s="30" t="inlineStr">
        <is>
          <t>2019</t>
        </is>
      </c>
      <c r="G4384" s="40" t="n">
        <v>1603.39</v>
      </c>
    </row>
    <row r="4385" ht="12" customHeight="1">
      <c r="A4385" s="30" t="inlineStr">
        <is>
          <t>ITG</t>
        </is>
      </c>
      <c r="B4385" s="30" t="inlineStr">
        <is>
          <t>Itaguai</t>
        </is>
      </c>
      <c r="C4385" s="30" t="n">
        <v>77613129</v>
      </c>
      <c r="D4385" s="30">
        <f>"05514580000230"</f>
        <v/>
      </c>
      <c r="E4385" s="30" t="inlineStr">
        <is>
          <t>EXPRESSO MONTCAR 2003 LTDA</t>
        </is>
      </c>
      <c r="F4385" s="30" t="inlineStr">
        <is>
          <t>2020</t>
        </is>
      </c>
      <c r="G4385" s="40" t="n">
        <v>0</v>
      </c>
    </row>
    <row r="4386" ht="12" customHeight="1">
      <c r="A4386" s="30" t="inlineStr">
        <is>
          <t>ITG</t>
        </is>
      </c>
      <c r="B4386" s="30" t="inlineStr">
        <is>
          <t>Itaguai</t>
        </is>
      </c>
      <c r="C4386" s="30" t="n">
        <v>77613129</v>
      </c>
      <c r="D4386" s="30">
        <f>"05514580000230"</f>
        <v/>
      </c>
      <c r="E4386" s="30" t="inlineStr">
        <is>
          <t>EXPRESSO MONTCAR 2003 LTDA</t>
        </is>
      </c>
      <c r="F4386" s="30" t="inlineStr">
        <is>
          <t>2021</t>
        </is>
      </c>
      <c r="G4386" s="40" t="n">
        <v>0</v>
      </c>
    </row>
    <row r="4387" ht="12" customHeight="1">
      <c r="A4387" s="30" t="inlineStr">
        <is>
          <t>ITG</t>
        </is>
      </c>
      <c r="B4387" s="30" t="inlineStr">
        <is>
          <t>Itaguai</t>
        </is>
      </c>
      <c r="C4387" s="30" t="n">
        <v>77617698</v>
      </c>
      <c r="D4387" s="30">
        <f>"03176032000130"</f>
        <v/>
      </c>
      <c r="E4387" s="30" t="inlineStr">
        <is>
          <t>QUICK LOGISTICA LTDA</t>
        </is>
      </c>
      <c r="F4387" s="30" t="inlineStr">
        <is>
          <t>2017</t>
        </is>
      </c>
      <c r="G4387" s="40" t="n">
        <v>0.32</v>
      </c>
    </row>
    <row r="4388" ht="12" customHeight="1">
      <c r="A4388" s="30" t="inlineStr">
        <is>
          <t>ITG</t>
        </is>
      </c>
      <c r="B4388" s="30" t="inlineStr">
        <is>
          <t>Itaguai</t>
        </is>
      </c>
      <c r="C4388" s="30" t="n">
        <v>77617698</v>
      </c>
      <c r="D4388" s="30">
        <f>"03176032000130"</f>
        <v/>
      </c>
      <c r="E4388" s="30" t="inlineStr">
        <is>
          <t>QUICK LOGISTICA LTDA</t>
        </is>
      </c>
      <c r="F4388" s="30" t="inlineStr">
        <is>
          <t>2018</t>
        </is>
      </c>
      <c r="G4388" s="40" t="n">
        <v>0</v>
      </c>
    </row>
    <row r="4389" ht="12" customHeight="1">
      <c r="A4389" s="30" t="inlineStr">
        <is>
          <t>ITG</t>
        </is>
      </c>
      <c r="B4389" s="30" t="inlineStr">
        <is>
          <t>Itaguai</t>
        </is>
      </c>
      <c r="C4389" s="30" t="n">
        <v>77617698</v>
      </c>
      <c r="D4389" s="30">
        <f>"03176032000130"</f>
        <v/>
      </c>
      <c r="E4389" s="30" t="inlineStr">
        <is>
          <t>QUICK LOGISTICA LTDA</t>
        </is>
      </c>
      <c r="F4389" s="30" t="inlineStr">
        <is>
          <t>2019</t>
        </is>
      </c>
      <c r="G4389" s="40" t="n">
        <v>0</v>
      </c>
    </row>
    <row r="4390" ht="12" customHeight="1">
      <c r="A4390" s="30" t="inlineStr">
        <is>
          <t>ITG</t>
        </is>
      </c>
      <c r="B4390" s="30" t="inlineStr">
        <is>
          <t>Itaguai</t>
        </is>
      </c>
      <c r="C4390" s="30" t="n">
        <v>77622080</v>
      </c>
      <c r="D4390" s="30">
        <f>"05912532000119"</f>
        <v/>
      </c>
      <c r="E4390" s="30" t="inlineStr">
        <is>
          <t>MARVIN MATERIAL DE CONSTRUCOES LTDA ME</t>
        </is>
      </c>
      <c r="F4390" s="30" t="inlineStr">
        <is>
          <t>2017</t>
        </is>
      </c>
      <c r="G4390" s="40" t="n">
        <v>0</v>
      </c>
    </row>
    <row r="4391" ht="12" customHeight="1">
      <c r="A4391" s="30" t="inlineStr">
        <is>
          <t>ITG</t>
        </is>
      </c>
      <c r="B4391" s="30" t="inlineStr">
        <is>
          <t>Itaguai</t>
        </is>
      </c>
      <c r="C4391" s="30" t="n">
        <v>77622080</v>
      </c>
      <c r="D4391" s="30">
        <f>"05912532000119"</f>
        <v/>
      </c>
      <c r="E4391" s="30" t="inlineStr">
        <is>
          <t>MARVIN MATERIAL DE CONSTRUCOES LTDA ME</t>
        </is>
      </c>
      <c r="F4391" s="30" t="inlineStr">
        <is>
          <t>2018</t>
        </is>
      </c>
      <c r="G4391" s="40" t="n">
        <v>0</v>
      </c>
    </row>
    <row r="4392" ht="12" customHeight="1">
      <c r="A4392" s="30" t="inlineStr">
        <is>
          <t>ITG</t>
        </is>
      </c>
      <c r="B4392" s="30" t="inlineStr">
        <is>
          <t>Itaguai</t>
        </is>
      </c>
      <c r="C4392" s="30" t="n">
        <v>77622080</v>
      </c>
      <c r="D4392" s="30">
        <f>"05912532000119"</f>
        <v/>
      </c>
      <c r="E4392" s="30" t="inlineStr">
        <is>
          <t>MARVIN MATERIAL DE CONSTRUCOES LTDA ME</t>
        </is>
      </c>
      <c r="F4392" s="30" t="inlineStr">
        <is>
          <t>2019</t>
        </is>
      </c>
      <c r="G4392" s="40" t="n">
        <v>0</v>
      </c>
    </row>
    <row r="4393" ht="12" customHeight="1">
      <c r="A4393" s="30" t="inlineStr">
        <is>
          <t>ITG</t>
        </is>
      </c>
      <c r="B4393" s="30" t="inlineStr">
        <is>
          <t>Itaguai</t>
        </is>
      </c>
      <c r="C4393" s="30" t="n">
        <v>77622080</v>
      </c>
      <c r="D4393" s="30">
        <f>"05912532000119"</f>
        <v/>
      </c>
      <c r="E4393" s="30" t="inlineStr">
        <is>
          <t>MARVIN MATERIAL DE CONSTRUCOES LTDA ME</t>
        </is>
      </c>
      <c r="F4393" s="30" t="inlineStr">
        <is>
          <t>2020</t>
        </is>
      </c>
      <c r="G4393" s="40" t="n">
        <v>0</v>
      </c>
    </row>
    <row r="4394" ht="12" customHeight="1">
      <c r="A4394" s="30" t="inlineStr">
        <is>
          <t>ITG</t>
        </is>
      </c>
      <c r="B4394" s="30" t="inlineStr">
        <is>
          <t>Itaguai</t>
        </is>
      </c>
      <c r="C4394" s="30" t="n">
        <v>77638687</v>
      </c>
      <c r="D4394" s="30">
        <f>"60510583004209"</f>
        <v/>
      </c>
      <c r="E4394" s="30" t="inlineStr">
        <is>
          <t>RAPIDO 900 DE TRANSPORTES RODOVIARIOS LTDA</t>
        </is>
      </c>
      <c r="F4394" s="30" t="inlineStr">
        <is>
          <t>2017</t>
        </is>
      </c>
      <c r="G4394" s="40" t="n">
        <v>303.95</v>
      </c>
    </row>
    <row r="4395" ht="12" customHeight="1">
      <c r="A4395" s="30" t="inlineStr">
        <is>
          <t>ITG</t>
        </is>
      </c>
      <c r="B4395" s="30" t="inlineStr">
        <is>
          <t>Itaguai</t>
        </is>
      </c>
      <c r="C4395" s="30" t="n">
        <v>77638687</v>
      </c>
      <c r="D4395" s="30">
        <f>"60510583004209"</f>
        <v/>
      </c>
      <c r="E4395" s="30" t="inlineStr">
        <is>
          <t>RAPIDO 900 DE TRANSPORTES RODOVIARIOS LTDA</t>
        </is>
      </c>
      <c r="F4395" s="30" t="inlineStr">
        <is>
          <t>2018</t>
        </is>
      </c>
      <c r="G4395" s="40" t="n">
        <v>5677.15</v>
      </c>
    </row>
    <row r="4396" ht="12" customHeight="1">
      <c r="A4396" s="30" t="inlineStr">
        <is>
          <t>ITG</t>
        </is>
      </c>
      <c r="B4396" s="30" t="inlineStr">
        <is>
          <t>Itaguai</t>
        </is>
      </c>
      <c r="C4396" s="30" t="n">
        <v>77638687</v>
      </c>
      <c r="D4396" s="30">
        <f>"60510583004209"</f>
        <v/>
      </c>
      <c r="E4396" s="30" t="inlineStr">
        <is>
          <t>RAPIDO 900 DE TRANSPORTES RODOVIARIOS LTDA</t>
        </is>
      </c>
      <c r="F4396" s="30" t="inlineStr">
        <is>
          <t>2019</t>
        </is>
      </c>
      <c r="G4396" s="40" t="n">
        <v>2231.99</v>
      </c>
    </row>
    <row r="4397" ht="12" customHeight="1">
      <c r="A4397" s="30" t="inlineStr">
        <is>
          <t>ITG</t>
        </is>
      </c>
      <c r="B4397" s="30" t="inlineStr">
        <is>
          <t>Itaguai</t>
        </is>
      </c>
      <c r="C4397" s="30" t="n">
        <v>77638687</v>
      </c>
      <c r="D4397" s="30">
        <f>"60510583004209"</f>
        <v/>
      </c>
      <c r="E4397" s="30" t="inlineStr">
        <is>
          <t>RAPIDO 900 DE TRANSPORTES RODOVIARIOS LTDA</t>
        </is>
      </c>
      <c r="F4397" s="30" t="inlineStr">
        <is>
          <t>2020</t>
        </is>
      </c>
      <c r="G4397" s="40" t="n">
        <v>0</v>
      </c>
    </row>
    <row r="4398" ht="12" customHeight="1">
      <c r="A4398" s="30" t="inlineStr">
        <is>
          <t>ITG</t>
        </is>
      </c>
      <c r="B4398" s="30" t="inlineStr">
        <is>
          <t>Itaguai</t>
        </is>
      </c>
      <c r="C4398" s="30" t="n">
        <v>77638687</v>
      </c>
      <c r="D4398" s="30">
        <f>"60510583004209"</f>
        <v/>
      </c>
      <c r="E4398" s="30" t="inlineStr">
        <is>
          <t>RAPIDO 900 DE TRANSPORTES RODOVIARIOS LTDA</t>
        </is>
      </c>
      <c r="F4398" s="30" t="inlineStr">
        <is>
          <t>2021</t>
        </is>
      </c>
      <c r="G4398" s="40" t="n">
        <v>0</v>
      </c>
    </row>
    <row r="4399" ht="12" customHeight="1">
      <c r="A4399" s="30" t="inlineStr">
        <is>
          <t>ITG</t>
        </is>
      </c>
      <c r="B4399" s="30" t="inlineStr">
        <is>
          <t>Itaguai</t>
        </is>
      </c>
      <c r="C4399" s="30" t="n">
        <v>77639330</v>
      </c>
      <c r="D4399" s="30">
        <f>"05940533000177"</f>
        <v/>
      </c>
      <c r="E4399" s="30" t="inlineStr">
        <is>
          <t>Q S MODA VIVA CONFECCOES E BAZAR DE ITAGUAI LTDA ME</t>
        </is>
      </c>
      <c r="F4399" s="30" t="inlineStr">
        <is>
          <t>2017</t>
        </is>
      </c>
      <c r="G4399" s="40" t="n">
        <v>0</v>
      </c>
    </row>
    <row r="4400" ht="12" customHeight="1">
      <c r="A4400" s="30" t="inlineStr">
        <is>
          <t>ITG</t>
        </is>
      </c>
      <c r="B4400" s="30" t="inlineStr">
        <is>
          <t>Itaguai</t>
        </is>
      </c>
      <c r="C4400" s="30" t="n">
        <v>77639330</v>
      </c>
      <c r="D4400" s="30">
        <f>"05940533000177"</f>
        <v/>
      </c>
      <c r="E4400" s="30" t="inlineStr">
        <is>
          <t>Q S MODA VIVA CONFECCOES E BAZAR DE ITAGUAI LTDA ME</t>
        </is>
      </c>
      <c r="F4400" s="30" t="inlineStr">
        <is>
          <t>2018</t>
        </is>
      </c>
      <c r="G4400" s="40" t="n">
        <v>0</v>
      </c>
    </row>
    <row r="4401" ht="12" customHeight="1">
      <c r="A4401" s="30" t="inlineStr">
        <is>
          <t>ITG</t>
        </is>
      </c>
      <c r="B4401" s="30" t="inlineStr">
        <is>
          <t>Itaguai</t>
        </is>
      </c>
      <c r="C4401" s="30" t="n">
        <v>77639330</v>
      </c>
      <c r="D4401" s="30">
        <f>"05940533000177"</f>
        <v/>
      </c>
      <c r="E4401" s="30" t="inlineStr">
        <is>
          <t>Q S MODA VIVA CONFECCOES E BAZAR DE ITAGUAI LTDA ME</t>
        </is>
      </c>
      <c r="F4401" s="30" t="inlineStr">
        <is>
          <t>2019</t>
        </is>
      </c>
      <c r="G4401" s="40" t="n">
        <v>0</v>
      </c>
    </row>
    <row r="4402" ht="12" customHeight="1">
      <c r="A4402" s="30" t="inlineStr">
        <is>
          <t>ITG</t>
        </is>
      </c>
      <c r="B4402" s="30" t="inlineStr">
        <is>
          <t>Itaguai</t>
        </is>
      </c>
      <c r="C4402" s="30" t="n">
        <v>77639330</v>
      </c>
      <c r="D4402" s="30">
        <f>"05940533000177"</f>
        <v/>
      </c>
      <c r="E4402" s="30" t="inlineStr">
        <is>
          <t>Q S MODA VIVA CONFECCOES E BAZAR DE ITAGUAI LTDA ME</t>
        </is>
      </c>
      <c r="F4402" s="30" t="inlineStr">
        <is>
          <t>2020</t>
        </is>
      </c>
      <c r="G4402" s="40" t="n">
        <v>0</v>
      </c>
    </row>
    <row r="4403" ht="12" customHeight="1">
      <c r="A4403" s="30" t="inlineStr">
        <is>
          <t>ITG</t>
        </is>
      </c>
      <c r="B4403" s="30" t="inlineStr">
        <is>
          <t>Itaguai</t>
        </is>
      </c>
      <c r="C4403" s="30" t="n">
        <v>77639330</v>
      </c>
      <c r="D4403" s="30">
        <f>"05940533000177"</f>
        <v/>
      </c>
      <c r="E4403" s="30" t="inlineStr">
        <is>
          <t>Q S MODA VIVA CONFECCOES E BAZAR DE ITAGUAI LTDA ME</t>
        </is>
      </c>
      <c r="F4403" s="30" t="inlineStr">
        <is>
          <t>2021</t>
        </is>
      </c>
      <c r="G4403" s="40" t="n">
        <v>0</v>
      </c>
    </row>
    <row r="4404" ht="12" customHeight="1">
      <c r="A4404" s="30" t="inlineStr">
        <is>
          <t>ITG</t>
        </is>
      </c>
      <c r="B4404" s="30" t="inlineStr">
        <is>
          <t>Itaguai</t>
        </is>
      </c>
      <c r="C4404" s="30" t="n">
        <v>77649328</v>
      </c>
      <c r="D4404" s="30">
        <f>"02836056004284"</f>
        <v/>
      </c>
      <c r="E4404" s="30" t="inlineStr">
        <is>
          <t>DHL LOGISTICS (BRAZIL) LTDA</t>
        </is>
      </c>
      <c r="F4404" s="30" t="inlineStr">
        <is>
          <t>2017</t>
        </is>
      </c>
      <c r="G4404" s="40" t="n">
        <v>37781.59</v>
      </c>
    </row>
    <row r="4405" ht="12" customHeight="1">
      <c r="A4405" s="30" t="inlineStr">
        <is>
          <t>ITG</t>
        </is>
      </c>
      <c r="B4405" s="30" t="inlineStr">
        <is>
          <t>Itaguai</t>
        </is>
      </c>
      <c r="C4405" s="30" t="n">
        <v>77649328</v>
      </c>
      <c r="D4405" s="30">
        <f>"02836056004284"</f>
        <v/>
      </c>
      <c r="E4405" s="30" t="inlineStr">
        <is>
          <t>DHL LOGISTICS (BRAZIL) LTDA</t>
        </is>
      </c>
      <c r="F4405" s="30" t="inlineStr">
        <is>
          <t>2018</t>
        </is>
      </c>
      <c r="G4405" s="40" t="n">
        <v>13964.05</v>
      </c>
    </row>
    <row r="4406" ht="12" customHeight="1">
      <c r="A4406" s="30" t="inlineStr">
        <is>
          <t>ITG</t>
        </is>
      </c>
      <c r="B4406" s="30" t="inlineStr">
        <is>
          <t>Itaguai</t>
        </is>
      </c>
      <c r="C4406" s="30" t="n">
        <v>77649328</v>
      </c>
      <c r="D4406" s="30">
        <f>"02836056004284"</f>
        <v/>
      </c>
      <c r="E4406" s="30" t="inlineStr">
        <is>
          <t>DHL LOGISTICS (BRAZIL) LTDA</t>
        </is>
      </c>
      <c r="F4406" s="30" t="inlineStr">
        <is>
          <t>2019</t>
        </is>
      </c>
      <c r="G4406" s="40" t="n">
        <v>0</v>
      </c>
    </row>
    <row r="4407" ht="12" customHeight="1">
      <c r="A4407" s="30" t="inlineStr">
        <is>
          <t>ITG</t>
        </is>
      </c>
      <c r="B4407" s="30" t="inlineStr">
        <is>
          <t>Itaguai</t>
        </is>
      </c>
      <c r="C4407" s="30" t="n">
        <v>77649328</v>
      </c>
      <c r="D4407" s="30">
        <f>"02836056004284"</f>
        <v/>
      </c>
      <c r="E4407" s="30" t="inlineStr">
        <is>
          <t>DHL LOGISTICS (BRAZIL) LTDA</t>
        </is>
      </c>
      <c r="F4407" s="30" t="inlineStr">
        <is>
          <t>2020</t>
        </is>
      </c>
      <c r="G4407" s="40" t="n">
        <v>0</v>
      </c>
    </row>
    <row r="4408" ht="12" customHeight="1">
      <c r="A4408" s="30" t="inlineStr">
        <is>
          <t>ITG</t>
        </is>
      </c>
      <c r="B4408" s="30" t="inlineStr">
        <is>
          <t>Itaguai</t>
        </is>
      </c>
      <c r="C4408" s="30" t="n">
        <v>77654356</v>
      </c>
      <c r="D4408" s="30">
        <f>"29319514000196"</f>
        <v/>
      </c>
      <c r="E4408" s="30" t="inlineStr">
        <is>
          <t>AREAL TERBRASIL EIRELI</t>
        </is>
      </c>
      <c r="F4408" s="30" t="inlineStr">
        <is>
          <t>2017</t>
        </is>
      </c>
      <c r="G4408" s="40" t="n">
        <v>0</v>
      </c>
    </row>
    <row r="4409" ht="12" customHeight="1">
      <c r="A4409" s="30" t="inlineStr">
        <is>
          <t>ITG</t>
        </is>
      </c>
      <c r="B4409" s="30" t="inlineStr">
        <is>
          <t>Itaguai</t>
        </is>
      </c>
      <c r="C4409" s="30" t="n">
        <v>77654356</v>
      </c>
      <c r="D4409" s="30">
        <f>"29319514000196"</f>
        <v/>
      </c>
      <c r="E4409" s="30" t="inlineStr">
        <is>
          <t>AREAL TERBRASIL EIRELI</t>
        </is>
      </c>
      <c r="F4409" s="30" t="inlineStr">
        <is>
          <t>2018</t>
        </is>
      </c>
      <c r="G4409" s="40" t="n">
        <v>0</v>
      </c>
    </row>
    <row r="4410" ht="12" customHeight="1">
      <c r="A4410" s="30" t="inlineStr">
        <is>
          <t>ITG</t>
        </is>
      </c>
      <c r="B4410" s="30" t="inlineStr">
        <is>
          <t>Itaguai</t>
        </is>
      </c>
      <c r="C4410" s="30" t="n">
        <v>77654356</v>
      </c>
      <c r="D4410" s="30">
        <f>"29319514000196"</f>
        <v/>
      </c>
      <c r="E4410" s="30" t="inlineStr">
        <is>
          <t>AREAL TERBRASIL EIRELI</t>
        </is>
      </c>
      <c r="F4410" s="30" t="inlineStr">
        <is>
          <t>2019</t>
        </is>
      </c>
      <c r="G4410" s="40" t="n">
        <v>113512.36</v>
      </c>
    </row>
    <row r="4411" ht="12" customHeight="1">
      <c r="A4411" s="30" t="inlineStr">
        <is>
          <t>ITG</t>
        </is>
      </c>
      <c r="B4411" s="30" t="inlineStr">
        <is>
          <t>Itaguai</t>
        </is>
      </c>
      <c r="C4411" s="30" t="n">
        <v>77654356</v>
      </c>
      <c r="D4411" s="30">
        <f>"29319514000196"</f>
        <v/>
      </c>
      <c r="E4411" s="30" t="inlineStr">
        <is>
          <t>AREAL TERBRASIL EIRELI</t>
        </is>
      </c>
      <c r="F4411" s="30" t="inlineStr">
        <is>
          <t>2020</t>
        </is>
      </c>
      <c r="G4411" s="40" t="n">
        <v>238827.09</v>
      </c>
    </row>
    <row r="4412" ht="12" customHeight="1">
      <c r="A4412" s="30" t="inlineStr">
        <is>
          <t>ITG</t>
        </is>
      </c>
      <c r="B4412" s="30" t="inlineStr">
        <is>
          <t>Itaguai</t>
        </is>
      </c>
      <c r="C4412" s="30" t="n">
        <v>77654356</v>
      </c>
      <c r="D4412" s="30">
        <f>"29319514000196"</f>
        <v/>
      </c>
      <c r="E4412" s="30" t="inlineStr">
        <is>
          <t>AREAL TERBRASIL EIRELI</t>
        </is>
      </c>
      <c r="F4412" s="30" t="inlineStr">
        <is>
          <t>2021</t>
        </is>
      </c>
      <c r="G4412" s="40" t="n">
        <v>0</v>
      </c>
    </row>
    <row r="4413" ht="12" customHeight="1">
      <c r="A4413" s="30" t="inlineStr">
        <is>
          <t>ITG</t>
        </is>
      </c>
      <c r="B4413" s="30" t="inlineStr">
        <is>
          <t>Itaguai</t>
        </is>
      </c>
      <c r="C4413" s="30" t="n">
        <v>77654356</v>
      </c>
      <c r="D4413" s="30">
        <f>"29319514000196"</f>
        <v/>
      </c>
      <c r="E4413" s="30" t="inlineStr">
        <is>
          <t>AREAL TERBRASIL EIRELI</t>
        </is>
      </c>
      <c r="F4413" s="30" t="inlineStr">
        <is>
          <t>2022</t>
        </is>
      </c>
      <c r="G4413" s="40" t="n">
        <v>0</v>
      </c>
    </row>
    <row r="4414" ht="12" customHeight="1">
      <c r="A4414" s="30" t="inlineStr">
        <is>
          <t>ITG</t>
        </is>
      </c>
      <c r="B4414" s="30" t="inlineStr">
        <is>
          <t>Itaguai</t>
        </is>
      </c>
      <c r="C4414" s="30" t="n">
        <v>77663711</v>
      </c>
      <c r="D4414" s="30">
        <f>"05931640000139"</f>
        <v/>
      </c>
      <c r="E4414" s="30" t="inlineStr">
        <is>
          <t>TRANSPORTES SOUZA ARAUJO LTDA</t>
        </is>
      </c>
      <c r="F4414" s="30" t="inlineStr">
        <is>
          <t>2017</t>
        </is>
      </c>
      <c r="G4414" s="40" t="n">
        <v>0</v>
      </c>
    </row>
    <row r="4415" ht="12" customHeight="1">
      <c r="A4415" s="30" t="inlineStr">
        <is>
          <t>ITG</t>
        </is>
      </c>
      <c r="B4415" s="30" t="inlineStr">
        <is>
          <t>Itaguai</t>
        </is>
      </c>
      <c r="C4415" s="30" t="n">
        <v>77663711</v>
      </c>
      <c r="D4415" s="30">
        <f>"05931640000139"</f>
        <v/>
      </c>
      <c r="E4415" s="30" t="inlineStr">
        <is>
          <t>TRANSPORTES SOUZA ARAUJO LTDA</t>
        </is>
      </c>
      <c r="F4415" s="30" t="inlineStr">
        <is>
          <t>2018</t>
        </is>
      </c>
      <c r="G4415" s="40" t="n">
        <v>3117.31</v>
      </c>
    </row>
    <row r="4416" ht="12" customHeight="1">
      <c r="A4416" s="30" t="inlineStr">
        <is>
          <t>ITG</t>
        </is>
      </c>
      <c r="B4416" s="30" t="inlineStr">
        <is>
          <t>Itaguai</t>
        </is>
      </c>
      <c r="C4416" s="30" t="n">
        <v>77663711</v>
      </c>
      <c r="D4416" s="30">
        <f>"05931640000139"</f>
        <v/>
      </c>
      <c r="E4416" s="30" t="inlineStr">
        <is>
          <t>TRANSPORTES SOUZA ARAUJO LTDA</t>
        </is>
      </c>
      <c r="F4416" s="30" t="inlineStr">
        <is>
          <t>2019</t>
        </is>
      </c>
      <c r="G4416" s="40" t="n">
        <v>4259.65</v>
      </c>
    </row>
    <row r="4417" ht="12" customHeight="1">
      <c r="A4417" s="30" t="inlineStr">
        <is>
          <t>ITG</t>
        </is>
      </c>
      <c r="B4417" s="30" t="inlineStr">
        <is>
          <t>Itaguai</t>
        </is>
      </c>
      <c r="C4417" s="30" t="n">
        <v>77663711</v>
      </c>
      <c r="D4417" s="30">
        <f>"05931640000139"</f>
        <v/>
      </c>
      <c r="E4417" s="30" t="inlineStr">
        <is>
          <t>TRANSPORTES SOUZA ARAUJO LTDA</t>
        </is>
      </c>
      <c r="F4417" s="30" t="inlineStr">
        <is>
          <t>2020</t>
        </is>
      </c>
      <c r="G4417" s="40" t="n">
        <v>58162.89</v>
      </c>
    </row>
    <row r="4418" ht="12" customHeight="1">
      <c r="A4418" s="30" t="inlineStr">
        <is>
          <t>ITG</t>
        </is>
      </c>
      <c r="B4418" s="30" t="inlineStr">
        <is>
          <t>Itaguai</t>
        </is>
      </c>
      <c r="C4418" s="30" t="n">
        <v>77663711</v>
      </c>
      <c r="D4418" s="30">
        <f>"05931640000139"</f>
        <v/>
      </c>
      <c r="E4418" s="30" t="inlineStr">
        <is>
          <t>TRANSPORTES SOUZA ARAUJO LTDA</t>
        </is>
      </c>
      <c r="F4418" s="30" t="inlineStr">
        <is>
          <t>2021</t>
        </is>
      </c>
      <c r="G4418" s="40" t="n">
        <v>0</v>
      </c>
    </row>
    <row r="4419" ht="12" customHeight="1">
      <c r="A4419" s="30" t="inlineStr">
        <is>
          <t>ITG</t>
        </is>
      </c>
      <c r="B4419" s="30" t="inlineStr">
        <is>
          <t>Itaguai</t>
        </is>
      </c>
      <c r="C4419" s="30" t="n">
        <v>77663711</v>
      </c>
      <c r="D4419" s="30">
        <f>"05931640000139"</f>
        <v/>
      </c>
      <c r="E4419" s="30" t="inlineStr">
        <is>
          <t>TRANSPORTES SOUZA ARAUJO LTDA</t>
        </is>
      </c>
      <c r="F4419" s="30" t="inlineStr">
        <is>
          <t>2022</t>
        </is>
      </c>
      <c r="G4419" s="40" t="n">
        <v>0</v>
      </c>
    </row>
    <row r="4420" ht="12" customHeight="1">
      <c r="A4420" s="30" t="inlineStr">
        <is>
          <t>ITG</t>
        </is>
      </c>
      <c r="B4420" s="30" t="inlineStr">
        <is>
          <t>Itaguai</t>
        </is>
      </c>
      <c r="C4420" s="30" t="n">
        <v>77663711</v>
      </c>
      <c r="D4420" s="30">
        <f>"05931640000139"</f>
        <v/>
      </c>
      <c r="E4420" s="30" t="inlineStr">
        <is>
          <t>TRANSPORTES SOUZA ARAUJO LTDA</t>
        </is>
      </c>
      <c r="F4420" s="30" t="inlineStr">
        <is>
          <t>2023</t>
        </is>
      </c>
      <c r="G4420" s="40" t="n">
        <v>1431932.09</v>
      </c>
    </row>
    <row r="4421" ht="12" customHeight="1">
      <c r="A4421" s="30" t="inlineStr">
        <is>
          <t>ITG</t>
        </is>
      </c>
      <c r="B4421" s="30" t="inlineStr">
        <is>
          <t>Itaguai</t>
        </is>
      </c>
      <c r="C4421" s="30" t="n">
        <v>77664548</v>
      </c>
      <c r="D4421" s="30">
        <f>"03103436000528"</f>
        <v/>
      </c>
      <c r="E4421" s="30" t="inlineStr">
        <is>
          <t>COOPERATIVA AGROPECUARIA E TRANSPORTE REGIONAL MONTENEGRO LTDA</t>
        </is>
      </c>
      <c r="F4421" s="30" t="inlineStr">
        <is>
          <t>2017</t>
        </is>
      </c>
      <c r="G4421" s="40" t="n">
        <v>0</v>
      </c>
    </row>
    <row r="4422" ht="12" customHeight="1">
      <c r="A4422" s="30" t="inlineStr">
        <is>
          <t>ITG</t>
        </is>
      </c>
      <c r="B4422" s="30" t="inlineStr">
        <is>
          <t>Itaguai</t>
        </is>
      </c>
      <c r="C4422" s="30" t="n">
        <v>77664548</v>
      </c>
      <c r="D4422" s="30">
        <f>"03103436000528"</f>
        <v/>
      </c>
      <c r="E4422" s="30" t="inlineStr">
        <is>
          <t>COOPERATIVA AGROPECUARIA E TRANSPORTE REGIONAL MONTENEGRO LTDA</t>
        </is>
      </c>
      <c r="F4422" s="30" t="inlineStr">
        <is>
          <t>2018</t>
        </is>
      </c>
      <c r="G4422" s="40" t="n">
        <v>0</v>
      </c>
    </row>
    <row r="4423" ht="12" customHeight="1">
      <c r="A4423" s="30" t="inlineStr">
        <is>
          <t>ITG</t>
        </is>
      </c>
      <c r="B4423" s="30" t="inlineStr">
        <is>
          <t>Itaguai</t>
        </is>
      </c>
      <c r="C4423" s="30" t="n">
        <v>77664548</v>
      </c>
      <c r="D4423" s="30">
        <f>"03103436000528"</f>
        <v/>
      </c>
      <c r="E4423" s="30" t="inlineStr">
        <is>
          <t>COOPERATIVA AGROPECUARIA E TRANSPORTE REGIONAL MONTENEGRO LTDA</t>
        </is>
      </c>
      <c r="F4423" s="30" t="inlineStr">
        <is>
          <t>2019</t>
        </is>
      </c>
      <c r="G4423" s="40" t="n">
        <v>372.38</v>
      </c>
    </row>
    <row r="4424" ht="12" customHeight="1">
      <c r="A4424" s="30" t="inlineStr">
        <is>
          <t>ITG</t>
        </is>
      </c>
      <c r="B4424" s="30" t="inlineStr">
        <is>
          <t>Itaguai</t>
        </is>
      </c>
      <c r="C4424" s="30" t="n">
        <v>77664548</v>
      </c>
      <c r="D4424" s="30">
        <f>"03103436000528"</f>
        <v/>
      </c>
      <c r="E4424" s="30" t="inlineStr">
        <is>
          <t>COOPERATIVA AGROPECUARIA E TRANSPORTE REGIONAL MONTENEGRO LTDA</t>
        </is>
      </c>
      <c r="F4424" s="30" t="inlineStr">
        <is>
          <t>2020</t>
        </is>
      </c>
      <c r="G4424" s="40" t="n">
        <v>546.53</v>
      </c>
    </row>
    <row r="4425" ht="12" customHeight="1">
      <c r="A4425" s="30" t="inlineStr">
        <is>
          <t>ITG</t>
        </is>
      </c>
      <c r="B4425" s="30" t="inlineStr">
        <is>
          <t>Itaguai</t>
        </is>
      </c>
      <c r="C4425" s="30" t="n">
        <v>77664548</v>
      </c>
      <c r="D4425" s="30">
        <f>"03103436000528"</f>
        <v/>
      </c>
      <c r="E4425" s="30" t="inlineStr">
        <is>
          <t>COOPERATIVA AGROPECUARIA E TRANSPORTE REGIONAL MONTENEGRO LTDA</t>
        </is>
      </c>
      <c r="F4425" s="30" t="inlineStr">
        <is>
          <t>2021</t>
        </is>
      </c>
      <c r="G4425" s="40" t="n">
        <v>0</v>
      </c>
    </row>
    <row r="4426" ht="12" customHeight="1">
      <c r="A4426" s="30" t="inlineStr">
        <is>
          <t>ITG</t>
        </is>
      </c>
      <c r="B4426" s="30" t="inlineStr">
        <is>
          <t>Itaguai</t>
        </is>
      </c>
      <c r="C4426" s="30" t="n">
        <v>77664548</v>
      </c>
      <c r="D4426" s="30">
        <f>"03103436000528"</f>
        <v/>
      </c>
      <c r="E4426" s="30" t="inlineStr">
        <is>
          <t>COOPERATIVA AGROPECUARIA E TRANSPORTE REGIONAL MONTENEGRO LTDA</t>
        </is>
      </c>
      <c r="F4426" s="30" t="inlineStr">
        <is>
          <t>2022</t>
        </is>
      </c>
      <c r="G4426" s="40" t="n">
        <v>0</v>
      </c>
    </row>
    <row r="4427" ht="12" customHeight="1">
      <c r="A4427" s="30" t="inlineStr">
        <is>
          <t>ITG</t>
        </is>
      </c>
      <c r="B4427" s="30" t="inlineStr">
        <is>
          <t>Itaguai</t>
        </is>
      </c>
      <c r="C4427" s="30" t="n">
        <v>77668799</v>
      </c>
      <c r="D4427" s="30">
        <f>"05980171000148"</f>
        <v/>
      </c>
      <c r="E4427" s="30" t="inlineStr">
        <is>
          <t>PREDLINK REDE DE TELECOMUNICACOES LTDA</t>
        </is>
      </c>
      <c r="F4427" s="30" t="inlineStr">
        <is>
          <t>2017</t>
        </is>
      </c>
      <c r="G4427" s="40" t="n">
        <v>0</v>
      </c>
    </row>
    <row r="4428" ht="12" customHeight="1">
      <c r="A4428" s="30" t="inlineStr">
        <is>
          <t>ITG</t>
        </is>
      </c>
      <c r="B4428" s="30" t="inlineStr">
        <is>
          <t>Itaguai</t>
        </is>
      </c>
      <c r="C4428" s="30" t="n">
        <v>77668799</v>
      </c>
      <c r="D4428" s="30">
        <f>"05980171000148"</f>
        <v/>
      </c>
      <c r="E4428" s="30" t="inlineStr">
        <is>
          <t>PREDLINK REDE DE TELECOMUNICACOES LTDA</t>
        </is>
      </c>
      <c r="F4428" s="30" t="inlineStr">
        <is>
          <t>2018</t>
        </is>
      </c>
      <c r="G4428" s="40" t="n">
        <v>0</v>
      </c>
    </row>
    <row r="4429" ht="12" customHeight="1">
      <c r="A4429" s="30" t="inlineStr">
        <is>
          <t>ITG</t>
        </is>
      </c>
      <c r="B4429" s="30" t="inlineStr">
        <is>
          <t>Itaguai</t>
        </is>
      </c>
      <c r="C4429" s="30" t="n">
        <v>77668799</v>
      </c>
      <c r="D4429" s="30">
        <f>"05980171000148"</f>
        <v/>
      </c>
      <c r="E4429" s="30" t="inlineStr">
        <is>
          <t>PREDLINK REDE DE TELECOMUNICACOES LTDA</t>
        </is>
      </c>
      <c r="F4429" s="30" t="inlineStr">
        <is>
          <t>2019</t>
        </is>
      </c>
      <c r="G4429" s="40" t="n">
        <v>2700</v>
      </c>
    </row>
    <row r="4430" ht="12" customHeight="1">
      <c r="A4430" s="30" t="inlineStr">
        <is>
          <t>ITG</t>
        </is>
      </c>
      <c r="B4430" s="30" t="inlineStr">
        <is>
          <t>Itaguai</t>
        </is>
      </c>
      <c r="C4430" s="30" t="n">
        <v>77668799</v>
      </c>
      <c r="D4430" s="30">
        <f>"05980171000148"</f>
        <v/>
      </c>
      <c r="E4430" s="30" t="inlineStr">
        <is>
          <t>PREDLINK REDE DE TELECOMUNICACOES LTDA</t>
        </is>
      </c>
      <c r="F4430" s="30" t="inlineStr">
        <is>
          <t>2020</t>
        </is>
      </c>
      <c r="G4430" s="40" t="n">
        <v>8281.629999999999</v>
      </c>
    </row>
    <row r="4431" ht="12" customHeight="1">
      <c r="A4431" s="30" t="inlineStr">
        <is>
          <t>ITG</t>
        </is>
      </c>
      <c r="B4431" s="30" t="inlineStr">
        <is>
          <t>Itaguai</t>
        </is>
      </c>
      <c r="C4431" s="30" t="n">
        <v>77668799</v>
      </c>
      <c r="D4431" s="30">
        <f>"05980171000148"</f>
        <v/>
      </c>
      <c r="E4431" s="30" t="inlineStr">
        <is>
          <t>PREDLINK REDE DE TELECOMUNICACOES LTDA</t>
        </is>
      </c>
      <c r="F4431" s="30" t="inlineStr">
        <is>
          <t>2021</t>
        </is>
      </c>
      <c r="G4431" s="40" t="n">
        <v>3585.59</v>
      </c>
    </row>
    <row r="4432" ht="12" customHeight="1">
      <c r="A4432" s="30" t="inlineStr">
        <is>
          <t>ITG</t>
        </is>
      </c>
      <c r="B4432" s="30" t="inlineStr">
        <is>
          <t>Itaguai</t>
        </is>
      </c>
      <c r="C4432" s="30" t="n">
        <v>77668799</v>
      </c>
      <c r="D4432" s="30">
        <f>"05980171000148"</f>
        <v/>
      </c>
      <c r="E4432" s="30" t="inlineStr">
        <is>
          <t>PREDLINK REDE DE TELECOMUNICACOES LTDA</t>
        </is>
      </c>
      <c r="F4432" s="30" t="inlineStr">
        <is>
          <t>2022</t>
        </is>
      </c>
      <c r="G4432" s="40" t="n">
        <v>3573.4</v>
      </c>
    </row>
    <row r="4433" ht="12" customHeight="1">
      <c r="A4433" s="30" t="inlineStr">
        <is>
          <t>ITG</t>
        </is>
      </c>
      <c r="B4433" s="30" t="inlineStr">
        <is>
          <t>Itaguai</t>
        </is>
      </c>
      <c r="C4433" s="30" t="n">
        <v>77668799</v>
      </c>
      <c r="D4433" s="30">
        <f>"05980171000148"</f>
        <v/>
      </c>
      <c r="E4433" s="30" t="inlineStr">
        <is>
          <t>PREDLINK REDE DE TELECOMUNICACOES LTDA</t>
        </is>
      </c>
      <c r="F4433" s="30" t="inlineStr">
        <is>
          <t>2023</t>
        </is>
      </c>
      <c r="G4433" s="40" t="n">
        <v>2476.72</v>
      </c>
    </row>
    <row r="4434" ht="12" customHeight="1">
      <c r="A4434" s="30" t="inlineStr">
        <is>
          <t>ITG</t>
        </is>
      </c>
      <c r="B4434" s="30" t="inlineStr">
        <is>
          <t>Itaguai</t>
        </is>
      </c>
      <c r="C4434" s="30" t="n">
        <v>77669353</v>
      </c>
      <c r="D4434" s="30">
        <f>"06059895000116"</f>
        <v/>
      </c>
      <c r="E4434" s="30" t="inlineStr">
        <is>
          <t>MARCENARIA COSTA VERDE DE ITAGUAI LTDA EPP</t>
        </is>
      </c>
      <c r="F4434" s="30" t="inlineStr">
        <is>
          <t>2017</t>
        </is>
      </c>
      <c r="G4434" s="40" t="n">
        <v>0</v>
      </c>
    </row>
    <row r="4435" ht="12" customHeight="1">
      <c r="A4435" s="30" t="inlineStr">
        <is>
          <t>ITG</t>
        </is>
      </c>
      <c r="B4435" s="30" t="inlineStr">
        <is>
          <t>Itaguai</t>
        </is>
      </c>
      <c r="C4435" s="30" t="n">
        <v>77669353</v>
      </c>
      <c r="D4435" s="30">
        <f>"06059895000116"</f>
        <v/>
      </c>
      <c r="E4435" s="30" t="inlineStr">
        <is>
          <t>MARCENARIA COSTA VERDE DE ITAGUAI LTDA EPP</t>
        </is>
      </c>
      <c r="F4435" s="30" t="inlineStr">
        <is>
          <t>2018</t>
        </is>
      </c>
      <c r="G4435" s="40" t="n">
        <v>0</v>
      </c>
    </row>
    <row r="4436" ht="12" customHeight="1">
      <c r="A4436" s="30" t="inlineStr">
        <is>
          <t>ITG</t>
        </is>
      </c>
      <c r="B4436" s="30" t="inlineStr">
        <is>
          <t>Itaguai</t>
        </is>
      </c>
      <c r="C4436" s="30" t="n">
        <v>77669353</v>
      </c>
      <c r="D4436" s="30">
        <f>"06059895000116"</f>
        <v/>
      </c>
      <c r="E4436" s="30" t="inlineStr">
        <is>
          <t>MARCENARIA COSTA VERDE DE ITAGUAI LTDA EPP</t>
        </is>
      </c>
      <c r="F4436" s="30" t="inlineStr">
        <is>
          <t>2019</t>
        </is>
      </c>
      <c r="G4436" s="40" t="n">
        <v>0</v>
      </c>
    </row>
    <row r="4437" ht="12" customHeight="1">
      <c r="A4437" s="30" t="inlineStr">
        <is>
          <t>ITG</t>
        </is>
      </c>
      <c r="B4437" s="30" t="inlineStr">
        <is>
          <t>Itaguai</t>
        </is>
      </c>
      <c r="C4437" s="30" t="n">
        <v>77669353</v>
      </c>
      <c r="D4437" s="30">
        <f>"06059895000116"</f>
        <v/>
      </c>
      <c r="E4437" s="30" t="inlineStr">
        <is>
          <t>MARCENARIA COSTA VERDE DE ITAGUAI LTDA EPP</t>
        </is>
      </c>
      <c r="F4437" s="30" t="inlineStr">
        <is>
          <t>2020</t>
        </is>
      </c>
      <c r="G4437" s="40" t="n">
        <v>0</v>
      </c>
    </row>
    <row r="4438" ht="12" customHeight="1">
      <c r="A4438" s="30" t="inlineStr">
        <is>
          <t>ITG</t>
        </is>
      </c>
      <c r="B4438" s="30" t="inlineStr">
        <is>
          <t>Itaguai</t>
        </is>
      </c>
      <c r="C4438" s="30" t="n">
        <v>77669353</v>
      </c>
      <c r="D4438" s="30">
        <f>"06059895000116"</f>
        <v/>
      </c>
      <c r="E4438" s="30" t="inlineStr">
        <is>
          <t>MARCENARIA COSTA VERDE DE ITAGUAI LTDA EPP</t>
        </is>
      </c>
      <c r="F4438" s="30" t="inlineStr">
        <is>
          <t>2021</t>
        </is>
      </c>
      <c r="G4438" s="40" t="n">
        <v>41001.25</v>
      </c>
    </row>
    <row r="4439" ht="12" customHeight="1">
      <c r="A4439" s="30" t="inlineStr">
        <is>
          <t>ITG</t>
        </is>
      </c>
      <c r="B4439" s="30" t="inlineStr">
        <is>
          <t>Itaguai</t>
        </is>
      </c>
      <c r="C4439" s="30" t="n">
        <v>77669353</v>
      </c>
      <c r="D4439" s="30">
        <f>"06059895000116"</f>
        <v/>
      </c>
      <c r="E4439" s="30" t="inlineStr">
        <is>
          <t>MARCENARIA COSTA VERDE DE ITAGUAI LTDA EPP</t>
        </is>
      </c>
      <c r="F4439" s="30" t="inlineStr">
        <is>
          <t>2022</t>
        </is>
      </c>
      <c r="G4439" s="40" t="n">
        <v>0</v>
      </c>
    </row>
    <row r="4440" ht="12" customHeight="1">
      <c r="A4440" s="30" t="inlineStr">
        <is>
          <t>ITG</t>
        </is>
      </c>
      <c r="B4440" s="30" t="inlineStr">
        <is>
          <t>Itaguai</t>
        </is>
      </c>
      <c r="C4440" s="30" t="n">
        <v>77669353</v>
      </c>
      <c r="D4440" s="30">
        <f>"06059895000116"</f>
        <v/>
      </c>
      <c r="E4440" s="30" t="inlineStr">
        <is>
          <t>MARCENARIA COSTA VERDE DE ITAGUAI LTDA EPP</t>
        </is>
      </c>
      <c r="F4440" s="30" t="inlineStr">
        <is>
          <t>2023</t>
        </is>
      </c>
      <c r="G4440" s="40" t="n">
        <v>0</v>
      </c>
    </row>
    <row r="4441" ht="12" customHeight="1">
      <c r="A4441" s="30" t="inlineStr">
        <is>
          <t>ITG</t>
        </is>
      </c>
      <c r="B4441" s="30" t="inlineStr">
        <is>
          <t>Itaguai</t>
        </is>
      </c>
      <c r="C4441" s="30" t="n">
        <v>77678638</v>
      </c>
      <c r="D4441" s="30">
        <f>"05970651000128"</f>
        <v/>
      </c>
      <c r="E4441" s="30" t="inlineStr">
        <is>
          <t>AGITO PARADISE EVENTOS LTDA</t>
        </is>
      </c>
      <c r="F4441" s="30" t="inlineStr">
        <is>
          <t>2017</t>
        </is>
      </c>
      <c r="G4441" s="40" t="n">
        <v>0</v>
      </c>
    </row>
    <row r="4442" ht="12" customHeight="1">
      <c r="A4442" s="30" t="inlineStr">
        <is>
          <t>ITG</t>
        </is>
      </c>
      <c r="B4442" s="30" t="inlineStr">
        <is>
          <t>Itaguai</t>
        </is>
      </c>
      <c r="C4442" s="30" t="n">
        <v>77678638</v>
      </c>
      <c r="D4442" s="30">
        <f>"05970651000128"</f>
        <v/>
      </c>
      <c r="E4442" s="30" t="inlineStr">
        <is>
          <t>AGITO PARADISE EVENTOS LTDA</t>
        </is>
      </c>
      <c r="F4442" s="30" t="inlineStr">
        <is>
          <t>2018</t>
        </is>
      </c>
      <c r="G4442" s="40" t="n">
        <v>0</v>
      </c>
    </row>
    <row r="4443" ht="12" customHeight="1">
      <c r="A4443" s="30" t="inlineStr">
        <is>
          <t>ITG</t>
        </is>
      </c>
      <c r="B4443" s="30" t="inlineStr">
        <is>
          <t>Itaguai</t>
        </is>
      </c>
      <c r="C4443" s="30" t="n">
        <v>77678638</v>
      </c>
      <c r="D4443" s="30">
        <f>"05970651000128"</f>
        <v/>
      </c>
      <c r="E4443" s="30" t="inlineStr">
        <is>
          <t>AGITO PARADISE EVENTOS LTDA</t>
        </is>
      </c>
      <c r="F4443" s="30" t="inlineStr">
        <is>
          <t>2019</t>
        </is>
      </c>
      <c r="G4443" s="40" t="n">
        <v>0</v>
      </c>
    </row>
    <row r="4444" ht="12" customHeight="1">
      <c r="A4444" s="30" t="inlineStr">
        <is>
          <t>ITG</t>
        </is>
      </c>
      <c r="B4444" s="30" t="inlineStr">
        <is>
          <t>Itaguai</t>
        </is>
      </c>
      <c r="C4444" s="30" t="n">
        <v>77685022</v>
      </c>
      <c r="D4444" s="30">
        <f>"76535764033157"</f>
        <v/>
      </c>
      <c r="E4444" s="30" t="inlineStr">
        <is>
          <t>OI SA - EM RECUPERACAO JUDICIAL</t>
        </is>
      </c>
      <c r="F4444" s="30" t="inlineStr">
        <is>
          <t>2019</t>
        </is>
      </c>
      <c r="G4444" s="40" t="n">
        <v>0</v>
      </c>
    </row>
    <row r="4445" ht="12" customHeight="1">
      <c r="A4445" s="30" t="inlineStr">
        <is>
          <t>ITG</t>
        </is>
      </c>
      <c r="B4445" s="30" t="inlineStr">
        <is>
          <t>Itaguai</t>
        </is>
      </c>
      <c r="C4445" s="30" t="n">
        <v>77685022</v>
      </c>
      <c r="D4445" s="30">
        <f>"76535764033157"</f>
        <v/>
      </c>
      <c r="E4445" s="30" t="inlineStr">
        <is>
          <t>OI SA - EM RECUPERACAO JUDICIAL</t>
        </is>
      </c>
      <c r="F4445" s="30" t="inlineStr">
        <is>
          <t>2020</t>
        </is>
      </c>
      <c r="G4445" s="40" t="n">
        <v>0</v>
      </c>
    </row>
    <row r="4446" ht="12" customHeight="1">
      <c r="A4446" s="30" t="inlineStr">
        <is>
          <t>ITG</t>
        </is>
      </c>
      <c r="B4446" s="30" t="inlineStr">
        <is>
          <t>Itaguai</t>
        </is>
      </c>
      <c r="C4446" s="30" t="n">
        <v>77685022</v>
      </c>
      <c r="D4446" s="30">
        <f>"76535764033157"</f>
        <v/>
      </c>
      <c r="E4446" s="30" t="inlineStr">
        <is>
          <t>OI SA - EM RECUPERACAO JUDICIAL</t>
        </is>
      </c>
      <c r="F4446" s="30" t="inlineStr">
        <is>
          <t>2021</t>
        </is>
      </c>
      <c r="G4446" s="40" t="n">
        <v>3254508.8</v>
      </c>
    </row>
    <row r="4447" ht="12" customHeight="1">
      <c r="A4447" s="30" t="inlineStr">
        <is>
          <t>ITG</t>
        </is>
      </c>
      <c r="B4447" s="30" t="inlineStr">
        <is>
          <t>Itaguai</t>
        </is>
      </c>
      <c r="C4447" s="30" t="n">
        <v>77685022</v>
      </c>
      <c r="D4447" s="30">
        <f>"76535764033157"</f>
        <v/>
      </c>
      <c r="E4447" s="30" t="inlineStr">
        <is>
          <t>OI SA - EM RECUPERACAO JUDICIAL</t>
        </is>
      </c>
      <c r="F4447" s="30" t="inlineStr">
        <is>
          <t>2022</t>
        </is>
      </c>
      <c r="G4447" s="40" t="n">
        <v>6881072.13</v>
      </c>
    </row>
    <row r="4448" ht="12" customHeight="1">
      <c r="A4448" s="30" t="inlineStr">
        <is>
          <t>ITG</t>
        </is>
      </c>
      <c r="B4448" s="30" t="inlineStr">
        <is>
          <t>Itaguai</t>
        </is>
      </c>
      <c r="C4448" s="30" t="n">
        <v>77685022</v>
      </c>
      <c r="D4448" s="30">
        <f>"76535764033157"</f>
        <v/>
      </c>
      <c r="E4448" s="30" t="inlineStr">
        <is>
          <t>OI SA - EM RECUPERACAO JUDICIAL</t>
        </is>
      </c>
      <c r="F4448" s="30" t="inlineStr">
        <is>
          <t>2023</t>
        </is>
      </c>
      <c r="G4448" s="40" t="n">
        <v>6998183.4</v>
      </c>
    </row>
    <row r="4449" ht="12" customHeight="1">
      <c r="A4449" s="30" t="inlineStr">
        <is>
          <t>ITG</t>
        </is>
      </c>
      <c r="B4449" s="30" t="inlineStr">
        <is>
          <t>Itaguai</t>
        </is>
      </c>
      <c r="C4449" s="30" t="n">
        <v>77689630</v>
      </c>
      <c r="D4449" s="30">
        <f>"02427026002009"</f>
        <v/>
      </c>
      <c r="E4449" s="30" t="inlineStr">
        <is>
          <t>ALIANCA NAVEGACAO E LOGISTICA LTDA</t>
        </is>
      </c>
      <c r="F4449" s="30" t="inlineStr">
        <is>
          <t>2017</t>
        </is>
      </c>
      <c r="G4449" s="40" t="n">
        <v>33662226.25</v>
      </c>
    </row>
    <row r="4450" ht="12" customHeight="1">
      <c r="A4450" s="30" t="inlineStr">
        <is>
          <t>ITG</t>
        </is>
      </c>
      <c r="B4450" s="30" t="inlineStr">
        <is>
          <t>Itaguai</t>
        </is>
      </c>
      <c r="C4450" s="30" t="n">
        <v>77689630</v>
      </c>
      <c r="D4450" s="30">
        <f>"02427026002009"</f>
        <v/>
      </c>
      <c r="E4450" s="30" t="inlineStr">
        <is>
          <t>ALIANCA NAVEGACAO E LOGISTICA LTDA</t>
        </is>
      </c>
      <c r="F4450" s="30" t="inlineStr">
        <is>
          <t>2018</t>
        </is>
      </c>
      <c r="G4450" s="40" t="n">
        <v>126034985.21</v>
      </c>
    </row>
    <row r="4451" ht="12" customHeight="1">
      <c r="A4451" s="30" t="inlineStr">
        <is>
          <t>ITG</t>
        </is>
      </c>
      <c r="B4451" s="30" t="inlineStr">
        <is>
          <t>Itaguai</t>
        </is>
      </c>
      <c r="C4451" s="30" t="n">
        <v>77689630</v>
      </c>
      <c r="D4451" s="30">
        <f>"02427026002009"</f>
        <v/>
      </c>
      <c r="E4451" s="30" t="inlineStr">
        <is>
          <t>ALIANCA NAVEGACAO E LOGISTICA LTDA</t>
        </is>
      </c>
      <c r="F4451" s="30" t="inlineStr">
        <is>
          <t>2019</t>
        </is>
      </c>
      <c r="G4451" s="40" t="n">
        <v>76842822.42</v>
      </c>
    </row>
    <row r="4452" ht="12" customHeight="1">
      <c r="A4452" s="30" t="inlineStr">
        <is>
          <t>ITG</t>
        </is>
      </c>
      <c r="B4452" s="30" t="inlineStr">
        <is>
          <t>Itaguai</t>
        </is>
      </c>
      <c r="C4452" s="30" t="n">
        <v>77689630</v>
      </c>
      <c r="D4452" s="30">
        <f>"02427026002009"</f>
        <v/>
      </c>
      <c r="E4452" s="30" t="inlineStr">
        <is>
          <t>ALIANCA NAVEGACAO E LOGISTICA LTDA</t>
        </is>
      </c>
      <c r="F4452" s="30" t="inlineStr">
        <is>
          <t>2020</t>
        </is>
      </c>
      <c r="G4452" s="40" t="n">
        <v>117844541.15</v>
      </c>
    </row>
    <row r="4453" ht="12" customHeight="1">
      <c r="A4453" s="30" t="inlineStr">
        <is>
          <t>ITG</t>
        </is>
      </c>
      <c r="B4453" s="30" t="inlineStr">
        <is>
          <t>Itaguai</t>
        </is>
      </c>
      <c r="C4453" s="30" t="n">
        <v>77689630</v>
      </c>
      <c r="D4453" s="30">
        <f>"02427026002009"</f>
        <v/>
      </c>
      <c r="E4453" s="30" t="inlineStr">
        <is>
          <t>ALIANCA NAVEGACAO E LOGISTICA LTDA</t>
        </is>
      </c>
      <c r="F4453" s="30" t="inlineStr">
        <is>
          <t>2021</t>
        </is>
      </c>
      <c r="G4453" s="40" t="n">
        <v>114968421.85</v>
      </c>
    </row>
    <row r="4454" ht="12" customHeight="1">
      <c r="A4454" s="30" t="inlineStr">
        <is>
          <t>ITG</t>
        </is>
      </c>
      <c r="B4454" s="30" t="inlineStr">
        <is>
          <t>Itaguai</t>
        </is>
      </c>
      <c r="C4454" s="30" t="n">
        <v>77689630</v>
      </c>
      <c r="D4454" s="30">
        <f>"02427026002009"</f>
        <v/>
      </c>
      <c r="E4454" s="30" t="inlineStr">
        <is>
          <t>ALIANCA NAVEGACAO E LOGISTICA LTDA</t>
        </is>
      </c>
      <c r="F4454" s="30" t="inlineStr">
        <is>
          <t>2022</t>
        </is>
      </c>
      <c r="G4454" s="40" t="n">
        <v>81310362.56</v>
      </c>
    </row>
    <row r="4455" ht="12" customHeight="1">
      <c r="A4455" s="30" t="inlineStr">
        <is>
          <t>ITG</t>
        </is>
      </c>
      <c r="B4455" s="30" t="inlineStr">
        <is>
          <t>Itaguai</t>
        </is>
      </c>
      <c r="C4455" s="30" t="n">
        <v>77689630</v>
      </c>
      <c r="D4455" s="30">
        <f>"02427026002009"</f>
        <v/>
      </c>
      <c r="E4455" s="30" t="inlineStr">
        <is>
          <t>ALIANCA NAVEGACAO E LOGISTICA LTDA</t>
        </is>
      </c>
      <c r="F4455" s="30" t="inlineStr">
        <is>
          <t>2023</t>
        </is>
      </c>
      <c r="G4455" s="40" t="n">
        <v>87153837.06999999</v>
      </c>
    </row>
    <row r="4456" ht="12" customHeight="1">
      <c r="A4456" s="30" t="inlineStr">
        <is>
          <t>ITG</t>
        </is>
      </c>
      <c r="B4456" s="30" t="inlineStr">
        <is>
          <t>Itaguai</t>
        </is>
      </c>
      <c r="C4456" s="30" t="n">
        <v>77693459</v>
      </c>
      <c r="D4456" s="30">
        <f>"67901140000292"</f>
        <v/>
      </c>
      <c r="E4456" s="30" t="inlineStr">
        <is>
          <t>COTRALTI - COOPERATIVA DE TRANSPORTE E LOGISTICA DO ALTO TIETE</t>
        </is>
      </c>
      <c r="F4456" s="30" t="inlineStr">
        <is>
          <t>2017</t>
        </is>
      </c>
      <c r="G4456" s="40" t="n">
        <v>0</v>
      </c>
    </row>
    <row r="4457" ht="12" customHeight="1">
      <c r="A4457" s="30" t="inlineStr">
        <is>
          <t>ITG</t>
        </is>
      </c>
      <c r="B4457" s="30" t="inlineStr">
        <is>
          <t>Itaguai</t>
        </is>
      </c>
      <c r="C4457" s="30" t="n">
        <v>77693459</v>
      </c>
      <c r="D4457" s="30">
        <f>"67901140000292"</f>
        <v/>
      </c>
      <c r="E4457" s="30" t="inlineStr">
        <is>
          <t>COTRALTI - COOPERATIVA DE TRANSPORTE E LOGISTICA DO ALTO TIETE</t>
        </is>
      </c>
      <c r="F4457" s="30" t="inlineStr">
        <is>
          <t>2018</t>
        </is>
      </c>
      <c r="G4457" s="40" t="n">
        <v>170744.25</v>
      </c>
    </row>
    <row r="4458" ht="12" customHeight="1">
      <c r="A4458" s="30" t="inlineStr">
        <is>
          <t>ITG</t>
        </is>
      </c>
      <c r="B4458" s="30" t="inlineStr">
        <is>
          <t>Itaguai</t>
        </is>
      </c>
      <c r="C4458" s="30" t="n">
        <v>77693459</v>
      </c>
      <c r="D4458" s="30">
        <f>"67901140000292"</f>
        <v/>
      </c>
      <c r="E4458" s="30" t="inlineStr">
        <is>
          <t>COTRALTI - COOPERATIVA DE TRANSPORTE E LOGISTICA DO ALTO TIETE</t>
        </is>
      </c>
      <c r="F4458" s="30" t="inlineStr">
        <is>
          <t>2019</t>
        </is>
      </c>
      <c r="G4458" s="40" t="n">
        <v>5999.85</v>
      </c>
    </row>
    <row r="4459" ht="12" customHeight="1">
      <c r="A4459" s="30" t="inlineStr">
        <is>
          <t>ITG</t>
        </is>
      </c>
      <c r="B4459" s="30" t="inlineStr">
        <is>
          <t>Itaguai</t>
        </is>
      </c>
      <c r="C4459" s="30" t="n">
        <v>77693459</v>
      </c>
      <c r="D4459" s="30">
        <f>"67901140000292"</f>
        <v/>
      </c>
      <c r="E4459" s="30" t="inlineStr">
        <is>
          <t>COTRALTI - COOPERATIVA DE TRANSPORTE E LOGISTICA DO ALTO TIETE</t>
        </is>
      </c>
      <c r="F4459" s="30" t="inlineStr">
        <is>
          <t>2020</t>
        </is>
      </c>
      <c r="G4459" s="40" t="n">
        <v>0</v>
      </c>
    </row>
    <row r="4460" ht="12" customHeight="1">
      <c r="A4460" s="30" t="inlineStr">
        <is>
          <t>ITG</t>
        </is>
      </c>
      <c r="B4460" s="30" t="inlineStr">
        <is>
          <t>Itaguai</t>
        </is>
      </c>
      <c r="C4460" s="30" t="n">
        <v>77693459</v>
      </c>
      <c r="D4460" s="30">
        <f>"67901140000292"</f>
        <v/>
      </c>
      <c r="E4460" s="30" t="inlineStr">
        <is>
          <t>COTRALTI - COOPERATIVA DE TRANSPORTE E LOGISTICA DO ALTO TIETE</t>
        </is>
      </c>
      <c r="F4460" s="30" t="inlineStr">
        <is>
          <t>2021</t>
        </is>
      </c>
      <c r="G4460" s="40" t="n">
        <v>0</v>
      </c>
    </row>
    <row r="4461" ht="12" customHeight="1">
      <c r="A4461" s="30" t="inlineStr">
        <is>
          <t>ITG</t>
        </is>
      </c>
      <c r="B4461" s="30" t="inlineStr">
        <is>
          <t>Itaguai</t>
        </is>
      </c>
      <c r="C4461" s="30" t="n">
        <v>77693459</v>
      </c>
      <c r="D4461" s="30">
        <f>"67901140000292"</f>
        <v/>
      </c>
      <c r="E4461" s="30" t="inlineStr">
        <is>
          <t>COTRALTI - COOPERATIVA DE TRANSPORTE E LOGISTICA DO ALTO TIETE</t>
        </is>
      </c>
      <c r="F4461" s="30" t="inlineStr">
        <is>
          <t>2022</t>
        </is>
      </c>
      <c r="G4461" s="40" t="n">
        <v>176.04</v>
      </c>
    </row>
    <row r="4462" ht="12" customHeight="1">
      <c r="A4462" s="30" t="inlineStr">
        <is>
          <t>ITG</t>
        </is>
      </c>
      <c r="B4462" s="30" t="inlineStr">
        <is>
          <t>Itaguai</t>
        </is>
      </c>
      <c r="C4462" s="30" t="n">
        <v>77693459</v>
      </c>
      <c r="D4462" s="30">
        <f>"67901140000292"</f>
        <v/>
      </c>
      <c r="E4462" s="30" t="inlineStr">
        <is>
          <t>COTRALTI - COOPERATIVA DE TRANSPORTE E LOGISTICA DO ALTO TIETE</t>
        </is>
      </c>
      <c r="F4462" s="30" t="inlineStr">
        <is>
          <t>2023</t>
        </is>
      </c>
      <c r="G4462" s="40" t="n">
        <v>0</v>
      </c>
    </row>
    <row r="4463" ht="12" customHeight="1">
      <c r="A4463" s="30" t="inlineStr">
        <is>
          <t>ITG</t>
        </is>
      </c>
      <c r="B4463" s="30" t="inlineStr">
        <is>
          <t>Itaguai</t>
        </is>
      </c>
      <c r="C4463" s="30" t="n">
        <v>77694439</v>
      </c>
      <c r="D4463" s="30">
        <f>"06130159000107"</f>
        <v/>
      </c>
      <c r="E4463" s="30" t="inlineStr">
        <is>
          <t>GRANVISA MARMORARIA E MATERIAL DE CONSTRUCAO LTDA EPP</t>
        </is>
      </c>
      <c r="F4463" s="30" t="inlineStr">
        <is>
          <t>2017</t>
        </is>
      </c>
      <c r="G4463" s="40" t="n">
        <v>0</v>
      </c>
    </row>
    <row r="4464" ht="12" customHeight="1">
      <c r="A4464" s="30" t="inlineStr">
        <is>
          <t>ITG</t>
        </is>
      </c>
      <c r="B4464" s="30" t="inlineStr">
        <is>
          <t>Itaguai</t>
        </is>
      </c>
      <c r="C4464" s="30" t="n">
        <v>77694439</v>
      </c>
      <c r="D4464" s="30">
        <f>"06130159000107"</f>
        <v/>
      </c>
      <c r="E4464" s="30" t="inlineStr">
        <is>
          <t>GRANVISA MARMORARIA E MATERIAL DE CONSTRUCAO LTDA EPP</t>
        </is>
      </c>
      <c r="F4464" s="30" t="inlineStr">
        <is>
          <t>2018</t>
        </is>
      </c>
      <c r="G4464" s="40" t="n">
        <v>0</v>
      </c>
    </row>
    <row r="4465" ht="12" customHeight="1">
      <c r="A4465" s="30" t="inlineStr">
        <is>
          <t>ITG</t>
        </is>
      </c>
      <c r="B4465" s="30" t="inlineStr">
        <is>
          <t>Itaguai</t>
        </is>
      </c>
      <c r="C4465" s="30" t="n">
        <v>77694439</v>
      </c>
      <c r="D4465" s="30">
        <f>"06130159000107"</f>
        <v/>
      </c>
      <c r="E4465" s="30" t="inlineStr">
        <is>
          <t>GRANVISA MARMORARIA E MATERIAL DE CONSTRUCAO LTDA EPP</t>
        </is>
      </c>
      <c r="F4465" s="30" t="inlineStr">
        <is>
          <t>2019</t>
        </is>
      </c>
      <c r="G4465" s="40" t="n">
        <v>0</v>
      </c>
    </row>
    <row r="4466" ht="12" customHeight="1">
      <c r="A4466" s="30" t="inlineStr">
        <is>
          <t>ITG</t>
        </is>
      </c>
      <c r="B4466" s="30" t="inlineStr">
        <is>
          <t>Itaguai</t>
        </is>
      </c>
      <c r="C4466" s="30" t="n">
        <v>77694439</v>
      </c>
      <c r="D4466" s="30">
        <f>"06130159000107"</f>
        <v/>
      </c>
      <c r="E4466" s="30" t="inlineStr">
        <is>
          <t>GRANVISA MARMORARIA E MATERIAL DE CONSTRUCAO LTDA EPP</t>
        </is>
      </c>
      <c r="F4466" s="30" t="inlineStr">
        <is>
          <t>2020</t>
        </is>
      </c>
      <c r="G4466" s="40" t="n">
        <v>0</v>
      </c>
    </row>
    <row r="4467" ht="12" customHeight="1">
      <c r="A4467" s="30" t="inlineStr">
        <is>
          <t>ITG</t>
        </is>
      </c>
      <c r="B4467" s="30" t="inlineStr">
        <is>
          <t>Itaguai</t>
        </is>
      </c>
      <c r="C4467" s="30" t="n">
        <v>77699740</v>
      </c>
      <c r="D4467" s="30">
        <f>"32171472000101"</f>
        <v/>
      </c>
      <c r="E4467" s="30" t="inlineStr">
        <is>
          <t>PERENYI SERVICOS TECNICOS DE LIMPEZA INDUSTRIAL LTDA</t>
        </is>
      </c>
      <c r="F4467" s="30" t="inlineStr">
        <is>
          <t>2017</t>
        </is>
      </c>
      <c r="G4467" s="40" t="n">
        <v>16974.51</v>
      </c>
    </row>
    <row r="4468" ht="12" customHeight="1">
      <c r="A4468" s="30" t="inlineStr">
        <is>
          <t>ITG</t>
        </is>
      </c>
      <c r="B4468" s="30" t="inlineStr">
        <is>
          <t>Itaguai</t>
        </is>
      </c>
      <c r="C4468" s="30" t="n">
        <v>77699740</v>
      </c>
      <c r="D4468" s="30">
        <f>"32171472000101"</f>
        <v/>
      </c>
      <c r="E4468" s="30" t="inlineStr">
        <is>
          <t>PERENYI SERVICOS TECNICOS DE LIMPEZA INDUSTRIAL LTDA</t>
        </is>
      </c>
      <c r="F4468" s="30" t="inlineStr">
        <is>
          <t>2018</t>
        </is>
      </c>
      <c r="G4468" s="40" t="n">
        <v>11048.14</v>
      </c>
    </row>
    <row r="4469" ht="12" customHeight="1">
      <c r="A4469" s="30" t="inlineStr">
        <is>
          <t>ITG</t>
        </is>
      </c>
      <c r="B4469" s="30" t="inlineStr">
        <is>
          <t>Itaguai</t>
        </is>
      </c>
      <c r="C4469" s="30" t="n">
        <v>77699740</v>
      </c>
      <c r="D4469" s="30">
        <f>"32171472000101"</f>
        <v/>
      </c>
      <c r="E4469" s="30" t="inlineStr">
        <is>
          <t>PERENYI SERVICOS TECNICOS DE LIMPEZA INDUSTRIAL LTDA</t>
        </is>
      </c>
      <c r="F4469" s="30" t="inlineStr">
        <is>
          <t>2019</t>
        </is>
      </c>
      <c r="G4469" s="40" t="n">
        <v>11180.03</v>
      </c>
    </row>
    <row r="4470" ht="12" customHeight="1">
      <c r="A4470" s="30" t="inlineStr">
        <is>
          <t>ITG</t>
        </is>
      </c>
      <c r="B4470" s="30" t="inlineStr">
        <is>
          <t>Itaguai</t>
        </is>
      </c>
      <c r="C4470" s="30" t="n">
        <v>77699740</v>
      </c>
      <c r="D4470" s="30">
        <f>"32171472000101"</f>
        <v/>
      </c>
      <c r="E4470" s="30" t="inlineStr">
        <is>
          <t>PERENYI SERVICOS TECNICOS DE LIMPEZA INDUSTRIAL LTDA</t>
        </is>
      </c>
      <c r="F4470" s="30" t="inlineStr">
        <is>
          <t>2020</t>
        </is>
      </c>
      <c r="G4470" s="40" t="n">
        <v>0</v>
      </c>
    </row>
    <row r="4471" ht="12" customHeight="1">
      <c r="A4471" s="30" t="inlineStr">
        <is>
          <t>ITG</t>
        </is>
      </c>
      <c r="B4471" s="30" t="inlineStr">
        <is>
          <t>Itaguai</t>
        </is>
      </c>
      <c r="C4471" s="30" t="n">
        <v>77699740</v>
      </c>
      <c r="D4471" s="30">
        <f>"32171472000101"</f>
        <v/>
      </c>
      <c r="E4471" s="30" t="inlineStr">
        <is>
          <t>PERENYI SERVICOS TECNICOS DE LIMPEZA INDUSTRIAL LTDA</t>
        </is>
      </c>
      <c r="F4471" s="30" t="inlineStr">
        <is>
          <t>2021</t>
        </is>
      </c>
      <c r="G4471" s="40" t="n">
        <v>0</v>
      </c>
    </row>
    <row r="4472" ht="12" customHeight="1">
      <c r="A4472" s="30" t="inlineStr">
        <is>
          <t>ITG</t>
        </is>
      </c>
      <c r="B4472" s="30" t="inlineStr">
        <is>
          <t>Itaguai</t>
        </is>
      </c>
      <c r="C4472" s="30" t="n">
        <v>77700501</v>
      </c>
      <c r="D4472" s="30">
        <f>"71208516017140"</f>
        <v/>
      </c>
      <c r="E4472" s="30" t="inlineStr">
        <is>
          <t>ALGAR TELECOM S A</t>
        </is>
      </c>
      <c r="F4472" s="30" t="inlineStr">
        <is>
          <t>2017</t>
        </is>
      </c>
      <c r="G4472" s="40" t="n">
        <v>80648.53</v>
      </c>
    </row>
    <row r="4473" ht="12" customHeight="1">
      <c r="A4473" s="30" t="inlineStr">
        <is>
          <t>ITG</t>
        </is>
      </c>
      <c r="B4473" s="30" t="inlineStr">
        <is>
          <t>Itaguai</t>
        </is>
      </c>
      <c r="C4473" s="30" t="n">
        <v>77700501</v>
      </c>
      <c r="D4473" s="30">
        <f>"71208516017140"</f>
        <v/>
      </c>
      <c r="E4473" s="30" t="inlineStr">
        <is>
          <t>ALGAR TELECOM S A</t>
        </is>
      </c>
      <c r="F4473" s="30" t="inlineStr">
        <is>
          <t>2018</t>
        </is>
      </c>
      <c r="G4473" s="40" t="n">
        <v>68481.21000000001</v>
      </c>
    </row>
    <row r="4474" ht="12" customHeight="1">
      <c r="A4474" s="30" t="inlineStr">
        <is>
          <t>ITG</t>
        </is>
      </c>
      <c r="B4474" s="30" t="inlineStr">
        <is>
          <t>Itaguai</t>
        </is>
      </c>
      <c r="C4474" s="30" t="n">
        <v>77700501</v>
      </c>
      <c r="D4474" s="30">
        <f>"71208516017140"</f>
        <v/>
      </c>
      <c r="E4474" s="30" t="inlineStr">
        <is>
          <t>ALGAR TELECOM S A</t>
        </is>
      </c>
      <c r="F4474" s="30" t="inlineStr">
        <is>
          <t>2019</t>
        </is>
      </c>
      <c r="G4474" s="40" t="n">
        <v>79421.22</v>
      </c>
    </row>
    <row r="4475" ht="12" customHeight="1">
      <c r="A4475" s="30" t="inlineStr">
        <is>
          <t>ITG</t>
        </is>
      </c>
      <c r="B4475" s="30" t="inlineStr">
        <is>
          <t>Itaguai</t>
        </is>
      </c>
      <c r="C4475" s="30" t="n">
        <v>77700501</v>
      </c>
      <c r="D4475" s="30">
        <f>"71208516017140"</f>
        <v/>
      </c>
      <c r="E4475" s="30" t="inlineStr">
        <is>
          <t>ALGAR TELECOM S A</t>
        </is>
      </c>
      <c r="F4475" s="30" t="inlineStr">
        <is>
          <t>2020</t>
        </is>
      </c>
      <c r="G4475" s="40" t="n">
        <v>96967.64</v>
      </c>
    </row>
    <row r="4476" ht="12" customHeight="1">
      <c r="A4476" s="30" t="inlineStr">
        <is>
          <t>ITG</t>
        </is>
      </c>
      <c r="B4476" s="30" t="inlineStr">
        <is>
          <t>Itaguai</t>
        </is>
      </c>
      <c r="C4476" s="30" t="n">
        <v>77700501</v>
      </c>
      <c r="D4476" s="30">
        <f>"71208516017140"</f>
        <v/>
      </c>
      <c r="E4476" s="30" t="inlineStr">
        <is>
          <t>ALGAR TELECOM S A</t>
        </is>
      </c>
      <c r="F4476" s="30" t="inlineStr">
        <is>
          <t>2021</t>
        </is>
      </c>
      <c r="G4476" s="40" t="n">
        <v>79154.85000000001</v>
      </c>
    </row>
    <row r="4477" ht="12" customHeight="1">
      <c r="A4477" s="30" t="inlineStr">
        <is>
          <t>ITG</t>
        </is>
      </c>
      <c r="B4477" s="30" t="inlineStr">
        <is>
          <t>Itaguai</t>
        </is>
      </c>
      <c r="C4477" s="30" t="n">
        <v>77700501</v>
      </c>
      <c r="D4477" s="30">
        <f>"71208516017140"</f>
        <v/>
      </c>
      <c r="E4477" s="30" t="inlineStr">
        <is>
          <t>ALGAR TELECOM S A</t>
        </is>
      </c>
      <c r="F4477" s="30" t="inlineStr">
        <is>
          <t>2022</t>
        </is>
      </c>
      <c r="G4477" s="40" t="n">
        <v>181107.75</v>
      </c>
    </row>
    <row r="4478" ht="12" customHeight="1">
      <c r="A4478" s="30" t="inlineStr">
        <is>
          <t>ITG</t>
        </is>
      </c>
      <c r="B4478" s="30" t="inlineStr">
        <is>
          <t>Itaguai</t>
        </is>
      </c>
      <c r="C4478" s="30" t="n">
        <v>77700501</v>
      </c>
      <c r="D4478" s="30">
        <f>"71208516017140"</f>
        <v/>
      </c>
      <c r="E4478" s="30" t="inlineStr">
        <is>
          <t>ALGAR TELECOM S A</t>
        </is>
      </c>
      <c r="F4478" s="30" t="inlineStr">
        <is>
          <t>2023</t>
        </is>
      </c>
      <c r="G4478" s="40" t="n">
        <v>195485.24</v>
      </c>
    </row>
    <row r="4479" ht="12" customHeight="1">
      <c r="A4479" s="30" t="inlineStr">
        <is>
          <t>ITG</t>
        </is>
      </c>
      <c r="B4479" s="30" t="inlineStr">
        <is>
          <t>Itaguai</t>
        </is>
      </c>
      <c r="C4479" s="30" t="n">
        <v>77700714</v>
      </c>
      <c r="D4479" s="30">
        <f>"04846334000301"</f>
        <v/>
      </c>
      <c r="E4479" s="30" t="inlineStr">
        <is>
          <t>RAPIDO FERNAO DIAS BH LTDA</t>
        </is>
      </c>
      <c r="F4479" s="30" t="inlineStr">
        <is>
          <t>2017</t>
        </is>
      </c>
      <c r="G4479" s="40" t="n">
        <v>0</v>
      </c>
    </row>
    <row r="4480" ht="12" customHeight="1">
      <c r="A4480" s="30" t="inlineStr">
        <is>
          <t>ITG</t>
        </is>
      </c>
      <c r="B4480" s="30" t="inlineStr">
        <is>
          <t>Itaguai</t>
        </is>
      </c>
      <c r="C4480" s="30" t="n">
        <v>77700714</v>
      </c>
      <c r="D4480" s="30">
        <f>"04846334000301"</f>
        <v/>
      </c>
      <c r="E4480" s="30" t="inlineStr">
        <is>
          <t>RAPIDO FERNAO DIAS BH LTDA</t>
        </is>
      </c>
      <c r="F4480" s="30" t="inlineStr">
        <is>
          <t>2018</t>
        </is>
      </c>
      <c r="G4480" s="40" t="n">
        <v>354849.94</v>
      </c>
    </row>
    <row r="4481" ht="12" customHeight="1">
      <c r="A4481" s="30" t="inlineStr">
        <is>
          <t>ITG</t>
        </is>
      </c>
      <c r="B4481" s="30" t="inlineStr">
        <is>
          <t>Itaguai</t>
        </is>
      </c>
      <c r="C4481" s="30" t="n">
        <v>77700714</v>
      </c>
      <c r="D4481" s="30">
        <f>"04846334000301"</f>
        <v/>
      </c>
      <c r="E4481" s="30" t="inlineStr">
        <is>
          <t>RAPIDO FERNAO DIAS BH LTDA</t>
        </is>
      </c>
      <c r="F4481" s="30" t="inlineStr">
        <is>
          <t>2019</t>
        </is>
      </c>
      <c r="G4481" s="40" t="n">
        <v>0</v>
      </c>
    </row>
    <row r="4482" ht="12" customHeight="1">
      <c r="A4482" s="30" t="inlineStr">
        <is>
          <t>ITG</t>
        </is>
      </c>
      <c r="B4482" s="30" t="inlineStr">
        <is>
          <t>Itaguai</t>
        </is>
      </c>
      <c r="C4482" s="30" t="n">
        <v>77700714</v>
      </c>
      <c r="D4482" s="30">
        <f>"04846334000301"</f>
        <v/>
      </c>
      <c r="E4482" s="30" t="inlineStr">
        <is>
          <t>RAPIDO FERNAO DIAS BH LTDA</t>
        </is>
      </c>
      <c r="F4482" s="30" t="inlineStr">
        <is>
          <t>2020</t>
        </is>
      </c>
      <c r="G4482" s="40" t="n">
        <v>0</v>
      </c>
    </row>
    <row r="4483" ht="12" customHeight="1">
      <c r="A4483" s="30" t="inlineStr">
        <is>
          <t>ITG</t>
        </is>
      </c>
      <c r="B4483" s="30" t="inlineStr">
        <is>
          <t>Itaguai</t>
        </is>
      </c>
      <c r="C4483" s="30" t="n">
        <v>77700714</v>
      </c>
      <c r="D4483" s="30">
        <f>"04846334000301"</f>
        <v/>
      </c>
      <c r="E4483" s="30" t="inlineStr">
        <is>
          <t>RAPIDO FERNAO DIAS BH LTDA</t>
        </is>
      </c>
      <c r="F4483" s="30" t="inlineStr">
        <is>
          <t>2021</t>
        </is>
      </c>
      <c r="G4483" s="40" t="n">
        <v>6000</v>
      </c>
    </row>
    <row r="4484" ht="12" customHeight="1">
      <c r="A4484" s="30" t="inlineStr">
        <is>
          <t>ITG</t>
        </is>
      </c>
      <c r="B4484" s="30" t="inlineStr">
        <is>
          <t>Itaguai</t>
        </is>
      </c>
      <c r="C4484" s="30" t="n">
        <v>77700714</v>
      </c>
      <c r="D4484" s="30">
        <f>"04846334000301"</f>
        <v/>
      </c>
      <c r="E4484" s="30" t="inlineStr">
        <is>
          <t>RAPIDO FERNAO DIAS BH LTDA</t>
        </is>
      </c>
      <c r="F4484" s="30" t="inlineStr">
        <is>
          <t>2022</t>
        </is>
      </c>
      <c r="G4484" s="40" t="n">
        <v>0</v>
      </c>
    </row>
    <row r="4485" ht="12" customHeight="1">
      <c r="A4485" s="30" t="inlineStr">
        <is>
          <t>ITG</t>
        </is>
      </c>
      <c r="B4485" s="30" t="inlineStr">
        <is>
          <t>Itaguai</t>
        </is>
      </c>
      <c r="C4485" s="30" t="n">
        <v>77700714</v>
      </c>
      <c r="D4485" s="30">
        <f>"04846334000301"</f>
        <v/>
      </c>
      <c r="E4485" s="30" t="inlineStr">
        <is>
          <t>RAPIDO FERNAO DIAS BH LTDA</t>
        </is>
      </c>
      <c r="F4485" s="30" t="inlineStr">
        <is>
          <t>2023</t>
        </is>
      </c>
      <c r="G4485" s="40" t="n">
        <v>0</v>
      </c>
    </row>
    <row r="4486" ht="12" customHeight="1">
      <c r="A4486" s="30" t="inlineStr">
        <is>
          <t>ITG</t>
        </is>
      </c>
      <c r="B4486" s="30" t="inlineStr">
        <is>
          <t>Itaguai</t>
        </is>
      </c>
      <c r="C4486" s="30" t="n">
        <v>77716866</v>
      </c>
      <c r="D4486" s="30">
        <f>"06204928000174"</f>
        <v/>
      </c>
      <c r="E4486" s="30" t="inlineStr">
        <is>
          <t>AMOR AOS FIOS DISTRIBUIDORA DE COSMETICOS LTDA ME</t>
        </is>
      </c>
      <c r="F4486" s="30" t="inlineStr">
        <is>
          <t>2017</t>
        </is>
      </c>
      <c r="G4486" s="40" t="n">
        <v>0</v>
      </c>
    </row>
    <row r="4487" ht="12" customHeight="1">
      <c r="A4487" s="30" t="inlineStr">
        <is>
          <t>ITG</t>
        </is>
      </c>
      <c r="B4487" s="30" t="inlineStr">
        <is>
          <t>Itaguai</t>
        </is>
      </c>
      <c r="C4487" s="30" t="n">
        <v>77716866</v>
      </c>
      <c r="D4487" s="30">
        <f>"06204928000174"</f>
        <v/>
      </c>
      <c r="E4487" s="30" t="inlineStr">
        <is>
          <t>AMOR AOS FIOS DISTRIBUIDORA DE COSMETICOS LTDA ME</t>
        </is>
      </c>
      <c r="F4487" s="30" t="inlineStr">
        <is>
          <t>2018</t>
        </is>
      </c>
      <c r="G4487" s="40" t="n">
        <v>0</v>
      </c>
    </row>
    <row r="4488" ht="12" customHeight="1">
      <c r="A4488" s="30" t="inlineStr">
        <is>
          <t>ITG</t>
        </is>
      </c>
      <c r="B4488" s="30" t="inlineStr">
        <is>
          <t>Itaguai</t>
        </is>
      </c>
      <c r="C4488" s="30" t="n">
        <v>77716866</v>
      </c>
      <c r="D4488" s="30">
        <f>"06204928000174"</f>
        <v/>
      </c>
      <c r="E4488" s="30" t="inlineStr">
        <is>
          <t>AMOR AOS FIOS DISTRIBUIDORA DE COSMETICOS LTDA ME</t>
        </is>
      </c>
      <c r="F4488" s="30" t="inlineStr">
        <is>
          <t>2019</t>
        </is>
      </c>
      <c r="G4488" s="40" t="n">
        <v>0</v>
      </c>
    </row>
    <row r="4489" ht="12" customHeight="1">
      <c r="A4489" s="30" t="inlineStr">
        <is>
          <t>ITG</t>
        </is>
      </c>
      <c r="B4489" s="30" t="inlineStr">
        <is>
          <t>Itaguai</t>
        </is>
      </c>
      <c r="C4489" s="30" t="n">
        <v>77716866</v>
      </c>
      <c r="D4489" s="30">
        <f>"06204928000174"</f>
        <v/>
      </c>
      <c r="E4489" s="30" t="inlineStr">
        <is>
          <t>AMOR AOS FIOS DISTRIBUIDORA DE COSMETICOS LTDA ME</t>
        </is>
      </c>
      <c r="F4489" s="30" t="inlineStr">
        <is>
          <t>2020</t>
        </is>
      </c>
      <c r="G4489" s="40" t="n">
        <v>0</v>
      </c>
    </row>
    <row r="4490" ht="12" customHeight="1">
      <c r="A4490" s="30" t="inlineStr">
        <is>
          <t>ITG</t>
        </is>
      </c>
      <c r="B4490" s="30" t="inlineStr">
        <is>
          <t>Itaguai</t>
        </is>
      </c>
      <c r="C4490" s="30" t="n">
        <v>77717749</v>
      </c>
      <c r="D4490" s="30">
        <f>"06073075000189"</f>
        <v/>
      </c>
      <c r="E4490" s="30" t="inlineStr">
        <is>
          <t>TRANSPORTADORA RODO CLAM EIRELI - EPP</t>
        </is>
      </c>
      <c r="F4490" s="30" t="inlineStr">
        <is>
          <t>2017</t>
        </is>
      </c>
      <c r="G4490" s="40" t="n">
        <v>0</v>
      </c>
    </row>
    <row r="4491" ht="12" customHeight="1">
      <c r="A4491" s="30" t="inlineStr">
        <is>
          <t>ITG</t>
        </is>
      </c>
      <c r="B4491" s="30" t="inlineStr">
        <is>
          <t>Itaguai</t>
        </is>
      </c>
      <c r="C4491" s="30" t="n">
        <v>77717749</v>
      </c>
      <c r="D4491" s="30">
        <f>"06073075000189"</f>
        <v/>
      </c>
      <c r="E4491" s="30" t="inlineStr">
        <is>
          <t>TRANSPORTADORA RODO CLAM EIRELI - EPP</t>
        </is>
      </c>
      <c r="F4491" s="30" t="inlineStr">
        <is>
          <t>2018</t>
        </is>
      </c>
      <c r="G4491" s="40" t="n">
        <v>77.70999999999999</v>
      </c>
    </row>
    <row r="4492" ht="12" customHeight="1">
      <c r="A4492" s="30" t="inlineStr">
        <is>
          <t>ITG</t>
        </is>
      </c>
      <c r="B4492" s="30" t="inlineStr">
        <is>
          <t>Itaguai</t>
        </is>
      </c>
      <c r="C4492" s="30" t="n">
        <v>77717749</v>
      </c>
      <c r="D4492" s="30">
        <f>"06073075000189"</f>
        <v/>
      </c>
      <c r="E4492" s="30" t="inlineStr">
        <is>
          <t>TRANSPORTADORA RODO CLAM EIRELI - EPP</t>
        </is>
      </c>
      <c r="F4492" s="30" t="inlineStr">
        <is>
          <t>2019</t>
        </is>
      </c>
      <c r="G4492" s="40" t="n">
        <v>0</v>
      </c>
    </row>
    <row r="4493" ht="12" customHeight="1">
      <c r="A4493" s="30" t="inlineStr">
        <is>
          <t>ITG</t>
        </is>
      </c>
      <c r="B4493" s="30" t="inlineStr">
        <is>
          <t>Itaguai</t>
        </is>
      </c>
      <c r="C4493" s="30" t="n">
        <v>77717749</v>
      </c>
      <c r="D4493" s="30">
        <f>"06073075000189"</f>
        <v/>
      </c>
      <c r="E4493" s="30" t="inlineStr">
        <is>
          <t>TRANSPORTADORA RODO CLAM EIRELI - EPP</t>
        </is>
      </c>
      <c r="F4493" s="30" t="inlineStr">
        <is>
          <t>2020</t>
        </is>
      </c>
      <c r="G4493" s="40" t="n">
        <v>0</v>
      </c>
    </row>
    <row r="4494" ht="12" customHeight="1">
      <c r="A4494" s="30" t="inlineStr">
        <is>
          <t>ITG</t>
        </is>
      </c>
      <c r="B4494" s="30" t="inlineStr">
        <is>
          <t>Itaguai</t>
        </is>
      </c>
      <c r="C4494" s="30" t="n">
        <v>77717749</v>
      </c>
      <c r="D4494" s="30">
        <f>"06073075000189"</f>
        <v/>
      </c>
      <c r="E4494" s="30" t="inlineStr">
        <is>
          <t>TRANSPORTADORA RODO CLAM EIRELI - EPP</t>
        </is>
      </c>
      <c r="F4494" s="30" t="inlineStr">
        <is>
          <t>2021</t>
        </is>
      </c>
      <c r="G4494" s="40" t="n">
        <v>0</v>
      </c>
    </row>
    <row r="4495" ht="12" customHeight="1">
      <c r="A4495" s="30" t="inlineStr">
        <is>
          <t>ITG</t>
        </is>
      </c>
      <c r="B4495" s="30" t="inlineStr">
        <is>
          <t>Itaguai</t>
        </is>
      </c>
      <c r="C4495" s="30" t="n">
        <v>77717749</v>
      </c>
      <c r="D4495" s="30">
        <f>"06073075000189"</f>
        <v/>
      </c>
      <c r="E4495" s="30" t="inlineStr">
        <is>
          <t>TRANSPORTADORA RODO CLAM EIRELI - EPP</t>
        </is>
      </c>
      <c r="F4495" s="30" t="inlineStr">
        <is>
          <t>2022</t>
        </is>
      </c>
      <c r="G4495" s="40" t="n">
        <v>56.2</v>
      </c>
    </row>
    <row r="4496" ht="12" customHeight="1">
      <c r="A4496" s="30" t="inlineStr">
        <is>
          <t>ITG</t>
        </is>
      </c>
      <c r="B4496" s="30" t="inlineStr">
        <is>
          <t>Itaguai</t>
        </is>
      </c>
      <c r="C4496" s="30" t="n">
        <v>77717749</v>
      </c>
      <c r="D4496" s="30">
        <f>"06073075000189"</f>
        <v/>
      </c>
      <c r="E4496" s="30" t="inlineStr">
        <is>
          <t>TRANSPORTADORA RODO CLAM EIRELI - EPP</t>
        </is>
      </c>
      <c r="F4496" s="30" t="inlineStr">
        <is>
          <t>2023</t>
        </is>
      </c>
      <c r="G4496" s="40" t="n">
        <v>166.52</v>
      </c>
    </row>
    <row r="4497" ht="12" customHeight="1">
      <c r="A4497" s="30" t="inlineStr">
        <is>
          <t>ITG</t>
        </is>
      </c>
      <c r="B4497" s="30" t="inlineStr">
        <is>
          <t>Itaguai</t>
        </is>
      </c>
      <c r="C4497" s="30" t="n">
        <v>77719385</v>
      </c>
      <c r="D4497" s="30">
        <f>"06204921000152"</f>
        <v/>
      </c>
      <c r="E4497" s="30" t="inlineStr">
        <is>
          <t>SHEKINA PESCADOS LTDA</t>
        </is>
      </c>
      <c r="F4497" s="30" t="inlineStr">
        <is>
          <t>2017</t>
        </is>
      </c>
      <c r="G4497" s="40" t="n">
        <v>0</v>
      </c>
    </row>
    <row r="4498" ht="12" customHeight="1">
      <c r="A4498" s="30" t="inlineStr">
        <is>
          <t>ITG</t>
        </is>
      </c>
      <c r="B4498" s="30" t="inlineStr">
        <is>
          <t>Itaguai</t>
        </is>
      </c>
      <c r="C4498" s="30" t="n">
        <v>77719385</v>
      </c>
      <c r="D4498" s="30">
        <f>"06204921000152"</f>
        <v/>
      </c>
      <c r="E4498" s="30" t="inlineStr">
        <is>
          <t>SHEKINA PESCADOS LTDA</t>
        </is>
      </c>
      <c r="F4498" s="30" t="inlineStr">
        <is>
          <t>2018</t>
        </is>
      </c>
      <c r="G4498" s="40" t="n">
        <v>0</v>
      </c>
    </row>
    <row r="4499" ht="12" customHeight="1">
      <c r="A4499" s="30" t="inlineStr">
        <is>
          <t>ITG</t>
        </is>
      </c>
      <c r="B4499" s="30" t="inlineStr">
        <is>
          <t>Itaguai</t>
        </is>
      </c>
      <c r="C4499" s="30" t="n">
        <v>77719385</v>
      </c>
      <c r="D4499" s="30">
        <f>"06204921000152"</f>
        <v/>
      </c>
      <c r="E4499" s="30" t="inlineStr">
        <is>
          <t>SHEKINA PESCADOS LTDA</t>
        </is>
      </c>
      <c r="F4499" s="30" t="inlineStr">
        <is>
          <t>2019</t>
        </is>
      </c>
      <c r="G4499" s="40" t="n">
        <v>0</v>
      </c>
    </row>
    <row r="4500" ht="12" customHeight="1">
      <c r="A4500" s="30" t="inlineStr">
        <is>
          <t>ITG</t>
        </is>
      </c>
      <c r="B4500" s="30" t="inlineStr">
        <is>
          <t>Itaguai</t>
        </is>
      </c>
      <c r="C4500" s="30" t="n">
        <v>77719385</v>
      </c>
      <c r="D4500" s="30">
        <f>"06204921000152"</f>
        <v/>
      </c>
      <c r="E4500" s="30" t="inlineStr">
        <is>
          <t>SHEKINA PESCADOS LTDA</t>
        </is>
      </c>
      <c r="F4500" s="30" t="inlineStr">
        <is>
          <t>2020</t>
        </is>
      </c>
      <c r="G4500" s="40" t="n">
        <v>0</v>
      </c>
    </row>
    <row r="4501" ht="12" customHeight="1">
      <c r="A4501" s="30" t="inlineStr">
        <is>
          <t>ITG</t>
        </is>
      </c>
      <c r="B4501" s="30" t="inlineStr">
        <is>
          <t>Itaguai</t>
        </is>
      </c>
      <c r="C4501" s="30" t="n">
        <v>77719385</v>
      </c>
      <c r="D4501" s="30">
        <f>"06204921000152"</f>
        <v/>
      </c>
      <c r="E4501" s="30" t="inlineStr">
        <is>
          <t>SHEKINA PESCADOS LTDA</t>
        </is>
      </c>
      <c r="F4501" s="30" t="inlineStr">
        <is>
          <t>2021</t>
        </is>
      </c>
      <c r="G4501" s="40" t="n">
        <v>0</v>
      </c>
    </row>
    <row r="4502" ht="12" customHeight="1">
      <c r="A4502" s="30" t="inlineStr">
        <is>
          <t>ITG</t>
        </is>
      </c>
      <c r="B4502" s="30" t="inlineStr">
        <is>
          <t>Itaguai</t>
        </is>
      </c>
      <c r="C4502" s="30" t="n">
        <v>77730729</v>
      </c>
      <c r="D4502" s="30">
        <f>"48740351000408"</f>
        <v/>
      </c>
      <c r="E4502" s="30" t="inlineStr">
        <is>
          <t>BRASPRESS TRANSPORTES URGENTES LTDA</t>
        </is>
      </c>
      <c r="F4502" s="30" t="inlineStr">
        <is>
          <t>2017</t>
        </is>
      </c>
      <c r="G4502" s="40" t="n">
        <v>37848.34</v>
      </c>
    </row>
    <row r="4503" ht="12" customHeight="1">
      <c r="A4503" s="30" t="inlineStr">
        <is>
          <t>ITG</t>
        </is>
      </c>
      <c r="B4503" s="30" t="inlineStr">
        <is>
          <t>Itaguai</t>
        </is>
      </c>
      <c r="C4503" s="30" t="n">
        <v>77730729</v>
      </c>
      <c r="D4503" s="30">
        <f>"48740351000408"</f>
        <v/>
      </c>
      <c r="E4503" s="30" t="inlineStr">
        <is>
          <t>BRASPRESS TRANSPORTES URGENTES LTDA</t>
        </is>
      </c>
      <c r="F4503" s="30" t="inlineStr">
        <is>
          <t>2018</t>
        </is>
      </c>
      <c r="G4503" s="40" t="n">
        <v>22221.29</v>
      </c>
    </row>
    <row r="4504" ht="12" customHeight="1">
      <c r="A4504" s="30" t="inlineStr">
        <is>
          <t>ITG</t>
        </is>
      </c>
      <c r="B4504" s="30" t="inlineStr">
        <is>
          <t>Itaguai</t>
        </is>
      </c>
      <c r="C4504" s="30" t="n">
        <v>77730729</v>
      </c>
      <c r="D4504" s="30">
        <f>"48740351000408"</f>
        <v/>
      </c>
      <c r="E4504" s="30" t="inlineStr">
        <is>
          <t>BRASPRESS TRANSPORTES URGENTES LTDA</t>
        </is>
      </c>
      <c r="F4504" s="30" t="inlineStr">
        <is>
          <t>2019</t>
        </is>
      </c>
      <c r="G4504" s="40" t="n">
        <v>1966.71</v>
      </c>
    </row>
    <row r="4505" ht="12" customHeight="1">
      <c r="A4505" s="30" t="inlineStr">
        <is>
          <t>ITG</t>
        </is>
      </c>
      <c r="B4505" s="30" t="inlineStr">
        <is>
          <t>Itaguai</t>
        </is>
      </c>
      <c r="C4505" s="30" t="n">
        <v>77730729</v>
      </c>
      <c r="D4505" s="30">
        <f>"48740351000408"</f>
        <v/>
      </c>
      <c r="E4505" s="30" t="inlineStr">
        <is>
          <t>BRASPRESS TRANSPORTES URGENTES LTDA</t>
        </is>
      </c>
      <c r="F4505" s="30" t="inlineStr">
        <is>
          <t>2020</t>
        </is>
      </c>
      <c r="G4505" s="40" t="n">
        <v>1812.04</v>
      </c>
    </row>
    <row r="4506" ht="12" customHeight="1">
      <c r="A4506" s="30" t="inlineStr">
        <is>
          <t>ITG</t>
        </is>
      </c>
      <c r="B4506" s="30" t="inlineStr">
        <is>
          <t>Itaguai</t>
        </is>
      </c>
      <c r="C4506" s="30" t="n">
        <v>77730729</v>
      </c>
      <c r="D4506" s="30">
        <f>"48740351000408"</f>
        <v/>
      </c>
      <c r="E4506" s="30" t="inlineStr">
        <is>
          <t>BRASPRESS TRANSPORTES URGENTES LTDA</t>
        </is>
      </c>
      <c r="F4506" s="30" t="inlineStr">
        <is>
          <t>2021</t>
        </is>
      </c>
      <c r="G4506" s="40" t="n">
        <v>4327.39</v>
      </c>
    </row>
    <row r="4507" ht="12" customHeight="1">
      <c r="A4507" s="30" t="inlineStr">
        <is>
          <t>ITG</t>
        </is>
      </c>
      <c r="B4507" s="30" t="inlineStr">
        <is>
          <t>Itaguai</t>
        </is>
      </c>
      <c r="C4507" s="30" t="n">
        <v>77730729</v>
      </c>
      <c r="D4507" s="30">
        <f>"48740351000408"</f>
        <v/>
      </c>
      <c r="E4507" s="30" t="inlineStr">
        <is>
          <t>BRASPRESS TRANSPORTES URGENTES LTDA</t>
        </is>
      </c>
      <c r="F4507" s="30" t="inlineStr">
        <is>
          <t>2022</t>
        </is>
      </c>
      <c r="G4507" s="40" t="n">
        <v>90951.48</v>
      </c>
    </row>
    <row r="4508" ht="12" customHeight="1">
      <c r="A4508" s="30" t="inlineStr">
        <is>
          <t>ITG</t>
        </is>
      </c>
      <c r="B4508" s="30" t="inlineStr">
        <is>
          <t>Itaguai</t>
        </is>
      </c>
      <c r="C4508" s="30" t="n">
        <v>77730729</v>
      </c>
      <c r="D4508" s="30">
        <f>"48740351000408"</f>
        <v/>
      </c>
      <c r="E4508" s="30" t="inlineStr">
        <is>
          <t>BRASPRESS TRANSPORTES URGENTES LTDA</t>
        </is>
      </c>
      <c r="F4508" s="30" t="inlineStr">
        <is>
          <t>2023</t>
        </is>
      </c>
      <c r="G4508" s="40" t="n">
        <v>90077.31</v>
      </c>
    </row>
    <row r="4509" ht="12" customHeight="1">
      <c r="A4509" s="30" t="inlineStr">
        <is>
          <t>ITG</t>
        </is>
      </c>
      <c r="B4509" s="30" t="inlineStr">
        <is>
          <t>Itaguai</t>
        </is>
      </c>
      <c r="C4509" s="30" t="n">
        <v>77734686</v>
      </c>
      <c r="D4509" s="30">
        <f>"48740351003008"</f>
        <v/>
      </c>
      <c r="E4509" s="30" t="inlineStr">
        <is>
          <t>BRASPRESS TRANSPORTES URGENTES LTDA</t>
        </is>
      </c>
      <c r="F4509" s="30" t="inlineStr">
        <is>
          <t>2017</t>
        </is>
      </c>
      <c r="G4509" s="40" t="n">
        <v>5568.76</v>
      </c>
    </row>
    <row r="4510" ht="12" customHeight="1">
      <c r="A4510" s="30" t="inlineStr">
        <is>
          <t>ITG</t>
        </is>
      </c>
      <c r="B4510" s="30" t="inlineStr">
        <is>
          <t>Itaguai</t>
        </is>
      </c>
      <c r="C4510" s="30" t="n">
        <v>77734686</v>
      </c>
      <c r="D4510" s="30">
        <f>"48740351003008"</f>
        <v/>
      </c>
      <c r="E4510" s="30" t="inlineStr">
        <is>
          <t>BRASPRESS TRANSPORTES URGENTES LTDA</t>
        </is>
      </c>
      <c r="F4510" s="30" t="inlineStr">
        <is>
          <t>2018</t>
        </is>
      </c>
      <c r="G4510" s="40" t="n">
        <v>6930.51</v>
      </c>
    </row>
    <row r="4511" ht="12" customHeight="1">
      <c r="A4511" s="30" t="inlineStr">
        <is>
          <t>ITG</t>
        </is>
      </c>
      <c r="B4511" s="30" t="inlineStr">
        <is>
          <t>Itaguai</t>
        </is>
      </c>
      <c r="C4511" s="30" t="n">
        <v>77734686</v>
      </c>
      <c r="D4511" s="30">
        <f>"48740351003008"</f>
        <v/>
      </c>
      <c r="E4511" s="30" t="inlineStr">
        <is>
          <t>BRASPRESS TRANSPORTES URGENTES LTDA</t>
        </is>
      </c>
      <c r="F4511" s="30" t="inlineStr">
        <is>
          <t>2019</t>
        </is>
      </c>
      <c r="G4511" s="40" t="n">
        <v>0</v>
      </c>
    </row>
    <row r="4512" ht="12" customHeight="1">
      <c r="A4512" s="30" t="inlineStr">
        <is>
          <t>ITG</t>
        </is>
      </c>
      <c r="B4512" s="30" t="inlineStr">
        <is>
          <t>Itaguai</t>
        </is>
      </c>
      <c r="C4512" s="30" t="n">
        <v>77734686</v>
      </c>
      <c r="D4512" s="30">
        <f>"48740351003008"</f>
        <v/>
      </c>
      <c r="E4512" s="30" t="inlineStr">
        <is>
          <t>BRASPRESS TRANSPORTES URGENTES LTDA</t>
        </is>
      </c>
      <c r="F4512" s="30" t="inlineStr">
        <is>
          <t>2020</t>
        </is>
      </c>
      <c r="G4512" s="40" t="n">
        <v>0</v>
      </c>
    </row>
    <row r="4513" ht="12" customHeight="1">
      <c r="A4513" s="30" t="inlineStr">
        <is>
          <t>ITG</t>
        </is>
      </c>
      <c r="B4513" s="30" t="inlineStr">
        <is>
          <t>Itaguai</t>
        </is>
      </c>
      <c r="C4513" s="30" t="n">
        <v>77734708</v>
      </c>
      <c r="D4513" s="30">
        <f>"48740351003261"</f>
        <v/>
      </c>
      <c r="E4513" s="30" t="inlineStr">
        <is>
          <t>BRASPRESS TRANSPORTES URGENTES LTDA</t>
        </is>
      </c>
      <c r="F4513" s="30" t="inlineStr">
        <is>
          <t>2017</t>
        </is>
      </c>
      <c r="G4513" s="40" t="n">
        <v>695.73</v>
      </c>
    </row>
    <row r="4514" ht="12" customHeight="1">
      <c r="A4514" s="30" t="inlineStr">
        <is>
          <t>ITG</t>
        </is>
      </c>
      <c r="B4514" s="30" t="inlineStr">
        <is>
          <t>Itaguai</t>
        </is>
      </c>
      <c r="C4514" s="30" t="n">
        <v>77734708</v>
      </c>
      <c r="D4514" s="30">
        <f>"48740351003261"</f>
        <v/>
      </c>
      <c r="E4514" s="30" t="inlineStr">
        <is>
          <t>BRASPRESS TRANSPORTES URGENTES LTDA</t>
        </is>
      </c>
      <c r="F4514" s="30" t="inlineStr">
        <is>
          <t>2018</t>
        </is>
      </c>
      <c r="G4514" s="40" t="n">
        <v>353.35</v>
      </c>
    </row>
    <row r="4515" ht="12" customHeight="1">
      <c r="A4515" s="30" t="inlineStr">
        <is>
          <t>ITG</t>
        </is>
      </c>
      <c r="B4515" s="30" t="inlineStr">
        <is>
          <t>Itaguai</t>
        </is>
      </c>
      <c r="C4515" s="30" t="n">
        <v>77734708</v>
      </c>
      <c r="D4515" s="30">
        <f>"48740351003261"</f>
        <v/>
      </c>
      <c r="E4515" s="30" t="inlineStr">
        <is>
          <t>BRASPRESS TRANSPORTES URGENTES LTDA</t>
        </is>
      </c>
      <c r="F4515" s="30" t="inlineStr">
        <is>
          <t>2019</t>
        </is>
      </c>
      <c r="G4515" s="40" t="n">
        <v>142.3</v>
      </c>
    </row>
    <row r="4516" ht="12" customHeight="1">
      <c r="A4516" s="30" t="inlineStr">
        <is>
          <t>ITG</t>
        </is>
      </c>
      <c r="B4516" s="30" t="inlineStr">
        <is>
          <t>Itaguai</t>
        </is>
      </c>
      <c r="C4516" s="30" t="n">
        <v>77734708</v>
      </c>
      <c r="D4516" s="30">
        <f>"48740351003261"</f>
        <v/>
      </c>
      <c r="E4516" s="30" t="inlineStr">
        <is>
          <t>BRASPRESS TRANSPORTES URGENTES LTDA</t>
        </is>
      </c>
      <c r="F4516" s="30" t="inlineStr">
        <is>
          <t>2020</t>
        </is>
      </c>
      <c r="G4516" s="40" t="n">
        <v>129.01</v>
      </c>
    </row>
    <row r="4517" ht="12" customHeight="1">
      <c r="A4517" s="30" t="inlineStr">
        <is>
          <t>ITG</t>
        </is>
      </c>
      <c r="B4517" s="30" t="inlineStr">
        <is>
          <t>Itaguai</t>
        </is>
      </c>
      <c r="C4517" s="30" t="n">
        <v>77734708</v>
      </c>
      <c r="D4517" s="30">
        <f>"48740351003261"</f>
        <v/>
      </c>
      <c r="E4517" s="30" t="inlineStr">
        <is>
          <t>BRASPRESS TRANSPORTES URGENTES LTDA</t>
        </is>
      </c>
      <c r="F4517" s="30" t="inlineStr">
        <is>
          <t>2021</t>
        </is>
      </c>
      <c r="G4517" s="40" t="n">
        <v>0</v>
      </c>
    </row>
    <row r="4518" ht="12" customHeight="1">
      <c r="A4518" s="30" t="inlineStr">
        <is>
          <t>ITG</t>
        </is>
      </c>
      <c r="B4518" s="30" t="inlineStr">
        <is>
          <t>Itaguai</t>
        </is>
      </c>
      <c r="C4518" s="30" t="n">
        <v>77734708</v>
      </c>
      <c r="D4518" s="30">
        <f>"48740351003261"</f>
        <v/>
      </c>
      <c r="E4518" s="30" t="inlineStr">
        <is>
          <t>BRASPRESS TRANSPORTES URGENTES LTDA</t>
        </is>
      </c>
      <c r="F4518" s="30" t="inlineStr">
        <is>
          <t>2022</t>
        </is>
      </c>
      <c r="G4518" s="40" t="n">
        <v>0</v>
      </c>
    </row>
    <row r="4519" ht="12" customHeight="1">
      <c r="A4519" s="30" t="inlineStr">
        <is>
          <t>ITG</t>
        </is>
      </c>
      <c r="B4519" s="30" t="inlineStr">
        <is>
          <t>Itaguai</t>
        </is>
      </c>
      <c r="C4519" s="30" t="n">
        <v>77736832</v>
      </c>
      <c r="D4519" s="30">
        <f>"21849120000308"</f>
        <v/>
      </c>
      <c r="E4519" s="30" t="inlineStr">
        <is>
          <t>TRANSPEDROSA S/A</t>
        </is>
      </c>
      <c r="F4519" s="30" t="inlineStr">
        <is>
          <t>2018</t>
        </is>
      </c>
      <c r="G4519" s="40" t="n">
        <v>0</v>
      </c>
    </row>
    <row r="4520" ht="12" customHeight="1">
      <c r="A4520" s="30" t="inlineStr">
        <is>
          <t>ITG</t>
        </is>
      </c>
      <c r="B4520" s="30" t="inlineStr">
        <is>
          <t>Itaguai</t>
        </is>
      </c>
      <c r="C4520" s="30" t="n">
        <v>77736832</v>
      </c>
      <c r="D4520" s="30">
        <f>"21849120000308"</f>
        <v/>
      </c>
      <c r="E4520" s="30" t="inlineStr">
        <is>
          <t>TRANSPEDROSA S/A</t>
        </is>
      </c>
      <c r="F4520" s="30" t="inlineStr">
        <is>
          <t>2019</t>
        </is>
      </c>
      <c r="G4520" s="40" t="n">
        <v>0</v>
      </c>
    </row>
    <row r="4521" ht="12" customHeight="1">
      <c r="A4521" s="30" t="inlineStr">
        <is>
          <t>ITG</t>
        </is>
      </c>
      <c r="B4521" s="30" t="inlineStr">
        <is>
          <t>Itaguai</t>
        </is>
      </c>
      <c r="C4521" s="30" t="n">
        <v>77736832</v>
      </c>
      <c r="D4521" s="30">
        <f>"21849120000308"</f>
        <v/>
      </c>
      <c r="E4521" s="30" t="inlineStr">
        <is>
          <t>TRANSPEDROSA S/A</t>
        </is>
      </c>
      <c r="F4521" s="30" t="inlineStr">
        <is>
          <t>2020</t>
        </is>
      </c>
      <c r="G4521" s="40" t="n">
        <v>479237.47</v>
      </c>
    </row>
    <row r="4522" ht="12" customHeight="1">
      <c r="A4522" s="30" t="inlineStr">
        <is>
          <t>ITG</t>
        </is>
      </c>
      <c r="B4522" s="30" t="inlineStr">
        <is>
          <t>Itaguai</t>
        </is>
      </c>
      <c r="C4522" s="30" t="n">
        <v>77736832</v>
      </c>
      <c r="D4522" s="30">
        <f>"21849120000308"</f>
        <v/>
      </c>
      <c r="E4522" s="30" t="inlineStr">
        <is>
          <t>TRANSPEDROSA S/A</t>
        </is>
      </c>
      <c r="F4522" s="30" t="inlineStr">
        <is>
          <t>2021</t>
        </is>
      </c>
      <c r="G4522" s="40" t="n">
        <v>508553.58</v>
      </c>
    </row>
    <row r="4523" ht="12" customHeight="1">
      <c r="A4523" s="30" t="inlineStr">
        <is>
          <t>ITG</t>
        </is>
      </c>
      <c r="B4523" s="30" t="inlineStr">
        <is>
          <t>Itaguai</t>
        </is>
      </c>
      <c r="C4523" s="30" t="n">
        <v>77736832</v>
      </c>
      <c r="D4523" s="30">
        <f>"21849120000308"</f>
        <v/>
      </c>
      <c r="E4523" s="30" t="inlineStr">
        <is>
          <t>TRANSPEDROSA S/A</t>
        </is>
      </c>
      <c r="F4523" s="30" t="inlineStr">
        <is>
          <t>2022</t>
        </is>
      </c>
      <c r="G4523" s="40" t="n">
        <v>176974.1</v>
      </c>
    </row>
    <row r="4524" ht="12" customHeight="1">
      <c r="A4524" s="30" t="inlineStr">
        <is>
          <t>ITG</t>
        </is>
      </c>
      <c r="B4524" s="30" t="inlineStr">
        <is>
          <t>Itaguai</t>
        </is>
      </c>
      <c r="C4524" s="30" t="n">
        <v>77736832</v>
      </c>
      <c r="D4524" s="30">
        <f>"21849120000308"</f>
        <v/>
      </c>
      <c r="E4524" s="30" t="inlineStr">
        <is>
          <t>TRANSPEDROSA S/A</t>
        </is>
      </c>
      <c r="F4524" s="30" t="inlineStr">
        <is>
          <t>2023</t>
        </is>
      </c>
      <c r="G4524" s="40" t="n">
        <v>597111.66</v>
      </c>
    </row>
    <row r="4525" ht="12" customHeight="1">
      <c r="A4525" s="30" t="inlineStr">
        <is>
          <t>ITG</t>
        </is>
      </c>
      <c r="B4525" s="30" t="inlineStr">
        <is>
          <t>Itaguai</t>
        </is>
      </c>
      <c r="C4525" s="30" t="n">
        <v>77751971</v>
      </c>
      <c r="D4525" s="30">
        <f>"06347809000170"</f>
        <v/>
      </c>
      <c r="E4525" s="30" t="inlineStr">
        <is>
          <t>SEPETIBA CARGO LTDA</t>
        </is>
      </c>
      <c r="F4525" s="30" t="inlineStr">
        <is>
          <t>2018</t>
        </is>
      </c>
      <c r="G4525" s="40" t="n">
        <v>0</v>
      </c>
    </row>
    <row r="4526" ht="12" customHeight="1">
      <c r="A4526" s="30" t="inlineStr">
        <is>
          <t>ITG</t>
        </is>
      </c>
      <c r="B4526" s="30" t="inlineStr">
        <is>
          <t>Itaguai</t>
        </is>
      </c>
      <c r="C4526" s="30" t="n">
        <v>77751971</v>
      </c>
      <c r="D4526" s="30">
        <f>"06347809000170"</f>
        <v/>
      </c>
      <c r="E4526" s="30" t="inlineStr">
        <is>
          <t>SEPETIBA CARGO LTDA</t>
        </is>
      </c>
      <c r="F4526" s="30" t="inlineStr">
        <is>
          <t>2019</t>
        </is>
      </c>
      <c r="G4526" s="40" t="n">
        <v>0</v>
      </c>
    </row>
    <row r="4527" ht="12" customHeight="1">
      <c r="A4527" s="30" t="inlineStr">
        <is>
          <t>ITG</t>
        </is>
      </c>
      <c r="B4527" s="30" t="inlineStr">
        <is>
          <t>Itaguai</t>
        </is>
      </c>
      <c r="C4527" s="30" t="n">
        <v>77751971</v>
      </c>
      <c r="D4527" s="30">
        <f>"06347809000170"</f>
        <v/>
      </c>
      <c r="E4527" s="30" t="inlineStr">
        <is>
          <t>SEPETIBA CARGO LTDA</t>
        </is>
      </c>
      <c r="F4527" s="30" t="inlineStr">
        <is>
          <t>2020</t>
        </is>
      </c>
      <c r="G4527" s="40" t="n">
        <v>0</v>
      </c>
    </row>
    <row r="4528" ht="12" customHeight="1">
      <c r="A4528" s="30" t="inlineStr">
        <is>
          <t>ITG</t>
        </is>
      </c>
      <c r="B4528" s="30" t="inlineStr">
        <is>
          <t>Itaguai</t>
        </is>
      </c>
      <c r="C4528" s="30" t="n">
        <v>77751971</v>
      </c>
      <c r="D4528" s="30">
        <f>"06347809000170"</f>
        <v/>
      </c>
      <c r="E4528" s="30" t="inlineStr">
        <is>
          <t>SEPETIBA CARGO LTDA</t>
        </is>
      </c>
      <c r="F4528" s="30" t="inlineStr">
        <is>
          <t>2021</t>
        </is>
      </c>
      <c r="G4528" s="40" t="n">
        <v>0</v>
      </c>
    </row>
    <row r="4529" ht="12" customHeight="1">
      <c r="A4529" s="30" t="inlineStr">
        <is>
          <t>ITG</t>
        </is>
      </c>
      <c r="B4529" s="30" t="inlineStr">
        <is>
          <t>Itaguai</t>
        </is>
      </c>
      <c r="C4529" s="30" t="n">
        <v>77751971</v>
      </c>
      <c r="D4529" s="30">
        <f>"06347809000170"</f>
        <v/>
      </c>
      <c r="E4529" s="30" t="inlineStr">
        <is>
          <t>SEPETIBA CARGO LTDA</t>
        </is>
      </c>
      <c r="F4529" s="30" t="inlineStr">
        <is>
          <t>2022</t>
        </is>
      </c>
      <c r="G4529" s="40" t="n">
        <v>2023281.18</v>
      </c>
    </row>
    <row r="4530" ht="12" customHeight="1">
      <c r="A4530" s="30" t="inlineStr">
        <is>
          <t>ITG</t>
        </is>
      </c>
      <c r="B4530" s="30" t="inlineStr">
        <is>
          <t>Itaguai</t>
        </is>
      </c>
      <c r="C4530" s="30" t="n">
        <v>77751971</v>
      </c>
      <c r="D4530" s="30">
        <f>"06347809000170"</f>
        <v/>
      </c>
      <c r="E4530" s="30" t="inlineStr">
        <is>
          <t>SEPETIBA CARGO LTDA</t>
        </is>
      </c>
      <c r="F4530" s="30" t="inlineStr">
        <is>
          <t>2023</t>
        </is>
      </c>
      <c r="G4530" s="40" t="n">
        <v>0</v>
      </c>
    </row>
    <row r="4531" ht="12" customHeight="1">
      <c r="A4531" s="30" t="inlineStr">
        <is>
          <t>ITG</t>
        </is>
      </c>
      <c r="B4531" s="30" t="inlineStr">
        <is>
          <t>Itaguai</t>
        </is>
      </c>
      <c r="C4531" s="30" t="n">
        <v>77771930</v>
      </c>
      <c r="D4531" s="30">
        <f>"06701081000133"</f>
        <v/>
      </c>
      <c r="E4531" s="30" t="inlineStr">
        <is>
          <t>GOLD MILENIO TRANSPORTES LTDA ME</t>
        </is>
      </c>
      <c r="F4531" s="30" t="inlineStr">
        <is>
          <t>2017</t>
        </is>
      </c>
      <c r="G4531" s="40" t="n">
        <v>0</v>
      </c>
    </row>
    <row r="4532" ht="12" customHeight="1">
      <c r="A4532" s="30" t="inlineStr">
        <is>
          <t>ITG</t>
        </is>
      </c>
      <c r="B4532" s="30" t="inlineStr">
        <is>
          <t>Itaguai</t>
        </is>
      </c>
      <c r="C4532" s="30" t="n">
        <v>77771930</v>
      </c>
      <c r="D4532" s="30">
        <f>"06701081000133"</f>
        <v/>
      </c>
      <c r="E4532" s="30" t="inlineStr">
        <is>
          <t>GOLD MILENIO TRANSPORTES LTDA ME</t>
        </is>
      </c>
      <c r="F4532" s="30" t="inlineStr">
        <is>
          <t>2018</t>
        </is>
      </c>
      <c r="G4532" s="40" t="n">
        <v>230.76</v>
      </c>
    </row>
    <row r="4533" ht="12" customHeight="1">
      <c r="A4533" s="30" t="inlineStr">
        <is>
          <t>ITG</t>
        </is>
      </c>
      <c r="B4533" s="30" t="inlineStr">
        <is>
          <t>Itaguai</t>
        </is>
      </c>
      <c r="C4533" s="30" t="n">
        <v>77771930</v>
      </c>
      <c r="D4533" s="30">
        <f>"06701081000133"</f>
        <v/>
      </c>
      <c r="E4533" s="30" t="inlineStr">
        <is>
          <t>GOLD MILENIO TRANSPORTES LTDA ME</t>
        </is>
      </c>
      <c r="F4533" s="30" t="inlineStr">
        <is>
          <t>2019</t>
        </is>
      </c>
      <c r="G4533" s="40" t="n">
        <v>0</v>
      </c>
    </row>
    <row r="4534" ht="12" customHeight="1">
      <c r="A4534" s="30" t="inlineStr">
        <is>
          <t>ITG</t>
        </is>
      </c>
      <c r="B4534" s="30" t="inlineStr">
        <is>
          <t>Itaguai</t>
        </is>
      </c>
      <c r="C4534" s="30" t="n">
        <v>77771930</v>
      </c>
      <c r="D4534" s="30">
        <f>"06701081000133"</f>
        <v/>
      </c>
      <c r="E4534" s="30" t="inlineStr">
        <is>
          <t>GOLD MILENIO TRANSPORTES LTDA ME</t>
        </is>
      </c>
      <c r="F4534" s="30" t="inlineStr">
        <is>
          <t>2020</t>
        </is>
      </c>
      <c r="G4534" s="40" t="n">
        <v>0</v>
      </c>
    </row>
    <row r="4535" ht="12" customHeight="1">
      <c r="A4535" s="30" t="inlineStr">
        <is>
          <t>ITG</t>
        </is>
      </c>
      <c r="B4535" s="30" t="inlineStr">
        <is>
          <t>Itaguai</t>
        </is>
      </c>
      <c r="C4535" s="30" t="n">
        <v>77785361</v>
      </c>
      <c r="D4535" s="30">
        <f>"00972696000380"</f>
        <v/>
      </c>
      <c r="E4535" s="30" t="inlineStr">
        <is>
          <t>V M RAMOS &amp; CIA LTDA</t>
        </is>
      </c>
      <c r="F4535" s="30" t="inlineStr">
        <is>
          <t>2017</t>
        </is>
      </c>
      <c r="G4535" s="40" t="n">
        <v>11223.03</v>
      </c>
    </row>
    <row r="4536" ht="12" customHeight="1">
      <c r="A4536" s="30" t="inlineStr">
        <is>
          <t>ITG</t>
        </is>
      </c>
      <c r="B4536" s="30" t="inlineStr">
        <is>
          <t>Itaguai</t>
        </is>
      </c>
      <c r="C4536" s="30" t="n">
        <v>77785361</v>
      </c>
      <c r="D4536" s="30">
        <f>"00972696000380"</f>
        <v/>
      </c>
      <c r="E4536" s="30" t="inlineStr">
        <is>
          <t>V M RAMOS &amp; CIA LTDA</t>
        </is>
      </c>
      <c r="F4536" s="30" t="inlineStr">
        <is>
          <t>2018</t>
        </is>
      </c>
      <c r="G4536" s="40" t="n">
        <v>11769.16</v>
      </c>
    </row>
    <row r="4537" ht="12" customHeight="1">
      <c r="A4537" s="30" t="inlineStr">
        <is>
          <t>ITG</t>
        </is>
      </c>
      <c r="B4537" s="30" t="inlineStr">
        <is>
          <t>Itaguai</t>
        </is>
      </c>
      <c r="C4537" s="30" t="n">
        <v>77785361</v>
      </c>
      <c r="D4537" s="30">
        <f>"00972696000380"</f>
        <v/>
      </c>
      <c r="E4537" s="30" t="inlineStr">
        <is>
          <t>V M RAMOS &amp; CIA LTDA</t>
        </is>
      </c>
      <c r="F4537" s="30" t="inlineStr">
        <is>
          <t>2019</t>
        </is>
      </c>
      <c r="G4537" s="40" t="n">
        <v>16926.91</v>
      </c>
    </row>
    <row r="4538" ht="12" customHeight="1">
      <c r="A4538" s="30" t="inlineStr">
        <is>
          <t>ITG</t>
        </is>
      </c>
      <c r="B4538" s="30" t="inlineStr">
        <is>
          <t>Itaguai</t>
        </is>
      </c>
      <c r="C4538" s="30" t="n">
        <v>77785361</v>
      </c>
      <c r="D4538" s="30">
        <f>"00972696000380"</f>
        <v/>
      </c>
      <c r="E4538" s="30" t="inlineStr">
        <is>
          <t>V M RAMOS &amp; CIA LTDA</t>
        </is>
      </c>
      <c r="F4538" s="30" t="inlineStr">
        <is>
          <t>2020</t>
        </is>
      </c>
      <c r="G4538" s="40" t="n">
        <v>19366.96</v>
      </c>
    </row>
    <row r="4539" ht="12" customHeight="1">
      <c r="A4539" s="30" t="inlineStr">
        <is>
          <t>ITG</t>
        </is>
      </c>
      <c r="B4539" s="30" t="inlineStr">
        <is>
          <t>Itaguai</t>
        </is>
      </c>
      <c r="C4539" s="30" t="n">
        <v>77785361</v>
      </c>
      <c r="D4539" s="30">
        <f>"00972696000380"</f>
        <v/>
      </c>
      <c r="E4539" s="30" t="inlineStr">
        <is>
          <t>V M RAMOS &amp; CIA LTDA</t>
        </is>
      </c>
      <c r="F4539" s="30" t="inlineStr">
        <is>
          <t>2021</t>
        </is>
      </c>
      <c r="G4539" s="40" t="n">
        <v>19365.88</v>
      </c>
    </row>
    <row r="4540" ht="12" customHeight="1">
      <c r="A4540" s="30" t="inlineStr">
        <is>
          <t>ITG</t>
        </is>
      </c>
      <c r="B4540" s="30" t="inlineStr">
        <is>
          <t>Itaguai</t>
        </is>
      </c>
      <c r="C4540" s="30" t="n">
        <v>77785361</v>
      </c>
      <c r="D4540" s="30">
        <f>"00972696000380"</f>
        <v/>
      </c>
      <c r="E4540" s="30" t="inlineStr">
        <is>
          <t>V M RAMOS &amp; CIA LTDA</t>
        </is>
      </c>
      <c r="F4540" s="30" t="inlineStr">
        <is>
          <t>2022</t>
        </is>
      </c>
      <c r="G4540" s="40" t="n">
        <v>35605.52</v>
      </c>
    </row>
    <row r="4541" ht="12" customHeight="1">
      <c r="A4541" s="30" t="inlineStr">
        <is>
          <t>ITG</t>
        </is>
      </c>
      <c r="B4541" s="30" t="inlineStr">
        <is>
          <t>Itaguai</t>
        </is>
      </c>
      <c r="C4541" s="30" t="n">
        <v>77785361</v>
      </c>
      <c r="D4541" s="30">
        <f>"00972696000380"</f>
        <v/>
      </c>
      <c r="E4541" s="30" t="inlineStr">
        <is>
          <t>V M RAMOS &amp; CIA LTDA</t>
        </is>
      </c>
      <c r="F4541" s="30" t="inlineStr">
        <is>
          <t>2023</t>
        </is>
      </c>
      <c r="G4541" s="40" t="n">
        <v>30045.88</v>
      </c>
    </row>
    <row r="4542" ht="12" customHeight="1">
      <c r="A4542" s="30" t="inlineStr">
        <is>
          <t>ITG</t>
        </is>
      </c>
      <c r="B4542" s="30" t="inlineStr">
        <is>
          <t>Itaguai</t>
        </is>
      </c>
      <c r="C4542" s="30" t="n">
        <v>77790241</v>
      </c>
      <c r="D4542" s="30">
        <f>"06957675000100"</f>
        <v/>
      </c>
      <c r="E4542" s="30" t="inlineStr">
        <is>
          <t>LOG IN RIO TRANSPORTES LTDA</t>
        </is>
      </c>
      <c r="F4542" s="30" t="inlineStr">
        <is>
          <t>2021</t>
        </is>
      </c>
      <c r="G4542" s="40" t="n">
        <v>0</v>
      </c>
    </row>
    <row r="4543" ht="12" customHeight="1">
      <c r="A4543" s="30" t="inlineStr">
        <is>
          <t>ITG</t>
        </is>
      </c>
      <c r="B4543" s="30" t="inlineStr">
        <is>
          <t>Itaguai</t>
        </is>
      </c>
      <c r="C4543" s="30" t="n">
        <v>77790241</v>
      </c>
      <c r="D4543" s="30">
        <f>"06957675000100"</f>
        <v/>
      </c>
      <c r="E4543" s="30" t="inlineStr">
        <is>
          <t>LOG IN RIO TRANSPORTES LTDA</t>
        </is>
      </c>
      <c r="F4543" s="30" t="inlineStr">
        <is>
          <t>2022</t>
        </is>
      </c>
      <c r="G4543" s="40" t="n">
        <v>0</v>
      </c>
    </row>
    <row r="4544" ht="12" customHeight="1">
      <c r="A4544" s="30" t="inlineStr">
        <is>
          <t>ITG</t>
        </is>
      </c>
      <c r="B4544" s="30" t="inlineStr">
        <is>
          <t>Itaguai</t>
        </is>
      </c>
      <c r="C4544" s="30" t="n">
        <v>77790241</v>
      </c>
      <c r="D4544" s="30">
        <f>"06957675000100"</f>
        <v/>
      </c>
      <c r="E4544" s="30" t="inlineStr">
        <is>
          <t>LOG IN RIO TRANSPORTES LTDA</t>
        </is>
      </c>
      <c r="F4544" s="30" t="inlineStr">
        <is>
          <t>2023</t>
        </is>
      </c>
      <c r="G4544" s="40" t="n">
        <v>194.46</v>
      </c>
    </row>
    <row r="4545" ht="12" customHeight="1">
      <c r="A4545" s="30" t="inlineStr">
        <is>
          <t>ITG</t>
        </is>
      </c>
      <c r="B4545" s="30" t="inlineStr">
        <is>
          <t>Itaguai</t>
        </is>
      </c>
      <c r="C4545" s="30" t="n">
        <v>77791167</v>
      </c>
      <c r="D4545" s="30">
        <f>"03839188000154"</f>
        <v/>
      </c>
      <c r="E4545" s="30" t="inlineStr">
        <is>
          <t>ROSANGELA APARECIDA ANDRADE ROCHA</t>
        </is>
      </c>
      <c r="F4545" s="30" t="inlineStr">
        <is>
          <t>2017</t>
        </is>
      </c>
      <c r="G4545" s="40" t="n">
        <v>0</v>
      </c>
    </row>
    <row r="4546" ht="12" customHeight="1">
      <c r="A4546" s="30" t="inlineStr">
        <is>
          <t>ITG</t>
        </is>
      </c>
      <c r="B4546" s="30" t="inlineStr">
        <is>
          <t>Itaguai</t>
        </is>
      </c>
      <c r="C4546" s="30" t="n">
        <v>77791167</v>
      </c>
      <c r="D4546" s="30">
        <f>"03839188000154"</f>
        <v/>
      </c>
      <c r="E4546" s="30" t="inlineStr">
        <is>
          <t>ROSANGELA APARECIDA ANDRADE ROCHA</t>
        </is>
      </c>
      <c r="F4546" s="30" t="inlineStr">
        <is>
          <t>2018</t>
        </is>
      </c>
      <c r="G4546" s="40" t="n">
        <v>0</v>
      </c>
    </row>
    <row r="4547" ht="12" customHeight="1">
      <c r="A4547" s="30" t="inlineStr">
        <is>
          <t>ITG</t>
        </is>
      </c>
      <c r="B4547" s="30" t="inlineStr">
        <is>
          <t>Itaguai</t>
        </is>
      </c>
      <c r="C4547" s="30" t="n">
        <v>77791167</v>
      </c>
      <c r="D4547" s="30">
        <f>"03839188000154"</f>
        <v/>
      </c>
      <c r="E4547" s="30" t="inlineStr">
        <is>
          <t>ROSANGELA APARECIDA ANDRADE ROCHA</t>
        </is>
      </c>
      <c r="F4547" s="30" t="inlineStr">
        <is>
          <t>2019</t>
        </is>
      </c>
      <c r="G4547" s="40" t="n">
        <v>0</v>
      </c>
    </row>
    <row r="4548" ht="12" customHeight="1">
      <c r="A4548" s="30" t="inlineStr">
        <is>
          <t>ITG</t>
        </is>
      </c>
      <c r="B4548" s="30" t="inlineStr">
        <is>
          <t>Itaguai</t>
        </is>
      </c>
      <c r="C4548" s="30" t="n">
        <v>77791167</v>
      </c>
      <c r="D4548" s="30">
        <f>"03839188000154"</f>
        <v/>
      </c>
      <c r="E4548" s="30" t="inlineStr">
        <is>
          <t>ROSANGELA APARECIDA ANDRADE ROCHA</t>
        </is>
      </c>
      <c r="F4548" s="30" t="inlineStr">
        <is>
          <t>2020</t>
        </is>
      </c>
      <c r="G4548" s="40" t="n">
        <v>0</v>
      </c>
    </row>
    <row r="4549" ht="12" customHeight="1">
      <c r="A4549" s="30" t="inlineStr">
        <is>
          <t>ITG</t>
        </is>
      </c>
      <c r="B4549" s="30" t="inlineStr">
        <is>
          <t>Itaguai</t>
        </is>
      </c>
      <c r="C4549" s="30" t="n">
        <v>77791167</v>
      </c>
      <c r="D4549" s="30">
        <f>"03839188000154"</f>
        <v/>
      </c>
      <c r="E4549" s="30" t="inlineStr">
        <is>
          <t>ROSANGELA APARECIDA ANDRADE ROCHA</t>
        </is>
      </c>
      <c r="F4549" s="30" t="inlineStr">
        <is>
          <t>2021</t>
        </is>
      </c>
      <c r="G4549" s="40" t="n">
        <v>0</v>
      </c>
    </row>
    <row r="4550" ht="12" customHeight="1">
      <c r="A4550" s="30" t="inlineStr">
        <is>
          <t>ITG</t>
        </is>
      </c>
      <c r="B4550" s="30" t="inlineStr">
        <is>
          <t>Itaguai</t>
        </is>
      </c>
      <c r="C4550" s="30" t="n">
        <v>77791167</v>
      </c>
      <c r="D4550" s="30">
        <f>"03839188000154"</f>
        <v/>
      </c>
      <c r="E4550" s="30" t="inlineStr">
        <is>
          <t>ROSANGELA APARECIDA ANDRADE ROCHA</t>
        </is>
      </c>
      <c r="F4550" s="30" t="inlineStr">
        <is>
          <t>2022</t>
        </is>
      </c>
      <c r="G4550" s="40" t="n">
        <v>0</v>
      </c>
    </row>
    <row r="4551" ht="12" customHeight="1">
      <c r="A4551" s="30" t="inlineStr">
        <is>
          <t>ITG</t>
        </is>
      </c>
      <c r="B4551" s="30" t="inlineStr">
        <is>
          <t>Itaguai</t>
        </is>
      </c>
      <c r="C4551" s="30" t="n">
        <v>77791167</v>
      </c>
      <c r="D4551" s="30">
        <f>"03839188000154"</f>
        <v/>
      </c>
      <c r="E4551" s="30" t="inlineStr">
        <is>
          <t>ROSANGELA APARECIDA ANDRADE ROCHA</t>
        </is>
      </c>
      <c r="F4551" s="30" t="inlineStr">
        <is>
          <t>2023</t>
        </is>
      </c>
      <c r="G4551" s="40" t="n">
        <v>0</v>
      </c>
    </row>
    <row r="4552" ht="12" customHeight="1">
      <c r="A4552" s="30" t="inlineStr">
        <is>
          <t>ITG</t>
        </is>
      </c>
      <c r="B4552" s="30" t="inlineStr">
        <is>
          <t>Itaguai</t>
        </is>
      </c>
      <c r="C4552" s="30" t="n">
        <v>77796070</v>
      </c>
      <c r="D4552" s="30">
        <f>"07013237000156"</f>
        <v/>
      </c>
      <c r="E4552" s="30" t="inlineStr">
        <is>
          <t>LU BABY COMERCIO DE ROUPA INFANTIL LTDA</t>
        </is>
      </c>
      <c r="F4552" s="30" t="inlineStr">
        <is>
          <t>2018</t>
        </is>
      </c>
      <c r="G4552" s="40" t="n">
        <v>0</v>
      </c>
    </row>
    <row r="4553" ht="12" customHeight="1">
      <c r="A4553" s="30" t="inlineStr">
        <is>
          <t>ITG</t>
        </is>
      </c>
      <c r="B4553" s="30" t="inlineStr">
        <is>
          <t>Itaguai</t>
        </is>
      </c>
      <c r="C4553" s="30" t="n">
        <v>77796070</v>
      </c>
      <c r="D4553" s="30">
        <f>"07013237000156"</f>
        <v/>
      </c>
      <c r="E4553" s="30" t="inlineStr">
        <is>
          <t>LU BABY COMERCIO DE ROUPA INFANTIL LTDA</t>
        </is>
      </c>
      <c r="F4553" s="30" t="inlineStr">
        <is>
          <t>2019</t>
        </is>
      </c>
      <c r="G4553" s="40" t="n">
        <v>0</v>
      </c>
    </row>
    <row r="4554" ht="12" customHeight="1">
      <c r="A4554" s="30" t="inlineStr">
        <is>
          <t>ITG</t>
        </is>
      </c>
      <c r="B4554" s="30" t="inlineStr">
        <is>
          <t>Itaguai</t>
        </is>
      </c>
      <c r="C4554" s="30" t="n">
        <v>77796070</v>
      </c>
      <c r="D4554" s="30">
        <f>"07013237000156"</f>
        <v/>
      </c>
      <c r="E4554" s="30" t="inlineStr">
        <is>
          <t>LU BABY COMERCIO DE ROUPA INFANTIL LTDA</t>
        </is>
      </c>
      <c r="F4554" s="30" t="inlineStr">
        <is>
          <t>2020</t>
        </is>
      </c>
      <c r="G4554" s="40" t="n">
        <v>0</v>
      </c>
    </row>
    <row r="4555" ht="12" customHeight="1">
      <c r="A4555" s="30" t="inlineStr">
        <is>
          <t>ITG</t>
        </is>
      </c>
      <c r="B4555" s="30" t="inlineStr">
        <is>
          <t>Itaguai</t>
        </is>
      </c>
      <c r="C4555" s="30" t="n">
        <v>77796070</v>
      </c>
      <c r="D4555" s="30">
        <f>"07013237000156"</f>
        <v/>
      </c>
      <c r="E4555" s="30" t="inlineStr">
        <is>
          <t>LU BABY COMERCIO DE ROUPA INFANTIL LTDA</t>
        </is>
      </c>
      <c r="F4555" s="30" t="inlineStr">
        <is>
          <t>2021</t>
        </is>
      </c>
      <c r="G4555" s="40" t="n">
        <v>0</v>
      </c>
    </row>
    <row r="4556" ht="12" customHeight="1">
      <c r="A4556" s="30" t="inlineStr">
        <is>
          <t>ITG</t>
        </is>
      </c>
      <c r="B4556" s="30" t="inlineStr">
        <is>
          <t>Itaguai</t>
        </is>
      </c>
      <c r="C4556" s="30" t="n">
        <v>77796070</v>
      </c>
      <c r="D4556" s="30">
        <f>"07013237000156"</f>
        <v/>
      </c>
      <c r="E4556" s="30" t="inlineStr">
        <is>
          <t>LU BABY COMERCIO DE ROUPA INFANTIL LTDA</t>
        </is>
      </c>
      <c r="F4556" s="30" t="inlineStr">
        <is>
          <t>2022</t>
        </is>
      </c>
      <c r="G4556" s="40" t="n">
        <v>0</v>
      </c>
    </row>
    <row r="4557" ht="12" customHeight="1">
      <c r="A4557" s="30" t="inlineStr">
        <is>
          <t>ITG</t>
        </is>
      </c>
      <c r="B4557" s="30" t="inlineStr">
        <is>
          <t>Itaguai</t>
        </is>
      </c>
      <c r="C4557" s="30" t="n">
        <v>77812393</v>
      </c>
      <c r="D4557" s="30">
        <f>"00972696000207"</f>
        <v/>
      </c>
      <c r="E4557" s="30" t="inlineStr">
        <is>
          <t>V M RAMOS &amp; CIA LTDA</t>
        </is>
      </c>
      <c r="F4557" s="30" t="inlineStr">
        <is>
          <t>2020</t>
        </is>
      </c>
      <c r="G4557" s="40" t="n">
        <v>0</v>
      </c>
    </row>
    <row r="4558" ht="12" customHeight="1">
      <c r="A4558" s="30" t="inlineStr">
        <is>
          <t>ITG</t>
        </is>
      </c>
      <c r="B4558" s="30" t="inlineStr">
        <is>
          <t>Itaguai</t>
        </is>
      </c>
      <c r="C4558" s="30" t="n">
        <v>77812393</v>
      </c>
      <c r="D4558" s="30">
        <f>"00972696000207"</f>
        <v/>
      </c>
      <c r="E4558" s="30" t="inlineStr">
        <is>
          <t>V M RAMOS &amp; CIA LTDA</t>
        </is>
      </c>
      <c r="F4558" s="30" t="inlineStr">
        <is>
          <t>2021</t>
        </is>
      </c>
      <c r="G4558" s="40" t="n">
        <v>0</v>
      </c>
    </row>
    <row r="4559" ht="12" customHeight="1">
      <c r="A4559" s="30" t="inlineStr">
        <is>
          <t>ITG</t>
        </is>
      </c>
      <c r="B4559" s="30" t="inlineStr">
        <is>
          <t>Itaguai</t>
        </is>
      </c>
      <c r="C4559" s="30" t="n">
        <v>77812393</v>
      </c>
      <c r="D4559" s="30">
        <f>"00972696000207"</f>
        <v/>
      </c>
      <c r="E4559" s="30" t="inlineStr">
        <is>
          <t>V M RAMOS &amp; CIA LTDA</t>
        </is>
      </c>
      <c r="F4559" s="30" t="inlineStr">
        <is>
          <t>2022</t>
        </is>
      </c>
      <c r="G4559" s="40" t="n">
        <v>372.02</v>
      </c>
    </row>
    <row r="4560" ht="12" customHeight="1">
      <c r="A4560" s="30" t="inlineStr">
        <is>
          <t>ITG</t>
        </is>
      </c>
      <c r="B4560" s="30" t="inlineStr">
        <is>
          <t>Itaguai</t>
        </is>
      </c>
      <c r="C4560" s="30" t="n">
        <v>77812393</v>
      </c>
      <c r="D4560" s="30">
        <f>"00972696000207"</f>
        <v/>
      </c>
      <c r="E4560" s="30" t="inlineStr">
        <is>
          <t>V M RAMOS &amp; CIA LTDA</t>
        </is>
      </c>
      <c r="F4560" s="30" t="inlineStr">
        <is>
          <t>2023</t>
        </is>
      </c>
      <c r="G4560" s="40" t="n">
        <v>0</v>
      </c>
    </row>
    <row r="4561" ht="12" customHeight="1">
      <c r="A4561" s="30" t="inlineStr">
        <is>
          <t>ITG</t>
        </is>
      </c>
      <c r="B4561" s="30" t="inlineStr">
        <is>
          <t>Itaguai</t>
        </is>
      </c>
      <c r="C4561" s="30" t="n">
        <v>77812814</v>
      </c>
      <c r="D4561" s="30">
        <f>"06371265000182"</f>
        <v/>
      </c>
      <c r="E4561" s="30" t="inlineStr">
        <is>
          <t>MP 2019 TRANSPORTES LTDA</t>
        </is>
      </c>
      <c r="F4561" s="30" t="inlineStr">
        <is>
          <t>2019</t>
        </is>
      </c>
      <c r="G4561" s="40" t="n">
        <v>0</v>
      </c>
    </row>
    <row r="4562" ht="12" customHeight="1">
      <c r="A4562" s="30" t="inlineStr">
        <is>
          <t>ITG</t>
        </is>
      </c>
      <c r="B4562" s="30" t="inlineStr">
        <is>
          <t>Itaguai</t>
        </is>
      </c>
      <c r="C4562" s="30" t="n">
        <v>77812814</v>
      </c>
      <c r="D4562" s="30">
        <f>"06371265000182"</f>
        <v/>
      </c>
      <c r="E4562" s="30" t="inlineStr">
        <is>
          <t>MP 2019 TRANSPORTES LTDA</t>
        </is>
      </c>
      <c r="F4562" s="30" t="inlineStr">
        <is>
          <t>2020</t>
        </is>
      </c>
      <c r="G4562" s="40" t="n">
        <v>0</v>
      </c>
    </row>
    <row r="4563" ht="12" customHeight="1">
      <c r="A4563" s="30" t="inlineStr">
        <is>
          <t>ITG</t>
        </is>
      </c>
      <c r="B4563" s="30" t="inlineStr">
        <is>
          <t>Itaguai</t>
        </is>
      </c>
      <c r="C4563" s="30" t="n">
        <v>77812814</v>
      </c>
      <c r="D4563" s="30">
        <f>"06371265000182"</f>
        <v/>
      </c>
      <c r="E4563" s="30" t="inlineStr">
        <is>
          <t>MP 2019 TRANSPORTES LTDA</t>
        </is>
      </c>
      <c r="F4563" s="30" t="inlineStr">
        <is>
          <t>2021</t>
        </is>
      </c>
      <c r="G4563" s="40" t="n">
        <v>2568.41</v>
      </c>
    </row>
    <row r="4564" ht="12" customHeight="1">
      <c r="A4564" s="30" t="inlineStr">
        <is>
          <t>ITG</t>
        </is>
      </c>
      <c r="B4564" s="30" t="inlineStr">
        <is>
          <t>Itaguai</t>
        </is>
      </c>
      <c r="C4564" s="30" t="n">
        <v>77812814</v>
      </c>
      <c r="D4564" s="30">
        <f>"06371265000182"</f>
        <v/>
      </c>
      <c r="E4564" s="30" t="inlineStr">
        <is>
          <t>MP 2019 TRANSPORTES LTDA</t>
        </is>
      </c>
      <c r="F4564" s="30" t="inlineStr">
        <is>
          <t>2022</t>
        </is>
      </c>
      <c r="G4564" s="40" t="n">
        <v>0</v>
      </c>
    </row>
    <row r="4565" ht="12" customHeight="1">
      <c r="A4565" s="30" t="inlineStr">
        <is>
          <t>ITG</t>
        </is>
      </c>
      <c r="B4565" s="30" t="inlineStr">
        <is>
          <t>Itaguai</t>
        </is>
      </c>
      <c r="C4565" s="30" t="n">
        <v>77812814</v>
      </c>
      <c r="D4565" s="30">
        <f>"06371265000182"</f>
        <v/>
      </c>
      <c r="E4565" s="30" t="inlineStr">
        <is>
          <t>MP 2019 TRANSPORTES LTDA</t>
        </is>
      </c>
      <c r="F4565" s="30" t="inlineStr">
        <is>
          <t>2023</t>
        </is>
      </c>
      <c r="G4565" s="40" t="n">
        <v>0</v>
      </c>
    </row>
    <row r="4566" ht="12" customHeight="1">
      <c r="A4566" s="30" t="inlineStr">
        <is>
          <t>ITG</t>
        </is>
      </c>
      <c r="B4566" s="30" t="inlineStr">
        <is>
          <t>Itaguai</t>
        </is>
      </c>
      <c r="C4566" s="30" t="n">
        <v>77836349</v>
      </c>
      <c r="D4566" s="30">
        <f>"03708458000279"</f>
        <v/>
      </c>
      <c r="E4566" s="30" t="inlineStr">
        <is>
          <t>REDIVIX TRANSPORTES LTDA</t>
        </is>
      </c>
      <c r="F4566" s="30" t="inlineStr">
        <is>
          <t>2018</t>
        </is>
      </c>
      <c r="G4566" s="40" t="n">
        <v>0</v>
      </c>
    </row>
    <row r="4567" ht="12" customHeight="1">
      <c r="A4567" s="30" t="inlineStr">
        <is>
          <t>ITG</t>
        </is>
      </c>
      <c r="B4567" s="30" t="inlineStr">
        <is>
          <t>Itaguai</t>
        </is>
      </c>
      <c r="C4567" s="30" t="n">
        <v>77836349</v>
      </c>
      <c r="D4567" s="30">
        <f>"03708458000279"</f>
        <v/>
      </c>
      <c r="E4567" s="30" t="inlineStr">
        <is>
          <t>REDIVIX TRANSPORTES LTDA</t>
        </is>
      </c>
      <c r="F4567" s="30" t="inlineStr">
        <is>
          <t>2019</t>
        </is>
      </c>
      <c r="G4567" s="40" t="n">
        <v>0</v>
      </c>
    </row>
    <row r="4568" ht="12" customHeight="1">
      <c r="A4568" s="30" t="inlineStr">
        <is>
          <t>ITG</t>
        </is>
      </c>
      <c r="B4568" s="30" t="inlineStr">
        <is>
          <t>Itaguai</t>
        </is>
      </c>
      <c r="C4568" s="30" t="n">
        <v>77836349</v>
      </c>
      <c r="D4568" s="30">
        <f>"03708458000279"</f>
        <v/>
      </c>
      <c r="E4568" s="30" t="inlineStr">
        <is>
          <t>REDIVIX TRANSPORTES LTDA</t>
        </is>
      </c>
      <c r="F4568" s="30" t="inlineStr">
        <is>
          <t>2020</t>
        </is>
      </c>
      <c r="G4568" s="40" t="n">
        <v>593.83</v>
      </c>
    </row>
    <row r="4569" ht="12" customHeight="1">
      <c r="A4569" s="30" t="inlineStr">
        <is>
          <t>ITG</t>
        </is>
      </c>
      <c r="B4569" s="30" t="inlineStr">
        <is>
          <t>Itaguai</t>
        </is>
      </c>
      <c r="C4569" s="30" t="n">
        <v>77836349</v>
      </c>
      <c r="D4569" s="30">
        <f>"03708458000279"</f>
        <v/>
      </c>
      <c r="E4569" s="30" t="inlineStr">
        <is>
          <t>REDIVIX TRANSPORTES LTDA</t>
        </is>
      </c>
      <c r="F4569" s="30" t="inlineStr">
        <is>
          <t>2021</t>
        </is>
      </c>
      <c r="G4569" s="40" t="n">
        <v>689.5</v>
      </c>
    </row>
    <row r="4570" ht="12" customHeight="1">
      <c r="A4570" s="30" t="inlineStr">
        <is>
          <t>ITG</t>
        </is>
      </c>
      <c r="B4570" s="30" t="inlineStr">
        <is>
          <t>Itaguai</t>
        </is>
      </c>
      <c r="C4570" s="30" t="n">
        <v>77836349</v>
      </c>
      <c r="D4570" s="30">
        <f>"03708458000279"</f>
        <v/>
      </c>
      <c r="E4570" s="30" t="inlineStr">
        <is>
          <t>REDIVIX TRANSPORTES LTDA</t>
        </is>
      </c>
      <c r="F4570" s="30" t="inlineStr">
        <is>
          <t>2022</t>
        </is>
      </c>
      <c r="G4570" s="40" t="n">
        <v>712.52</v>
      </c>
    </row>
    <row r="4571" ht="12" customHeight="1">
      <c r="A4571" s="30" t="inlineStr">
        <is>
          <t>ITG</t>
        </is>
      </c>
      <c r="B4571" s="30" t="inlineStr">
        <is>
          <t>Itaguai</t>
        </is>
      </c>
      <c r="C4571" s="30" t="n">
        <v>77836349</v>
      </c>
      <c r="D4571" s="30">
        <f>"03708458000279"</f>
        <v/>
      </c>
      <c r="E4571" s="30" t="inlineStr">
        <is>
          <t>REDIVIX TRANSPORTES LTDA</t>
        </is>
      </c>
      <c r="F4571" s="30" t="inlineStr">
        <is>
          <t>2023</t>
        </is>
      </c>
      <c r="G4571" s="40" t="n">
        <v>3787.69</v>
      </c>
    </row>
    <row r="4572" ht="12" customHeight="1">
      <c r="A4572" s="30" t="inlineStr">
        <is>
          <t>ITG</t>
        </is>
      </c>
      <c r="B4572" s="30" t="inlineStr">
        <is>
          <t>Itaguai</t>
        </is>
      </c>
      <c r="C4572" s="30" t="n">
        <v>77838406</v>
      </c>
      <c r="D4572" s="30">
        <f>"07118913000156"</f>
        <v/>
      </c>
      <c r="E4572" s="30" t="inlineStr">
        <is>
          <t>TRANSPORTADORA BONS AMIGOS E M LOGISTICA LTDA EPP</t>
        </is>
      </c>
      <c r="F4572" s="30" t="inlineStr">
        <is>
          <t>2017</t>
        </is>
      </c>
      <c r="G4572" s="40" t="n">
        <v>911.39</v>
      </c>
    </row>
    <row r="4573" ht="12" customHeight="1">
      <c r="A4573" s="30" t="inlineStr">
        <is>
          <t>ITG</t>
        </is>
      </c>
      <c r="B4573" s="30" t="inlineStr">
        <is>
          <t>Itaguai</t>
        </is>
      </c>
      <c r="C4573" s="30" t="n">
        <v>77838406</v>
      </c>
      <c r="D4573" s="30">
        <f>"07118913000156"</f>
        <v/>
      </c>
      <c r="E4573" s="30" t="inlineStr">
        <is>
          <t>TRANSPORTADORA BONS AMIGOS E M LOGISTICA LTDA EPP</t>
        </is>
      </c>
      <c r="F4573" s="30" t="inlineStr">
        <is>
          <t>2018</t>
        </is>
      </c>
      <c r="G4573" s="40" t="n">
        <v>233.87</v>
      </c>
    </row>
    <row r="4574" ht="12" customHeight="1">
      <c r="A4574" s="30" t="inlineStr">
        <is>
          <t>ITG</t>
        </is>
      </c>
      <c r="B4574" s="30" t="inlineStr">
        <is>
          <t>Itaguai</t>
        </is>
      </c>
      <c r="C4574" s="30" t="n">
        <v>77838406</v>
      </c>
      <c r="D4574" s="30">
        <f>"07118913000156"</f>
        <v/>
      </c>
      <c r="E4574" s="30" t="inlineStr">
        <is>
          <t>TRANSPORTADORA BONS AMIGOS E M LOGISTICA LTDA EPP</t>
        </is>
      </c>
      <c r="F4574" s="30" t="inlineStr">
        <is>
          <t>2019</t>
        </is>
      </c>
      <c r="G4574" s="40" t="n">
        <v>8694.48</v>
      </c>
    </row>
    <row r="4575" ht="12" customHeight="1">
      <c r="A4575" s="30" t="inlineStr">
        <is>
          <t>ITG</t>
        </is>
      </c>
      <c r="B4575" s="30" t="inlineStr">
        <is>
          <t>Itaguai</t>
        </is>
      </c>
      <c r="C4575" s="30" t="n">
        <v>77838406</v>
      </c>
      <c r="D4575" s="30">
        <f>"07118913000156"</f>
        <v/>
      </c>
      <c r="E4575" s="30" t="inlineStr">
        <is>
          <t>TRANSPORTADORA BONS AMIGOS E M LOGISTICA LTDA EPP</t>
        </is>
      </c>
      <c r="F4575" s="30" t="inlineStr">
        <is>
          <t>2020</t>
        </is>
      </c>
      <c r="G4575" s="40" t="n">
        <v>4909.31</v>
      </c>
    </row>
    <row r="4576" ht="12" customHeight="1">
      <c r="A4576" s="30" t="inlineStr">
        <is>
          <t>ITG</t>
        </is>
      </c>
      <c r="B4576" s="30" t="inlineStr">
        <is>
          <t>Itaguai</t>
        </is>
      </c>
      <c r="C4576" s="30" t="n">
        <v>77838406</v>
      </c>
      <c r="D4576" s="30">
        <f>"07118913000156"</f>
        <v/>
      </c>
      <c r="E4576" s="30" t="inlineStr">
        <is>
          <t>TRANSPORTADORA BONS AMIGOS E M LOGISTICA LTDA EPP</t>
        </is>
      </c>
      <c r="F4576" s="30" t="inlineStr">
        <is>
          <t>2021</t>
        </is>
      </c>
      <c r="G4576" s="40" t="n">
        <v>0</v>
      </c>
    </row>
    <row r="4577" ht="12" customHeight="1">
      <c r="A4577" s="30" t="inlineStr">
        <is>
          <t>ITG</t>
        </is>
      </c>
      <c r="B4577" s="30" t="inlineStr">
        <is>
          <t>Itaguai</t>
        </is>
      </c>
      <c r="C4577" s="30" t="n">
        <v>77838406</v>
      </c>
      <c r="D4577" s="30">
        <f>"07118913000156"</f>
        <v/>
      </c>
      <c r="E4577" s="30" t="inlineStr">
        <is>
          <t>TRANSPORTADORA BONS AMIGOS E M LOGISTICA LTDA EPP</t>
        </is>
      </c>
      <c r="F4577" s="30" t="inlineStr">
        <is>
          <t>2022</t>
        </is>
      </c>
      <c r="G4577" s="40" t="n">
        <v>0</v>
      </c>
    </row>
    <row r="4578" ht="12" customHeight="1">
      <c r="A4578" s="30" t="inlineStr">
        <is>
          <t>ITG</t>
        </is>
      </c>
      <c r="B4578" s="30" t="inlineStr">
        <is>
          <t>Itaguai</t>
        </is>
      </c>
      <c r="C4578" s="30" t="n">
        <v>77838635</v>
      </c>
      <c r="D4578" s="30">
        <f>"07134567000108"</f>
        <v/>
      </c>
      <c r="E4578" s="30" t="inlineStr">
        <is>
          <t>H. MORAES PEREIRA LOCACÕES &amp; TRANSPORTES EIRELI</t>
        </is>
      </c>
      <c r="F4578" s="30" t="inlineStr">
        <is>
          <t>2017</t>
        </is>
      </c>
      <c r="G4578" s="40" t="n">
        <v>0</v>
      </c>
    </row>
    <row r="4579" ht="12" customHeight="1">
      <c r="A4579" s="30" t="inlineStr">
        <is>
          <t>ITG</t>
        </is>
      </c>
      <c r="B4579" s="30" t="inlineStr">
        <is>
          <t>Itaguai</t>
        </is>
      </c>
      <c r="C4579" s="30" t="n">
        <v>77838635</v>
      </c>
      <c r="D4579" s="30">
        <f>"07134567000108"</f>
        <v/>
      </c>
      <c r="E4579" s="30" t="inlineStr">
        <is>
          <t>H. MORAES PEREIRA LOCACÕES &amp; TRANSPORTES EIRELI</t>
        </is>
      </c>
      <c r="F4579" s="30" t="inlineStr">
        <is>
          <t>2018</t>
        </is>
      </c>
      <c r="G4579" s="40" t="n">
        <v>0</v>
      </c>
    </row>
    <row r="4580" ht="12" customHeight="1">
      <c r="A4580" s="30" t="inlineStr">
        <is>
          <t>ITG</t>
        </is>
      </c>
      <c r="B4580" s="30" t="inlineStr">
        <is>
          <t>Itaguai</t>
        </is>
      </c>
      <c r="C4580" s="30" t="n">
        <v>77838635</v>
      </c>
      <c r="D4580" s="30">
        <f>"07134567000108"</f>
        <v/>
      </c>
      <c r="E4580" s="30" t="inlineStr">
        <is>
          <t>H. MORAES PEREIRA LOCACÕES &amp; TRANSPORTES EIRELI</t>
        </is>
      </c>
      <c r="F4580" s="30" t="inlineStr">
        <is>
          <t>2019</t>
        </is>
      </c>
      <c r="G4580" s="40" t="n">
        <v>0</v>
      </c>
    </row>
    <row r="4581" ht="12" customHeight="1">
      <c r="A4581" s="30" t="inlineStr">
        <is>
          <t>ITG</t>
        </is>
      </c>
      <c r="B4581" s="30" t="inlineStr">
        <is>
          <t>Itaguai</t>
        </is>
      </c>
      <c r="C4581" s="30" t="n">
        <v>77838635</v>
      </c>
      <c r="D4581" s="30">
        <f>"07134567000108"</f>
        <v/>
      </c>
      <c r="E4581" s="30" t="inlineStr">
        <is>
          <t>H. MORAES PEREIRA LOCACÕES &amp; TRANSPORTES EIRELI</t>
        </is>
      </c>
      <c r="F4581" s="30" t="inlineStr">
        <is>
          <t>2020</t>
        </is>
      </c>
      <c r="G4581" s="40" t="n">
        <v>0</v>
      </c>
    </row>
    <row r="4582" ht="12" customHeight="1">
      <c r="A4582" s="30" t="inlineStr">
        <is>
          <t>ITG</t>
        </is>
      </c>
      <c r="B4582" s="30" t="inlineStr">
        <is>
          <t>Itaguai</t>
        </is>
      </c>
      <c r="C4582" s="30" t="n">
        <v>77838635</v>
      </c>
      <c r="D4582" s="30">
        <f>"07134567000108"</f>
        <v/>
      </c>
      <c r="E4582" s="30" t="inlineStr">
        <is>
          <t>H. MORAES PEREIRA LOCACÕES &amp; TRANSPORTES EIRELI</t>
        </is>
      </c>
      <c r="F4582" s="30" t="inlineStr">
        <is>
          <t>2021</t>
        </is>
      </c>
      <c r="G4582" s="40" t="n">
        <v>0</v>
      </c>
    </row>
    <row r="4583" ht="12" customHeight="1">
      <c r="A4583" s="30" t="inlineStr">
        <is>
          <t>ITG</t>
        </is>
      </c>
      <c r="B4583" s="30" t="inlineStr">
        <is>
          <t>Itaguai</t>
        </is>
      </c>
      <c r="C4583" s="30" t="n">
        <v>77842187</v>
      </c>
      <c r="D4583" s="30">
        <f>"31910037000180"</f>
        <v/>
      </c>
      <c r="E4583" s="30" t="inlineStr">
        <is>
          <t>DELCI DE FREITAS RIBEIRO SERRALHERIA</t>
        </is>
      </c>
      <c r="F4583" s="30" t="inlineStr">
        <is>
          <t>2017</t>
        </is>
      </c>
      <c r="G4583" s="40" t="n">
        <v>0</v>
      </c>
    </row>
    <row r="4584" ht="12" customHeight="1">
      <c r="A4584" s="30" t="inlineStr">
        <is>
          <t>ITG</t>
        </is>
      </c>
      <c r="B4584" s="30" t="inlineStr">
        <is>
          <t>Itaguai</t>
        </is>
      </c>
      <c r="C4584" s="30" t="n">
        <v>77842187</v>
      </c>
      <c r="D4584" s="30">
        <f>"31910037000180"</f>
        <v/>
      </c>
      <c r="E4584" s="30" t="inlineStr">
        <is>
          <t>DELCI DE FREITAS RIBEIRO SERRALHERIA</t>
        </is>
      </c>
      <c r="F4584" s="30" t="inlineStr">
        <is>
          <t>2018</t>
        </is>
      </c>
      <c r="G4584" s="40" t="n">
        <v>0</v>
      </c>
    </row>
    <row r="4585" ht="12" customHeight="1">
      <c r="A4585" s="30" t="inlineStr">
        <is>
          <t>ITG</t>
        </is>
      </c>
      <c r="B4585" s="30" t="inlineStr">
        <is>
          <t>Itaguai</t>
        </is>
      </c>
      <c r="C4585" s="30" t="n">
        <v>77842187</v>
      </c>
      <c r="D4585" s="30">
        <f>"31910037000180"</f>
        <v/>
      </c>
      <c r="E4585" s="30" t="inlineStr">
        <is>
          <t>DELCI DE FREITAS RIBEIRO SERRALHERIA</t>
        </is>
      </c>
      <c r="F4585" s="30" t="inlineStr">
        <is>
          <t>2019</t>
        </is>
      </c>
      <c r="G4585" s="40" t="n">
        <v>0</v>
      </c>
    </row>
    <row r="4586" ht="12" customHeight="1">
      <c r="A4586" s="30" t="inlineStr">
        <is>
          <t>ITG</t>
        </is>
      </c>
      <c r="B4586" s="30" t="inlineStr">
        <is>
          <t>Itaguai</t>
        </is>
      </c>
      <c r="C4586" s="30" t="n">
        <v>77842187</v>
      </c>
      <c r="D4586" s="30">
        <f>"31910037000180"</f>
        <v/>
      </c>
      <c r="E4586" s="30" t="inlineStr">
        <is>
          <t>DELCI DE FREITAS RIBEIRO SERRALHERIA</t>
        </is>
      </c>
      <c r="F4586" s="30" t="inlineStr">
        <is>
          <t>2020</t>
        </is>
      </c>
      <c r="G4586" s="40" t="n">
        <v>0</v>
      </c>
    </row>
    <row r="4587" ht="12" customHeight="1">
      <c r="A4587" s="30" t="inlineStr">
        <is>
          <t>ITG</t>
        </is>
      </c>
      <c r="B4587" s="30" t="inlineStr">
        <is>
          <t>Itaguai</t>
        </is>
      </c>
      <c r="C4587" s="30" t="n">
        <v>77842187</v>
      </c>
      <c r="D4587" s="30">
        <f>"31910037000180"</f>
        <v/>
      </c>
      <c r="E4587" s="30" t="inlineStr">
        <is>
          <t>DELCI DE FREITAS RIBEIRO SERRALHERIA</t>
        </is>
      </c>
      <c r="F4587" s="30" t="inlineStr">
        <is>
          <t>2021</t>
        </is>
      </c>
      <c r="G4587" s="40" t="n">
        <v>0</v>
      </c>
    </row>
    <row r="4588" ht="12" customHeight="1">
      <c r="A4588" s="30" t="inlineStr">
        <is>
          <t>ITG</t>
        </is>
      </c>
      <c r="B4588" s="30" t="inlineStr">
        <is>
          <t>Itaguai</t>
        </is>
      </c>
      <c r="C4588" s="30" t="n">
        <v>77848606</v>
      </c>
      <c r="D4588" s="30">
        <f>"07098894000143"</f>
        <v/>
      </c>
      <c r="E4588" s="30" t="inlineStr">
        <is>
          <t>POSTO DE GASOLINA PORTAL DO PORTO LTDA</t>
        </is>
      </c>
      <c r="F4588" s="30" t="inlineStr">
        <is>
          <t>2017</t>
        </is>
      </c>
      <c r="G4588" s="40" t="n">
        <v>30945.54</v>
      </c>
    </row>
    <row r="4589" ht="12" customHeight="1">
      <c r="A4589" s="30" t="inlineStr">
        <is>
          <t>ITG</t>
        </is>
      </c>
      <c r="B4589" s="30" t="inlineStr">
        <is>
          <t>Itaguai</t>
        </is>
      </c>
      <c r="C4589" s="30" t="n">
        <v>77848606</v>
      </c>
      <c r="D4589" s="30">
        <f>"07098894000143"</f>
        <v/>
      </c>
      <c r="E4589" s="30" t="inlineStr">
        <is>
          <t>POSTO DE GASOLINA PORTAL DO PORTO LTDA</t>
        </is>
      </c>
      <c r="F4589" s="30" t="inlineStr">
        <is>
          <t>2018</t>
        </is>
      </c>
      <c r="G4589" s="40" t="n">
        <v>0</v>
      </c>
    </row>
    <row r="4590" ht="12" customHeight="1">
      <c r="A4590" s="30" t="inlineStr">
        <is>
          <t>ITG</t>
        </is>
      </c>
      <c r="B4590" s="30" t="inlineStr">
        <is>
          <t>Itaguai</t>
        </is>
      </c>
      <c r="C4590" s="30" t="n">
        <v>77848606</v>
      </c>
      <c r="D4590" s="30">
        <f>"07098894000143"</f>
        <v/>
      </c>
      <c r="E4590" s="30" t="inlineStr">
        <is>
          <t>POSTO DE GASOLINA PORTAL DO PORTO LTDA</t>
        </is>
      </c>
      <c r="F4590" s="30" t="inlineStr">
        <is>
          <t>2019</t>
        </is>
      </c>
      <c r="G4590" s="40" t="n">
        <v>245265.58</v>
      </c>
    </row>
    <row r="4591" ht="12" customHeight="1">
      <c r="A4591" s="30" t="inlineStr">
        <is>
          <t>ITG</t>
        </is>
      </c>
      <c r="B4591" s="30" t="inlineStr">
        <is>
          <t>Itaguai</t>
        </is>
      </c>
      <c r="C4591" s="30" t="n">
        <v>77848606</v>
      </c>
      <c r="D4591" s="30">
        <f>"07098894000143"</f>
        <v/>
      </c>
      <c r="E4591" s="30" t="inlineStr">
        <is>
          <t>POSTO DE GASOLINA PORTAL DO PORTO LTDA</t>
        </is>
      </c>
      <c r="F4591" s="30" t="inlineStr">
        <is>
          <t>2020</t>
        </is>
      </c>
      <c r="G4591" s="40" t="n">
        <v>2504194.47</v>
      </c>
    </row>
    <row r="4592" ht="12" customHeight="1">
      <c r="A4592" s="30" t="inlineStr">
        <is>
          <t>ITG</t>
        </is>
      </c>
      <c r="B4592" s="30" t="inlineStr">
        <is>
          <t>Itaguai</t>
        </is>
      </c>
      <c r="C4592" s="30" t="n">
        <v>77848606</v>
      </c>
      <c r="D4592" s="30">
        <f>"07098894000143"</f>
        <v/>
      </c>
      <c r="E4592" s="30" t="inlineStr">
        <is>
          <t>POSTO DE GASOLINA PORTAL DO PORTO LTDA</t>
        </is>
      </c>
      <c r="F4592" s="30" t="inlineStr">
        <is>
          <t>2021</t>
        </is>
      </c>
      <c r="G4592" s="40" t="n">
        <v>1017071.27</v>
      </c>
    </row>
    <row r="4593" ht="12" customHeight="1">
      <c r="A4593" s="30" t="inlineStr">
        <is>
          <t>ITG</t>
        </is>
      </c>
      <c r="B4593" s="30" t="inlineStr">
        <is>
          <t>Itaguai</t>
        </is>
      </c>
      <c r="C4593" s="30" t="n">
        <v>77848606</v>
      </c>
      <c r="D4593" s="30">
        <f>"07098894000143"</f>
        <v/>
      </c>
      <c r="E4593" s="30" t="inlineStr">
        <is>
          <t>POSTO DE GASOLINA PORTAL DO PORTO LTDA</t>
        </is>
      </c>
      <c r="F4593" s="30" t="inlineStr">
        <is>
          <t>2022</t>
        </is>
      </c>
      <c r="G4593" s="40" t="n">
        <v>0</v>
      </c>
    </row>
    <row r="4594" ht="12" customHeight="1">
      <c r="A4594" s="30" t="inlineStr">
        <is>
          <t>ITG</t>
        </is>
      </c>
      <c r="B4594" s="30" t="inlineStr">
        <is>
          <t>Itaguai</t>
        </is>
      </c>
      <c r="C4594" s="30" t="n">
        <v>77848606</v>
      </c>
      <c r="D4594" s="30">
        <f>"07098894000143"</f>
        <v/>
      </c>
      <c r="E4594" s="30" t="inlineStr">
        <is>
          <t>POSTO DE GASOLINA PORTAL DO PORTO LTDA</t>
        </is>
      </c>
      <c r="F4594" s="30" t="inlineStr">
        <is>
          <t>2023</t>
        </is>
      </c>
      <c r="G4594" s="40" t="n">
        <v>0</v>
      </c>
    </row>
    <row r="4595" ht="12" customHeight="1">
      <c r="A4595" s="30" t="inlineStr">
        <is>
          <t>ITG</t>
        </is>
      </c>
      <c r="B4595" s="30" t="inlineStr">
        <is>
          <t>Itaguai</t>
        </is>
      </c>
      <c r="C4595" s="30" t="n">
        <v>77883517</v>
      </c>
      <c r="D4595" s="30">
        <f>"07228365000117"</f>
        <v/>
      </c>
      <c r="E4595" s="30" t="inlineStr">
        <is>
          <t>POLIBETUME SERVICOS DE PAVIMENTACAO LTDA</t>
        </is>
      </c>
      <c r="F4595" s="30" t="inlineStr">
        <is>
          <t>2017</t>
        </is>
      </c>
      <c r="G4595" s="40" t="n">
        <v>0</v>
      </c>
    </row>
    <row r="4596" ht="12" customHeight="1">
      <c r="A4596" s="30" t="inlineStr">
        <is>
          <t>ITG</t>
        </is>
      </c>
      <c r="B4596" s="30" t="inlineStr">
        <is>
          <t>Itaguai</t>
        </is>
      </c>
      <c r="C4596" s="30" t="n">
        <v>77883517</v>
      </c>
      <c r="D4596" s="30">
        <f>"07228365000117"</f>
        <v/>
      </c>
      <c r="E4596" s="30" t="inlineStr">
        <is>
          <t>POLIBETUME SERVICOS DE PAVIMENTACAO LTDA</t>
        </is>
      </c>
      <c r="F4596" s="30" t="inlineStr">
        <is>
          <t>2018</t>
        </is>
      </c>
      <c r="G4596" s="40" t="n">
        <v>0</v>
      </c>
    </row>
    <row r="4597" ht="12" customHeight="1">
      <c r="A4597" s="30" t="inlineStr">
        <is>
          <t>ITG</t>
        </is>
      </c>
      <c r="B4597" s="30" t="inlineStr">
        <is>
          <t>Itaguai</t>
        </is>
      </c>
      <c r="C4597" s="30" t="n">
        <v>77883517</v>
      </c>
      <c r="D4597" s="30">
        <f>"07228365000117"</f>
        <v/>
      </c>
      <c r="E4597" s="30" t="inlineStr">
        <is>
          <t>POLIBETUME SERVICOS DE PAVIMENTACAO LTDA</t>
        </is>
      </c>
      <c r="F4597" s="30" t="inlineStr">
        <is>
          <t>2019</t>
        </is>
      </c>
      <c r="G4597" s="40" t="n">
        <v>0</v>
      </c>
    </row>
    <row r="4598" ht="12" customHeight="1">
      <c r="A4598" s="30" t="inlineStr">
        <is>
          <t>ITG</t>
        </is>
      </c>
      <c r="B4598" s="30" t="inlineStr">
        <is>
          <t>Itaguai</t>
        </is>
      </c>
      <c r="C4598" s="30" t="n">
        <v>77883517</v>
      </c>
      <c r="D4598" s="30">
        <f>"07228365000117"</f>
        <v/>
      </c>
      <c r="E4598" s="30" t="inlineStr">
        <is>
          <t>POLIBETUME SERVICOS DE PAVIMENTACAO LTDA</t>
        </is>
      </c>
      <c r="F4598" s="30" t="inlineStr">
        <is>
          <t>2020</t>
        </is>
      </c>
      <c r="G4598" s="40" t="n">
        <v>0</v>
      </c>
    </row>
    <row r="4599" ht="12" customHeight="1">
      <c r="A4599" s="30" t="inlineStr">
        <is>
          <t>ITG</t>
        </is>
      </c>
      <c r="B4599" s="30" t="inlineStr">
        <is>
          <t>Itaguai</t>
        </is>
      </c>
      <c r="C4599" s="30" t="n">
        <v>77883568</v>
      </c>
      <c r="D4599" s="30">
        <f>"07274618000199"</f>
        <v/>
      </c>
      <c r="E4599" s="30" t="inlineStr">
        <is>
          <t>J A DE ITAGUAI VEICULOS LTDA</t>
        </is>
      </c>
      <c r="F4599" s="30" t="inlineStr">
        <is>
          <t>2017</t>
        </is>
      </c>
      <c r="G4599" s="40" t="n">
        <v>418234</v>
      </c>
    </row>
    <row r="4600" ht="12" customHeight="1">
      <c r="A4600" s="30" t="inlineStr">
        <is>
          <t>ITG</t>
        </is>
      </c>
      <c r="B4600" s="30" t="inlineStr">
        <is>
          <t>Itaguai</t>
        </is>
      </c>
      <c r="C4600" s="30" t="n">
        <v>77883568</v>
      </c>
      <c r="D4600" s="30">
        <f>"07274618000199"</f>
        <v/>
      </c>
      <c r="E4600" s="30" t="inlineStr">
        <is>
          <t>J A DE ITAGUAI VEICULOS LTDA</t>
        </is>
      </c>
      <c r="F4600" s="30" t="inlineStr">
        <is>
          <t>2018</t>
        </is>
      </c>
      <c r="G4600" s="40" t="n">
        <v>914060.77</v>
      </c>
    </row>
    <row r="4601" ht="12" customHeight="1">
      <c r="A4601" s="30" t="inlineStr">
        <is>
          <t>ITG</t>
        </is>
      </c>
      <c r="B4601" s="30" t="inlineStr">
        <is>
          <t>Itaguai</t>
        </is>
      </c>
      <c r="C4601" s="30" t="n">
        <v>77883568</v>
      </c>
      <c r="D4601" s="30">
        <f>"07274618000199"</f>
        <v/>
      </c>
      <c r="E4601" s="30" t="inlineStr">
        <is>
          <t>J A DE ITAGUAI VEICULOS LTDA</t>
        </is>
      </c>
      <c r="F4601" s="30" t="inlineStr">
        <is>
          <t>2019</t>
        </is>
      </c>
      <c r="G4601" s="40" t="n">
        <v>441621.92</v>
      </c>
    </row>
    <row r="4602" ht="12" customHeight="1">
      <c r="A4602" s="30" t="inlineStr">
        <is>
          <t>ITG</t>
        </is>
      </c>
      <c r="B4602" s="30" t="inlineStr">
        <is>
          <t>Itaguai</t>
        </is>
      </c>
      <c r="C4602" s="30" t="n">
        <v>77883568</v>
      </c>
      <c r="D4602" s="30">
        <f>"07274618000199"</f>
        <v/>
      </c>
      <c r="E4602" s="30" t="inlineStr">
        <is>
          <t>J A DE ITAGUAI VEICULOS LTDA</t>
        </is>
      </c>
      <c r="F4602" s="30" t="inlineStr">
        <is>
          <t>2020</t>
        </is>
      </c>
      <c r="G4602" s="40" t="n">
        <v>996088.11</v>
      </c>
    </row>
    <row r="4603" ht="12" customHeight="1">
      <c r="A4603" s="30" t="inlineStr">
        <is>
          <t>ITG</t>
        </is>
      </c>
      <c r="B4603" s="30" t="inlineStr">
        <is>
          <t>Itaguai</t>
        </is>
      </c>
      <c r="C4603" s="30" t="n">
        <v>77883568</v>
      </c>
      <c r="D4603" s="30">
        <f>"07274618000199"</f>
        <v/>
      </c>
      <c r="E4603" s="30" t="inlineStr">
        <is>
          <t>J A DE ITAGUAI VEICULOS LTDA</t>
        </is>
      </c>
      <c r="F4603" s="30" t="inlineStr">
        <is>
          <t>2021</t>
        </is>
      </c>
      <c r="G4603" s="40" t="n">
        <v>291279.92</v>
      </c>
    </row>
    <row r="4604" ht="12" customHeight="1">
      <c r="A4604" s="30" t="inlineStr">
        <is>
          <t>ITG</t>
        </is>
      </c>
      <c r="B4604" s="30" t="inlineStr">
        <is>
          <t>Itaguai</t>
        </is>
      </c>
      <c r="C4604" s="30" t="n">
        <v>77883568</v>
      </c>
      <c r="D4604" s="30">
        <f>"07274618000199"</f>
        <v/>
      </c>
      <c r="E4604" s="30" t="inlineStr">
        <is>
          <t>J A DE ITAGUAI VEICULOS LTDA</t>
        </is>
      </c>
      <c r="F4604" s="30" t="inlineStr">
        <is>
          <t>2022</t>
        </is>
      </c>
      <c r="G4604" s="40" t="n">
        <v>1167953.64</v>
      </c>
    </row>
    <row r="4605" ht="12" customHeight="1">
      <c r="A4605" s="30" t="inlineStr">
        <is>
          <t>ITG</t>
        </is>
      </c>
      <c r="B4605" s="30" t="inlineStr">
        <is>
          <t>Itaguai</t>
        </is>
      </c>
      <c r="C4605" s="30" t="n">
        <v>77883568</v>
      </c>
      <c r="D4605" s="30">
        <f>"07274618000199"</f>
        <v/>
      </c>
      <c r="E4605" s="30" t="inlineStr">
        <is>
          <t>J A DE ITAGUAI VEICULOS LTDA</t>
        </is>
      </c>
      <c r="F4605" s="30" t="inlineStr">
        <is>
          <t>2023</t>
        </is>
      </c>
      <c r="G4605" s="40" t="n">
        <v>229127.05</v>
      </c>
    </row>
    <row r="4606" ht="12" customHeight="1">
      <c r="A4606" s="30" t="inlineStr">
        <is>
          <t>ITG</t>
        </is>
      </c>
      <c r="B4606" s="30" t="inlineStr">
        <is>
          <t>Itaguai</t>
        </is>
      </c>
      <c r="C4606" s="30" t="n">
        <v>77892001</v>
      </c>
      <c r="D4606" s="30">
        <f>"07304874000181"</f>
        <v/>
      </c>
      <c r="E4606" s="30" t="inlineStr">
        <is>
          <t>WWW ROSA BAZAR LTDA ME</t>
        </is>
      </c>
      <c r="F4606" s="30" t="inlineStr">
        <is>
          <t>2017</t>
        </is>
      </c>
      <c r="G4606" s="40" t="n">
        <v>0</v>
      </c>
    </row>
    <row r="4607" ht="12" customHeight="1">
      <c r="A4607" s="30" t="inlineStr">
        <is>
          <t>ITG</t>
        </is>
      </c>
      <c r="B4607" s="30" t="inlineStr">
        <is>
          <t>Itaguai</t>
        </is>
      </c>
      <c r="C4607" s="30" t="n">
        <v>77892001</v>
      </c>
      <c r="D4607" s="30">
        <f>"07304874000181"</f>
        <v/>
      </c>
      <c r="E4607" s="30" t="inlineStr">
        <is>
          <t>WWW ROSA BAZAR LTDA ME</t>
        </is>
      </c>
      <c r="F4607" s="30" t="inlineStr">
        <is>
          <t>2018</t>
        </is>
      </c>
      <c r="G4607" s="40" t="n">
        <v>0</v>
      </c>
    </row>
    <row r="4608" ht="12" customHeight="1">
      <c r="A4608" s="30" t="inlineStr">
        <is>
          <t>ITG</t>
        </is>
      </c>
      <c r="B4608" s="30" t="inlineStr">
        <is>
          <t>Itaguai</t>
        </is>
      </c>
      <c r="C4608" s="30" t="n">
        <v>77892001</v>
      </c>
      <c r="D4608" s="30">
        <f>"07304874000181"</f>
        <v/>
      </c>
      <c r="E4608" s="30" t="inlineStr">
        <is>
          <t>WWW ROSA BAZAR LTDA ME</t>
        </is>
      </c>
      <c r="F4608" s="30" t="inlineStr">
        <is>
          <t>2019</t>
        </is>
      </c>
      <c r="G4608" s="40" t="n">
        <v>0</v>
      </c>
    </row>
    <row r="4609" ht="12" customHeight="1">
      <c r="A4609" s="30" t="inlineStr">
        <is>
          <t>ITG</t>
        </is>
      </c>
      <c r="B4609" s="30" t="inlineStr">
        <is>
          <t>Itaguai</t>
        </is>
      </c>
      <c r="C4609" s="30" t="n">
        <v>77892001</v>
      </c>
      <c r="D4609" s="30">
        <f>"07304874000181"</f>
        <v/>
      </c>
      <c r="E4609" s="30" t="inlineStr">
        <is>
          <t>WWW ROSA BAZAR LTDA ME</t>
        </is>
      </c>
      <c r="F4609" s="30" t="inlineStr">
        <is>
          <t>2020</t>
        </is>
      </c>
      <c r="G4609" s="40" t="n">
        <v>0</v>
      </c>
    </row>
    <row r="4610" ht="12" customHeight="1">
      <c r="A4610" s="30" t="inlineStr">
        <is>
          <t>ITG</t>
        </is>
      </c>
      <c r="B4610" s="30" t="inlineStr">
        <is>
          <t>Itaguai</t>
        </is>
      </c>
      <c r="C4610" s="30" t="n">
        <v>77907912</v>
      </c>
      <c r="D4610" s="30">
        <f>"31562358000131"</f>
        <v/>
      </c>
      <c r="E4610" s="30" t="inlineStr">
        <is>
          <t>R R DA SILVA MERCEARIA ME</t>
        </is>
      </c>
      <c r="F4610" s="30" t="inlineStr">
        <is>
          <t>2021</t>
        </is>
      </c>
      <c r="G4610" s="40" t="n">
        <v>0</v>
      </c>
    </row>
    <row r="4611" ht="12" customHeight="1">
      <c r="A4611" s="30" t="inlineStr">
        <is>
          <t>ITG</t>
        </is>
      </c>
      <c r="B4611" s="30" t="inlineStr">
        <is>
          <t>Itaguai</t>
        </is>
      </c>
      <c r="C4611" s="30" t="n">
        <v>77907912</v>
      </c>
      <c r="D4611" s="30">
        <f>"31562358000131"</f>
        <v/>
      </c>
      <c r="E4611" s="30" t="inlineStr">
        <is>
          <t>R R DA SILVA MERCEARIA ME</t>
        </is>
      </c>
      <c r="F4611" s="30" t="inlineStr">
        <is>
          <t>2022</t>
        </is>
      </c>
      <c r="G4611" s="40" t="n">
        <v>0</v>
      </c>
    </row>
    <row r="4612" ht="12" customHeight="1">
      <c r="A4612" s="30" t="inlineStr">
        <is>
          <t>ITG</t>
        </is>
      </c>
      <c r="B4612" s="30" t="inlineStr">
        <is>
          <t>Itaguai</t>
        </is>
      </c>
      <c r="C4612" s="30" t="n">
        <v>77907912</v>
      </c>
      <c r="D4612" s="30">
        <f>"31562358000131"</f>
        <v/>
      </c>
      <c r="E4612" s="30" t="inlineStr">
        <is>
          <t>R R DA SILVA MERCEARIA ME</t>
        </is>
      </c>
      <c r="F4612" s="30" t="inlineStr">
        <is>
          <t>2023</t>
        </is>
      </c>
      <c r="G4612" s="40" t="n">
        <v>0</v>
      </c>
    </row>
    <row r="4613" ht="12" customHeight="1">
      <c r="A4613" s="30" t="inlineStr">
        <is>
          <t>ITG</t>
        </is>
      </c>
      <c r="B4613" s="30" t="inlineStr">
        <is>
          <t>Itaguai</t>
        </is>
      </c>
      <c r="C4613" s="30" t="n">
        <v>77909028</v>
      </c>
      <c r="D4613" s="30">
        <f>"03558055001009"</f>
        <v/>
      </c>
      <c r="E4613" s="30" t="inlineStr">
        <is>
          <t>INTERMODAL BRASIL LOGISTICA LTDA</t>
        </is>
      </c>
      <c r="F4613" s="30" t="inlineStr">
        <is>
          <t>2017</t>
        </is>
      </c>
      <c r="G4613" s="40" t="n">
        <v>83.98</v>
      </c>
    </row>
    <row r="4614" ht="12" customHeight="1">
      <c r="A4614" s="30" t="inlineStr">
        <is>
          <t>ITG</t>
        </is>
      </c>
      <c r="B4614" s="30" t="inlineStr">
        <is>
          <t>Itaguai</t>
        </is>
      </c>
      <c r="C4614" s="30" t="n">
        <v>77909028</v>
      </c>
      <c r="D4614" s="30">
        <f>"03558055001009"</f>
        <v/>
      </c>
      <c r="E4614" s="30" t="inlineStr">
        <is>
          <t>INTERMODAL BRASIL LOGISTICA LTDA</t>
        </is>
      </c>
      <c r="F4614" s="30" t="inlineStr">
        <is>
          <t>2018</t>
        </is>
      </c>
      <c r="G4614" s="40" t="n">
        <v>2609.44</v>
      </c>
    </row>
    <row r="4615" ht="12" customHeight="1">
      <c r="A4615" s="30" t="inlineStr">
        <is>
          <t>ITG</t>
        </is>
      </c>
      <c r="B4615" s="30" t="inlineStr">
        <is>
          <t>Itaguai</t>
        </is>
      </c>
      <c r="C4615" s="30" t="n">
        <v>77909028</v>
      </c>
      <c r="D4615" s="30">
        <f>"03558055001009"</f>
        <v/>
      </c>
      <c r="E4615" s="30" t="inlineStr">
        <is>
          <t>INTERMODAL BRASIL LOGISTICA LTDA</t>
        </is>
      </c>
      <c r="F4615" s="30" t="inlineStr">
        <is>
          <t>2019</t>
        </is>
      </c>
      <c r="G4615" s="40" t="n">
        <v>0</v>
      </c>
    </row>
    <row r="4616" ht="12" customHeight="1">
      <c r="A4616" s="30" t="inlineStr">
        <is>
          <t>ITG</t>
        </is>
      </c>
      <c r="B4616" s="30" t="inlineStr">
        <is>
          <t>Itaguai</t>
        </is>
      </c>
      <c r="C4616" s="30" t="n">
        <v>77909028</v>
      </c>
      <c r="D4616" s="30">
        <f>"03558055001009"</f>
        <v/>
      </c>
      <c r="E4616" s="30" t="inlineStr">
        <is>
          <t>INTERMODAL BRASIL LOGISTICA LTDA</t>
        </is>
      </c>
      <c r="F4616" s="30" t="inlineStr">
        <is>
          <t>2020</t>
        </is>
      </c>
      <c r="G4616" s="40" t="n">
        <v>259.71</v>
      </c>
    </row>
    <row r="4617" ht="12" customHeight="1">
      <c r="A4617" s="30" t="inlineStr">
        <is>
          <t>ITG</t>
        </is>
      </c>
      <c r="B4617" s="30" t="inlineStr">
        <is>
          <t>Itaguai</t>
        </is>
      </c>
      <c r="C4617" s="30" t="n">
        <v>77909028</v>
      </c>
      <c r="D4617" s="30">
        <f>"03558055001009"</f>
        <v/>
      </c>
      <c r="E4617" s="30" t="inlineStr">
        <is>
          <t>INTERMODAL BRASIL LOGISTICA LTDA</t>
        </is>
      </c>
      <c r="F4617" s="30" t="inlineStr">
        <is>
          <t>2021</t>
        </is>
      </c>
      <c r="G4617" s="40" t="n">
        <v>0</v>
      </c>
    </row>
    <row r="4618" ht="12" customHeight="1">
      <c r="A4618" s="30" t="inlineStr">
        <is>
          <t>ITG</t>
        </is>
      </c>
      <c r="B4618" s="30" t="inlineStr">
        <is>
          <t>Itaguai</t>
        </is>
      </c>
      <c r="C4618" s="30" t="n">
        <v>77909028</v>
      </c>
      <c r="D4618" s="30">
        <f>"03558055001009"</f>
        <v/>
      </c>
      <c r="E4618" s="30" t="inlineStr">
        <is>
          <t>INTERMODAL BRASIL LOGISTICA LTDA</t>
        </is>
      </c>
      <c r="F4618" s="30" t="inlineStr">
        <is>
          <t>2022</t>
        </is>
      </c>
      <c r="G4618" s="40" t="n">
        <v>0</v>
      </c>
    </row>
    <row r="4619" ht="12" customHeight="1">
      <c r="A4619" s="30" t="inlineStr">
        <is>
          <t>ITG</t>
        </is>
      </c>
      <c r="B4619" s="30" t="inlineStr">
        <is>
          <t>Itaguai</t>
        </is>
      </c>
      <c r="C4619" s="30" t="n">
        <v>77910042</v>
      </c>
      <c r="D4619" s="30">
        <f>"07244182000195"</f>
        <v/>
      </c>
      <c r="E4619" s="30" t="inlineStr">
        <is>
          <t>CARGO ONIX RIO LOGISTICA DE TRANSPORTE DE CARGAS LTDA</t>
        </is>
      </c>
      <c r="F4619" s="30" t="inlineStr">
        <is>
          <t>2017</t>
        </is>
      </c>
      <c r="G4619" s="40" t="n">
        <v>0</v>
      </c>
    </row>
    <row r="4620" ht="12" customHeight="1">
      <c r="A4620" s="30" t="inlineStr">
        <is>
          <t>ITG</t>
        </is>
      </c>
      <c r="B4620" s="30" t="inlineStr">
        <is>
          <t>Itaguai</t>
        </is>
      </c>
      <c r="C4620" s="30" t="n">
        <v>77910042</v>
      </c>
      <c r="D4620" s="30">
        <f>"07244182000195"</f>
        <v/>
      </c>
      <c r="E4620" s="30" t="inlineStr">
        <is>
          <t>CARGO ONIX RIO LOGISTICA DE TRANSPORTE DE CARGAS LTDA</t>
        </is>
      </c>
      <c r="F4620" s="30" t="inlineStr">
        <is>
          <t>2018</t>
        </is>
      </c>
      <c r="G4620" s="40" t="n">
        <v>2903.75</v>
      </c>
    </row>
    <row r="4621" ht="12" customHeight="1">
      <c r="A4621" s="30" t="inlineStr">
        <is>
          <t>ITG</t>
        </is>
      </c>
      <c r="B4621" s="30" t="inlineStr">
        <is>
          <t>Itaguai</t>
        </is>
      </c>
      <c r="C4621" s="30" t="n">
        <v>77910042</v>
      </c>
      <c r="D4621" s="30">
        <f>"07244182000195"</f>
        <v/>
      </c>
      <c r="E4621" s="30" t="inlineStr">
        <is>
          <t>CARGO ONIX RIO LOGISTICA DE TRANSPORTE DE CARGAS LTDA</t>
        </is>
      </c>
      <c r="F4621" s="30" t="inlineStr">
        <is>
          <t>2019</t>
        </is>
      </c>
      <c r="G4621" s="40" t="n">
        <v>0</v>
      </c>
    </row>
    <row r="4622" ht="12" customHeight="1">
      <c r="A4622" s="30" t="inlineStr">
        <is>
          <t>ITG</t>
        </is>
      </c>
      <c r="B4622" s="30" t="inlineStr">
        <is>
          <t>Itaguai</t>
        </is>
      </c>
      <c r="C4622" s="30" t="n">
        <v>77910042</v>
      </c>
      <c r="D4622" s="30">
        <f>"07244182000195"</f>
        <v/>
      </c>
      <c r="E4622" s="30" t="inlineStr">
        <is>
          <t>CARGO ONIX RIO LOGISTICA DE TRANSPORTE DE CARGAS LTDA</t>
        </is>
      </c>
      <c r="F4622" s="30" t="inlineStr">
        <is>
          <t>2020</t>
        </is>
      </c>
      <c r="G4622" s="40" t="n">
        <v>0</v>
      </c>
    </row>
    <row r="4623" ht="12" customHeight="1">
      <c r="A4623" s="30" t="inlineStr">
        <is>
          <t>ITG</t>
        </is>
      </c>
      <c r="B4623" s="30" t="inlineStr">
        <is>
          <t>Itaguai</t>
        </is>
      </c>
      <c r="C4623" s="30" t="n">
        <v>77910042</v>
      </c>
      <c r="D4623" s="30">
        <f>"07244182000195"</f>
        <v/>
      </c>
      <c r="E4623" s="30" t="inlineStr">
        <is>
          <t>CARGO ONIX RIO LOGISTICA DE TRANSPORTE DE CARGAS LTDA</t>
        </is>
      </c>
      <c r="F4623" s="30" t="inlineStr">
        <is>
          <t>2021</t>
        </is>
      </c>
      <c r="G4623" s="40" t="n">
        <v>0</v>
      </c>
    </row>
    <row r="4624" ht="12" customHeight="1">
      <c r="A4624" s="30" t="inlineStr">
        <is>
          <t>ITG</t>
        </is>
      </c>
      <c r="B4624" s="30" t="inlineStr">
        <is>
          <t>Itaguai</t>
        </is>
      </c>
      <c r="C4624" s="30" t="n">
        <v>77910042</v>
      </c>
      <c r="D4624" s="30">
        <f>"07244182000195"</f>
        <v/>
      </c>
      <c r="E4624" s="30" t="inlineStr">
        <is>
          <t>CARGO ONIX RIO LOGISTICA DE TRANSPORTE DE CARGAS LTDA</t>
        </is>
      </c>
      <c r="F4624" s="30" t="inlineStr">
        <is>
          <t>2022</t>
        </is>
      </c>
      <c r="G4624" s="40" t="n">
        <v>267499.7</v>
      </c>
    </row>
    <row r="4625" ht="12" customHeight="1">
      <c r="A4625" s="30" t="inlineStr">
        <is>
          <t>ITG</t>
        </is>
      </c>
      <c r="B4625" s="30" t="inlineStr">
        <is>
          <t>Itaguai</t>
        </is>
      </c>
      <c r="C4625" s="30" t="n">
        <v>77910042</v>
      </c>
      <c r="D4625" s="30">
        <f>"07244182000195"</f>
        <v/>
      </c>
      <c r="E4625" s="30" t="inlineStr">
        <is>
          <t>CARGO ONIX RIO LOGISTICA DE TRANSPORTE DE CARGAS LTDA</t>
        </is>
      </c>
      <c r="F4625" s="30" t="inlineStr">
        <is>
          <t>2023</t>
        </is>
      </c>
      <c r="G4625" s="40" t="n">
        <v>171626.83</v>
      </c>
    </row>
    <row r="4626" ht="12" customHeight="1">
      <c r="A4626" s="30" t="inlineStr">
        <is>
          <t>ITG</t>
        </is>
      </c>
      <c r="B4626" s="30" t="inlineStr">
        <is>
          <t>Itaguai</t>
        </is>
      </c>
      <c r="C4626" s="30" t="n">
        <v>77916040</v>
      </c>
      <c r="D4626" s="30">
        <f>"07406991000156"</f>
        <v/>
      </c>
      <c r="E4626" s="30" t="inlineStr">
        <is>
          <t>DROGARIAS ATUAL DA COSTA VERDE LTDA</t>
        </is>
      </c>
      <c r="F4626" s="30" t="inlineStr">
        <is>
          <t>2017</t>
        </is>
      </c>
      <c r="G4626" s="40" t="n">
        <v>831176.7</v>
      </c>
    </row>
    <row r="4627" ht="12" customHeight="1">
      <c r="A4627" s="30" t="inlineStr">
        <is>
          <t>ITG</t>
        </is>
      </c>
      <c r="B4627" s="30" t="inlineStr">
        <is>
          <t>Itaguai</t>
        </is>
      </c>
      <c r="C4627" s="30" t="n">
        <v>77916040</v>
      </c>
      <c r="D4627" s="30">
        <f>"07406991000156"</f>
        <v/>
      </c>
      <c r="E4627" s="30" t="inlineStr">
        <is>
          <t>DROGARIAS ATUAL DA COSTA VERDE LTDA</t>
        </is>
      </c>
      <c r="F4627" s="30" t="inlineStr">
        <is>
          <t>2018</t>
        </is>
      </c>
      <c r="G4627" s="40" t="n">
        <v>2360567.4</v>
      </c>
    </row>
    <row r="4628" ht="12" customHeight="1">
      <c r="A4628" s="30" t="inlineStr">
        <is>
          <t>ITG</t>
        </is>
      </c>
      <c r="B4628" s="30" t="inlineStr">
        <is>
          <t>Itaguai</t>
        </is>
      </c>
      <c r="C4628" s="30" t="n">
        <v>77916040</v>
      </c>
      <c r="D4628" s="30">
        <f>"07406991000156"</f>
        <v/>
      </c>
      <c r="E4628" s="30" t="inlineStr">
        <is>
          <t>DROGARIAS ATUAL DA COSTA VERDE LTDA</t>
        </is>
      </c>
      <c r="F4628" s="30" t="inlineStr">
        <is>
          <t>2019</t>
        </is>
      </c>
      <c r="G4628" s="40" t="n">
        <v>0</v>
      </c>
    </row>
    <row r="4629" ht="12" customHeight="1">
      <c r="A4629" s="30" t="inlineStr">
        <is>
          <t>ITG</t>
        </is>
      </c>
      <c r="B4629" s="30" t="inlineStr">
        <is>
          <t>Itaguai</t>
        </is>
      </c>
      <c r="C4629" s="30" t="n">
        <v>77916040</v>
      </c>
      <c r="D4629" s="30">
        <f>"07406991000156"</f>
        <v/>
      </c>
      <c r="E4629" s="30" t="inlineStr">
        <is>
          <t>DROGARIAS ATUAL DA COSTA VERDE LTDA</t>
        </is>
      </c>
      <c r="F4629" s="30" t="inlineStr">
        <is>
          <t>2020</t>
        </is>
      </c>
      <c r="G4629" s="40" t="n">
        <v>1367217.08</v>
      </c>
    </row>
    <row r="4630" ht="12" customHeight="1">
      <c r="A4630" s="30" t="inlineStr">
        <is>
          <t>ITG</t>
        </is>
      </c>
      <c r="B4630" s="30" t="inlineStr">
        <is>
          <t>Itaguai</t>
        </is>
      </c>
      <c r="C4630" s="30" t="n">
        <v>77916040</v>
      </c>
      <c r="D4630" s="30">
        <f>"07406991000156"</f>
        <v/>
      </c>
      <c r="E4630" s="30" t="inlineStr">
        <is>
          <t>DROGARIAS ATUAL DA COSTA VERDE LTDA</t>
        </is>
      </c>
      <c r="F4630" s="30" t="inlineStr">
        <is>
          <t>2021</t>
        </is>
      </c>
      <c r="G4630" s="40" t="n">
        <v>37834.73</v>
      </c>
    </row>
    <row r="4631" ht="12" customHeight="1">
      <c r="A4631" s="30" t="inlineStr">
        <is>
          <t>ITG</t>
        </is>
      </c>
      <c r="B4631" s="30" t="inlineStr">
        <is>
          <t>Itaguai</t>
        </is>
      </c>
      <c r="C4631" s="30" t="n">
        <v>77916040</v>
      </c>
      <c r="D4631" s="30">
        <f>"07406991000156"</f>
        <v/>
      </c>
      <c r="E4631" s="30" t="inlineStr">
        <is>
          <t>DROGARIAS ATUAL DA COSTA VERDE LTDA</t>
        </is>
      </c>
      <c r="F4631" s="30" t="inlineStr">
        <is>
          <t>2022</t>
        </is>
      </c>
      <c r="G4631" s="40" t="n">
        <v>1150167.29</v>
      </c>
    </row>
    <row r="4632" ht="12" customHeight="1">
      <c r="A4632" s="30" t="inlineStr">
        <is>
          <t>ITG</t>
        </is>
      </c>
      <c r="B4632" s="30" t="inlineStr">
        <is>
          <t>Itaguai</t>
        </is>
      </c>
      <c r="C4632" s="30" t="n">
        <v>77916040</v>
      </c>
      <c r="D4632" s="30">
        <f>"07406991000156"</f>
        <v/>
      </c>
      <c r="E4632" s="30" t="inlineStr">
        <is>
          <t>DROGARIAS ATUAL DA COSTA VERDE LTDA</t>
        </is>
      </c>
      <c r="F4632" s="30" t="inlineStr">
        <is>
          <t>2023</t>
        </is>
      </c>
      <c r="G4632" s="40" t="n">
        <v>0</v>
      </c>
    </row>
    <row r="4633" ht="12" customHeight="1">
      <c r="A4633" s="30" t="inlineStr">
        <is>
          <t>ITG</t>
        </is>
      </c>
      <c r="B4633" s="30" t="inlineStr">
        <is>
          <t>Itaguai</t>
        </is>
      </c>
      <c r="C4633" s="30" t="n">
        <v>77922563</v>
      </c>
      <c r="D4633" s="30">
        <f>"73749335000180"</f>
        <v/>
      </c>
      <c r="E4633" s="30" t="inlineStr">
        <is>
          <t>YRUAMA RIO TRANSPORTES FRETAMENTO E TURISMO LTDA ME</t>
        </is>
      </c>
      <c r="F4633" s="30" t="inlineStr">
        <is>
          <t>2020</t>
        </is>
      </c>
      <c r="G4633" s="40" t="n">
        <v>0</v>
      </c>
    </row>
    <row r="4634" ht="12" customHeight="1">
      <c r="A4634" s="30" t="inlineStr">
        <is>
          <t>ITG</t>
        </is>
      </c>
      <c r="B4634" s="30" t="inlineStr">
        <is>
          <t>Itaguai</t>
        </is>
      </c>
      <c r="C4634" s="30" t="n">
        <v>77922563</v>
      </c>
      <c r="D4634" s="30">
        <f>"73749335000180"</f>
        <v/>
      </c>
      <c r="E4634" s="30" t="inlineStr">
        <is>
          <t>YRUAMA RIO TRANSPORTES FRETAMENTO E TURISMO LTDA ME</t>
        </is>
      </c>
      <c r="F4634" s="30" t="inlineStr">
        <is>
          <t>2021</t>
        </is>
      </c>
      <c r="G4634" s="40" t="n">
        <v>0</v>
      </c>
    </row>
    <row r="4635" ht="12" customHeight="1">
      <c r="A4635" s="30" t="inlineStr">
        <is>
          <t>ITG</t>
        </is>
      </c>
      <c r="B4635" s="30" t="inlineStr">
        <is>
          <t>Itaguai</t>
        </is>
      </c>
      <c r="C4635" s="30" t="n">
        <v>77922563</v>
      </c>
      <c r="D4635" s="30">
        <f>"73749335000180"</f>
        <v/>
      </c>
      <c r="E4635" s="30" t="inlineStr">
        <is>
          <t>YRUAMA RIO TRANSPORTES FRETAMENTO E TURISMO LTDA ME</t>
        </is>
      </c>
      <c r="F4635" s="30" t="inlineStr">
        <is>
          <t>2022</t>
        </is>
      </c>
      <c r="G4635" s="40" t="n">
        <v>41250</v>
      </c>
    </row>
    <row r="4636" ht="12" customHeight="1">
      <c r="A4636" s="30" t="inlineStr">
        <is>
          <t>ITG</t>
        </is>
      </c>
      <c r="B4636" s="30" t="inlineStr">
        <is>
          <t>Itaguai</t>
        </is>
      </c>
      <c r="C4636" s="30" t="n">
        <v>77922563</v>
      </c>
      <c r="D4636" s="30">
        <f>"73749335000180"</f>
        <v/>
      </c>
      <c r="E4636" s="30" t="inlineStr">
        <is>
          <t>YRUAMA RIO TRANSPORTES FRETAMENTO E TURISMO LTDA ME</t>
        </is>
      </c>
      <c r="F4636" s="30" t="inlineStr">
        <is>
          <t>2023</t>
        </is>
      </c>
      <c r="G4636" s="40" t="n">
        <v>132.5</v>
      </c>
    </row>
    <row r="4637" ht="12" customHeight="1">
      <c r="A4637" s="30" t="inlineStr">
        <is>
          <t>ITG</t>
        </is>
      </c>
      <c r="B4637" s="30" t="inlineStr">
        <is>
          <t>Itaguai</t>
        </is>
      </c>
      <c r="C4637" s="30" t="n">
        <v>77926658</v>
      </c>
      <c r="D4637" s="30">
        <f>"07431383000100"</f>
        <v/>
      </c>
      <c r="E4637" s="30" t="inlineStr">
        <is>
          <t>SILVA RANGEL COMERCIO E SERVI?OS LTDA</t>
        </is>
      </c>
      <c r="F4637" s="30" t="inlineStr">
        <is>
          <t>2017</t>
        </is>
      </c>
      <c r="G4637" s="40" t="n">
        <v>0</v>
      </c>
    </row>
    <row r="4638" ht="12" customHeight="1">
      <c r="A4638" s="30" t="inlineStr">
        <is>
          <t>ITG</t>
        </is>
      </c>
      <c r="B4638" s="30" t="inlineStr">
        <is>
          <t>Itaguai</t>
        </is>
      </c>
      <c r="C4638" s="30" t="n">
        <v>77926658</v>
      </c>
      <c r="D4638" s="30">
        <f>"07431383000100"</f>
        <v/>
      </c>
      <c r="E4638" s="30" t="inlineStr">
        <is>
          <t>SILVA RANGEL COMERCIO E SERVI?OS LTDA</t>
        </is>
      </c>
      <c r="F4638" s="30" t="inlineStr">
        <is>
          <t>2018</t>
        </is>
      </c>
      <c r="G4638" s="40" t="n">
        <v>0</v>
      </c>
    </row>
    <row r="4639" ht="12" customHeight="1">
      <c r="A4639" s="30" t="inlineStr">
        <is>
          <t>ITG</t>
        </is>
      </c>
      <c r="B4639" s="30" t="inlineStr">
        <is>
          <t>Itaguai</t>
        </is>
      </c>
      <c r="C4639" s="30" t="n">
        <v>77926658</v>
      </c>
      <c r="D4639" s="30">
        <f>"07431383000100"</f>
        <v/>
      </c>
      <c r="E4639" s="30" t="inlineStr">
        <is>
          <t>SILVA RANGEL COMERCIO E SERVI?OS LTDA</t>
        </is>
      </c>
      <c r="F4639" s="30" t="inlineStr">
        <is>
          <t>2019</t>
        </is>
      </c>
      <c r="G4639" s="40" t="n">
        <v>0</v>
      </c>
    </row>
    <row r="4640" ht="12" customHeight="1">
      <c r="A4640" s="30" t="inlineStr">
        <is>
          <t>ITG</t>
        </is>
      </c>
      <c r="B4640" s="30" t="inlineStr">
        <is>
          <t>Itaguai</t>
        </is>
      </c>
      <c r="C4640" s="30" t="n">
        <v>77926658</v>
      </c>
      <c r="D4640" s="30">
        <f>"07431383000100"</f>
        <v/>
      </c>
      <c r="E4640" s="30" t="inlineStr">
        <is>
          <t>SILVA RANGEL COMERCIO E SERVI?OS LTDA</t>
        </is>
      </c>
      <c r="F4640" s="30" t="inlineStr">
        <is>
          <t>2020</t>
        </is>
      </c>
      <c r="G4640" s="40" t="n">
        <v>0</v>
      </c>
    </row>
    <row r="4641" ht="12" customHeight="1">
      <c r="A4641" s="30" t="inlineStr">
        <is>
          <t>ITG</t>
        </is>
      </c>
      <c r="B4641" s="30" t="inlineStr">
        <is>
          <t>Itaguai</t>
        </is>
      </c>
      <c r="C4641" s="30" t="n">
        <v>77939156</v>
      </c>
      <c r="D4641" s="30">
        <f>"07478921000103"</f>
        <v/>
      </c>
      <c r="E4641" s="30" t="inlineStr">
        <is>
          <t>ACEROS TRANSPORTES LTDA</t>
        </is>
      </c>
      <c r="F4641" s="30" t="inlineStr">
        <is>
          <t>2017</t>
        </is>
      </c>
      <c r="G4641" s="40" t="n">
        <v>0</v>
      </c>
    </row>
    <row r="4642" ht="12" customHeight="1">
      <c r="A4642" s="30" t="inlineStr">
        <is>
          <t>ITG</t>
        </is>
      </c>
      <c r="B4642" s="30" t="inlineStr">
        <is>
          <t>Itaguai</t>
        </is>
      </c>
      <c r="C4642" s="30" t="n">
        <v>77939156</v>
      </c>
      <c r="D4642" s="30">
        <f>"07478921000103"</f>
        <v/>
      </c>
      <c r="E4642" s="30" t="inlineStr">
        <is>
          <t>ACEROS TRANSPORTES LTDA</t>
        </is>
      </c>
      <c r="F4642" s="30" t="inlineStr">
        <is>
          <t>2018</t>
        </is>
      </c>
      <c r="G4642" s="40" t="n">
        <v>6466.5</v>
      </c>
    </row>
    <row r="4643" ht="12" customHeight="1">
      <c r="A4643" s="30" t="inlineStr">
        <is>
          <t>ITG</t>
        </is>
      </c>
      <c r="B4643" s="30" t="inlineStr">
        <is>
          <t>Itaguai</t>
        </is>
      </c>
      <c r="C4643" s="30" t="n">
        <v>77939156</v>
      </c>
      <c r="D4643" s="30">
        <f>"07478921000103"</f>
        <v/>
      </c>
      <c r="E4643" s="30" t="inlineStr">
        <is>
          <t>ACEROS TRANSPORTES LTDA</t>
        </is>
      </c>
      <c r="F4643" s="30" t="inlineStr">
        <is>
          <t>2019</t>
        </is>
      </c>
      <c r="G4643" s="40" t="n">
        <v>0</v>
      </c>
    </row>
    <row r="4644" ht="12" customHeight="1">
      <c r="A4644" s="30" t="inlineStr">
        <is>
          <t>ITG</t>
        </is>
      </c>
      <c r="B4644" s="30" t="inlineStr">
        <is>
          <t>Itaguai</t>
        </is>
      </c>
      <c r="C4644" s="30" t="n">
        <v>77939156</v>
      </c>
      <c r="D4644" s="30">
        <f>"07478921000103"</f>
        <v/>
      </c>
      <c r="E4644" s="30" t="inlineStr">
        <is>
          <t>ACEROS TRANSPORTES LTDA</t>
        </is>
      </c>
      <c r="F4644" s="30" t="inlineStr">
        <is>
          <t>2020</t>
        </is>
      </c>
      <c r="G4644" s="40" t="n">
        <v>0</v>
      </c>
    </row>
    <row r="4645" ht="12" customHeight="1">
      <c r="A4645" s="30" t="inlineStr">
        <is>
          <t>ITG</t>
        </is>
      </c>
      <c r="B4645" s="30" t="inlineStr">
        <is>
          <t>Itaguai</t>
        </is>
      </c>
      <c r="C4645" s="30" t="n">
        <v>77953299</v>
      </c>
      <c r="D4645" s="30">
        <f>"29138302001346"</f>
        <v/>
      </c>
      <c r="E4645" s="30" t="inlineStr">
        <is>
          <t>PREFEITURA MUNICIPAL DE ITAGUAI</t>
        </is>
      </c>
      <c r="F4645" s="30" t="inlineStr">
        <is>
          <t>2017</t>
        </is>
      </c>
      <c r="G4645" s="40" t="n">
        <v>0</v>
      </c>
    </row>
    <row r="4646" ht="12" customHeight="1">
      <c r="A4646" s="30" t="inlineStr">
        <is>
          <t>ITG</t>
        </is>
      </c>
      <c r="B4646" s="30" t="inlineStr">
        <is>
          <t>Itaguai</t>
        </is>
      </c>
      <c r="C4646" s="30" t="n">
        <v>77953299</v>
      </c>
      <c r="D4646" s="30">
        <f>"29138302001346"</f>
        <v/>
      </c>
      <c r="E4646" s="30" t="inlineStr">
        <is>
          <t>PREFEITURA MUNICIPAL DE ITAGUAI</t>
        </is>
      </c>
      <c r="F4646" s="30" t="inlineStr">
        <is>
          <t>2018</t>
        </is>
      </c>
      <c r="G4646" s="40" t="n">
        <v>0</v>
      </c>
    </row>
    <row r="4647" ht="12" customHeight="1">
      <c r="A4647" s="30" t="inlineStr">
        <is>
          <t>ITG</t>
        </is>
      </c>
      <c r="B4647" s="30" t="inlineStr">
        <is>
          <t>Itaguai</t>
        </is>
      </c>
      <c r="C4647" s="30" t="n">
        <v>77953299</v>
      </c>
      <c r="D4647" s="30">
        <f>"29138302001346"</f>
        <v/>
      </c>
      <c r="E4647" s="30" t="inlineStr">
        <is>
          <t>PREFEITURA MUNICIPAL DE ITAGUAI</t>
        </is>
      </c>
      <c r="F4647" s="30" t="inlineStr">
        <is>
          <t>2019</t>
        </is>
      </c>
      <c r="G4647" s="40" t="n">
        <v>0</v>
      </c>
    </row>
    <row r="4648" ht="12" customHeight="1">
      <c r="A4648" s="30" t="inlineStr">
        <is>
          <t>ITG</t>
        </is>
      </c>
      <c r="B4648" s="30" t="inlineStr">
        <is>
          <t>Itaguai</t>
        </is>
      </c>
      <c r="C4648" s="30" t="n">
        <v>77954198</v>
      </c>
      <c r="D4648" s="30">
        <f>"05169278000291"</f>
        <v/>
      </c>
      <c r="E4648" s="30" t="inlineStr">
        <is>
          <t>MAGUI LUAN UTILIDADES LTDA</t>
        </is>
      </c>
      <c r="F4648" s="30" t="inlineStr">
        <is>
          <t>2017</t>
        </is>
      </c>
      <c r="G4648" s="40" t="n">
        <v>0</v>
      </c>
    </row>
    <row r="4649" ht="12" customHeight="1">
      <c r="A4649" s="30" t="inlineStr">
        <is>
          <t>ITG</t>
        </is>
      </c>
      <c r="B4649" s="30" t="inlineStr">
        <is>
          <t>Itaguai</t>
        </is>
      </c>
      <c r="C4649" s="30" t="n">
        <v>77954198</v>
      </c>
      <c r="D4649" s="30">
        <f>"05169278000291"</f>
        <v/>
      </c>
      <c r="E4649" s="30" t="inlineStr">
        <is>
          <t>MAGUI LUAN UTILIDADES LTDA</t>
        </is>
      </c>
      <c r="F4649" s="30" t="inlineStr">
        <is>
          <t>2018</t>
        </is>
      </c>
      <c r="G4649" s="40" t="n">
        <v>0</v>
      </c>
    </row>
    <row r="4650" ht="12" customHeight="1">
      <c r="A4650" s="30" t="inlineStr">
        <is>
          <t>ITG</t>
        </is>
      </c>
      <c r="B4650" s="30" t="inlineStr">
        <is>
          <t>Itaguai</t>
        </is>
      </c>
      <c r="C4650" s="30" t="n">
        <v>77954198</v>
      </c>
      <c r="D4650" s="30">
        <f>"05169278000291"</f>
        <v/>
      </c>
      <c r="E4650" s="30" t="inlineStr">
        <is>
          <t>MAGUI LUAN UTILIDADES LTDA</t>
        </is>
      </c>
      <c r="F4650" s="30" t="inlineStr">
        <is>
          <t>2019</t>
        </is>
      </c>
      <c r="G4650" s="40" t="n">
        <v>0</v>
      </c>
    </row>
    <row r="4651" ht="12" customHeight="1">
      <c r="A4651" s="30" t="inlineStr">
        <is>
          <t>ITG</t>
        </is>
      </c>
      <c r="B4651" s="30" t="inlineStr">
        <is>
          <t>Itaguai</t>
        </is>
      </c>
      <c r="C4651" s="30" t="n">
        <v>77954198</v>
      </c>
      <c r="D4651" s="30">
        <f>"05169278000291"</f>
        <v/>
      </c>
      <c r="E4651" s="30" t="inlineStr">
        <is>
          <t>MAGUI LUAN UTILIDADES LTDA</t>
        </is>
      </c>
      <c r="F4651" s="30" t="inlineStr">
        <is>
          <t>2020</t>
        </is>
      </c>
      <c r="G4651" s="40" t="n">
        <v>0</v>
      </c>
    </row>
    <row r="4652" ht="12" customHeight="1">
      <c r="A4652" s="30" t="inlineStr">
        <is>
          <t>ITG</t>
        </is>
      </c>
      <c r="B4652" s="30" t="inlineStr">
        <is>
          <t>Itaguai</t>
        </is>
      </c>
      <c r="C4652" s="30" t="n">
        <v>77954198</v>
      </c>
      <c r="D4652" s="30">
        <f>"05169278000291"</f>
        <v/>
      </c>
      <c r="E4652" s="30" t="inlineStr">
        <is>
          <t>MAGUI LUAN UTILIDADES LTDA</t>
        </is>
      </c>
      <c r="F4652" s="30" t="inlineStr">
        <is>
          <t>2021</t>
        </is>
      </c>
      <c r="G4652" s="40" t="n">
        <v>0</v>
      </c>
    </row>
    <row r="4653" ht="12" customHeight="1">
      <c r="A4653" s="30" t="inlineStr">
        <is>
          <t>ITG</t>
        </is>
      </c>
      <c r="B4653" s="30" t="inlineStr">
        <is>
          <t>Itaguai</t>
        </is>
      </c>
      <c r="C4653" s="30" t="n">
        <v>77954198</v>
      </c>
      <c r="D4653" s="30">
        <f>"05169278000291"</f>
        <v/>
      </c>
      <c r="E4653" s="30" t="inlineStr">
        <is>
          <t>MAGUI LUAN UTILIDADES LTDA</t>
        </is>
      </c>
      <c r="F4653" s="30" t="inlineStr">
        <is>
          <t>2022</t>
        </is>
      </c>
      <c r="G4653" s="40" t="n">
        <v>0</v>
      </c>
    </row>
    <row r="4654" ht="12" customHeight="1">
      <c r="A4654" s="30" t="inlineStr">
        <is>
          <t>ITG</t>
        </is>
      </c>
      <c r="B4654" s="30" t="inlineStr">
        <is>
          <t>Itaguai</t>
        </is>
      </c>
      <c r="C4654" s="30" t="n">
        <v>77954198</v>
      </c>
      <c r="D4654" s="30">
        <f>"05169278000291"</f>
        <v/>
      </c>
      <c r="E4654" s="30" t="inlineStr">
        <is>
          <t>MAGUI LUAN UTILIDADES LTDA</t>
        </is>
      </c>
      <c r="F4654" s="30" t="inlineStr">
        <is>
          <t>2023</t>
        </is>
      </c>
      <c r="G4654" s="40" t="n">
        <v>0</v>
      </c>
    </row>
    <row r="4655" ht="12" customHeight="1">
      <c r="A4655" s="30" t="inlineStr">
        <is>
          <t>ITG</t>
        </is>
      </c>
      <c r="B4655" s="30" t="inlineStr">
        <is>
          <t>Itaguai</t>
        </is>
      </c>
      <c r="C4655" s="30" t="n">
        <v>77957731</v>
      </c>
      <c r="D4655" s="30">
        <f>"38856126000305"</f>
        <v/>
      </c>
      <c r="E4655" s="30" t="inlineStr">
        <is>
          <t>TRANSPALLET TRANSPORTES E LOGISTICA LTDA</t>
        </is>
      </c>
      <c r="F4655" s="30" t="inlineStr">
        <is>
          <t>2020</t>
        </is>
      </c>
      <c r="G4655" s="40" t="n">
        <v>0</v>
      </c>
    </row>
    <row r="4656" ht="12" customHeight="1">
      <c r="A4656" s="30" t="inlineStr">
        <is>
          <t>ITG</t>
        </is>
      </c>
      <c r="B4656" s="30" t="inlineStr">
        <is>
          <t>Itaguai</t>
        </is>
      </c>
      <c r="C4656" s="30" t="n">
        <v>77957731</v>
      </c>
      <c r="D4656" s="30">
        <f>"38856126000305"</f>
        <v/>
      </c>
      <c r="E4656" s="30" t="inlineStr">
        <is>
          <t>TRANSPALLET TRANSPORTES E LOGISTICA LTDA</t>
        </is>
      </c>
      <c r="F4656" s="30" t="inlineStr">
        <is>
          <t>2021</t>
        </is>
      </c>
      <c r="G4656" s="40" t="n">
        <v>0</v>
      </c>
    </row>
    <row r="4657" ht="12" customHeight="1">
      <c r="A4657" s="30" t="inlineStr">
        <is>
          <t>ITG</t>
        </is>
      </c>
      <c r="B4657" s="30" t="inlineStr">
        <is>
          <t>Itaguai</t>
        </is>
      </c>
      <c r="C4657" s="30" t="n">
        <v>77957731</v>
      </c>
      <c r="D4657" s="30">
        <f>"38856126000305"</f>
        <v/>
      </c>
      <c r="E4657" s="30" t="inlineStr">
        <is>
          <t>TRANSPALLET TRANSPORTES E LOGISTICA LTDA</t>
        </is>
      </c>
      <c r="F4657" s="30" t="inlineStr">
        <is>
          <t>2022</t>
        </is>
      </c>
      <c r="G4657" s="40" t="n">
        <v>4801</v>
      </c>
    </row>
    <row r="4658" ht="12" customHeight="1">
      <c r="A4658" s="30" t="inlineStr">
        <is>
          <t>ITG</t>
        </is>
      </c>
      <c r="B4658" s="30" t="inlineStr">
        <is>
          <t>Itaguai</t>
        </is>
      </c>
      <c r="C4658" s="30" t="n">
        <v>77957731</v>
      </c>
      <c r="D4658" s="30">
        <f>"38856126000305"</f>
        <v/>
      </c>
      <c r="E4658" s="30" t="inlineStr">
        <is>
          <t>TRANSPALLET TRANSPORTES E LOGISTICA LTDA</t>
        </is>
      </c>
      <c r="F4658" s="30" t="inlineStr">
        <is>
          <t>2023</t>
        </is>
      </c>
      <c r="G4658" s="40" t="n">
        <v>0</v>
      </c>
    </row>
    <row r="4659" ht="12" customHeight="1">
      <c r="A4659" s="30" t="inlineStr">
        <is>
          <t>ITG</t>
        </is>
      </c>
      <c r="B4659" s="30" t="inlineStr">
        <is>
          <t>Itaguai</t>
        </is>
      </c>
      <c r="C4659" s="30" t="n">
        <v>77962140</v>
      </c>
      <c r="D4659" s="30">
        <f>"07536703000188"</f>
        <v/>
      </c>
      <c r="E4659" s="30" t="inlineStr">
        <is>
          <t>PORTOFER DE ITAGUAI COMERCIO DE FERRO E ACO LTDA</t>
        </is>
      </c>
      <c r="F4659" s="30" t="inlineStr">
        <is>
          <t>2017</t>
        </is>
      </c>
      <c r="G4659" s="40" t="n">
        <v>559247.4</v>
      </c>
    </row>
    <row r="4660" ht="12" customHeight="1">
      <c r="A4660" s="30" t="inlineStr">
        <is>
          <t>ITG</t>
        </is>
      </c>
      <c r="B4660" s="30" t="inlineStr">
        <is>
          <t>Itaguai</t>
        </is>
      </c>
      <c r="C4660" s="30" t="n">
        <v>77962140</v>
      </c>
      <c r="D4660" s="30">
        <f>"07536703000188"</f>
        <v/>
      </c>
      <c r="E4660" s="30" t="inlineStr">
        <is>
          <t>PORTOFER DE ITAGUAI COMERCIO DE FERRO E ACO LTDA</t>
        </is>
      </c>
      <c r="F4660" s="30" t="inlineStr">
        <is>
          <t>2018</t>
        </is>
      </c>
      <c r="G4660" s="40" t="n">
        <v>667111.53</v>
      </c>
    </row>
    <row r="4661" ht="12" customHeight="1">
      <c r="A4661" s="30" t="inlineStr">
        <is>
          <t>ITG</t>
        </is>
      </c>
      <c r="B4661" s="30" t="inlineStr">
        <is>
          <t>Itaguai</t>
        </is>
      </c>
      <c r="C4661" s="30" t="n">
        <v>77962140</v>
      </c>
      <c r="D4661" s="30">
        <f>"07536703000188"</f>
        <v/>
      </c>
      <c r="E4661" s="30" t="inlineStr">
        <is>
          <t>PORTOFER DE ITAGUAI COMERCIO DE FERRO E ACO LTDA</t>
        </is>
      </c>
      <c r="F4661" s="30" t="inlineStr">
        <is>
          <t>2019</t>
        </is>
      </c>
      <c r="G4661" s="40" t="n">
        <v>677384.45</v>
      </c>
    </row>
    <row r="4662" ht="12" customHeight="1">
      <c r="A4662" s="30" t="inlineStr">
        <is>
          <t>ITG</t>
        </is>
      </c>
      <c r="B4662" s="30" t="inlineStr">
        <is>
          <t>Itaguai</t>
        </is>
      </c>
      <c r="C4662" s="30" t="n">
        <v>77962140</v>
      </c>
      <c r="D4662" s="30">
        <f>"07536703000188"</f>
        <v/>
      </c>
      <c r="E4662" s="30" t="inlineStr">
        <is>
          <t>PORTOFER DE ITAGUAI COMERCIO DE FERRO E ACO LTDA</t>
        </is>
      </c>
      <c r="F4662" s="30" t="inlineStr">
        <is>
          <t>2020</t>
        </is>
      </c>
      <c r="G4662" s="40" t="n">
        <v>557512.95</v>
      </c>
    </row>
    <row r="4663" ht="12" customHeight="1">
      <c r="A4663" s="30" t="inlineStr">
        <is>
          <t>ITG</t>
        </is>
      </c>
      <c r="B4663" s="30" t="inlineStr">
        <is>
          <t>Itaguai</t>
        </is>
      </c>
      <c r="C4663" s="30" t="n">
        <v>77962140</v>
      </c>
      <c r="D4663" s="30">
        <f>"07536703000188"</f>
        <v/>
      </c>
      <c r="E4663" s="30" t="inlineStr">
        <is>
          <t>PORTOFER DE ITAGUAI COMERCIO DE FERRO E ACO LTDA</t>
        </is>
      </c>
      <c r="F4663" s="30" t="inlineStr">
        <is>
          <t>2021</t>
        </is>
      </c>
      <c r="G4663" s="40" t="n">
        <v>994919.6</v>
      </c>
    </row>
    <row r="4664" ht="12" customHeight="1">
      <c r="A4664" s="30" t="inlineStr">
        <is>
          <t>ITG</t>
        </is>
      </c>
      <c r="B4664" s="30" t="inlineStr">
        <is>
          <t>Itaguai</t>
        </is>
      </c>
      <c r="C4664" s="30" t="n">
        <v>77962140</v>
      </c>
      <c r="D4664" s="30">
        <f>"07536703000188"</f>
        <v/>
      </c>
      <c r="E4664" s="30" t="inlineStr">
        <is>
          <t>PORTOFER DE ITAGUAI COMERCIO DE FERRO E ACO LTDA</t>
        </is>
      </c>
      <c r="F4664" s="30" t="inlineStr">
        <is>
          <t>2022</t>
        </is>
      </c>
      <c r="G4664" s="40" t="n">
        <v>944918.77</v>
      </c>
    </row>
    <row r="4665" ht="12" customHeight="1">
      <c r="A4665" s="30" t="inlineStr">
        <is>
          <t>ITG</t>
        </is>
      </c>
      <c r="B4665" s="30" t="inlineStr">
        <is>
          <t>Itaguai</t>
        </is>
      </c>
      <c r="C4665" s="30" t="n">
        <v>77962140</v>
      </c>
      <c r="D4665" s="30">
        <f>"07536703000188"</f>
        <v/>
      </c>
      <c r="E4665" s="30" t="inlineStr">
        <is>
          <t>PORTOFER DE ITAGUAI COMERCIO DE FERRO E ACO LTDA</t>
        </is>
      </c>
      <c r="F4665" s="30" t="inlineStr">
        <is>
          <t>2023</t>
        </is>
      </c>
      <c r="G4665" s="40" t="n">
        <v>760857.97</v>
      </c>
    </row>
    <row r="4666" ht="12" customHeight="1">
      <c r="A4666" s="30" t="inlineStr">
        <is>
          <t>ITG</t>
        </is>
      </c>
      <c r="B4666" s="30" t="inlineStr">
        <is>
          <t>Itaguai</t>
        </is>
      </c>
      <c r="C4666" s="30" t="n">
        <v>77968938</v>
      </c>
      <c r="D4666" s="30">
        <f>"22447684000883"</f>
        <v/>
      </c>
      <c r="E4666" s="30" t="inlineStr">
        <is>
          <t>DGRA NEL TRANSPORTES E COMERCIO LTDA</t>
        </is>
      </c>
      <c r="F4666" s="30" t="inlineStr">
        <is>
          <t>2017</t>
        </is>
      </c>
      <c r="G4666" s="40" t="n">
        <v>2261702.69</v>
      </c>
    </row>
    <row r="4667" ht="12" customHeight="1">
      <c r="A4667" s="30" t="inlineStr">
        <is>
          <t>ITG</t>
        </is>
      </c>
      <c r="B4667" s="30" t="inlineStr">
        <is>
          <t>Itaguai</t>
        </is>
      </c>
      <c r="C4667" s="30" t="n">
        <v>77968938</v>
      </c>
      <c r="D4667" s="30">
        <f>"22447684000883"</f>
        <v/>
      </c>
      <c r="E4667" s="30" t="inlineStr">
        <is>
          <t>DGRA NEL TRANSPORTES E COMERCIO LTDA</t>
        </is>
      </c>
      <c r="F4667" s="30" t="inlineStr">
        <is>
          <t>2018</t>
        </is>
      </c>
      <c r="G4667" s="40" t="n">
        <v>0</v>
      </c>
    </row>
    <row r="4668" ht="12" customHeight="1">
      <c r="A4668" s="30" t="inlineStr">
        <is>
          <t>ITG</t>
        </is>
      </c>
      <c r="B4668" s="30" t="inlineStr">
        <is>
          <t>Itaguai</t>
        </is>
      </c>
      <c r="C4668" s="30" t="n">
        <v>77968938</v>
      </c>
      <c r="D4668" s="30">
        <f>"22447684000883"</f>
        <v/>
      </c>
      <c r="E4668" s="30" t="inlineStr">
        <is>
          <t>DGRA NEL TRANSPORTES E COMERCIO LTDA</t>
        </is>
      </c>
      <c r="F4668" s="30" t="inlineStr">
        <is>
          <t>2019</t>
        </is>
      </c>
      <c r="G4668" s="40" t="n">
        <v>2576096.33</v>
      </c>
    </row>
    <row r="4669" ht="12" customHeight="1">
      <c r="A4669" s="30" t="inlineStr">
        <is>
          <t>ITG</t>
        </is>
      </c>
      <c r="B4669" s="30" t="inlineStr">
        <is>
          <t>Itaguai</t>
        </is>
      </c>
      <c r="C4669" s="30" t="n">
        <v>77968938</v>
      </c>
      <c r="D4669" s="30">
        <f>"22447684000883"</f>
        <v/>
      </c>
      <c r="E4669" s="30" t="inlineStr">
        <is>
          <t>DGRA NEL TRANSPORTES E COMERCIO LTDA</t>
        </is>
      </c>
      <c r="F4669" s="30" t="inlineStr">
        <is>
          <t>2020</t>
        </is>
      </c>
      <c r="G4669" s="40" t="n">
        <v>192454.01</v>
      </c>
    </row>
    <row r="4670" ht="12" customHeight="1">
      <c r="A4670" s="30" t="inlineStr">
        <is>
          <t>ITG</t>
        </is>
      </c>
      <c r="B4670" s="30" t="inlineStr">
        <is>
          <t>Itaguai</t>
        </is>
      </c>
      <c r="C4670" s="30" t="n">
        <v>77968938</v>
      </c>
      <c r="D4670" s="30">
        <f>"22447684000883"</f>
        <v/>
      </c>
      <c r="E4670" s="30" t="inlineStr">
        <is>
          <t>DGRA NEL TRANSPORTES E COMERCIO LTDA</t>
        </is>
      </c>
      <c r="F4670" s="30" t="inlineStr">
        <is>
          <t>2021</t>
        </is>
      </c>
      <c r="G4670" s="40" t="n">
        <v>0</v>
      </c>
    </row>
    <row r="4671" ht="12" customHeight="1">
      <c r="A4671" s="30" t="inlineStr">
        <is>
          <t>ITG</t>
        </is>
      </c>
      <c r="B4671" s="30" t="inlineStr">
        <is>
          <t>Itaguai</t>
        </is>
      </c>
      <c r="C4671" s="30" t="n">
        <v>77968938</v>
      </c>
      <c r="D4671" s="30">
        <f>"22447684000883"</f>
        <v/>
      </c>
      <c r="E4671" s="30" t="inlineStr">
        <is>
          <t>DGRA NEL TRANSPORTES E COMERCIO LTDA</t>
        </is>
      </c>
      <c r="F4671" s="30" t="inlineStr">
        <is>
          <t>2022</t>
        </is>
      </c>
      <c r="G4671" s="40" t="n">
        <v>0</v>
      </c>
    </row>
    <row r="4672" ht="12" customHeight="1">
      <c r="A4672" s="30" t="inlineStr">
        <is>
          <t>ITG</t>
        </is>
      </c>
      <c r="B4672" s="30" t="inlineStr">
        <is>
          <t>Itaguai</t>
        </is>
      </c>
      <c r="C4672" s="30" t="n">
        <v>77983139</v>
      </c>
      <c r="D4672" s="30">
        <f>"02543119000136"</f>
        <v/>
      </c>
      <c r="E4672" s="30" t="inlineStr">
        <is>
          <t>ECO RJ GESTAO AMBIENTAL LTDA ¿ ME</t>
        </is>
      </c>
      <c r="F4672" s="30" t="inlineStr">
        <is>
          <t>2020</t>
        </is>
      </c>
      <c r="G4672" s="40" t="n">
        <v>0</v>
      </c>
    </row>
    <row r="4673" ht="12" customHeight="1">
      <c r="A4673" s="30" t="inlineStr">
        <is>
          <t>ITG</t>
        </is>
      </c>
      <c r="B4673" s="30" t="inlineStr">
        <is>
          <t>Itaguai</t>
        </is>
      </c>
      <c r="C4673" s="30" t="n">
        <v>77983139</v>
      </c>
      <c r="D4673" s="30">
        <f>"02543119000136"</f>
        <v/>
      </c>
      <c r="E4673" s="30" t="inlineStr">
        <is>
          <t>ECO RJ GESTAO AMBIENTAL LTDA ¿ ME</t>
        </is>
      </c>
      <c r="F4673" s="30" t="inlineStr">
        <is>
          <t>2021</t>
        </is>
      </c>
      <c r="G4673" s="40" t="n">
        <v>0</v>
      </c>
    </row>
    <row r="4674" ht="12" customHeight="1">
      <c r="A4674" s="30" t="inlineStr">
        <is>
          <t>ITG</t>
        </is>
      </c>
      <c r="B4674" s="30" t="inlineStr">
        <is>
          <t>Itaguai</t>
        </is>
      </c>
      <c r="C4674" s="30" t="n">
        <v>77983139</v>
      </c>
      <c r="D4674" s="30">
        <f>"02543119000136"</f>
        <v/>
      </c>
      <c r="E4674" s="30" t="inlineStr">
        <is>
          <t>ECO RJ GESTAO AMBIENTAL LTDA ¿ ME</t>
        </is>
      </c>
      <c r="F4674" s="30" t="inlineStr">
        <is>
          <t>2022</t>
        </is>
      </c>
      <c r="G4674" s="40" t="n">
        <v>0</v>
      </c>
    </row>
    <row r="4675" ht="12" customHeight="1">
      <c r="A4675" s="30" t="inlineStr">
        <is>
          <t>ITG</t>
        </is>
      </c>
      <c r="B4675" s="30" t="inlineStr">
        <is>
          <t>Itaguai</t>
        </is>
      </c>
      <c r="C4675" s="30" t="n">
        <v>77983139</v>
      </c>
      <c r="D4675" s="30">
        <f>"02543119000136"</f>
        <v/>
      </c>
      <c r="E4675" s="30" t="inlineStr">
        <is>
          <t>ECO RJ GESTAO AMBIENTAL LTDA ¿ ME</t>
        </is>
      </c>
      <c r="F4675" s="30" t="inlineStr">
        <is>
          <t>2023</t>
        </is>
      </c>
      <c r="G4675" s="40" t="n">
        <v>0</v>
      </c>
    </row>
    <row r="4676" ht="12" customHeight="1">
      <c r="A4676" s="30" t="inlineStr">
        <is>
          <t>ITG</t>
        </is>
      </c>
      <c r="B4676" s="30" t="inlineStr">
        <is>
          <t>Itaguai</t>
        </is>
      </c>
      <c r="C4676" s="30" t="n">
        <v>77985450</v>
      </c>
      <c r="D4676" s="30">
        <f>"05214323000100"</f>
        <v/>
      </c>
      <c r="E4676" s="30" t="inlineStr">
        <is>
          <t>RESTAURANTE LECASA DE ITAGUAI LTDA</t>
        </is>
      </c>
      <c r="F4676" s="30" t="inlineStr">
        <is>
          <t>2017</t>
        </is>
      </c>
      <c r="G4676" s="40" t="n">
        <v>0</v>
      </c>
    </row>
    <row r="4677" ht="12" customHeight="1">
      <c r="A4677" s="30" t="inlineStr">
        <is>
          <t>ITG</t>
        </is>
      </c>
      <c r="B4677" s="30" t="inlineStr">
        <is>
          <t>Itaguai</t>
        </is>
      </c>
      <c r="C4677" s="30" t="n">
        <v>77985450</v>
      </c>
      <c r="D4677" s="30">
        <f>"05214323000100"</f>
        <v/>
      </c>
      <c r="E4677" s="30" t="inlineStr">
        <is>
          <t>RESTAURANTE LECASA DE ITAGUAI LTDA</t>
        </is>
      </c>
      <c r="F4677" s="30" t="inlineStr">
        <is>
          <t>2018</t>
        </is>
      </c>
      <c r="G4677" s="40" t="n">
        <v>0</v>
      </c>
    </row>
    <row r="4678" ht="12" customHeight="1">
      <c r="A4678" s="30" t="inlineStr">
        <is>
          <t>ITG</t>
        </is>
      </c>
      <c r="B4678" s="30" t="inlineStr">
        <is>
          <t>Itaguai</t>
        </is>
      </c>
      <c r="C4678" s="30" t="n">
        <v>77985450</v>
      </c>
      <c r="D4678" s="30">
        <f>"05214323000100"</f>
        <v/>
      </c>
      <c r="E4678" s="30" t="inlineStr">
        <is>
          <t>RESTAURANTE LECASA DE ITAGUAI LTDA</t>
        </is>
      </c>
      <c r="F4678" s="30" t="inlineStr">
        <is>
          <t>2019</t>
        </is>
      </c>
      <c r="G4678" s="40" t="n">
        <v>0</v>
      </c>
    </row>
    <row r="4679" ht="12" customHeight="1">
      <c r="A4679" s="30" t="inlineStr">
        <is>
          <t>ITG</t>
        </is>
      </c>
      <c r="B4679" s="30" t="inlineStr">
        <is>
          <t>Itaguai</t>
        </is>
      </c>
      <c r="C4679" s="30" t="n">
        <v>77985450</v>
      </c>
      <c r="D4679" s="30">
        <f>"05214323000100"</f>
        <v/>
      </c>
      <c r="E4679" s="30" t="inlineStr">
        <is>
          <t>RESTAURANTE LECASA DE ITAGUAI LTDA</t>
        </is>
      </c>
      <c r="F4679" s="30" t="inlineStr">
        <is>
          <t>2020</t>
        </is>
      </c>
      <c r="G4679" s="40" t="n">
        <v>0</v>
      </c>
    </row>
    <row r="4680" ht="12" customHeight="1">
      <c r="A4680" s="30" t="inlineStr">
        <is>
          <t>ITG</t>
        </is>
      </c>
      <c r="B4680" s="30" t="inlineStr">
        <is>
          <t>Itaguai</t>
        </is>
      </c>
      <c r="C4680" s="30" t="n">
        <v>77997946</v>
      </c>
      <c r="D4680" s="30">
        <f>"03570345000179"</f>
        <v/>
      </c>
      <c r="E4680" s="30" t="inlineStr">
        <is>
          <t>TSE TRANSPORTES,LOCAÇÕES E EQUIPAMENTOS EIRELI</t>
        </is>
      </c>
      <c r="F4680" s="30" t="inlineStr">
        <is>
          <t>2020</t>
        </is>
      </c>
      <c r="G4680" s="40" t="n">
        <v>0</v>
      </c>
    </row>
    <row r="4681" ht="12" customHeight="1">
      <c r="A4681" s="30" t="inlineStr">
        <is>
          <t>ITG</t>
        </is>
      </c>
      <c r="B4681" s="30" t="inlineStr">
        <is>
          <t>Itaguai</t>
        </is>
      </c>
      <c r="C4681" s="30" t="n">
        <v>77997946</v>
      </c>
      <c r="D4681" s="30">
        <f>"03570345000179"</f>
        <v/>
      </c>
      <c r="E4681" s="30" t="inlineStr">
        <is>
          <t>TSE TRANSPORTES,LOCAÇÕES E EQUIPAMENTOS EIRELI</t>
        </is>
      </c>
      <c r="F4681" s="30" t="inlineStr">
        <is>
          <t>2021</t>
        </is>
      </c>
      <c r="G4681" s="40" t="n">
        <v>0</v>
      </c>
    </row>
    <row r="4682" ht="12" customHeight="1">
      <c r="A4682" s="30" t="inlineStr">
        <is>
          <t>ITG</t>
        </is>
      </c>
      <c r="B4682" s="30" t="inlineStr">
        <is>
          <t>Itaguai</t>
        </is>
      </c>
      <c r="C4682" s="30" t="n">
        <v>77997946</v>
      </c>
      <c r="D4682" s="30">
        <f>"03570345000179"</f>
        <v/>
      </c>
      <c r="E4682" s="30" t="inlineStr">
        <is>
          <t>TSE TRANSPORTES,LOCAÇÕES E EQUIPAMENTOS EIRELI</t>
        </is>
      </c>
      <c r="F4682" s="30" t="inlineStr">
        <is>
          <t>2022</t>
        </is>
      </c>
      <c r="G4682" s="40" t="n">
        <v>409</v>
      </c>
    </row>
    <row r="4683" ht="12" customHeight="1">
      <c r="A4683" s="30" t="inlineStr">
        <is>
          <t>ITG</t>
        </is>
      </c>
      <c r="B4683" s="30" t="inlineStr">
        <is>
          <t>Itaguai</t>
        </is>
      </c>
      <c r="C4683" s="30" t="n">
        <v>77997946</v>
      </c>
      <c r="D4683" s="30">
        <f>"03570345000179"</f>
        <v/>
      </c>
      <c r="E4683" s="30" t="inlineStr">
        <is>
          <t>TSE TRANSPORTES,LOCAÇÕES E EQUIPAMENTOS EIRELI</t>
        </is>
      </c>
      <c r="F4683" s="30" t="inlineStr">
        <is>
          <t>2023</t>
        </is>
      </c>
      <c r="G4683" s="40" t="n">
        <v>0</v>
      </c>
    </row>
    <row r="4684" ht="12" customHeight="1">
      <c r="A4684" s="30" t="inlineStr">
        <is>
          <t>ITG</t>
        </is>
      </c>
      <c r="B4684" s="30" t="inlineStr">
        <is>
          <t>Itaguai</t>
        </is>
      </c>
      <c r="C4684" s="30" t="n">
        <v>78002840</v>
      </c>
      <c r="D4684" s="30">
        <f>"40432544006269"</f>
        <v/>
      </c>
      <c r="E4684" s="30" t="inlineStr">
        <is>
          <t>CLARO S/A</t>
        </is>
      </c>
      <c r="F4684" s="30" t="inlineStr">
        <is>
          <t>2017</t>
        </is>
      </c>
      <c r="G4684" s="40" t="n">
        <v>52611225.71</v>
      </c>
    </row>
    <row r="4685" ht="12" customHeight="1">
      <c r="A4685" s="30" t="inlineStr">
        <is>
          <t>ITG</t>
        </is>
      </c>
      <c r="B4685" s="30" t="inlineStr">
        <is>
          <t>Itaguai</t>
        </is>
      </c>
      <c r="C4685" s="30" t="n">
        <v>78002840</v>
      </c>
      <c r="D4685" s="30">
        <f>"40432544006269"</f>
        <v/>
      </c>
      <c r="E4685" s="30" t="inlineStr">
        <is>
          <t>CLARO S/A</t>
        </is>
      </c>
      <c r="F4685" s="30" t="inlineStr">
        <is>
          <t>2018</t>
        </is>
      </c>
      <c r="G4685" s="40" t="n">
        <v>47329561.98</v>
      </c>
    </row>
    <row r="4686" ht="12" customHeight="1">
      <c r="A4686" s="30" t="inlineStr">
        <is>
          <t>ITG</t>
        </is>
      </c>
      <c r="B4686" s="30" t="inlineStr">
        <is>
          <t>Itaguai</t>
        </is>
      </c>
      <c r="C4686" s="30" t="n">
        <v>78002840</v>
      </c>
      <c r="D4686" s="30">
        <f>"40432544006269"</f>
        <v/>
      </c>
      <c r="E4686" s="30" t="inlineStr">
        <is>
          <t>CLARO S/A</t>
        </is>
      </c>
      <c r="F4686" s="30" t="inlineStr">
        <is>
          <t>2019</t>
        </is>
      </c>
      <c r="G4686" s="40" t="n">
        <v>44662157.32</v>
      </c>
    </row>
    <row r="4687" ht="12" customHeight="1">
      <c r="A4687" s="30" t="inlineStr">
        <is>
          <t>ITG</t>
        </is>
      </c>
      <c r="B4687" s="30" t="inlineStr">
        <is>
          <t>Itaguai</t>
        </is>
      </c>
      <c r="C4687" s="30" t="n">
        <v>78002840</v>
      </c>
      <c r="D4687" s="30">
        <f>"40432544006269"</f>
        <v/>
      </c>
      <c r="E4687" s="30" t="inlineStr">
        <is>
          <t>CLARO S/A</t>
        </is>
      </c>
      <c r="F4687" s="30" t="inlineStr">
        <is>
          <t>2020</t>
        </is>
      </c>
      <c r="G4687" s="40" t="n">
        <v>45132083.16</v>
      </c>
    </row>
    <row r="4688" ht="12" customHeight="1">
      <c r="A4688" s="30" t="inlineStr">
        <is>
          <t>ITG</t>
        </is>
      </c>
      <c r="B4688" s="30" t="inlineStr">
        <is>
          <t>Itaguai</t>
        </is>
      </c>
      <c r="C4688" s="30" t="n">
        <v>78002840</v>
      </c>
      <c r="D4688" s="30">
        <f>"40432544006269"</f>
        <v/>
      </c>
      <c r="E4688" s="30" t="inlineStr">
        <is>
          <t>CLARO S/A</t>
        </is>
      </c>
      <c r="F4688" s="30" t="inlineStr">
        <is>
          <t>2021</t>
        </is>
      </c>
      <c r="G4688" s="40" t="n">
        <v>37494925.61</v>
      </c>
    </row>
    <row r="4689" ht="12" customHeight="1">
      <c r="A4689" s="30" t="inlineStr">
        <is>
          <t>ITG</t>
        </is>
      </c>
      <c r="B4689" s="30" t="inlineStr">
        <is>
          <t>Itaguai</t>
        </is>
      </c>
      <c r="C4689" s="30" t="n">
        <v>78002840</v>
      </c>
      <c r="D4689" s="30">
        <f>"40432544006269"</f>
        <v/>
      </c>
      <c r="E4689" s="30" t="inlineStr">
        <is>
          <t>CLARO S/A</t>
        </is>
      </c>
      <c r="F4689" s="30" t="inlineStr">
        <is>
          <t>2022</t>
        </is>
      </c>
      <c r="G4689" s="40" t="n">
        <v>23140022.94</v>
      </c>
    </row>
    <row r="4690" ht="12" customHeight="1">
      <c r="A4690" s="30" t="inlineStr">
        <is>
          <t>ITG</t>
        </is>
      </c>
      <c r="B4690" s="30" t="inlineStr">
        <is>
          <t>Itaguai</t>
        </is>
      </c>
      <c r="C4690" s="30" t="n">
        <v>78002840</v>
      </c>
      <c r="D4690" s="30">
        <f>"40432544006269"</f>
        <v/>
      </c>
      <c r="E4690" s="30" t="inlineStr">
        <is>
          <t>CLARO S/A</t>
        </is>
      </c>
      <c r="F4690" s="30" t="inlineStr">
        <is>
          <t>2023</t>
        </is>
      </c>
      <c r="G4690" s="40" t="n">
        <v>23481209.74</v>
      </c>
    </row>
    <row r="4691" ht="12" customHeight="1">
      <c r="A4691" s="30" t="inlineStr">
        <is>
          <t>ITG</t>
        </is>
      </c>
      <c r="B4691" s="30" t="inlineStr">
        <is>
          <t>Itaguai</t>
        </is>
      </c>
      <c r="C4691" s="30" t="n">
        <v>78004320</v>
      </c>
      <c r="D4691" s="30">
        <f>"02906213000102"</f>
        <v/>
      </c>
      <c r="E4691" s="30" t="inlineStr">
        <is>
          <t>ARKITEC BRASIL SERVICOS DE MANUTENCAO PREDIAL - EIRELI</t>
        </is>
      </c>
      <c r="F4691" s="30" t="inlineStr">
        <is>
          <t>2017</t>
        </is>
      </c>
      <c r="G4691" s="40" t="n">
        <v>0</v>
      </c>
    </row>
    <row r="4692" ht="12" customHeight="1">
      <c r="A4692" s="30" t="inlineStr">
        <is>
          <t>ITG</t>
        </is>
      </c>
      <c r="B4692" s="30" t="inlineStr">
        <is>
          <t>Itaguai</t>
        </is>
      </c>
      <c r="C4692" s="30" t="n">
        <v>78004320</v>
      </c>
      <c r="D4692" s="30">
        <f>"02906213000102"</f>
        <v/>
      </c>
      <c r="E4692" s="30" t="inlineStr">
        <is>
          <t>ARKITEC BRASIL SERVICOS DE MANUTENCAO PREDIAL - EIRELI</t>
        </is>
      </c>
      <c r="F4692" s="30" t="inlineStr">
        <is>
          <t>2018</t>
        </is>
      </c>
      <c r="G4692" s="40" t="n">
        <v>0</v>
      </c>
    </row>
    <row r="4693" ht="12" customHeight="1">
      <c r="A4693" s="30" t="inlineStr">
        <is>
          <t>ITG</t>
        </is>
      </c>
      <c r="B4693" s="30" t="inlineStr">
        <is>
          <t>Itaguai</t>
        </is>
      </c>
      <c r="C4693" s="30" t="n">
        <v>78004320</v>
      </c>
      <c r="D4693" s="30">
        <f>"02906213000102"</f>
        <v/>
      </c>
      <c r="E4693" s="30" t="inlineStr">
        <is>
          <t>ARKITEC BRASIL SERVICOS DE MANUTENCAO PREDIAL - EIRELI</t>
        </is>
      </c>
      <c r="F4693" s="30" t="inlineStr">
        <is>
          <t>2019</t>
        </is>
      </c>
      <c r="G4693" s="40" t="n">
        <v>0</v>
      </c>
    </row>
    <row r="4694" ht="12" customHeight="1">
      <c r="A4694" s="30" t="inlineStr">
        <is>
          <t>ITG</t>
        </is>
      </c>
      <c r="B4694" s="30" t="inlineStr">
        <is>
          <t>Itaguai</t>
        </is>
      </c>
      <c r="C4694" s="30" t="n">
        <v>78004320</v>
      </c>
      <c r="D4694" s="30">
        <f>"02906213000102"</f>
        <v/>
      </c>
      <c r="E4694" s="30" t="inlineStr">
        <is>
          <t>ARKITEC BRASIL SERVICOS DE MANUTENCAO PREDIAL - EIRELI</t>
        </is>
      </c>
      <c r="F4694" s="30" t="inlineStr">
        <is>
          <t>2020</t>
        </is>
      </c>
      <c r="G4694" s="40" t="n">
        <v>0</v>
      </c>
    </row>
    <row r="4695" ht="12" customHeight="1">
      <c r="A4695" s="30" t="inlineStr">
        <is>
          <t>ITG</t>
        </is>
      </c>
      <c r="B4695" s="30" t="inlineStr">
        <is>
          <t>Itaguai</t>
        </is>
      </c>
      <c r="C4695" s="30" t="n">
        <v>78013133</v>
      </c>
      <c r="D4695" s="30">
        <f>"07685434000111"</f>
        <v/>
      </c>
      <c r="E4695" s="30" t="inlineStr">
        <is>
          <t>E M VIEIRA BAZAR ME</t>
        </is>
      </c>
      <c r="F4695" s="30" t="inlineStr">
        <is>
          <t>2017</t>
        </is>
      </c>
      <c r="G4695" s="40" t="n">
        <v>642230.28</v>
      </c>
    </row>
    <row r="4696" ht="12" customHeight="1">
      <c r="A4696" s="30" t="inlineStr">
        <is>
          <t>ITG</t>
        </is>
      </c>
      <c r="B4696" s="30" t="inlineStr">
        <is>
          <t>Itaguai</t>
        </is>
      </c>
      <c r="C4696" s="30" t="n">
        <v>78013133</v>
      </c>
      <c r="D4696" s="30">
        <f>"07685434000111"</f>
        <v/>
      </c>
      <c r="E4696" s="30" t="inlineStr">
        <is>
          <t>E M VIEIRA BAZAR ME</t>
        </is>
      </c>
      <c r="F4696" s="30" t="inlineStr">
        <is>
          <t>2018</t>
        </is>
      </c>
      <c r="G4696" s="40" t="n">
        <v>151404.48</v>
      </c>
    </row>
    <row r="4697" ht="12" customHeight="1">
      <c r="A4697" s="30" t="inlineStr">
        <is>
          <t>ITG</t>
        </is>
      </c>
      <c r="B4697" s="30" t="inlineStr">
        <is>
          <t>Itaguai</t>
        </is>
      </c>
      <c r="C4697" s="30" t="n">
        <v>78013133</v>
      </c>
      <c r="D4697" s="30">
        <f>"07685434000111"</f>
        <v/>
      </c>
      <c r="E4697" s="30" t="inlineStr">
        <is>
          <t>E M VIEIRA BAZAR ME</t>
        </is>
      </c>
      <c r="F4697" s="30" t="inlineStr">
        <is>
          <t>2019</t>
        </is>
      </c>
      <c r="G4697" s="40" t="n">
        <v>309499.9</v>
      </c>
    </row>
    <row r="4698" ht="12" customHeight="1">
      <c r="A4698" s="30" t="inlineStr">
        <is>
          <t>ITG</t>
        </is>
      </c>
      <c r="B4698" s="30" t="inlineStr">
        <is>
          <t>Itaguai</t>
        </is>
      </c>
      <c r="C4698" s="30" t="n">
        <v>78013133</v>
      </c>
      <c r="D4698" s="30">
        <f>"07685434000111"</f>
        <v/>
      </c>
      <c r="E4698" s="30" t="inlineStr">
        <is>
          <t>E M VIEIRA BAZAR ME</t>
        </is>
      </c>
      <c r="F4698" s="30" t="inlineStr">
        <is>
          <t>2020</t>
        </is>
      </c>
      <c r="G4698" s="40" t="n">
        <v>413420.19</v>
      </c>
    </row>
    <row r="4699" ht="12" customHeight="1">
      <c r="A4699" s="30" t="inlineStr">
        <is>
          <t>ITG</t>
        </is>
      </c>
      <c r="B4699" s="30" t="inlineStr">
        <is>
          <t>Itaguai</t>
        </is>
      </c>
      <c r="C4699" s="30" t="n">
        <v>78013133</v>
      </c>
      <c r="D4699" s="30">
        <f>"07685434000111"</f>
        <v/>
      </c>
      <c r="E4699" s="30" t="inlineStr">
        <is>
          <t>E M VIEIRA BAZAR ME</t>
        </is>
      </c>
      <c r="F4699" s="30" t="inlineStr">
        <is>
          <t>2021</t>
        </is>
      </c>
      <c r="G4699" s="40" t="n">
        <v>761863.85</v>
      </c>
    </row>
    <row r="4700" ht="12" customHeight="1">
      <c r="A4700" s="30" t="inlineStr">
        <is>
          <t>ITG</t>
        </is>
      </c>
      <c r="B4700" s="30" t="inlineStr">
        <is>
          <t>Itaguai</t>
        </is>
      </c>
      <c r="C4700" s="30" t="n">
        <v>78013133</v>
      </c>
      <c r="D4700" s="30">
        <f>"07685434000111"</f>
        <v/>
      </c>
      <c r="E4700" s="30" t="inlineStr">
        <is>
          <t>E M VIEIRA BAZAR ME</t>
        </is>
      </c>
      <c r="F4700" s="30" t="inlineStr">
        <is>
          <t>2022</t>
        </is>
      </c>
      <c r="G4700" s="40" t="n">
        <v>692013.02</v>
      </c>
    </row>
    <row r="4701" ht="12" customHeight="1">
      <c r="A4701" s="30" t="inlineStr">
        <is>
          <t>ITG</t>
        </is>
      </c>
      <c r="B4701" s="30" t="inlineStr">
        <is>
          <t>Itaguai</t>
        </is>
      </c>
      <c r="C4701" s="30" t="n">
        <v>78013133</v>
      </c>
      <c r="D4701" s="30">
        <f>"07685434000111"</f>
        <v/>
      </c>
      <c r="E4701" s="30" t="inlineStr">
        <is>
          <t>E M VIEIRA BAZAR ME</t>
        </is>
      </c>
      <c r="F4701" s="30" t="inlineStr">
        <is>
          <t>2023</t>
        </is>
      </c>
      <c r="G4701" s="40" t="n">
        <v>0</v>
      </c>
    </row>
    <row r="4702" ht="12" customHeight="1">
      <c r="A4702" s="30" t="inlineStr">
        <is>
          <t>ITG</t>
        </is>
      </c>
      <c r="B4702" s="30" t="inlineStr">
        <is>
          <t>Itaguai</t>
        </is>
      </c>
      <c r="C4702" s="30" t="n">
        <v>78016019</v>
      </c>
      <c r="D4702" s="30">
        <f>"07629779000158"</f>
        <v/>
      </c>
      <c r="E4702" s="30" t="inlineStr">
        <is>
          <t>E G LOURENCO DISTRIBUIDORA DE GAS GLP LTDA ME</t>
        </is>
      </c>
      <c r="F4702" s="30" t="inlineStr">
        <is>
          <t>2017</t>
        </is>
      </c>
      <c r="G4702" s="40" t="n">
        <v>115928.57</v>
      </c>
    </row>
    <row r="4703" ht="12" customHeight="1">
      <c r="A4703" s="30" t="inlineStr">
        <is>
          <t>ITG</t>
        </is>
      </c>
      <c r="B4703" s="30" t="inlineStr">
        <is>
          <t>Itaguai</t>
        </is>
      </c>
      <c r="C4703" s="30" t="n">
        <v>78016019</v>
      </c>
      <c r="D4703" s="30">
        <f>"07629779000158"</f>
        <v/>
      </c>
      <c r="E4703" s="30" t="inlineStr">
        <is>
          <t>E G LOURENCO DISTRIBUIDORA DE GAS GLP LTDA ME</t>
        </is>
      </c>
      <c r="F4703" s="30" t="inlineStr">
        <is>
          <t>2018</t>
        </is>
      </c>
      <c r="G4703" s="40" t="n">
        <v>0.06</v>
      </c>
    </row>
    <row r="4704" ht="12" customHeight="1">
      <c r="A4704" s="30" t="inlineStr">
        <is>
          <t>ITG</t>
        </is>
      </c>
      <c r="B4704" s="30" t="inlineStr">
        <is>
          <t>Itaguai</t>
        </is>
      </c>
      <c r="C4704" s="30" t="n">
        <v>78016019</v>
      </c>
      <c r="D4704" s="30">
        <f>"07629779000158"</f>
        <v/>
      </c>
      <c r="E4704" s="30" t="inlineStr">
        <is>
          <t>E G LOURENCO DISTRIBUIDORA DE GAS GLP LTDA ME</t>
        </is>
      </c>
      <c r="F4704" s="30" t="inlineStr">
        <is>
          <t>2019</t>
        </is>
      </c>
      <c r="G4704" s="40" t="n">
        <v>0</v>
      </c>
    </row>
    <row r="4705" ht="12" customHeight="1">
      <c r="A4705" s="30" t="inlineStr">
        <is>
          <t>ITG</t>
        </is>
      </c>
      <c r="B4705" s="30" t="inlineStr">
        <is>
          <t>Itaguai</t>
        </is>
      </c>
      <c r="C4705" s="30" t="n">
        <v>78016019</v>
      </c>
      <c r="D4705" s="30">
        <f>"07629779000158"</f>
        <v/>
      </c>
      <c r="E4705" s="30" t="inlineStr">
        <is>
          <t>E G LOURENCO DISTRIBUIDORA DE GAS GLP LTDA ME</t>
        </is>
      </c>
      <c r="F4705" s="30" t="inlineStr">
        <is>
          <t>2020</t>
        </is>
      </c>
      <c r="G4705" s="40" t="n">
        <v>0</v>
      </c>
    </row>
    <row r="4706" ht="12" customHeight="1">
      <c r="A4706" s="30" t="inlineStr">
        <is>
          <t>ITG</t>
        </is>
      </c>
      <c r="B4706" s="30" t="inlineStr">
        <is>
          <t>Itaguai</t>
        </is>
      </c>
      <c r="C4706" s="30" t="n">
        <v>78016019</v>
      </c>
      <c r="D4706" s="30">
        <f>"07629779000158"</f>
        <v/>
      </c>
      <c r="E4706" s="30" t="inlineStr">
        <is>
          <t>E G LOURENCO DISTRIBUIDORA DE GAS GLP LTDA ME</t>
        </is>
      </c>
      <c r="F4706" s="30" t="inlineStr">
        <is>
          <t>2021</t>
        </is>
      </c>
      <c r="G4706" s="40" t="n">
        <v>9052.5</v>
      </c>
    </row>
    <row r="4707" ht="12" customHeight="1">
      <c r="A4707" s="30" t="inlineStr">
        <is>
          <t>ITG</t>
        </is>
      </c>
      <c r="B4707" s="30" t="inlineStr">
        <is>
          <t>Itaguai</t>
        </is>
      </c>
      <c r="C4707" s="30" t="n">
        <v>78016019</v>
      </c>
      <c r="D4707" s="30">
        <f>"07629779000158"</f>
        <v/>
      </c>
      <c r="E4707" s="30" t="inlineStr">
        <is>
          <t>E G LOURENCO DISTRIBUIDORA DE GAS GLP LTDA ME</t>
        </is>
      </c>
      <c r="F4707" s="30" t="inlineStr">
        <is>
          <t>2022</t>
        </is>
      </c>
      <c r="G4707" s="40" t="n">
        <v>0</v>
      </c>
    </row>
    <row r="4708" ht="12" customHeight="1">
      <c r="A4708" s="30" t="inlineStr">
        <is>
          <t>ITG</t>
        </is>
      </c>
      <c r="B4708" s="30" t="inlineStr">
        <is>
          <t>Itaguai</t>
        </is>
      </c>
      <c r="C4708" s="30" t="n">
        <v>78016019</v>
      </c>
      <c r="D4708" s="30">
        <f>"07629779000158"</f>
        <v/>
      </c>
      <c r="E4708" s="30" t="inlineStr">
        <is>
          <t>E G LOURENCO DISTRIBUIDORA DE GAS GLP LTDA ME</t>
        </is>
      </c>
      <c r="F4708" s="30" t="inlineStr">
        <is>
          <t>2023</t>
        </is>
      </c>
      <c r="G4708" s="40" t="n">
        <v>0</v>
      </c>
    </row>
    <row r="4709" ht="12" customHeight="1">
      <c r="A4709" s="30" t="inlineStr">
        <is>
          <t>ITG</t>
        </is>
      </c>
      <c r="B4709" s="30" t="inlineStr">
        <is>
          <t>Itaguai</t>
        </is>
      </c>
      <c r="C4709" s="30" t="n">
        <v>78023430</v>
      </c>
      <c r="D4709" s="30">
        <f>"07711370000186"</f>
        <v/>
      </c>
      <c r="E4709" s="30" t="inlineStr">
        <is>
          <t>ELETRIZANTE ECCARD ELETRICA E HIDRAULICA LTDA ME</t>
        </is>
      </c>
      <c r="F4709" s="30" t="inlineStr">
        <is>
          <t>2018</t>
        </is>
      </c>
      <c r="G4709" s="40" t="n">
        <v>0</v>
      </c>
    </row>
    <row r="4710" ht="12" customHeight="1">
      <c r="A4710" s="30" t="inlineStr">
        <is>
          <t>ITG</t>
        </is>
      </c>
      <c r="B4710" s="30" t="inlineStr">
        <is>
          <t>Itaguai</t>
        </is>
      </c>
      <c r="C4710" s="30" t="n">
        <v>78023430</v>
      </c>
      <c r="D4710" s="30">
        <f>"07711370000186"</f>
        <v/>
      </c>
      <c r="E4710" s="30" t="inlineStr">
        <is>
          <t>ELETRIZANTE ECCARD ELETRICA E HIDRAULICA LTDA ME</t>
        </is>
      </c>
      <c r="F4710" s="30" t="inlineStr">
        <is>
          <t>2019</t>
        </is>
      </c>
      <c r="G4710" s="40" t="n">
        <v>0</v>
      </c>
    </row>
    <row r="4711" ht="12" customHeight="1">
      <c r="A4711" s="30" t="inlineStr">
        <is>
          <t>ITG</t>
        </is>
      </c>
      <c r="B4711" s="30" t="inlineStr">
        <is>
          <t>Itaguai</t>
        </is>
      </c>
      <c r="C4711" s="30" t="n">
        <v>78023430</v>
      </c>
      <c r="D4711" s="30">
        <f>"07711370000186"</f>
        <v/>
      </c>
      <c r="E4711" s="30" t="inlineStr">
        <is>
          <t>ELETRIZANTE ECCARD ELETRICA E HIDRAULICA LTDA ME</t>
        </is>
      </c>
      <c r="F4711" s="30" t="inlineStr">
        <is>
          <t>2020</t>
        </is>
      </c>
      <c r="G4711" s="40" t="n">
        <v>0</v>
      </c>
    </row>
    <row r="4712" ht="12" customHeight="1">
      <c r="A4712" s="30" t="inlineStr">
        <is>
          <t>ITG</t>
        </is>
      </c>
      <c r="B4712" s="30" t="inlineStr">
        <is>
          <t>Itaguai</t>
        </is>
      </c>
      <c r="C4712" s="30" t="n">
        <v>78023430</v>
      </c>
      <c r="D4712" s="30">
        <f>"07711370000186"</f>
        <v/>
      </c>
      <c r="E4712" s="30" t="inlineStr">
        <is>
          <t>ELETRIZANTE ECCARD ELETRICA E HIDRAULICA LTDA ME</t>
        </is>
      </c>
      <c r="F4712" s="30" t="inlineStr">
        <is>
          <t>2021</t>
        </is>
      </c>
      <c r="G4712" s="40" t="n">
        <v>0</v>
      </c>
    </row>
    <row r="4713" ht="12" customHeight="1">
      <c r="A4713" s="30" t="inlineStr">
        <is>
          <t>ITG</t>
        </is>
      </c>
      <c r="B4713" s="30" t="inlineStr">
        <is>
          <t>Itaguai</t>
        </is>
      </c>
      <c r="C4713" s="30" t="n">
        <v>78023430</v>
      </c>
      <c r="D4713" s="30">
        <f>"07711370000186"</f>
        <v/>
      </c>
      <c r="E4713" s="30" t="inlineStr">
        <is>
          <t>ELETRIZANTE ECCARD ELETRICA E HIDRAULICA LTDA ME</t>
        </is>
      </c>
      <c r="F4713" s="30" t="inlineStr">
        <is>
          <t>2022</t>
        </is>
      </c>
      <c r="G4713" s="40" t="n">
        <v>600246.73</v>
      </c>
    </row>
    <row r="4714" ht="12" customHeight="1">
      <c r="A4714" s="30" t="inlineStr">
        <is>
          <t>ITG</t>
        </is>
      </c>
      <c r="B4714" s="30" t="inlineStr">
        <is>
          <t>Itaguai</t>
        </is>
      </c>
      <c r="C4714" s="30" t="n">
        <v>78023430</v>
      </c>
      <c r="D4714" s="30">
        <f>"07711370000186"</f>
        <v/>
      </c>
      <c r="E4714" s="30" t="inlineStr">
        <is>
          <t>ELETRIZANTE ECCARD ELETRICA E HIDRAULICA LTDA ME</t>
        </is>
      </c>
      <c r="F4714" s="30" t="inlineStr">
        <is>
          <t>2023</t>
        </is>
      </c>
      <c r="G4714" s="40" t="n">
        <v>839826.84</v>
      </c>
    </row>
    <row r="4715" ht="12" customHeight="1">
      <c r="A4715" s="30" t="inlineStr">
        <is>
          <t>ITG</t>
        </is>
      </c>
      <c r="B4715" s="30" t="inlineStr">
        <is>
          <t>Itaguai</t>
        </is>
      </c>
      <c r="C4715" s="30" t="n">
        <v>78030844</v>
      </c>
      <c r="D4715" s="30">
        <f>"07714104000107"</f>
        <v/>
      </c>
      <c r="E4715" s="30" t="inlineStr">
        <is>
          <t>VM OPENLINK COMUNICAÇÃO MULTIMIDIA S.A.</t>
        </is>
      </c>
      <c r="F4715" s="30" t="inlineStr">
        <is>
          <t>2018</t>
        </is>
      </c>
      <c r="G4715" s="40" t="n">
        <v>0</v>
      </c>
    </row>
    <row r="4716" ht="12" customHeight="1">
      <c r="A4716" s="30" t="inlineStr">
        <is>
          <t>ITG</t>
        </is>
      </c>
      <c r="B4716" s="30" t="inlineStr">
        <is>
          <t>Itaguai</t>
        </is>
      </c>
      <c r="C4716" s="30" t="n">
        <v>78030844</v>
      </c>
      <c r="D4716" s="30">
        <f>"07714104000107"</f>
        <v/>
      </c>
      <c r="E4716" s="30" t="inlineStr">
        <is>
          <t>VM OPENLINK COMUNICAÇÃO MULTIMIDIA S.A.</t>
        </is>
      </c>
      <c r="F4716" s="30" t="inlineStr">
        <is>
          <t>2019</t>
        </is>
      </c>
      <c r="G4716" s="40" t="n">
        <v>0</v>
      </c>
    </row>
    <row r="4717" ht="12" customHeight="1">
      <c r="A4717" s="30" t="inlineStr">
        <is>
          <t>ITG</t>
        </is>
      </c>
      <c r="B4717" s="30" t="inlineStr">
        <is>
          <t>Itaguai</t>
        </is>
      </c>
      <c r="C4717" s="30" t="n">
        <v>78030844</v>
      </c>
      <c r="D4717" s="30">
        <f>"07714104000107"</f>
        <v/>
      </c>
      <c r="E4717" s="30" t="inlineStr">
        <is>
          <t>VM OPENLINK COMUNICAÇÃO MULTIMIDIA S.A.</t>
        </is>
      </c>
      <c r="F4717" s="30" t="inlineStr">
        <is>
          <t>2020</t>
        </is>
      </c>
      <c r="G4717" s="40" t="n">
        <v>18.99</v>
      </c>
    </row>
    <row r="4718" ht="12" customHeight="1">
      <c r="A4718" s="30" t="inlineStr">
        <is>
          <t>ITG</t>
        </is>
      </c>
      <c r="B4718" s="30" t="inlineStr">
        <is>
          <t>Itaguai</t>
        </is>
      </c>
      <c r="C4718" s="30" t="n">
        <v>78030844</v>
      </c>
      <c r="D4718" s="30">
        <f>"07714104000107"</f>
        <v/>
      </c>
      <c r="E4718" s="30" t="inlineStr">
        <is>
          <t>VM OPENLINK COMUNICAÇÃO MULTIMIDIA S.A.</t>
        </is>
      </c>
      <c r="F4718" s="30" t="inlineStr">
        <is>
          <t>2021</t>
        </is>
      </c>
      <c r="G4718" s="40" t="n">
        <v>0</v>
      </c>
    </row>
    <row r="4719" ht="12" customHeight="1">
      <c r="A4719" s="30" t="inlineStr">
        <is>
          <t>ITG</t>
        </is>
      </c>
      <c r="B4719" s="30" t="inlineStr">
        <is>
          <t>Itaguai</t>
        </is>
      </c>
      <c r="C4719" s="30" t="n">
        <v>78030844</v>
      </c>
      <c r="D4719" s="30">
        <f>"07714104000107"</f>
        <v/>
      </c>
      <c r="E4719" s="30" t="inlineStr">
        <is>
          <t>VM OPENLINK COMUNICAÇÃO MULTIMIDIA S.A.</t>
        </is>
      </c>
      <c r="F4719" s="30" t="inlineStr">
        <is>
          <t>2022</t>
        </is>
      </c>
      <c r="G4719" s="40" t="n">
        <v>114.3</v>
      </c>
    </row>
    <row r="4720" ht="12" customHeight="1">
      <c r="A4720" s="30" t="inlineStr">
        <is>
          <t>ITG</t>
        </is>
      </c>
      <c r="B4720" s="30" t="inlineStr">
        <is>
          <t>Itaguai</t>
        </is>
      </c>
      <c r="C4720" s="30" t="n">
        <v>78030844</v>
      </c>
      <c r="D4720" s="30">
        <f>"07714104000107"</f>
        <v/>
      </c>
      <c r="E4720" s="30" t="inlineStr">
        <is>
          <t>VM OPENLINK COMUNICAÇÃO MULTIMIDIA S.A.</t>
        </is>
      </c>
      <c r="F4720" s="30" t="inlineStr">
        <is>
          <t>2023</t>
        </is>
      </c>
      <c r="G4720" s="40" t="n">
        <v>0</v>
      </c>
    </row>
    <row r="4721" ht="12" customHeight="1">
      <c r="A4721" s="30" t="inlineStr">
        <is>
          <t>ITG</t>
        </is>
      </c>
      <c r="B4721" s="30" t="inlineStr">
        <is>
          <t>Itaguai</t>
        </is>
      </c>
      <c r="C4721" s="30" t="n">
        <v>78034602</v>
      </c>
      <c r="D4721" s="30">
        <f>"05316196000222"</f>
        <v/>
      </c>
      <c r="E4721" s="30" t="inlineStr">
        <is>
          <t>DTRABAIOLLI LOGISTICA E SERVICOS LTDA</t>
        </is>
      </c>
      <c r="F4721" s="30" t="inlineStr">
        <is>
          <t>2019</t>
        </is>
      </c>
      <c r="G4721" s="40" t="n">
        <v>0</v>
      </c>
    </row>
    <row r="4722" ht="12" customHeight="1">
      <c r="A4722" s="30" t="inlineStr">
        <is>
          <t>ITG</t>
        </is>
      </c>
      <c r="B4722" s="30" t="inlineStr">
        <is>
          <t>Itaguai</t>
        </is>
      </c>
      <c r="C4722" s="30" t="n">
        <v>78034602</v>
      </c>
      <c r="D4722" s="30">
        <f>"05316196000222"</f>
        <v/>
      </c>
      <c r="E4722" s="30" t="inlineStr">
        <is>
          <t>DTRABAIOLLI LOGISTICA E SERVICOS LTDA</t>
        </is>
      </c>
      <c r="F4722" s="30" t="inlineStr">
        <is>
          <t>2020</t>
        </is>
      </c>
      <c r="G4722" s="40" t="n">
        <v>0</v>
      </c>
    </row>
    <row r="4723" ht="12" customHeight="1">
      <c r="A4723" s="30" t="inlineStr">
        <is>
          <t>ITG</t>
        </is>
      </c>
      <c r="B4723" s="30" t="inlineStr">
        <is>
          <t>Itaguai</t>
        </is>
      </c>
      <c r="C4723" s="30" t="n">
        <v>78034602</v>
      </c>
      <c r="D4723" s="30">
        <f>"05316196000222"</f>
        <v/>
      </c>
      <c r="E4723" s="30" t="inlineStr">
        <is>
          <t>DTRABAIOLLI LOGISTICA E SERVICOS LTDA</t>
        </is>
      </c>
      <c r="F4723" s="30" t="inlineStr">
        <is>
          <t>2021</t>
        </is>
      </c>
      <c r="G4723" s="40" t="n">
        <v>116.81</v>
      </c>
    </row>
    <row r="4724" ht="12" customHeight="1">
      <c r="A4724" s="30" t="inlineStr">
        <is>
          <t>ITG</t>
        </is>
      </c>
      <c r="B4724" s="30" t="inlineStr">
        <is>
          <t>Itaguai</t>
        </is>
      </c>
      <c r="C4724" s="30" t="n">
        <v>78034602</v>
      </c>
      <c r="D4724" s="30">
        <f>"05316196000222"</f>
        <v/>
      </c>
      <c r="E4724" s="30" t="inlineStr">
        <is>
          <t>DTRABAIOLLI LOGISTICA E SERVICOS LTDA</t>
        </is>
      </c>
      <c r="F4724" s="30" t="inlineStr">
        <is>
          <t>2022</t>
        </is>
      </c>
      <c r="G4724" s="40" t="n">
        <v>8135.91</v>
      </c>
    </row>
    <row r="4725" ht="12" customHeight="1">
      <c r="A4725" s="30" t="inlineStr">
        <is>
          <t>ITG</t>
        </is>
      </c>
      <c r="B4725" s="30" t="inlineStr">
        <is>
          <t>Itaguai</t>
        </is>
      </c>
      <c r="C4725" s="30" t="n">
        <v>78034602</v>
      </c>
      <c r="D4725" s="30">
        <f>"05316196000222"</f>
        <v/>
      </c>
      <c r="E4725" s="30" t="inlineStr">
        <is>
          <t>DTRABAIOLLI LOGISTICA E SERVICOS LTDA</t>
        </is>
      </c>
      <c r="F4725" s="30" t="inlineStr">
        <is>
          <t>2023</t>
        </is>
      </c>
      <c r="G4725" s="40" t="n">
        <v>560</v>
      </c>
    </row>
    <row r="4726" ht="12" customHeight="1">
      <c r="A4726" s="30" t="inlineStr">
        <is>
          <t>ITG</t>
        </is>
      </c>
      <c r="B4726" s="30" t="inlineStr">
        <is>
          <t>Itaguai</t>
        </is>
      </c>
      <c r="C4726" s="30" t="n">
        <v>78034947</v>
      </c>
      <c r="D4726" s="30">
        <f>"07752950000111"</f>
        <v/>
      </c>
      <c r="E4726" s="30" t="inlineStr">
        <is>
          <t>DELPETRO LOGISTICA E TRANSPORTES LTDA</t>
        </is>
      </c>
      <c r="F4726" s="30" t="inlineStr">
        <is>
          <t>2017</t>
        </is>
      </c>
      <c r="G4726" s="40" t="n">
        <v>0</v>
      </c>
    </row>
    <row r="4727" ht="12" customHeight="1">
      <c r="A4727" s="30" t="inlineStr">
        <is>
          <t>ITG</t>
        </is>
      </c>
      <c r="B4727" s="30" t="inlineStr">
        <is>
          <t>Itaguai</t>
        </is>
      </c>
      <c r="C4727" s="30" t="n">
        <v>78034947</v>
      </c>
      <c r="D4727" s="30">
        <f>"07752950000111"</f>
        <v/>
      </c>
      <c r="E4727" s="30" t="inlineStr">
        <is>
          <t>DELPETRO LOGISTICA E TRANSPORTES LTDA</t>
        </is>
      </c>
      <c r="F4727" s="30" t="inlineStr">
        <is>
          <t>2018</t>
        </is>
      </c>
      <c r="G4727" s="40" t="n">
        <v>0</v>
      </c>
    </row>
    <row r="4728" ht="12" customHeight="1">
      <c r="A4728" s="30" t="inlineStr">
        <is>
          <t>ITG</t>
        </is>
      </c>
      <c r="B4728" s="30" t="inlineStr">
        <is>
          <t>Itaguai</t>
        </is>
      </c>
      <c r="C4728" s="30" t="n">
        <v>78034947</v>
      </c>
      <c r="D4728" s="30">
        <f>"07752950000111"</f>
        <v/>
      </c>
      <c r="E4728" s="30" t="inlineStr">
        <is>
          <t>DELPETRO LOGISTICA E TRANSPORTES LTDA</t>
        </is>
      </c>
      <c r="F4728" s="30" t="inlineStr">
        <is>
          <t>2019</t>
        </is>
      </c>
      <c r="G4728" s="40" t="n">
        <v>937.5</v>
      </c>
    </row>
    <row r="4729" ht="12" customHeight="1">
      <c r="A4729" s="30" t="inlineStr">
        <is>
          <t>ITG</t>
        </is>
      </c>
      <c r="B4729" s="30" t="inlineStr">
        <is>
          <t>Itaguai</t>
        </is>
      </c>
      <c r="C4729" s="30" t="n">
        <v>78034947</v>
      </c>
      <c r="D4729" s="30">
        <f>"07752950000111"</f>
        <v/>
      </c>
      <c r="E4729" s="30" t="inlineStr">
        <is>
          <t>DELPETRO LOGISTICA E TRANSPORTES LTDA</t>
        </is>
      </c>
      <c r="F4729" s="30" t="inlineStr">
        <is>
          <t>2020</t>
        </is>
      </c>
      <c r="G4729" s="40" t="n">
        <v>0</v>
      </c>
    </row>
    <row r="4730" ht="12" customHeight="1">
      <c r="A4730" s="30" t="inlineStr">
        <is>
          <t>ITG</t>
        </is>
      </c>
      <c r="B4730" s="30" t="inlineStr">
        <is>
          <t>Itaguai</t>
        </is>
      </c>
      <c r="C4730" s="30" t="n">
        <v>78034947</v>
      </c>
      <c r="D4730" s="30">
        <f>"07752950000111"</f>
        <v/>
      </c>
      <c r="E4730" s="30" t="inlineStr">
        <is>
          <t>DELPETRO LOGISTICA E TRANSPORTES LTDA</t>
        </is>
      </c>
      <c r="F4730" s="30" t="inlineStr">
        <is>
          <t>2021</t>
        </is>
      </c>
      <c r="G4730" s="40" t="n">
        <v>0</v>
      </c>
    </row>
    <row r="4731" ht="12" customHeight="1">
      <c r="A4731" s="30" t="inlineStr">
        <is>
          <t>ITG</t>
        </is>
      </c>
      <c r="B4731" s="30" t="inlineStr">
        <is>
          <t>Itaguai</t>
        </is>
      </c>
      <c r="C4731" s="30" t="n">
        <v>78039817</v>
      </c>
      <c r="D4731" s="30">
        <f>"07506628000102"</f>
        <v/>
      </c>
      <c r="E4731" s="30" t="inlineStr">
        <is>
          <t>ANGETEC SOLUCOES TECNICAS INDUSTRIAL EIRELI ME</t>
        </is>
      </c>
      <c r="F4731" s="30" t="inlineStr">
        <is>
          <t>2017</t>
        </is>
      </c>
      <c r="G4731" s="40" t="n">
        <v>1291742.88</v>
      </c>
    </row>
    <row r="4732" ht="12" customHeight="1">
      <c r="A4732" s="30" t="inlineStr">
        <is>
          <t>ITG</t>
        </is>
      </c>
      <c r="B4732" s="30" t="inlineStr">
        <is>
          <t>Itaguai</t>
        </is>
      </c>
      <c r="C4732" s="30" t="n">
        <v>78039817</v>
      </c>
      <c r="D4732" s="30">
        <f>"07506628000102"</f>
        <v/>
      </c>
      <c r="E4732" s="30" t="inlineStr">
        <is>
          <t>ANGETEC SOLUCOES TECNICAS INDUSTRIAL EIRELI ME</t>
        </is>
      </c>
      <c r="F4732" s="30" t="inlineStr">
        <is>
          <t>2018</t>
        </is>
      </c>
      <c r="G4732" s="40" t="n">
        <v>399607.51</v>
      </c>
    </row>
    <row r="4733" ht="12" customHeight="1">
      <c r="A4733" s="30" t="inlineStr">
        <is>
          <t>ITG</t>
        </is>
      </c>
      <c r="B4733" s="30" t="inlineStr">
        <is>
          <t>Itaguai</t>
        </is>
      </c>
      <c r="C4733" s="30" t="n">
        <v>78039817</v>
      </c>
      <c r="D4733" s="30">
        <f>"07506628000102"</f>
        <v/>
      </c>
      <c r="E4733" s="30" t="inlineStr">
        <is>
          <t>ANGETEC SOLUCOES TECNICAS INDUSTRIAL EIRELI ME</t>
        </is>
      </c>
      <c r="F4733" s="30" t="inlineStr">
        <is>
          <t>2019</t>
        </is>
      </c>
      <c r="G4733" s="40" t="n">
        <v>65945.32000000001</v>
      </c>
    </row>
    <row r="4734" ht="12" customHeight="1">
      <c r="A4734" s="30" t="inlineStr">
        <is>
          <t>ITG</t>
        </is>
      </c>
      <c r="B4734" s="30" t="inlineStr">
        <is>
          <t>Itaguai</t>
        </is>
      </c>
      <c r="C4734" s="30" t="n">
        <v>78039817</v>
      </c>
      <c r="D4734" s="30">
        <f>"07506628000102"</f>
        <v/>
      </c>
      <c r="E4734" s="30" t="inlineStr">
        <is>
          <t>ANGETEC SOLUCOES TECNICAS INDUSTRIAL EIRELI ME</t>
        </is>
      </c>
      <c r="F4734" s="30" t="inlineStr">
        <is>
          <t>2020</t>
        </is>
      </c>
      <c r="G4734" s="40" t="n">
        <v>623558.7</v>
      </c>
    </row>
    <row r="4735" ht="12" customHeight="1">
      <c r="A4735" s="30" t="inlineStr">
        <is>
          <t>ITG</t>
        </is>
      </c>
      <c r="B4735" s="30" t="inlineStr">
        <is>
          <t>Itaguai</t>
        </is>
      </c>
      <c r="C4735" s="30" t="n">
        <v>78039817</v>
      </c>
      <c r="D4735" s="30">
        <f>"07506628000102"</f>
        <v/>
      </c>
      <c r="E4735" s="30" t="inlineStr">
        <is>
          <t>ANGETEC SOLUCOES TECNICAS INDUSTRIAL EIRELI ME</t>
        </is>
      </c>
      <c r="F4735" s="30" t="inlineStr">
        <is>
          <t>2021</t>
        </is>
      </c>
      <c r="G4735" s="40" t="n">
        <v>0</v>
      </c>
    </row>
    <row r="4736" ht="12" customHeight="1">
      <c r="A4736" s="30" t="inlineStr">
        <is>
          <t>ITG</t>
        </is>
      </c>
      <c r="B4736" s="30" t="inlineStr">
        <is>
          <t>Itaguai</t>
        </is>
      </c>
      <c r="C4736" s="30" t="n">
        <v>78039817</v>
      </c>
      <c r="D4736" s="30">
        <f>"07506628000102"</f>
        <v/>
      </c>
      <c r="E4736" s="30" t="inlineStr">
        <is>
          <t>ANGETEC SOLUCOES TECNICAS INDUSTRIAL EIRELI ME</t>
        </is>
      </c>
      <c r="F4736" s="30" t="inlineStr">
        <is>
          <t>2022</t>
        </is>
      </c>
      <c r="G4736" s="40" t="n">
        <v>0</v>
      </c>
    </row>
    <row r="4737" ht="12" customHeight="1">
      <c r="A4737" s="30" t="inlineStr">
        <is>
          <t>ITG</t>
        </is>
      </c>
      <c r="B4737" s="30" t="inlineStr">
        <is>
          <t>Itaguai</t>
        </is>
      </c>
      <c r="C4737" s="30" t="n">
        <v>78039817</v>
      </c>
      <c r="D4737" s="30">
        <f>"07506628000102"</f>
        <v/>
      </c>
      <c r="E4737" s="30" t="inlineStr">
        <is>
          <t>ANGETEC SOLUCOES TECNICAS INDUSTRIAL EIRELI ME</t>
        </is>
      </c>
      <c r="F4737" s="30" t="inlineStr">
        <is>
          <t>2023</t>
        </is>
      </c>
      <c r="G4737" s="40" t="n">
        <v>89011.17999999999</v>
      </c>
    </row>
    <row r="4738" ht="12" customHeight="1">
      <c r="A4738" s="30" t="inlineStr">
        <is>
          <t>ITG</t>
        </is>
      </c>
      <c r="B4738" s="30" t="inlineStr">
        <is>
          <t>Itaguai</t>
        </is>
      </c>
      <c r="C4738" s="30" t="n">
        <v>78048654</v>
      </c>
      <c r="D4738" s="30">
        <f>"07792269000105"</f>
        <v/>
      </c>
      <c r="E4738" s="30" t="inlineStr">
        <is>
          <t>CONSTRUTORA LYTORANEA S A</t>
        </is>
      </c>
      <c r="F4738" s="30" t="inlineStr">
        <is>
          <t>2017</t>
        </is>
      </c>
      <c r="G4738" s="40" t="n">
        <v>0</v>
      </c>
    </row>
    <row r="4739" ht="12" customHeight="1">
      <c r="A4739" s="30" t="inlineStr">
        <is>
          <t>ITG</t>
        </is>
      </c>
      <c r="B4739" s="30" t="inlineStr">
        <is>
          <t>Itaguai</t>
        </is>
      </c>
      <c r="C4739" s="30" t="n">
        <v>78048654</v>
      </c>
      <c r="D4739" s="30">
        <f>"07792269000105"</f>
        <v/>
      </c>
      <c r="E4739" s="30" t="inlineStr">
        <is>
          <t>CONSTRUTORA LYTORANEA S A</t>
        </is>
      </c>
      <c r="F4739" s="30" t="inlineStr">
        <is>
          <t>2018</t>
        </is>
      </c>
      <c r="G4739" s="40" t="n">
        <v>0</v>
      </c>
    </row>
    <row r="4740" ht="12" customHeight="1">
      <c r="A4740" s="30" t="inlineStr">
        <is>
          <t>ITG</t>
        </is>
      </c>
      <c r="B4740" s="30" t="inlineStr">
        <is>
          <t>Itaguai</t>
        </is>
      </c>
      <c r="C4740" s="30" t="n">
        <v>78048654</v>
      </c>
      <c r="D4740" s="30">
        <f>"07792269000105"</f>
        <v/>
      </c>
      <c r="E4740" s="30" t="inlineStr">
        <is>
          <t>CONSTRUTORA LYTORANEA S A</t>
        </is>
      </c>
      <c r="F4740" s="30" t="inlineStr">
        <is>
          <t>2019</t>
        </is>
      </c>
      <c r="G4740" s="40" t="n">
        <v>0</v>
      </c>
    </row>
    <row r="4741" ht="12" customHeight="1">
      <c r="A4741" s="30" t="inlineStr">
        <is>
          <t>ITG</t>
        </is>
      </c>
      <c r="B4741" s="30" t="inlineStr">
        <is>
          <t>Itaguai</t>
        </is>
      </c>
      <c r="C4741" s="30" t="n">
        <v>78048654</v>
      </c>
      <c r="D4741" s="30">
        <f>"07792269000105"</f>
        <v/>
      </c>
      <c r="E4741" s="30" t="inlineStr">
        <is>
          <t>CONSTRUTORA LYTORANEA S A</t>
        </is>
      </c>
      <c r="F4741" s="30" t="inlineStr">
        <is>
          <t>2020</t>
        </is>
      </c>
      <c r="G4741" s="40" t="n">
        <v>0</v>
      </c>
    </row>
    <row r="4742" ht="12" customHeight="1">
      <c r="A4742" s="30" t="inlineStr">
        <is>
          <t>ITG</t>
        </is>
      </c>
      <c r="B4742" s="30" t="inlineStr">
        <is>
          <t>Itaguai</t>
        </is>
      </c>
      <c r="C4742" s="30" t="n">
        <v>78048654</v>
      </c>
      <c r="D4742" s="30">
        <f>"07792269000105"</f>
        <v/>
      </c>
      <c r="E4742" s="30" t="inlineStr">
        <is>
          <t>CONSTRUTORA LYTORANEA S A</t>
        </is>
      </c>
      <c r="F4742" s="30" t="inlineStr">
        <is>
          <t>2021</t>
        </is>
      </c>
      <c r="G4742" s="40" t="n">
        <v>0</v>
      </c>
    </row>
    <row r="4743" ht="12" customHeight="1">
      <c r="A4743" s="30" t="inlineStr">
        <is>
          <t>ITG</t>
        </is>
      </c>
      <c r="B4743" s="30" t="inlineStr">
        <is>
          <t>Itaguai</t>
        </is>
      </c>
      <c r="C4743" s="30" t="n">
        <v>78048654</v>
      </c>
      <c r="D4743" s="30">
        <f>"07792269000105"</f>
        <v/>
      </c>
      <c r="E4743" s="30" t="inlineStr">
        <is>
          <t>CONSTRUTORA LYTORANEA S A</t>
        </is>
      </c>
      <c r="F4743" s="30" t="inlineStr">
        <is>
          <t>2022</t>
        </is>
      </c>
      <c r="G4743" s="40" t="n">
        <v>0</v>
      </c>
    </row>
    <row r="4744" ht="12" customHeight="1">
      <c r="A4744" s="30" t="inlineStr">
        <is>
          <t>ITG</t>
        </is>
      </c>
      <c r="B4744" s="30" t="inlineStr">
        <is>
          <t>Itaguai</t>
        </is>
      </c>
      <c r="C4744" s="30" t="n">
        <v>78048654</v>
      </c>
      <c r="D4744" s="30">
        <f>"07792269000105"</f>
        <v/>
      </c>
      <c r="E4744" s="30" t="inlineStr">
        <is>
          <t>CONSTRUTORA LYTORANEA S A</t>
        </is>
      </c>
      <c r="F4744" s="30" t="inlineStr">
        <is>
          <t>2023</t>
        </is>
      </c>
      <c r="G4744" s="40" t="n">
        <v>0</v>
      </c>
    </row>
    <row r="4745" ht="12" customHeight="1">
      <c r="A4745" s="30" t="inlineStr">
        <is>
          <t>ITG</t>
        </is>
      </c>
      <c r="B4745" s="30" t="inlineStr">
        <is>
          <t>Itaguai</t>
        </is>
      </c>
      <c r="C4745" s="30" t="n">
        <v>78052260</v>
      </c>
      <c r="D4745" s="30">
        <f>"07805442000154"</f>
        <v/>
      </c>
      <c r="E4745" s="30" t="inlineStr">
        <is>
          <t>DENMAR LOGISTICA E TRANSPORTES LTDA</t>
        </is>
      </c>
      <c r="F4745" s="30" t="inlineStr">
        <is>
          <t>2017</t>
        </is>
      </c>
      <c r="G4745" s="40" t="n">
        <v>0</v>
      </c>
    </row>
    <row r="4746" ht="12" customHeight="1">
      <c r="A4746" s="30" t="inlineStr">
        <is>
          <t>ITG</t>
        </is>
      </c>
      <c r="B4746" s="30" t="inlineStr">
        <is>
          <t>Itaguai</t>
        </is>
      </c>
      <c r="C4746" s="30" t="n">
        <v>78052260</v>
      </c>
      <c r="D4746" s="30">
        <f>"07805442000154"</f>
        <v/>
      </c>
      <c r="E4746" s="30" t="inlineStr">
        <is>
          <t>DENMAR LOGISTICA E TRANSPORTES LTDA</t>
        </is>
      </c>
      <c r="F4746" s="30" t="inlineStr">
        <is>
          <t>2018</t>
        </is>
      </c>
      <c r="G4746" s="40" t="n">
        <v>0</v>
      </c>
    </row>
    <row r="4747" ht="12" customHeight="1">
      <c r="A4747" s="30" t="inlineStr">
        <is>
          <t>ITG</t>
        </is>
      </c>
      <c r="B4747" s="30" t="inlineStr">
        <is>
          <t>Itaguai</t>
        </is>
      </c>
      <c r="C4747" s="30" t="n">
        <v>78052260</v>
      </c>
      <c r="D4747" s="30">
        <f>"07805442000154"</f>
        <v/>
      </c>
      <c r="E4747" s="30" t="inlineStr">
        <is>
          <t>DENMAR LOGISTICA E TRANSPORTES LTDA</t>
        </is>
      </c>
      <c r="F4747" s="30" t="inlineStr">
        <is>
          <t>2019</t>
        </is>
      </c>
      <c r="G4747" s="40" t="n">
        <v>320078.75</v>
      </c>
    </row>
    <row r="4748" ht="12" customHeight="1">
      <c r="A4748" s="30" t="inlineStr">
        <is>
          <t>ITG</t>
        </is>
      </c>
      <c r="B4748" s="30" t="inlineStr">
        <is>
          <t>Itaguai</t>
        </is>
      </c>
      <c r="C4748" s="30" t="n">
        <v>78052260</v>
      </c>
      <c r="D4748" s="30">
        <f>"07805442000154"</f>
        <v/>
      </c>
      <c r="E4748" s="30" t="inlineStr">
        <is>
          <t>DENMAR LOGISTICA E TRANSPORTES LTDA</t>
        </is>
      </c>
      <c r="F4748" s="30" t="inlineStr">
        <is>
          <t>2020</t>
        </is>
      </c>
      <c r="G4748" s="40" t="n">
        <v>39397.5</v>
      </c>
    </row>
    <row r="4749" ht="12" customHeight="1">
      <c r="A4749" s="30" t="inlineStr">
        <is>
          <t>ITG</t>
        </is>
      </c>
      <c r="B4749" s="30" t="inlineStr">
        <is>
          <t>Itaguai</t>
        </is>
      </c>
      <c r="C4749" s="30" t="n">
        <v>78052260</v>
      </c>
      <c r="D4749" s="30">
        <f>"07805442000154"</f>
        <v/>
      </c>
      <c r="E4749" s="30" t="inlineStr">
        <is>
          <t>DENMAR LOGISTICA E TRANSPORTES LTDA</t>
        </is>
      </c>
      <c r="F4749" s="30" t="inlineStr">
        <is>
          <t>2021</t>
        </is>
      </c>
      <c r="G4749" s="40" t="n">
        <v>96630.75</v>
      </c>
    </row>
    <row r="4750" ht="12" customHeight="1">
      <c r="A4750" s="30" t="inlineStr">
        <is>
          <t>ITG</t>
        </is>
      </c>
      <c r="B4750" s="30" t="inlineStr">
        <is>
          <t>Itaguai</t>
        </is>
      </c>
      <c r="C4750" s="30" t="n">
        <v>78052260</v>
      </c>
      <c r="D4750" s="30">
        <f>"07805442000154"</f>
        <v/>
      </c>
      <c r="E4750" s="30" t="inlineStr">
        <is>
          <t>DENMAR LOGISTICA E TRANSPORTES LTDA</t>
        </is>
      </c>
      <c r="F4750" s="30" t="inlineStr">
        <is>
          <t>2022</t>
        </is>
      </c>
      <c r="G4750" s="40" t="n">
        <v>235870.17</v>
      </c>
    </row>
    <row r="4751" ht="12" customHeight="1">
      <c r="A4751" s="30" t="inlineStr">
        <is>
          <t>ITG</t>
        </is>
      </c>
      <c r="B4751" s="30" t="inlineStr">
        <is>
          <t>Itaguai</t>
        </is>
      </c>
      <c r="C4751" s="30" t="n">
        <v>78052260</v>
      </c>
      <c r="D4751" s="30">
        <f>"07805442000154"</f>
        <v/>
      </c>
      <c r="E4751" s="30" t="inlineStr">
        <is>
          <t>DENMAR LOGISTICA E TRANSPORTES LTDA</t>
        </is>
      </c>
      <c r="F4751" s="30" t="inlineStr">
        <is>
          <t>2023</t>
        </is>
      </c>
      <c r="G4751" s="40" t="n">
        <v>52010.13</v>
      </c>
    </row>
    <row r="4752" ht="12" customHeight="1">
      <c r="A4752" s="30" t="inlineStr">
        <is>
          <t>ITG</t>
        </is>
      </c>
      <c r="B4752" s="30" t="inlineStr">
        <is>
          <t>Itaguai</t>
        </is>
      </c>
      <c r="C4752" s="30" t="n">
        <v>78077921</v>
      </c>
      <c r="D4752" s="30">
        <f>"24314792000137"</f>
        <v/>
      </c>
      <c r="E4752" s="30" t="inlineStr">
        <is>
          <t>AUTO POSTO DO TRABALHO ITAGUAI II LTDA</t>
        </is>
      </c>
      <c r="F4752" s="30" t="inlineStr">
        <is>
          <t>2017</t>
        </is>
      </c>
      <c r="G4752" s="40" t="n">
        <v>0</v>
      </c>
    </row>
    <row r="4753" ht="12" customHeight="1">
      <c r="A4753" s="30" t="inlineStr">
        <is>
          <t>ITG</t>
        </is>
      </c>
      <c r="B4753" s="30" t="inlineStr">
        <is>
          <t>Itaguai</t>
        </is>
      </c>
      <c r="C4753" s="30" t="n">
        <v>78077921</v>
      </c>
      <c r="D4753" s="30">
        <f>"24314792000137"</f>
        <v/>
      </c>
      <c r="E4753" s="30" t="inlineStr">
        <is>
          <t>AUTO POSTO DO TRABALHO ITAGUAI II LTDA</t>
        </is>
      </c>
      <c r="F4753" s="30" t="inlineStr">
        <is>
          <t>2018</t>
        </is>
      </c>
      <c r="G4753" s="40" t="n">
        <v>0</v>
      </c>
    </row>
    <row r="4754" ht="12" customHeight="1">
      <c r="A4754" s="30" t="inlineStr">
        <is>
          <t>ITG</t>
        </is>
      </c>
      <c r="B4754" s="30" t="inlineStr">
        <is>
          <t>Itaguai</t>
        </is>
      </c>
      <c r="C4754" s="30" t="n">
        <v>78077921</v>
      </c>
      <c r="D4754" s="30">
        <f>"24314792000137"</f>
        <v/>
      </c>
      <c r="E4754" s="30" t="inlineStr">
        <is>
          <t>AUTO POSTO DO TRABALHO ITAGUAI II LTDA</t>
        </is>
      </c>
      <c r="F4754" s="30" t="inlineStr">
        <is>
          <t>2019</t>
        </is>
      </c>
      <c r="G4754" s="40" t="n">
        <v>52972.53</v>
      </c>
    </row>
    <row r="4755" ht="12" customHeight="1">
      <c r="A4755" s="30" t="inlineStr">
        <is>
          <t>ITG</t>
        </is>
      </c>
      <c r="B4755" s="30" t="inlineStr">
        <is>
          <t>Itaguai</t>
        </is>
      </c>
      <c r="C4755" s="30" t="n">
        <v>78077921</v>
      </c>
      <c r="D4755" s="30">
        <f>"24314792000137"</f>
        <v/>
      </c>
      <c r="E4755" s="30" t="inlineStr">
        <is>
          <t>AUTO POSTO DO TRABALHO ITAGUAI II LTDA</t>
        </is>
      </c>
      <c r="F4755" s="30" t="inlineStr">
        <is>
          <t>2020</t>
        </is>
      </c>
      <c r="G4755" s="40" t="n">
        <v>3355866.84</v>
      </c>
    </row>
    <row r="4756" ht="12" customHeight="1">
      <c r="A4756" s="30" t="inlineStr">
        <is>
          <t>ITG</t>
        </is>
      </c>
      <c r="B4756" s="30" t="inlineStr">
        <is>
          <t>Itaguai</t>
        </is>
      </c>
      <c r="C4756" s="30" t="n">
        <v>78077921</v>
      </c>
      <c r="D4756" s="30">
        <f>"24314792000137"</f>
        <v/>
      </c>
      <c r="E4756" s="30" t="inlineStr">
        <is>
          <t>AUTO POSTO DO TRABALHO ITAGUAI II LTDA</t>
        </is>
      </c>
      <c r="F4756" s="30" t="inlineStr">
        <is>
          <t>2021</t>
        </is>
      </c>
      <c r="G4756" s="40" t="n">
        <v>6334460.65</v>
      </c>
    </row>
    <row r="4757" ht="12" customHeight="1">
      <c r="A4757" s="30" t="inlineStr">
        <is>
          <t>ITG</t>
        </is>
      </c>
      <c r="B4757" s="30" t="inlineStr">
        <is>
          <t>Itaguai</t>
        </is>
      </c>
      <c r="C4757" s="30" t="n">
        <v>78077921</v>
      </c>
      <c r="D4757" s="30">
        <f>"24314792000137"</f>
        <v/>
      </c>
      <c r="E4757" s="30" t="inlineStr">
        <is>
          <t>AUTO POSTO DO TRABALHO ITAGUAI II LTDA</t>
        </is>
      </c>
      <c r="F4757" s="30" t="inlineStr">
        <is>
          <t>2022</t>
        </is>
      </c>
      <c r="G4757" s="40" t="n">
        <v>5953369.64</v>
      </c>
    </row>
    <row r="4758" ht="12" customHeight="1">
      <c r="A4758" s="30" t="inlineStr">
        <is>
          <t>ITG</t>
        </is>
      </c>
      <c r="B4758" s="30" t="inlineStr">
        <is>
          <t>Itaguai</t>
        </is>
      </c>
      <c r="C4758" s="30" t="n">
        <v>78077921</v>
      </c>
      <c r="D4758" s="30">
        <f>"24314792000137"</f>
        <v/>
      </c>
      <c r="E4758" s="30" t="inlineStr">
        <is>
          <t>AUTO POSTO DO TRABALHO ITAGUAI II LTDA</t>
        </is>
      </c>
      <c r="F4758" s="30" t="inlineStr">
        <is>
          <t>2023</t>
        </is>
      </c>
      <c r="G4758" s="40" t="n">
        <v>12132.38</v>
      </c>
    </row>
    <row r="4759" ht="12" customHeight="1">
      <c r="A4759" s="30" t="inlineStr">
        <is>
          <t>ITG</t>
        </is>
      </c>
      <c r="B4759" s="30" t="inlineStr">
        <is>
          <t>Itaguai</t>
        </is>
      </c>
      <c r="C4759" s="30" t="n">
        <v>78078740</v>
      </c>
      <c r="D4759" s="30">
        <f>"07897147000175"</f>
        <v/>
      </c>
      <c r="E4759" s="30" t="inlineStr">
        <is>
          <t>OLIVEIR COMERCIO DE VEICULOS - EIRELI</t>
        </is>
      </c>
      <c r="F4759" s="30" t="inlineStr">
        <is>
          <t>2017</t>
        </is>
      </c>
      <c r="G4759" s="40" t="n">
        <v>10371.47</v>
      </c>
    </row>
    <row r="4760" ht="12" customHeight="1">
      <c r="A4760" s="30" t="inlineStr">
        <is>
          <t>ITG</t>
        </is>
      </c>
      <c r="B4760" s="30" t="inlineStr">
        <is>
          <t>Itaguai</t>
        </is>
      </c>
      <c r="C4760" s="30" t="n">
        <v>78078740</v>
      </c>
      <c r="D4760" s="30">
        <f>"07897147000175"</f>
        <v/>
      </c>
      <c r="E4760" s="30" t="inlineStr">
        <is>
          <t>OLIVEIR COMERCIO DE VEICULOS - EIRELI</t>
        </is>
      </c>
      <c r="F4760" s="30" t="inlineStr">
        <is>
          <t>2018</t>
        </is>
      </c>
      <c r="G4760" s="40" t="n">
        <v>109875.22</v>
      </c>
    </row>
    <row r="4761" ht="12" customHeight="1">
      <c r="A4761" s="30" t="inlineStr">
        <is>
          <t>ITG</t>
        </is>
      </c>
      <c r="B4761" s="30" t="inlineStr">
        <is>
          <t>Itaguai</t>
        </is>
      </c>
      <c r="C4761" s="30" t="n">
        <v>78078740</v>
      </c>
      <c r="D4761" s="30">
        <f>"07897147000175"</f>
        <v/>
      </c>
      <c r="E4761" s="30" t="inlineStr">
        <is>
          <t>OLIVEIR COMERCIO DE VEICULOS - EIRELI</t>
        </is>
      </c>
      <c r="F4761" s="30" t="inlineStr">
        <is>
          <t>2019</t>
        </is>
      </c>
      <c r="G4761" s="40" t="n">
        <v>0</v>
      </c>
    </row>
    <row r="4762" ht="12" customHeight="1">
      <c r="A4762" s="30" t="inlineStr">
        <is>
          <t>ITG</t>
        </is>
      </c>
      <c r="B4762" s="30" t="inlineStr">
        <is>
          <t>Itaguai</t>
        </is>
      </c>
      <c r="C4762" s="30" t="n">
        <v>78078740</v>
      </c>
      <c r="D4762" s="30">
        <f>"07897147000175"</f>
        <v/>
      </c>
      <c r="E4762" s="30" t="inlineStr">
        <is>
          <t>OLIVEIR COMERCIO DE VEICULOS - EIRELI</t>
        </is>
      </c>
      <c r="F4762" s="30" t="inlineStr">
        <is>
          <t>2020</t>
        </is>
      </c>
      <c r="G4762" s="40" t="n">
        <v>290657.51</v>
      </c>
    </row>
    <row r="4763" ht="12" customHeight="1">
      <c r="A4763" s="30" t="inlineStr">
        <is>
          <t>ITG</t>
        </is>
      </c>
      <c r="B4763" s="30" t="inlineStr">
        <is>
          <t>Itaguai</t>
        </is>
      </c>
      <c r="C4763" s="30" t="n">
        <v>78078740</v>
      </c>
      <c r="D4763" s="30">
        <f>"07897147000175"</f>
        <v/>
      </c>
      <c r="E4763" s="30" t="inlineStr">
        <is>
          <t>OLIVEIR COMERCIO DE VEICULOS - EIRELI</t>
        </is>
      </c>
      <c r="F4763" s="30" t="inlineStr">
        <is>
          <t>2021</t>
        </is>
      </c>
      <c r="G4763" s="40" t="n">
        <v>283300</v>
      </c>
    </row>
    <row r="4764" ht="12" customHeight="1">
      <c r="A4764" s="30" t="inlineStr">
        <is>
          <t>ITG</t>
        </is>
      </c>
      <c r="B4764" s="30" t="inlineStr">
        <is>
          <t>Itaguai</t>
        </is>
      </c>
      <c r="C4764" s="30" t="n">
        <v>78078740</v>
      </c>
      <c r="D4764" s="30">
        <f>"07897147000175"</f>
        <v/>
      </c>
      <c r="E4764" s="30" t="inlineStr">
        <is>
          <t>OLIVEIR COMERCIO DE VEICULOS - EIRELI</t>
        </is>
      </c>
      <c r="F4764" s="30" t="inlineStr">
        <is>
          <t>2022</t>
        </is>
      </c>
      <c r="G4764" s="40" t="n">
        <v>0</v>
      </c>
    </row>
    <row r="4765" ht="12" customHeight="1">
      <c r="A4765" s="30" t="inlineStr">
        <is>
          <t>ITG</t>
        </is>
      </c>
      <c r="B4765" s="30" t="inlineStr">
        <is>
          <t>Itaguai</t>
        </is>
      </c>
      <c r="C4765" s="30" t="n">
        <v>78078740</v>
      </c>
      <c r="D4765" s="30">
        <f>"07897147000175"</f>
        <v/>
      </c>
      <c r="E4765" s="30" t="inlineStr">
        <is>
          <t>OLIVEIR COMERCIO DE VEICULOS - EIRELI</t>
        </is>
      </c>
      <c r="F4765" s="30" t="inlineStr">
        <is>
          <t>2023</t>
        </is>
      </c>
      <c r="G4765" s="40" t="n">
        <v>0</v>
      </c>
    </row>
    <row r="4766" ht="12" customHeight="1">
      <c r="A4766" s="30" t="inlineStr">
        <is>
          <t>ITG</t>
        </is>
      </c>
      <c r="B4766" s="30" t="inlineStr">
        <is>
          <t>Itaguai</t>
        </is>
      </c>
      <c r="C4766" s="30" t="n">
        <v>78089105</v>
      </c>
      <c r="D4766" s="30">
        <f>"06067117000250"</f>
        <v/>
      </c>
      <c r="E4766" s="30" t="inlineStr">
        <is>
          <t>MARCIO ANTONIO DOS SANTOS MACHADO TRANSPORTE</t>
        </is>
      </c>
      <c r="F4766" s="30" t="inlineStr">
        <is>
          <t>2017</t>
        </is>
      </c>
      <c r="G4766" s="40" t="n">
        <v>0</v>
      </c>
    </row>
    <row r="4767" ht="12" customHeight="1">
      <c r="A4767" s="30" t="inlineStr">
        <is>
          <t>ITG</t>
        </is>
      </c>
      <c r="B4767" s="30" t="inlineStr">
        <is>
          <t>Itaguai</t>
        </is>
      </c>
      <c r="C4767" s="30" t="n">
        <v>78089105</v>
      </c>
      <c r="D4767" s="30">
        <f>"06067117000250"</f>
        <v/>
      </c>
      <c r="E4767" s="30" t="inlineStr">
        <is>
          <t>MARCIO ANTONIO DOS SANTOS MACHADO TRANSPORTE</t>
        </is>
      </c>
      <c r="F4767" s="30" t="inlineStr">
        <is>
          <t>2018</t>
        </is>
      </c>
      <c r="G4767" s="40" t="n">
        <v>0</v>
      </c>
    </row>
    <row r="4768" ht="12" customHeight="1">
      <c r="A4768" s="30" t="inlineStr">
        <is>
          <t>ITG</t>
        </is>
      </c>
      <c r="B4768" s="30" t="inlineStr">
        <is>
          <t>Itaguai</t>
        </is>
      </c>
      <c r="C4768" s="30" t="n">
        <v>78089105</v>
      </c>
      <c r="D4768" s="30">
        <f>"06067117000250"</f>
        <v/>
      </c>
      <c r="E4768" s="30" t="inlineStr">
        <is>
          <t>MARCIO ANTONIO DOS SANTOS MACHADO TRANSPORTE</t>
        </is>
      </c>
      <c r="F4768" s="30" t="inlineStr">
        <is>
          <t>2019</t>
        </is>
      </c>
      <c r="G4768" s="40" t="n">
        <v>0</v>
      </c>
    </row>
    <row r="4769" ht="12" customHeight="1">
      <c r="A4769" s="30" t="inlineStr">
        <is>
          <t>ITG</t>
        </is>
      </c>
      <c r="B4769" s="30" t="inlineStr">
        <is>
          <t>Itaguai</t>
        </is>
      </c>
      <c r="C4769" s="30" t="n">
        <v>78089105</v>
      </c>
      <c r="D4769" s="30">
        <f>"06067117000250"</f>
        <v/>
      </c>
      <c r="E4769" s="30" t="inlineStr">
        <is>
          <t>MARCIO ANTONIO DOS SANTOS MACHADO TRANSPORTE</t>
        </is>
      </c>
      <c r="F4769" s="30" t="inlineStr">
        <is>
          <t>2020</t>
        </is>
      </c>
      <c r="G4769" s="40" t="n">
        <v>2800</v>
      </c>
    </row>
    <row r="4770" ht="12" customHeight="1">
      <c r="A4770" s="30" t="inlineStr">
        <is>
          <t>ITG</t>
        </is>
      </c>
      <c r="B4770" s="30" t="inlineStr">
        <is>
          <t>Itaguai</t>
        </is>
      </c>
      <c r="C4770" s="30" t="n">
        <v>78089105</v>
      </c>
      <c r="D4770" s="30">
        <f>"06067117000250"</f>
        <v/>
      </c>
      <c r="E4770" s="30" t="inlineStr">
        <is>
          <t>MARCIO ANTONIO DOS SANTOS MACHADO TRANSPORTE</t>
        </is>
      </c>
      <c r="F4770" s="30" t="inlineStr">
        <is>
          <t>2021</t>
        </is>
      </c>
      <c r="G4770" s="40" t="n">
        <v>0</v>
      </c>
    </row>
    <row r="4771" ht="12" customHeight="1">
      <c r="A4771" s="30" t="inlineStr">
        <is>
          <t>ITG</t>
        </is>
      </c>
      <c r="B4771" s="30" t="inlineStr">
        <is>
          <t>Itaguai</t>
        </is>
      </c>
      <c r="C4771" s="30" t="n">
        <v>78089105</v>
      </c>
      <c r="D4771" s="30">
        <f>"06067117000250"</f>
        <v/>
      </c>
      <c r="E4771" s="30" t="inlineStr">
        <is>
          <t>MARCIO ANTONIO DOS SANTOS MACHADO TRANSPORTE</t>
        </is>
      </c>
      <c r="F4771" s="30" t="inlineStr">
        <is>
          <t>2022</t>
        </is>
      </c>
      <c r="G4771" s="40" t="n">
        <v>0</v>
      </c>
    </row>
    <row r="4772" ht="12" customHeight="1">
      <c r="A4772" s="30" t="inlineStr">
        <is>
          <t>ITG</t>
        </is>
      </c>
      <c r="B4772" s="30" t="inlineStr">
        <is>
          <t>Itaguai</t>
        </is>
      </c>
      <c r="C4772" s="30" t="n">
        <v>78106352</v>
      </c>
      <c r="D4772" s="30">
        <f>"03669753000263"</f>
        <v/>
      </c>
      <c r="E4772" s="30" t="inlineStr">
        <is>
          <t>ESTALEIRO BRASFELS LTDA</t>
        </is>
      </c>
      <c r="F4772" s="30" t="inlineStr">
        <is>
          <t>2017</t>
        </is>
      </c>
      <c r="G4772" s="40" t="n">
        <v>0</v>
      </c>
    </row>
    <row r="4773" ht="12" customHeight="1">
      <c r="A4773" s="30" t="inlineStr">
        <is>
          <t>ITG</t>
        </is>
      </c>
      <c r="B4773" s="30" t="inlineStr">
        <is>
          <t>Itaguai</t>
        </is>
      </c>
      <c r="C4773" s="30" t="n">
        <v>78106352</v>
      </c>
      <c r="D4773" s="30">
        <f>"03669753000263"</f>
        <v/>
      </c>
      <c r="E4773" s="30" t="inlineStr">
        <is>
          <t>ESTALEIRO BRASFELS LTDA</t>
        </is>
      </c>
      <c r="F4773" s="30" t="inlineStr">
        <is>
          <t>2018</t>
        </is>
      </c>
      <c r="G4773" s="40" t="n">
        <v>0</v>
      </c>
    </row>
    <row r="4774" ht="12" customHeight="1">
      <c r="A4774" s="30" t="inlineStr">
        <is>
          <t>ITG</t>
        </is>
      </c>
      <c r="B4774" s="30" t="inlineStr">
        <is>
          <t>Itaguai</t>
        </is>
      </c>
      <c r="C4774" s="30" t="n">
        <v>78106352</v>
      </c>
      <c r="D4774" s="30">
        <f>"03669753000263"</f>
        <v/>
      </c>
      <c r="E4774" s="30" t="inlineStr">
        <is>
          <t>ESTALEIRO BRASFELS LTDA</t>
        </is>
      </c>
      <c r="F4774" s="30" t="inlineStr">
        <is>
          <t>2019</t>
        </is>
      </c>
      <c r="G4774" s="40" t="n">
        <v>0</v>
      </c>
    </row>
    <row r="4775" ht="12" customHeight="1">
      <c r="A4775" s="30" t="inlineStr">
        <is>
          <t>ITG</t>
        </is>
      </c>
      <c r="B4775" s="30" t="inlineStr">
        <is>
          <t>Itaguai</t>
        </is>
      </c>
      <c r="C4775" s="30" t="n">
        <v>78106352</v>
      </c>
      <c r="D4775" s="30">
        <f>"03669753000263"</f>
        <v/>
      </c>
      <c r="E4775" s="30" t="inlineStr">
        <is>
          <t>ESTALEIRO BRASFELS LTDA</t>
        </is>
      </c>
      <c r="F4775" s="30" t="inlineStr">
        <is>
          <t>2020</t>
        </is>
      </c>
      <c r="G4775" s="40" t="n">
        <v>0</v>
      </c>
    </row>
    <row r="4776" ht="12" customHeight="1">
      <c r="A4776" s="30" t="inlineStr">
        <is>
          <t>ITG</t>
        </is>
      </c>
      <c r="B4776" s="30" t="inlineStr">
        <is>
          <t>Itaguai</t>
        </is>
      </c>
      <c r="C4776" s="30" t="n">
        <v>78106352</v>
      </c>
      <c r="D4776" s="30">
        <f>"03669753000263"</f>
        <v/>
      </c>
      <c r="E4776" s="30" t="inlineStr">
        <is>
          <t>ESTALEIRO BRASFELS LTDA</t>
        </is>
      </c>
      <c r="F4776" s="30" t="inlineStr">
        <is>
          <t>2021</t>
        </is>
      </c>
      <c r="G4776" s="40" t="n">
        <v>0</v>
      </c>
    </row>
    <row r="4777" ht="12" customHeight="1">
      <c r="A4777" s="30" t="inlineStr">
        <is>
          <t>ITG</t>
        </is>
      </c>
      <c r="B4777" s="30" t="inlineStr">
        <is>
          <t>Itaguai</t>
        </is>
      </c>
      <c r="C4777" s="30" t="n">
        <v>78107944</v>
      </c>
      <c r="D4777" s="30">
        <f>"04425426000229"</f>
        <v/>
      </c>
      <c r="E4777" s="30" t="inlineStr">
        <is>
          <t>RADIO E TELEVISAO MODELO PAULISTA</t>
        </is>
      </c>
      <c r="F4777" s="30" t="inlineStr">
        <is>
          <t>2017</t>
        </is>
      </c>
      <c r="G4777" s="40" t="n">
        <v>51275.25</v>
      </c>
    </row>
    <row r="4778" ht="12" customHeight="1">
      <c r="A4778" s="30" t="inlineStr">
        <is>
          <t>ITG</t>
        </is>
      </c>
      <c r="B4778" s="30" t="inlineStr">
        <is>
          <t>Itaguai</t>
        </is>
      </c>
      <c r="C4778" s="30" t="n">
        <v>78107944</v>
      </c>
      <c r="D4778" s="30">
        <f>"04425426000229"</f>
        <v/>
      </c>
      <c r="E4778" s="30" t="inlineStr">
        <is>
          <t>RADIO E TELEVISAO MODELO PAULISTA</t>
        </is>
      </c>
      <c r="F4778" s="30" t="inlineStr">
        <is>
          <t>2018</t>
        </is>
      </c>
      <c r="G4778" s="40" t="n">
        <v>50224.91</v>
      </c>
    </row>
    <row r="4779" ht="12" customHeight="1">
      <c r="A4779" s="30" t="inlineStr">
        <is>
          <t>ITG</t>
        </is>
      </c>
      <c r="B4779" s="30" t="inlineStr">
        <is>
          <t>Itaguai</t>
        </is>
      </c>
      <c r="C4779" s="30" t="n">
        <v>78107944</v>
      </c>
      <c r="D4779" s="30">
        <f>"04425426000229"</f>
        <v/>
      </c>
      <c r="E4779" s="30" t="inlineStr">
        <is>
          <t>RADIO E TELEVISAO MODELO PAULISTA</t>
        </is>
      </c>
      <c r="F4779" s="30" t="inlineStr">
        <is>
          <t>2019</t>
        </is>
      </c>
      <c r="G4779" s="40" t="n">
        <v>46904.98</v>
      </c>
    </row>
    <row r="4780" ht="12" customHeight="1">
      <c r="A4780" s="30" t="inlineStr">
        <is>
          <t>ITG</t>
        </is>
      </c>
      <c r="B4780" s="30" t="inlineStr">
        <is>
          <t>Itaguai</t>
        </is>
      </c>
      <c r="C4780" s="30" t="n">
        <v>78107944</v>
      </c>
      <c r="D4780" s="30">
        <f>"04425426000229"</f>
        <v/>
      </c>
      <c r="E4780" s="30" t="inlineStr">
        <is>
          <t>RADIO E TELEVISAO MODELO PAULISTA</t>
        </is>
      </c>
      <c r="F4780" s="30" t="inlineStr">
        <is>
          <t>2020</t>
        </is>
      </c>
      <c r="G4780" s="40" t="n">
        <v>41377.21</v>
      </c>
    </row>
    <row r="4781" ht="12" customHeight="1">
      <c r="A4781" s="30" t="inlineStr">
        <is>
          <t>ITG</t>
        </is>
      </c>
      <c r="B4781" s="30" t="inlineStr">
        <is>
          <t>Itaguai</t>
        </is>
      </c>
      <c r="C4781" s="30" t="n">
        <v>78107944</v>
      </c>
      <c r="D4781" s="30">
        <f>"04425426000229"</f>
        <v/>
      </c>
      <c r="E4781" s="30" t="inlineStr">
        <is>
          <t>RADIO E TELEVISAO MODELO PAULISTA</t>
        </is>
      </c>
      <c r="F4781" s="30" t="inlineStr">
        <is>
          <t>2021</t>
        </is>
      </c>
      <c r="G4781" s="40" t="n">
        <v>36577.4</v>
      </c>
    </row>
    <row r="4782" ht="12" customHeight="1">
      <c r="A4782" s="30" t="inlineStr">
        <is>
          <t>ITG</t>
        </is>
      </c>
      <c r="B4782" s="30" t="inlineStr">
        <is>
          <t>Itaguai</t>
        </is>
      </c>
      <c r="C4782" s="30" t="n">
        <v>78107944</v>
      </c>
      <c r="D4782" s="30">
        <f>"04425426000229"</f>
        <v/>
      </c>
      <c r="E4782" s="30" t="inlineStr">
        <is>
          <t>RADIO E TELEVISAO MODELO PAULISTA</t>
        </is>
      </c>
      <c r="F4782" s="30" t="inlineStr">
        <is>
          <t>2022</t>
        </is>
      </c>
      <c r="G4782" s="40" t="n">
        <v>34644.64</v>
      </c>
    </row>
    <row r="4783" ht="12" customHeight="1">
      <c r="A4783" s="30" t="inlineStr">
        <is>
          <t>ITG</t>
        </is>
      </c>
      <c r="B4783" s="30" t="inlineStr">
        <is>
          <t>Itaguai</t>
        </is>
      </c>
      <c r="C4783" s="30" t="n">
        <v>78107944</v>
      </c>
      <c r="D4783" s="30">
        <f>"04425426000229"</f>
        <v/>
      </c>
      <c r="E4783" s="30" t="inlineStr">
        <is>
          <t>RADIO E TELEVISAO MODELO PAULISTA</t>
        </is>
      </c>
      <c r="F4783" s="30" t="inlineStr">
        <is>
          <t>2023</t>
        </is>
      </c>
      <c r="G4783" s="40" t="n">
        <v>31189.93</v>
      </c>
    </row>
    <row r="4784" ht="12" customHeight="1">
      <c r="A4784" s="30" t="inlineStr">
        <is>
          <t>ITG</t>
        </is>
      </c>
      <c r="B4784" s="30" t="inlineStr">
        <is>
          <t>Itaguai</t>
        </is>
      </c>
      <c r="C4784" s="30" t="n">
        <v>78115254</v>
      </c>
      <c r="D4784" s="30">
        <f>"08057492000163"</f>
        <v/>
      </c>
      <c r="E4784" s="30" t="inlineStr">
        <is>
          <t>J F DE AZEVEDO ?TICA - EIRELI</t>
        </is>
      </c>
      <c r="F4784" s="30" t="inlineStr">
        <is>
          <t>2017</t>
        </is>
      </c>
      <c r="G4784" s="40" t="n">
        <v>0</v>
      </c>
    </row>
    <row r="4785" ht="12" customHeight="1">
      <c r="A4785" s="30" t="inlineStr">
        <is>
          <t>ITG</t>
        </is>
      </c>
      <c r="B4785" s="30" t="inlineStr">
        <is>
          <t>Itaguai</t>
        </is>
      </c>
      <c r="C4785" s="30" t="n">
        <v>78115254</v>
      </c>
      <c r="D4785" s="30">
        <f>"08057492000163"</f>
        <v/>
      </c>
      <c r="E4785" s="30" t="inlineStr">
        <is>
          <t>J F DE AZEVEDO ?TICA - EIRELI</t>
        </is>
      </c>
      <c r="F4785" s="30" t="inlineStr">
        <is>
          <t>2018</t>
        </is>
      </c>
      <c r="G4785" s="40" t="n">
        <v>0</v>
      </c>
    </row>
    <row r="4786" ht="12" customHeight="1">
      <c r="A4786" s="30" t="inlineStr">
        <is>
          <t>ITG</t>
        </is>
      </c>
      <c r="B4786" s="30" t="inlineStr">
        <is>
          <t>Itaguai</t>
        </is>
      </c>
      <c r="C4786" s="30" t="n">
        <v>78115254</v>
      </c>
      <c r="D4786" s="30">
        <f>"08057492000163"</f>
        <v/>
      </c>
      <c r="E4786" s="30" t="inlineStr">
        <is>
          <t>J F DE AZEVEDO ?TICA - EIRELI</t>
        </is>
      </c>
      <c r="F4786" s="30" t="inlineStr">
        <is>
          <t>2019</t>
        </is>
      </c>
      <c r="G4786" s="40" t="n">
        <v>0</v>
      </c>
    </row>
    <row r="4787" ht="12" customHeight="1">
      <c r="A4787" s="30" t="inlineStr">
        <is>
          <t>ITG</t>
        </is>
      </c>
      <c r="B4787" s="30" t="inlineStr">
        <is>
          <t>Itaguai</t>
        </is>
      </c>
      <c r="C4787" s="30" t="n">
        <v>78115254</v>
      </c>
      <c r="D4787" s="30">
        <f>"08057492000163"</f>
        <v/>
      </c>
      <c r="E4787" s="30" t="inlineStr">
        <is>
          <t>J F DE AZEVEDO ?TICA - EIRELI</t>
        </is>
      </c>
      <c r="F4787" s="30" t="inlineStr">
        <is>
          <t>2020</t>
        </is>
      </c>
      <c r="G4787" s="40" t="n">
        <v>0</v>
      </c>
    </row>
    <row r="4788" ht="12" customHeight="1">
      <c r="A4788" s="30" t="inlineStr">
        <is>
          <t>ITG</t>
        </is>
      </c>
      <c r="B4788" s="30" t="inlineStr">
        <is>
          <t>Itaguai</t>
        </is>
      </c>
      <c r="C4788" s="30" t="n">
        <v>78115254</v>
      </c>
      <c r="D4788" s="30">
        <f>"08057492000163"</f>
        <v/>
      </c>
      <c r="E4788" s="30" t="inlineStr">
        <is>
          <t>J F DE AZEVEDO ?TICA - EIRELI</t>
        </is>
      </c>
      <c r="F4788" s="30" t="inlineStr">
        <is>
          <t>2021</t>
        </is>
      </c>
      <c r="G4788" s="40" t="n">
        <v>0</v>
      </c>
    </row>
    <row r="4789" ht="12" customHeight="1">
      <c r="A4789" s="30" t="inlineStr">
        <is>
          <t>ITG</t>
        </is>
      </c>
      <c r="B4789" s="30" t="inlineStr">
        <is>
          <t>Itaguai</t>
        </is>
      </c>
      <c r="C4789" s="30" t="n">
        <v>78116013</v>
      </c>
      <c r="D4789" s="30">
        <f>"08053208000180"</f>
        <v/>
      </c>
      <c r="E4789" s="30" t="inlineStr">
        <is>
          <t>PLANETA GRILL ITAGUAI RESTAURANTE LTDA</t>
        </is>
      </c>
      <c r="F4789" s="30" t="inlineStr">
        <is>
          <t>2018</t>
        </is>
      </c>
      <c r="G4789" s="40" t="n">
        <v>0</v>
      </c>
    </row>
    <row r="4790" ht="12" customHeight="1">
      <c r="A4790" s="30" t="inlineStr">
        <is>
          <t>ITG</t>
        </is>
      </c>
      <c r="B4790" s="30" t="inlineStr">
        <is>
          <t>Itaguai</t>
        </is>
      </c>
      <c r="C4790" s="30" t="n">
        <v>78116013</v>
      </c>
      <c r="D4790" s="30">
        <f>"08053208000180"</f>
        <v/>
      </c>
      <c r="E4790" s="30" t="inlineStr">
        <is>
          <t>PLANETA GRILL ITAGUAI RESTAURANTE LTDA</t>
        </is>
      </c>
      <c r="F4790" s="30" t="inlineStr">
        <is>
          <t>2019</t>
        </is>
      </c>
      <c r="G4790" s="40" t="n">
        <v>0</v>
      </c>
    </row>
    <row r="4791" ht="12" customHeight="1">
      <c r="A4791" s="30" t="inlineStr">
        <is>
          <t>ITG</t>
        </is>
      </c>
      <c r="B4791" s="30" t="inlineStr">
        <is>
          <t>Itaguai</t>
        </is>
      </c>
      <c r="C4791" s="30" t="n">
        <v>78116013</v>
      </c>
      <c r="D4791" s="30">
        <f>"08053208000180"</f>
        <v/>
      </c>
      <c r="E4791" s="30" t="inlineStr">
        <is>
          <t>PLANETA GRILL ITAGUAI RESTAURANTE LTDA</t>
        </is>
      </c>
      <c r="F4791" s="30" t="inlineStr">
        <is>
          <t>2020</t>
        </is>
      </c>
      <c r="G4791" s="40" t="n">
        <v>0</v>
      </c>
    </row>
    <row r="4792" ht="12" customHeight="1">
      <c r="A4792" s="30" t="inlineStr">
        <is>
          <t>ITG</t>
        </is>
      </c>
      <c r="B4792" s="30" t="inlineStr">
        <is>
          <t>Itaguai</t>
        </is>
      </c>
      <c r="C4792" s="30" t="n">
        <v>78116013</v>
      </c>
      <c r="D4792" s="30">
        <f>"08053208000180"</f>
        <v/>
      </c>
      <c r="E4792" s="30" t="inlineStr">
        <is>
          <t>PLANETA GRILL ITAGUAI RESTAURANTE LTDA</t>
        </is>
      </c>
      <c r="F4792" s="30" t="inlineStr">
        <is>
          <t>2021</t>
        </is>
      </c>
      <c r="G4792" s="40" t="n">
        <v>0</v>
      </c>
    </row>
    <row r="4793" ht="12" customHeight="1">
      <c r="A4793" s="30" t="inlineStr">
        <is>
          <t>ITG</t>
        </is>
      </c>
      <c r="B4793" s="30" t="inlineStr">
        <is>
          <t>Itaguai</t>
        </is>
      </c>
      <c r="C4793" s="30" t="n">
        <v>78116013</v>
      </c>
      <c r="D4793" s="30">
        <f>"08053208000180"</f>
        <v/>
      </c>
      <c r="E4793" s="30" t="inlineStr">
        <is>
          <t>PLANETA GRILL ITAGUAI RESTAURANTE LTDA</t>
        </is>
      </c>
      <c r="F4793" s="30" t="inlineStr">
        <is>
          <t>2022</t>
        </is>
      </c>
      <c r="G4793" s="40" t="n">
        <v>0</v>
      </c>
    </row>
    <row r="4794" ht="12" customHeight="1">
      <c r="A4794" s="30" t="inlineStr">
        <is>
          <t>ITG</t>
        </is>
      </c>
      <c r="B4794" s="30" t="inlineStr">
        <is>
          <t>Itaguai</t>
        </is>
      </c>
      <c r="C4794" s="30" t="n">
        <v>78138220</v>
      </c>
      <c r="D4794" s="30">
        <f>"88668298003179"</f>
        <v/>
      </c>
      <c r="E4794" s="30" t="inlineStr">
        <is>
          <t>IRAPURU TRANSPORTES LTDA</t>
        </is>
      </c>
      <c r="F4794" s="30" t="inlineStr">
        <is>
          <t>2017</t>
        </is>
      </c>
      <c r="G4794" s="40" t="n">
        <v>24211.22</v>
      </c>
    </row>
    <row r="4795" ht="12" customHeight="1">
      <c r="A4795" s="30" t="inlineStr">
        <is>
          <t>ITG</t>
        </is>
      </c>
      <c r="B4795" s="30" t="inlineStr">
        <is>
          <t>Itaguai</t>
        </is>
      </c>
      <c r="C4795" s="30" t="n">
        <v>78138220</v>
      </c>
      <c r="D4795" s="30">
        <f>"88668298003179"</f>
        <v/>
      </c>
      <c r="E4795" s="30" t="inlineStr">
        <is>
          <t>IRAPURU TRANSPORTES LTDA</t>
        </is>
      </c>
      <c r="F4795" s="30" t="inlineStr">
        <is>
          <t>2018</t>
        </is>
      </c>
      <c r="G4795" s="40" t="n">
        <v>910953.58</v>
      </c>
    </row>
    <row r="4796" ht="12" customHeight="1">
      <c r="A4796" s="30" t="inlineStr">
        <is>
          <t>ITG</t>
        </is>
      </c>
      <c r="B4796" s="30" t="inlineStr">
        <is>
          <t>Itaguai</t>
        </is>
      </c>
      <c r="C4796" s="30" t="n">
        <v>78138220</v>
      </c>
      <c r="D4796" s="30">
        <f>"88668298003179"</f>
        <v/>
      </c>
      <c r="E4796" s="30" t="inlineStr">
        <is>
          <t>IRAPURU TRANSPORTES LTDA</t>
        </is>
      </c>
      <c r="F4796" s="30" t="inlineStr">
        <is>
          <t>2019</t>
        </is>
      </c>
      <c r="G4796" s="40" t="n">
        <v>417257.36</v>
      </c>
    </row>
    <row r="4797" ht="12" customHeight="1">
      <c r="A4797" s="30" t="inlineStr">
        <is>
          <t>ITG</t>
        </is>
      </c>
      <c r="B4797" s="30" t="inlineStr">
        <is>
          <t>Itaguai</t>
        </is>
      </c>
      <c r="C4797" s="30" t="n">
        <v>78138220</v>
      </c>
      <c r="D4797" s="30">
        <f>"88668298003179"</f>
        <v/>
      </c>
      <c r="E4797" s="30" t="inlineStr">
        <is>
          <t>IRAPURU TRANSPORTES LTDA</t>
        </is>
      </c>
      <c r="F4797" s="30" t="inlineStr">
        <is>
          <t>2020</t>
        </is>
      </c>
      <c r="G4797" s="40" t="n">
        <v>0</v>
      </c>
    </row>
    <row r="4798" ht="12" customHeight="1">
      <c r="A4798" s="30" t="inlineStr">
        <is>
          <t>ITG</t>
        </is>
      </c>
      <c r="B4798" s="30" t="inlineStr">
        <is>
          <t>Itaguai</t>
        </is>
      </c>
      <c r="C4798" s="30" t="n">
        <v>78138220</v>
      </c>
      <c r="D4798" s="30">
        <f>"88668298003179"</f>
        <v/>
      </c>
      <c r="E4798" s="30" t="inlineStr">
        <is>
          <t>IRAPURU TRANSPORTES LTDA</t>
        </is>
      </c>
      <c r="F4798" s="30" t="inlineStr">
        <is>
          <t>2021</t>
        </is>
      </c>
      <c r="G4798" s="40" t="n">
        <v>0</v>
      </c>
    </row>
    <row r="4799" ht="12" customHeight="1">
      <c r="A4799" s="30" t="inlineStr">
        <is>
          <t>ITG</t>
        </is>
      </c>
      <c r="B4799" s="30" t="inlineStr">
        <is>
          <t>Itaguai</t>
        </is>
      </c>
      <c r="C4799" s="30" t="n">
        <v>78139587</v>
      </c>
      <c r="D4799" s="30">
        <f>"26178616000302"</f>
        <v/>
      </c>
      <c r="E4799" s="30" t="inlineStr">
        <is>
          <t>EMPREENDIMENTOS RODEIRO S/A</t>
        </is>
      </c>
      <c r="F4799" s="30" t="inlineStr">
        <is>
          <t>2017</t>
        </is>
      </c>
      <c r="G4799" s="40" t="n">
        <v>0</v>
      </c>
    </row>
    <row r="4800" ht="12" customHeight="1">
      <c r="A4800" s="30" t="inlineStr">
        <is>
          <t>ITG</t>
        </is>
      </c>
      <c r="B4800" s="30" t="inlineStr">
        <is>
          <t>Itaguai</t>
        </is>
      </c>
      <c r="C4800" s="30" t="n">
        <v>78139587</v>
      </c>
      <c r="D4800" s="30">
        <f>"26178616000302"</f>
        <v/>
      </c>
      <c r="E4800" s="30" t="inlineStr">
        <is>
          <t>EMPREENDIMENTOS RODEIRO S/A</t>
        </is>
      </c>
      <c r="F4800" s="30" t="inlineStr">
        <is>
          <t>2018</t>
        </is>
      </c>
      <c r="G4800" s="40" t="n">
        <v>0</v>
      </c>
    </row>
    <row r="4801" ht="12" customHeight="1">
      <c r="A4801" s="30" t="inlineStr">
        <is>
          <t>ITG</t>
        </is>
      </c>
      <c r="B4801" s="30" t="inlineStr">
        <is>
          <t>Itaguai</t>
        </is>
      </c>
      <c r="C4801" s="30" t="n">
        <v>78139587</v>
      </c>
      <c r="D4801" s="30">
        <f>"26178616000302"</f>
        <v/>
      </c>
      <c r="E4801" s="30" t="inlineStr">
        <is>
          <t>EMPREENDIMENTOS RODEIRO S/A</t>
        </is>
      </c>
      <c r="F4801" s="30" t="inlineStr">
        <is>
          <t>2019</t>
        </is>
      </c>
      <c r="G4801" s="40" t="n">
        <v>129382.39</v>
      </c>
    </row>
    <row r="4802" ht="12" customHeight="1">
      <c r="A4802" s="30" t="inlineStr">
        <is>
          <t>ITG</t>
        </is>
      </c>
      <c r="B4802" s="30" t="inlineStr">
        <is>
          <t>Itaguai</t>
        </is>
      </c>
      <c r="C4802" s="30" t="n">
        <v>78139587</v>
      </c>
      <c r="D4802" s="30">
        <f>"26178616000302"</f>
        <v/>
      </c>
      <c r="E4802" s="30" t="inlineStr">
        <is>
          <t>EMPREENDIMENTOS RODEIRO S/A</t>
        </is>
      </c>
      <c r="F4802" s="30" t="inlineStr">
        <is>
          <t>2020</t>
        </is>
      </c>
      <c r="G4802" s="40" t="n">
        <v>0</v>
      </c>
    </row>
    <row r="4803" ht="12" customHeight="1">
      <c r="A4803" s="30" t="inlineStr">
        <is>
          <t>ITG</t>
        </is>
      </c>
      <c r="B4803" s="30" t="inlineStr">
        <is>
          <t>Itaguai</t>
        </is>
      </c>
      <c r="C4803" s="30" t="n">
        <v>78139587</v>
      </c>
      <c r="D4803" s="30">
        <f>"26178616000302"</f>
        <v/>
      </c>
      <c r="E4803" s="30" t="inlineStr">
        <is>
          <t>EMPREENDIMENTOS RODEIRO S/A</t>
        </is>
      </c>
      <c r="F4803" s="30" t="inlineStr">
        <is>
          <t>2021</t>
        </is>
      </c>
      <c r="G4803" s="40" t="n">
        <v>46452.96</v>
      </c>
    </row>
    <row r="4804" ht="12" customHeight="1">
      <c r="A4804" s="30" t="inlineStr">
        <is>
          <t>ITG</t>
        </is>
      </c>
      <c r="B4804" s="30" t="inlineStr">
        <is>
          <t>Itaguai</t>
        </is>
      </c>
      <c r="C4804" s="30" t="n">
        <v>78139587</v>
      </c>
      <c r="D4804" s="30">
        <f>"26178616000302"</f>
        <v/>
      </c>
      <c r="E4804" s="30" t="inlineStr">
        <is>
          <t>EMPREENDIMENTOS RODEIRO S/A</t>
        </is>
      </c>
      <c r="F4804" s="30" t="inlineStr">
        <is>
          <t>2022</t>
        </is>
      </c>
      <c r="G4804" s="40" t="n">
        <v>0</v>
      </c>
    </row>
    <row r="4805" ht="12" customHeight="1">
      <c r="A4805" s="30" t="inlineStr">
        <is>
          <t>ITG</t>
        </is>
      </c>
      <c r="B4805" s="30" t="inlineStr">
        <is>
          <t>Itaguai</t>
        </is>
      </c>
      <c r="C4805" s="30" t="n">
        <v>78139587</v>
      </c>
      <c r="D4805" s="30">
        <f>"26178616000302"</f>
        <v/>
      </c>
      <c r="E4805" s="30" t="inlineStr">
        <is>
          <t>EMPREENDIMENTOS RODEIRO S/A</t>
        </is>
      </c>
      <c r="F4805" s="30" t="inlineStr">
        <is>
          <t>2023</t>
        </is>
      </c>
      <c r="G4805" s="40" t="n">
        <v>182649.36</v>
      </c>
    </row>
    <row r="4806" ht="12" customHeight="1">
      <c r="A4806" s="30" t="inlineStr">
        <is>
          <t>ITG</t>
        </is>
      </c>
      <c r="B4806" s="30" t="inlineStr">
        <is>
          <t>Itaguai</t>
        </is>
      </c>
      <c r="C4806" s="30" t="n">
        <v>78143983</v>
      </c>
      <c r="D4806" s="30">
        <f>"06051223000245"</f>
        <v/>
      </c>
      <c r="E4806" s="30" t="inlineStr">
        <is>
          <t>THIAGO A LAMBERTI &amp; CIA LTDA</t>
        </is>
      </c>
      <c r="F4806" s="30" t="inlineStr">
        <is>
          <t>2018</t>
        </is>
      </c>
      <c r="G4806" s="40" t="n">
        <v>0</v>
      </c>
    </row>
    <row r="4807" ht="12" customHeight="1">
      <c r="A4807" s="30" t="inlineStr">
        <is>
          <t>ITG</t>
        </is>
      </c>
      <c r="B4807" s="30" t="inlineStr">
        <is>
          <t>Itaguai</t>
        </is>
      </c>
      <c r="C4807" s="30" t="n">
        <v>78143983</v>
      </c>
      <c r="D4807" s="30">
        <f>"06051223000245"</f>
        <v/>
      </c>
      <c r="E4807" s="30" t="inlineStr">
        <is>
          <t>THIAGO A LAMBERTI &amp; CIA LTDA</t>
        </is>
      </c>
      <c r="F4807" s="30" t="inlineStr">
        <is>
          <t>2019</t>
        </is>
      </c>
      <c r="G4807" s="40" t="n">
        <v>0</v>
      </c>
    </row>
    <row r="4808" ht="12" customHeight="1">
      <c r="A4808" s="30" t="inlineStr">
        <is>
          <t>ITG</t>
        </is>
      </c>
      <c r="B4808" s="30" t="inlineStr">
        <is>
          <t>Itaguai</t>
        </is>
      </c>
      <c r="C4808" s="30" t="n">
        <v>78143983</v>
      </c>
      <c r="D4808" s="30">
        <f>"06051223000245"</f>
        <v/>
      </c>
      <c r="E4808" s="30" t="inlineStr">
        <is>
          <t>THIAGO A LAMBERTI &amp; CIA LTDA</t>
        </is>
      </c>
      <c r="F4808" s="30" t="inlineStr">
        <is>
          <t>2020</t>
        </is>
      </c>
      <c r="G4808" s="40" t="n">
        <v>536.36</v>
      </c>
    </row>
    <row r="4809" ht="12" customHeight="1">
      <c r="A4809" s="30" t="inlineStr">
        <is>
          <t>ITG</t>
        </is>
      </c>
      <c r="B4809" s="30" t="inlineStr">
        <is>
          <t>Itaguai</t>
        </is>
      </c>
      <c r="C4809" s="30" t="n">
        <v>78143983</v>
      </c>
      <c r="D4809" s="30">
        <f>"06051223000245"</f>
        <v/>
      </c>
      <c r="E4809" s="30" t="inlineStr">
        <is>
          <t>THIAGO A LAMBERTI &amp; CIA LTDA</t>
        </is>
      </c>
      <c r="F4809" s="30" t="inlineStr">
        <is>
          <t>2021</t>
        </is>
      </c>
      <c r="G4809" s="40" t="n">
        <v>0</v>
      </c>
    </row>
    <row r="4810" ht="12" customHeight="1">
      <c r="A4810" s="30" t="inlineStr">
        <is>
          <t>ITG</t>
        </is>
      </c>
      <c r="B4810" s="30" t="inlineStr">
        <is>
          <t>Itaguai</t>
        </is>
      </c>
      <c r="C4810" s="30" t="n">
        <v>78143983</v>
      </c>
      <c r="D4810" s="30">
        <f>"06051223000245"</f>
        <v/>
      </c>
      <c r="E4810" s="30" t="inlineStr">
        <is>
          <t>THIAGO A LAMBERTI &amp; CIA LTDA</t>
        </is>
      </c>
      <c r="F4810" s="30" t="inlineStr">
        <is>
          <t>2022</t>
        </is>
      </c>
      <c r="G4810" s="40" t="n">
        <v>0</v>
      </c>
    </row>
    <row r="4811" ht="12" customHeight="1">
      <c r="A4811" s="30" t="inlineStr">
        <is>
          <t>ITG</t>
        </is>
      </c>
      <c r="B4811" s="30" t="inlineStr">
        <is>
          <t>Itaguai</t>
        </is>
      </c>
      <c r="C4811" s="30" t="n">
        <v>78145153</v>
      </c>
      <c r="D4811" s="30">
        <f>"08004247000198"</f>
        <v/>
      </c>
      <c r="E4811" s="30" t="inlineStr">
        <is>
          <t>PENA &amp; MENEGHITTI 2006 TRANSPORTES LTDA EPP</t>
        </is>
      </c>
      <c r="F4811" s="30" t="inlineStr">
        <is>
          <t>2018</t>
        </is>
      </c>
      <c r="G4811" s="40" t="n">
        <v>0</v>
      </c>
    </row>
    <row r="4812" ht="12" customHeight="1">
      <c r="A4812" s="30" t="inlineStr">
        <is>
          <t>ITG</t>
        </is>
      </c>
      <c r="B4812" s="30" t="inlineStr">
        <is>
          <t>Itaguai</t>
        </is>
      </c>
      <c r="C4812" s="30" t="n">
        <v>78145153</v>
      </c>
      <c r="D4812" s="30">
        <f>"08004247000198"</f>
        <v/>
      </c>
      <c r="E4812" s="30" t="inlineStr">
        <is>
          <t>PENA &amp; MENEGHITTI 2006 TRANSPORTES LTDA EPP</t>
        </is>
      </c>
      <c r="F4812" s="30" t="inlineStr">
        <is>
          <t>2019</t>
        </is>
      </c>
      <c r="G4812" s="40" t="n">
        <v>0</v>
      </c>
    </row>
    <row r="4813" ht="12" customHeight="1">
      <c r="A4813" s="30" t="inlineStr">
        <is>
          <t>ITG</t>
        </is>
      </c>
      <c r="B4813" s="30" t="inlineStr">
        <is>
          <t>Itaguai</t>
        </is>
      </c>
      <c r="C4813" s="30" t="n">
        <v>78145153</v>
      </c>
      <c r="D4813" s="30">
        <f>"08004247000198"</f>
        <v/>
      </c>
      <c r="E4813" s="30" t="inlineStr">
        <is>
          <t>PENA &amp; MENEGHITTI 2006 TRANSPORTES LTDA EPP</t>
        </is>
      </c>
      <c r="F4813" s="30" t="inlineStr">
        <is>
          <t>2020</t>
        </is>
      </c>
      <c r="G4813" s="40" t="n">
        <v>7.55</v>
      </c>
    </row>
    <row r="4814" ht="12" customHeight="1">
      <c r="A4814" s="30" t="inlineStr">
        <is>
          <t>ITG</t>
        </is>
      </c>
      <c r="B4814" s="30" t="inlineStr">
        <is>
          <t>Itaguai</t>
        </is>
      </c>
      <c r="C4814" s="30" t="n">
        <v>78145153</v>
      </c>
      <c r="D4814" s="30">
        <f>"08004247000198"</f>
        <v/>
      </c>
      <c r="E4814" s="30" t="inlineStr">
        <is>
          <t>PENA &amp; MENEGHITTI 2006 TRANSPORTES LTDA EPP</t>
        </is>
      </c>
      <c r="F4814" s="30" t="inlineStr">
        <is>
          <t>2021</t>
        </is>
      </c>
      <c r="G4814" s="40" t="n">
        <v>10.8</v>
      </c>
    </row>
    <row r="4815" ht="12" customHeight="1">
      <c r="A4815" s="30" t="inlineStr">
        <is>
          <t>ITG</t>
        </is>
      </c>
      <c r="B4815" s="30" t="inlineStr">
        <is>
          <t>Itaguai</t>
        </is>
      </c>
      <c r="C4815" s="30" t="n">
        <v>78145153</v>
      </c>
      <c r="D4815" s="30">
        <f>"08004247000198"</f>
        <v/>
      </c>
      <c r="E4815" s="30" t="inlineStr">
        <is>
          <t>PENA &amp; MENEGHITTI 2006 TRANSPORTES LTDA EPP</t>
        </is>
      </c>
      <c r="F4815" s="30" t="inlineStr">
        <is>
          <t>2022</t>
        </is>
      </c>
      <c r="G4815" s="40" t="n">
        <v>133.44</v>
      </c>
    </row>
    <row r="4816" ht="12" customHeight="1">
      <c r="A4816" s="30" t="inlineStr">
        <is>
          <t>ITG</t>
        </is>
      </c>
      <c r="B4816" s="30" t="inlineStr">
        <is>
          <t>Itaguai</t>
        </is>
      </c>
      <c r="C4816" s="30" t="n">
        <v>78145153</v>
      </c>
      <c r="D4816" s="30">
        <f>"08004247000198"</f>
        <v/>
      </c>
      <c r="E4816" s="30" t="inlineStr">
        <is>
          <t>PENA &amp; MENEGHITTI 2006 TRANSPORTES LTDA EPP</t>
        </is>
      </c>
      <c r="F4816" s="30" t="inlineStr">
        <is>
          <t>2023</t>
        </is>
      </c>
      <c r="G4816" s="40" t="n">
        <v>0</v>
      </c>
    </row>
    <row r="4817" ht="12" customHeight="1">
      <c r="A4817" s="30" t="inlineStr">
        <is>
          <t>ITG</t>
        </is>
      </c>
      <c r="B4817" s="30" t="inlineStr">
        <is>
          <t>Itaguai</t>
        </is>
      </c>
      <c r="C4817" s="30" t="n">
        <v>78145528</v>
      </c>
      <c r="D4817" s="30">
        <f>"08186591000145"</f>
        <v/>
      </c>
      <c r="E4817" s="30" t="inlineStr">
        <is>
          <t>GIANNONE TRANSPORTES LTDA</t>
        </is>
      </c>
      <c r="F4817" s="30" t="inlineStr">
        <is>
          <t>2017</t>
        </is>
      </c>
      <c r="G4817" s="40" t="n">
        <v>0</v>
      </c>
    </row>
    <row r="4818" ht="12" customHeight="1">
      <c r="A4818" s="30" t="inlineStr">
        <is>
          <t>ITG</t>
        </is>
      </c>
      <c r="B4818" s="30" t="inlineStr">
        <is>
          <t>Itaguai</t>
        </is>
      </c>
      <c r="C4818" s="30" t="n">
        <v>78145528</v>
      </c>
      <c r="D4818" s="30">
        <f>"08186591000145"</f>
        <v/>
      </c>
      <c r="E4818" s="30" t="inlineStr">
        <is>
          <t>GIANNONE TRANSPORTES LTDA</t>
        </is>
      </c>
      <c r="F4818" s="30" t="inlineStr">
        <is>
          <t>2018</t>
        </is>
      </c>
      <c r="G4818" s="40" t="n">
        <v>0</v>
      </c>
    </row>
    <row r="4819" ht="12" customHeight="1">
      <c r="A4819" s="30" t="inlineStr">
        <is>
          <t>ITG</t>
        </is>
      </c>
      <c r="B4819" s="30" t="inlineStr">
        <is>
          <t>Itaguai</t>
        </is>
      </c>
      <c r="C4819" s="30" t="n">
        <v>78145528</v>
      </c>
      <c r="D4819" s="30">
        <f>"08186591000145"</f>
        <v/>
      </c>
      <c r="E4819" s="30" t="inlineStr">
        <is>
          <t>GIANNONE TRANSPORTES LTDA</t>
        </is>
      </c>
      <c r="F4819" s="30" t="inlineStr">
        <is>
          <t>2019</t>
        </is>
      </c>
      <c r="G4819" s="40" t="n">
        <v>77.75</v>
      </c>
    </row>
    <row r="4820" ht="12" customHeight="1">
      <c r="A4820" s="30" t="inlineStr">
        <is>
          <t>ITG</t>
        </is>
      </c>
      <c r="B4820" s="30" t="inlineStr">
        <is>
          <t>Itaguai</t>
        </is>
      </c>
      <c r="C4820" s="30" t="n">
        <v>78145528</v>
      </c>
      <c r="D4820" s="30">
        <f>"08186591000145"</f>
        <v/>
      </c>
      <c r="E4820" s="30" t="inlineStr">
        <is>
          <t>GIANNONE TRANSPORTES LTDA</t>
        </is>
      </c>
      <c r="F4820" s="30" t="inlineStr">
        <is>
          <t>2020</t>
        </is>
      </c>
      <c r="G4820" s="40" t="n">
        <v>0.03</v>
      </c>
    </row>
    <row r="4821" ht="12" customHeight="1">
      <c r="A4821" s="30" t="inlineStr">
        <is>
          <t>ITG</t>
        </is>
      </c>
      <c r="B4821" s="30" t="inlineStr">
        <is>
          <t>Itaguai</t>
        </is>
      </c>
      <c r="C4821" s="30" t="n">
        <v>78145528</v>
      </c>
      <c r="D4821" s="30">
        <f>"08186591000145"</f>
        <v/>
      </c>
      <c r="E4821" s="30" t="inlineStr">
        <is>
          <t>GIANNONE TRANSPORTES LTDA</t>
        </is>
      </c>
      <c r="F4821" s="30" t="inlineStr">
        <is>
          <t>2021</t>
        </is>
      </c>
      <c r="G4821" s="40" t="n">
        <v>71.11</v>
      </c>
    </row>
    <row r="4822" ht="12" customHeight="1">
      <c r="A4822" s="30" t="inlineStr">
        <is>
          <t>ITG</t>
        </is>
      </c>
      <c r="B4822" s="30" t="inlineStr">
        <is>
          <t>Itaguai</t>
        </is>
      </c>
      <c r="C4822" s="30" t="n">
        <v>78145528</v>
      </c>
      <c r="D4822" s="30">
        <f>"08186591000145"</f>
        <v/>
      </c>
      <c r="E4822" s="30" t="inlineStr">
        <is>
          <t>GIANNONE TRANSPORTES LTDA</t>
        </is>
      </c>
      <c r="F4822" s="30" t="inlineStr">
        <is>
          <t>2022</t>
        </is>
      </c>
      <c r="G4822" s="40" t="n">
        <v>0</v>
      </c>
    </row>
    <row r="4823" ht="12" customHeight="1">
      <c r="A4823" s="30" t="inlineStr">
        <is>
          <t>ITG</t>
        </is>
      </c>
      <c r="B4823" s="30" t="inlineStr">
        <is>
          <t>Itaguai</t>
        </is>
      </c>
      <c r="C4823" s="30" t="n">
        <v>78145528</v>
      </c>
      <c r="D4823" s="30">
        <f>"08186591000145"</f>
        <v/>
      </c>
      <c r="E4823" s="30" t="inlineStr">
        <is>
          <t>GIANNONE TRANSPORTES LTDA</t>
        </is>
      </c>
      <c r="F4823" s="30" t="inlineStr">
        <is>
          <t>2023</t>
        </is>
      </c>
      <c r="G4823" s="40" t="n">
        <v>0</v>
      </c>
    </row>
    <row r="4824" ht="12" customHeight="1">
      <c r="A4824" s="30" t="inlineStr">
        <is>
          <t>ITG</t>
        </is>
      </c>
      <c r="B4824" s="30" t="inlineStr">
        <is>
          <t>Itaguai</t>
        </is>
      </c>
      <c r="C4824" s="30" t="n">
        <v>78156090</v>
      </c>
      <c r="D4824" s="30">
        <f>"08239521000108"</f>
        <v/>
      </c>
      <c r="E4824" s="30" t="inlineStr">
        <is>
          <t>QUATRO IRMAOS SERVICOS DE TRANSPORTES LTDA EPP</t>
        </is>
      </c>
      <c r="F4824" s="30" t="inlineStr">
        <is>
          <t>2017</t>
        </is>
      </c>
      <c r="G4824" s="40" t="n">
        <v>0</v>
      </c>
    </row>
    <row r="4825" ht="12" customHeight="1">
      <c r="A4825" s="30" t="inlineStr">
        <is>
          <t>ITG</t>
        </is>
      </c>
      <c r="B4825" s="30" t="inlineStr">
        <is>
          <t>Itaguai</t>
        </is>
      </c>
      <c r="C4825" s="30" t="n">
        <v>78156090</v>
      </c>
      <c r="D4825" s="30">
        <f>"08239521000108"</f>
        <v/>
      </c>
      <c r="E4825" s="30" t="inlineStr">
        <is>
          <t>QUATRO IRMAOS SERVICOS DE TRANSPORTES LTDA EPP</t>
        </is>
      </c>
      <c r="F4825" s="30" t="inlineStr">
        <is>
          <t>2018</t>
        </is>
      </c>
      <c r="G4825" s="40" t="n">
        <v>31.16</v>
      </c>
    </row>
    <row r="4826" ht="12" customHeight="1">
      <c r="A4826" s="30" t="inlineStr">
        <is>
          <t>ITG</t>
        </is>
      </c>
      <c r="B4826" s="30" t="inlineStr">
        <is>
          <t>Itaguai</t>
        </is>
      </c>
      <c r="C4826" s="30" t="n">
        <v>78156090</v>
      </c>
      <c r="D4826" s="30">
        <f>"08239521000108"</f>
        <v/>
      </c>
      <c r="E4826" s="30" t="inlineStr">
        <is>
          <t>QUATRO IRMAOS SERVICOS DE TRANSPORTES LTDA EPP</t>
        </is>
      </c>
      <c r="F4826" s="30" t="inlineStr">
        <is>
          <t>2019</t>
        </is>
      </c>
      <c r="G4826" s="40" t="n">
        <v>0</v>
      </c>
    </row>
    <row r="4827" ht="12" customHeight="1">
      <c r="A4827" s="30" t="inlineStr">
        <is>
          <t>ITG</t>
        </is>
      </c>
      <c r="B4827" s="30" t="inlineStr">
        <is>
          <t>Itaguai</t>
        </is>
      </c>
      <c r="C4827" s="30" t="n">
        <v>78156090</v>
      </c>
      <c r="D4827" s="30">
        <f>"08239521000108"</f>
        <v/>
      </c>
      <c r="E4827" s="30" t="inlineStr">
        <is>
          <t>QUATRO IRMAOS SERVICOS DE TRANSPORTES LTDA EPP</t>
        </is>
      </c>
      <c r="F4827" s="30" t="inlineStr">
        <is>
          <t>2020</t>
        </is>
      </c>
      <c r="G4827" s="40" t="n">
        <v>0</v>
      </c>
    </row>
    <row r="4828" ht="12" customHeight="1">
      <c r="A4828" s="30" t="inlineStr">
        <is>
          <t>ITG</t>
        </is>
      </c>
      <c r="B4828" s="30" t="inlineStr">
        <is>
          <t>Itaguai</t>
        </is>
      </c>
      <c r="C4828" s="30" t="n">
        <v>78156090</v>
      </c>
      <c r="D4828" s="30">
        <f>"08239521000108"</f>
        <v/>
      </c>
      <c r="E4828" s="30" t="inlineStr">
        <is>
          <t>QUATRO IRMAOS SERVICOS DE TRANSPORTES LTDA EPP</t>
        </is>
      </c>
      <c r="F4828" s="30" t="inlineStr">
        <is>
          <t>2021</t>
        </is>
      </c>
      <c r="G4828" s="40" t="n">
        <v>0</v>
      </c>
    </row>
    <row r="4829" ht="12" customHeight="1">
      <c r="A4829" s="30" t="inlineStr">
        <is>
          <t>ITG</t>
        </is>
      </c>
      <c r="B4829" s="30" t="inlineStr">
        <is>
          <t>Itaguai</t>
        </is>
      </c>
      <c r="C4829" s="30" t="n">
        <v>78156090</v>
      </c>
      <c r="D4829" s="30">
        <f>"08239521000108"</f>
        <v/>
      </c>
      <c r="E4829" s="30" t="inlineStr">
        <is>
          <t>QUATRO IRMAOS SERVICOS DE TRANSPORTES LTDA EPP</t>
        </is>
      </c>
      <c r="F4829" s="30" t="inlineStr">
        <is>
          <t>2022</t>
        </is>
      </c>
      <c r="G4829" s="40" t="n">
        <v>0</v>
      </c>
    </row>
    <row r="4830" ht="12" customHeight="1">
      <c r="A4830" s="30" t="inlineStr">
        <is>
          <t>ITG</t>
        </is>
      </c>
      <c r="B4830" s="30" t="inlineStr">
        <is>
          <t>Itaguai</t>
        </is>
      </c>
      <c r="C4830" s="30" t="n">
        <v>78156090</v>
      </c>
      <c r="D4830" s="30">
        <f>"08239521000108"</f>
        <v/>
      </c>
      <c r="E4830" s="30" t="inlineStr">
        <is>
          <t>QUATRO IRMAOS SERVICOS DE TRANSPORTES LTDA EPP</t>
        </is>
      </c>
      <c r="F4830" s="30" t="inlineStr">
        <is>
          <t>2023</t>
        </is>
      </c>
      <c r="G4830" s="40" t="n">
        <v>133.68</v>
      </c>
    </row>
    <row r="4831" ht="12" customHeight="1">
      <c r="A4831" s="30" t="inlineStr">
        <is>
          <t>ITG</t>
        </is>
      </c>
      <c r="B4831" s="30" t="inlineStr">
        <is>
          <t>Itaguai</t>
        </is>
      </c>
      <c r="C4831" s="30" t="n">
        <v>78156287</v>
      </c>
      <c r="D4831" s="30">
        <f>"02565955000111"</f>
        <v/>
      </c>
      <c r="E4831" s="30" t="inlineStr">
        <is>
          <t>MATRIX GLOBAL LOGISTICA EIRELI</t>
        </is>
      </c>
      <c r="F4831" s="30" t="inlineStr">
        <is>
          <t>2018</t>
        </is>
      </c>
      <c r="G4831" s="40" t="n">
        <v>0</v>
      </c>
    </row>
    <row r="4832" ht="12" customHeight="1">
      <c r="A4832" s="30" t="inlineStr">
        <is>
          <t>ITG</t>
        </is>
      </c>
      <c r="B4832" s="30" t="inlineStr">
        <is>
          <t>Itaguai</t>
        </is>
      </c>
      <c r="C4832" s="30" t="n">
        <v>78156287</v>
      </c>
      <c r="D4832" s="30">
        <f>"02565955000111"</f>
        <v/>
      </c>
      <c r="E4832" s="30" t="inlineStr">
        <is>
          <t>MATRIX GLOBAL LOGISTICA EIRELI</t>
        </is>
      </c>
      <c r="F4832" s="30" t="inlineStr">
        <is>
          <t>2019</t>
        </is>
      </c>
      <c r="G4832" s="40" t="n">
        <v>0</v>
      </c>
    </row>
    <row r="4833" ht="12" customHeight="1">
      <c r="A4833" s="30" t="inlineStr">
        <is>
          <t>ITG</t>
        </is>
      </c>
      <c r="B4833" s="30" t="inlineStr">
        <is>
          <t>Itaguai</t>
        </is>
      </c>
      <c r="C4833" s="30" t="n">
        <v>78156287</v>
      </c>
      <c r="D4833" s="30">
        <f>"02565955000111"</f>
        <v/>
      </c>
      <c r="E4833" s="30" t="inlineStr">
        <is>
          <t>MATRIX GLOBAL LOGISTICA EIRELI</t>
        </is>
      </c>
      <c r="F4833" s="30" t="inlineStr">
        <is>
          <t>2020</t>
        </is>
      </c>
      <c r="G4833" s="40" t="n">
        <v>0</v>
      </c>
    </row>
    <row r="4834" ht="12" customHeight="1">
      <c r="A4834" s="30" t="inlineStr">
        <is>
          <t>ITG</t>
        </is>
      </c>
      <c r="B4834" s="30" t="inlineStr">
        <is>
          <t>Itaguai</t>
        </is>
      </c>
      <c r="C4834" s="30" t="n">
        <v>78156287</v>
      </c>
      <c r="D4834" s="30">
        <f>"02565955000111"</f>
        <v/>
      </c>
      <c r="E4834" s="30" t="inlineStr">
        <is>
          <t>MATRIX GLOBAL LOGISTICA EIRELI</t>
        </is>
      </c>
      <c r="F4834" s="30" t="inlineStr">
        <is>
          <t>2021</t>
        </is>
      </c>
      <c r="G4834" s="40" t="n">
        <v>0</v>
      </c>
    </row>
    <row r="4835" ht="12" customHeight="1">
      <c r="A4835" s="30" t="inlineStr">
        <is>
          <t>ITG</t>
        </is>
      </c>
      <c r="B4835" s="30" t="inlineStr">
        <is>
          <t>Itaguai</t>
        </is>
      </c>
      <c r="C4835" s="30" t="n">
        <v>78156287</v>
      </c>
      <c r="D4835" s="30">
        <f>"02565955000111"</f>
        <v/>
      </c>
      <c r="E4835" s="30" t="inlineStr">
        <is>
          <t>MATRIX GLOBAL LOGISTICA EIRELI</t>
        </is>
      </c>
      <c r="F4835" s="30" t="inlineStr">
        <is>
          <t>2022</t>
        </is>
      </c>
      <c r="G4835" s="40" t="n">
        <v>0</v>
      </c>
    </row>
    <row r="4836" ht="12" customHeight="1">
      <c r="A4836" s="30" t="inlineStr">
        <is>
          <t>ITG</t>
        </is>
      </c>
      <c r="B4836" s="30" t="inlineStr">
        <is>
          <t>Itaguai</t>
        </is>
      </c>
      <c r="C4836" s="30" t="n">
        <v>78156287</v>
      </c>
      <c r="D4836" s="30">
        <f>"02565955000111"</f>
        <v/>
      </c>
      <c r="E4836" s="30" t="inlineStr">
        <is>
          <t>MATRIX GLOBAL LOGISTICA EIRELI</t>
        </is>
      </c>
      <c r="F4836" s="30" t="inlineStr">
        <is>
          <t>2023</t>
        </is>
      </c>
      <c r="G4836" s="40" t="n">
        <v>0</v>
      </c>
    </row>
    <row r="4837" ht="12" customHeight="1">
      <c r="A4837" s="30" t="inlineStr">
        <is>
          <t>ITG</t>
        </is>
      </c>
      <c r="B4837" s="30" t="inlineStr">
        <is>
          <t>Itaguai</t>
        </is>
      </c>
      <c r="C4837" s="30" t="n">
        <v>78160462</v>
      </c>
      <c r="D4837" s="30">
        <f>"44349199000729"</f>
        <v/>
      </c>
      <c r="E4837" s="30" t="inlineStr">
        <is>
          <t>LAURIMAR TRANSPORTES GERAIS LTDA</t>
        </is>
      </c>
      <c r="F4837" s="30" t="inlineStr">
        <is>
          <t>2018</t>
        </is>
      </c>
      <c r="G4837" s="40" t="n">
        <v>0</v>
      </c>
    </row>
    <row r="4838" ht="12" customHeight="1">
      <c r="A4838" s="30" t="inlineStr">
        <is>
          <t>ITG</t>
        </is>
      </c>
      <c r="B4838" s="30" t="inlineStr">
        <is>
          <t>Itaguai</t>
        </is>
      </c>
      <c r="C4838" s="30" t="n">
        <v>78160462</v>
      </c>
      <c r="D4838" s="30">
        <f>"44349199000729"</f>
        <v/>
      </c>
      <c r="E4838" s="30" t="inlineStr">
        <is>
          <t>LAURIMAR TRANSPORTES GERAIS LTDA</t>
        </is>
      </c>
      <c r="F4838" s="30" t="inlineStr">
        <is>
          <t>2019</t>
        </is>
      </c>
      <c r="G4838" s="40" t="n">
        <v>0</v>
      </c>
    </row>
    <row r="4839" ht="12" customHeight="1">
      <c r="A4839" s="30" t="inlineStr">
        <is>
          <t>ITG</t>
        </is>
      </c>
      <c r="B4839" s="30" t="inlineStr">
        <is>
          <t>Itaguai</t>
        </is>
      </c>
      <c r="C4839" s="30" t="n">
        <v>78160462</v>
      </c>
      <c r="D4839" s="30">
        <f>"44349199000729"</f>
        <v/>
      </c>
      <c r="E4839" s="30" t="inlineStr">
        <is>
          <t>LAURIMAR TRANSPORTES GERAIS LTDA</t>
        </is>
      </c>
      <c r="F4839" s="30" t="inlineStr">
        <is>
          <t>2020</t>
        </is>
      </c>
      <c r="G4839" s="40" t="n">
        <v>575.97</v>
      </c>
    </row>
    <row r="4840" ht="12" customHeight="1">
      <c r="A4840" s="30" t="inlineStr">
        <is>
          <t>ITG</t>
        </is>
      </c>
      <c r="B4840" s="30" t="inlineStr">
        <is>
          <t>Itaguai</t>
        </is>
      </c>
      <c r="C4840" s="30" t="n">
        <v>78160462</v>
      </c>
      <c r="D4840" s="30">
        <f>"44349199000729"</f>
        <v/>
      </c>
      <c r="E4840" s="30" t="inlineStr">
        <is>
          <t>LAURIMAR TRANSPORTES GERAIS LTDA</t>
        </is>
      </c>
      <c r="F4840" s="30" t="inlineStr">
        <is>
          <t>2021</t>
        </is>
      </c>
      <c r="G4840" s="40" t="n">
        <v>0</v>
      </c>
    </row>
    <row r="4841" ht="12" customHeight="1">
      <c r="A4841" s="30" t="inlineStr">
        <is>
          <t>ITG</t>
        </is>
      </c>
      <c r="B4841" s="30" t="inlineStr">
        <is>
          <t>Itaguai</t>
        </is>
      </c>
      <c r="C4841" s="30" t="n">
        <v>78160462</v>
      </c>
      <c r="D4841" s="30">
        <f>"44349199000729"</f>
        <v/>
      </c>
      <c r="E4841" s="30" t="inlineStr">
        <is>
          <t>LAURIMAR TRANSPORTES GERAIS LTDA</t>
        </is>
      </c>
      <c r="F4841" s="30" t="inlineStr">
        <is>
          <t>2022</t>
        </is>
      </c>
      <c r="G4841" s="40" t="n">
        <v>0</v>
      </c>
    </row>
    <row r="4842" ht="12" customHeight="1">
      <c r="A4842" s="30" t="inlineStr">
        <is>
          <t>ITG</t>
        </is>
      </c>
      <c r="B4842" s="30" t="inlineStr">
        <is>
          <t>Itaguai</t>
        </is>
      </c>
      <c r="C4842" s="30" t="n">
        <v>78171979</v>
      </c>
      <c r="D4842" s="30">
        <f>"05263069000121"</f>
        <v/>
      </c>
      <c r="E4842" s="30" t="inlineStr">
        <is>
          <t>TCML TRANSPORTES E TURISMO LTDA ME</t>
        </is>
      </c>
      <c r="F4842" s="30" t="inlineStr">
        <is>
          <t>2021</t>
        </is>
      </c>
      <c r="G4842" s="40" t="n">
        <v>0</v>
      </c>
    </row>
    <row r="4843" ht="12" customHeight="1">
      <c r="A4843" s="30" t="inlineStr">
        <is>
          <t>ITG</t>
        </is>
      </c>
      <c r="B4843" s="30" t="inlineStr">
        <is>
          <t>Itaguai</t>
        </is>
      </c>
      <c r="C4843" s="30" t="n">
        <v>78171979</v>
      </c>
      <c r="D4843" s="30">
        <f>"05263069000121"</f>
        <v/>
      </c>
      <c r="E4843" s="30" t="inlineStr">
        <is>
          <t>TCML TRANSPORTES E TURISMO LTDA ME</t>
        </is>
      </c>
      <c r="F4843" s="30" t="inlineStr">
        <is>
          <t>2022</t>
        </is>
      </c>
      <c r="G4843" s="40" t="n">
        <v>0</v>
      </c>
    </row>
    <row r="4844" ht="12" customHeight="1">
      <c r="A4844" s="30" t="inlineStr">
        <is>
          <t>ITG</t>
        </is>
      </c>
      <c r="B4844" s="30" t="inlineStr">
        <is>
          <t>Itaguai</t>
        </is>
      </c>
      <c r="C4844" s="30" t="n">
        <v>78171979</v>
      </c>
      <c r="D4844" s="30">
        <f>"05263069000121"</f>
        <v/>
      </c>
      <c r="E4844" s="30" t="inlineStr">
        <is>
          <t>TCML TRANSPORTES E TURISMO LTDA ME</t>
        </is>
      </c>
      <c r="F4844" s="30" t="inlineStr">
        <is>
          <t>2023</t>
        </is>
      </c>
      <c r="G4844" s="40" t="n">
        <v>490</v>
      </c>
    </row>
    <row r="4845" ht="12" customHeight="1">
      <c r="A4845" s="30" t="inlineStr">
        <is>
          <t>ITG</t>
        </is>
      </c>
      <c r="B4845" s="30" t="inlineStr">
        <is>
          <t>Itaguai</t>
        </is>
      </c>
      <c r="C4845" s="30" t="n">
        <v>78188324</v>
      </c>
      <c r="D4845" s="30">
        <f>"08306629000176"</f>
        <v/>
      </c>
      <c r="E4845" s="30" t="inlineStr">
        <is>
          <t>C M MARTINS DE OLIVEIRA PADARIA E MERCEARIA</t>
        </is>
      </c>
      <c r="F4845" s="30" t="inlineStr">
        <is>
          <t>2017</t>
        </is>
      </c>
      <c r="G4845" s="40" t="n">
        <v>0</v>
      </c>
    </row>
    <row r="4846" ht="12" customHeight="1">
      <c r="A4846" s="30" t="inlineStr">
        <is>
          <t>ITG</t>
        </is>
      </c>
      <c r="B4846" s="30" t="inlineStr">
        <is>
          <t>Itaguai</t>
        </is>
      </c>
      <c r="C4846" s="30" t="n">
        <v>78188324</v>
      </c>
      <c r="D4846" s="30">
        <f>"08306629000176"</f>
        <v/>
      </c>
      <c r="E4846" s="30" t="inlineStr">
        <is>
          <t>C M MARTINS DE OLIVEIRA PADARIA E MERCEARIA</t>
        </is>
      </c>
      <c r="F4846" s="30" t="inlineStr">
        <is>
          <t>2018</t>
        </is>
      </c>
      <c r="G4846" s="40" t="n">
        <v>0</v>
      </c>
    </row>
    <row r="4847" ht="12" customHeight="1">
      <c r="A4847" s="30" t="inlineStr">
        <is>
          <t>ITG</t>
        </is>
      </c>
      <c r="B4847" s="30" t="inlineStr">
        <is>
          <t>Itaguai</t>
        </is>
      </c>
      <c r="C4847" s="30" t="n">
        <v>78188324</v>
      </c>
      <c r="D4847" s="30">
        <f>"08306629000176"</f>
        <v/>
      </c>
      <c r="E4847" s="30" t="inlineStr">
        <is>
          <t>C M MARTINS DE OLIVEIRA PADARIA E MERCEARIA</t>
        </is>
      </c>
      <c r="F4847" s="30" t="inlineStr">
        <is>
          <t>2019</t>
        </is>
      </c>
      <c r="G4847" s="40" t="n">
        <v>0</v>
      </c>
    </row>
    <row r="4848" ht="12" customHeight="1">
      <c r="A4848" s="30" t="inlineStr">
        <is>
          <t>ITG</t>
        </is>
      </c>
      <c r="B4848" s="30" t="inlineStr">
        <is>
          <t>Itaguai</t>
        </is>
      </c>
      <c r="C4848" s="30" t="n">
        <v>78194367</v>
      </c>
      <c r="D4848" s="30">
        <f>"08168884000108"</f>
        <v/>
      </c>
      <c r="E4848" s="30" t="inlineStr">
        <is>
          <t>NOVA UNIAO LOGISTICA E TRANSPORTES LTDA</t>
        </is>
      </c>
      <c r="F4848" s="30" t="inlineStr">
        <is>
          <t>2017</t>
        </is>
      </c>
      <c r="G4848" s="40" t="n">
        <v>0</v>
      </c>
    </row>
    <row r="4849" ht="12" customHeight="1">
      <c r="A4849" s="30" t="inlineStr">
        <is>
          <t>ITG</t>
        </is>
      </c>
      <c r="B4849" s="30" t="inlineStr">
        <is>
          <t>Itaguai</t>
        </is>
      </c>
      <c r="C4849" s="30" t="n">
        <v>78194367</v>
      </c>
      <c r="D4849" s="30">
        <f>"08168884000108"</f>
        <v/>
      </c>
      <c r="E4849" s="30" t="inlineStr">
        <is>
          <t>NOVA UNIAO LOGISTICA E TRANSPORTES LTDA</t>
        </is>
      </c>
      <c r="F4849" s="30" t="inlineStr">
        <is>
          <t>2018</t>
        </is>
      </c>
      <c r="G4849" s="40" t="n">
        <v>603.6900000000001</v>
      </c>
    </row>
    <row r="4850" ht="12" customHeight="1">
      <c r="A4850" s="30" t="inlineStr">
        <is>
          <t>ITG</t>
        </is>
      </c>
      <c r="B4850" s="30" t="inlineStr">
        <is>
          <t>Itaguai</t>
        </is>
      </c>
      <c r="C4850" s="30" t="n">
        <v>78194367</v>
      </c>
      <c r="D4850" s="30">
        <f>"08168884000108"</f>
        <v/>
      </c>
      <c r="E4850" s="30" t="inlineStr">
        <is>
          <t>NOVA UNIAO LOGISTICA E TRANSPORTES LTDA</t>
        </is>
      </c>
      <c r="F4850" s="30" t="inlineStr">
        <is>
          <t>2019</t>
        </is>
      </c>
      <c r="G4850" s="40" t="n">
        <v>0</v>
      </c>
    </row>
    <row r="4851" ht="12" customHeight="1">
      <c r="A4851" s="30" t="inlineStr">
        <is>
          <t>ITG</t>
        </is>
      </c>
      <c r="B4851" s="30" t="inlineStr">
        <is>
          <t>Itaguai</t>
        </is>
      </c>
      <c r="C4851" s="30" t="n">
        <v>78194367</v>
      </c>
      <c r="D4851" s="30">
        <f>"08168884000108"</f>
        <v/>
      </c>
      <c r="E4851" s="30" t="inlineStr">
        <is>
          <t>NOVA UNIAO LOGISTICA E TRANSPORTES LTDA</t>
        </is>
      </c>
      <c r="F4851" s="30" t="inlineStr">
        <is>
          <t>2020</t>
        </is>
      </c>
      <c r="G4851" s="40" t="n">
        <v>0</v>
      </c>
    </row>
    <row r="4852" ht="12" customHeight="1">
      <c r="A4852" s="30" t="inlineStr">
        <is>
          <t>ITG</t>
        </is>
      </c>
      <c r="B4852" s="30" t="inlineStr">
        <is>
          <t>Itaguai</t>
        </is>
      </c>
      <c r="C4852" s="30" t="n">
        <v>78195754</v>
      </c>
      <c r="D4852" s="30">
        <f>"58526690000520"</f>
        <v/>
      </c>
      <c r="E4852" s="30" t="inlineStr">
        <is>
          <t>IDT BRASIL TELECOMUNICACOES LTDA</t>
        </is>
      </c>
      <c r="F4852" s="30" t="inlineStr">
        <is>
          <t>2017</t>
        </is>
      </c>
      <c r="G4852" s="40" t="n">
        <v>2122.22</v>
      </c>
    </row>
    <row r="4853" ht="12" customHeight="1">
      <c r="A4853" s="30" t="inlineStr">
        <is>
          <t>ITG</t>
        </is>
      </c>
      <c r="B4853" s="30" t="inlineStr">
        <is>
          <t>Itaguai</t>
        </is>
      </c>
      <c r="C4853" s="30" t="n">
        <v>78195754</v>
      </c>
      <c r="D4853" s="30">
        <f>"58526690000520"</f>
        <v/>
      </c>
      <c r="E4853" s="30" t="inlineStr">
        <is>
          <t>IDT BRASIL TELECOMUNICACOES LTDA</t>
        </is>
      </c>
      <c r="F4853" s="30" t="inlineStr">
        <is>
          <t>2018</t>
        </is>
      </c>
      <c r="G4853" s="40" t="n">
        <v>1872.42</v>
      </c>
    </row>
    <row r="4854" ht="12" customHeight="1">
      <c r="A4854" s="30" t="inlineStr">
        <is>
          <t>ITG</t>
        </is>
      </c>
      <c r="B4854" s="30" t="inlineStr">
        <is>
          <t>Itaguai</t>
        </is>
      </c>
      <c r="C4854" s="30" t="n">
        <v>78195754</v>
      </c>
      <c r="D4854" s="30">
        <f>"58526690000520"</f>
        <v/>
      </c>
      <c r="E4854" s="30" t="inlineStr">
        <is>
          <t>IDT BRASIL TELECOMUNICACOES LTDA</t>
        </is>
      </c>
      <c r="F4854" s="30" t="inlineStr">
        <is>
          <t>2019</t>
        </is>
      </c>
      <c r="G4854" s="40" t="n">
        <v>0</v>
      </c>
    </row>
    <row r="4855" ht="12" customHeight="1">
      <c r="A4855" s="30" t="inlineStr">
        <is>
          <t>ITG</t>
        </is>
      </c>
      <c r="B4855" s="30" t="inlineStr">
        <is>
          <t>Itaguai</t>
        </is>
      </c>
      <c r="C4855" s="30" t="n">
        <v>78195754</v>
      </c>
      <c r="D4855" s="30">
        <f>"58526690000520"</f>
        <v/>
      </c>
      <c r="E4855" s="30" t="inlineStr">
        <is>
          <t>IDT BRASIL TELECOMUNICACOES LTDA</t>
        </is>
      </c>
      <c r="F4855" s="30" t="inlineStr">
        <is>
          <t>2020</t>
        </is>
      </c>
      <c r="G4855" s="40" t="n">
        <v>0</v>
      </c>
    </row>
    <row r="4856" ht="12" customHeight="1">
      <c r="A4856" s="30" t="inlineStr">
        <is>
          <t>ITG</t>
        </is>
      </c>
      <c r="B4856" s="30" t="inlineStr">
        <is>
          <t>Itaguai</t>
        </is>
      </c>
      <c r="C4856" s="30" t="n">
        <v>78195754</v>
      </c>
      <c r="D4856" s="30">
        <f>"58526690000520"</f>
        <v/>
      </c>
      <c r="E4856" s="30" t="inlineStr">
        <is>
          <t>IDT BRASIL TELECOMUNICACOES LTDA</t>
        </is>
      </c>
      <c r="F4856" s="30" t="inlineStr">
        <is>
          <t>2021</t>
        </is>
      </c>
      <c r="G4856" s="40" t="n">
        <v>12314.28</v>
      </c>
    </row>
    <row r="4857" ht="12" customHeight="1">
      <c r="A4857" s="30" t="inlineStr">
        <is>
          <t>ITG</t>
        </is>
      </c>
      <c r="B4857" s="30" t="inlineStr">
        <is>
          <t>Itaguai</t>
        </is>
      </c>
      <c r="C4857" s="30" t="n">
        <v>78195754</v>
      </c>
      <c r="D4857" s="30">
        <f>"58526690000520"</f>
        <v/>
      </c>
      <c r="E4857" s="30" t="inlineStr">
        <is>
          <t>IDT BRASIL TELECOMUNICACOES LTDA</t>
        </is>
      </c>
      <c r="F4857" s="30" t="inlineStr">
        <is>
          <t>2022</t>
        </is>
      </c>
      <c r="G4857" s="40" t="n">
        <v>0</v>
      </c>
    </row>
    <row r="4858" ht="12" customHeight="1">
      <c r="A4858" s="30" t="inlineStr">
        <is>
          <t>ITG</t>
        </is>
      </c>
      <c r="B4858" s="30" t="inlineStr">
        <is>
          <t>Itaguai</t>
        </is>
      </c>
      <c r="C4858" s="30" t="n">
        <v>78195754</v>
      </c>
      <c r="D4858" s="30">
        <f>"58526690000520"</f>
        <v/>
      </c>
      <c r="E4858" s="30" t="inlineStr">
        <is>
          <t>IDT BRASIL TELECOMUNICACOES LTDA</t>
        </is>
      </c>
      <c r="F4858" s="30" t="inlineStr">
        <is>
          <t>2023</t>
        </is>
      </c>
      <c r="G4858" s="40" t="n">
        <v>30575.15</v>
      </c>
    </row>
    <row r="4859" ht="12" customHeight="1">
      <c r="A4859" s="30" t="inlineStr">
        <is>
          <t>ITG</t>
        </is>
      </c>
      <c r="B4859" s="30" t="inlineStr">
        <is>
          <t>Itaguai</t>
        </is>
      </c>
      <c r="C4859" s="30" t="n">
        <v>78196475</v>
      </c>
      <c r="D4859" s="30">
        <f>"76642743001603"</f>
        <v/>
      </c>
      <c r="E4859" s="30" t="inlineStr">
        <is>
          <t>DEL POZO TRANSPORTES RODOVIARIOS LTDA</t>
        </is>
      </c>
      <c r="F4859" s="30" t="inlineStr">
        <is>
          <t>2017</t>
        </is>
      </c>
      <c r="G4859" s="40" t="n">
        <v>0</v>
      </c>
    </row>
    <row r="4860" ht="12" customHeight="1">
      <c r="A4860" s="30" t="inlineStr">
        <is>
          <t>ITG</t>
        </is>
      </c>
      <c r="B4860" s="30" t="inlineStr">
        <is>
          <t>Itaguai</t>
        </is>
      </c>
      <c r="C4860" s="30" t="n">
        <v>78196475</v>
      </c>
      <c r="D4860" s="30">
        <f>"76642743001603"</f>
        <v/>
      </c>
      <c r="E4860" s="30" t="inlineStr">
        <is>
          <t>DEL POZO TRANSPORTES RODOVIARIOS LTDA</t>
        </is>
      </c>
      <c r="F4860" s="30" t="inlineStr">
        <is>
          <t>2018</t>
        </is>
      </c>
      <c r="G4860" s="40" t="n">
        <v>0</v>
      </c>
    </row>
    <row r="4861" ht="12" customHeight="1">
      <c r="A4861" s="30" t="inlineStr">
        <is>
          <t>ITG</t>
        </is>
      </c>
      <c r="B4861" s="30" t="inlineStr">
        <is>
          <t>Itaguai</t>
        </is>
      </c>
      <c r="C4861" s="30" t="n">
        <v>78196475</v>
      </c>
      <c r="D4861" s="30">
        <f>"76642743001603"</f>
        <v/>
      </c>
      <c r="E4861" s="30" t="inlineStr">
        <is>
          <t>DEL POZO TRANSPORTES RODOVIARIOS LTDA</t>
        </is>
      </c>
      <c r="F4861" s="30" t="inlineStr">
        <is>
          <t>2019</t>
        </is>
      </c>
      <c r="G4861" s="40" t="n">
        <v>76796.72</v>
      </c>
    </row>
    <row r="4862" ht="12" customHeight="1">
      <c r="A4862" s="30" t="inlineStr">
        <is>
          <t>ITG</t>
        </is>
      </c>
      <c r="B4862" s="30" t="inlineStr">
        <is>
          <t>Itaguai</t>
        </is>
      </c>
      <c r="C4862" s="30" t="n">
        <v>78196475</v>
      </c>
      <c r="D4862" s="30">
        <f>"76642743001603"</f>
        <v/>
      </c>
      <c r="E4862" s="30" t="inlineStr">
        <is>
          <t>DEL POZO TRANSPORTES RODOVIARIOS LTDA</t>
        </is>
      </c>
      <c r="F4862" s="30" t="inlineStr">
        <is>
          <t>2020</t>
        </is>
      </c>
      <c r="G4862" s="40" t="n">
        <v>0</v>
      </c>
    </row>
    <row r="4863" ht="12" customHeight="1">
      <c r="A4863" s="30" t="inlineStr">
        <is>
          <t>ITG</t>
        </is>
      </c>
      <c r="B4863" s="30" t="inlineStr">
        <is>
          <t>Itaguai</t>
        </is>
      </c>
      <c r="C4863" s="30" t="n">
        <v>78196475</v>
      </c>
      <c r="D4863" s="30">
        <f>"76642743001603"</f>
        <v/>
      </c>
      <c r="E4863" s="30" t="inlineStr">
        <is>
          <t>DEL POZO TRANSPORTES RODOVIARIOS LTDA</t>
        </is>
      </c>
      <c r="F4863" s="30" t="inlineStr">
        <is>
          <t>2021</t>
        </is>
      </c>
      <c r="G4863" s="40" t="n">
        <v>0</v>
      </c>
    </row>
    <row r="4864" ht="12" customHeight="1">
      <c r="A4864" s="30" t="inlineStr">
        <is>
          <t>ITG</t>
        </is>
      </c>
      <c r="B4864" s="30" t="inlineStr">
        <is>
          <t>Itaguai</t>
        </is>
      </c>
      <c r="C4864" s="30" t="n">
        <v>78207370</v>
      </c>
      <c r="D4864" s="30">
        <f>"00785977000161"</f>
        <v/>
      </c>
      <c r="E4864" s="30" t="inlineStr">
        <is>
          <t>SILPER DIESEL LTDA</t>
        </is>
      </c>
      <c r="F4864" s="30" t="inlineStr">
        <is>
          <t>2017</t>
        </is>
      </c>
      <c r="G4864" s="40" t="n">
        <v>0</v>
      </c>
    </row>
    <row r="4865" ht="12" customHeight="1">
      <c r="A4865" s="30" t="inlineStr">
        <is>
          <t>ITG</t>
        </is>
      </c>
      <c r="B4865" s="30" t="inlineStr">
        <is>
          <t>Itaguai</t>
        </is>
      </c>
      <c r="C4865" s="30" t="n">
        <v>78207370</v>
      </c>
      <c r="D4865" s="30">
        <f>"00785977000161"</f>
        <v/>
      </c>
      <c r="E4865" s="30" t="inlineStr">
        <is>
          <t>SILPER DIESEL LTDA</t>
        </is>
      </c>
      <c r="F4865" s="30" t="inlineStr">
        <is>
          <t>2018</t>
        </is>
      </c>
      <c r="G4865" s="40" t="n">
        <v>0</v>
      </c>
    </row>
    <row r="4866" ht="12" customHeight="1">
      <c r="A4866" s="30" t="inlineStr">
        <is>
          <t>ITG</t>
        </is>
      </c>
      <c r="B4866" s="30" t="inlineStr">
        <is>
          <t>Itaguai</t>
        </is>
      </c>
      <c r="C4866" s="30" t="n">
        <v>78207370</v>
      </c>
      <c r="D4866" s="30">
        <f>"00785977000161"</f>
        <v/>
      </c>
      <c r="E4866" s="30" t="inlineStr">
        <is>
          <t>SILPER DIESEL LTDA</t>
        </is>
      </c>
      <c r="F4866" s="30" t="inlineStr">
        <is>
          <t>2019</t>
        </is>
      </c>
      <c r="G4866" s="40" t="n">
        <v>0</v>
      </c>
    </row>
    <row r="4867" ht="12" customHeight="1">
      <c r="A4867" s="30" t="inlineStr">
        <is>
          <t>ITG</t>
        </is>
      </c>
      <c r="B4867" s="30" t="inlineStr">
        <is>
          <t>Itaguai</t>
        </is>
      </c>
      <c r="C4867" s="30" t="n">
        <v>78211008</v>
      </c>
      <c r="D4867" s="30">
        <f>"08476351000185"</f>
        <v/>
      </c>
      <c r="E4867" s="30" t="inlineStr">
        <is>
          <t>T M DE OLIVEIRA COMERCIO VAREJISTA DE BICICLETAS EIRELI ME</t>
        </is>
      </c>
      <c r="F4867" s="30" t="inlineStr">
        <is>
          <t>2019</t>
        </is>
      </c>
      <c r="G4867" s="40" t="n">
        <v>0</v>
      </c>
    </row>
    <row r="4868" ht="12" customHeight="1">
      <c r="A4868" s="30" t="inlineStr">
        <is>
          <t>ITG</t>
        </is>
      </c>
      <c r="B4868" s="30" t="inlineStr">
        <is>
          <t>Itaguai</t>
        </is>
      </c>
      <c r="C4868" s="30" t="n">
        <v>78211008</v>
      </c>
      <c r="D4868" s="30">
        <f>"08476351000185"</f>
        <v/>
      </c>
      <c r="E4868" s="30" t="inlineStr">
        <is>
          <t>T M DE OLIVEIRA COMERCIO VAREJISTA DE BICICLETAS EIRELI ME</t>
        </is>
      </c>
      <c r="F4868" s="30" t="inlineStr">
        <is>
          <t>2020</t>
        </is>
      </c>
      <c r="G4868" s="40" t="n">
        <v>0</v>
      </c>
    </row>
    <row r="4869" ht="12" customHeight="1">
      <c r="A4869" s="30" t="inlineStr">
        <is>
          <t>ITG</t>
        </is>
      </c>
      <c r="B4869" s="30" t="inlineStr">
        <is>
          <t>Itaguai</t>
        </is>
      </c>
      <c r="C4869" s="30" t="n">
        <v>78211008</v>
      </c>
      <c r="D4869" s="30">
        <f>"08476351000185"</f>
        <v/>
      </c>
      <c r="E4869" s="30" t="inlineStr">
        <is>
          <t>T M DE OLIVEIRA COMERCIO VAREJISTA DE BICICLETAS EIRELI ME</t>
        </is>
      </c>
      <c r="F4869" s="30" t="inlineStr">
        <is>
          <t>2021</t>
        </is>
      </c>
      <c r="G4869" s="40" t="n">
        <v>358229.68</v>
      </c>
    </row>
    <row r="4870" ht="12" customHeight="1">
      <c r="A4870" s="30" t="inlineStr">
        <is>
          <t>ITG</t>
        </is>
      </c>
      <c r="B4870" s="30" t="inlineStr">
        <is>
          <t>Itaguai</t>
        </is>
      </c>
      <c r="C4870" s="30" t="n">
        <v>78211008</v>
      </c>
      <c r="D4870" s="30">
        <f>"08476351000185"</f>
        <v/>
      </c>
      <c r="E4870" s="30" t="inlineStr">
        <is>
          <t>T M DE OLIVEIRA COMERCIO VAREJISTA DE BICICLETAS EIRELI ME</t>
        </is>
      </c>
      <c r="F4870" s="30" t="inlineStr">
        <is>
          <t>2022</t>
        </is>
      </c>
      <c r="G4870" s="40" t="n">
        <v>0</v>
      </c>
    </row>
    <row r="4871" ht="12" customHeight="1">
      <c r="A4871" s="30" t="inlineStr">
        <is>
          <t>ITG</t>
        </is>
      </c>
      <c r="B4871" s="30" t="inlineStr">
        <is>
          <t>Itaguai</t>
        </is>
      </c>
      <c r="C4871" s="30" t="n">
        <v>78211008</v>
      </c>
      <c r="D4871" s="30">
        <f>"08476351000185"</f>
        <v/>
      </c>
      <c r="E4871" s="30" t="inlineStr">
        <is>
          <t>T M DE OLIVEIRA COMERCIO VAREJISTA DE BICICLETAS EIRELI ME</t>
        </is>
      </c>
      <c r="F4871" s="30" t="inlineStr">
        <is>
          <t>2023</t>
        </is>
      </c>
      <c r="G4871" s="40" t="n">
        <v>0</v>
      </c>
    </row>
    <row r="4872" ht="12" customHeight="1">
      <c r="A4872" s="30" t="inlineStr">
        <is>
          <t>ITG</t>
        </is>
      </c>
      <c r="B4872" s="30" t="inlineStr">
        <is>
          <t>Itaguai</t>
        </is>
      </c>
      <c r="C4872" s="30" t="n">
        <v>78213809</v>
      </c>
      <c r="D4872" s="30">
        <f>"08360383000110"</f>
        <v/>
      </c>
      <c r="E4872" s="30" t="inlineStr">
        <is>
          <t>TROPICAL BUS TRANSPORTE E TURISMO LTDA ME</t>
        </is>
      </c>
      <c r="F4872" s="30" t="inlineStr">
        <is>
          <t>2020</t>
        </is>
      </c>
      <c r="G4872" s="40" t="n">
        <v>0</v>
      </c>
    </row>
    <row r="4873" ht="12" customHeight="1">
      <c r="A4873" s="30" t="inlineStr">
        <is>
          <t>ITG</t>
        </is>
      </c>
      <c r="B4873" s="30" t="inlineStr">
        <is>
          <t>Itaguai</t>
        </is>
      </c>
      <c r="C4873" s="30" t="n">
        <v>78213809</v>
      </c>
      <c r="D4873" s="30">
        <f>"08360383000110"</f>
        <v/>
      </c>
      <c r="E4873" s="30" t="inlineStr">
        <is>
          <t>TROPICAL BUS TRANSPORTE E TURISMO LTDA ME</t>
        </is>
      </c>
      <c r="F4873" s="30" t="inlineStr">
        <is>
          <t>2021</t>
        </is>
      </c>
      <c r="G4873" s="40" t="n">
        <v>0</v>
      </c>
    </row>
    <row r="4874" ht="12" customHeight="1">
      <c r="A4874" s="30" t="inlineStr">
        <is>
          <t>ITG</t>
        </is>
      </c>
      <c r="B4874" s="30" t="inlineStr">
        <is>
          <t>Itaguai</t>
        </is>
      </c>
      <c r="C4874" s="30" t="n">
        <v>78213809</v>
      </c>
      <c r="D4874" s="30">
        <f>"08360383000110"</f>
        <v/>
      </c>
      <c r="E4874" s="30" t="inlineStr">
        <is>
          <t>TROPICAL BUS TRANSPORTE E TURISMO LTDA ME</t>
        </is>
      </c>
      <c r="F4874" s="30" t="inlineStr">
        <is>
          <t>2022</t>
        </is>
      </c>
      <c r="G4874" s="40" t="n">
        <v>485.3</v>
      </c>
    </row>
    <row r="4875" ht="12" customHeight="1">
      <c r="A4875" s="30" t="inlineStr">
        <is>
          <t>ITG</t>
        </is>
      </c>
      <c r="B4875" s="30" t="inlineStr">
        <is>
          <t>Itaguai</t>
        </is>
      </c>
      <c r="C4875" s="30" t="n">
        <v>78213809</v>
      </c>
      <c r="D4875" s="30">
        <f>"08360383000110"</f>
        <v/>
      </c>
      <c r="E4875" s="30" t="inlineStr">
        <is>
          <t>TROPICAL BUS TRANSPORTE E TURISMO LTDA ME</t>
        </is>
      </c>
      <c r="F4875" s="30" t="inlineStr">
        <is>
          <t>2023</t>
        </is>
      </c>
      <c r="G4875" s="40" t="n">
        <v>350</v>
      </c>
    </row>
    <row r="4876" ht="12" customHeight="1">
      <c r="A4876" s="30" t="inlineStr">
        <is>
          <t>ITG</t>
        </is>
      </c>
      <c r="B4876" s="30" t="inlineStr">
        <is>
          <t>Itaguai</t>
        </is>
      </c>
      <c r="C4876" s="30" t="n">
        <v>78219165</v>
      </c>
      <c r="D4876" s="30">
        <f>"03109593000389"</f>
        <v/>
      </c>
      <c r="E4876" s="30" t="inlineStr">
        <is>
          <t>SCS SERVICOS LTDA</t>
        </is>
      </c>
      <c r="F4876" s="30" t="inlineStr">
        <is>
          <t>2017</t>
        </is>
      </c>
      <c r="G4876" s="40" t="n">
        <v>0</v>
      </c>
    </row>
    <row r="4877" ht="12" customHeight="1">
      <c r="A4877" s="30" t="inlineStr">
        <is>
          <t>ITG</t>
        </is>
      </c>
      <c r="B4877" s="30" t="inlineStr">
        <is>
          <t>Itaguai</t>
        </is>
      </c>
      <c r="C4877" s="30" t="n">
        <v>78219165</v>
      </c>
      <c r="D4877" s="30">
        <f>"03109593000389"</f>
        <v/>
      </c>
      <c r="E4877" s="30" t="inlineStr">
        <is>
          <t>SCS SERVICOS LTDA</t>
        </is>
      </c>
      <c r="F4877" s="30" t="inlineStr">
        <is>
          <t>2018</t>
        </is>
      </c>
      <c r="G4877" s="40" t="n">
        <v>0</v>
      </c>
    </row>
    <row r="4878" ht="12" customHeight="1">
      <c r="A4878" s="30" t="inlineStr">
        <is>
          <t>ITG</t>
        </is>
      </c>
      <c r="B4878" s="30" t="inlineStr">
        <is>
          <t>Itaguai</t>
        </is>
      </c>
      <c r="C4878" s="30" t="n">
        <v>78219165</v>
      </c>
      <c r="D4878" s="30">
        <f>"03109593000389"</f>
        <v/>
      </c>
      <c r="E4878" s="30" t="inlineStr">
        <is>
          <t>SCS SERVICOS LTDA</t>
        </is>
      </c>
      <c r="F4878" s="30" t="inlineStr">
        <is>
          <t>2019</t>
        </is>
      </c>
      <c r="G4878" s="40" t="n">
        <v>0</v>
      </c>
    </row>
    <row r="4879" ht="12" customHeight="1">
      <c r="A4879" s="30" t="inlineStr">
        <is>
          <t>ITG</t>
        </is>
      </c>
      <c r="B4879" s="30" t="inlineStr">
        <is>
          <t>Itaguai</t>
        </is>
      </c>
      <c r="C4879" s="30" t="n">
        <v>78219165</v>
      </c>
      <c r="D4879" s="30">
        <f>"03109593000389"</f>
        <v/>
      </c>
      <c r="E4879" s="30" t="inlineStr">
        <is>
          <t>SCS SERVICOS LTDA</t>
        </is>
      </c>
      <c r="F4879" s="30" t="inlineStr">
        <is>
          <t>2020</t>
        </is>
      </c>
      <c r="G4879" s="40" t="n">
        <v>0</v>
      </c>
    </row>
    <row r="4880" ht="12" customHeight="1">
      <c r="A4880" s="30" t="inlineStr">
        <is>
          <t>ITG</t>
        </is>
      </c>
      <c r="B4880" s="30" t="inlineStr">
        <is>
          <t>Itaguai</t>
        </is>
      </c>
      <c r="C4880" s="30" t="n">
        <v>78219165</v>
      </c>
      <c r="D4880" s="30">
        <f>"03109593000389"</f>
        <v/>
      </c>
      <c r="E4880" s="30" t="inlineStr">
        <is>
          <t>SCS SERVICOS LTDA</t>
        </is>
      </c>
      <c r="F4880" s="30" t="inlineStr">
        <is>
          <t>2021</t>
        </is>
      </c>
      <c r="G4880" s="40" t="n">
        <v>0</v>
      </c>
    </row>
    <row r="4881" ht="12" customHeight="1">
      <c r="A4881" s="30" t="inlineStr">
        <is>
          <t>ITG</t>
        </is>
      </c>
      <c r="B4881" s="30" t="inlineStr">
        <is>
          <t>Itaguai</t>
        </is>
      </c>
      <c r="C4881" s="30" t="n">
        <v>78219165</v>
      </c>
      <c r="D4881" s="30">
        <f>"03109593000389"</f>
        <v/>
      </c>
      <c r="E4881" s="30" t="inlineStr">
        <is>
          <t>SCS SERVICOS LTDA</t>
        </is>
      </c>
      <c r="F4881" s="30" t="inlineStr">
        <is>
          <t>2022</t>
        </is>
      </c>
      <c r="G4881" s="40" t="n">
        <v>0</v>
      </c>
    </row>
    <row r="4882" ht="12" customHeight="1">
      <c r="A4882" s="30" t="inlineStr">
        <is>
          <t>ITG</t>
        </is>
      </c>
      <c r="B4882" s="30" t="inlineStr">
        <is>
          <t>Itaguai</t>
        </is>
      </c>
      <c r="C4882" s="30" t="n">
        <v>78219165</v>
      </c>
      <c r="D4882" s="30">
        <f>"03109593000389"</f>
        <v/>
      </c>
      <c r="E4882" s="30" t="inlineStr">
        <is>
          <t>SCS SERVICOS LTDA</t>
        </is>
      </c>
      <c r="F4882" s="30" t="inlineStr">
        <is>
          <t>2023</t>
        </is>
      </c>
      <c r="G4882" s="40" t="n">
        <v>0</v>
      </c>
    </row>
    <row r="4883" ht="12" customHeight="1">
      <c r="A4883" s="30" t="inlineStr">
        <is>
          <t>ITG</t>
        </is>
      </c>
      <c r="B4883" s="30" t="inlineStr">
        <is>
          <t>Itaguai</t>
        </is>
      </c>
      <c r="C4883" s="30" t="n">
        <v>78224533</v>
      </c>
      <c r="D4883" s="30">
        <f>"05132549000153"</f>
        <v/>
      </c>
      <c r="E4883" s="30" t="inlineStr">
        <is>
          <t>S O DO BRASIL TELECOMUNICACOES LTDA EPP</t>
        </is>
      </c>
      <c r="F4883" s="30" t="inlineStr">
        <is>
          <t>2017</t>
        </is>
      </c>
      <c r="G4883" s="40" t="n">
        <v>699</v>
      </c>
    </row>
    <row r="4884" ht="12" customHeight="1">
      <c r="A4884" s="30" t="inlineStr">
        <is>
          <t>ITG</t>
        </is>
      </c>
      <c r="B4884" s="30" t="inlineStr">
        <is>
          <t>Itaguai</t>
        </is>
      </c>
      <c r="C4884" s="30" t="n">
        <v>78224533</v>
      </c>
      <c r="D4884" s="30">
        <f>"05132549000153"</f>
        <v/>
      </c>
      <c r="E4884" s="30" t="inlineStr">
        <is>
          <t>S O DO BRASIL TELECOMUNICACOES LTDA EPP</t>
        </is>
      </c>
      <c r="F4884" s="30" t="inlineStr">
        <is>
          <t>2018</t>
        </is>
      </c>
      <c r="G4884" s="40" t="n">
        <v>1659.89</v>
      </c>
    </row>
    <row r="4885" ht="12" customHeight="1">
      <c r="A4885" s="30" t="inlineStr">
        <is>
          <t>ITG</t>
        </is>
      </c>
      <c r="B4885" s="30" t="inlineStr">
        <is>
          <t>Itaguai</t>
        </is>
      </c>
      <c r="C4885" s="30" t="n">
        <v>78224533</v>
      </c>
      <c r="D4885" s="30">
        <f>"05132549000153"</f>
        <v/>
      </c>
      <c r="E4885" s="30" t="inlineStr">
        <is>
          <t>S O DO BRASIL TELECOMUNICACOES LTDA EPP</t>
        </is>
      </c>
      <c r="F4885" s="30" t="inlineStr">
        <is>
          <t>2019</t>
        </is>
      </c>
      <c r="G4885" s="40" t="n">
        <v>2230.52</v>
      </c>
    </row>
    <row r="4886" ht="12" customHeight="1">
      <c r="A4886" s="30" t="inlineStr">
        <is>
          <t>ITG</t>
        </is>
      </c>
      <c r="B4886" s="30" t="inlineStr">
        <is>
          <t>Itaguai</t>
        </is>
      </c>
      <c r="C4886" s="30" t="n">
        <v>78224533</v>
      </c>
      <c r="D4886" s="30">
        <f>"05132549000153"</f>
        <v/>
      </c>
      <c r="E4886" s="30" t="inlineStr">
        <is>
          <t>S O DO BRASIL TELECOMUNICACOES LTDA EPP</t>
        </is>
      </c>
      <c r="F4886" s="30" t="inlineStr">
        <is>
          <t>2020</t>
        </is>
      </c>
      <c r="G4886" s="40" t="n">
        <v>83.88</v>
      </c>
    </row>
    <row r="4887" ht="12" customHeight="1">
      <c r="A4887" s="30" t="inlineStr">
        <is>
          <t>ITG</t>
        </is>
      </c>
      <c r="B4887" s="30" t="inlineStr">
        <is>
          <t>Itaguai</t>
        </is>
      </c>
      <c r="C4887" s="30" t="n">
        <v>78224533</v>
      </c>
      <c r="D4887" s="30">
        <f>"05132549000153"</f>
        <v/>
      </c>
      <c r="E4887" s="30" t="inlineStr">
        <is>
          <t>S O DO BRASIL TELECOMUNICACOES LTDA EPP</t>
        </is>
      </c>
      <c r="F4887" s="30" t="inlineStr">
        <is>
          <t>2021</t>
        </is>
      </c>
      <c r="G4887" s="40" t="n">
        <v>0</v>
      </c>
    </row>
    <row r="4888" ht="12" customHeight="1">
      <c r="A4888" s="30" t="inlineStr">
        <is>
          <t>ITG</t>
        </is>
      </c>
      <c r="B4888" s="30" t="inlineStr">
        <is>
          <t>Itaguai</t>
        </is>
      </c>
      <c r="C4888" s="30" t="n">
        <v>78224533</v>
      </c>
      <c r="D4888" s="30">
        <f>"05132549000153"</f>
        <v/>
      </c>
      <c r="E4888" s="30" t="inlineStr">
        <is>
          <t>S O DO BRASIL TELECOMUNICACOES LTDA EPP</t>
        </is>
      </c>
      <c r="F4888" s="30" t="inlineStr">
        <is>
          <t>2022</t>
        </is>
      </c>
      <c r="G4888" s="40" t="n">
        <v>33832</v>
      </c>
    </row>
    <row r="4889" ht="12" customHeight="1">
      <c r="A4889" s="30" t="inlineStr">
        <is>
          <t>ITG</t>
        </is>
      </c>
      <c r="B4889" s="30" t="inlineStr">
        <is>
          <t>Itaguai</t>
        </is>
      </c>
      <c r="C4889" s="30" t="n">
        <v>78224533</v>
      </c>
      <c r="D4889" s="30">
        <f>"05132549000153"</f>
        <v/>
      </c>
      <c r="E4889" s="30" t="inlineStr">
        <is>
          <t>S O DO BRASIL TELECOMUNICACOES LTDA EPP</t>
        </is>
      </c>
      <c r="F4889" s="30" t="inlineStr">
        <is>
          <t>2023</t>
        </is>
      </c>
      <c r="G4889" s="40" t="n">
        <v>5460</v>
      </c>
    </row>
    <row r="4890" ht="12" customHeight="1">
      <c r="A4890" s="30" t="inlineStr">
        <is>
          <t>ITG</t>
        </is>
      </c>
      <c r="B4890" s="30" t="inlineStr">
        <is>
          <t>Itaguai</t>
        </is>
      </c>
      <c r="C4890" s="30" t="n">
        <v>78235403</v>
      </c>
      <c r="D4890" s="30">
        <f>"08111564000103"</f>
        <v/>
      </c>
      <c r="E4890" s="30" t="inlineStr">
        <is>
          <t>ASTRAL CAR TRANSPORTES VEICULOS E LOCACAO EIRELI EPP</t>
        </is>
      </c>
      <c r="F4890" s="30" t="inlineStr">
        <is>
          <t>2017</t>
        </is>
      </c>
      <c r="G4890" s="40" t="n">
        <v>0</v>
      </c>
    </row>
    <row r="4891" ht="12" customHeight="1">
      <c r="A4891" s="30" t="inlineStr">
        <is>
          <t>ITG</t>
        </is>
      </c>
      <c r="B4891" s="30" t="inlineStr">
        <is>
          <t>Itaguai</t>
        </is>
      </c>
      <c r="C4891" s="30" t="n">
        <v>78235403</v>
      </c>
      <c r="D4891" s="30">
        <f>"08111564000103"</f>
        <v/>
      </c>
      <c r="E4891" s="30" t="inlineStr">
        <is>
          <t>ASTRAL CAR TRANSPORTES VEICULOS E LOCACAO EIRELI EPP</t>
        </is>
      </c>
      <c r="F4891" s="30" t="inlineStr">
        <is>
          <t>2018</t>
        </is>
      </c>
      <c r="G4891" s="40" t="n">
        <v>0</v>
      </c>
    </row>
    <row r="4892" ht="12" customHeight="1">
      <c r="A4892" s="30" t="inlineStr">
        <is>
          <t>ITG</t>
        </is>
      </c>
      <c r="B4892" s="30" t="inlineStr">
        <is>
          <t>Itaguai</t>
        </is>
      </c>
      <c r="C4892" s="30" t="n">
        <v>78235403</v>
      </c>
      <c r="D4892" s="30">
        <f>"08111564000103"</f>
        <v/>
      </c>
      <c r="E4892" s="30" t="inlineStr">
        <is>
          <t>ASTRAL CAR TRANSPORTES VEICULOS E LOCACAO EIRELI EPP</t>
        </is>
      </c>
      <c r="F4892" s="30" t="inlineStr">
        <is>
          <t>2019</t>
        </is>
      </c>
      <c r="G4892" s="40" t="n">
        <v>600</v>
      </c>
    </row>
    <row r="4893" ht="12" customHeight="1">
      <c r="A4893" s="30" t="inlineStr">
        <is>
          <t>ITG</t>
        </is>
      </c>
      <c r="B4893" s="30" t="inlineStr">
        <is>
          <t>Itaguai</t>
        </is>
      </c>
      <c r="C4893" s="30" t="n">
        <v>78235403</v>
      </c>
      <c r="D4893" s="30">
        <f>"08111564000103"</f>
        <v/>
      </c>
      <c r="E4893" s="30" t="inlineStr">
        <is>
          <t>ASTRAL CAR TRANSPORTES VEICULOS E LOCACAO EIRELI EPP</t>
        </is>
      </c>
      <c r="F4893" s="30" t="inlineStr">
        <is>
          <t>2020</t>
        </is>
      </c>
      <c r="G4893" s="40" t="n">
        <v>0</v>
      </c>
    </row>
    <row r="4894" ht="12" customHeight="1">
      <c r="A4894" s="30" t="inlineStr">
        <is>
          <t>ITG</t>
        </is>
      </c>
      <c r="B4894" s="30" t="inlineStr">
        <is>
          <t>Itaguai</t>
        </is>
      </c>
      <c r="C4894" s="30" t="n">
        <v>78235403</v>
      </c>
      <c r="D4894" s="30">
        <f>"08111564000103"</f>
        <v/>
      </c>
      <c r="E4894" s="30" t="inlineStr">
        <is>
          <t>ASTRAL CAR TRANSPORTES VEICULOS E LOCACAO EIRELI EPP</t>
        </is>
      </c>
      <c r="F4894" s="30" t="inlineStr">
        <is>
          <t>2021</t>
        </is>
      </c>
      <c r="G4894" s="40" t="n">
        <v>1000</v>
      </c>
    </row>
    <row r="4895" ht="12" customHeight="1">
      <c r="A4895" s="30" t="inlineStr">
        <is>
          <t>ITG</t>
        </is>
      </c>
      <c r="B4895" s="30" t="inlineStr">
        <is>
          <t>Itaguai</t>
        </is>
      </c>
      <c r="C4895" s="30" t="n">
        <v>78235403</v>
      </c>
      <c r="D4895" s="30">
        <f>"08111564000103"</f>
        <v/>
      </c>
      <c r="E4895" s="30" t="inlineStr">
        <is>
          <t>ASTRAL CAR TRANSPORTES VEICULOS E LOCACAO EIRELI EPP</t>
        </is>
      </c>
      <c r="F4895" s="30" t="inlineStr">
        <is>
          <t>2022</t>
        </is>
      </c>
      <c r="G4895" s="40" t="n">
        <v>0</v>
      </c>
    </row>
    <row r="4896" ht="12" customHeight="1">
      <c r="A4896" s="30" t="inlineStr">
        <is>
          <t>ITG</t>
        </is>
      </c>
      <c r="B4896" s="30" t="inlineStr">
        <is>
          <t>Itaguai</t>
        </is>
      </c>
      <c r="C4896" s="30" t="n">
        <v>78235403</v>
      </c>
      <c r="D4896" s="30">
        <f>"08111564000103"</f>
        <v/>
      </c>
      <c r="E4896" s="30" t="inlineStr">
        <is>
          <t>ASTRAL CAR TRANSPORTES VEICULOS E LOCACAO EIRELI EPP</t>
        </is>
      </c>
      <c r="F4896" s="30" t="inlineStr">
        <is>
          <t>2023</t>
        </is>
      </c>
      <c r="G4896" s="40" t="n">
        <v>0</v>
      </c>
    </row>
    <row r="4897" ht="12" customHeight="1">
      <c r="A4897" s="30" t="inlineStr">
        <is>
          <t>ITG</t>
        </is>
      </c>
      <c r="B4897" s="30" t="inlineStr">
        <is>
          <t>Itaguai</t>
        </is>
      </c>
      <c r="C4897" s="30" t="n">
        <v>78235802</v>
      </c>
      <c r="D4897" s="30">
        <f>"08599033000101"</f>
        <v/>
      </c>
      <c r="E4897" s="30" t="inlineStr">
        <is>
          <t>TRANSMQ DA SERRA SERVICOS DE TRANSPORTES LTDA</t>
        </is>
      </c>
      <c r="F4897" s="30" t="inlineStr">
        <is>
          <t>2017</t>
        </is>
      </c>
      <c r="G4897" s="40" t="n">
        <v>0</v>
      </c>
    </row>
    <row r="4898" ht="12" customHeight="1">
      <c r="A4898" s="30" t="inlineStr">
        <is>
          <t>ITG</t>
        </is>
      </c>
      <c r="B4898" s="30" t="inlineStr">
        <is>
          <t>Itaguai</t>
        </is>
      </c>
      <c r="C4898" s="30" t="n">
        <v>78235802</v>
      </c>
      <c r="D4898" s="30">
        <f>"08599033000101"</f>
        <v/>
      </c>
      <c r="E4898" s="30" t="inlineStr">
        <is>
          <t>TRANSMQ DA SERRA SERVICOS DE TRANSPORTES LTDA</t>
        </is>
      </c>
      <c r="F4898" s="30" t="inlineStr">
        <is>
          <t>2018</t>
        </is>
      </c>
      <c r="G4898" s="40" t="n">
        <v>1736</v>
      </c>
    </row>
    <row r="4899" ht="12" customHeight="1">
      <c r="A4899" s="30" t="inlineStr">
        <is>
          <t>ITG</t>
        </is>
      </c>
      <c r="B4899" s="30" t="inlineStr">
        <is>
          <t>Itaguai</t>
        </is>
      </c>
      <c r="C4899" s="30" t="n">
        <v>78235802</v>
      </c>
      <c r="D4899" s="30">
        <f>"08599033000101"</f>
        <v/>
      </c>
      <c r="E4899" s="30" t="inlineStr">
        <is>
          <t>TRANSMQ DA SERRA SERVICOS DE TRANSPORTES LTDA</t>
        </is>
      </c>
      <c r="F4899" s="30" t="inlineStr">
        <is>
          <t>2019</t>
        </is>
      </c>
      <c r="G4899" s="40" t="n">
        <v>0</v>
      </c>
    </row>
    <row r="4900" ht="12" customHeight="1">
      <c r="A4900" s="30" t="inlineStr">
        <is>
          <t>ITG</t>
        </is>
      </c>
      <c r="B4900" s="30" t="inlineStr">
        <is>
          <t>Itaguai</t>
        </is>
      </c>
      <c r="C4900" s="30" t="n">
        <v>78235802</v>
      </c>
      <c r="D4900" s="30">
        <f>"08599033000101"</f>
        <v/>
      </c>
      <c r="E4900" s="30" t="inlineStr">
        <is>
          <t>TRANSMQ DA SERRA SERVICOS DE TRANSPORTES LTDA</t>
        </is>
      </c>
      <c r="F4900" s="30" t="inlineStr">
        <is>
          <t>2020</t>
        </is>
      </c>
      <c r="G4900" s="40" t="n">
        <v>0</v>
      </c>
    </row>
    <row r="4901" ht="12" customHeight="1">
      <c r="A4901" s="30" t="inlineStr">
        <is>
          <t>ITG</t>
        </is>
      </c>
      <c r="B4901" s="30" t="inlineStr">
        <is>
          <t>Itaguai</t>
        </is>
      </c>
      <c r="C4901" s="30" t="n">
        <v>78236647</v>
      </c>
      <c r="D4901" s="30">
        <f>"42502492000244"</f>
        <v/>
      </c>
      <c r="E4901" s="30" t="inlineStr">
        <is>
          <t>REAL VEICULOS COMERCIO E SERVICOS LTDA</t>
        </is>
      </c>
      <c r="F4901" s="30" t="inlineStr">
        <is>
          <t>2017</t>
        </is>
      </c>
      <c r="G4901" s="40" t="n">
        <v>7266714.38</v>
      </c>
    </row>
    <row r="4902" ht="12" customHeight="1">
      <c r="A4902" s="30" t="inlineStr">
        <is>
          <t>ITG</t>
        </is>
      </c>
      <c r="B4902" s="30" t="inlineStr">
        <is>
          <t>Itaguai</t>
        </is>
      </c>
      <c r="C4902" s="30" t="n">
        <v>78236647</v>
      </c>
      <c r="D4902" s="30">
        <f>"42502492000244"</f>
        <v/>
      </c>
      <c r="E4902" s="30" t="inlineStr">
        <is>
          <t>REAL VEICULOS COMERCIO E SERVICOS LTDA</t>
        </is>
      </c>
      <c r="F4902" s="30" t="inlineStr">
        <is>
          <t>2018</t>
        </is>
      </c>
      <c r="G4902" s="40" t="n">
        <v>6184885.65</v>
      </c>
    </row>
    <row r="4903" ht="12" customHeight="1">
      <c r="A4903" s="30" t="inlineStr">
        <is>
          <t>ITG</t>
        </is>
      </c>
      <c r="B4903" s="30" t="inlineStr">
        <is>
          <t>Itaguai</t>
        </is>
      </c>
      <c r="C4903" s="30" t="n">
        <v>78236647</v>
      </c>
      <c r="D4903" s="30">
        <f>"42502492000244"</f>
        <v/>
      </c>
      <c r="E4903" s="30" t="inlineStr">
        <is>
          <t>REAL VEICULOS COMERCIO E SERVICOS LTDA</t>
        </is>
      </c>
      <c r="F4903" s="30" t="inlineStr">
        <is>
          <t>2019</t>
        </is>
      </c>
      <c r="G4903" s="40" t="n">
        <v>7014572.65</v>
      </c>
    </row>
    <row r="4904" ht="12" customHeight="1">
      <c r="A4904" s="30" t="inlineStr">
        <is>
          <t>ITG</t>
        </is>
      </c>
      <c r="B4904" s="30" t="inlineStr">
        <is>
          <t>Itaguai</t>
        </is>
      </c>
      <c r="C4904" s="30" t="n">
        <v>78236647</v>
      </c>
      <c r="D4904" s="30">
        <f>"42502492000244"</f>
        <v/>
      </c>
      <c r="E4904" s="30" t="inlineStr">
        <is>
          <t>REAL VEICULOS COMERCIO E SERVICOS LTDA</t>
        </is>
      </c>
      <c r="F4904" s="30" t="inlineStr">
        <is>
          <t>2020</t>
        </is>
      </c>
      <c r="G4904" s="40" t="n">
        <v>5308231.57</v>
      </c>
    </row>
    <row r="4905" ht="12" customHeight="1">
      <c r="A4905" s="30" t="inlineStr">
        <is>
          <t>ITG</t>
        </is>
      </c>
      <c r="B4905" s="30" t="inlineStr">
        <is>
          <t>Itaguai</t>
        </is>
      </c>
      <c r="C4905" s="30" t="n">
        <v>78236647</v>
      </c>
      <c r="D4905" s="30">
        <f>"42502492000244"</f>
        <v/>
      </c>
      <c r="E4905" s="30" t="inlineStr">
        <is>
          <t>REAL VEICULOS COMERCIO E SERVICOS LTDA</t>
        </is>
      </c>
      <c r="F4905" s="30" t="inlineStr">
        <is>
          <t>2021</t>
        </is>
      </c>
      <c r="G4905" s="40" t="n">
        <v>7402097.63</v>
      </c>
    </row>
    <row r="4906" ht="12" customHeight="1">
      <c r="A4906" s="30" t="inlineStr">
        <is>
          <t>ITG</t>
        </is>
      </c>
      <c r="B4906" s="30" t="inlineStr">
        <is>
          <t>Itaguai</t>
        </is>
      </c>
      <c r="C4906" s="30" t="n">
        <v>78236647</v>
      </c>
      <c r="D4906" s="30">
        <f>"42502492000244"</f>
        <v/>
      </c>
      <c r="E4906" s="30" t="inlineStr">
        <is>
          <t>REAL VEICULOS COMERCIO E SERVICOS LTDA</t>
        </is>
      </c>
      <c r="F4906" s="30" t="inlineStr">
        <is>
          <t>2022</t>
        </is>
      </c>
      <c r="G4906" s="40" t="n">
        <v>0</v>
      </c>
    </row>
    <row r="4907" ht="12" customHeight="1">
      <c r="A4907" s="30" t="inlineStr">
        <is>
          <t>ITG</t>
        </is>
      </c>
      <c r="B4907" s="30" t="inlineStr">
        <is>
          <t>Itaguai</t>
        </is>
      </c>
      <c r="C4907" s="30" t="n">
        <v>78236647</v>
      </c>
      <c r="D4907" s="30">
        <f>"42502492000244"</f>
        <v/>
      </c>
      <c r="E4907" s="30" t="inlineStr">
        <is>
          <t>REAL VEICULOS COMERCIO E SERVICOS LTDA</t>
        </is>
      </c>
      <c r="F4907" s="30" t="inlineStr">
        <is>
          <t>2023</t>
        </is>
      </c>
      <c r="G4907" s="40" t="n">
        <v>5459249.86</v>
      </c>
    </row>
    <row r="4908" ht="12" customHeight="1">
      <c r="A4908" s="30" t="inlineStr">
        <is>
          <t>ITG</t>
        </is>
      </c>
      <c r="B4908" s="30" t="inlineStr">
        <is>
          <t>Itaguai</t>
        </is>
      </c>
      <c r="C4908" s="30" t="n">
        <v>78246596</v>
      </c>
      <c r="D4908" s="30">
        <f>"08140951000178"</f>
        <v/>
      </c>
      <c r="E4908" s="30" t="inlineStr">
        <is>
          <t>INFO COLUMBIA COMERCIO E SERVICOS LTDA ME</t>
        </is>
      </c>
      <c r="F4908" s="30" t="inlineStr">
        <is>
          <t>2017</t>
        </is>
      </c>
      <c r="G4908" s="40" t="n">
        <v>0</v>
      </c>
    </row>
    <row r="4909" ht="12" customHeight="1">
      <c r="A4909" s="30" t="inlineStr">
        <is>
          <t>ITG</t>
        </is>
      </c>
      <c r="B4909" s="30" t="inlineStr">
        <is>
          <t>Itaguai</t>
        </is>
      </c>
      <c r="C4909" s="30" t="n">
        <v>78246596</v>
      </c>
      <c r="D4909" s="30">
        <f>"08140951000178"</f>
        <v/>
      </c>
      <c r="E4909" s="30" t="inlineStr">
        <is>
          <t>INFO COLUMBIA COMERCIO E SERVICOS LTDA ME</t>
        </is>
      </c>
      <c r="F4909" s="30" t="inlineStr">
        <is>
          <t>2018</t>
        </is>
      </c>
      <c r="G4909" s="40" t="n">
        <v>0</v>
      </c>
    </row>
    <row r="4910" ht="12" customHeight="1">
      <c r="A4910" s="30" t="inlineStr">
        <is>
          <t>ITG</t>
        </is>
      </c>
      <c r="B4910" s="30" t="inlineStr">
        <is>
          <t>Itaguai</t>
        </is>
      </c>
      <c r="C4910" s="30" t="n">
        <v>78246596</v>
      </c>
      <c r="D4910" s="30">
        <f>"08140951000178"</f>
        <v/>
      </c>
      <c r="E4910" s="30" t="inlineStr">
        <is>
          <t>INFO COLUMBIA COMERCIO E SERVICOS LTDA ME</t>
        </is>
      </c>
      <c r="F4910" s="30" t="inlineStr">
        <is>
          <t>2019</t>
        </is>
      </c>
      <c r="G4910" s="40" t="n">
        <v>0</v>
      </c>
    </row>
    <row r="4911" ht="12" customHeight="1">
      <c r="A4911" s="30" t="inlineStr">
        <is>
          <t>ITG</t>
        </is>
      </c>
      <c r="B4911" s="30" t="inlineStr">
        <is>
          <t>Itaguai</t>
        </is>
      </c>
      <c r="C4911" s="30" t="n">
        <v>78246596</v>
      </c>
      <c r="D4911" s="30">
        <f>"08140951000178"</f>
        <v/>
      </c>
      <c r="E4911" s="30" t="inlineStr">
        <is>
          <t>INFO COLUMBIA COMERCIO E SERVICOS LTDA ME</t>
        </is>
      </c>
      <c r="F4911" s="30" t="inlineStr">
        <is>
          <t>2020</t>
        </is>
      </c>
      <c r="G4911" s="40" t="n">
        <v>0</v>
      </c>
    </row>
    <row r="4912" ht="12" customHeight="1">
      <c r="A4912" s="30" t="inlineStr">
        <is>
          <t>ITG</t>
        </is>
      </c>
      <c r="B4912" s="30" t="inlineStr">
        <is>
          <t>Itaguai</t>
        </is>
      </c>
      <c r="C4912" s="30" t="n">
        <v>78246596</v>
      </c>
      <c r="D4912" s="30">
        <f>"08140951000178"</f>
        <v/>
      </c>
      <c r="E4912" s="30" t="inlineStr">
        <is>
          <t>INFO COLUMBIA COMERCIO E SERVICOS LTDA ME</t>
        </is>
      </c>
      <c r="F4912" s="30" t="inlineStr">
        <is>
          <t>2021</t>
        </is>
      </c>
      <c r="G4912" s="40" t="n">
        <v>0</v>
      </c>
    </row>
    <row r="4913" ht="12" customHeight="1">
      <c r="A4913" s="30" t="inlineStr">
        <is>
          <t>ITG</t>
        </is>
      </c>
      <c r="B4913" s="30" t="inlineStr">
        <is>
          <t>Itaguai</t>
        </is>
      </c>
      <c r="C4913" s="30" t="n">
        <v>78246596</v>
      </c>
      <c r="D4913" s="30">
        <f>"08140951000178"</f>
        <v/>
      </c>
      <c r="E4913" s="30" t="inlineStr">
        <is>
          <t>INFO COLUMBIA COMERCIO E SERVICOS LTDA ME</t>
        </is>
      </c>
      <c r="F4913" s="30" t="inlineStr">
        <is>
          <t>2022</t>
        </is>
      </c>
      <c r="G4913" s="40" t="n">
        <v>0</v>
      </c>
    </row>
    <row r="4914" ht="12" customHeight="1">
      <c r="A4914" s="30" t="inlineStr">
        <is>
          <t>ITG</t>
        </is>
      </c>
      <c r="B4914" s="30" t="inlineStr">
        <is>
          <t>Itaguai</t>
        </is>
      </c>
      <c r="C4914" s="30" t="n">
        <v>78246596</v>
      </c>
      <c r="D4914" s="30">
        <f>"08140951000178"</f>
        <v/>
      </c>
      <c r="E4914" s="30" t="inlineStr">
        <is>
          <t>INFO COLUMBIA COMERCIO E SERVICOS LTDA ME</t>
        </is>
      </c>
      <c r="F4914" s="30" t="inlineStr">
        <is>
          <t>2023</t>
        </is>
      </c>
      <c r="G4914" s="40" t="n">
        <v>0</v>
      </c>
    </row>
    <row r="4915" ht="12" customHeight="1">
      <c r="A4915" s="30" t="inlineStr">
        <is>
          <t>ITG</t>
        </is>
      </c>
      <c r="B4915" s="30" t="inlineStr">
        <is>
          <t>Itaguai</t>
        </is>
      </c>
      <c r="C4915" s="30" t="n">
        <v>78258950</v>
      </c>
      <c r="D4915" s="30">
        <f>"08219203000690"</f>
        <v/>
      </c>
      <c r="E4915" s="30" t="inlineStr">
        <is>
          <t>DIRECIONAL TRANSPORTE E LOGISTICA S A</t>
        </is>
      </c>
      <c r="F4915" s="30" t="inlineStr">
        <is>
          <t>2017</t>
        </is>
      </c>
      <c r="G4915" s="40" t="n">
        <v>328.27</v>
      </c>
    </row>
    <row r="4916" ht="12" customHeight="1">
      <c r="A4916" s="30" t="inlineStr">
        <is>
          <t>ITG</t>
        </is>
      </c>
      <c r="B4916" s="30" t="inlineStr">
        <is>
          <t>Itaguai</t>
        </is>
      </c>
      <c r="C4916" s="30" t="n">
        <v>78258950</v>
      </c>
      <c r="D4916" s="30">
        <f>"08219203000690"</f>
        <v/>
      </c>
      <c r="E4916" s="30" t="inlineStr">
        <is>
          <t>DIRECIONAL TRANSPORTE E LOGISTICA S A</t>
        </is>
      </c>
      <c r="F4916" s="30" t="inlineStr">
        <is>
          <t>2018</t>
        </is>
      </c>
      <c r="G4916" s="40" t="n">
        <v>713.55</v>
      </c>
    </row>
    <row r="4917" ht="12" customHeight="1">
      <c r="A4917" s="30" t="inlineStr">
        <is>
          <t>ITG</t>
        </is>
      </c>
      <c r="B4917" s="30" t="inlineStr">
        <is>
          <t>Itaguai</t>
        </is>
      </c>
      <c r="C4917" s="30" t="n">
        <v>78258950</v>
      </c>
      <c r="D4917" s="30">
        <f>"08219203000690"</f>
        <v/>
      </c>
      <c r="E4917" s="30" t="inlineStr">
        <is>
          <t>DIRECIONAL TRANSPORTE E LOGISTICA S A</t>
        </is>
      </c>
      <c r="F4917" s="30" t="inlineStr">
        <is>
          <t>2019</t>
        </is>
      </c>
      <c r="G4917" s="40" t="n">
        <v>785.1900000000001</v>
      </c>
    </row>
    <row r="4918" ht="12" customHeight="1">
      <c r="A4918" s="30" t="inlineStr">
        <is>
          <t>ITG</t>
        </is>
      </c>
      <c r="B4918" s="30" t="inlineStr">
        <is>
          <t>Itaguai</t>
        </is>
      </c>
      <c r="C4918" s="30" t="n">
        <v>78258950</v>
      </c>
      <c r="D4918" s="30">
        <f>"08219203000690"</f>
        <v/>
      </c>
      <c r="E4918" s="30" t="inlineStr">
        <is>
          <t>DIRECIONAL TRANSPORTE E LOGISTICA S A</t>
        </is>
      </c>
      <c r="F4918" s="30" t="inlineStr">
        <is>
          <t>2020</t>
        </is>
      </c>
      <c r="G4918" s="40" t="n">
        <v>2628.41</v>
      </c>
    </row>
    <row r="4919" ht="12" customHeight="1">
      <c r="A4919" s="30" t="inlineStr">
        <is>
          <t>ITG</t>
        </is>
      </c>
      <c r="B4919" s="30" t="inlineStr">
        <is>
          <t>Itaguai</t>
        </is>
      </c>
      <c r="C4919" s="30" t="n">
        <v>78258950</v>
      </c>
      <c r="D4919" s="30">
        <f>"08219203000690"</f>
        <v/>
      </c>
      <c r="E4919" s="30" t="inlineStr">
        <is>
          <t>DIRECIONAL TRANSPORTE E LOGISTICA S A</t>
        </is>
      </c>
      <c r="F4919" s="30" t="inlineStr">
        <is>
          <t>2021</t>
        </is>
      </c>
      <c r="G4919" s="40" t="n">
        <v>450.46</v>
      </c>
    </row>
    <row r="4920" ht="12" customHeight="1">
      <c r="A4920" s="30" t="inlineStr">
        <is>
          <t>ITG</t>
        </is>
      </c>
      <c r="B4920" s="30" t="inlineStr">
        <is>
          <t>Itaguai</t>
        </is>
      </c>
      <c r="C4920" s="30" t="n">
        <v>78258950</v>
      </c>
      <c r="D4920" s="30">
        <f>"08219203000690"</f>
        <v/>
      </c>
      <c r="E4920" s="30" t="inlineStr">
        <is>
          <t>DIRECIONAL TRANSPORTE E LOGISTICA S A</t>
        </is>
      </c>
      <c r="F4920" s="30" t="inlineStr">
        <is>
          <t>2022</t>
        </is>
      </c>
      <c r="G4920" s="40" t="n">
        <v>0</v>
      </c>
    </row>
    <row r="4921" ht="12" customHeight="1">
      <c r="A4921" s="30" t="inlineStr">
        <is>
          <t>ITG</t>
        </is>
      </c>
      <c r="B4921" s="30" t="inlineStr">
        <is>
          <t>Itaguai</t>
        </is>
      </c>
      <c r="C4921" s="30" t="n">
        <v>78258950</v>
      </c>
      <c r="D4921" s="30">
        <f>"08219203000690"</f>
        <v/>
      </c>
      <c r="E4921" s="30" t="inlineStr">
        <is>
          <t>DIRECIONAL TRANSPORTE E LOGISTICA S A</t>
        </is>
      </c>
      <c r="F4921" s="30" t="inlineStr">
        <is>
          <t>2023</t>
        </is>
      </c>
      <c r="G4921" s="40" t="n">
        <v>0</v>
      </c>
    </row>
    <row r="4922" ht="12" customHeight="1">
      <c r="A4922" s="30" t="inlineStr">
        <is>
          <t>ITG</t>
        </is>
      </c>
      <c r="B4922" s="30" t="inlineStr">
        <is>
          <t>Itaguai</t>
        </is>
      </c>
      <c r="C4922" s="30" t="n">
        <v>78271906</v>
      </c>
      <c r="D4922" s="30">
        <f>"07040886000146"</f>
        <v/>
      </c>
      <c r="E4922" s="30" t="inlineStr">
        <is>
          <t>S S FERNANDES COMERCIO DE PERFIS E ACESSORIOS DE ALUMINIO</t>
        </is>
      </c>
      <c r="F4922" s="30" t="inlineStr">
        <is>
          <t>2017</t>
        </is>
      </c>
      <c r="G4922" s="40" t="n">
        <v>0</v>
      </c>
    </row>
    <row r="4923" ht="12" customHeight="1">
      <c r="A4923" s="30" t="inlineStr">
        <is>
          <t>ITG</t>
        </is>
      </c>
      <c r="B4923" s="30" t="inlineStr">
        <is>
          <t>Itaguai</t>
        </is>
      </c>
      <c r="C4923" s="30" t="n">
        <v>78271906</v>
      </c>
      <c r="D4923" s="30">
        <f>"07040886000146"</f>
        <v/>
      </c>
      <c r="E4923" s="30" t="inlineStr">
        <is>
          <t>S S FERNANDES COMERCIO DE PERFIS E ACESSORIOS DE ALUMINIO</t>
        </is>
      </c>
      <c r="F4923" s="30" t="inlineStr">
        <is>
          <t>2018</t>
        </is>
      </c>
      <c r="G4923" s="40" t="n">
        <v>0</v>
      </c>
    </row>
    <row r="4924" ht="12" customHeight="1">
      <c r="A4924" s="30" t="inlineStr">
        <is>
          <t>ITG</t>
        </is>
      </c>
      <c r="B4924" s="30" t="inlineStr">
        <is>
          <t>Itaguai</t>
        </is>
      </c>
      <c r="C4924" s="30" t="n">
        <v>78271906</v>
      </c>
      <c r="D4924" s="30">
        <f>"07040886000146"</f>
        <v/>
      </c>
      <c r="E4924" s="30" t="inlineStr">
        <is>
          <t>S S FERNANDES COMERCIO DE PERFIS E ACESSORIOS DE ALUMINIO</t>
        </is>
      </c>
      <c r="F4924" s="30" t="inlineStr">
        <is>
          <t>2019</t>
        </is>
      </c>
      <c r="G4924" s="40" t="n">
        <v>0</v>
      </c>
    </row>
    <row r="4925" ht="12" customHeight="1">
      <c r="A4925" s="30" t="inlineStr">
        <is>
          <t>ITG</t>
        </is>
      </c>
      <c r="B4925" s="30" t="inlineStr">
        <is>
          <t>Itaguai</t>
        </is>
      </c>
      <c r="C4925" s="30" t="n">
        <v>78271906</v>
      </c>
      <c r="D4925" s="30">
        <f>"07040886000146"</f>
        <v/>
      </c>
      <c r="E4925" s="30" t="inlineStr">
        <is>
          <t>S S FERNANDES COMERCIO DE PERFIS E ACESSORIOS DE ALUMINIO</t>
        </is>
      </c>
      <c r="F4925" s="30" t="inlineStr">
        <is>
          <t>2020</t>
        </is>
      </c>
      <c r="G4925" s="40" t="n">
        <v>0</v>
      </c>
    </row>
    <row r="4926" ht="12" customHeight="1">
      <c r="A4926" s="30" t="inlineStr">
        <is>
          <t>ITG</t>
        </is>
      </c>
      <c r="B4926" s="30" t="inlineStr">
        <is>
          <t>Itaguai</t>
        </is>
      </c>
      <c r="C4926" s="30" t="n">
        <v>78271906</v>
      </c>
      <c r="D4926" s="30">
        <f>"07040886000146"</f>
        <v/>
      </c>
      <c r="E4926" s="30" t="inlineStr">
        <is>
          <t>S S FERNANDES COMERCIO DE PERFIS E ACESSORIOS DE ALUMINIO</t>
        </is>
      </c>
      <c r="F4926" s="30" t="inlineStr">
        <is>
          <t>2021</t>
        </is>
      </c>
      <c r="G4926" s="40" t="n">
        <v>0</v>
      </c>
    </row>
    <row r="4927" ht="12" customHeight="1">
      <c r="A4927" s="30" t="inlineStr">
        <is>
          <t>ITG</t>
        </is>
      </c>
      <c r="B4927" s="30" t="inlineStr">
        <is>
          <t>Itaguai</t>
        </is>
      </c>
      <c r="C4927" s="30" t="n">
        <v>78275650</v>
      </c>
      <c r="D4927" s="30">
        <f>"07625852000113"</f>
        <v/>
      </c>
      <c r="E4927" s="30" t="inlineStr">
        <is>
          <t>TELEXPERTS TELECOMUNICACOES LTDA</t>
        </is>
      </c>
      <c r="F4927" s="30" t="inlineStr">
        <is>
          <t>2017</t>
        </is>
      </c>
      <c r="G4927" s="40" t="n">
        <v>0</v>
      </c>
    </row>
    <row r="4928" ht="12" customHeight="1">
      <c r="A4928" s="30" t="inlineStr">
        <is>
          <t>ITG</t>
        </is>
      </c>
      <c r="B4928" s="30" t="inlineStr">
        <is>
          <t>Itaguai</t>
        </is>
      </c>
      <c r="C4928" s="30" t="n">
        <v>78275650</v>
      </c>
      <c r="D4928" s="30">
        <f>"07625852000113"</f>
        <v/>
      </c>
      <c r="E4928" s="30" t="inlineStr">
        <is>
          <t>TELEXPERTS TELECOMUNICACOES LTDA</t>
        </is>
      </c>
      <c r="F4928" s="30" t="inlineStr">
        <is>
          <t>2018</t>
        </is>
      </c>
      <c r="G4928" s="40" t="n">
        <v>9794.190000000001</v>
      </c>
    </row>
    <row r="4929" ht="12" customHeight="1">
      <c r="A4929" s="30" t="inlineStr">
        <is>
          <t>ITG</t>
        </is>
      </c>
      <c r="B4929" s="30" t="inlineStr">
        <is>
          <t>Itaguai</t>
        </is>
      </c>
      <c r="C4929" s="30" t="n">
        <v>78275650</v>
      </c>
      <c r="D4929" s="30">
        <f>"07625852000113"</f>
        <v/>
      </c>
      <c r="E4929" s="30" t="inlineStr">
        <is>
          <t>TELEXPERTS TELECOMUNICACOES LTDA</t>
        </is>
      </c>
      <c r="F4929" s="30" t="inlineStr">
        <is>
          <t>2019</t>
        </is>
      </c>
      <c r="G4929" s="40" t="n">
        <v>37551.12</v>
      </c>
    </row>
    <row r="4930" ht="12" customHeight="1">
      <c r="A4930" s="30" t="inlineStr">
        <is>
          <t>ITG</t>
        </is>
      </c>
      <c r="B4930" s="30" t="inlineStr">
        <is>
          <t>Itaguai</t>
        </is>
      </c>
      <c r="C4930" s="30" t="n">
        <v>78275650</v>
      </c>
      <c r="D4930" s="30">
        <f>"07625852000113"</f>
        <v/>
      </c>
      <c r="E4930" s="30" t="inlineStr">
        <is>
          <t>TELEXPERTS TELECOMUNICACOES LTDA</t>
        </is>
      </c>
      <c r="F4930" s="30" t="inlineStr">
        <is>
          <t>2020</t>
        </is>
      </c>
      <c r="G4930" s="40" t="n">
        <v>117127.91</v>
      </c>
    </row>
    <row r="4931" ht="12" customHeight="1">
      <c r="A4931" s="30" t="inlineStr">
        <is>
          <t>ITG</t>
        </is>
      </c>
      <c r="B4931" s="30" t="inlineStr">
        <is>
          <t>Itaguai</t>
        </is>
      </c>
      <c r="C4931" s="30" t="n">
        <v>78275650</v>
      </c>
      <c r="D4931" s="30">
        <f>"07625852000113"</f>
        <v/>
      </c>
      <c r="E4931" s="30" t="inlineStr">
        <is>
          <t>TELEXPERTS TELECOMUNICACOES LTDA</t>
        </is>
      </c>
      <c r="F4931" s="30" t="inlineStr">
        <is>
          <t>2021</t>
        </is>
      </c>
      <c r="G4931" s="40" t="n">
        <v>91.62</v>
      </c>
    </row>
    <row r="4932" ht="12" customHeight="1">
      <c r="A4932" s="30" t="inlineStr">
        <is>
          <t>ITG</t>
        </is>
      </c>
      <c r="B4932" s="30" t="inlineStr">
        <is>
          <t>Itaguai</t>
        </is>
      </c>
      <c r="C4932" s="30" t="n">
        <v>78275650</v>
      </c>
      <c r="D4932" s="30">
        <f>"07625852000113"</f>
        <v/>
      </c>
      <c r="E4932" s="30" t="inlineStr">
        <is>
          <t>TELEXPERTS TELECOMUNICACOES LTDA</t>
        </is>
      </c>
      <c r="F4932" s="30" t="inlineStr">
        <is>
          <t>2022</t>
        </is>
      </c>
      <c r="G4932" s="40" t="n">
        <v>2040.5</v>
      </c>
    </row>
    <row r="4933" ht="12" customHeight="1">
      <c r="A4933" s="30" t="inlineStr">
        <is>
          <t>ITG</t>
        </is>
      </c>
      <c r="B4933" s="30" t="inlineStr">
        <is>
          <t>Itaguai</t>
        </is>
      </c>
      <c r="C4933" s="30" t="n">
        <v>78275650</v>
      </c>
      <c r="D4933" s="30">
        <f>"07625852000113"</f>
        <v/>
      </c>
      <c r="E4933" s="30" t="inlineStr">
        <is>
          <t>TELEXPERTS TELECOMUNICACOES LTDA</t>
        </is>
      </c>
      <c r="F4933" s="30" t="inlineStr">
        <is>
          <t>2023</t>
        </is>
      </c>
      <c r="G4933" s="40" t="n">
        <v>3031.38</v>
      </c>
    </row>
    <row r="4934" ht="12" customHeight="1">
      <c r="A4934" s="30" t="inlineStr">
        <is>
          <t>ITG</t>
        </is>
      </c>
      <c r="B4934" s="30" t="inlineStr">
        <is>
          <t>Itaguai</t>
        </is>
      </c>
      <c r="C4934" s="30" t="n">
        <v>78280115</v>
      </c>
      <c r="D4934" s="30">
        <f>"08587110000103"</f>
        <v/>
      </c>
      <c r="E4934" s="30" t="inlineStr">
        <is>
          <t>LUCKY MONEY X INFORMATICA COMERCIO E SERVICOS LTDA ME</t>
        </is>
      </c>
      <c r="F4934" s="30" t="inlineStr">
        <is>
          <t>2017</t>
        </is>
      </c>
      <c r="G4934" s="40" t="n">
        <v>0</v>
      </c>
    </row>
    <row r="4935" ht="12" customHeight="1">
      <c r="A4935" s="30" t="inlineStr">
        <is>
          <t>ITG</t>
        </is>
      </c>
      <c r="B4935" s="30" t="inlineStr">
        <is>
          <t>Itaguai</t>
        </is>
      </c>
      <c r="C4935" s="30" t="n">
        <v>78280115</v>
      </c>
      <c r="D4935" s="30">
        <f>"08587110000103"</f>
        <v/>
      </c>
      <c r="E4935" s="30" t="inlineStr">
        <is>
          <t>LUCKY MONEY X INFORMATICA COMERCIO E SERVICOS LTDA ME</t>
        </is>
      </c>
      <c r="F4935" s="30" t="inlineStr">
        <is>
          <t>2018</t>
        </is>
      </c>
      <c r="G4935" s="40" t="n">
        <v>0</v>
      </c>
    </row>
    <row r="4936" ht="12" customHeight="1">
      <c r="A4936" s="30" t="inlineStr">
        <is>
          <t>ITG</t>
        </is>
      </c>
      <c r="B4936" s="30" t="inlineStr">
        <is>
          <t>Itaguai</t>
        </is>
      </c>
      <c r="C4936" s="30" t="n">
        <v>78280115</v>
      </c>
      <c r="D4936" s="30">
        <f>"08587110000103"</f>
        <v/>
      </c>
      <c r="E4936" s="30" t="inlineStr">
        <is>
          <t>LUCKY MONEY X INFORMATICA COMERCIO E SERVICOS LTDA ME</t>
        </is>
      </c>
      <c r="F4936" s="30" t="inlineStr">
        <is>
          <t>2019</t>
        </is>
      </c>
      <c r="G4936" s="40" t="n">
        <v>0</v>
      </c>
    </row>
    <row r="4937" ht="12" customHeight="1">
      <c r="A4937" s="30" t="inlineStr">
        <is>
          <t>ITG</t>
        </is>
      </c>
      <c r="B4937" s="30" t="inlineStr">
        <is>
          <t>Itaguai</t>
        </is>
      </c>
      <c r="C4937" s="30" t="n">
        <v>78284242</v>
      </c>
      <c r="D4937" s="30">
        <f>"93949899000336"</f>
        <v/>
      </c>
      <c r="E4937" s="30" t="inlineStr">
        <is>
          <t>VENETOSUL TRANSPORTES LTDA</t>
        </is>
      </c>
      <c r="F4937" s="30" t="inlineStr">
        <is>
          <t>2019</t>
        </is>
      </c>
      <c r="G4937" s="40" t="n">
        <v>0</v>
      </c>
    </row>
    <row r="4938" ht="12" customHeight="1">
      <c r="A4938" s="30" t="inlineStr">
        <is>
          <t>ITG</t>
        </is>
      </c>
      <c r="B4938" s="30" t="inlineStr">
        <is>
          <t>Itaguai</t>
        </is>
      </c>
      <c r="C4938" s="30" t="n">
        <v>78284242</v>
      </c>
      <c r="D4938" s="30">
        <f>"93949899000336"</f>
        <v/>
      </c>
      <c r="E4938" s="30" t="inlineStr">
        <is>
          <t>VENETOSUL TRANSPORTES LTDA</t>
        </is>
      </c>
      <c r="F4938" s="30" t="inlineStr">
        <is>
          <t>2020</t>
        </is>
      </c>
      <c r="G4938" s="40" t="n">
        <v>0</v>
      </c>
    </row>
    <row r="4939" ht="12" customHeight="1">
      <c r="A4939" s="30" t="inlineStr">
        <is>
          <t>ITG</t>
        </is>
      </c>
      <c r="B4939" s="30" t="inlineStr">
        <is>
          <t>Itaguai</t>
        </is>
      </c>
      <c r="C4939" s="30" t="n">
        <v>78284242</v>
      </c>
      <c r="D4939" s="30">
        <f>"93949899000336"</f>
        <v/>
      </c>
      <c r="E4939" s="30" t="inlineStr">
        <is>
          <t>VENETOSUL TRANSPORTES LTDA</t>
        </is>
      </c>
      <c r="F4939" s="30" t="inlineStr">
        <is>
          <t>2021</t>
        </is>
      </c>
      <c r="G4939" s="40" t="n">
        <v>200</v>
      </c>
    </row>
    <row r="4940" ht="12" customHeight="1">
      <c r="A4940" s="30" t="inlineStr">
        <is>
          <t>ITG</t>
        </is>
      </c>
      <c r="B4940" s="30" t="inlineStr">
        <is>
          <t>Itaguai</t>
        </is>
      </c>
      <c r="C4940" s="30" t="n">
        <v>78284242</v>
      </c>
      <c r="D4940" s="30">
        <f>"93949899000336"</f>
        <v/>
      </c>
      <c r="E4940" s="30" t="inlineStr">
        <is>
          <t>VENETOSUL TRANSPORTES LTDA</t>
        </is>
      </c>
      <c r="F4940" s="30" t="inlineStr">
        <is>
          <t>2022</t>
        </is>
      </c>
      <c r="G4940" s="40" t="n">
        <v>0</v>
      </c>
    </row>
    <row r="4941" ht="12" customHeight="1">
      <c r="A4941" s="30" t="inlineStr">
        <is>
          <t>ITG</t>
        </is>
      </c>
      <c r="B4941" s="30" t="inlineStr">
        <is>
          <t>Itaguai</t>
        </is>
      </c>
      <c r="C4941" s="30" t="n">
        <v>78284242</v>
      </c>
      <c r="D4941" s="30">
        <f>"93949899000336"</f>
        <v/>
      </c>
      <c r="E4941" s="30" t="inlineStr">
        <is>
          <t>VENETOSUL TRANSPORTES LTDA</t>
        </is>
      </c>
      <c r="F4941" s="30" t="inlineStr">
        <is>
          <t>2023</t>
        </is>
      </c>
      <c r="G4941" s="40" t="n">
        <v>0</v>
      </c>
    </row>
    <row r="4942" ht="12" customHeight="1">
      <c r="A4942" s="30" t="inlineStr">
        <is>
          <t>ITG</t>
        </is>
      </c>
      <c r="B4942" s="30" t="inlineStr">
        <is>
          <t>Itaguai</t>
        </is>
      </c>
      <c r="C4942" s="30" t="n">
        <v>78285974</v>
      </c>
      <c r="D4942" s="30">
        <f>"08772052000198"</f>
        <v/>
      </c>
      <c r="E4942" s="30" t="inlineStr">
        <is>
          <t>JW BRASIL LOCACAO DE MAQUINAS E EQUIPAMENTOS LTDA ME</t>
        </is>
      </c>
      <c r="F4942" s="30" t="inlineStr">
        <is>
          <t>2017</t>
        </is>
      </c>
      <c r="G4942" s="40" t="n">
        <v>0</v>
      </c>
    </row>
    <row r="4943" ht="12" customHeight="1">
      <c r="A4943" s="30" t="inlineStr">
        <is>
          <t>ITG</t>
        </is>
      </c>
      <c r="B4943" s="30" t="inlineStr">
        <is>
          <t>Itaguai</t>
        </is>
      </c>
      <c r="C4943" s="30" t="n">
        <v>78285974</v>
      </c>
      <c r="D4943" s="30">
        <f>"08772052000198"</f>
        <v/>
      </c>
      <c r="E4943" s="30" t="inlineStr">
        <is>
          <t>JW BRASIL LOCACAO DE MAQUINAS E EQUIPAMENTOS LTDA ME</t>
        </is>
      </c>
      <c r="F4943" s="30" t="inlineStr">
        <is>
          <t>2018</t>
        </is>
      </c>
      <c r="G4943" s="40" t="n">
        <v>0</v>
      </c>
    </row>
    <row r="4944" ht="12" customHeight="1">
      <c r="A4944" s="30" t="inlineStr">
        <is>
          <t>ITG</t>
        </is>
      </c>
      <c r="B4944" s="30" t="inlineStr">
        <is>
          <t>Itaguai</t>
        </is>
      </c>
      <c r="C4944" s="30" t="n">
        <v>78285974</v>
      </c>
      <c r="D4944" s="30">
        <f>"08772052000198"</f>
        <v/>
      </c>
      <c r="E4944" s="30" t="inlineStr">
        <is>
          <t>JW BRASIL LOCACAO DE MAQUINAS E EQUIPAMENTOS LTDA ME</t>
        </is>
      </c>
      <c r="F4944" s="30" t="inlineStr">
        <is>
          <t>2019</t>
        </is>
      </c>
      <c r="G4944" s="40" t="n">
        <v>0</v>
      </c>
    </row>
    <row r="4945" ht="12" customHeight="1">
      <c r="A4945" s="30" t="inlineStr">
        <is>
          <t>ITG</t>
        </is>
      </c>
      <c r="B4945" s="30" t="inlineStr">
        <is>
          <t>Itaguai</t>
        </is>
      </c>
      <c r="C4945" s="30" t="n">
        <v>78285974</v>
      </c>
      <c r="D4945" s="30">
        <f>"08772052000198"</f>
        <v/>
      </c>
      <c r="E4945" s="30" t="inlineStr">
        <is>
          <t>JW BRASIL LOCACAO DE MAQUINAS E EQUIPAMENTOS LTDA ME</t>
        </is>
      </c>
      <c r="F4945" s="30" t="inlineStr">
        <is>
          <t>2020</t>
        </is>
      </c>
      <c r="G4945" s="40" t="n">
        <v>0</v>
      </c>
    </row>
    <row r="4946" ht="12" customHeight="1">
      <c r="A4946" s="30" t="inlineStr">
        <is>
          <t>ITG</t>
        </is>
      </c>
      <c r="B4946" s="30" t="inlineStr">
        <is>
          <t>Itaguai</t>
        </is>
      </c>
      <c r="C4946" s="30" t="n">
        <v>78285974</v>
      </c>
      <c r="D4946" s="30">
        <f>"08772052000198"</f>
        <v/>
      </c>
      <c r="E4946" s="30" t="inlineStr">
        <is>
          <t>JW BRASIL LOCACAO DE MAQUINAS E EQUIPAMENTOS LTDA ME</t>
        </is>
      </c>
      <c r="F4946" s="30" t="inlineStr">
        <is>
          <t>2021</t>
        </is>
      </c>
      <c r="G4946" s="40" t="n">
        <v>0</v>
      </c>
    </row>
    <row r="4947" ht="12" customHeight="1">
      <c r="A4947" s="30" t="inlineStr">
        <is>
          <t>ITG</t>
        </is>
      </c>
      <c r="B4947" s="30" t="inlineStr">
        <is>
          <t>Itaguai</t>
        </is>
      </c>
      <c r="C4947" s="30" t="n">
        <v>78285974</v>
      </c>
      <c r="D4947" s="30">
        <f>"08772052000198"</f>
        <v/>
      </c>
      <c r="E4947" s="30" t="inlineStr">
        <is>
          <t>JW BRASIL LOCACAO DE MAQUINAS E EQUIPAMENTOS LTDA ME</t>
        </is>
      </c>
      <c r="F4947" s="30" t="inlineStr">
        <is>
          <t>2022</t>
        </is>
      </c>
      <c r="G4947" s="40" t="n">
        <v>0</v>
      </c>
    </row>
    <row r="4948" ht="12" customHeight="1">
      <c r="A4948" s="30" t="inlineStr">
        <is>
          <t>ITG</t>
        </is>
      </c>
      <c r="B4948" s="30" t="inlineStr">
        <is>
          <t>Itaguai</t>
        </is>
      </c>
      <c r="C4948" s="30" t="n">
        <v>78286067</v>
      </c>
      <c r="D4948" s="30">
        <f>"08768619000152"</f>
        <v/>
      </c>
      <c r="E4948" s="30" t="inlineStr">
        <is>
          <t>REDE CARGA AGENCIAMENTO E TRANSPORTE DE CARGAS LTDA EPP</t>
        </is>
      </c>
      <c r="F4948" s="30" t="inlineStr">
        <is>
          <t>2018</t>
        </is>
      </c>
      <c r="G4948" s="40" t="n">
        <v>0</v>
      </c>
    </row>
    <row r="4949" ht="12" customHeight="1">
      <c r="A4949" s="30" t="inlineStr">
        <is>
          <t>ITG</t>
        </is>
      </c>
      <c r="B4949" s="30" t="inlineStr">
        <is>
          <t>Itaguai</t>
        </is>
      </c>
      <c r="C4949" s="30" t="n">
        <v>78286067</v>
      </c>
      <c r="D4949" s="30">
        <f>"08768619000152"</f>
        <v/>
      </c>
      <c r="E4949" s="30" t="inlineStr">
        <is>
          <t>REDE CARGA AGENCIAMENTO E TRANSPORTE DE CARGAS LTDA EPP</t>
        </is>
      </c>
      <c r="F4949" s="30" t="inlineStr">
        <is>
          <t>2019</t>
        </is>
      </c>
      <c r="G4949" s="40" t="n">
        <v>0</v>
      </c>
    </row>
    <row r="4950" ht="12" customHeight="1">
      <c r="A4950" s="30" t="inlineStr">
        <is>
          <t>ITG</t>
        </is>
      </c>
      <c r="B4950" s="30" t="inlineStr">
        <is>
          <t>Itaguai</t>
        </is>
      </c>
      <c r="C4950" s="30" t="n">
        <v>78286067</v>
      </c>
      <c r="D4950" s="30">
        <f>"08768619000152"</f>
        <v/>
      </c>
      <c r="E4950" s="30" t="inlineStr">
        <is>
          <t>REDE CARGA AGENCIAMENTO E TRANSPORTE DE CARGAS LTDA EPP</t>
        </is>
      </c>
      <c r="F4950" s="30" t="inlineStr">
        <is>
          <t>2020</t>
        </is>
      </c>
      <c r="G4950" s="40" t="n">
        <v>100.36</v>
      </c>
    </row>
    <row r="4951" ht="12" customHeight="1">
      <c r="A4951" s="30" t="inlineStr">
        <is>
          <t>ITG</t>
        </is>
      </c>
      <c r="B4951" s="30" t="inlineStr">
        <is>
          <t>Itaguai</t>
        </is>
      </c>
      <c r="C4951" s="30" t="n">
        <v>78286067</v>
      </c>
      <c r="D4951" s="30">
        <f>"08768619000152"</f>
        <v/>
      </c>
      <c r="E4951" s="30" t="inlineStr">
        <is>
          <t>REDE CARGA AGENCIAMENTO E TRANSPORTE DE CARGAS LTDA EPP</t>
        </is>
      </c>
      <c r="F4951" s="30" t="inlineStr">
        <is>
          <t>2021</t>
        </is>
      </c>
      <c r="G4951" s="40" t="n">
        <v>0</v>
      </c>
    </row>
    <row r="4952" ht="12" customHeight="1">
      <c r="A4952" s="30" t="inlineStr">
        <is>
          <t>ITG</t>
        </is>
      </c>
      <c r="B4952" s="30" t="inlineStr">
        <is>
          <t>Itaguai</t>
        </is>
      </c>
      <c r="C4952" s="30" t="n">
        <v>78286067</v>
      </c>
      <c r="D4952" s="30">
        <f>"08768619000152"</f>
        <v/>
      </c>
      <c r="E4952" s="30" t="inlineStr">
        <is>
          <t>REDE CARGA AGENCIAMENTO E TRANSPORTE DE CARGAS LTDA EPP</t>
        </is>
      </c>
      <c r="F4952" s="30" t="inlineStr">
        <is>
          <t>2022</t>
        </is>
      </c>
      <c r="G4952" s="40" t="n">
        <v>0</v>
      </c>
    </row>
    <row r="4953" ht="12" customHeight="1">
      <c r="A4953" s="30" t="inlineStr">
        <is>
          <t>ITG</t>
        </is>
      </c>
      <c r="B4953" s="30" t="inlineStr">
        <is>
          <t>Itaguai</t>
        </is>
      </c>
      <c r="C4953" s="30" t="n">
        <v>78288841</v>
      </c>
      <c r="D4953" s="30">
        <f>"75785675000516"</f>
        <v/>
      </c>
      <c r="E4953" s="30" t="inlineStr">
        <is>
          <t>TRANSPORTADORA OCIANI LTDA</t>
        </is>
      </c>
      <c r="F4953" s="30" t="inlineStr">
        <is>
          <t>2017</t>
        </is>
      </c>
      <c r="G4953" s="40" t="n">
        <v>1365.16</v>
      </c>
    </row>
    <row r="4954" ht="12" customHeight="1">
      <c r="A4954" s="30" t="inlineStr">
        <is>
          <t>ITG</t>
        </is>
      </c>
      <c r="B4954" s="30" t="inlineStr">
        <is>
          <t>Itaguai</t>
        </is>
      </c>
      <c r="C4954" s="30" t="n">
        <v>78288841</v>
      </c>
      <c r="D4954" s="30">
        <f>"75785675000516"</f>
        <v/>
      </c>
      <c r="E4954" s="30" t="inlineStr">
        <is>
          <t>TRANSPORTADORA OCIANI LTDA</t>
        </is>
      </c>
      <c r="F4954" s="30" t="inlineStr">
        <is>
          <t>2018</t>
        </is>
      </c>
      <c r="G4954" s="40" t="n">
        <v>66.69</v>
      </c>
    </row>
    <row r="4955" ht="12" customHeight="1">
      <c r="A4955" s="30" t="inlineStr">
        <is>
          <t>ITG</t>
        </is>
      </c>
      <c r="B4955" s="30" t="inlineStr">
        <is>
          <t>Itaguai</t>
        </is>
      </c>
      <c r="C4955" s="30" t="n">
        <v>78288841</v>
      </c>
      <c r="D4955" s="30">
        <f>"75785675000516"</f>
        <v/>
      </c>
      <c r="E4955" s="30" t="inlineStr">
        <is>
          <t>TRANSPORTADORA OCIANI LTDA</t>
        </is>
      </c>
      <c r="F4955" s="30" t="inlineStr">
        <is>
          <t>2019</t>
        </is>
      </c>
      <c r="G4955" s="40" t="n">
        <v>74.55</v>
      </c>
    </row>
    <row r="4956" ht="12" customHeight="1">
      <c r="A4956" s="30" t="inlineStr">
        <is>
          <t>ITG</t>
        </is>
      </c>
      <c r="B4956" s="30" t="inlineStr">
        <is>
          <t>Itaguai</t>
        </is>
      </c>
      <c r="C4956" s="30" t="n">
        <v>78288841</v>
      </c>
      <c r="D4956" s="30">
        <f>"75785675000516"</f>
        <v/>
      </c>
      <c r="E4956" s="30" t="inlineStr">
        <is>
          <t>TRANSPORTADORA OCIANI LTDA</t>
        </is>
      </c>
      <c r="F4956" s="30" t="inlineStr">
        <is>
          <t>2020</t>
        </is>
      </c>
      <c r="G4956" s="40" t="n">
        <v>115.74</v>
      </c>
    </row>
    <row r="4957" ht="12" customHeight="1">
      <c r="A4957" s="30" t="inlineStr">
        <is>
          <t>ITG</t>
        </is>
      </c>
      <c r="B4957" s="30" t="inlineStr">
        <is>
          <t>Itaguai</t>
        </is>
      </c>
      <c r="C4957" s="30" t="n">
        <v>78288841</v>
      </c>
      <c r="D4957" s="30">
        <f>"75785675000516"</f>
        <v/>
      </c>
      <c r="E4957" s="30" t="inlineStr">
        <is>
          <t>TRANSPORTADORA OCIANI LTDA</t>
        </is>
      </c>
      <c r="F4957" s="30" t="inlineStr">
        <is>
          <t>2021</t>
        </is>
      </c>
      <c r="G4957" s="40" t="n">
        <v>221.45</v>
      </c>
    </row>
    <row r="4958" ht="12" customHeight="1">
      <c r="A4958" s="30" t="inlineStr">
        <is>
          <t>ITG</t>
        </is>
      </c>
      <c r="B4958" s="30" t="inlineStr">
        <is>
          <t>Itaguai</t>
        </is>
      </c>
      <c r="C4958" s="30" t="n">
        <v>78288841</v>
      </c>
      <c r="D4958" s="30">
        <f>"75785675000516"</f>
        <v/>
      </c>
      <c r="E4958" s="30" t="inlineStr">
        <is>
          <t>TRANSPORTADORA OCIANI LTDA</t>
        </is>
      </c>
      <c r="F4958" s="30" t="inlineStr">
        <is>
          <t>2022</t>
        </is>
      </c>
      <c r="G4958" s="40" t="n">
        <v>0</v>
      </c>
    </row>
    <row r="4959" ht="12" customHeight="1">
      <c r="A4959" s="30" t="inlineStr">
        <is>
          <t>ITG</t>
        </is>
      </c>
      <c r="B4959" s="30" t="inlineStr">
        <is>
          <t>Itaguai</t>
        </is>
      </c>
      <c r="C4959" s="30" t="n">
        <v>78288841</v>
      </c>
      <c r="D4959" s="30">
        <f>"75785675000516"</f>
        <v/>
      </c>
      <c r="E4959" s="30" t="inlineStr">
        <is>
          <t>TRANSPORTADORA OCIANI LTDA</t>
        </is>
      </c>
      <c r="F4959" s="30" t="inlineStr">
        <is>
          <t>2023</t>
        </is>
      </c>
      <c r="G4959" s="40" t="n">
        <v>0</v>
      </c>
    </row>
    <row r="4960" ht="12" customHeight="1">
      <c r="A4960" s="30" t="inlineStr">
        <is>
          <t>ITG</t>
        </is>
      </c>
      <c r="B4960" s="30" t="inlineStr">
        <is>
          <t>Itaguai</t>
        </is>
      </c>
      <c r="C4960" s="30" t="n">
        <v>78290188</v>
      </c>
      <c r="D4960" s="30">
        <f>"01009876000242"</f>
        <v/>
      </c>
      <c r="E4960" s="30" t="inlineStr">
        <is>
          <t>FALKLAND TECNOLOGIA EM TELECOMUNICACOES S/A</t>
        </is>
      </c>
      <c r="F4960" s="30" t="inlineStr">
        <is>
          <t>2017</t>
        </is>
      </c>
      <c r="G4960" s="40" t="n">
        <v>148220.59</v>
      </c>
    </row>
    <row r="4961" ht="12" customHeight="1">
      <c r="A4961" s="30" t="inlineStr">
        <is>
          <t>ITG</t>
        </is>
      </c>
      <c r="B4961" s="30" t="inlineStr">
        <is>
          <t>Itaguai</t>
        </is>
      </c>
      <c r="C4961" s="30" t="n">
        <v>78290188</v>
      </c>
      <c r="D4961" s="30">
        <f>"01009876000242"</f>
        <v/>
      </c>
      <c r="E4961" s="30" t="inlineStr">
        <is>
          <t>FALKLAND TECNOLOGIA EM TELECOMUNICACOES S/A</t>
        </is>
      </c>
      <c r="F4961" s="30" t="inlineStr">
        <is>
          <t>2018</t>
        </is>
      </c>
      <c r="G4961" s="40" t="n">
        <v>100942.64</v>
      </c>
    </row>
    <row r="4962" ht="12" customHeight="1">
      <c r="A4962" s="30" t="inlineStr">
        <is>
          <t>ITG</t>
        </is>
      </c>
      <c r="B4962" s="30" t="inlineStr">
        <is>
          <t>Itaguai</t>
        </is>
      </c>
      <c r="C4962" s="30" t="n">
        <v>78290188</v>
      </c>
      <c r="D4962" s="30">
        <f>"01009876000242"</f>
        <v/>
      </c>
      <c r="E4962" s="30" t="inlineStr">
        <is>
          <t>FALKLAND TECNOLOGIA EM TELECOMUNICACOES S/A</t>
        </is>
      </c>
      <c r="F4962" s="30" t="inlineStr">
        <is>
          <t>2019</t>
        </is>
      </c>
      <c r="G4962" s="40" t="n">
        <v>14968.18</v>
      </c>
    </row>
    <row r="4963" ht="12" customHeight="1">
      <c r="A4963" s="30" t="inlineStr">
        <is>
          <t>ITG</t>
        </is>
      </c>
      <c r="B4963" s="30" t="inlineStr">
        <is>
          <t>Itaguai</t>
        </is>
      </c>
      <c r="C4963" s="30" t="n">
        <v>78290188</v>
      </c>
      <c r="D4963" s="30">
        <f>"01009876000242"</f>
        <v/>
      </c>
      <c r="E4963" s="30" t="inlineStr">
        <is>
          <t>FALKLAND TECNOLOGIA EM TELECOMUNICACOES S/A</t>
        </is>
      </c>
      <c r="F4963" s="30" t="inlineStr">
        <is>
          <t>2020</t>
        </is>
      </c>
      <c r="G4963" s="40" t="n">
        <v>64.38</v>
      </c>
    </row>
    <row r="4964" ht="12" customHeight="1">
      <c r="A4964" s="30" t="inlineStr">
        <is>
          <t>ITG</t>
        </is>
      </c>
      <c r="B4964" s="30" t="inlineStr">
        <is>
          <t>Itaguai</t>
        </is>
      </c>
      <c r="C4964" s="30" t="n">
        <v>78290188</v>
      </c>
      <c r="D4964" s="30">
        <f>"01009876000242"</f>
        <v/>
      </c>
      <c r="E4964" s="30" t="inlineStr">
        <is>
          <t>FALKLAND TECNOLOGIA EM TELECOMUNICACOES S/A</t>
        </is>
      </c>
      <c r="F4964" s="30" t="inlineStr">
        <is>
          <t>2021</t>
        </is>
      </c>
      <c r="G4964" s="40" t="n">
        <v>0</v>
      </c>
    </row>
    <row r="4965" ht="12" customHeight="1">
      <c r="A4965" s="30" t="inlineStr">
        <is>
          <t>ITG</t>
        </is>
      </c>
      <c r="B4965" s="30" t="inlineStr">
        <is>
          <t>Itaguai</t>
        </is>
      </c>
      <c r="C4965" s="30" t="n">
        <v>78290188</v>
      </c>
      <c r="D4965" s="30">
        <f>"01009876000242"</f>
        <v/>
      </c>
      <c r="E4965" s="30" t="inlineStr">
        <is>
          <t>FALKLAND TECNOLOGIA EM TELECOMUNICACOES S/A</t>
        </is>
      </c>
      <c r="F4965" s="30" t="inlineStr">
        <is>
          <t>2022</t>
        </is>
      </c>
      <c r="G4965" s="40" t="n">
        <v>0</v>
      </c>
    </row>
    <row r="4966" ht="12" customHeight="1">
      <c r="A4966" s="30" t="inlineStr">
        <is>
          <t>ITG</t>
        </is>
      </c>
      <c r="B4966" s="30" t="inlineStr">
        <is>
          <t>Itaguai</t>
        </is>
      </c>
      <c r="C4966" s="30" t="n">
        <v>78314079</v>
      </c>
      <c r="D4966" s="30">
        <f>"08912871000193"</f>
        <v/>
      </c>
      <c r="E4966" s="30" t="inlineStr">
        <is>
          <t>PLANETA KIDS DE ITAGUAI ROUPAS LTDA</t>
        </is>
      </c>
      <c r="F4966" s="30" t="inlineStr">
        <is>
          <t>2017</t>
        </is>
      </c>
      <c r="G4966" s="40" t="n">
        <v>0</v>
      </c>
    </row>
    <row r="4967" ht="12" customHeight="1">
      <c r="A4967" s="30" t="inlineStr">
        <is>
          <t>ITG</t>
        </is>
      </c>
      <c r="B4967" s="30" t="inlineStr">
        <is>
          <t>Itaguai</t>
        </is>
      </c>
      <c r="C4967" s="30" t="n">
        <v>78314079</v>
      </c>
      <c r="D4967" s="30">
        <f>"08912871000193"</f>
        <v/>
      </c>
      <c r="E4967" s="30" t="inlineStr">
        <is>
          <t>PLANETA KIDS DE ITAGUAI ROUPAS LTDA</t>
        </is>
      </c>
      <c r="F4967" s="30" t="inlineStr">
        <is>
          <t>2018</t>
        </is>
      </c>
      <c r="G4967" s="40" t="n">
        <v>0</v>
      </c>
    </row>
    <row r="4968" ht="12" customHeight="1">
      <c r="A4968" s="30" t="inlineStr">
        <is>
          <t>ITG</t>
        </is>
      </c>
      <c r="B4968" s="30" t="inlineStr">
        <is>
          <t>Itaguai</t>
        </is>
      </c>
      <c r="C4968" s="30" t="n">
        <v>78314079</v>
      </c>
      <c r="D4968" s="30">
        <f>"08912871000193"</f>
        <v/>
      </c>
      <c r="E4968" s="30" t="inlineStr">
        <is>
          <t>PLANETA KIDS DE ITAGUAI ROUPAS LTDA</t>
        </is>
      </c>
      <c r="F4968" s="30" t="inlineStr">
        <is>
          <t>2019</t>
        </is>
      </c>
      <c r="G4968" s="40" t="n">
        <v>0</v>
      </c>
    </row>
    <row r="4969" ht="12" customHeight="1">
      <c r="A4969" s="30" t="inlineStr">
        <is>
          <t>ITG</t>
        </is>
      </c>
      <c r="B4969" s="30" t="inlineStr">
        <is>
          <t>Itaguai</t>
        </is>
      </c>
      <c r="C4969" s="30" t="n">
        <v>78314079</v>
      </c>
      <c r="D4969" s="30">
        <f>"08912871000193"</f>
        <v/>
      </c>
      <c r="E4969" s="30" t="inlineStr">
        <is>
          <t>PLANETA KIDS DE ITAGUAI ROUPAS LTDA</t>
        </is>
      </c>
      <c r="F4969" s="30" t="inlineStr">
        <is>
          <t>2020</t>
        </is>
      </c>
      <c r="G4969" s="40" t="n">
        <v>0</v>
      </c>
    </row>
    <row r="4970" ht="12" customHeight="1">
      <c r="A4970" s="30" t="inlineStr">
        <is>
          <t>ITG</t>
        </is>
      </c>
      <c r="B4970" s="30" t="inlineStr">
        <is>
          <t>Itaguai</t>
        </is>
      </c>
      <c r="C4970" s="30" t="n">
        <v>78324686</v>
      </c>
      <c r="D4970" s="30">
        <f>"08934302000149"</f>
        <v/>
      </c>
      <c r="E4970" s="30" t="inlineStr">
        <is>
          <t>LPA PRIMOR TRANSPORTES RODOVIARIO E AEREO DE CARGAS E LOCACAO DE</t>
        </is>
      </c>
      <c r="F4970" s="30" t="inlineStr">
        <is>
          <t>2017</t>
        </is>
      </c>
      <c r="G4970" s="40" t="n">
        <v>0</v>
      </c>
    </row>
    <row r="4971" ht="12" customHeight="1">
      <c r="A4971" s="30" t="inlineStr">
        <is>
          <t>ITG</t>
        </is>
      </c>
      <c r="B4971" s="30" t="inlineStr">
        <is>
          <t>Itaguai</t>
        </is>
      </c>
      <c r="C4971" s="30" t="n">
        <v>78324686</v>
      </c>
      <c r="D4971" s="30">
        <f>"08934302000149"</f>
        <v/>
      </c>
      <c r="E4971" s="30" t="inlineStr">
        <is>
          <t>LPA PRIMOR TRANSPORTES RODOVIARIO E AEREO DE CARGAS E LOCACAO DE</t>
        </is>
      </c>
      <c r="F4971" s="30" t="inlineStr">
        <is>
          <t>2018</t>
        </is>
      </c>
      <c r="G4971" s="40" t="n">
        <v>2318.64</v>
      </c>
    </row>
    <row r="4972" ht="12" customHeight="1">
      <c r="A4972" s="30" t="inlineStr">
        <is>
          <t>ITG</t>
        </is>
      </c>
      <c r="B4972" s="30" t="inlineStr">
        <is>
          <t>Itaguai</t>
        </is>
      </c>
      <c r="C4972" s="30" t="n">
        <v>78324686</v>
      </c>
      <c r="D4972" s="30">
        <f>"08934302000149"</f>
        <v/>
      </c>
      <c r="E4972" s="30" t="inlineStr">
        <is>
          <t>LPA PRIMOR TRANSPORTES RODOVIARIO E AEREO DE CARGAS E LOCACAO DE</t>
        </is>
      </c>
      <c r="F4972" s="30" t="inlineStr">
        <is>
          <t>2019</t>
        </is>
      </c>
      <c r="G4972" s="40" t="n">
        <v>1172.68</v>
      </c>
    </row>
    <row r="4973" ht="12" customHeight="1">
      <c r="A4973" s="30" t="inlineStr">
        <is>
          <t>ITG</t>
        </is>
      </c>
      <c r="B4973" s="30" t="inlineStr">
        <is>
          <t>Itaguai</t>
        </is>
      </c>
      <c r="C4973" s="30" t="n">
        <v>78324686</v>
      </c>
      <c r="D4973" s="30">
        <f>"08934302000149"</f>
        <v/>
      </c>
      <c r="E4973" s="30" t="inlineStr">
        <is>
          <t>LPA PRIMOR TRANSPORTES RODOVIARIO E AEREO DE CARGAS E LOCACAO DE</t>
        </is>
      </c>
      <c r="F4973" s="30" t="inlineStr">
        <is>
          <t>2020</t>
        </is>
      </c>
      <c r="G4973" s="40" t="n">
        <v>820.74</v>
      </c>
    </row>
    <row r="4974" ht="12" customHeight="1">
      <c r="A4974" s="30" t="inlineStr">
        <is>
          <t>ITG</t>
        </is>
      </c>
      <c r="B4974" s="30" t="inlineStr">
        <is>
          <t>Itaguai</t>
        </is>
      </c>
      <c r="C4974" s="30" t="n">
        <v>78324686</v>
      </c>
      <c r="D4974" s="30">
        <f>"08934302000149"</f>
        <v/>
      </c>
      <c r="E4974" s="30" t="inlineStr">
        <is>
          <t>LPA PRIMOR TRANSPORTES RODOVIARIO E AEREO DE CARGAS E LOCACAO DE</t>
        </is>
      </c>
      <c r="F4974" s="30" t="inlineStr">
        <is>
          <t>2021</t>
        </is>
      </c>
      <c r="G4974" s="40" t="n">
        <v>0</v>
      </c>
    </row>
    <row r="4975" ht="12" customHeight="1">
      <c r="A4975" s="30" t="inlineStr">
        <is>
          <t>ITG</t>
        </is>
      </c>
      <c r="B4975" s="30" t="inlineStr">
        <is>
          <t>Itaguai</t>
        </is>
      </c>
      <c r="C4975" s="30" t="n">
        <v>78324686</v>
      </c>
      <c r="D4975" s="30">
        <f>"08934302000149"</f>
        <v/>
      </c>
      <c r="E4975" s="30" t="inlineStr">
        <is>
          <t>LPA PRIMOR TRANSPORTES RODOVIARIO E AEREO DE CARGAS E LOCACAO DE</t>
        </is>
      </c>
      <c r="F4975" s="30" t="inlineStr">
        <is>
          <t>2022</t>
        </is>
      </c>
      <c r="G4975" s="40" t="n">
        <v>0</v>
      </c>
    </row>
    <row r="4976" ht="12" customHeight="1">
      <c r="A4976" s="30" t="inlineStr">
        <is>
          <t>ITG</t>
        </is>
      </c>
      <c r="B4976" s="30" t="inlineStr">
        <is>
          <t>Itaguai</t>
        </is>
      </c>
      <c r="C4976" s="30" t="n">
        <v>78325038</v>
      </c>
      <c r="D4976" s="30">
        <f>"04112022000285"</f>
        <v/>
      </c>
      <c r="E4976" s="30" t="inlineStr">
        <is>
          <t>STEULER DO BRASIL LTDA</t>
        </is>
      </c>
      <c r="F4976" s="30" t="inlineStr">
        <is>
          <t>2017</t>
        </is>
      </c>
      <c r="G4976" s="40" t="n">
        <v>0</v>
      </c>
    </row>
    <row r="4977" ht="12" customHeight="1">
      <c r="A4977" s="30" t="inlineStr">
        <is>
          <t>ITG</t>
        </is>
      </c>
      <c r="B4977" s="30" t="inlineStr">
        <is>
          <t>Itaguai</t>
        </is>
      </c>
      <c r="C4977" s="30" t="n">
        <v>78325038</v>
      </c>
      <c r="D4977" s="30">
        <f>"04112022000285"</f>
        <v/>
      </c>
      <c r="E4977" s="30" t="inlineStr">
        <is>
          <t>STEULER DO BRASIL LTDA</t>
        </is>
      </c>
      <c r="F4977" s="30" t="inlineStr">
        <is>
          <t>2018</t>
        </is>
      </c>
      <c r="G4977" s="40" t="n">
        <v>0</v>
      </c>
    </row>
    <row r="4978" ht="12" customHeight="1">
      <c r="A4978" s="30" t="inlineStr">
        <is>
          <t>ITG</t>
        </is>
      </c>
      <c r="B4978" s="30" t="inlineStr">
        <is>
          <t>Itaguai</t>
        </is>
      </c>
      <c r="C4978" s="30" t="n">
        <v>78325038</v>
      </c>
      <c r="D4978" s="30">
        <f>"04112022000285"</f>
        <v/>
      </c>
      <c r="E4978" s="30" t="inlineStr">
        <is>
          <t>STEULER DO BRASIL LTDA</t>
        </is>
      </c>
      <c r="F4978" s="30" t="inlineStr">
        <is>
          <t>2019</t>
        </is>
      </c>
      <c r="G4978" s="40" t="n">
        <v>0</v>
      </c>
    </row>
    <row r="4979" ht="12" customHeight="1">
      <c r="A4979" s="30" t="inlineStr">
        <is>
          <t>ITG</t>
        </is>
      </c>
      <c r="B4979" s="30" t="inlineStr">
        <is>
          <t>Itaguai</t>
        </is>
      </c>
      <c r="C4979" s="30" t="n">
        <v>78325038</v>
      </c>
      <c r="D4979" s="30">
        <f>"04112022000285"</f>
        <v/>
      </c>
      <c r="E4979" s="30" t="inlineStr">
        <is>
          <t>STEULER DO BRASIL LTDA</t>
        </is>
      </c>
      <c r="F4979" s="30" t="inlineStr">
        <is>
          <t>2020</t>
        </is>
      </c>
      <c r="G4979" s="40" t="n">
        <v>0</v>
      </c>
    </row>
    <row r="4980" ht="12" customHeight="1">
      <c r="A4980" s="30" t="inlineStr">
        <is>
          <t>ITG</t>
        </is>
      </c>
      <c r="B4980" s="30" t="inlineStr">
        <is>
          <t>Itaguai</t>
        </is>
      </c>
      <c r="C4980" s="30" t="n">
        <v>78325038</v>
      </c>
      <c r="D4980" s="30">
        <f>"04112022000285"</f>
        <v/>
      </c>
      <c r="E4980" s="30" t="inlineStr">
        <is>
          <t>STEULER DO BRASIL LTDA</t>
        </is>
      </c>
      <c r="F4980" s="30" t="inlineStr">
        <is>
          <t>2021</t>
        </is>
      </c>
      <c r="G4980" s="40" t="n">
        <v>0</v>
      </c>
    </row>
    <row r="4981" ht="12" customHeight="1">
      <c r="A4981" s="30" t="inlineStr">
        <is>
          <t>ITG</t>
        </is>
      </c>
      <c r="B4981" s="30" t="inlineStr">
        <is>
          <t>Itaguai</t>
        </is>
      </c>
      <c r="C4981" s="30" t="n">
        <v>78325038</v>
      </c>
      <c r="D4981" s="30">
        <f>"04112022000285"</f>
        <v/>
      </c>
      <c r="E4981" s="30" t="inlineStr">
        <is>
          <t>STEULER DO BRASIL LTDA</t>
        </is>
      </c>
      <c r="F4981" s="30" t="inlineStr">
        <is>
          <t>2022</t>
        </is>
      </c>
      <c r="G4981" s="40" t="n">
        <v>0</v>
      </c>
    </row>
    <row r="4982" ht="12" customHeight="1">
      <c r="A4982" s="30" t="inlineStr">
        <is>
          <t>ITG</t>
        </is>
      </c>
      <c r="B4982" s="30" t="inlineStr">
        <is>
          <t>Itaguai</t>
        </is>
      </c>
      <c r="C4982" s="30" t="n">
        <v>78325038</v>
      </c>
      <c r="D4982" s="30">
        <f>"04112022000285"</f>
        <v/>
      </c>
      <c r="E4982" s="30" t="inlineStr">
        <is>
          <t>STEULER DO BRASIL LTDA</t>
        </is>
      </c>
      <c r="F4982" s="30" t="inlineStr">
        <is>
          <t>2023</t>
        </is>
      </c>
      <c r="G4982" s="40" t="n">
        <v>0</v>
      </c>
    </row>
    <row r="4983" ht="12" customHeight="1">
      <c r="A4983" s="30" t="inlineStr">
        <is>
          <t>ITG</t>
        </is>
      </c>
      <c r="B4983" s="30" t="inlineStr">
        <is>
          <t>Itaguai</t>
        </is>
      </c>
      <c r="C4983" s="30" t="n">
        <v>78325160</v>
      </c>
      <c r="D4983" s="30">
        <f>"05029926000123"</f>
        <v/>
      </c>
      <c r="E4983" s="30" t="inlineStr">
        <is>
          <t>COOPERNOVA COOPERATIVA DE MOTORISTAS AUTONOMOS DO TRANSPORTE COMPLEMENTAR DE PASSAGEIROS FRETAMENTO E TURISMO LTDA</t>
        </is>
      </c>
      <c r="F4983" s="30" t="inlineStr">
        <is>
          <t>2017</t>
        </is>
      </c>
      <c r="G4983" s="40" t="n">
        <v>0</v>
      </c>
    </row>
    <row r="4984" ht="12" customHeight="1">
      <c r="A4984" s="30" t="inlineStr">
        <is>
          <t>ITG</t>
        </is>
      </c>
      <c r="B4984" s="30" t="inlineStr">
        <is>
          <t>Itaguai</t>
        </is>
      </c>
      <c r="C4984" s="30" t="n">
        <v>78325160</v>
      </c>
      <c r="D4984" s="30">
        <f>"05029926000123"</f>
        <v/>
      </c>
      <c r="E4984" s="30" t="inlineStr">
        <is>
          <t>COOPERNOVA COOPERATIVA DE MOTORISTAS AUTONOMOS DO TRANSPORTE COMPLEMENTAR DE PASSAGEIROS FRETAMENTO E TURISMO LTDA</t>
        </is>
      </c>
      <c r="F4984" s="30" t="inlineStr">
        <is>
          <t>2018</t>
        </is>
      </c>
      <c r="G4984" s="40" t="n">
        <v>0</v>
      </c>
    </row>
    <row r="4985" ht="12" customHeight="1">
      <c r="A4985" s="30" t="inlineStr">
        <is>
          <t>ITG</t>
        </is>
      </c>
      <c r="B4985" s="30" t="inlineStr">
        <is>
          <t>Itaguai</t>
        </is>
      </c>
      <c r="C4985" s="30" t="n">
        <v>78325160</v>
      </c>
      <c r="D4985" s="30">
        <f>"05029926000123"</f>
        <v/>
      </c>
      <c r="E4985" s="30" t="inlineStr">
        <is>
          <t>COOPERNOVA COOPERATIVA DE MOTORISTAS AUTONOMOS DO TRANSPORTE COMPLEMENTAR DE PASSAGEIROS FRETAMENTO E TURISMO LTDA</t>
        </is>
      </c>
      <c r="F4985" s="30" t="inlineStr">
        <is>
          <t>2019</t>
        </is>
      </c>
      <c r="G4985" s="40" t="n">
        <v>1400</v>
      </c>
    </row>
    <row r="4986" ht="12" customHeight="1">
      <c r="A4986" s="30" t="inlineStr">
        <is>
          <t>ITG</t>
        </is>
      </c>
      <c r="B4986" s="30" t="inlineStr">
        <is>
          <t>Itaguai</t>
        </is>
      </c>
      <c r="C4986" s="30" t="n">
        <v>78325160</v>
      </c>
      <c r="D4986" s="30">
        <f>"05029926000123"</f>
        <v/>
      </c>
      <c r="E4986" s="30" t="inlineStr">
        <is>
          <t>COOPERNOVA COOPERATIVA DE MOTORISTAS AUTONOMOS DO TRANSPORTE COMPLEMENTAR DE PASSAGEIROS FRETAMENTO E TURISMO LTDA</t>
        </is>
      </c>
      <c r="F4986" s="30" t="inlineStr">
        <is>
          <t>2020</t>
        </is>
      </c>
      <c r="G4986" s="40" t="n">
        <v>0</v>
      </c>
    </row>
    <row r="4987" ht="12" customHeight="1">
      <c r="A4987" s="30" t="inlineStr">
        <is>
          <t>ITG</t>
        </is>
      </c>
      <c r="B4987" s="30" t="inlineStr">
        <is>
          <t>Itaguai</t>
        </is>
      </c>
      <c r="C4987" s="30" t="n">
        <v>78325160</v>
      </c>
      <c r="D4987" s="30">
        <f>"05029926000123"</f>
        <v/>
      </c>
      <c r="E4987" s="30" t="inlineStr">
        <is>
          <t>COOPERNOVA COOPERATIVA DE MOTORISTAS AUTONOMOS DO TRANSPORTE COMPLEMENTAR DE PASSAGEIROS FRETAMENTO E TURISMO LTDA</t>
        </is>
      </c>
      <c r="F4987" s="30" t="inlineStr">
        <is>
          <t>2021</t>
        </is>
      </c>
      <c r="G4987" s="40" t="n">
        <v>900</v>
      </c>
    </row>
    <row r="4988" ht="12" customHeight="1">
      <c r="A4988" s="30" t="inlineStr">
        <is>
          <t>ITG</t>
        </is>
      </c>
      <c r="B4988" s="30" t="inlineStr">
        <is>
          <t>Itaguai</t>
        </is>
      </c>
      <c r="C4988" s="30" t="n">
        <v>78325160</v>
      </c>
      <c r="D4988" s="30">
        <f>"05029926000123"</f>
        <v/>
      </c>
      <c r="E4988" s="30" t="inlineStr">
        <is>
          <t>COOPERNOVA COOPERATIVA DE MOTORISTAS AUTONOMOS DO TRANSPORTE COMPLEMENTAR DE PASSAGEIROS FRETAMENTO E TURISMO LTDA</t>
        </is>
      </c>
      <c r="F4988" s="30" t="inlineStr">
        <is>
          <t>2022</t>
        </is>
      </c>
      <c r="G4988" s="40" t="n">
        <v>3290</v>
      </c>
    </row>
    <row r="4989" ht="12" customHeight="1">
      <c r="A4989" s="30" t="inlineStr">
        <is>
          <t>ITG</t>
        </is>
      </c>
      <c r="B4989" s="30" t="inlineStr">
        <is>
          <t>Itaguai</t>
        </is>
      </c>
      <c r="C4989" s="30" t="n">
        <v>78325160</v>
      </c>
      <c r="D4989" s="30">
        <f>"05029926000123"</f>
        <v/>
      </c>
      <c r="E4989" s="30" t="inlineStr">
        <is>
          <t>COOPERNOVA COOPERATIVA DE MOTORISTAS AUTONOMOS DO TRANSPORTE COMPLEMENTAR DE PASSAGEIROS FRETAMENTO E TURISMO LTDA</t>
        </is>
      </c>
      <c r="F4989" s="30" t="inlineStr">
        <is>
          <t>2023</t>
        </is>
      </c>
      <c r="G4989" s="40" t="n">
        <v>3950</v>
      </c>
    </row>
    <row r="4990" ht="12" customHeight="1">
      <c r="A4990" s="30" t="inlineStr">
        <is>
          <t>ITG</t>
        </is>
      </c>
      <c r="B4990" s="30" t="inlineStr">
        <is>
          <t>Itaguai</t>
        </is>
      </c>
      <c r="C4990" s="30" t="n">
        <v>78336820</v>
      </c>
      <c r="D4990" s="30">
        <f>"08964218000178"</f>
        <v/>
      </c>
      <c r="E4990" s="30" t="inlineStr">
        <is>
          <t>J S FERREIRA FRIGORIFICO LTDA</t>
        </is>
      </c>
      <c r="F4990" s="30" t="inlineStr">
        <is>
          <t>2017</t>
        </is>
      </c>
      <c r="G4990" s="40" t="n">
        <v>0</v>
      </c>
    </row>
    <row r="4991" ht="12" customHeight="1">
      <c r="A4991" s="30" t="inlineStr">
        <is>
          <t>ITG</t>
        </is>
      </c>
      <c r="B4991" s="30" t="inlineStr">
        <is>
          <t>Itaguai</t>
        </is>
      </c>
      <c r="C4991" s="30" t="n">
        <v>78336820</v>
      </c>
      <c r="D4991" s="30">
        <f>"08964218000178"</f>
        <v/>
      </c>
      <c r="E4991" s="30" t="inlineStr">
        <is>
          <t>J S FERREIRA FRIGORIFICO LTDA</t>
        </is>
      </c>
      <c r="F4991" s="30" t="inlineStr">
        <is>
          <t>2018</t>
        </is>
      </c>
      <c r="G4991" s="40" t="n">
        <v>0</v>
      </c>
    </row>
    <row r="4992" ht="12" customHeight="1">
      <c r="A4992" s="30" t="inlineStr">
        <is>
          <t>ITG</t>
        </is>
      </c>
      <c r="B4992" s="30" t="inlineStr">
        <is>
          <t>Itaguai</t>
        </is>
      </c>
      <c r="C4992" s="30" t="n">
        <v>78336820</v>
      </c>
      <c r="D4992" s="30">
        <f>"08964218000178"</f>
        <v/>
      </c>
      <c r="E4992" s="30" t="inlineStr">
        <is>
          <t>J S FERREIRA FRIGORIFICO LTDA</t>
        </is>
      </c>
      <c r="F4992" s="30" t="inlineStr">
        <is>
          <t>2019</t>
        </is>
      </c>
      <c r="G4992" s="40" t="n">
        <v>229058.21</v>
      </c>
    </row>
    <row r="4993" ht="12" customHeight="1">
      <c r="A4993" s="30" t="inlineStr">
        <is>
          <t>ITG</t>
        </is>
      </c>
      <c r="B4993" s="30" t="inlineStr">
        <is>
          <t>Itaguai</t>
        </is>
      </c>
      <c r="C4993" s="30" t="n">
        <v>78336820</v>
      </c>
      <c r="D4993" s="30">
        <f>"08964218000178"</f>
        <v/>
      </c>
      <c r="E4993" s="30" t="inlineStr">
        <is>
          <t>J S FERREIRA FRIGORIFICO LTDA</t>
        </is>
      </c>
      <c r="F4993" s="30" t="inlineStr">
        <is>
          <t>2020</t>
        </is>
      </c>
      <c r="G4993" s="40" t="n">
        <v>6785.81</v>
      </c>
    </row>
    <row r="4994" ht="12" customHeight="1">
      <c r="A4994" s="30" t="inlineStr">
        <is>
          <t>ITG</t>
        </is>
      </c>
      <c r="B4994" s="30" t="inlineStr">
        <is>
          <t>Itaguai</t>
        </is>
      </c>
      <c r="C4994" s="30" t="n">
        <v>78336820</v>
      </c>
      <c r="D4994" s="30">
        <f>"08964218000178"</f>
        <v/>
      </c>
      <c r="E4994" s="30" t="inlineStr">
        <is>
          <t>J S FERREIRA FRIGORIFICO LTDA</t>
        </is>
      </c>
      <c r="F4994" s="30" t="inlineStr">
        <is>
          <t>2021</t>
        </is>
      </c>
      <c r="G4994" s="40" t="n">
        <v>299663.33</v>
      </c>
    </row>
    <row r="4995" ht="12" customHeight="1">
      <c r="A4995" s="30" t="inlineStr">
        <is>
          <t>ITG</t>
        </is>
      </c>
      <c r="B4995" s="30" t="inlineStr">
        <is>
          <t>Itaguai</t>
        </is>
      </c>
      <c r="C4995" s="30" t="n">
        <v>78336820</v>
      </c>
      <c r="D4995" s="30">
        <f>"08964218000178"</f>
        <v/>
      </c>
      <c r="E4995" s="30" t="inlineStr">
        <is>
          <t>J S FERREIRA FRIGORIFICO LTDA</t>
        </is>
      </c>
      <c r="F4995" s="30" t="inlineStr">
        <is>
          <t>2022</t>
        </is>
      </c>
      <c r="G4995" s="40" t="n">
        <v>272934.39</v>
      </c>
    </row>
    <row r="4996" ht="12" customHeight="1">
      <c r="A4996" s="30" t="inlineStr">
        <is>
          <t>ITG</t>
        </is>
      </c>
      <c r="B4996" s="30" t="inlineStr">
        <is>
          <t>Itaguai</t>
        </is>
      </c>
      <c r="C4996" s="30" t="n">
        <v>78336820</v>
      </c>
      <c r="D4996" s="30">
        <f>"08964218000178"</f>
        <v/>
      </c>
      <c r="E4996" s="30" t="inlineStr">
        <is>
          <t>J S FERREIRA FRIGORIFICO LTDA</t>
        </is>
      </c>
      <c r="F4996" s="30" t="inlineStr">
        <is>
          <t>2023</t>
        </is>
      </c>
      <c r="G4996" s="40" t="n">
        <v>117179.82</v>
      </c>
    </row>
    <row r="4997" ht="12" customHeight="1">
      <c r="A4997" s="30" t="inlineStr">
        <is>
          <t>ITG</t>
        </is>
      </c>
      <c r="B4997" s="30" t="inlineStr">
        <is>
          <t>Itaguai</t>
        </is>
      </c>
      <c r="C4997" s="30" t="n">
        <v>78342480</v>
      </c>
      <c r="D4997" s="30">
        <f>"08980148000141"</f>
        <v/>
      </c>
      <c r="E4997" s="30" t="inlineStr">
        <is>
          <t>ADAPT LINK SERVIÇOS DE COMUNICAÇÃO MULTIMÍDIA EIRELI</t>
        </is>
      </c>
      <c r="F4997" s="30" t="inlineStr">
        <is>
          <t>2019</t>
        </is>
      </c>
      <c r="G4997" s="40" t="n">
        <v>0</v>
      </c>
    </row>
    <row r="4998" ht="12" customHeight="1">
      <c r="A4998" s="30" t="inlineStr">
        <is>
          <t>ITG</t>
        </is>
      </c>
      <c r="B4998" s="30" t="inlineStr">
        <is>
          <t>Itaguai</t>
        </is>
      </c>
      <c r="C4998" s="30" t="n">
        <v>78342480</v>
      </c>
      <c r="D4998" s="30">
        <f>"08980148000141"</f>
        <v/>
      </c>
      <c r="E4998" s="30" t="inlineStr">
        <is>
          <t>ADAPT LINK SERVIÇOS DE COMUNICAÇÃO MULTIMÍDIA EIRELI</t>
        </is>
      </c>
      <c r="F4998" s="30" t="inlineStr">
        <is>
          <t>2020</t>
        </is>
      </c>
      <c r="G4998" s="40" t="n">
        <v>0</v>
      </c>
    </row>
    <row r="4999" ht="12" customHeight="1">
      <c r="A4999" s="30" t="inlineStr">
        <is>
          <t>ITG</t>
        </is>
      </c>
      <c r="B4999" s="30" t="inlineStr">
        <is>
          <t>Itaguai</t>
        </is>
      </c>
      <c r="C4999" s="30" t="n">
        <v>78342480</v>
      </c>
      <c r="D4999" s="30">
        <f>"08980148000141"</f>
        <v/>
      </c>
      <c r="E4999" s="30" t="inlineStr">
        <is>
          <t>ADAPT LINK SERVIÇOS DE COMUNICAÇÃO MULTIMÍDIA EIRELI</t>
        </is>
      </c>
      <c r="F4999" s="30" t="inlineStr">
        <is>
          <t>2021</t>
        </is>
      </c>
      <c r="G4999" s="40" t="n">
        <v>71180.91</v>
      </c>
    </row>
    <row r="5000" ht="12" customHeight="1">
      <c r="A5000" s="30" t="inlineStr">
        <is>
          <t>ITG</t>
        </is>
      </c>
      <c r="B5000" s="30" t="inlineStr">
        <is>
          <t>Itaguai</t>
        </is>
      </c>
      <c r="C5000" s="30" t="n">
        <v>78342480</v>
      </c>
      <c r="D5000" s="30">
        <f>"08980148000141"</f>
        <v/>
      </c>
      <c r="E5000" s="30" t="inlineStr">
        <is>
          <t>ADAPT LINK SERVIÇOS DE COMUNICAÇÃO MULTIMÍDIA EIRELI</t>
        </is>
      </c>
      <c r="F5000" s="30" t="inlineStr">
        <is>
          <t>2022</t>
        </is>
      </c>
      <c r="G5000" s="40" t="n">
        <v>109177.68</v>
      </c>
    </row>
    <row r="5001" ht="12" customHeight="1">
      <c r="A5001" s="30" t="inlineStr">
        <is>
          <t>ITG</t>
        </is>
      </c>
      <c r="B5001" s="30" t="inlineStr">
        <is>
          <t>Itaguai</t>
        </is>
      </c>
      <c r="C5001" s="30" t="n">
        <v>78342480</v>
      </c>
      <c r="D5001" s="30">
        <f>"08980148000141"</f>
        <v/>
      </c>
      <c r="E5001" s="30" t="inlineStr">
        <is>
          <t>ADAPT LINK SERVIÇOS DE COMUNICAÇÃO MULTIMÍDIA EIRELI</t>
        </is>
      </c>
      <c r="F5001" s="30" t="inlineStr">
        <is>
          <t>2023</t>
        </is>
      </c>
      <c r="G5001" s="40" t="n">
        <v>118583.13</v>
      </c>
    </row>
    <row r="5002" ht="12" customHeight="1">
      <c r="A5002" s="30" t="inlineStr">
        <is>
          <t>ITG</t>
        </is>
      </c>
      <c r="B5002" s="30" t="inlineStr">
        <is>
          <t>Itaguai</t>
        </is>
      </c>
      <c r="C5002" s="30" t="n">
        <v>78344261</v>
      </c>
      <c r="D5002" s="30">
        <f>"08165642000233"</f>
        <v/>
      </c>
      <c r="E5002" s="30" t="inlineStr">
        <is>
          <t>GAT LOGISTICAS LTDA</t>
        </is>
      </c>
      <c r="F5002" s="30" t="inlineStr">
        <is>
          <t>2017</t>
        </is>
      </c>
      <c r="G5002" s="40" t="n">
        <v>191.08</v>
      </c>
    </row>
    <row r="5003" ht="12" customHeight="1">
      <c r="A5003" s="30" t="inlineStr">
        <is>
          <t>ITG</t>
        </is>
      </c>
      <c r="B5003" s="30" t="inlineStr">
        <is>
          <t>Itaguai</t>
        </is>
      </c>
      <c r="C5003" s="30" t="n">
        <v>78344261</v>
      </c>
      <c r="D5003" s="30">
        <f>"08165642000233"</f>
        <v/>
      </c>
      <c r="E5003" s="30" t="inlineStr">
        <is>
          <t>GAT LOGISTICAS LTDA</t>
        </is>
      </c>
      <c r="F5003" s="30" t="inlineStr">
        <is>
          <t>2018</t>
        </is>
      </c>
      <c r="G5003" s="40" t="n">
        <v>11118.67</v>
      </c>
    </row>
    <row r="5004" ht="12" customHeight="1">
      <c r="A5004" s="30" t="inlineStr">
        <is>
          <t>ITG</t>
        </is>
      </c>
      <c r="B5004" s="30" t="inlineStr">
        <is>
          <t>Itaguai</t>
        </is>
      </c>
      <c r="C5004" s="30" t="n">
        <v>78344261</v>
      </c>
      <c r="D5004" s="30">
        <f>"08165642000233"</f>
        <v/>
      </c>
      <c r="E5004" s="30" t="inlineStr">
        <is>
          <t>GAT LOGISTICAS LTDA</t>
        </is>
      </c>
      <c r="F5004" s="30" t="inlineStr">
        <is>
          <t>2019</t>
        </is>
      </c>
      <c r="G5004" s="40" t="n">
        <v>3113.44</v>
      </c>
    </row>
    <row r="5005" ht="12" customHeight="1">
      <c r="A5005" s="30" t="inlineStr">
        <is>
          <t>ITG</t>
        </is>
      </c>
      <c r="B5005" s="30" t="inlineStr">
        <is>
          <t>Itaguai</t>
        </is>
      </c>
      <c r="C5005" s="30" t="n">
        <v>78344261</v>
      </c>
      <c r="D5005" s="30">
        <f>"08165642000233"</f>
        <v/>
      </c>
      <c r="E5005" s="30" t="inlineStr">
        <is>
          <t>GAT LOGISTICAS LTDA</t>
        </is>
      </c>
      <c r="F5005" s="30" t="inlineStr">
        <is>
          <t>2020</t>
        </is>
      </c>
      <c r="G5005" s="40" t="n">
        <v>0</v>
      </c>
    </row>
    <row r="5006" ht="12" customHeight="1">
      <c r="A5006" s="30" t="inlineStr">
        <is>
          <t>ITG</t>
        </is>
      </c>
      <c r="B5006" s="30" t="inlineStr">
        <is>
          <t>Itaguai</t>
        </is>
      </c>
      <c r="C5006" s="30" t="n">
        <v>78344261</v>
      </c>
      <c r="D5006" s="30">
        <f>"08165642000233"</f>
        <v/>
      </c>
      <c r="E5006" s="30" t="inlineStr">
        <is>
          <t>GAT LOGISTICAS LTDA</t>
        </is>
      </c>
      <c r="F5006" s="30" t="inlineStr">
        <is>
          <t>2021</t>
        </is>
      </c>
      <c r="G5006" s="40" t="n">
        <v>0</v>
      </c>
    </row>
    <row r="5007" ht="12" customHeight="1">
      <c r="A5007" s="30" t="inlineStr">
        <is>
          <t>ITG</t>
        </is>
      </c>
      <c r="B5007" s="30" t="inlineStr">
        <is>
          <t>Itaguai</t>
        </is>
      </c>
      <c r="C5007" s="30" t="n">
        <v>78344261</v>
      </c>
      <c r="D5007" s="30">
        <f>"08165642000233"</f>
        <v/>
      </c>
      <c r="E5007" s="30" t="inlineStr">
        <is>
          <t>GAT LOGISTICAS LTDA</t>
        </is>
      </c>
      <c r="F5007" s="30" t="inlineStr">
        <is>
          <t>2022</t>
        </is>
      </c>
      <c r="G5007" s="40" t="n">
        <v>2661.44</v>
      </c>
    </row>
    <row r="5008" ht="12" customHeight="1">
      <c r="A5008" s="30" t="inlineStr">
        <is>
          <t>ITG</t>
        </is>
      </c>
      <c r="B5008" s="30" t="inlineStr">
        <is>
          <t>Itaguai</t>
        </is>
      </c>
      <c r="C5008" s="30" t="n">
        <v>78344261</v>
      </c>
      <c r="D5008" s="30">
        <f>"08165642000233"</f>
        <v/>
      </c>
      <c r="E5008" s="30" t="inlineStr">
        <is>
          <t>GAT LOGISTICAS LTDA</t>
        </is>
      </c>
      <c r="F5008" s="30" t="inlineStr">
        <is>
          <t>2023</t>
        </is>
      </c>
      <c r="G5008" s="40" t="n">
        <v>1012.11</v>
      </c>
    </row>
    <row r="5009" ht="12" customHeight="1">
      <c r="A5009" s="30" t="inlineStr">
        <is>
          <t>ITG</t>
        </is>
      </c>
      <c r="B5009" s="30" t="inlineStr">
        <is>
          <t>Itaguai</t>
        </is>
      </c>
      <c r="C5009" s="30" t="n">
        <v>78347783</v>
      </c>
      <c r="D5009" s="30">
        <f>"05353658000109"</f>
        <v/>
      </c>
      <c r="E5009" s="30" t="inlineStr">
        <is>
          <t>J. E. MARQUES CURRAL DE APREENSÃO LTDA</t>
        </is>
      </c>
      <c r="F5009" s="30" t="inlineStr">
        <is>
          <t>2017</t>
        </is>
      </c>
      <c r="G5009" s="40" t="n">
        <v>0</v>
      </c>
    </row>
    <row r="5010" ht="12" customHeight="1">
      <c r="A5010" s="30" t="inlineStr">
        <is>
          <t>ITG</t>
        </is>
      </c>
      <c r="B5010" s="30" t="inlineStr">
        <is>
          <t>Itaguai</t>
        </is>
      </c>
      <c r="C5010" s="30" t="n">
        <v>78347783</v>
      </c>
      <c r="D5010" s="30">
        <f>"05353658000109"</f>
        <v/>
      </c>
      <c r="E5010" s="30" t="inlineStr">
        <is>
          <t>J. E. MARQUES CURRAL DE APREENSÃO LTDA</t>
        </is>
      </c>
      <c r="F5010" s="30" t="inlineStr">
        <is>
          <t>2018</t>
        </is>
      </c>
      <c r="G5010" s="40" t="n">
        <v>0</v>
      </c>
    </row>
    <row r="5011" ht="12" customHeight="1">
      <c r="A5011" s="30" t="inlineStr">
        <is>
          <t>ITG</t>
        </is>
      </c>
      <c r="B5011" s="30" t="inlineStr">
        <is>
          <t>Itaguai</t>
        </is>
      </c>
      <c r="C5011" s="30" t="n">
        <v>78347783</v>
      </c>
      <c r="D5011" s="30">
        <f>"05353658000109"</f>
        <v/>
      </c>
      <c r="E5011" s="30" t="inlineStr">
        <is>
          <t>J. E. MARQUES CURRAL DE APREENSÃO LTDA</t>
        </is>
      </c>
      <c r="F5011" s="30" t="inlineStr">
        <is>
          <t>2019</t>
        </is>
      </c>
      <c r="G5011" s="40" t="n">
        <v>0</v>
      </c>
    </row>
    <row r="5012" ht="12" customHeight="1">
      <c r="A5012" s="30" t="inlineStr">
        <is>
          <t>ITG</t>
        </is>
      </c>
      <c r="B5012" s="30" t="inlineStr">
        <is>
          <t>Itaguai</t>
        </is>
      </c>
      <c r="C5012" s="30" t="n">
        <v>78347783</v>
      </c>
      <c r="D5012" s="30">
        <f>"05353658000109"</f>
        <v/>
      </c>
      <c r="E5012" s="30" t="inlineStr">
        <is>
          <t>J. E. MARQUES CURRAL DE APREENSÃO LTDA</t>
        </is>
      </c>
      <c r="F5012" s="30" t="inlineStr">
        <is>
          <t>2020</t>
        </is>
      </c>
      <c r="G5012" s="40" t="n">
        <v>0</v>
      </c>
    </row>
    <row r="5013" ht="12" customHeight="1">
      <c r="A5013" s="30" t="inlineStr">
        <is>
          <t>ITG</t>
        </is>
      </c>
      <c r="B5013" s="30" t="inlineStr">
        <is>
          <t>Itaguai</t>
        </is>
      </c>
      <c r="C5013" s="30" t="n">
        <v>78362111</v>
      </c>
      <c r="D5013" s="30">
        <f>"36061646000126"</f>
        <v/>
      </c>
      <c r="E5013" s="30" t="inlineStr">
        <is>
          <t>COOPERATIVA DOS MOTORISTAS ITAGUAIENSES DE TAXI LTDA COOMIT</t>
        </is>
      </c>
      <c r="F5013" s="30" t="inlineStr">
        <is>
          <t>2017</t>
        </is>
      </c>
      <c r="G5013" s="40" t="n">
        <v>816315.87</v>
      </c>
    </row>
    <row r="5014" ht="12" customHeight="1">
      <c r="A5014" s="30" t="inlineStr">
        <is>
          <t>ITG</t>
        </is>
      </c>
      <c r="B5014" s="30" t="inlineStr">
        <is>
          <t>Itaguai</t>
        </is>
      </c>
      <c r="C5014" s="30" t="n">
        <v>78362111</v>
      </c>
      <c r="D5014" s="30">
        <f>"36061646000126"</f>
        <v/>
      </c>
      <c r="E5014" s="30" t="inlineStr">
        <is>
          <t>COOPERATIVA DOS MOTORISTAS ITAGUAIENSES DE TAXI LTDA COOMIT</t>
        </is>
      </c>
      <c r="F5014" s="30" t="inlineStr">
        <is>
          <t>2018</t>
        </is>
      </c>
      <c r="G5014" s="40" t="n">
        <v>315335.91</v>
      </c>
    </row>
    <row r="5015" ht="12" customHeight="1">
      <c r="A5015" s="30" t="inlineStr">
        <is>
          <t>ITG</t>
        </is>
      </c>
      <c r="B5015" s="30" t="inlineStr">
        <is>
          <t>Itaguai</t>
        </is>
      </c>
      <c r="C5015" s="30" t="n">
        <v>78362111</v>
      </c>
      <c r="D5015" s="30">
        <f>"36061646000126"</f>
        <v/>
      </c>
      <c r="E5015" s="30" t="inlineStr">
        <is>
          <t>COOPERATIVA DOS MOTORISTAS ITAGUAIENSES DE TAXI LTDA COOMIT</t>
        </is>
      </c>
      <c r="F5015" s="30" t="inlineStr">
        <is>
          <t>2019</t>
        </is>
      </c>
      <c r="G5015" s="40" t="n">
        <v>1221531.21</v>
      </c>
    </row>
    <row r="5016" ht="12" customHeight="1">
      <c r="A5016" s="30" t="inlineStr">
        <is>
          <t>ITG</t>
        </is>
      </c>
      <c r="B5016" s="30" t="inlineStr">
        <is>
          <t>Itaguai</t>
        </is>
      </c>
      <c r="C5016" s="30" t="n">
        <v>78362111</v>
      </c>
      <c r="D5016" s="30">
        <f>"36061646000126"</f>
        <v/>
      </c>
      <c r="E5016" s="30" t="inlineStr">
        <is>
          <t>COOPERATIVA DOS MOTORISTAS ITAGUAIENSES DE TAXI LTDA COOMIT</t>
        </is>
      </c>
      <c r="F5016" s="30" t="inlineStr">
        <is>
          <t>2020</t>
        </is>
      </c>
      <c r="G5016" s="40" t="n">
        <v>589455.22</v>
      </c>
    </row>
    <row r="5017" ht="12" customHeight="1">
      <c r="A5017" s="30" t="inlineStr">
        <is>
          <t>ITG</t>
        </is>
      </c>
      <c r="B5017" s="30" t="inlineStr">
        <is>
          <t>Itaguai</t>
        </is>
      </c>
      <c r="C5017" s="30" t="n">
        <v>78362111</v>
      </c>
      <c r="D5017" s="30">
        <f>"36061646000126"</f>
        <v/>
      </c>
      <c r="E5017" s="30" t="inlineStr">
        <is>
          <t>COOPERATIVA DOS MOTORISTAS ITAGUAIENSES DE TAXI LTDA COOMIT</t>
        </is>
      </c>
      <c r="F5017" s="30" t="inlineStr">
        <is>
          <t>2021</t>
        </is>
      </c>
      <c r="G5017" s="40" t="n">
        <v>824360.34</v>
      </c>
    </row>
    <row r="5018" ht="12" customHeight="1">
      <c r="A5018" s="30" t="inlineStr">
        <is>
          <t>ITG</t>
        </is>
      </c>
      <c r="B5018" s="30" t="inlineStr">
        <is>
          <t>Itaguai</t>
        </is>
      </c>
      <c r="C5018" s="30" t="n">
        <v>78362111</v>
      </c>
      <c r="D5018" s="30">
        <f>"36061646000126"</f>
        <v/>
      </c>
      <c r="E5018" s="30" t="inlineStr">
        <is>
          <t>COOPERATIVA DOS MOTORISTAS ITAGUAIENSES DE TAXI LTDA COOMIT</t>
        </is>
      </c>
      <c r="F5018" s="30" t="inlineStr">
        <is>
          <t>2022</t>
        </is>
      </c>
      <c r="G5018" s="40" t="n">
        <v>621480.6800000001</v>
      </c>
    </row>
    <row r="5019" ht="12" customHeight="1">
      <c r="A5019" s="30" t="inlineStr">
        <is>
          <t>ITG</t>
        </is>
      </c>
      <c r="B5019" s="30" t="inlineStr">
        <is>
          <t>Itaguai</t>
        </is>
      </c>
      <c r="C5019" s="30" t="n">
        <v>78362111</v>
      </c>
      <c r="D5019" s="30">
        <f>"36061646000126"</f>
        <v/>
      </c>
      <c r="E5019" s="30" t="inlineStr">
        <is>
          <t>COOPERATIVA DOS MOTORISTAS ITAGUAIENSES DE TAXI LTDA COOMIT</t>
        </is>
      </c>
      <c r="F5019" s="30" t="inlineStr">
        <is>
          <t>2023</t>
        </is>
      </c>
      <c r="G5019" s="40" t="n">
        <v>1033664.09</v>
      </c>
    </row>
    <row r="5020" ht="12" customHeight="1">
      <c r="A5020" s="30" t="inlineStr">
        <is>
          <t>ITG</t>
        </is>
      </c>
      <c r="B5020" s="30" t="inlineStr">
        <is>
          <t>Itaguai</t>
        </is>
      </c>
      <c r="C5020" s="30" t="n">
        <v>78363444</v>
      </c>
      <c r="D5020" s="30">
        <f>"09059896000159"</f>
        <v/>
      </c>
      <c r="E5020" s="30" t="inlineStr">
        <is>
          <t>MINIMERCADO PAG LEV DE ITAGUAI - EIRELI</t>
        </is>
      </c>
      <c r="F5020" s="30" t="inlineStr">
        <is>
          <t>2017</t>
        </is>
      </c>
      <c r="G5020" s="40" t="n">
        <v>2902862.19</v>
      </c>
    </row>
    <row r="5021" ht="12" customHeight="1">
      <c r="A5021" s="30" t="inlineStr">
        <is>
          <t>ITG</t>
        </is>
      </c>
      <c r="B5021" s="30" t="inlineStr">
        <is>
          <t>Itaguai</t>
        </is>
      </c>
      <c r="C5021" s="30" t="n">
        <v>78363444</v>
      </c>
      <c r="D5021" s="30">
        <f>"09059896000159"</f>
        <v/>
      </c>
      <c r="E5021" s="30" t="inlineStr">
        <is>
          <t>MINIMERCADO PAG LEV DE ITAGUAI - EIRELI</t>
        </is>
      </c>
      <c r="F5021" s="30" t="inlineStr">
        <is>
          <t>2018</t>
        </is>
      </c>
      <c r="G5021" s="40" t="n">
        <v>2516985.71</v>
      </c>
    </row>
    <row r="5022" ht="12" customHeight="1">
      <c r="A5022" s="30" t="inlineStr">
        <is>
          <t>ITG</t>
        </is>
      </c>
      <c r="B5022" s="30" t="inlineStr">
        <is>
          <t>Itaguai</t>
        </is>
      </c>
      <c r="C5022" s="30" t="n">
        <v>78363444</v>
      </c>
      <c r="D5022" s="30">
        <f>"09059896000159"</f>
        <v/>
      </c>
      <c r="E5022" s="30" t="inlineStr">
        <is>
          <t>MINIMERCADO PAG LEV DE ITAGUAI - EIRELI</t>
        </is>
      </c>
      <c r="F5022" s="30" t="inlineStr">
        <is>
          <t>2019</t>
        </is>
      </c>
      <c r="G5022" s="40" t="n">
        <v>2517237.79</v>
      </c>
    </row>
    <row r="5023" ht="12" customHeight="1">
      <c r="A5023" s="30" t="inlineStr">
        <is>
          <t>ITG</t>
        </is>
      </c>
      <c r="B5023" s="30" t="inlineStr">
        <is>
          <t>Itaguai</t>
        </is>
      </c>
      <c r="C5023" s="30" t="n">
        <v>78363444</v>
      </c>
      <c r="D5023" s="30">
        <f>"09059896000159"</f>
        <v/>
      </c>
      <c r="E5023" s="30" t="inlineStr">
        <is>
          <t>MINIMERCADO PAG LEV DE ITAGUAI - EIRELI</t>
        </is>
      </c>
      <c r="F5023" s="30" t="inlineStr">
        <is>
          <t>2020</t>
        </is>
      </c>
      <c r="G5023" s="40" t="n">
        <v>2215978.46</v>
      </c>
    </row>
    <row r="5024" ht="12" customHeight="1">
      <c r="A5024" s="30" t="inlineStr">
        <is>
          <t>ITG</t>
        </is>
      </c>
      <c r="B5024" s="30" t="inlineStr">
        <is>
          <t>Itaguai</t>
        </is>
      </c>
      <c r="C5024" s="30" t="n">
        <v>78363444</v>
      </c>
      <c r="D5024" s="30">
        <f>"09059896000159"</f>
        <v/>
      </c>
      <c r="E5024" s="30" t="inlineStr">
        <is>
          <t>MINIMERCADO PAG LEV DE ITAGUAI - EIRELI</t>
        </is>
      </c>
      <c r="F5024" s="30" t="inlineStr">
        <is>
          <t>2021</t>
        </is>
      </c>
      <c r="G5024" s="40" t="n">
        <v>2841921.52</v>
      </c>
    </row>
    <row r="5025" ht="12" customHeight="1">
      <c r="A5025" s="30" t="inlineStr">
        <is>
          <t>ITG</t>
        </is>
      </c>
      <c r="B5025" s="30" t="inlineStr">
        <is>
          <t>Itaguai</t>
        </is>
      </c>
      <c r="C5025" s="30" t="n">
        <v>78363444</v>
      </c>
      <c r="D5025" s="30">
        <f>"09059896000159"</f>
        <v/>
      </c>
      <c r="E5025" s="30" t="inlineStr">
        <is>
          <t>MINIMERCADO PAG LEV DE ITAGUAI - EIRELI</t>
        </is>
      </c>
      <c r="F5025" s="30" t="inlineStr">
        <is>
          <t>2022</t>
        </is>
      </c>
      <c r="G5025" s="40" t="n">
        <v>3303400.82</v>
      </c>
    </row>
    <row r="5026" ht="12" customHeight="1">
      <c r="A5026" s="30" t="inlineStr">
        <is>
          <t>ITG</t>
        </is>
      </c>
      <c r="B5026" s="30" t="inlineStr">
        <is>
          <t>Itaguai</t>
        </is>
      </c>
      <c r="C5026" s="30" t="n">
        <v>78363444</v>
      </c>
      <c r="D5026" s="30">
        <f>"09059896000159"</f>
        <v/>
      </c>
      <c r="E5026" s="30" t="inlineStr">
        <is>
          <t>MINIMERCADO PAG LEV DE ITAGUAI - EIRELI</t>
        </is>
      </c>
      <c r="F5026" s="30" t="inlineStr">
        <is>
          <t>2023</t>
        </is>
      </c>
      <c r="G5026" s="40" t="n">
        <v>3732040.87</v>
      </c>
    </row>
    <row r="5027" ht="12" customHeight="1">
      <c r="A5027" s="30" t="inlineStr">
        <is>
          <t>ITG</t>
        </is>
      </c>
      <c r="B5027" s="30" t="inlineStr">
        <is>
          <t>Itaguai</t>
        </is>
      </c>
      <c r="C5027" s="30" t="n">
        <v>78367989</v>
      </c>
      <c r="D5027" s="30">
        <f>"09077954000177"</f>
        <v/>
      </c>
      <c r="E5027" s="30" t="inlineStr">
        <is>
          <t>RESTAURANTE NOVA RODOVIA 2007 LTDA EPP</t>
        </is>
      </c>
      <c r="F5027" s="30" t="inlineStr">
        <is>
          <t>2017</t>
        </is>
      </c>
      <c r="G5027" s="40" t="n">
        <v>0</v>
      </c>
    </row>
    <row r="5028" ht="12" customHeight="1">
      <c r="A5028" s="30" t="inlineStr">
        <is>
          <t>ITG</t>
        </is>
      </c>
      <c r="B5028" s="30" t="inlineStr">
        <is>
          <t>Itaguai</t>
        </is>
      </c>
      <c r="C5028" s="30" t="n">
        <v>78367989</v>
      </c>
      <c r="D5028" s="30">
        <f>"09077954000177"</f>
        <v/>
      </c>
      <c r="E5028" s="30" t="inlineStr">
        <is>
          <t>RESTAURANTE NOVA RODOVIA 2007 LTDA EPP</t>
        </is>
      </c>
      <c r="F5028" s="30" t="inlineStr">
        <is>
          <t>2018</t>
        </is>
      </c>
      <c r="G5028" s="40" t="n">
        <v>0</v>
      </c>
    </row>
    <row r="5029" ht="12" customHeight="1">
      <c r="A5029" s="30" t="inlineStr">
        <is>
          <t>ITG</t>
        </is>
      </c>
      <c r="B5029" s="30" t="inlineStr">
        <is>
          <t>Itaguai</t>
        </is>
      </c>
      <c r="C5029" s="30" t="n">
        <v>78367989</v>
      </c>
      <c r="D5029" s="30">
        <f>"09077954000177"</f>
        <v/>
      </c>
      <c r="E5029" s="30" t="inlineStr">
        <is>
          <t>RESTAURANTE NOVA RODOVIA 2007 LTDA EPP</t>
        </is>
      </c>
      <c r="F5029" s="30" t="inlineStr">
        <is>
          <t>2019</t>
        </is>
      </c>
      <c r="G5029" s="40" t="n">
        <v>0</v>
      </c>
    </row>
    <row r="5030" ht="12" customHeight="1">
      <c r="A5030" s="30" t="inlineStr">
        <is>
          <t>ITG</t>
        </is>
      </c>
      <c r="B5030" s="30" t="inlineStr">
        <is>
          <t>Itaguai</t>
        </is>
      </c>
      <c r="C5030" s="30" t="n">
        <v>78367989</v>
      </c>
      <c r="D5030" s="30">
        <f>"09077954000177"</f>
        <v/>
      </c>
      <c r="E5030" s="30" t="inlineStr">
        <is>
          <t>RESTAURANTE NOVA RODOVIA 2007 LTDA EPP</t>
        </is>
      </c>
      <c r="F5030" s="30" t="inlineStr">
        <is>
          <t>2020</t>
        </is>
      </c>
      <c r="G5030" s="40" t="n">
        <v>5577833.13</v>
      </c>
    </row>
    <row r="5031" ht="12" customHeight="1">
      <c r="A5031" s="30" t="inlineStr">
        <is>
          <t>ITG</t>
        </is>
      </c>
      <c r="B5031" s="30" t="inlineStr">
        <is>
          <t>Itaguai</t>
        </is>
      </c>
      <c r="C5031" s="30" t="n">
        <v>78367989</v>
      </c>
      <c r="D5031" s="30">
        <f>"09077954000177"</f>
        <v/>
      </c>
      <c r="E5031" s="30" t="inlineStr">
        <is>
          <t>RESTAURANTE NOVA RODOVIA 2007 LTDA EPP</t>
        </is>
      </c>
      <c r="F5031" s="30" t="inlineStr">
        <is>
          <t>2021</t>
        </is>
      </c>
      <c r="G5031" s="40" t="n">
        <v>7468824.16</v>
      </c>
    </row>
    <row r="5032" ht="12" customHeight="1">
      <c r="A5032" s="30" t="inlineStr">
        <is>
          <t>ITG</t>
        </is>
      </c>
      <c r="B5032" s="30" t="inlineStr">
        <is>
          <t>Itaguai</t>
        </is>
      </c>
      <c r="C5032" s="30" t="n">
        <v>78367989</v>
      </c>
      <c r="D5032" s="30">
        <f>"09077954000177"</f>
        <v/>
      </c>
      <c r="E5032" s="30" t="inlineStr">
        <is>
          <t>RESTAURANTE NOVA RODOVIA 2007 LTDA EPP</t>
        </is>
      </c>
      <c r="F5032" s="30" t="inlineStr">
        <is>
          <t>2022</t>
        </is>
      </c>
      <c r="G5032" s="40" t="n">
        <v>18715535.68</v>
      </c>
    </row>
    <row r="5033" ht="12" customHeight="1">
      <c r="A5033" s="30" t="inlineStr">
        <is>
          <t>ITG</t>
        </is>
      </c>
      <c r="B5033" s="30" t="inlineStr">
        <is>
          <t>Itaguai</t>
        </is>
      </c>
      <c r="C5033" s="30" t="n">
        <v>78367989</v>
      </c>
      <c r="D5033" s="30">
        <f>"09077954000177"</f>
        <v/>
      </c>
      <c r="E5033" s="30" t="inlineStr">
        <is>
          <t>RESTAURANTE NOVA RODOVIA 2007 LTDA EPP</t>
        </is>
      </c>
      <c r="F5033" s="30" t="inlineStr">
        <is>
          <t>2023</t>
        </is>
      </c>
      <c r="G5033" s="40" t="n">
        <v>41306754.86</v>
      </c>
    </row>
    <row r="5034" ht="12" customHeight="1">
      <c r="A5034" s="30" t="inlineStr">
        <is>
          <t>ITG</t>
        </is>
      </c>
      <c r="B5034" s="30" t="inlineStr">
        <is>
          <t>Itaguai</t>
        </is>
      </c>
      <c r="C5034" s="30" t="n">
        <v>78368594</v>
      </c>
      <c r="D5034" s="30">
        <f>"09015688000158"</f>
        <v/>
      </c>
      <c r="E5034" s="30" t="inlineStr">
        <is>
          <t>AVATAR INDUSTRIA MECANICA LTDA</t>
        </is>
      </c>
      <c r="F5034" s="30" t="inlineStr">
        <is>
          <t>2017</t>
        </is>
      </c>
      <c r="G5034" s="40" t="n">
        <v>0</v>
      </c>
    </row>
    <row r="5035" ht="12" customHeight="1">
      <c r="A5035" s="30" t="inlineStr">
        <is>
          <t>ITG</t>
        </is>
      </c>
      <c r="B5035" s="30" t="inlineStr">
        <is>
          <t>Itaguai</t>
        </is>
      </c>
      <c r="C5035" s="30" t="n">
        <v>78368594</v>
      </c>
      <c r="D5035" s="30">
        <f>"09015688000158"</f>
        <v/>
      </c>
      <c r="E5035" s="30" t="inlineStr">
        <is>
          <t>AVATAR INDUSTRIA MECANICA LTDA</t>
        </is>
      </c>
      <c r="F5035" s="30" t="inlineStr">
        <is>
          <t>2018</t>
        </is>
      </c>
      <c r="G5035" s="40" t="n">
        <v>0</v>
      </c>
    </row>
    <row r="5036" ht="12" customHeight="1">
      <c r="A5036" s="30" t="inlineStr">
        <is>
          <t>ITG</t>
        </is>
      </c>
      <c r="B5036" s="30" t="inlineStr">
        <is>
          <t>Itaguai</t>
        </is>
      </c>
      <c r="C5036" s="30" t="n">
        <v>78368594</v>
      </c>
      <c r="D5036" s="30">
        <f>"09015688000158"</f>
        <v/>
      </c>
      <c r="E5036" s="30" t="inlineStr">
        <is>
          <t>AVATAR INDUSTRIA MECANICA LTDA</t>
        </is>
      </c>
      <c r="F5036" s="30" t="inlineStr">
        <is>
          <t>2019</t>
        </is>
      </c>
      <c r="G5036" s="40" t="n">
        <v>31325.19</v>
      </c>
    </row>
    <row r="5037" ht="12" customHeight="1">
      <c r="A5037" s="30" t="inlineStr">
        <is>
          <t>ITG</t>
        </is>
      </c>
      <c r="B5037" s="30" t="inlineStr">
        <is>
          <t>Itaguai</t>
        </is>
      </c>
      <c r="C5037" s="30" t="n">
        <v>78368594</v>
      </c>
      <c r="D5037" s="30">
        <f>"09015688000158"</f>
        <v/>
      </c>
      <c r="E5037" s="30" t="inlineStr">
        <is>
          <t>AVATAR INDUSTRIA MECANICA LTDA</t>
        </is>
      </c>
      <c r="F5037" s="30" t="inlineStr">
        <is>
          <t>2020</t>
        </is>
      </c>
      <c r="G5037" s="40" t="n">
        <v>0</v>
      </c>
    </row>
    <row r="5038" ht="12" customHeight="1">
      <c r="A5038" s="30" t="inlineStr">
        <is>
          <t>ITG</t>
        </is>
      </c>
      <c r="B5038" s="30" t="inlineStr">
        <is>
          <t>Itaguai</t>
        </is>
      </c>
      <c r="C5038" s="30" t="n">
        <v>78368594</v>
      </c>
      <c r="D5038" s="30">
        <f>"09015688000158"</f>
        <v/>
      </c>
      <c r="E5038" s="30" t="inlineStr">
        <is>
          <t>AVATAR INDUSTRIA MECANICA LTDA</t>
        </is>
      </c>
      <c r="F5038" s="30" t="inlineStr">
        <is>
          <t>2021</t>
        </is>
      </c>
      <c r="G5038" s="40" t="n">
        <v>0</v>
      </c>
    </row>
    <row r="5039" ht="12" customHeight="1">
      <c r="A5039" s="30" t="inlineStr">
        <is>
          <t>ITG</t>
        </is>
      </c>
      <c r="B5039" s="30" t="inlineStr">
        <is>
          <t>Itaguai</t>
        </is>
      </c>
      <c r="C5039" s="30" t="n">
        <v>78368594</v>
      </c>
      <c r="D5039" s="30">
        <f>"09015688000158"</f>
        <v/>
      </c>
      <c r="E5039" s="30" t="inlineStr">
        <is>
          <t>AVATAR INDUSTRIA MECANICA LTDA</t>
        </is>
      </c>
      <c r="F5039" s="30" t="inlineStr">
        <is>
          <t>2022</t>
        </is>
      </c>
      <c r="G5039" s="40" t="n">
        <v>0</v>
      </c>
    </row>
    <row r="5040" ht="12" customHeight="1">
      <c r="A5040" s="30" t="inlineStr">
        <is>
          <t>ITG</t>
        </is>
      </c>
      <c r="B5040" s="30" t="inlineStr">
        <is>
          <t>Itaguai</t>
        </is>
      </c>
      <c r="C5040" s="30" t="n">
        <v>78368594</v>
      </c>
      <c r="D5040" s="30">
        <f>"09015688000158"</f>
        <v/>
      </c>
      <c r="E5040" s="30" t="inlineStr">
        <is>
          <t>AVATAR INDUSTRIA MECANICA LTDA</t>
        </is>
      </c>
      <c r="F5040" s="30" t="inlineStr">
        <is>
          <t>2023</t>
        </is>
      </c>
      <c r="G5040" s="40" t="n">
        <v>0</v>
      </c>
    </row>
    <row r="5041" ht="12" customHeight="1">
      <c r="A5041" s="30" t="inlineStr">
        <is>
          <t>ITG</t>
        </is>
      </c>
      <c r="B5041" s="30" t="inlineStr">
        <is>
          <t>Itaguai</t>
        </is>
      </c>
      <c r="C5041" s="30" t="n">
        <v>78372397</v>
      </c>
      <c r="D5041" s="30">
        <f>"02424326000171"</f>
        <v/>
      </c>
      <c r="E5041" s="30" t="inlineStr">
        <is>
          <t>SOUZA E FONTES DEMOLICOES EIRELI</t>
        </is>
      </c>
      <c r="F5041" s="30" t="inlineStr">
        <is>
          <t>2017</t>
        </is>
      </c>
      <c r="G5041" s="40" t="n">
        <v>10782.67</v>
      </c>
    </row>
    <row r="5042" ht="12" customHeight="1">
      <c r="A5042" s="30" t="inlineStr">
        <is>
          <t>ITG</t>
        </is>
      </c>
      <c r="B5042" s="30" t="inlineStr">
        <is>
          <t>Itaguai</t>
        </is>
      </c>
      <c r="C5042" s="30" t="n">
        <v>78372397</v>
      </c>
      <c r="D5042" s="30">
        <f>"02424326000171"</f>
        <v/>
      </c>
      <c r="E5042" s="30" t="inlineStr">
        <is>
          <t>SOUZA E FONTES DEMOLICOES EIRELI</t>
        </is>
      </c>
      <c r="F5042" s="30" t="inlineStr">
        <is>
          <t>2018</t>
        </is>
      </c>
      <c r="G5042" s="40" t="n">
        <v>0</v>
      </c>
    </row>
    <row r="5043" ht="12" customHeight="1">
      <c r="A5043" s="30" t="inlineStr">
        <is>
          <t>ITG</t>
        </is>
      </c>
      <c r="B5043" s="30" t="inlineStr">
        <is>
          <t>Itaguai</t>
        </is>
      </c>
      <c r="C5043" s="30" t="n">
        <v>78372397</v>
      </c>
      <c r="D5043" s="30">
        <f>"02424326000171"</f>
        <v/>
      </c>
      <c r="E5043" s="30" t="inlineStr">
        <is>
          <t>SOUZA E FONTES DEMOLICOES EIRELI</t>
        </is>
      </c>
      <c r="F5043" s="30" t="inlineStr">
        <is>
          <t>2019</t>
        </is>
      </c>
      <c r="G5043" s="40" t="n">
        <v>0</v>
      </c>
    </row>
    <row r="5044" ht="12" customHeight="1">
      <c r="A5044" s="30" t="inlineStr">
        <is>
          <t>ITG</t>
        </is>
      </c>
      <c r="B5044" s="30" t="inlineStr">
        <is>
          <t>Itaguai</t>
        </is>
      </c>
      <c r="C5044" s="30" t="n">
        <v>78372397</v>
      </c>
      <c r="D5044" s="30">
        <f>"02424326000171"</f>
        <v/>
      </c>
      <c r="E5044" s="30" t="inlineStr">
        <is>
          <t>SOUZA E FONTES DEMOLICOES EIRELI</t>
        </is>
      </c>
      <c r="F5044" s="30" t="inlineStr">
        <is>
          <t>2020</t>
        </is>
      </c>
      <c r="G5044" s="40" t="n">
        <v>0</v>
      </c>
    </row>
    <row r="5045" ht="12" customHeight="1">
      <c r="A5045" s="30" t="inlineStr">
        <is>
          <t>ITG</t>
        </is>
      </c>
      <c r="B5045" s="30" t="inlineStr">
        <is>
          <t>Itaguai</t>
        </is>
      </c>
      <c r="C5045" s="30" t="n">
        <v>78373571</v>
      </c>
      <c r="D5045" s="30">
        <f>"09059609000100"</f>
        <v/>
      </c>
      <c r="E5045" s="30" t="inlineStr">
        <is>
          <t>MM TRANSPORTES LOGISTICA E ARMAZENS LTDA ME</t>
        </is>
      </c>
      <c r="F5045" s="30" t="inlineStr">
        <is>
          <t>2021</t>
        </is>
      </c>
      <c r="G5045" s="40" t="n">
        <v>0</v>
      </c>
    </row>
    <row r="5046" ht="12" customHeight="1">
      <c r="A5046" s="30" t="inlineStr">
        <is>
          <t>ITG</t>
        </is>
      </c>
      <c r="B5046" s="30" t="inlineStr">
        <is>
          <t>Itaguai</t>
        </is>
      </c>
      <c r="C5046" s="30" t="n">
        <v>78373571</v>
      </c>
      <c r="D5046" s="30">
        <f>"09059609000100"</f>
        <v/>
      </c>
      <c r="E5046" s="30" t="inlineStr">
        <is>
          <t>MM TRANSPORTES LOGISTICA E ARMAZENS LTDA ME</t>
        </is>
      </c>
      <c r="F5046" s="30" t="inlineStr">
        <is>
          <t>2022</t>
        </is>
      </c>
      <c r="G5046" s="40" t="n">
        <v>0</v>
      </c>
    </row>
    <row r="5047" ht="12" customHeight="1">
      <c r="A5047" s="30" t="inlineStr">
        <is>
          <t>ITG</t>
        </is>
      </c>
      <c r="B5047" s="30" t="inlineStr">
        <is>
          <t>Itaguai</t>
        </is>
      </c>
      <c r="C5047" s="30" t="n">
        <v>78373571</v>
      </c>
      <c r="D5047" s="30">
        <f>"09059609000100"</f>
        <v/>
      </c>
      <c r="E5047" s="30" t="inlineStr">
        <is>
          <t>MM TRANSPORTES LOGISTICA E ARMAZENS LTDA ME</t>
        </is>
      </c>
      <c r="F5047" s="30" t="inlineStr">
        <is>
          <t>2023</t>
        </is>
      </c>
      <c r="G5047" s="40" t="n">
        <v>67809.13</v>
      </c>
    </row>
    <row r="5048" ht="12" customHeight="1">
      <c r="A5048" s="30" t="inlineStr">
        <is>
          <t>ITG</t>
        </is>
      </c>
      <c r="B5048" s="30" t="inlineStr">
        <is>
          <t>Itaguai</t>
        </is>
      </c>
      <c r="C5048" s="30" t="n">
        <v>78377070</v>
      </c>
      <c r="D5048" s="30">
        <f>"09100594000187"</f>
        <v/>
      </c>
      <c r="E5048" s="30" t="inlineStr">
        <is>
          <t>THATHYLIA COMERCIO DE ARTIGOS DO VESTUARIO EM GERAL LTDA</t>
        </is>
      </c>
      <c r="F5048" s="30" t="inlineStr">
        <is>
          <t>2020</t>
        </is>
      </c>
      <c r="G5048" s="40" t="n">
        <v>0</v>
      </c>
    </row>
    <row r="5049" ht="12" customHeight="1">
      <c r="A5049" s="30" t="inlineStr">
        <is>
          <t>ITG</t>
        </is>
      </c>
      <c r="B5049" s="30" t="inlineStr">
        <is>
          <t>Itaguai</t>
        </is>
      </c>
      <c r="C5049" s="30" t="n">
        <v>78377070</v>
      </c>
      <c r="D5049" s="30">
        <f>"09100594000187"</f>
        <v/>
      </c>
      <c r="E5049" s="30" t="inlineStr">
        <is>
          <t>THATHYLIA COMERCIO DE ARTIGOS DO VESTUARIO EM GERAL LTDA</t>
        </is>
      </c>
      <c r="F5049" s="30" t="inlineStr">
        <is>
          <t>2021</t>
        </is>
      </c>
      <c r="G5049" s="40" t="n">
        <v>0</v>
      </c>
    </row>
    <row r="5050" ht="12" customHeight="1">
      <c r="A5050" s="30" t="inlineStr">
        <is>
          <t>ITG</t>
        </is>
      </c>
      <c r="B5050" s="30" t="inlineStr">
        <is>
          <t>Itaguai</t>
        </is>
      </c>
      <c r="C5050" s="30" t="n">
        <v>78377070</v>
      </c>
      <c r="D5050" s="30">
        <f>"09100594000187"</f>
        <v/>
      </c>
      <c r="E5050" s="30" t="inlineStr">
        <is>
          <t>THATHYLIA COMERCIO DE ARTIGOS DO VESTUARIO EM GERAL LTDA</t>
        </is>
      </c>
      <c r="F5050" s="30" t="inlineStr">
        <is>
          <t>2022</t>
        </is>
      </c>
      <c r="G5050" s="40" t="n">
        <v>0</v>
      </c>
    </row>
    <row r="5051" ht="12" customHeight="1">
      <c r="A5051" s="30" t="inlineStr">
        <is>
          <t>ITG</t>
        </is>
      </c>
      <c r="B5051" s="30" t="inlineStr">
        <is>
          <t>Itaguai</t>
        </is>
      </c>
      <c r="C5051" s="30" t="n">
        <v>78377070</v>
      </c>
      <c r="D5051" s="30">
        <f>"09100594000187"</f>
        <v/>
      </c>
      <c r="E5051" s="30" t="inlineStr">
        <is>
          <t>THATHYLIA COMERCIO DE ARTIGOS DO VESTUARIO EM GERAL LTDA</t>
        </is>
      </c>
      <c r="F5051" s="30" t="inlineStr">
        <is>
          <t>2023</t>
        </is>
      </c>
      <c r="G5051" s="40" t="n">
        <v>0</v>
      </c>
    </row>
    <row r="5052" ht="12" customHeight="1">
      <c r="A5052" s="30" t="inlineStr">
        <is>
          <t>ITG</t>
        </is>
      </c>
      <c r="B5052" s="30" t="inlineStr">
        <is>
          <t>Itaguai</t>
        </is>
      </c>
      <c r="C5052" s="30" t="n">
        <v>78387548</v>
      </c>
      <c r="D5052" s="30">
        <f>"09132659000176"</f>
        <v/>
      </c>
      <c r="E5052" s="30" t="inlineStr">
        <is>
          <t>EMBRATEL TVSAT TELECOMUNICACOES S A</t>
        </is>
      </c>
      <c r="F5052" s="30" t="inlineStr">
        <is>
          <t>2017</t>
        </is>
      </c>
      <c r="G5052" s="40" t="n">
        <v>3171666.42</v>
      </c>
    </row>
    <row r="5053" ht="12" customHeight="1">
      <c r="A5053" s="30" t="inlineStr">
        <is>
          <t>ITG</t>
        </is>
      </c>
      <c r="B5053" s="30" t="inlineStr">
        <is>
          <t>Itaguai</t>
        </is>
      </c>
      <c r="C5053" s="30" t="n">
        <v>78387548</v>
      </c>
      <c r="D5053" s="30">
        <f>"09132659000176"</f>
        <v/>
      </c>
      <c r="E5053" s="30" t="inlineStr">
        <is>
          <t>EMBRATEL TVSAT TELECOMUNICACOES S A</t>
        </is>
      </c>
      <c r="F5053" s="30" t="inlineStr">
        <is>
          <t>2018</t>
        </is>
      </c>
      <c r="G5053" s="40" t="n">
        <v>2483192.83</v>
      </c>
    </row>
    <row r="5054" ht="12" customHeight="1">
      <c r="A5054" s="30" t="inlineStr">
        <is>
          <t>ITG</t>
        </is>
      </c>
      <c r="B5054" s="30" t="inlineStr">
        <is>
          <t>Itaguai</t>
        </is>
      </c>
      <c r="C5054" s="30" t="n">
        <v>78387548</v>
      </c>
      <c r="D5054" s="30">
        <f>"09132659000176"</f>
        <v/>
      </c>
      <c r="E5054" s="30" t="inlineStr">
        <is>
          <t>EMBRATEL TVSAT TELECOMUNICACOES S A</t>
        </is>
      </c>
      <c r="F5054" s="30" t="inlineStr">
        <is>
          <t>2019</t>
        </is>
      </c>
      <c r="G5054" s="40" t="n">
        <v>2254393.69</v>
      </c>
    </row>
    <row r="5055" ht="12" customHeight="1">
      <c r="A5055" s="30" t="inlineStr">
        <is>
          <t>ITG</t>
        </is>
      </c>
      <c r="B5055" s="30" t="inlineStr">
        <is>
          <t>Itaguai</t>
        </is>
      </c>
      <c r="C5055" s="30" t="n">
        <v>78387548</v>
      </c>
      <c r="D5055" s="30">
        <f>"09132659000176"</f>
        <v/>
      </c>
      <c r="E5055" s="30" t="inlineStr">
        <is>
          <t>EMBRATEL TVSAT TELECOMUNICACOES S A</t>
        </is>
      </c>
      <c r="F5055" s="30" t="inlineStr">
        <is>
          <t>2020</t>
        </is>
      </c>
      <c r="G5055" s="40" t="n">
        <v>1634319.75</v>
      </c>
    </row>
    <row r="5056" ht="12" customHeight="1">
      <c r="A5056" s="30" t="inlineStr">
        <is>
          <t>ITG</t>
        </is>
      </c>
      <c r="B5056" s="30" t="inlineStr">
        <is>
          <t>Itaguai</t>
        </is>
      </c>
      <c r="C5056" s="30" t="n">
        <v>78387548</v>
      </c>
      <c r="D5056" s="30">
        <f>"09132659000176"</f>
        <v/>
      </c>
      <c r="E5056" s="30" t="inlineStr">
        <is>
          <t>EMBRATEL TVSAT TELECOMUNICACOES S A</t>
        </is>
      </c>
      <c r="F5056" s="30" t="inlineStr">
        <is>
          <t>2021</t>
        </is>
      </c>
      <c r="G5056" s="40" t="n">
        <v>1290997.32</v>
      </c>
    </row>
    <row r="5057" ht="12" customHeight="1">
      <c r="A5057" s="30" t="inlineStr">
        <is>
          <t>ITG</t>
        </is>
      </c>
      <c r="B5057" s="30" t="inlineStr">
        <is>
          <t>Itaguai</t>
        </is>
      </c>
      <c r="C5057" s="30" t="n">
        <v>78387548</v>
      </c>
      <c r="D5057" s="30">
        <f>"09132659000176"</f>
        <v/>
      </c>
      <c r="E5057" s="30" t="inlineStr">
        <is>
          <t>EMBRATEL TVSAT TELECOMUNICACOES S A</t>
        </is>
      </c>
      <c r="F5057" s="30" t="inlineStr">
        <is>
          <t>2022</t>
        </is>
      </c>
      <c r="G5057" s="40" t="n">
        <v>1038096.9</v>
      </c>
    </row>
    <row r="5058" ht="12" customHeight="1">
      <c r="A5058" s="30" t="inlineStr">
        <is>
          <t>ITG</t>
        </is>
      </c>
      <c r="B5058" s="30" t="inlineStr">
        <is>
          <t>Itaguai</t>
        </is>
      </c>
      <c r="C5058" s="30" t="n">
        <v>78387548</v>
      </c>
      <c r="D5058" s="30">
        <f>"09132659000176"</f>
        <v/>
      </c>
      <c r="E5058" s="30" t="inlineStr">
        <is>
          <t>EMBRATEL TVSAT TELECOMUNICACOES S A</t>
        </is>
      </c>
      <c r="F5058" s="30" t="inlineStr">
        <is>
          <t>2023</t>
        </is>
      </c>
      <c r="G5058" s="40" t="n">
        <v>848843.04</v>
      </c>
    </row>
    <row r="5059" ht="12" customHeight="1">
      <c r="A5059" s="30" t="inlineStr">
        <is>
          <t>ITG</t>
        </is>
      </c>
      <c r="B5059" s="30" t="inlineStr">
        <is>
          <t>Itaguai</t>
        </is>
      </c>
      <c r="C5059" s="30" t="n">
        <v>78401524</v>
      </c>
      <c r="D5059" s="30">
        <f>"09032695000168"</f>
        <v/>
      </c>
      <c r="E5059" s="30" t="inlineStr">
        <is>
          <t>GLOBAL OPERACOES PORTUARIAS S A</t>
        </is>
      </c>
      <c r="F5059" s="30" t="inlineStr">
        <is>
          <t>2017</t>
        </is>
      </c>
      <c r="G5059" s="40" t="n">
        <v>0</v>
      </c>
    </row>
    <row r="5060" ht="12" customHeight="1">
      <c r="A5060" s="30" t="inlineStr">
        <is>
          <t>ITG</t>
        </is>
      </c>
      <c r="B5060" s="30" t="inlineStr">
        <is>
          <t>Itaguai</t>
        </is>
      </c>
      <c r="C5060" s="30" t="n">
        <v>78401524</v>
      </c>
      <c r="D5060" s="30">
        <f>"09032695000168"</f>
        <v/>
      </c>
      <c r="E5060" s="30" t="inlineStr">
        <is>
          <t>GLOBAL OPERACOES PORTUARIAS S A</t>
        </is>
      </c>
      <c r="F5060" s="30" t="inlineStr">
        <is>
          <t>2018</t>
        </is>
      </c>
      <c r="G5060" s="40" t="n">
        <v>0</v>
      </c>
    </row>
    <row r="5061" ht="12" customHeight="1">
      <c r="A5061" s="30" t="inlineStr">
        <is>
          <t>ITG</t>
        </is>
      </c>
      <c r="B5061" s="30" t="inlineStr">
        <is>
          <t>Itaguai</t>
        </is>
      </c>
      <c r="C5061" s="30" t="n">
        <v>78401524</v>
      </c>
      <c r="D5061" s="30">
        <f>"09032695000168"</f>
        <v/>
      </c>
      <c r="E5061" s="30" t="inlineStr">
        <is>
          <t>GLOBAL OPERACOES PORTUARIAS S A</t>
        </is>
      </c>
      <c r="F5061" s="30" t="inlineStr">
        <is>
          <t>2019</t>
        </is>
      </c>
      <c r="G5061" s="40" t="n">
        <v>0</v>
      </c>
    </row>
    <row r="5062" ht="12" customHeight="1">
      <c r="A5062" s="30" t="inlineStr">
        <is>
          <t>ITG</t>
        </is>
      </c>
      <c r="B5062" s="30" t="inlineStr">
        <is>
          <t>Itaguai</t>
        </is>
      </c>
      <c r="C5062" s="30" t="n">
        <v>78401524</v>
      </c>
      <c r="D5062" s="30">
        <f>"09032695000168"</f>
        <v/>
      </c>
      <c r="E5062" s="30" t="inlineStr">
        <is>
          <t>GLOBAL OPERACOES PORTUARIAS S A</t>
        </is>
      </c>
      <c r="F5062" s="30" t="inlineStr">
        <is>
          <t>2020</t>
        </is>
      </c>
      <c r="G5062" s="40" t="n">
        <v>0</v>
      </c>
    </row>
    <row r="5063" ht="12" customHeight="1">
      <c r="A5063" s="30" t="inlineStr">
        <is>
          <t>ITG</t>
        </is>
      </c>
      <c r="B5063" s="30" t="inlineStr">
        <is>
          <t>Itaguai</t>
        </is>
      </c>
      <c r="C5063" s="30" t="n">
        <v>78401524</v>
      </c>
      <c r="D5063" s="30">
        <f>"09032695000168"</f>
        <v/>
      </c>
      <c r="E5063" s="30" t="inlineStr">
        <is>
          <t>GLOBAL OPERACOES PORTUARIAS S A</t>
        </is>
      </c>
      <c r="F5063" s="30" t="inlineStr">
        <is>
          <t>2021</t>
        </is>
      </c>
      <c r="G5063" s="40" t="n">
        <v>0</v>
      </c>
    </row>
    <row r="5064" ht="12" customHeight="1">
      <c r="A5064" s="30" t="inlineStr">
        <is>
          <t>ITG</t>
        </is>
      </c>
      <c r="B5064" s="30" t="inlineStr">
        <is>
          <t>Itaguai</t>
        </is>
      </c>
      <c r="C5064" s="30" t="n">
        <v>78401524</v>
      </c>
      <c r="D5064" s="30">
        <f>"09032695000168"</f>
        <v/>
      </c>
      <c r="E5064" s="30" t="inlineStr">
        <is>
          <t>GLOBAL OPERACOES PORTUARIAS S A</t>
        </is>
      </c>
      <c r="F5064" s="30" t="inlineStr">
        <is>
          <t>2022</t>
        </is>
      </c>
      <c r="G5064" s="40" t="n">
        <v>0</v>
      </c>
    </row>
    <row r="5065" ht="12" customHeight="1">
      <c r="A5065" s="30" t="inlineStr">
        <is>
          <t>ITG</t>
        </is>
      </c>
      <c r="B5065" s="30" t="inlineStr">
        <is>
          <t>Itaguai</t>
        </is>
      </c>
      <c r="C5065" s="30" t="n">
        <v>78401524</v>
      </c>
      <c r="D5065" s="30">
        <f>"09032695000168"</f>
        <v/>
      </c>
      <c r="E5065" s="30" t="inlineStr">
        <is>
          <t>GLOBAL OPERACOES PORTUARIAS S A</t>
        </is>
      </c>
      <c r="F5065" s="30" t="inlineStr">
        <is>
          <t>2023</t>
        </is>
      </c>
      <c r="G5065" s="40" t="n">
        <v>0</v>
      </c>
    </row>
    <row r="5066" ht="12" customHeight="1">
      <c r="A5066" s="30" t="inlineStr">
        <is>
          <t>ITG</t>
        </is>
      </c>
      <c r="B5066" s="30" t="inlineStr">
        <is>
          <t>Itaguai</t>
        </is>
      </c>
      <c r="C5066" s="30" t="n">
        <v>78401923</v>
      </c>
      <c r="D5066" s="30">
        <f>"09054570000139"</f>
        <v/>
      </c>
      <c r="E5066" s="30" t="inlineStr">
        <is>
          <t>MARKO SISTEMAS METALICOS DE CONSTRUCAO LTDA</t>
        </is>
      </c>
      <c r="F5066" s="30" t="inlineStr">
        <is>
          <t>2017</t>
        </is>
      </c>
      <c r="G5066" s="40" t="n">
        <v>8489938.48</v>
      </c>
    </row>
    <row r="5067" ht="12" customHeight="1">
      <c r="A5067" s="30" t="inlineStr">
        <is>
          <t>ITG</t>
        </is>
      </c>
      <c r="B5067" s="30" t="inlineStr">
        <is>
          <t>Itaguai</t>
        </is>
      </c>
      <c r="C5067" s="30" t="n">
        <v>78401923</v>
      </c>
      <c r="D5067" s="30">
        <f>"09054570000139"</f>
        <v/>
      </c>
      <c r="E5067" s="30" t="inlineStr">
        <is>
          <t>MARKO SISTEMAS METALICOS DE CONSTRUCAO LTDA</t>
        </is>
      </c>
      <c r="F5067" s="30" t="inlineStr">
        <is>
          <t>2018</t>
        </is>
      </c>
      <c r="G5067" s="40" t="n">
        <v>7959771.39</v>
      </c>
    </row>
    <row r="5068" ht="12" customHeight="1">
      <c r="A5068" s="30" t="inlineStr">
        <is>
          <t>ITG</t>
        </is>
      </c>
      <c r="B5068" s="30" t="inlineStr">
        <is>
          <t>Itaguai</t>
        </is>
      </c>
      <c r="C5068" s="30" t="n">
        <v>78401923</v>
      </c>
      <c r="D5068" s="30">
        <f>"09054570000139"</f>
        <v/>
      </c>
      <c r="E5068" s="30" t="inlineStr">
        <is>
          <t>MARKO SISTEMAS METALICOS DE CONSTRUCAO LTDA</t>
        </is>
      </c>
      <c r="F5068" s="30" t="inlineStr">
        <is>
          <t>2019</t>
        </is>
      </c>
      <c r="G5068" s="40" t="n">
        <v>21943265.49</v>
      </c>
    </row>
    <row r="5069" ht="12" customHeight="1">
      <c r="A5069" s="30" t="inlineStr">
        <is>
          <t>ITG</t>
        </is>
      </c>
      <c r="B5069" s="30" t="inlineStr">
        <is>
          <t>Itaguai</t>
        </is>
      </c>
      <c r="C5069" s="30" t="n">
        <v>78401923</v>
      </c>
      <c r="D5069" s="30">
        <f>"09054570000139"</f>
        <v/>
      </c>
      <c r="E5069" s="30" t="inlineStr">
        <is>
          <t>MARKO SISTEMAS METALICOS DE CONSTRUCAO LTDA</t>
        </is>
      </c>
      <c r="F5069" s="30" t="inlineStr">
        <is>
          <t>2020</t>
        </is>
      </c>
      <c r="G5069" s="40" t="n">
        <v>36736172.79</v>
      </c>
    </row>
    <row r="5070" ht="12" customHeight="1">
      <c r="A5070" s="30" t="inlineStr">
        <is>
          <t>ITG</t>
        </is>
      </c>
      <c r="B5070" s="30" t="inlineStr">
        <is>
          <t>Itaguai</t>
        </is>
      </c>
      <c r="C5070" s="30" t="n">
        <v>78401923</v>
      </c>
      <c r="D5070" s="30">
        <f>"09054570000139"</f>
        <v/>
      </c>
      <c r="E5070" s="30" t="inlineStr">
        <is>
          <t>MARKO SISTEMAS METALICOS DE CONSTRUCAO LTDA</t>
        </is>
      </c>
      <c r="F5070" s="30" t="inlineStr">
        <is>
          <t>2021</t>
        </is>
      </c>
      <c r="G5070" s="40" t="n">
        <v>105498835.21</v>
      </c>
    </row>
    <row r="5071" ht="12" customHeight="1">
      <c r="A5071" s="30" t="inlineStr">
        <is>
          <t>ITG</t>
        </is>
      </c>
      <c r="B5071" s="30" t="inlineStr">
        <is>
          <t>Itaguai</t>
        </is>
      </c>
      <c r="C5071" s="30" t="n">
        <v>78401923</v>
      </c>
      <c r="D5071" s="30">
        <f>"09054570000139"</f>
        <v/>
      </c>
      <c r="E5071" s="30" t="inlineStr">
        <is>
          <t>MARKO SISTEMAS METALICOS DE CONSTRUCAO LTDA</t>
        </is>
      </c>
      <c r="F5071" s="30" t="inlineStr">
        <is>
          <t>2022</t>
        </is>
      </c>
      <c r="G5071" s="40" t="n">
        <v>99765888.38</v>
      </c>
    </row>
    <row r="5072" ht="12" customHeight="1">
      <c r="A5072" s="30" t="inlineStr">
        <is>
          <t>ITG</t>
        </is>
      </c>
      <c r="B5072" s="30" t="inlineStr">
        <is>
          <t>Itaguai</t>
        </is>
      </c>
      <c r="C5072" s="30" t="n">
        <v>78401923</v>
      </c>
      <c r="D5072" s="30">
        <f>"09054570000139"</f>
        <v/>
      </c>
      <c r="E5072" s="30" t="inlineStr">
        <is>
          <t>MARKO SISTEMAS METALICOS DE CONSTRUCAO LTDA</t>
        </is>
      </c>
      <c r="F5072" s="30" t="inlineStr">
        <is>
          <t>2023</t>
        </is>
      </c>
      <c r="G5072" s="40" t="n">
        <v>71209039.67</v>
      </c>
    </row>
    <row r="5073" ht="12" customHeight="1">
      <c r="A5073" s="30" t="inlineStr">
        <is>
          <t>ITG</t>
        </is>
      </c>
      <c r="B5073" s="30" t="inlineStr">
        <is>
          <t>Itaguai</t>
        </is>
      </c>
      <c r="C5073" s="30" t="n">
        <v>78402687</v>
      </c>
      <c r="D5073" s="30">
        <f>"04884082000640"</f>
        <v/>
      </c>
      <c r="E5073" s="30" t="inlineStr">
        <is>
          <t>JADLOG LOGISTICA S.A.</t>
        </is>
      </c>
      <c r="F5073" s="30" t="inlineStr">
        <is>
          <t>2017</t>
        </is>
      </c>
      <c r="G5073" s="40" t="n">
        <v>0</v>
      </c>
    </row>
    <row r="5074" ht="12" customHeight="1">
      <c r="A5074" s="30" t="inlineStr">
        <is>
          <t>ITG</t>
        </is>
      </c>
      <c r="B5074" s="30" t="inlineStr">
        <is>
          <t>Itaguai</t>
        </is>
      </c>
      <c r="C5074" s="30" t="n">
        <v>78402687</v>
      </c>
      <c r="D5074" s="30">
        <f>"04884082000640"</f>
        <v/>
      </c>
      <c r="E5074" s="30" t="inlineStr">
        <is>
          <t>JADLOG LOGISTICA S.A.</t>
        </is>
      </c>
      <c r="F5074" s="30" t="inlineStr">
        <is>
          <t>2018</t>
        </is>
      </c>
      <c r="G5074" s="40" t="n">
        <v>68919.50999999999</v>
      </c>
    </row>
    <row r="5075" ht="12" customHeight="1">
      <c r="A5075" s="30" t="inlineStr">
        <is>
          <t>ITG</t>
        </is>
      </c>
      <c r="B5075" s="30" t="inlineStr">
        <is>
          <t>Itaguai</t>
        </is>
      </c>
      <c r="C5075" s="30" t="n">
        <v>78402687</v>
      </c>
      <c r="D5075" s="30">
        <f>"04884082000640"</f>
        <v/>
      </c>
      <c r="E5075" s="30" t="inlineStr">
        <is>
          <t>JADLOG LOGISTICA S.A.</t>
        </is>
      </c>
      <c r="F5075" s="30" t="inlineStr">
        <is>
          <t>2019</t>
        </is>
      </c>
      <c r="G5075" s="40" t="n">
        <v>222081.15</v>
      </c>
    </row>
    <row r="5076" ht="12" customHeight="1">
      <c r="A5076" s="30" t="inlineStr">
        <is>
          <t>ITG</t>
        </is>
      </c>
      <c r="B5076" s="30" t="inlineStr">
        <is>
          <t>Itaguai</t>
        </is>
      </c>
      <c r="C5076" s="30" t="n">
        <v>78402687</v>
      </c>
      <c r="D5076" s="30">
        <f>"04884082000640"</f>
        <v/>
      </c>
      <c r="E5076" s="30" t="inlineStr">
        <is>
          <t>JADLOG LOGISTICA S.A.</t>
        </is>
      </c>
      <c r="F5076" s="30" t="inlineStr">
        <is>
          <t>2020</t>
        </is>
      </c>
      <c r="G5076" s="40" t="n">
        <v>0</v>
      </c>
    </row>
    <row r="5077" ht="12" customHeight="1">
      <c r="A5077" s="30" t="inlineStr">
        <is>
          <t>ITG</t>
        </is>
      </c>
      <c r="B5077" s="30" t="inlineStr">
        <is>
          <t>Itaguai</t>
        </is>
      </c>
      <c r="C5077" s="30" t="n">
        <v>78402687</v>
      </c>
      <c r="D5077" s="30">
        <f>"04884082000640"</f>
        <v/>
      </c>
      <c r="E5077" s="30" t="inlineStr">
        <is>
          <t>JADLOG LOGISTICA S.A.</t>
        </is>
      </c>
      <c r="F5077" s="30" t="inlineStr">
        <is>
          <t>2021</t>
        </is>
      </c>
      <c r="G5077" s="40" t="n">
        <v>0</v>
      </c>
    </row>
    <row r="5078" ht="12" customHeight="1">
      <c r="A5078" s="30" t="inlineStr">
        <is>
          <t>ITG</t>
        </is>
      </c>
      <c r="B5078" s="30" t="inlineStr">
        <is>
          <t>Itaguai</t>
        </is>
      </c>
      <c r="C5078" s="30" t="n">
        <v>78402687</v>
      </c>
      <c r="D5078" s="30">
        <f>"04884082000640"</f>
        <v/>
      </c>
      <c r="E5078" s="30" t="inlineStr">
        <is>
          <t>JADLOG LOGISTICA S.A.</t>
        </is>
      </c>
      <c r="F5078" s="30" t="inlineStr">
        <is>
          <t>2022</t>
        </is>
      </c>
      <c r="G5078" s="40" t="n">
        <v>611509.8199999999</v>
      </c>
    </row>
    <row r="5079" ht="12" customHeight="1">
      <c r="A5079" s="30" t="inlineStr">
        <is>
          <t>ITG</t>
        </is>
      </c>
      <c r="B5079" s="30" t="inlineStr">
        <is>
          <t>Itaguai</t>
        </is>
      </c>
      <c r="C5079" s="30" t="n">
        <v>78402687</v>
      </c>
      <c r="D5079" s="30">
        <f>"04884082000640"</f>
        <v/>
      </c>
      <c r="E5079" s="30" t="inlineStr">
        <is>
          <t>JADLOG LOGISTICA S.A.</t>
        </is>
      </c>
      <c r="F5079" s="30" t="inlineStr">
        <is>
          <t>2023</t>
        </is>
      </c>
      <c r="G5079" s="40" t="n">
        <v>59541.51</v>
      </c>
    </row>
    <row r="5080" ht="12" customHeight="1">
      <c r="A5080" s="30" t="inlineStr">
        <is>
          <t>ITG</t>
        </is>
      </c>
      <c r="B5080" s="30" t="inlineStr">
        <is>
          <t>Itaguai</t>
        </is>
      </c>
      <c r="C5080" s="30" t="n">
        <v>78416742</v>
      </c>
      <c r="D5080" s="30">
        <f>"09193823000155"</f>
        <v/>
      </c>
      <c r="E5080" s="30" t="inlineStr">
        <is>
          <t>START ONE TRANSPORTES DE RESIDUOS E LOCACOES EIRELI EPP</t>
        </is>
      </c>
      <c r="F5080" s="30" t="inlineStr">
        <is>
          <t>2017</t>
        </is>
      </c>
      <c r="G5080" s="40" t="n">
        <v>0</v>
      </c>
    </row>
    <row r="5081" ht="12" customHeight="1">
      <c r="A5081" s="30" t="inlineStr">
        <is>
          <t>ITG</t>
        </is>
      </c>
      <c r="B5081" s="30" t="inlineStr">
        <is>
          <t>Itaguai</t>
        </is>
      </c>
      <c r="C5081" s="30" t="n">
        <v>78416742</v>
      </c>
      <c r="D5081" s="30">
        <f>"09193823000155"</f>
        <v/>
      </c>
      <c r="E5081" s="30" t="inlineStr">
        <is>
          <t>START ONE TRANSPORTES DE RESIDUOS E LOCACOES EIRELI EPP</t>
        </is>
      </c>
      <c r="F5081" s="30" t="inlineStr">
        <is>
          <t>2018</t>
        </is>
      </c>
      <c r="G5081" s="40" t="n">
        <v>0</v>
      </c>
    </row>
    <row r="5082" ht="12" customHeight="1">
      <c r="A5082" s="30" t="inlineStr">
        <is>
          <t>ITG</t>
        </is>
      </c>
      <c r="B5082" s="30" t="inlineStr">
        <is>
          <t>Itaguai</t>
        </is>
      </c>
      <c r="C5082" s="30" t="n">
        <v>78416742</v>
      </c>
      <c r="D5082" s="30">
        <f>"09193823000155"</f>
        <v/>
      </c>
      <c r="E5082" s="30" t="inlineStr">
        <is>
          <t>START ONE TRANSPORTES DE RESIDUOS E LOCACOES EIRELI EPP</t>
        </is>
      </c>
      <c r="F5082" s="30" t="inlineStr">
        <is>
          <t>2019</t>
        </is>
      </c>
      <c r="G5082" s="40" t="n">
        <v>0</v>
      </c>
    </row>
    <row r="5083" ht="12" customHeight="1">
      <c r="A5083" s="30" t="inlineStr">
        <is>
          <t>ITG</t>
        </is>
      </c>
      <c r="B5083" s="30" t="inlineStr">
        <is>
          <t>Itaguai</t>
        </is>
      </c>
      <c r="C5083" s="30" t="n">
        <v>78416742</v>
      </c>
      <c r="D5083" s="30">
        <f>"09193823000155"</f>
        <v/>
      </c>
      <c r="E5083" s="30" t="inlineStr">
        <is>
          <t>START ONE TRANSPORTES DE RESIDUOS E LOCACOES EIRELI EPP</t>
        </is>
      </c>
      <c r="F5083" s="30" t="inlineStr">
        <is>
          <t>2020</t>
        </is>
      </c>
      <c r="G5083" s="40" t="n">
        <v>0</v>
      </c>
    </row>
    <row r="5084" ht="12" customHeight="1">
      <c r="A5084" s="30" t="inlineStr">
        <is>
          <t>ITG</t>
        </is>
      </c>
      <c r="B5084" s="30" t="inlineStr">
        <is>
          <t>Itaguai</t>
        </is>
      </c>
      <c r="C5084" s="30" t="n">
        <v>78416742</v>
      </c>
      <c r="D5084" s="30">
        <f>"09193823000155"</f>
        <v/>
      </c>
      <c r="E5084" s="30" t="inlineStr">
        <is>
          <t>START ONE TRANSPORTES DE RESIDUOS E LOCACOES EIRELI EPP</t>
        </is>
      </c>
      <c r="F5084" s="30" t="inlineStr">
        <is>
          <t>2021</t>
        </is>
      </c>
      <c r="G5084" s="40" t="n">
        <v>0</v>
      </c>
    </row>
    <row r="5085" ht="12" customHeight="1">
      <c r="A5085" s="30" t="inlineStr">
        <is>
          <t>ITG</t>
        </is>
      </c>
      <c r="B5085" s="30" t="inlineStr">
        <is>
          <t>Itaguai</t>
        </is>
      </c>
      <c r="C5085" s="30" t="n">
        <v>78416742</v>
      </c>
      <c r="D5085" s="30">
        <f>"09193823000155"</f>
        <v/>
      </c>
      <c r="E5085" s="30" t="inlineStr">
        <is>
          <t>START ONE TRANSPORTES DE RESIDUOS E LOCACOES EIRELI EPP</t>
        </is>
      </c>
      <c r="F5085" s="30" t="inlineStr">
        <is>
          <t>2022</t>
        </is>
      </c>
      <c r="G5085" s="40" t="n">
        <v>0</v>
      </c>
    </row>
    <row r="5086" ht="12" customHeight="1">
      <c r="A5086" s="30" t="inlineStr">
        <is>
          <t>ITG</t>
        </is>
      </c>
      <c r="B5086" s="30" t="inlineStr">
        <is>
          <t>Itaguai</t>
        </is>
      </c>
      <c r="C5086" s="30" t="n">
        <v>78416742</v>
      </c>
      <c r="D5086" s="30">
        <f>"09193823000155"</f>
        <v/>
      </c>
      <c r="E5086" s="30" t="inlineStr">
        <is>
          <t>START ONE TRANSPORTES DE RESIDUOS E LOCACOES EIRELI EPP</t>
        </is>
      </c>
      <c r="F5086" s="30" t="inlineStr">
        <is>
          <t>2023</t>
        </is>
      </c>
      <c r="G5086" s="40" t="n">
        <v>0</v>
      </c>
    </row>
    <row r="5087" ht="12" customHeight="1">
      <c r="A5087" s="30" t="inlineStr">
        <is>
          <t>ITG</t>
        </is>
      </c>
      <c r="B5087" s="30" t="inlineStr">
        <is>
          <t>Itaguai</t>
        </is>
      </c>
      <c r="C5087" s="30" t="n">
        <v>78419709</v>
      </c>
      <c r="D5087" s="30">
        <f>"09229680000194"</f>
        <v/>
      </c>
      <c r="E5087" s="30" t="inlineStr">
        <is>
          <t>MONTEIRO &amp; NASCIMENTO TRANSPORTADORA LTDA EPP</t>
        </is>
      </c>
      <c r="F5087" s="30" t="inlineStr">
        <is>
          <t>2017</t>
        </is>
      </c>
      <c r="G5087" s="40" t="n">
        <v>0</v>
      </c>
    </row>
    <row r="5088" ht="12" customHeight="1">
      <c r="A5088" s="30" t="inlineStr">
        <is>
          <t>ITG</t>
        </is>
      </c>
      <c r="B5088" s="30" t="inlineStr">
        <is>
          <t>Itaguai</t>
        </is>
      </c>
      <c r="C5088" s="30" t="n">
        <v>78419709</v>
      </c>
      <c r="D5088" s="30">
        <f>"09229680000194"</f>
        <v/>
      </c>
      <c r="E5088" s="30" t="inlineStr">
        <is>
          <t>MONTEIRO &amp; NASCIMENTO TRANSPORTADORA LTDA EPP</t>
        </is>
      </c>
      <c r="F5088" s="30" t="inlineStr">
        <is>
          <t>2018</t>
        </is>
      </c>
      <c r="G5088" s="40" t="n">
        <v>0</v>
      </c>
    </row>
    <row r="5089" ht="12" customHeight="1">
      <c r="A5089" s="30" t="inlineStr">
        <is>
          <t>ITG</t>
        </is>
      </c>
      <c r="B5089" s="30" t="inlineStr">
        <is>
          <t>Itaguai</t>
        </is>
      </c>
      <c r="C5089" s="30" t="n">
        <v>78419709</v>
      </c>
      <c r="D5089" s="30">
        <f>"09229680000194"</f>
        <v/>
      </c>
      <c r="E5089" s="30" t="inlineStr">
        <is>
          <t>MONTEIRO &amp; NASCIMENTO TRANSPORTADORA LTDA EPP</t>
        </is>
      </c>
      <c r="F5089" s="30" t="inlineStr">
        <is>
          <t>2019</t>
        </is>
      </c>
      <c r="G5089" s="40" t="n">
        <v>21638.15</v>
      </c>
    </row>
    <row r="5090" ht="12" customHeight="1">
      <c r="A5090" s="30" t="inlineStr">
        <is>
          <t>ITG</t>
        </is>
      </c>
      <c r="B5090" s="30" t="inlineStr">
        <is>
          <t>Itaguai</t>
        </is>
      </c>
      <c r="C5090" s="30" t="n">
        <v>78419709</v>
      </c>
      <c r="D5090" s="30">
        <f>"09229680000194"</f>
        <v/>
      </c>
      <c r="E5090" s="30" t="inlineStr">
        <is>
          <t>MONTEIRO &amp; NASCIMENTO TRANSPORTADORA LTDA EPP</t>
        </is>
      </c>
      <c r="F5090" s="30" t="inlineStr">
        <is>
          <t>2020</t>
        </is>
      </c>
      <c r="G5090" s="40" t="n">
        <v>29861.81</v>
      </c>
    </row>
    <row r="5091" ht="12" customHeight="1">
      <c r="A5091" s="30" t="inlineStr">
        <is>
          <t>ITG</t>
        </is>
      </c>
      <c r="B5091" s="30" t="inlineStr">
        <is>
          <t>Itaguai</t>
        </is>
      </c>
      <c r="C5091" s="30" t="n">
        <v>78419709</v>
      </c>
      <c r="D5091" s="30">
        <f>"09229680000194"</f>
        <v/>
      </c>
      <c r="E5091" s="30" t="inlineStr">
        <is>
          <t>MONTEIRO &amp; NASCIMENTO TRANSPORTADORA LTDA EPP</t>
        </is>
      </c>
      <c r="F5091" s="30" t="inlineStr">
        <is>
          <t>2021</t>
        </is>
      </c>
      <c r="G5091" s="40" t="n">
        <v>33310.4</v>
      </c>
    </row>
    <row r="5092" ht="12" customHeight="1">
      <c r="A5092" s="30" t="inlineStr">
        <is>
          <t>ITG</t>
        </is>
      </c>
      <c r="B5092" s="30" t="inlineStr">
        <is>
          <t>Itaguai</t>
        </is>
      </c>
      <c r="C5092" s="30" t="n">
        <v>78419709</v>
      </c>
      <c r="D5092" s="30">
        <f>"09229680000194"</f>
        <v/>
      </c>
      <c r="E5092" s="30" t="inlineStr">
        <is>
          <t>MONTEIRO &amp; NASCIMENTO TRANSPORTADORA LTDA EPP</t>
        </is>
      </c>
      <c r="F5092" s="30" t="inlineStr">
        <is>
          <t>2022</t>
        </is>
      </c>
      <c r="G5092" s="40" t="n">
        <v>14609.92</v>
      </c>
    </row>
    <row r="5093" ht="12" customHeight="1">
      <c r="A5093" s="30" t="inlineStr">
        <is>
          <t>ITG</t>
        </is>
      </c>
      <c r="B5093" s="30" t="inlineStr">
        <is>
          <t>Itaguai</t>
        </is>
      </c>
      <c r="C5093" s="30" t="n">
        <v>78419709</v>
      </c>
      <c r="D5093" s="30">
        <f>"09229680000194"</f>
        <v/>
      </c>
      <c r="E5093" s="30" t="inlineStr">
        <is>
          <t>MONTEIRO &amp; NASCIMENTO TRANSPORTADORA LTDA EPP</t>
        </is>
      </c>
      <c r="F5093" s="30" t="inlineStr">
        <is>
          <t>2023</t>
        </is>
      </c>
      <c r="G5093" s="40" t="n">
        <v>8959.74</v>
      </c>
    </row>
    <row r="5094" ht="12" customHeight="1">
      <c r="A5094" s="30" t="inlineStr">
        <is>
          <t>ITG</t>
        </is>
      </c>
      <c r="B5094" s="30" t="inlineStr">
        <is>
          <t>Itaguai</t>
        </is>
      </c>
      <c r="C5094" s="30" t="n">
        <v>78426438</v>
      </c>
      <c r="D5094" s="30">
        <f>"09185485000100"</f>
        <v/>
      </c>
      <c r="E5094" s="30" t="inlineStr">
        <is>
          <t>ENEVA COMERCIALIZADORA DE ENERGIA LTDA</t>
        </is>
      </c>
      <c r="F5094" s="30" t="inlineStr">
        <is>
          <t>2017</t>
        </is>
      </c>
      <c r="G5094" s="40" t="n">
        <v>0</v>
      </c>
    </row>
    <row r="5095" ht="12" customHeight="1">
      <c r="A5095" s="30" t="inlineStr">
        <is>
          <t>ITG</t>
        </is>
      </c>
      <c r="B5095" s="30" t="inlineStr">
        <is>
          <t>Itaguai</t>
        </is>
      </c>
      <c r="C5095" s="30" t="n">
        <v>78426438</v>
      </c>
      <c r="D5095" s="30">
        <f>"09185485000100"</f>
        <v/>
      </c>
      <c r="E5095" s="30" t="inlineStr">
        <is>
          <t>ENEVA COMERCIALIZADORA DE ENERGIA LTDA</t>
        </is>
      </c>
      <c r="F5095" s="30" t="inlineStr">
        <is>
          <t>2018</t>
        </is>
      </c>
      <c r="G5095" s="40" t="n">
        <v>7806727.76</v>
      </c>
    </row>
    <row r="5096" ht="12" customHeight="1">
      <c r="A5096" s="30" t="inlineStr">
        <is>
          <t>ITG</t>
        </is>
      </c>
      <c r="B5096" s="30" t="inlineStr">
        <is>
          <t>Itaguai</t>
        </is>
      </c>
      <c r="C5096" s="30" t="n">
        <v>78426438</v>
      </c>
      <c r="D5096" s="30">
        <f>"09185485000100"</f>
        <v/>
      </c>
      <c r="E5096" s="30" t="inlineStr">
        <is>
          <t>ENEVA COMERCIALIZADORA DE ENERGIA LTDA</t>
        </is>
      </c>
      <c r="F5096" s="30" t="inlineStr">
        <is>
          <t>2019</t>
        </is>
      </c>
      <c r="G5096" s="40" t="n">
        <v>0</v>
      </c>
    </row>
    <row r="5097" ht="12" customHeight="1">
      <c r="A5097" s="30" t="inlineStr">
        <is>
          <t>ITG</t>
        </is>
      </c>
      <c r="B5097" s="30" t="inlineStr">
        <is>
          <t>Itaguai</t>
        </is>
      </c>
      <c r="C5097" s="30" t="n">
        <v>78426438</v>
      </c>
      <c r="D5097" s="30">
        <f>"09185485000100"</f>
        <v/>
      </c>
      <c r="E5097" s="30" t="inlineStr">
        <is>
          <t>ENEVA COMERCIALIZADORA DE ENERGIA LTDA</t>
        </is>
      </c>
      <c r="F5097" s="30" t="inlineStr">
        <is>
          <t>2020</t>
        </is>
      </c>
      <c r="G5097" s="40" t="n">
        <v>0</v>
      </c>
    </row>
    <row r="5098" ht="12" customHeight="1">
      <c r="A5098" s="30" t="inlineStr">
        <is>
          <t>ITG</t>
        </is>
      </c>
      <c r="B5098" s="30" t="inlineStr">
        <is>
          <t>Itaguai</t>
        </is>
      </c>
      <c r="C5098" s="30" t="n">
        <v>78427221</v>
      </c>
      <c r="D5098" s="30">
        <f>"09272239000195"</f>
        <v/>
      </c>
      <c r="E5098" s="30" t="inlineStr">
        <is>
          <t>AUTO POSTO ITACOM LTDA</t>
        </is>
      </c>
      <c r="F5098" s="30" t="inlineStr">
        <is>
          <t>2017</t>
        </is>
      </c>
      <c r="G5098" s="40" t="n">
        <v>0</v>
      </c>
    </row>
    <row r="5099" ht="12" customHeight="1">
      <c r="A5099" s="30" t="inlineStr">
        <is>
          <t>ITG</t>
        </is>
      </c>
      <c r="B5099" s="30" t="inlineStr">
        <is>
          <t>Itaguai</t>
        </is>
      </c>
      <c r="C5099" s="30" t="n">
        <v>78427221</v>
      </c>
      <c r="D5099" s="30">
        <f>"09272239000195"</f>
        <v/>
      </c>
      <c r="E5099" s="30" t="inlineStr">
        <is>
          <t>AUTO POSTO ITACOM LTDA</t>
        </is>
      </c>
      <c r="F5099" s="30" t="inlineStr">
        <is>
          <t>2018</t>
        </is>
      </c>
      <c r="G5099" s="40" t="n">
        <v>0</v>
      </c>
    </row>
    <row r="5100" ht="12" customHeight="1">
      <c r="A5100" s="30" t="inlineStr">
        <is>
          <t>ITG</t>
        </is>
      </c>
      <c r="B5100" s="30" t="inlineStr">
        <is>
          <t>Itaguai</t>
        </is>
      </c>
      <c r="C5100" s="30" t="n">
        <v>78427221</v>
      </c>
      <c r="D5100" s="30">
        <f>"09272239000195"</f>
        <v/>
      </c>
      <c r="E5100" s="30" t="inlineStr">
        <is>
          <t>AUTO POSTO ITACOM LTDA</t>
        </is>
      </c>
      <c r="F5100" s="30" t="inlineStr">
        <is>
          <t>2019</t>
        </is>
      </c>
      <c r="G5100" s="40" t="n">
        <v>0</v>
      </c>
    </row>
    <row r="5101" ht="12" customHeight="1">
      <c r="A5101" s="30" t="inlineStr">
        <is>
          <t>ITG</t>
        </is>
      </c>
      <c r="B5101" s="30" t="inlineStr">
        <is>
          <t>Itaguai</t>
        </is>
      </c>
      <c r="C5101" s="30" t="n">
        <v>78427221</v>
      </c>
      <c r="D5101" s="30">
        <f>"09272239000195"</f>
        <v/>
      </c>
      <c r="E5101" s="30" t="inlineStr">
        <is>
          <t>AUTO POSTO ITACOM LTDA</t>
        </is>
      </c>
      <c r="F5101" s="30" t="inlineStr">
        <is>
          <t>2020</t>
        </is>
      </c>
      <c r="G5101" s="40" t="n">
        <v>0</v>
      </c>
    </row>
    <row r="5102" ht="12" customHeight="1">
      <c r="A5102" s="30" t="inlineStr">
        <is>
          <t>ITG</t>
        </is>
      </c>
      <c r="B5102" s="30" t="inlineStr">
        <is>
          <t>Itaguai</t>
        </is>
      </c>
      <c r="C5102" s="30" t="n">
        <v>78432926</v>
      </c>
      <c r="D5102" s="30">
        <f>"04931041000233"</f>
        <v/>
      </c>
      <c r="E5102" s="30" t="inlineStr">
        <is>
          <t>TUTTA L"ORA PAVUNA COM?RCIO DE ALIMENTOS LTDA</t>
        </is>
      </c>
      <c r="F5102" s="30" t="inlineStr">
        <is>
          <t>2020</t>
        </is>
      </c>
      <c r="G5102" s="40" t="n">
        <v>0</v>
      </c>
    </row>
    <row r="5103" ht="12" customHeight="1">
      <c r="A5103" s="30" t="inlineStr">
        <is>
          <t>ITG</t>
        </is>
      </c>
      <c r="B5103" s="30" t="inlineStr">
        <is>
          <t>Itaguai</t>
        </is>
      </c>
      <c r="C5103" s="30" t="n">
        <v>78432926</v>
      </c>
      <c r="D5103" s="30">
        <f>"04931041000233"</f>
        <v/>
      </c>
      <c r="E5103" s="30" t="inlineStr">
        <is>
          <t>TUTTA L"ORA PAVUNA COM?RCIO DE ALIMENTOS LTDA</t>
        </is>
      </c>
      <c r="F5103" s="30" t="inlineStr">
        <is>
          <t>2021</t>
        </is>
      </c>
      <c r="G5103" s="40" t="n">
        <v>0</v>
      </c>
    </row>
    <row r="5104" ht="12" customHeight="1">
      <c r="A5104" s="30" t="inlineStr">
        <is>
          <t>ITG</t>
        </is>
      </c>
      <c r="B5104" s="30" t="inlineStr">
        <is>
          <t>Itaguai</t>
        </is>
      </c>
      <c r="C5104" s="30" t="n">
        <v>78432926</v>
      </c>
      <c r="D5104" s="30">
        <f>"04931041000233"</f>
        <v/>
      </c>
      <c r="E5104" s="30" t="inlineStr">
        <is>
          <t>TUTTA L"ORA PAVUNA COM?RCIO DE ALIMENTOS LTDA</t>
        </is>
      </c>
      <c r="F5104" s="30" t="inlineStr">
        <is>
          <t>2022</t>
        </is>
      </c>
      <c r="G5104" s="40" t="n">
        <v>0</v>
      </c>
    </row>
    <row r="5105" ht="12" customHeight="1">
      <c r="A5105" s="30" t="inlineStr">
        <is>
          <t>ITG</t>
        </is>
      </c>
      <c r="B5105" s="30" t="inlineStr">
        <is>
          <t>Itaguai</t>
        </is>
      </c>
      <c r="C5105" s="30" t="n">
        <v>78432926</v>
      </c>
      <c r="D5105" s="30">
        <f>"04931041000233"</f>
        <v/>
      </c>
      <c r="E5105" s="30" t="inlineStr">
        <is>
          <t>TUTTA L"ORA PAVUNA COM?RCIO DE ALIMENTOS LTDA</t>
        </is>
      </c>
      <c r="F5105" s="30" t="inlineStr">
        <is>
          <t>2023</t>
        </is>
      </c>
      <c r="G5105" s="40" t="n">
        <v>0</v>
      </c>
    </row>
    <row r="5106" ht="12" customHeight="1">
      <c r="A5106" s="30" t="inlineStr">
        <is>
          <t>ITG</t>
        </is>
      </c>
      <c r="B5106" s="30" t="inlineStr">
        <is>
          <t>Itaguai</t>
        </is>
      </c>
      <c r="C5106" s="30" t="n">
        <v>78436379</v>
      </c>
      <c r="D5106" s="30">
        <f>"39527817000239"</f>
        <v/>
      </c>
      <c r="E5106" s="30" t="inlineStr">
        <is>
          <t>ACO RUBER COMERCIAL LTDA EPP</t>
        </is>
      </c>
      <c r="F5106" s="30" t="inlineStr">
        <is>
          <t>2017</t>
        </is>
      </c>
      <c r="G5106" s="40" t="n">
        <v>2776271.15</v>
      </c>
    </row>
    <row r="5107" ht="12" customHeight="1">
      <c r="A5107" s="30" t="inlineStr">
        <is>
          <t>ITG</t>
        </is>
      </c>
      <c r="B5107" s="30" t="inlineStr">
        <is>
          <t>Itaguai</t>
        </is>
      </c>
      <c r="C5107" s="30" t="n">
        <v>78436379</v>
      </c>
      <c r="D5107" s="30">
        <f>"39527817000239"</f>
        <v/>
      </c>
      <c r="E5107" s="30" t="inlineStr">
        <is>
          <t>ACO RUBER COMERCIAL LTDA EPP</t>
        </is>
      </c>
      <c r="F5107" s="30" t="inlineStr">
        <is>
          <t>2018</t>
        </is>
      </c>
      <c r="G5107" s="40" t="n">
        <v>3022236.08</v>
      </c>
    </row>
    <row r="5108" ht="12" customHeight="1">
      <c r="A5108" s="30" t="inlineStr">
        <is>
          <t>ITG</t>
        </is>
      </c>
      <c r="B5108" s="30" t="inlineStr">
        <is>
          <t>Itaguai</t>
        </is>
      </c>
      <c r="C5108" s="30" t="n">
        <v>78436379</v>
      </c>
      <c r="D5108" s="30">
        <f>"39527817000239"</f>
        <v/>
      </c>
      <c r="E5108" s="30" t="inlineStr">
        <is>
          <t>ACO RUBER COMERCIAL LTDA EPP</t>
        </is>
      </c>
      <c r="F5108" s="30" t="inlineStr">
        <is>
          <t>2019</t>
        </is>
      </c>
      <c r="G5108" s="40" t="n">
        <v>3550984.55</v>
      </c>
    </row>
    <row r="5109" ht="12" customHeight="1">
      <c r="A5109" s="30" t="inlineStr">
        <is>
          <t>ITG</t>
        </is>
      </c>
      <c r="B5109" s="30" t="inlineStr">
        <is>
          <t>Itaguai</t>
        </is>
      </c>
      <c r="C5109" s="30" t="n">
        <v>78436379</v>
      </c>
      <c r="D5109" s="30">
        <f>"39527817000239"</f>
        <v/>
      </c>
      <c r="E5109" s="30" t="inlineStr">
        <is>
          <t>ACO RUBER COMERCIAL LTDA EPP</t>
        </is>
      </c>
      <c r="F5109" s="30" t="inlineStr">
        <is>
          <t>2020</t>
        </is>
      </c>
      <c r="G5109" s="40" t="n">
        <v>3692457.29</v>
      </c>
    </row>
    <row r="5110" ht="12" customHeight="1">
      <c r="A5110" s="30" t="inlineStr">
        <is>
          <t>ITG</t>
        </is>
      </c>
      <c r="B5110" s="30" t="inlineStr">
        <is>
          <t>Itaguai</t>
        </is>
      </c>
      <c r="C5110" s="30" t="n">
        <v>78436379</v>
      </c>
      <c r="D5110" s="30">
        <f>"39527817000239"</f>
        <v/>
      </c>
      <c r="E5110" s="30" t="inlineStr">
        <is>
          <t>ACO RUBER COMERCIAL LTDA EPP</t>
        </is>
      </c>
      <c r="F5110" s="30" t="inlineStr">
        <is>
          <t>2021</t>
        </is>
      </c>
      <c r="G5110" s="40" t="n">
        <v>5247047.51</v>
      </c>
    </row>
    <row r="5111" ht="12" customHeight="1">
      <c r="A5111" s="30" t="inlineStr">
        <is>
          <t>ITG</t>
        </is>
      </c>
      <c r="B5111" s="30" t="inlineStr">
        <is>
          <t>Itaguai</t>
        </is>
      </c>
      <c r="C5111" s="30" t="n">
        <v>78436379</v>
      </c>
      <c r="D5111" s="30">
        <f>"39527817000239"</f>
        <v/>
      </c>
      <c r="E5111" s="30" t="inlineStr">
        <is>
          <t>ACO RUBER COMERCIAL LTDA EPP</t>
        </is>
      </c>
      <c r="F5111" s="30" t="inlineStr">
        <is>
          <t>2022</t>
        </is>
      </c>
      <c r="G5111" s="40" t="n">
        <v>5762933.06</v>
      </c>
    </row>
    <row r="5112" ht="12" customHeight="1">
      <c r="A5112" s="30" t="inlineStr">
        <is>
          <t>ITG</t>
        </is>
      </c>
      <c r="B5112" s="30" t="inlineStr">
        <is>
          <t>Itaguai</t>
        </is>
      </c>
      <c r="C5112" s="30" t="n">
        <v>78436379</v>
      </c>
      <c r="D5112" s="30">
        <f>"39527817000239"</f>
        <v/>
      </c>
      <c r="E5112" s="30" t="inlineStr">
        <is>
          <t>ACO RUBER COMERCIAL LTDA EPP</t>
        </is>
      </c>
      <c r="F5112" s="30" t="inlineStr">
        <is>
          <t>2023</t>
        </is>
      </c>
      <c r="G5112" s="40" t="n">
        <v>4709209.46</v>
      </c>
    </row>
    <row r="5113" ht="12" customHeight="1">
      <c r="A5113" s="30" t="inlineStr">
        <is>
          <t>ITG</t>
        </is>
      </c>
      <c r="B5113" s="30" t="inlineStr">
        <is>
          <t>Itaguai</t>
        </is>
      </c>
      <c r="C5113" s="30" t="n">
        <v>78451297</v>
      </c>
      <c r="D5113" s="30">
        <f>"74508292000376"</f>
        <v/>
      </c>
      <c r="E5113" s="30" t="inlineStr">
        <is>
          <t>REMOVECARGA COMERCIAL E TRANSPORTES LTDA</t>
        </is>
      </c>
      <c r="F5113" s="30" t="inlineStr">
        <is>
          <t>2017</t>
        </is>
      </c>
      <c r="G5113" s="40" t="n">
        <v>0</v>
      </c>
    </row>
    <row r="5114" ht="12" customHeight="1">
      <c r="A5114" s="30" t="inlineStr">
        <is>
          <t>ITG</t>
        </is>
      </c>
      <c r="B5114" s="30" t="inlineStr">
        <is>
          <t>Itaguai</t>
        </is>
      </c>
      <c r="C5114" s="30" t="n">
        <v>78451297</v>
      </c>
      <c r="D5114" s="30">
        <f>"74508292000376"</f>
        <v/>
      </c>
      <c r="E5114" s="30" t="inlineStr">
        <is>
          <t>REMOVECARGA COMERCIAL E TRANSPORTES LTDA</t>
        </is>
      </c>
      <c r="F5114" s="30" t="inlineStr">
        <is>
          <t>2018</t>
        </is>
      </c>
      <c r="G5114" s="40" t="n">
        <v>261124.83</v>
      </c>
    </row>
    <row r="5115" ht="12" customHeight="1">
      <c r="A5115" s="30" t="inlineStr">
        <is>
          <t>ITG</t>
        </is>
      </c>
      <c r="B5115" s="30" t="inlineStr">
        <is>
          <t>Itaguai</t>
        </is>
      </c>
      <c r="C5115" s="30" t="n">
        <v>78451297</v>
      </c>
      <c r="D5115" s="30">
        <f>"74508292000376"</f>
        <v/>
      </c>
      <c r="E5115" s="30" t="inlineStr">
        <is>
          <t>REMOVECARGA COMERCIAL E TRANSPORTES LTDA</t>
        </is>
      </c>
      <c r="F5115" s="30" t="inlineStr">
        <is>
          <t>2019</t>
        </is>
      </c>
      <c r="G5115" s="40" t="n">
        <v>0</v>
      </c>
    </row>
    <row r="5116" ht="12" customHeight="1">
      <c r="A5116" s="30" t="inlineStr">
        <is>
          <t>ITG</t>
        </is>
      </c>
      <c r="B5116" s="30" t="inlineStr">
        <is>
          <t>Itaguai</t>
        </is>
      </c>
      <c r="C5116" s="30" t="n">
        <v>78451297</v>
      </c>
      <c r="D5116" s="30">
        <f>"74508292000376"</f>
        <v/>
      </c>
      <c r="E5116" s="30" t="inlineStr">
        <is>
          <t>REMOVECARGA COMERCIAL E TRANSPORTES LTDA</t>
        </is>
      </c>
      <c r="F5116" s="30" t="inlineStr">
        <is>
          <t>2020</t>
        </is>
      </c>
      <c r="G5116" s="40" t="n">
        <v>416104.9</v>
      </c>
    </row>
    <row r="5117" ht="12" customHeight="1">
      <c r="A5117" s="30" t="inlineStr">
        <is>
          <t>ITG</t>
        </is>
      </c>
      <c r="B5117" s="30" t="inlineStr">
        <is>
          <t>Itaguai</t>
        </is>
      </c>
      <c r="C5117" s="30" t="n">
        <v>78451297</v>
      </c>
      <c r="D5117" s="30">
        <f>"74508292000376"</f>
        <v/>
      </c>
      <c r="E5117" s="30" t="inlineStr">
        <is>
          <t>REMOVECARGA COMERCIAL E TRANSPORTES LTDA</t>
        </is>
      </c>
      <c r="F5117" s="30" t="inlineStr">
        <is>
          <t>2021</t>
        </is>
      </c>
      <c r="G5117" s="40" t="n">
        <v>0</v>
      </c>
    </row>
    <row r="5118" ht="12" customHeight="1">
      <c r="A5118" s="30" t="inlineStr">
        <is>
          <t>ITG</t>
        </is>
      </c>
      <c r="B5118" s="30" t="inlineStr">
        <is>
          <t>Itaguai</t>
        </is>
      </c>
      <c r="C5118" s="30" t="n">
        <v>78451297</v>
      </c>
      <c r="D5118" s="30">
        <f>"74508292000376"</f>
        <v/>
      </c>
      <c r="E5118" s="30" t="inlineStr">
        <is>
          <t>REMOVECARGA COMERCIAL E TRANSPORTES LTDA</t>
        </is>
      </c>
      <c r="F5118" s="30" t="inlineStr">
        <is>
          <t>2022</t>
        </is>
      </c>
      <c r="G5118" s="40" t="n">
        <v>0</v>
      </c>
    </row>
    <row r="5119" ht="12" customHeight="1">
      <c r="A5119" s="30" t="inlineStr">
        <is>
          <t>ITG</t>
        </is>
      </c>
      <c r="B5119" s="30" t="inlineStr">
        <is>
          <t>Itaguai</t>
        </is>
      </c>
      <c r="C5119" s="30" t="n">
        <v>78451297</v>
      </c>
      <c r="D5119" s="30">
        <f>"74508292000376"</f>
        <v/>
      </c>
      <c r="E5119" s="30" t="inlineStr">
        <is>
          <t>REMOVECARGA COMERCIAL E TRANSPORTES LTDA</t>
        </is>
      </c>
      <c r="F5119" s="30" t="inlineStr">
        <is>
          <t>2023</t>
        </is>
      </c>
      <c r="G5119" s="40" t="n">
        <v>0</v>
      </c>
    </row>
    <row r="5120" ht="12" customHeight="1">
      <c r="A5120" s="30" t="inlineStr">
        <is>
          <t>ITG</t>
        </is>
      </c>
      <c r="B5120" s="30" t="inlineStr">
        <is>
          <t>Itaguai</t>
        </is>
      </c>
      <c r="C5120" s="30" t="n">
        <v>78454059</v>
      </c>
      <c r="D5120" s="30">
        <f>"06041638000157"</f>
        <v/>
      </c>
      <c r="E5120" s="30" t="inlineStr">
        <is>
          <t>COOTACOM COOPERATIVA DE TRANSPORTADORES E AMIGOS DO COLEGIO MILITAR LTDA</t>
        </is>
      </c>
      <c r="F5120" s="30" t="inlineStr">
        <is>
          <t>2017</t>
        </is>
      </c>
      <c r="G5120" s="40" t="n">
        <v>0</v>
      </c>
    </row>
    <row r="5121" ht="12" customHeight="1">
      <c r="A5121" s="30" t="inlineStr">
        <is>
          <t>ITG</t>
        </is>
      </c>
      <c r="B5121" s="30" t="inlineStr">
        <is>
          <t>Itaguai</t>
        </is>
      </c>
      <c r="C5121" s="30" t="n">
        <v>78454059</v>
      </c>
      <c r="D5121" s="30">
        <f>"06041638000157"</f>
        <v/>
      </c>
      <c r="E5121" s="30" t="inlineStr">
        <is>
          <t>COOTACOM COOPERATIVA DE TRANSPORTADORES E AMIGOS DO COLEGIO MILITAR LTDA</t>
        </is>
      </c>
      <c r="F5121" s="30" t="inlineStr">
        <is>
          <t>2018</t>
        </is>
      </c>
      <c r="G5121" s="40" t="n">
        <v>0</v>
      </c>
    </row>
    <row r="5122" ht="12" customHeight="1">
      <c r="A5122" s="30" t="inlineStr">
        <is>
          <t>ITG</t>
        </is>
      </c>
      <c r="B5122" s="30" t="inlineStr">
        <is>
          <t>Itaguai</t>
        </is>
      </c>
      <c r="C5122" s="30" t="n">
        <v>78454059</v>
      </c>
      <c r="D5122" s="30">
        <f>"06041638000157"</f>
        <v/>
      </c>
      <c r="E5122" s="30" t="inlineStr">
        <is>
          <t>COOTACOM COOPERATIVA DE TRANSPORTADORES E AMIGOS DO COLEGIO MILITAR LTDA</t>
        </is>
      </c>
      <c r="F5122" s="30" t="inlineStr">
        <is>
          <t>2019</t>
        </is>
      </c>
      <c r="G5122" s="40" t="n">
        <v>8750</v>
      </c>
    </row>
    <row r="5123" ht="12" customHeight="1">
      <c r="A5123" s="30" t="inlineStr">
        <is>
          <t>ITG</t>
        </is>
      </c>
      <c r="B5123" s="30" t="inlineStr">
        <is>
          <t>Itaguai</t>
        </is>
      </c>
      <c r="C5123" s="30" t="n">
        <v>78454059</v>
      </c>
      <c r="D5123" s="30">
        <f>"06041638000157"</f>
        <v/>
      </c>
      <c r="E5123" s="30" t="inlineStr">
        <is>
          <t>COOTACOM COOPERATIVA DE TRANSPORTADORES E AMIGOS DO COLEGIO MILITAR LTDA</t>
        </is>
      </c>
      <c r="F5123" s="30" t="inlineStr">
        <is>
          <t>2020</t>
        </is>
      </c>
      <c r="G5123" s="40" t="n">
        <v>0</v>
      </c>
    </row>
    <row r="5124" ht="12" customHeight="1">
      <c r="A5124" s="30" t="inlineStr">
        <is>
          <t>ITG</t>
        </is>
      </c>
      <c r="B5124" s="30" t="inlineStr">
        <is>
          <t>Itaguai</t>
        </is>
      </c>
      <c r="C5124" s="30" t="n">
        <v>78454059</v>
      </c>
      <c r="D5124" s="30">
        <f>"06041638000157"</f>
        <v/>
      </c>
      <c r="E5124" s="30" t="inlineStr">
        <is>
          <t>COOTACOM COOPERATIVA DE TRANSPORTADORES E AMIGOS DO COLEGIO MILITAR LTDA</t>
        </is>
      </c>
      <c r="F5124" s="30" t="inlineStr">
        <is>
          <t>2021</t>
        </is>
      </c>
      <c r="G5124" s="40" t="n">
        <v>2100</v>
      </c>
    </row>
    <row r="5125" ht="12" customHeight="1">
      <c r="A5125" s="30" t="inlineStr">
        <is>
          <t>ITG</t>
        </is>
      </c>
      <c r="B5125" s="30" t="inlineStr">
        <is>
          <t>Itaguai</t>
        </is>
      </c>
      <c r="C5125" s="30" t="n">
        <v>78454059</v>
      </c>
      <c r="D5125" s="30">
        <f>"06041638000157"</f>
        <v/>
      </c>
      <c r="E5125" s="30" t="inlineStr">
        <is>
          <t>COOTACOM COOPERATIVA DE TRANSPORTADORES E AMIGOS DO COLEGIO MILITAR LTDA</t>
        </is>
      </c>
      <c r="F5125" s="30" t="inlineStr">
        <is>
          <t>2022</t>
        </is>
      </c>
      <c r="G5125" s="40" t="n">
        <v>0</v>
      </c>
    </row>
    <row r="5126" ht="12" customHeight="1">
      <c r="A5126" s="30" t="inlineStr">
        <is>
          <t>ITG</t>
        </is>
      </c>
      <c r="B5126" s="30" t="inlineStr">
        <is>
          <t>Itaguai</t>
        </is>
      </c>
      <c r="C5126" s="30" t="n">
        <v>78454059</v>
      </c>
      <c r="D5126" s="30">
        <f>"06041638000157"</f>
        <v/>
      </c>
      <c r="E5126" s="30" t="inlineStr">
        <is>
          <t>COOTACOM COOPERATIVA DE TRANSPORTADORES E AMIGOS DO COLEGIO MILITAR LTDA</t>
        </is>
      </c>
      <c r="F5126" s="30" t="inlineStr">
        <is>
          <t>2023</t>
        </is>
      </c>
      <c r="G5126" s="40" t="n">
        <v>0</v>
      </c>
    </row>
    <row r="5127" ht="12" customHeight="1">
      <c r="A5127" s="30" t="inlineStr">
        <is>
          <t>ITG</t>
        </is>
      </c>
      <c r="B5127" s="30" t="inlineStr">
        <is>
          <t>Itaguai</t>
        </is>
      </c>
      <c r="C5127" s="30" t="n">
        <v>78464038</v>
      </c>
      <c r="D5127" s="30">
        <f>"17638271001141"</f>
        <v/>
      </c>
      <c r="E5127" s="30" t="inlineStr">
        <is>
          <t>SETE SERVICOS DE ENTREGA DE TITULOS E ENCOMENDAS LTDA</t>
        </is>
      </c>
      <c r="F5127" s="30" t="inlineStr">
        <is>
          <t>2017</t>
        </is>
      </c>
      <c r="G5127" s="40" t="n">
        <v>136.63</v>
      </c>
    </row>
    <row r="5128" ht="12" customHeight="1">
      <c r="A5128" s="30" t="inlineStr">
        <is>
          <t>ITG</t>
        </is>
      </c>
      <c r="B5128" s="30" t="inlineStr">
        <is>
          <t>Itaguai</t>
        </is>
      </c>
      <c r="C5128" s="30" t="n">
        <v>78464038</v>
      </c>
      <c r="D5128" s="30">
        <f>"17638271001141"</f>
        <v/>
      </c>
      <c r="E5128" s="30" t="inlineStr">
        <is>
          <t>SETE SERVICOS DE ENTREGA DE TITULOS E ENCOMENDAS LTDA</t>
        </is>
      </c>
      <c r="F5128" s="30" t="inlineStr">
        <is>
          <t>2018</t>
        </is>
      </c>
      <c r="G5128" s="40" t="n">
        <v>107.81</v>
      </c>
    </row>
    <row r="5129" ht="12" customHeight="1">
      <c r="A5129" s="30" t="inlineStr">
        <is>
          <t>ITG</t>
        </is>
      </c>
      <c r="B5129" s="30" t="inlineStr">
        <is>
          <t>Itaguai</t>
        </is>
      </c>
      <c r="C5129" s="30" t="n">
        <v>78464038</v>
      </c>
      <c r="D5129" s="30">
        <f>"17638271001141"</f>
        <v/>
      </c>
      <c r="E5129" s="30" t="inlineStr">
        <is>
          <t>SETE SERVICOS DE ENTREGA DE TITULOS E ENCOMENDAS LTDA</t>
        </is>
      </c>
      <c r="F5129" s="30" t="inlineStr">
        <is>
          <t>2019</t>
        </is>
      </c>
      <c r="G5129" s="40" t="n">
        <v>0</v>
      </c>
    </row>
    <row r="5130" ht="12" customHeight="1">
      <c r="A5130" s="30" t="inlineStr">
        <is>
          <t>ITG</t>
        </is>
      </c>
      <c r="B5130" s="30" t="inlineStr">
        <is>
          <t>Itaguai</t>
        </is>
      </c>
      <c r="C5130" s="30" t="n">
        <v>78464038</v>
      </c>
      <c r="D5130" s="30">
        <f>"17638271001141"</f>
        <v/>
      </c>
      <c r="E5130" s="30" t="inlineStr">
        <is>
          <t>SETE SERVICOS DE ENTREGA DE TITULOS E ENCOMENDAS LTDA</t>
        </is>
      </c>
      <c r="F5130" s="30" t="inlineStr">
        <is>
          <t>2020</t>
        </is>
      </c>
      <c r="G5130" s="40" t="n">
        <v>0</v>
      </c>
    </row>
    <row r="5131" ht="12" customHeight="1">
      <c r="A5131" s="30" t="inlineStr">
        <is>
          <t>ITG</t>
        </is>
      </c>
      <c r="B5131" s="30" t="inlineStr">
        <is>
          <t>Itaguai</t>
        </is>
      </c>
      <c r="C5131" s="30" t="n">
        <v>78465115</v>
      </c>
      <c r="D5131" s="30">
        <f>"07508782000113"</f>
        <v/>
      </c>
      <c r="E5131" s="30" t="inlineStr">
        <is>
          <t>COOPITAGUAI COOPERATIVA MISTA DE TRABALHO E CONSUMO DOS CONDUTORES DE TRANSPORTE TAXISTAS E AFINS DO MUNICIPIO DE ITAGUAI LTDA</t>
        </is>
      </c>
      <c r="F5131" s="30" t="inlineStr">
        <is>
          <t>2017</t>
        </is>
      </c>
      <c r="G5131" s="40" t="n">
        <v>343364.85</v>
      </c>
    </row>
    <row r="5132" ht="12" customHeight="1">
      <c r="A5132" s="30" t="inlineStr">
        <is>
          <t>ITG</t>
        </is>
      </c>
      <c r="B5132" s="30" t="inlineStr">
        <is>
          <t>Itaguai</t>
        </is>
      </c>
      <c r="C5132" s="30" t="n">
        <v>78465115</v>
      </c>
      <c r="D5132" s="30">
        <f>"07508782000113"</f>
        <v/>
      </c>
      <c r="E5132" s="30" t="inlineStr">
        <is>
          <t>COOPITAGUAI COOPERATIVA MISTA DE TRABALHO E CONSUMO DOS CONDUTORES DE TRANSPORTE TAXISTAS E AFINS DO MUNICIPIO DE ITAGUAI LTDA</t>
        </is>
      </c>
      <c r="F5132" s="30" t="inlineStr">
        <is>
          <t>2018</t>
        </is>
      </c>
      <c r="G5132" s="40" t="n">
        <v>0</v>
      </c>
    </row>
    <row r="5133" ht="12" customHeight="1">
      <c r="A5133" s="30" t="inlineStr">
        <is>
          <t>ITG</t>
        </is>
      </c>
      <c r="B5133" s="30" t="inlineStr">
        <is>
          <t>Itaguai</t>
        </is>
      </c>
      <c r="C5133" s="30" t="n">
        <v>78465115</v>
      </c>
      <c r="D5133" s="30">
        <f>"07508782000113"</f>
        <v/>
      </c>
      <c r="E5133" s="30" t="inlineStr">
        <is>
          <t>COOPITAGUAI COOPERATIVA MISTA DE TRABALHO E CONSUMO DOS CONDUTORES DE TRANSPORTE TAXISTAS E AFINS DO MUNICIPIO DE ITAGUAI LTDA</t>
        </is>
      </c>
      <c r="F5133" s="30" t="inlineStr">
        <is>
          <t>2019</t>
        </is>
      </c>
      <c r="G5133" s="40" t="n">
        <v>0</v>
      </c>
    </row>
    <row r="5134" ht="12" customHeight="1">
      <c r="A5134" s="30" t="inlineStr">
        <is>
          <t>ITG</t>
        </is>
      </c>
      <c r="B5134" s="30" t="inlineStr">
        <is>
          <t>Itaguai</t>
        </is>
      </c>
      <c r="C5134" s="30" t="n">
        <v>78465115</v>
      </c>
      <c r="D5134" s="30">
        <f>"07508782000113"</f>
        <v/>
      </c>
      <c r="E5134" s="30" t="inlineStr">
        <is>
          <t>COOPITAGUAI COOPERATIVA MISTA DE TRABALHO E CONSUMO DOS CONDUTORES DE TRANSPORTE TAXISTAS E AFINS DO MUNICIPIO DE ITAGUAI LTDA</t>
        </is>
      </c>
      <c r="F5134" s="30" t="inlineStr">
        <is>
          <t>2020</t>
        </is>
      </c>
      <c r="G5134" s="40" t="n">
        <v>0</v>
      </c>
    </row>
    <row r="5135" ht="12" customHeight="1">
      <c r="A5135" s="30" t="inlineStr">
        <is>
          <t>ITG</t>
        </is>
      </c>
      <c r="B5135" s="30" t="inlineStr">
        <is>
          <t>Itaguai</t>
        </is>
      </c>
      <c r="C5135" s="30" t="n">
        <v>78465115</v>
      </c>
      <c r="D5135" s="30">
        <f>"07508782000113"</f>
        <v/>
      </c>
      <c r="E5135" s="30" t="inlineStr">
        <is>
          <t>COOPITAGUAI COOPERATIVA MISTA DE TRABALHO E CONSUMO DOS CONDUTORES DE TRANSPORTE TAXISTAS E AFINS DO MUNICIPIO DE ITAGUAI LTDA</t>
        </is>
      </c>
      <c r="F5135" s="30" t="inlineStr">
        <is>
          <t>2021</t>
        </is>
      </c>
      <c r="G5135" s="40" t="n">
        <v>0</v>
      </c>
    </row>
    <row r="5136" ht="12" customHeight="1">
      <c r="A5136" s="30" t="inlineStr">
        <is>
          <t>ITG</t>
        </is>
      </c>
      <c r="B5136" s="30" t="inlineStr">
        <is>
          <t>Itaguai</t>
        </is>
      </c>
      <c r="C5136" s="30" t="n">
        <v>78465115</v>
      </c>
      <c r="D5136" s="30">
        <f>"07508782000113"</f>
        <v/>
      </c>
      <c r="E5136" s="30" t="inlineStr">
        <is>
          <t>COOPITAGUAI COOPERATIVA MISTA DE TRABALHO E CONSUMO DOS CONDUTORES DE TRANSPORTE TAXISTAS E AFINS DO MUNICIPIO DE ITAGUAI LTDA</t>
        </is>
      </c>
      <c r="F5136" s="30" t="inlineStr">
        <is>
          <t>2022</t>
        </is>
      </c>
      <c r="G5136" s="40" t="n">
        <v>0</v>
      </c>
    </row>
    <row r="5137" ht="12" customHeight="1">
      <c r="A5137" s="30" t="inlineStr">
        <is>
          <t>ITG</t>
        </is>
      </c>
      <c r="B5137" s="30" t="inlineStr">
        <is>
          <t>Itaguai</t>
        </is>
      </c>
      <c r="C5137" s="30" t="n">
        <v>78465115</v>
      </c>
      <c r="D5137" s="30">
        <f>"07508782000113"</f>
        <v/>
      </c>
      <c r="E5137" s="30" t="inlineStr">
        <is>
          <t>COOPITAGUAI COOPERATIVA MISTA DE TRABALHO E CONSUMO DOS CONDUTORES DE TRANSPORTE TAXISTAS E AFINS DO MUNICIPIO DE ITAGUAI LTDA</t>
        </is>
      </c>
      <c r="F5137" s="30" t="inlineStr">
        <is>
          <t>2023</t>
        </is>
      </c>
      <c r="G5137" s="40" t="n">
        <v>0</v>
      </c>
    </row>
    <row r="5138" ht="12" customHeight="1">
      <c r="A5138" s="30" t="inlineStr">
        <is>
          <t>ITG</t>
        </is>
      </c>
      <c r="B5138" s="30" t="inlineStr">
        <is>
          <t>Itaguai</t>
        </is>
      </c>
      <c r="C5138" s="30" t="n">
        <v>78466219</v>
      </c>
      <c r="D5138" s="30">
        <f>"09373684000141"</f>
        <v/>
      </c>
      <c r="E5138" s="30" t="inlineStr">
        <is>
          <t>RAPHAEL R SANTOS ME</t>
        </is>
      </c>
      <c r="F5138" s="30" t="inlineStr">
        <is>
          <t>2019</t>
        </is>
      </c>
      <c r="G5138" s="40" t="n">
        <v>0</v>
      </c>
    </row>
    <row r="5139" ht="12" customHeight="1">
      <c r="A5139" s="30" t="inlineStr">
        <is>
          <t>ITG</t>
        </is>
      </c>
      <c r="B5139" s="30" t="inlineStr">
        <is>
          <t>Itaguai</t>
        </is>
      </c>
      <c r="C5139" s="30" t="n">
        <v>78466219</v>
      </c>
      <c r="D5139" s="30">
        <f>"09373684000141"</f>
        <v/>
      </c>
      <c r="E5139" s="30" t="inlineStr">
        <is>
          <t>RAPHAEL R SANTOS ME</t>
        </is>
      </c>
      <c r="F5139" s="30" t="inlineStr">
        <is>
          <t>2020</t>
        </is>
      </c>
      <c r="G5139" s="40" t="n">
        <v>0</v>
      </c>
    </row>
    <row r="5140" ht="12" customHeight="1">
      <c r="A5140" s="30" t="inlineStr">
        <is>
          <t>ITG</t>
        </is>
      </c>
      <c r="B5140" s="30" t="inlineStr">
        <is>
          <t>Itaguai</t>
        </is>
      </c>
      <c r="C5140" s="30" t="n">
        <v>78466219</v>
      </c>
      <c r="D5140" s="30">
        <f>"09373684000141"</f>
        <v/>
      </c>
      <c r="E5140" s="30" t="inlineStr">
        <is>
          <t>RAPHAEL R SANTOS ME</t>
        </is>
      </c>
      <c r="F5140" s="30" t="inlineStr">
        <is>
          <t>2021</t>
        </is>
      </c>
      <c r="G5140" s="40" t="n">
        <v>0</v>
      </c>
    </row>
    <row r="5141" ht="12" customHeight="1">
      <c r="A5141" s="30" t="inlineStr">
        <is>
          <t>ITG</t>
        </is>
      </c>
      <c r="B5141" s="30" t="inlineStr">
        <is>
          <t>Itaguai</t>
        </is>
      </c>
      <c r="C5141" s="30" t="n">
        <v>78466219</v>
      </c>
      <c r="D5141" s="30">
        <f>"09373684000141"</f>
        <v/>
      </c>
      <c r="E5141" s="30" t="inlineStr">
        <is>
          <t>RAPHAEL R SANTOS ME</t>
        </is>
      </c>
      <c r="F5141" s="30" t="inlineStr">
        <is>
          <t>2022</t>
        </is>
      </c>
      <c r="G5141" s="40" t="n">
        <v>0</v>
      </c>
    </row>
    <row r="5142" ht="12" customHeight="1">
      <c r="A5142" s="30" t="inlineStr">
        <is>
          <t>ITG</t>
        </is>
      </c>
      <c r="B5142" s="30" t="inlineStr">
        <is>
          <t>Itaguai</t>
        </is>
      </c>
      <c r="C5142" s="30" t="n">
        <v>78466219</v>
      </c>
      <c r="D5142" s="30">
        <f>"09373684000141"</f>
        <v/>
      </c>
      <c r="E5142" s="30" t="inlineStr">
        <is>
          <t>RAPHAEL R SANTOS ME</t>
        </is>
      </c>
      <c r="F5142" s="30" t="inlineStr">
        <is>
          <t>2023</t>
        </is>
      </c>
      <c r="G5142" s="40" t="n">
        <v>0</v>
      </c>
    </row>
    <row r="5143" ht="12" customHeight="1">
      <c r="A5143" s="30" t="inlineStr">
        <is>
          <t>ITG</t>
        </is>
      </c>
      <c r="B5143" s="30" t="inlineStr">
        <is>
          <t>Itaguai</t>
        </is>
      </c>
      <c r="C5143" s="30" t="n">
        <v>78481269</v>
      </c>
      <c r="D5143" s="30">
        <f>"09360018000179"</f>
        <v/>
      </c>
      <c r="E5143" s="30" t="inlineStr">
        <is>
          <t>PEREIRA NUNES GOURMET EXPRESSO LTDA ME</t>
        </is>
      </c>
      <c r="F5143" s="30" t="inlineStr">
        <is>
          <t>2017</t>
        </is>
      </c>
      <c r="G5143" s="40" t="n">
        <v>220099.5</v>
      </c>
    </row>
    <row r="5144" ht="12" customHeight="1">
      <c r="A5144" s="30" t="inlineStr">
        <is>
          <t>ITG</t>
        </is>
      </c>
      <c r="B5144" s="30" t="inlineStr">
        <is>
          <t>Itaguai</t>
        </is>
      </c>
      <c r="C5144" s="30" t="n">
        <v>78481269</v>
      </c>
      <c r="D5144" s="30">
        <f>"09360018000179"</f>
        <v/>
      </c>
      <c r="E5144" s="30" t="inlineStr">
        <is>
          <t>PEREIRA NUNES GOURMET EXPRESSO LTDA ME</t>
        </is>
      </c>
      <c r="F5144" s="30" t="inlineStr">
        <is>
          <t>2018</t>
        </is>
      </c>
      <c r="G5144" s="40" t="n">
        <v>255579</v>
      </c>
    </row>
    <row r="5145" ht="12" customHeight="1">
      <c r="A5145" s="30" t="inlineStr">
        <is>
          <t>ITG</t>
        </is>
      </c>
      <c r="B5145" s="30" t="inlineStr">
        <is>
          <t>Itaguai</t>
        </is>
      </c>
      <c r="C5145" s="30" t="n">
        <v>78481269</v>
      </c>
      <c r="D5145" s="30">
        <f>"09360018000179"</f>
        <v/>
      </c>
      <c r="E5145" s="30" t="inlineStr">
        <is>
          <t>PEREIRA NUNES GOURMET EXPRESSO LTDA ME</t>
        </is>
      </c>
      <c r="F5145" s="30" t="inlineStr">
        <is>
          <t>2019</t>
        </is>
      </c>
      <c r="G5145" s="40" t="n">
        <v>210240</v>
      </c>
    </row>
    <row r="5146" ht="12" customHeight="1">
      <c r="A5146" s="30" t="inlineStr">
        <is>
          <t>ITG</t>
        </is>
      </c>
      <c r="B5146" s="30" t="inlineStr">
        <is>
          <t>Itaguai</t>
        </is>
      </c>
      <c r="C5146" s="30" t="n">
        <v>78481269</v>
      </c>
      <c r="D5146" s="30">
        <f>"09360018000179"</f>
        <v/>
      </c>
      <c r="E5146" s="30" t="inlineStr">
        <is>
          <t>PEREIRA NUNES GOURMET EXPRESSO LTDA ME</t>
        </is>
      </c>
      <c r="F5146" s="30" t="inlineStr">
        <is>
          <t>2020</t>
        </is>
      </c>
      <c r="G5146" s="40" t="n">
        <v>204342.5</v>
      </c>
    </row>
    <row r="5147" ht="12" customHeight="1">
      <c r="A5147" s="30" t="inlineStr">
        <is>
          <t>ITG</t>
        </is>
      </c>
      <c r="B5147" s="30" t="inlineStr">
        <is>
          <t>Itaguai</t>
        </is>
      </c>
      <c r="C5147" s="30" t="n">
        <v>78481269</v>
      </c>
      <c r="D5147" s="30">
        <f>"09360018000179"</f>
        <v/>
      </c>
      <c r="E5147" s="30" t="inlineStr">
        <is>
          <t>PEREIRA NUNES GOURMET EXPRESSO LTDA ME</t>
        </is>
      </c>
      <c r="F5147" s="30" t="inlineStr">
        <is>
          <t>2021</t>
        </is>
      </c>
      <c r="G5147" s="40" t="n">
        <v>0</v>
      </c>
    </row>
    <row r="5148" ht="12" customHeight="1">
      <c r="A5148" s="30" t="inlineStr">
        <is>
          <t>ITG</t>
        </is>
      </c>
      <c r="B5148" s="30" t="inlineStr">
        <is>
          <t>Itaguai</t>
        </is>
      </c>
      <c r="C5148" s="30" t="n">
        <v>78481269</v>
      </c>
      <c r="D5148" s="30">
        <f>"09360018000179"</f>
        <v/>
      </c>
      <c r="E5148" s="30" t="inlineStr">
        <is>
          <t>PEREIRA NUNES GOURMET EXPRESSO LTDA ME</t>
        </is>
      </c>
      <c r="F5148" s="30" t="inlineStr">
        <is>
          <t>2022</t>
        </is>
      </c>
      <c r="G5148" s="40" t="n">
        <v>0</v>
      </c>
    </row>
    <row r="5149" ht="12" customHeight="1">
      <c r="A5149" s="30" t="inlineStr">
        <is>
          <t>ITG</t>
        </is>
      </c>
      <c r="B5149" s="30" t="inlineStr">
        <is>
          <t>Itaguai</t>
        </is>
      </c>
      <c r="C5149" s="30" t="n">
        <v>78487941</v>
      </c>
      <c r="D5149" s="30">
        <f>"09452341000172"</f>
        <v/>
      </c>
      <c r="E5149" s="30" t="inlineStr">
        <is>
          <t>EXPRESSO ANGRENSE DE TURISMO LTDA EPP</t>
        </is>
      </c>
      <c r="F5149" s="30" t="inlineStr">
        <is>
          <t>2017</t>
        </is>
      </c>
      <c r="G5149" s="40" t="n">
        <v>6200</v>
      </c>
    </row>
    <row r="5150" ht="12" customHeight="1">
      <c r="A5150" s="30" t="inlineStr">
        <is>
          <t>ITG</t>
        </is>
      </c>
      <c r="B5150" s="30" t="inlineStr">
        <is>
          <t>Itaguai</t>
        </is>
      </c>
      <c r="C5150" s="30" t="n">
        <v>78487941</v>
      </c>
      <c r="D5150" s="30">
        <f>"09452341000172"</f>
        <v/>
      </c>
      <c r="E5150" s="30" t="inlineStr">
        <is>
          <t>EXPRESSO ANGRENSE DE TURISMO LTDA EPP</t>
        </is>
      </c>
      <c r="F5150" s="30" t="inlineStr">
        <is>
          <t>2018</t>
        </is>
      </c>
      <c r="G5150" s="40" t="n">
        <v>14150</v>
      </c>
    </row>
    <row r="5151" ht="12" customHeight="1">
      <c r="A5151" s="30" t="inlineStr">
        <is>
          <t>ITG</t>
        </is>
      </c>
      <c r="B5151" s="30" t="inlineStr">
        <is>
          <t>Itaguai</t>
        </is>
      </c>
      <c r="C5151" s="30" t="n">
        <v>78487941</v>
      </c>
      <c r="D5151" s="30">
        <f>"09452341000172"</f>
        <v/>
      </c>
      <c r="E5151" s="30" t="inlineStr">
        <is>
          <t>EXPRESSO ANGRENSE DE TURISMO LTDA EPP</t>
        </is>
      </c>
      <c r="F5151" s="30" t="inlineStr">
        <is>
          <t>2019</t>
        </is>
      </c>
      <c r="G5151" s="40" t="n">
        <v>23090.77</v>
      </c>
    </row>
    <row r="5152" ht="12" customHeight="1">
      <c r="A5152" s="30" t="inlineStr">
        <is>
          <t>ITG</t>
        </is>
      </c>
      <c r="B5152" s="30" t="inlineStr">
        <is>
          <t>Itaguai</t>
        </is>
      </c>
      <c r="C5152" s="30" t="n">
        <v>78487941</v>
      </c>
      <c r="D5152" s="30">
        <f>"09452341000172"</f>
        <v/>
      </c>
      <c r="E5152" s="30" t="inlineStr">
        <is>
          <t>EXPRESSO ANGRENSE DE TURISMO LTDA EPP</t>
        </is>
      </c>
      <c r="F5152" s="30" t="inlineStr">
        <is>
          <t>2020</t>
        </is>
      </c>
      <c r="G5152" s="40" t="n">
        <v>7450</v>
      </c>
    </row>
    <row r="5153" ht="12" customHeight="1">
      <c r="A5153" s="30" t="inlineStr">
        <is>
          <t>ITG</t>
        </is>
      </c>
      <c r="B5153" s="30" t="inlineStr">
        <is>
          <t>Itaguai</t>
        </is>
      </c>
      <c r="C5153" s="30" t="n">
        <v>78487941</v>
      </c>
      <c r="D5153" s="30">
        <f>"09452341000172"</f>
        <v/>
      </c>
      <c r="E5153" s="30" t="inlineStr">
        <is>
          <t>EXPRESSO ANGRENSE DE TURISMO LTDA EPP</t>
        </is>
      </c>
      <c r="F5153" s="30" t="inlineStr">
        <is>
          <t>2021</t>
        </is>
      </c>
      <c r="G5153" s="40" t="n">
        <v>1000</v>
      </c>
    </row>
    <row r="5154" ht="12" customHeight="1">
      <c r="A5154" s="30" t="inlineStr">
        <is>
          <t>ITG</t>
        </is>
      </c>
      <c r="B5154" s="30" t="inlineStr">
        <is>
          <t>Itaguai</t>
        </is>
      </c>
      <c r="C5154" s="30" t="n">
        <v>78487941</v>
      </c>
      <c r="D5154" s="30">
        <f>"09452341000172"</f>
        <v/>
      </c>
      <c r="E5154" s="30" t="inlineStr">
        <is>
          <t>EXPRESSO ANGRENSE DE TURISMO LTDA EPP</t>
        </is>
      </c>
      <c r="F5154" s="30" t="inlineStr">
        <is>
          <t>2022</t>
        </is>
      </c>
      <c r="G5154" s="40" t="n">
        <v>8780</v>
      </c>
    </row>
    <row r="5155" ht="12" customHeight="1">
      <c r="A5155" s="30" t="inlineStr">
        <is>
          <t>ITG</t>
        </is>
      </c>
      <c r="B5155" s="30" t="inlineStr">
        <is>
          <t>Itaguai</t>
        </is>
      </c>
      <c r="C5155" s="30" t="n">
        <v>78487941</v>
      </c>
      <c r="D5155" s="30">
        <f>"09452341000172"</f>
        <v/>
      </c>
      <c r="E5155" s="30" t="inlineStr">
        <is>
          <t>EXPRESSO ANGRENSE DE TURISMO LTDA EPP</t>
        </is>
      </c>
      <c r="F5155" s="30" t="inlineStr">
        <is>
          <t>2023</t>
        </is>
      </c>
      <c r="G5155" s="40" t="n">
        <v>0</v>
      </c>
    </row>
    <row r="5156" ht="12" customHeight="1">
      <c r="A5156" s="30" t="inlineStr">
        <is>
          <t>ITG</t>
        </is>
      </c>
      <c r="B5156" s="30" t="inlineStr">
        <is>
          <t>Itaguai</t>
        </is>
      </c>
      <c r="C5156" s="30" t="n">
        <v>78494506</v>
      </c>
      <c r="D5156" s="30">
        <f>"00634453000846"</f>
        <v/>
      </c>
      <c r="E5156" s="30" t="inlineStr">
        <is>
          <t>T S V TRANSPORTES RAPIDOS LTDA</t>
        </is>
      </c>
      <c r="F5156" s="30" t="inlineStr">
        <is>
          <t>2017</t>
        </is>
      </c>
      <c r="G5156" s="40" t="n">
        <v>1298.16</v>
      </c>
    </row>
    <row r="5157" ht="12" customHeight="1">
      <c r="A5157" s="30" t="inlineStr">
        <is>
          <t>ITG</t>
        </is>
      </c>
      <c r="B5157" s="30" t="inlineStr">
        <is>
          <t>Itaguai</t>
        </is>
      </c>
      <c r="C5157" s="30" t="n">
        <v>78494506</v>
      </c>
      <c r="D5157" s="30">
        <f>"00634453000846"</f>
        <v/>
      </c>
      <c r="E5157" s="30" t="inlineStr">
        <is>
          <t>T S V TRANSPORTES RAPIDOS LTDA</t>
        </is>
      </c>
      <c r="F5157" s="30" t="inlineStr">
        <is>
          <t>2018</t>
        </is>
      </c>
      <c r="G5157" s="40" t="n">
        <v>983.78</v>
      </c>
    </row>
    <row r="5158" ht="12" customHeight="1">
      <c r="A5158" s="30" t="inlineStr">
        <is>
          <t>ITG</t>
        </is>
      </c>
      <c r="B5158" s="30" t="inlineStr">
        <is>
          <t>Itaguai</t>
        </is>
      </c>
      <c r="C5158" s="30" t="n">
        <v>78494506</v>
      </c>
      <c r="D5158" s="30">
        <f>"00634453000846"</f>
        <v/>
      </c>
      <c r="E5158" s="30" t="inlineStr">
        <is>
          <t>T S V TRANSPORTES RAPIDOS LTDA</t>
        </is>
      </c>
      <c r="F5158" s="30" t="inlineStr">
        <is>
          <t>2019</t>
        </is>
      </c>
      <c r="G5158" s="40" t="n">
        <v>18952.61</v>
      </c>
    </row>
    <row r="5159" ht="12" customHeight="1">
      <c r="A5159" s="30" t="inlineStr">
        <is>
          <t>ITG</t>
        </is>
      </c>
      <c r="B5159" s="30" t="inlineStr">
        <is>
          <t>Itaguai</t>
        </is>
      </c>
      <c r="C5159" s="30" t="n">
        <v>78494506</v>
      </c>
      <c r="D5159" s="30">
        <f>"00634453000846"</f>
        <v/>
      </c>
      <c r="E5159" s="30" t="inlineStr">
        <is>
          <t>T S V TRANSPORTES RAPIDOS LTDA</t>
        </is>
      </c>
      <c r="F5159" s="30" t="inlineStr">
        <is>
          <t>2020</t>
        </is>
      </c>
      <c r="G5159" s="40" t="n">
        <v>1354.68</v>
      </c>
    </row>
    <row r="5160" ht="12" customHeight="1">
      <c r="A5160" s="30" t="inlineStr">
        <is>
          <t>ITG</t>
        </is>
      </c>
      <c r="B5160" s="30" t="inlineStr">
        <is>
          <t>Itaguai</t>
        </is>
      </c>
      <c r="C5160" s="30" t="n">
        <v>78494506</v>
      </c>
      <c r="D5160" s="30">
        <f>"00634453000846"</f>
        <v/>
      </c>
      <c r="E5160" s="30" t="inlineStr">
        <is>
          <t>T S V TRANSPORTES RAPIDOS LTDA</t>
        </is>
      </c>
      <c r="F5160" s="30" t="inlineStr">
        <is>
          <t>2021</t>
        </is>
      </c>
      <c r="G5160" s="40" t="n">
        <v>812.66</v>
      </c>
    </row>
    <row r="5161" ht="12" customHeight="1">
      <c r="A5161" s="30" t="inlineStr">
        <is>
          <t>ITG</t>
        </is>
      </c>
      <c r="B5161" s="30" t="inlineStr">
        <is>
          <t>Itaguai</t>
        </is>
      </c>
      <c r="C5161" s="30" t="n">
        <v>78494506</v>
      </c>
      <c r="D5161" s="30">
        <f>"00634453000846"</f>
        <v/>
      </c>
      <c r="E5161" s="30" t="inlineStr">
        <is>
          <t>T S V TRANSPORTES RAPIDOS LTDA</t>
        </is>
      </c>
      <c r="F5161" s="30" t="inlineStr">
        <is>
          <t>2022</t>
        </is>
      </c>
      <c r="G5161" s="40" t="n">
        <v>581.02</v>
      </c>
    </row>
    <row r="5162" ht="12" customHeight="1">
      <c r="A5162" s="30" t="inlineStr">
        <is>
          <t>ITG</t>
        </is>
      </c>
      <c r="B5162" s="30" t="inlineStr">
        <is>
          <t>Itaguai</t>
        </is>
      </c>
      <c r="C5162" s="30" t="n">
        <v>78494506</v>
      </c>
      <c r="D5162" s="30">
        <f>"00634453000846"</f>
        <v/>
      </c>
      <c r="E5162" s="30" t="inlineStr">
        <is>
          <t>T S V TRANSPORTES RAPIDOS LTDA</t>
        </is>
      </c>
      <c r="F5162" s="30" t="inlineStr">
        <is>
          <t>2023</t>
        </is>
      </c>
      <c r="G5162" s="40" t="n">
        <v>546.4299999999999</v>
      </c>
    </row>
    <row r="5163" ht="12" customHeight="1">
      <c r="A5163" s="30" t="inlineStr">
        <is>
          <t>ITG</t>
        </is>
      </c>
      <c r="B5163" s="30" t="inlineStr">
        <is>
          <t>Itaguai</t>
        </is>
      </c>
      <c r="C5163" s="30" t="n">
        <v>78498560</v>
      </c>
      <c r="D5163" s="30">
        <f>"01107327000553"</f>
        <v/>
      </c>
      <c r="E5163" s="30" t="inlineStr">
        <is>
          <t>BBM LOGISTICA SA</t>
        </is>
      </c>
      <c r="F5163" s="30" t="inlineStr">
        <is>
          <t>2017</t>
        </is>
      </c>
      <c r="G5163" s="40" t="n">
        <v>0</v>
      </c>
    </row>
    <row r="5164" ht="12" customHeight="1">
      <c r="A5164" s="30" t="inlineStr">
        <is>
          <t>ITG</t>
        </is>
      </c>
      <c r="B5164" s="30" t="inlineStr">
        <is>
          <t>Itaguai</t>
        </is>
      </c>
      <c r="C5164" s="30" t="n">
        <v>78498560</v>
      </c>
      <c r="D5164" s="30">
        <f>"01107327000553"</f>
        <v/>
      </c>
      <c r="E5164" s="30" t="inlineStr">
        <is>
          <t>BBM LOGISTICA SA</t>
        </is>
      </c>
      <c r="F5164" s="30" t="inlineStr">
        <is>
          <t>2018</t>
        </is>
      </c>
      <c r="G5164" s="40" t="n">
        <v>2924.36</v>
      </c>
    </row>
    <row r="5165" ht="12" customHeight="1">
      <c r="A5165" s="30" t="inlineStr">
        <is>
          <t>ITG</t>
        </is>
      </c>
      <c r="B5165" s="30" t="inlineStr">
        <is>
          <t>Itaguai</t>
        </is>
      </c>
      <c r="C5165" s="30" t="n">
        <v>78498560</v>
      </c>
      <c r="D5165" s="30">
        <f>"01107327000553"</f>
        <v/>
      </c>
      <c r="E5165" s="30" t="inlineStr">
        <is>
          <t>BBM LOGISTICA SA</t>
        </is>
      </c>
      <c r="F5165" s="30" t="inlineStr">
        <is>
          <t>2019</t>
        </is>
      </c>
      <c r="G5165" s="40" t="n">
        <v>0</v>
      </c>
    </row>
    <row r="5166" ht="12" customHeight="1">
      <c r="A5166" s="30" t="inlineStr">
        <is>
          <t>ITG</t>
        </is>
      </c>
      <c r="B5166" s="30" t="inlineStr">
        <is>
          <t>Itaguai</t>
        </is>
      </c>
      <c r="C5166" s="30" t="n">
        <v>78498560</v>
      </c>
      <c r="D5166" s="30">
        <f>"01107327000553"</f>
        <v/>
      </c>
      <c r="E5166" s="30" t="inlineStr">
        <is>
          <t>BBM LOGISTICA SA</t>
        </is>
      </c>
      <c r="F5166" s="30" t="inlineStr">
        <is>
          <t>2020</t>
        </is>
      </c>
      <c r="G5166" s="40" t="n">
        <v>8960.35</v>
      </c>
    </row>
    <row r="5167" ht="12" customHeight="1">
      <c r="A5167" s="30" t="inlineStr">
        <is>
          <t>ITG</t>
        </is>
      </c>
      <c r="B5167" s="30" t="inlineStr">
        <is>
          <t>Itaguai</t>
        </is>
      </c>
      <c r="C5167" s="30" t="n">
        <v>78498560</v>
      </c>
      <c r="D5167" s="30">
        <f>"01107327000553"</f>
        <v/>
      </c>
      <c r="E5167" s="30" t="inlineStr">
        <is>
          <t>BBM LOGISTICA SA</t>
        </is>
      </c>
      <c r="F5167" s="30" t="inlineStr">
        <is>
          <t>2021</t>
        </is>
      </c>
      <c r="G5167" s="40" t="n">
        <v>284652.73</v>
      </c>
    </row>
    <row r="5168" ht="12" customHeight="1">
      <c r="A5168" s="30" t="inlineStr">
        <is>
          <t>ITG</t>
        </is>
      </c>
      <c r="B5168" s="30" t="inlineStr">
        <is>
          <t>Itaguai</t>
        </is>
      </c>
      <c r="C5168" s="30" t="n">
        <v>78498560</v>
      </c>
      <c r="D5168" s="30">
        <f>"01107327000553"</f>
        <v/>
      </c>
      <c r="E5168" s="30" t="inlineStr">
        <is>
          <t>BBM LOGISTICA SA</t>
        </is>
      </c>
      <c r="F5168" s="30" t="inlineStr">
        <is>
          <t>2022</t>
        </is>
      </c>
      <c r="G5168" s="40" t="n">
        <v>1577.78</v>
      </c>
    </row>
    <row r="5169" ht="12" customHeight="1">
      <c r="A5169" s="30" t="inlineStr">
        <is>
          <t>ITG</t>
        </is>
      </c>
      <c r="B5169" s="30" t="inlineStr">
        <is>
          <t>Itaguai</t>
        </is>
      </c>
      <c r="C5169" s="30" t="n">
        <v>78498560</v>
      </c>
      <c r="D5169" s="30">
        <f>"01107327000553"</f>
        <v/>
      </c>
      <c r="E5169" s="30" t="inlineStr">
        <is>
          <t>BBM LOGISTICA SA</t>
        </is>
      </c>
      <c r="F5169" s="30" t="inlineStr">
        <is>
          <t>2023</t>
        </is>
      </c>
      <c r="G5169" s="40" t="n">
        <v>630.4299999999999</v>
      </c>
    </row>
    <row r="5170" ht="12" customHeight="1">
      <c r="A5170" s="30" t="inlineStr">
        <is>
          <t>ITG</t>
        </is>
      </c>
      <c r="B5170" s="30" t="inlineStr">
        <is>
          <t>Itaguai</t>
        </is>
      </c>
      <c r="C5170" s="30" t="n">
        <v>78513080</v>
      </c>
      <c r="D5170" s="30">
        <f>"09540744000173"</f>
        <v/>
      </c>
      <c r="E5170" s="30" t="inlineStr">
        <is>
          <t>CLEBER SOUZA DOS SANTOS</t>
        </is>
      </c>
      <c r="F5170" s="30" t="inlineStr">
        <is>
          <t>2017</t>
        </is>
      </c>
      <c r="G5170" s="40" t="n">
        <v>0</v>
      </c>
    </row>
    <row r="5171" ht="12" customHeight="1">
      <c r="A5171" s="30" t="inlineStr">
        <is>
          <t>ITG</t>
        </is>
      </c>
      <c r="B5171" s="30" t="inlineStr">
        <is>
          <t>Itaguai</t>
        </is>
      </c>
      <c r="C5171" s="30" t="n">
        <v>78513080</v>
      </c>
      <c r="D5171" s="30">
        <f>"09540744000173"</f>
        <v/>
      </c>
      <c r="E5171" s="30" t="inlineStr">
        <is>
          <t>CLEBER SOUZA DOS SANTOS</t>
        </is>
      </c>
      <c r="F5171" s="30" t="inlineStr">
        <is>
          <t>2018</t>
        </is>
      </c>
      <c r="G5171" s="40" t="n">
        <v>0</v>
      </c>
    </row>
    <row r="5172" ht="12" customHeight="1">
      <c r="A5172" s="30" t="inlineStr">
        <is>
          <t>ITG</t>
        </is>
      </c>
      <c r="B5172" s="30" t="inlineStr">
        <is>
          <t>Itaguai</t>
        </is>
      </c>
      <c r="C5172" s="30" t="n">
        <v>78513080</v>
      </c>
      <c r="D5172" s="30">
        <f>"09540744000173"</f>
        <v/>
      </c>
      <c r="E5172" s="30" t="inlineStr">
        <is>
          <t>CLEBER SOUZA DOS SANTOS</t>
        </is>
      </c>
      <c r="F5172" s="30" t="inlineStr">
        <is>
          <t>2019</t>
        </is>
      </c>
      <c r="G5172" s="40" t="n">
        <v>0</v>
      </c>
    </row>
    <row r="5173" ht="12" customHeight="1">
      <c r="A5173" s="30" t="inlineStr">
        <is>
          <t>ITG</t>
        </is>
      </c>
      <c r="B5173" s="30" t="inlineStr">
        <is>
          <t>Itaguai</t>
        </is>
      </c>
      <c r="C5173" s="30" t="n">
        <v>78513080</v>
      </c>
      <c r="D5173" s="30">
        <f>"09540744000173"</f>
        <v/>
      </c>
      <c r="E5173" s="30" t="inlineStr">
        <is>
          <t>CLEBER SOUZA DOS SANTOS</t>
        </is>
      </c>
      <c r="F5173" s="30" t="inlineStr">
        <is>
          <t>2020</t>
        </is>
      </c>
      <c r="G5173" s="40" t="n">
        <v>0</v>
      </c>
    </row>
    <row r="5174" ht="12" customHeight="1">
      <c r="A5174" s="30" t="inlineStr">
        <is>
          <t>ITG</t>
        </is>
      </c>
      <c r="B5174" s="30" t="inlineStr">
        <is>
          <t>Itaguai</t>
        </is>
      </c>
      <c r="C5174" s="30" t="n">
        <v>78513080</v>
      </c>
      <c r="D5174" s="30">
        <f>"09540744000173"</f>
        <v/>
      </c>
      <c r="E5174" s="30" t="inlineStr">
        <is>
          <t>CLEBER SOUZA DOS SANTOS</t>
        </is>
      </c>
      <c r="F5174" s="30" t="inlineStr">
        <is>
          <t>2021</t>
        </is>
      </c>
      <c r="G5174" s="40" t="n">
        <v>0</v>
      </c>
    </row>
    <row r="5175" ht="12" customHeight="1">
      <c r="A5175" s="30" t="inlineStr">
        <is>
          <t>ITG</t>
        </is>
      </c>
      <c r="B5175" s="30" t="inlineStr">
        <is>
          <t>Itaguai</t>
        </is>
      </c>
      <c r="C5175" s="30" t="n">
        <v>78513080</v>
      </c>
      <c r="D5175" s="30">
        <f>"09540744000173"</f>
        <v/>
      </c>
      <c r="E5175" s="30" t="inlineStr">
        <is>
          <t>CLEBER SOUZA DOS SANTOS</t>
        </is>
      </c>
      <c r="F5175" s="30" t="inlineStr">
        <is>
          <t>2022</t>
        </is>
      </c>
      <c r="G5175" s="40" t="n">
        <v>0</v>
      </c>
    </row>
    <row r="5176" ht="12" customHeight="1">
      <c r="A5176" s="30" t="inlineStr">
        <is>
          <t>ITG</t>
        </is>
      </c>
      <c r="B5176" s="30" t="inlineStr">
        <is>
          <t>Itaguai</t>
        </is>
      </c>
      <c r="C5176" s="30" t="n">
        <v>78513080</v>
      </c>
      <c r="D5176" s="30">
        <f>"09540744000173"</f>
        <v/>
      </c>
      <c r="E5176" s="30" t="inlineStr">
        <is>
          <t>CLEBER SOUZA DOS SANTOS</t>
        </is>
      </c>
      <c r="F5176" s="30" t="inlineStr">
        <is>
          <t>2023</t>
        </is>
      </c>
      <c r="G5176" s="40" t="n">
        <v>0</v>
      </c>
    </row>
    <row r="5177" ht="12" customHeight="1">
      <c r="A5177" s="30" t="inlineStr">
        <is>
          <t>ITG</t>
        </is>
      </c>
      <c r="B5177" s="30" t="inlineStr">
        <is>
          <t>Itaguai</t>
        </is>
      </c>
      <c r="C5177" s="30" t="n">
        <v>78520302</v>
      </c>
      <c r="D5177" s="30">
        <f>"09366418000353"</f>
        <v/>
      </c>
      <c r="E5177" s="30" t="inlineStr">
        <is>
          <t>RECREIO RIO MOTOS COMERCIO E REPRESENTACOES LTDA</t>
        </is>
      </c>
      <c r="F5177" s="30" t="inlineStr">
        <is>
          <t>2017</t>
        </is>
      </c>
      <c r="G5177" s="40" t="n">
        <v>1453539.66</v>
      </c>
    </row>
    <row r="5178" ht="12" customHeight="1">
      <c r="A5178" s="30" t="inlineStr">
        <is>
          <t>ITG</t>
        </is>
      </c>
      <c r="B5178" s="30" t="inlineStr">
        <is>
          <t>Itaguai</t>
        </is>
      </c>
      <c r="C5178" s="30" t="n">
        <v>78520302</v>
      </c>
      <c r="D5178" s="30">
        <f>"09366418000353"</f>
        <v/>
      </c>
      <c r="E5178" s="30" t="inlineStr">
        <is>
          <t>RECREIO RIO MOTOS COMERCIO E REPRESENTACOES LTDA</t>
        </is>
      </c>
      <c r="F5178" s="30" t="inlineStr">
        <is>
          <t>2018</t>
        </is>
      </c>
      <c r="G5178" s="40" t="n">
        <v>1815129.47</v>
      </c>
    </row>
    <row r="5179" ht="12" customHeight="1">
      <c r="A5179" s="30" t="inlineStr">
        <is>
          <t>ITG</t>
        </is>
      </c>
      <c r="B5179" s="30" t="inlineStr">
        <is>
          <t>Itaguai</t>
        </is>
      </c>
      <c r="C5179" s="30" t="n">
        <v>78520302</v>
      </c>
      <c r="D5179" s="30">
        <f>"09366418000353"</f>
        <v/>
      </c>
      <c r="E5179" s="30" t="inlineStr">
        <is>
          <t>RECREIO RIO MOTOS COMERCIO E REPRESENTACOES LTDA</t>
        </is>
      </c>
      <c r="F5179" s="30" t="inlineStr">
        <is>
          <t>2019</t>
        </is>
      </c>
      <c r="G5179" s="40" t="n">
        <v>2575383.55</v>
      </c>
    </row>
    <row r="5180" ht="12" customHeight="1">
      <c r="A5180" s="30" t="inlineStr">
        <is>
          <t>ITG</t>
        </is>
      </c>
      <c r="B5180" s="30" t="inlineStr">
        <is>
          <t>Itaguai</t>
        </is>
      </c>
      <c r="C5180" s="30" t="n">
        <v>78520302</v>
      </c>
      <c r="D5180" s="30">
        <f>"09366418000353"</f>
        <v/>
      </c>
      <c r="E5180" s="30" t="inlineStr">
        <is>
          <t>RECREIO RIO MOTOS COMERCIO E REPRESENTACOES LTDA</t>
        </is>
      </c>
      <c r="F5180" s="30" t="inlineStr">
        <is>
          <t>2020</t>
        </is>
      </c>
      <c r="G5180" s="40" t="n">
        <v>3389240.5</v>
      </c>
    </row>
    <row r="5181" ht="12" customHeight="1">
      <c r="A5181" s="30" t="inlineStr">
        <is>
          <t>ITG</t>
        </is>
      </c>
      <c r="B5181" s="30" t="inlineStr">
        <is>
          <t>Itaguai</t>
        </is>
      </c>
      <c r="C5181" s="30" t="n">
        <v>78520302</v>
      </c>
      <c r="D5181" s="30">
        <f>"09366418000353"</f>
        <v/>
      </c>
      <c r="E5181" s="30" t="inlineStr">
        <is>
          <t>RECREIO RIO MOTOS COMERCIO E REPRESENTACOES LTDA</t>
        </is>
      </c>
      <c r="F5181" s="30" t="inlineStr">
        <is>
          <t>2021</t>
        </is>
      </c>
      <c r="G5181" s="40" t="n">
        <v>5470453.65</v>
      </c>
    </row>
    <row r="5182" ht="12" customHeight="1">
      <c r="A5182" s="30" t="inlineStr">
        <is>
          <t>ITG</t>
        </is>
      </c>
      <c r="B5182" s="30" t="inlineStr">
        <is>
          <t>Itaguai</t>
        </is>
      </c>
      <c r="C5182" s="30" t="n">
        <v>78520302</v>
      </c>
      <c r="D5182" s="30">
        <f>"09366418000353"</f>
        <v/>
      </c>
      <c r="E5182" s="30" t="inlineStr">
        <is>
          <t>RECREIO RIO MOTOS COMERCIO E REPRESENTACOES LTDA</t>
        </is>
      </c>
      <c r="F5182" s="30" t="inlineStr">
        <is>
          <t>2022</t>
        </is>
      </c>
      <c r="G5182" s="40" t="n">
        <v>7267583.6</v>
      </c>
    </row>
    <row r="5183" ht="12" customHeight="1">
      <c r="A5183" s="30" t="inlineStr">
        <is>
          <t>ITG</t>
        </is>
      </c>
      <c r="B5183" s="30" t="inlineStr">
        <is>
          <t>Itaguai</t>
        </is>
      </c>
      <c r="C5183" s="30" t="n">
        <v>78520302</v>
      </c>
      <c r="D5183" s="30">
        <f>"09366418000353"</f>
        <v/>
      </c>
      <c r="E5183" s="30" t="inlineStr">
        <is>
          <t>RECREIO RIO MOTOS COMERCIO E REPRESENTACOES LTDA</t>
        </is>
      </c>
      <c r="F5183" s="30" t="inlineStr">
        <is>
          <t>2023</t>
        </is>
      </c>
      <c r="G5183" s="40" t="n">
        <v>8927485.800000001</v>
      </c>
    </row>
    <row r="5184" ht="12" customHeight="1">
      <c r="A5184" s="30" t="inlineStr">
        <is>
          <t>ITG</t>
        </is>
      </c>
      <c r="B5184" s="30" t="inlineStr">
        <is>
          <t>Itaguai</t>
        </is>
      </c>
      <c r="C5184" s="30" t="n">
        <v>78524251</v>
      </c>
      <c r="D5184" s="30">
        <f>"03290982000191"</f>
        <v/>
      </c>
      <c r="E5184" s="30" t="inlineStr">
        <is>
          <t>CASAPLAN EMPREENDIMENTOS IMOBILIARIOS LTDA</t>
        </is>
      </c>
      <c r="F5184" s="30" t="inlineStr">
        <is>
          <t>2017</t>
        </is>
      </c>
      <c r="G5184" s="40" t="n">
        <v>0</v>
      </c>
    </row>
    <row r="5185" ht="12" customHeight="1">
      <c r="A5185" s="30" t="inlineStr">
        <is>
          <t>ITG</t>
        </is>
      </c>
      <c r="B5185" s="30" t="inlineStr">
        <is>
          <t>Itaguai</t>
        </is>
      </c>
      <c r="C5185" s="30" t="n">
        <v>78524251</v>
      </c>
      <c r="D5185" s="30">
        <f>"03290982000191"</f>
        <v/>
      </c>
      <c r="E5185" s="30" t="inlineStr">
        <is>
          <t>CASAPLAN EMPREENDIMENTOS IMOBILIARIOS LTDA</t>
        </is>
      </c>
      <c r="F5185" s="30" t="inlineStr">
        <is>
          <t>2018</t>
        </is>
      </c>
      <c r="G5185" s="40" t="n">
        <v>0</v>
      </c>
    </row>
    <row r="5186" ht="12" customHeight="1">
      <c r="A5186" s="30" t="inlineStr">
        <is>
          <t>ITG</t>
        </is>
      </c>
      <c r="B5186" s="30" t="inlineStr">
        <is>
          <t>Itaguai</t>
        </is>
      </c>
      <c r="C5186" s="30" t="n">
        <v>78524251</v>
      </c>
      <c r="D5186" s="30">
        <f>"03290982000191"</f>
        <v/>
      </c>
      <c r="E5186" s="30" t="inlineStr">
        <is>
          <t>CASAPLAN EMPREENDIMENTOS IMOBILIARIOS LTDA</t>
        </is>
      </c>
      <c r="F5186" s="30" t="inlineStr">
        <is>
          <t>2019</t>
        </is>
      </c>
      <c r="G5186" s="40" t="n">
        <v>0</v>
      </c>
    </row>
    <row r="5187" ht="12" customHeight="1">
      <c r="A5187" s="30" t="inlineStr">
        <is>
          <t>ITG</t>
        </is>
      </c>
      <c r="B5187" s="30" t="inlineStr">
        <is>
          <t>Itaguai</t>
        </is>
      </c>
      <c r="C5187" s="30" t="n">
        <v>78524251</v>
      </c>
      <c r="D5187" s="30">
        <f>"03290982000191"</f>
        <v/>
      </c>
      <c r="E5187" s="30" t="inlineStr">
        <is>
          <t>CASAPLAN EMPREENDIMENTOS IMOBILIARIOS LTDA</t>
        </is>
      </c>
      <c r="F5187" s="30" t="inlineStr">
        <is>
          <t>2020</t>
        </is>
      </c>
      <c r="G5187" s="40" t="n">
        <v>0</v>
      </c>
    </row>
    <row r="5188" ht="12" customHeight="1">
      <c r="A5188" s="30" t="inlineStr">
        <is>
          <t>ITG</t>
        </is>
      </c>
      <c r="B5188" s="30" t="inlineStr">
        <is>
          <t>Itaguai</t>
        </is>
      </c>
      <c r="C5188" s="30" t="n">
        <v>78545224</v>
      </c>
      <c r="D5188" s="30">
        <f>"09676994000135"</f>
        <v/>
      </c>
      <c r="E5188" s="30" t="inlineStr">
        <is>
          <t>AMP SIMETRIA MODAS LTDA</t>
        </is>
      </c>
      <c r="F5188" s="30" t="inlineStr">
        <is>
          <t>2017</t>
        </is>
      </c>
      <c r="G5188" s="40" t="n">
        <v>0</v>
      </c>
    </row>
    <row r="5189" ht="12" customHeight="1">
      <c r="A5189" s="30" t="inlineStr">
        <is>
          <t>ITG</t>
        </is>
      </c>
      <c r="B5189" s="30" t="inlineStr">
        <is>
          <t>Itaguai</t>
        </is>
      </c>
      <c r="C5189" s="30" t="n">
        <v>78545224</v>
      </c>
      <c r="D5189" s="30">
        <f>"09676994000135"</f>
        <v/>
      </c>
      <c r="E5189" s="30" t="inlineStr">
        <is>
          <t>AMP SIMETRIA MODAS LTDA</t>
        </is>
      </c>
      <c r="F5189" s="30" t="inlineStr">
        <is>
          <t>2018</t>
        </is>
      </c>
      <c r="G5189" s="40" t="n">
        <v>0</v>
      </c>
    </row>
    <row r="5190" ht="12" customHeight="1">
      <c r="A5190" s="30" t="inlineStr">
        <is>
          <t>ITG</t>
        </is>
      </c>
      <c r="B5190" s="30" t="inlineStr">
        <is>
          <t>Itaguai</t>
        </is>
      </c>
      <c r="C5190" s="30" t="n">
        <v>78545224</v>
      </c>
      <c r="D5190" s="30">
        <f>"09676994000135"</f>
        <v/>
      </c>
      <c r="E5190" s="30" t="inlineStr">
        <is>
          <t>AMP SIMETRIA MODAS LTDA</t>
        </is>
      </c>
      <c r="F5190" s="30" t="inlineStr">
        <is>
          <t>2019</t>
        </is>
      </c>
      <c r="G5190" s="40" t="n">
        <v>0</v>
      </c>
    </row>
    <row r="5191" ht="12" customHeight="1">
      <c r="A5191" s="30" t="inlineStr">
        <is>
          <t>ITG</t>
        </is>
      </c>
      <c r="B5191" s="30" t="inlineStr">
        <is>
          <t>Itaguai</t>
        </is>
      </c>
      <c r="C5191" s="30" t="n">
        <v>78552786</v>
      </c>
      <c r="D5191" s="30">
        <f>"06913480000591"</f>
        <v/>
      </c>
      <c r="E5191" s="30" t="inlineStr">
        <is>
          <t>DIMENSIONAL CENTELHA SOLUÇÕES LTDA</t>
        </is>
      </c>
      <c r="F5191" s="30" t="inlineStr">
        <is>
          <t>2017</t>
        </is>
      </c>
      <c r="G5191" s="40" t="n">
        <v>0</v>
      </c>
    </row>
    <row r="5192" ht="12" customHeight="1">
      <c r="A5192" s="30" t="inlineStr">
        <is>
          <t>ITG</t>
        </is>
      </c>
      <c r="B5192" s="30" t="inlineStr">
        <is>
          <t>Itaguai</t>
        </is>
      </c>
      <c r="C5192" s="30" t="n">
        <v>78552786</v>
      </c>
      <c r="D5192" s="30">
        <f>"06913480000591"</f>
        <v/>
      </c>
      <c r="E5192" s="30" t="inlineStr">
        <is>
          <t>DIMENSIONAL CENTELHA SOLUÇÕES LTDA</t>
        </is>
      </c>
      <c r="F5192" s="30" t="inlineStr">
        <is>
          <t>2018</t>
        </is>
      </c>
      <c r="G5192" s="40" t="n">
        <v>0</v>
      </c>
    </row>
    <row r="5193" ht="12" customHeight="1">
      <c r="A5193" s="30" t="inlineStr">
        <is>
          <t>ITG</t>
        </is>
      </c>
      <c r="B5193" s="30" t="inlineStr">
        <is>
          <t>Itaguai</t>
        </is>
      </c>
      <c r="C5193" s="30" t="n">
        <v>78552786</v>
      </c>
      <c r="D5193" s="30">
        <f>"06913480000591"</f>
        <v/>
      </c>
      <c r="E5193" s="30" t="inlineStr">
        <is>
          <t>DIMENSIONAL CENTELHA SOLUÇÕES LTDA</t>
        </is>
      </c>
      <c r="F5193" s="30" t="inlineStr">
        <is>
          <t>2019</t>
        </is>
      </c>
      <c r="G5193" s="40" t="n">
        <v>0</v>
      </c>
    </row>
    <row r="5194" ht="12" customHeight="1">
      <c r="A5194" s="30" t="inlineStr">
        <is>
          <t>ITG</t>
        </is>
      </c>
      <c r="B5194" s="30" t="inlineStr">
        <is>
          <t>Itaguai</t>
        </is>
      </c>
      <c r="C5194" s="30" t="n">
        <v>78552786</v>
      </c>
      <c r="D5194" s="30">
        <f>"06913480000591"</f>
        <v/>
      </c>
      <c r="E5194" s="30" t="inlineStr">
        <is>
          <t>DIMENSIONAL CENTELHA SOLUÇÕES LTDA</t>
        </is>
      </c>
      <c r="F5194" s="30" t="inlineStr">
        <is>
          <t>2020</t>
        </is>
      </c>
      <c r="G5194" s="40" t="n">
        <v>0</v>
      </c>
    </row>
    <row r="5195" ht="12" customHeight="1">
      <c r="A5195" s="30" t="inlineStr">
        <is>
          <t>ITG</t>
        </is>
      </c>
      <c r="B5195" s="30" t="inlineStr">
        <is>
          <t>Itaguai</t>
        </is>
      </c>
      <c r="C5195" s="30" t="n">
        <v>78552786</v>
      </c>
      <c r="D5195" s="30">
        <f>"06913480000591"</f>
        <v/>
      </c>
      <c r="E5195" s="30" t="inlineStr">
        <is>
          <t>DIMENSIONAL CENTELHA SOLUÇÕES LTDA</t>
        </is>
      </c>
      <c r="F5195" s="30" t="inlineStr">
        <is>
          <t>2021</t>
        </is>
      </c>
      <c r="G5195" s="40" t="n">
        <v>0</v>
      </c>
    </row>
    <row r="5196" ht="12" customHeight="1">
      <c r="A5196" s="30" t="inlineStr">
        <is>
          <t>ITG</t>
        </is>
      </c>
      <c r="B5196" s="30" t="inlineStr">
        <is>
          <t>Itaguai</t>
        </is>
      </c>
      <c r="C5196" s="30" t="n">
        <v>78552786</v>
      </c>
      <c r="D5196" s="30">
        <f>"06913480000591"</f>
        <v/>
      </c>
      <c r="E5196" s="30" t="inlineStr">
        <is>
          <t>DIMENSIONAL CENTELHA SOLUÇÕES LTDA</t>
        </is>
      </c>
      <c r="F5196" s="30" t="inlineStr">
        <is>
          <t>2022</t>
        </is>
      </c>
      <c r="G5196" s="40" t="n">
        <v>0</v>
      </c>
    </row>
    <row r="5197" ht="12" customHeight="1">
      <c r="A5197" s="30" t="inlineStr">
        <is>
          <t>ITG</t>
        </is>
      </c>
      <c r="B5197" s="30" t="inlineStr">
        <is>
          <t>Itaguai</t>
        </is>
      </c>
      <c r="C5197" s="30" t="n">
        <v>78552786</v>
      </c>
      <c r="D5197" s="30">
        <f>"06913480000591"</f>
        <v/>
      </c>
      <c r="E5197" s="30" t="inlineStr">
        <is>
          <t>DIMENSIONAL CENTELHA SOLUÇÕES LTDA</t>
        </is>
      </c>
      <c r="F5197" s="30" t="inlineStr">
        <is>
          <t>2023</t>
        </is>
      </c>
      <c r="G5197" s="40" t="n">
        <v>0</v>
      </c>
    </row>
    <row r="5198" ht="12" customHeight="1">
      <c r="A5198" s="30" t="inlineStr">
        <is>
          <t>ITG</t>
        </is>
      </c>
      <c r="B5198" s="30" t="inlineStr">
        <is>
          <t>Itaguai</t>
        </is>
      </c>
      <c r="C5198" s="30" t="n">
        <v>78560142</v>
      </c>
      <c r="D5198" s="30">
        <f>"10247527000179"</f>
        <v/>
      </c>
      <c r="E5198" s="30" t="inlineStr">
        <is>
          <t>RODOVIARIO FRETBUS FRETAMENTO DE ONIBUS E TURISMO LTDA-EPP</t>
        </is>
      </c>
      <c r="F5198" s="30" t="inlineStr">
        <is>
          <t>2021</t>
        </is>
      </c>
      <c r="G5198" s="40" t="n">
        <v>0</v>
      </c>
    </row>
    <row r="5199" ht="12" customHeight="1">
      <c r="A5199" s="30" t="inlineStr">
        <is>
          <t>ITG</t>
        </is>
      </c>
      <c r="B5199" s="30" t="inlineStr">
        <is>
          <t>Itaguai</t>
        </is>
      </c>
      <c r="C5199" s="30" t="n">
        <v>78560142</v>
      </c>
      <c r="D5199" s="30">
        <f>"10247527000179"</f>
        <v/>
      </c>
      <c r="E5199" s="30" t="inlineStr">
        <is>
          <t>RODOVIARIO FRETBUS FRETAMENTO DE ONIBUS E TURISMO LTDA-EPP</t>
        </is>
      </c>
      <c r="F5199" s="30" t="inlineStr">
        <is>
          <t>2022</t>
        </is>
      </c>
      <c r="G5199" s="40" t="n">
        <v>0</v>
      </c>
    </row>
    <row r="5200" ht="12" customHeight="1">
      <c r="A5200" s="30" t="inlineStr">
        <is>
          <t>ITG</t>
        </is>
      </c>
      <c r="B5200" s="30" t="inlineStr">
        <is>
          <t>Itaguai</t>
        </is>
      </c>
      <c r="C5200" s="30" t="n">
        <v>78560142</v>
      </c>
      <c r="D5200" s="30">
        <f>"10247527000179"</f>
        <v/>
      </c>
      <c r="E5200" s="30" t="inlineStr">
        <is>
          <t>RODOVIARIO FRETBUS FRETAMENTO DE ONIBUS E TURISMO LTDA-EPP</t>
        </is>
      </c>
      <c r="F5200" s="30" t="inlineStr">
        <is>
          <t>2023</t>
        </is>
      </c>
      <c r="G5200" s="40" t="n">
        <v>1600</v>
      </c>
    </row>
    <row r="5201" ht="12" customHeight="1">
      <c r="A5201" s="30" t="inlineStr">
        <is>
          <t>ITG</t>
        </is>
      </c>
      <c r="B5201" s="30" t="inlineStr">
        <is>
          <t>Itaguai</t>
        </is>
      </c>
      <c r="C5201" s="30" t="n">
        <v>78562749</v>
      </c>
      <c r="D5201" s="30">
        <f>"04622116001608"</f>
        <v/>
      </c>
      <c r="E5201" s="30" t="inlineStr">
        <is>
          <t>ALGAR MULTIMIDIA S/A</t>
        </is>
      </c>
      <c r="F5201" s="30" t="inlineStr">
        <is>
          <t>2017</t>
        </is>
      </c>
      <c r="G5201" s="40" t="n">
        <v>1166070.06</v>
      </c>
    </row>
    <row r="5202" ht="12" customHeight="1">
      <c r="A5202" s="30" t="inlineStr">
        <is>
          <t>ITG</t>
        </is>
      </c>
      <c r="B5202" s="30" t="inlineStr">
        <is>
          <t>Itaguai</t>
        </is>
      </c>
      <c r="C5202" s="30" t="n">
        <v>78562749</v>
      </c>
      <c r="D5202" s="30">
        <f>"04622116001608"</f>
        <v/>
      </c>
      <c r="E5202" s="30" t="inlineStr">
        <is>
          <t>ALGAR MULTIMIDIA S/A</t>
        </is>
      </c>
      <c r="F5202" s="30" t="inlineStr">
        <is>
          <t>2018</t>
        </is>
      </c>
      <c r="G5202" s="40" t="n">
        <v>1106978.17</v>
      </c>
    </row>
    <row r="5203" ht="12" customHeight="1">
      <c r="A5203" s="30" t="inlineStr">
        <is>
          <t>ITG</t>
        </is>
      </c>
      <c r="B5203" s="30" t="inlineStr">
        <is>
          <t>Itaguai</t>
        </is>
      </c>
      <c r="C5203" s="30" t="n">
        <v>78562749</v>
      </c>
      <c r="D5203" s="30">
        <f>"04622116001608"</f>
        <v/>
      </c>
      <c r="E5203" s="30" t="inlineStr">
        <is>
          <t>ALGAR MULTIMIDIA S/A</t>
        </is>
      </c>
      <c r="F5203" s="30" t="inlineStr">
        <is>
          <t>2019</t>
        </is>
      </c>
      <c r="G5203" s="40" t="n">
        <v>1014689.44</v>
      </c>
    </row>
    <row r="5204" ht="12" customHeight="1">
      <c r="A5204" s="30" t="inlineStr">
        <is>
          <t>ITG</t>
        </is>
      </c>
      <c r="B5204" s="30" t="inlineStr">
        <is>
          <t>Itaguai</t>
        </is>
      </c>
      <c r="C5204" s="30" t="n">
        <v>78562749</v>
      </c>
      <c r="D5204" s="30">
        <f>"04622116001608"</f>
        <v/>
      </c>
      <c r="E5204" s="30" t="inlineStr">
        <is>
          <t>ALGAR MULTIMIDIA S/A</t>
        </is>
      </c>
      <c r="F5204" s="30" t="inlineStr">
        <is>
          <t>2020</t>
        </is>
      </c>
      <c r="G5204" s="40" t="n">
        <v>672868.02</v>
      </c>
    </row>
    <row r="5205" ht="12" customHeight="1">
      <c r="A5205" s="30" t="inlineStr">
        <is>
          <t>ITG</t>
        </is>
      </c>
      <c r="B5205" s="30" t="inlineStr">
        <is>
          <t>Itaguai</t>
        </is>
      </c>
      <c r="C5205" s="30" t="n">
        <v>78562749</v>
      </c>
      <c r="D5205" s="30">
        <f>"04622116001608"</f>
        <v/>
      </c>
      <c r="E5205" s="30" t="inlineStr">
        <is>
          <t>ALGAR MULTIMIDIA S/A</t>
        </is>
      </c>
      <c r="F5205" s="30" t="inlineStr">
        <is>
          <t>2021</t>
        </is>
      </c>
      <c r="G5205" s="40" t="n">
        <v>450927.2</v>
      </c>
    </row>
    <row r="5206" ht="12" customHeight="1">
      <c r="A5206" s="30" t="inlineStr">
        <is>
          <t>ITG</t>
        </is>
      </c>
      <c r="B5206" s="30" t="inlineStr">
        <is>
          <t>Itaguai</t>
        </is>
      </c>
      <c r="C5206" s="30" t="n">
        <v>78562749</v>
      </c>
      <c r="D5206" s="30">
        <f>"04622116001608"</f>
        <v/>
      </c>
      <c r="E5206" s="30" t="inlineStr">
        <is>
          <t>ALGAR MULTIMIDIA S/A</t>
        </is>
      </c>
      <c r="F5206" s="30" t="inlineStr">
        <is>
          <t>2022</t>
        </is>
      </c>
      <c r="G5206" s="40" t="n">
        <v>336437.2</v>
      </c>
    </row>
    <row r="5207" ht="12" customHeight="1">
      <c r="A5207" s="30" t="inlineStr">
        <is>
          <t>ITG</t>
        </is>
      </c>
      <c r="B5207" s="30" t="inlineStr">
        <is>
          <t>Itaguai</t>
        </is>
      </c>
      <c r="C5207" s="30" t="n">
        <v>78562749</v>
      </c>
      <c r="D5207" s="30">
        <f>"04622116001608"</f>
        <v/>
      </c>
      <c r="E5207" s="30" t="inlineStr">
        <is>
          <t>ALGAR MULTIMIDIA S/A</t>
        </is>
      </c>
      <c r="F5207" s="30" t="inlineStr">
        <is>
          <t>2023</t>
        </is>
      </c>
      <c r="G5207" s="40" t="n">
        <v>304450.4</v>
      </c>
    </row>
    <row r="5208" ht="12" customHeight="1">
      <c r="A5208" s="30" t="inlineStr">
        <is>
          <t>ITG</t>
        </is>
      </c>
      <c r="B5208" s="30" t="inlineStr">
        <is>
          <t>Itaguai</t>
        </is>
      </c>
      <c r="C5208" s="30" t="n">
        <v>78579242</v>
      </c>
      <c r="D5208" s="30">
        <f>"19199348000269"</f>
        <v/>
      </c>
      <c r="E5208" s="30" t="inlineStr">
        <is>
          <t>SADA TRANSPORTES E ARMAZENAGENS S/A</t>
        </is>
      </c>
      <c r="F5208" s="30" t="inlineStr">
        <is>
          <t>2017</t>
        </is>
      </c>
      <c r="G5208" s="40" t="n">
        <v>111674.9</v>
      </c>
    </row>
    <row r="5209" ht="12" customHeight="1">
      <c r="A5209" s="30" t="inlineStr">
        <is>
          <t>ITG</t>
        </is>
      </c>
      <c r="B5209" s="30" t="inlineStr">
        <is>
          <t>Itaguai</t>
        </is>
      </c>
      <c r="C5209" s="30" t="n">
        <v>78579242</v>
      </c>
      <c r="D5209" s="30">
        <f>"19199348000269"</f>
        <v/>
      </c>
      <c r="E5209" s="30" t="inlineStr">
        <is>
          <t>SADA TRANSPORTES E ARMAZENAGENS S/A</t>
        </is>
      </c>
      <c r="F5209" s="30" t="inlineStr">
        <is>
          <t>2018</t>
        </is>
      </c>
      <c r="G5209" s="40" t="n">
        <v>16964.64</v>
      </c>
    </row>
    <row r="5210" ht="12" customHeight="1">
      <c r="A5210" s="30" t="inlineStr">
        <is>
          <t>ITG</t>
        </is>
      </c>
      <c r="B5210" s="30" t="inlineStr">
        <is>
          <t>Itaguai</t>
        </is>
      </c>
      <c r="C5210" s="30" t="n">
        <v>78579242</v>
      </c>
      <c r="D5210" s="30">
        <f>"19199348000269"</f>
        <v/>
      </c>
      <c r="E5210" s="30" t="inlineStr">
        <is>
          <t>SADA TRANSPORTES E ARMAZENAGENS S/A</t>
        </is>
      </c>
      <c r="F5210" s="30" t="inlineStr">
        <is>
          <t>2019</t>
        </is>
      </c>
      <c r="G5210" s="40" t="n">
        <v>0</v>
      </c>
    </row>
    <row r="5211" ht="12" customHeight="1">
      <c r="A5211" s="30" t="inlineStr">
        <is>
          <t>ITG</t>
        </is>
      </c>
      <c r="B5211" s="30" t="inlineStr">
        <is>
          <t>Itaguai</t>
        </is>
      </c>
      <c r="C5211" s="30" t="n">
        <v>78579242</v>
      </c>
      <c r="D5211" s="30">
        <f>"19199348000269"</f>
        <v/>
      </c>
      <c r="E5211" s="30" t="inlineStr">
        <is>
          <t>SADA TRANSPORTES E ARMAZENAGENS S/A</t>
        </is>
      </c>
      <c r="F5211" s="30" t="inlineStr">
        <is>
          <t>2020</t>
        </is>
      </c>
      <c r="G5211" s="40" t="n">
        <v>0</v>
      </c>
    </row>
    <row r="5212" ht="12" customHeight="1">
      <c r="A5212" s="30" t="inlineStr">
        <is>
          <t>ITG</t>
        </is>
      </c>
      <c r="B5212" s="30" t="inlineStr">
        <is>
          <t>Itaguai</t>
        </is>
      </c>
      <c r="C5212" s="30" t="n">
        <v>78579358</v>
      </c>
      <c r="D5212" s="30">
        <f>"10304682000180"</f>
        <v/>
      </c>
      <c r="E5212" s="30" t="inlineStr">
        <is>
          <t>MX SAMA ALIMENTOS LTDA EPP</t>
        </is>
      </c>
      <c r="F5212" s="30" t="inlineStr">
        <is>
          <t>2017</t>
        </is>
      </c>
      <c r="G5212" s="40" t="n">
        <v>0</v>
      </c>
    </row>
    <row r="5213" ht="12" customHeight="1">
      <c r="A5213" s="30" t="inlineStr">
        <is>
          <t>ITG</t>
        </is>
      </c>
      <c r="B5213" s="30" t="inlineStr">
        <is>
          <t>Itaguai</t>
        </is>
      </c>
      <c r="C5213" s="30" t="n">
        <v>78579358</v>
      </c>
      <c r="D5213" s="30">
        <f>"10304682000180"</f>
        <v/>
      </c>
      <c r="E5213" s="30" t="inlineStr">
        <is>
          <t>MX SAMA ALIMENTOS LTDA EPP</t>
        </is>
      </c>
      <c r="F5213" s="30" t="inlineStr">
        <is>
          <t>2018</t>
        </is>
      </c>
      <c r="G5213" s="40" t="n">
        <v>0</v>
      </c>
    </row>
    <row r="5214" ht="12" customHeight="1">
      <c r="A5214" s="30" t="inlineStr">
        <is>
          <t>ITG</t>
        </is>
      </c>
      <c r="B5214" s="30" t="inlineStr">
        <is>
          <t>Itaguai</t>
        </is>
      </c>
      <c r="C5214" s="30" t="n">
        <v>78579358</v>
      </c>
      <c r="D5214" s="30">
        <f>"10304682000180"</f>
        <v/>
      </c>
      <c r="E5214" s="30" t="inlineStr">
        <is>
          <t>MX SAMA ALIMENTOS LTDA EPP</t>
        </is>
      </c>
      <c r="F5214" s="30" t="inlineStr">
        <is>
          <t>2019</t>
        </is>
      </c>
      <c r="G5214" s="40" t="n">
        <v>0</v>
      </c>
    </row>
    <row r="5215" ht="12" customHeight="1">
      <c r="A5215" s="30" t="inlineStr">
        <is>
          <t>ITG</t>
        </is>
      </c>
      <c r="B5215" s="30" t="inlineStr">
        <is>
          <t>Itaguai</t>
        </is>
      </c>
      <c r="C5215" s="30" t="n">
        <v>78579358</v>
      </c>
      <c r="D5215" s="30">
        <f>"10304682000180"</f>
        <v/>
      </c>
      <c r="E5215" s="30" t="inlineStr">
        <is>
          <t>MX SAMA ALIMENTOS LTDA EPP</t>
        </is>
      </c>
      <c r="F5215" s="30" t="inlineStr">
        <is>
          <t>2020</t>
        </is>
      </c>
      <c r="G5215" s="40" t="n">
        <v>0</v>
      </c>
    </row>
    <row r="5216" ht="12" customHeight="1">
      <c r="A5216" s="30" t="inlineStr">
        <is>
          <t>ITG</t>
        </is>
      </c>
      <c r="B5216" s="30" t="inlineStr">
        <is>
          <t>Itaguai</t>
        </is>
      </c>
      <c r="C5216" s="30" t="n">
        <v>78581298</v>
      </c>
      <c r="D5216" s="30">
        <f>"13579271000780"</f>
        <v/>
      </c>
      <c r="E5216" s="30" t="inlineStr">
        <is>
          <t>RAJAN TRANSPORTES COM E IND LTDA</t>
        </is>
      </c>
      <c r="F5216" s="30" t="inlineStr">
        <is>
          <t>2019</t>
        </is>
      </c>
      <c r="G5216" s="40" t="n">
        <v>0</v>
      </c>
    </row>
    <row r="5217" ht="12" customHeight="1">
      <c r="A5217" s="30" t="inlineStr">
        <is>
          <t>ITG</t>
        </is>
      </c>
      <c r="B5217" s="30" t="inlineStr">
        <is>
          <t>Itaguai</t>
        </is>
      </c>
      <c r="C5217" s="30" t="n">
        <v>78581298</v>
      </c>
      <c r="D5217" s="30">
        <f>"13579271000780"</f>
        <v/>
      </c>
      <c r="E5217" s="30" t="inlineStr">
        <is>
          <t>RAJAN TRANSPORTES COM E IND LTDA</t>
        </is>
      </c>
      <c r="F5217" s="30" t="inlineStr">
        <is>
          <t>2020</t>
        </is>
      </c>
      <c r="G5217" s="40" t="n">
        <v>0</v>
      </c>
    </row>
    <row r="5218" ht="12" customHeight="1">
      <c r="A5218" s="30" t="inlineStr">
        <is>
          <t>ITG</t>
        </is>
      </c>
      <c r="B5218" s="30" t="inlineStr">
        <is>
          <t>Itaguai</t>
        </is>
      </c>
      <c r="C5218" s="30" t="n">
        <v>78581298</v>
      </c>
      <c r="D5218" s="30">
        <f>"13579271000780"</f>
        <v/>
      </c>
      <c r="E5218" s="30" t="inlineStr">
        <is>
          <t>RAJAN TRANSPORTES COM E IND LTDA</t>
        </is>
      </c>
      <c r="F5218" s="30" t="inlineStr">
        <is>
          <t>2021</t>
        </is>
      </c>
      <c r="G5218" s="40" t="n">
        <v>1807.13</v>
      </c>
    </row>
    <row r="5219" ht="12" customHeight="1">
      <c r="A5219" s="30" t="inlineStr">
        <is>
          <t>ITG</t>
        </is>
      </c>
      <c r="B5219" s="30" t="inlineStr">
        <is>
          <t>Itaguai</t>
        </is>
      </c>
      <c r="C5219" s="30" t="n">
        <v>78581298</v>
      </c>
      <c r="D5219" s="30">
        <f>"13579271000780"</f>
        <v/>
      </c>
      <c r="E5219" s="30" t="inlineStr">
        <is>
          <t>RAJAN TRANSPORTES COM E IND LTDA</t>
        </is>
      </c>
      <c r="F5219" s="30" t="inlineStr">
        <is>
          <t>2022</t>
        </is>
      </c>
      <c r="G5219" s="40" t="n">
        <v>719.14</v>
      </c>
    </row>
    <row r="5220" ht="12" customHeight="1">
      <c r="A5220" s="30" t="inlineStr">
        <is>
          <t>ITG</t>
        </is>
      </c>
      <c r="B5220" s="30" t="inlineStr">
        <is>
          <t>Itaguai</t>
        </is>
      </c>
      <c r="C5220" s="30" t="n">
        <v>78581298</v>
      </c>
      <c r="D5220" s="30">
        <f>"13579271000780"</f>
        <v/>
      </c>
      <c r="E5220" s="30" t="inlineStr">
        <is>
          <t>RAJAN TRANSPORTES COM E IND LTDA</t>
        </is>
      </c>
      <c r="F5220" s="30" t="inlineStr">
        <is>
          <t>2023</t>
        </is>
      </c>
      <c r="G5220" s="40" t="n">
        <v>0</v>
      </c>
    </row>
    <row r="5221" ht="12" customHeight="1">
      <c r="A5221" s="30" t="inlineStr">
        <is>
          <t>ITG</t>
        </is>
      </c>
      <c r="B5221" s="30" t="inlineStr">
        <is>
          <t>Itaguai</t>
        </is>
      </c>
      <c r="C5221" s="30" t="n">
        <v>78581620</v>
      </c>
      <c r="D5221" s="30">
        <f>"10142068000169"</f>
        <v/>
      </c>
      <c r="E5221" s="30" t="inlineStr">
        <is>
          <t>FRIGOMIX INDUSTRIA E COMERCIO DE CARNES LTDA</t>
        </is>
      </c>
      <c r="F5221" s="30" t="inlineStr">
        <is>
          <t>2017</t>
        </is>
      </c>
      <c r="G5221" s="40" t="n">
        <v>16566199.09</v>
      </c>
    </row>
    <row r="5222" ht="12" customHeight="1">
      <c r="A5222" s="30" t="inlineStr">
        <is>
          <t>ITG</t>
        </is>
      </c>
      <c r="B5222" s="30" t="inlineStr">
        <is>
          <t>Itaguai</t>
        </is>
      </c>
      <c r="C5222" s="30" t="n">
        <v>78581620</v>
      </c>
      <c r="D5222" s="30">
        <f>"10142068000169"</f>
        <v/>
      </c>
      <c r="E5222" s="30" t="inlineStr">
        <is>
          <t>FRIGOMIX INDUSTRIA E COMERCIO DE CARNES LTDA</t>
        </is>
      </c>
      <c r="F5222" s="30" t="inlineStr">
        <is>
          <t>2018</t>
        </is>
      </c>
      <c r="G5222" s="40" t="n">
        <v>20580676.38</v>
      </c>
    </row>
    <row r="5223" ht="12" customHeight="1">
      <c r="A5223" s="30" t="inlineStr">
        <is>
          <t>ITG</t>
        </is>
      </c>
      <c r="B5223" s="30" t="inlineStr">
        <is>
          <t>Itaguai</t>
        </is>
      </c>
      <c r="C5223" s="30" t="n">
        <v>78581620</v>
      </c>
      <c r="D5223" s="30">
        <f>"10142068000169"</f>
        <v/>
      </c>
      <c r="E5223" s="30" t="inlineStr">
        <is>
          <t>FRIGOMIX INDUSTRIA E COMERCIO DE CARNES LTDA</t>
        </is>
      </c>
      <c r="F5223" s="30" t="inlineStr">
        <is>
          <t>2019</t>
        </is>
      </c>
      <c r="G5223" s="40" t="n">
        <v>18664080.62</v>
      </c>
    </row>
    <row r="5224" ht="12" customHeight="1">
      <c r="A5224" s="30" t="inlineStr">
        <is>
          <t>ITG</t>
        </is>
      </c>
      <c r="B5224" s="30" t="inlineStr">
        <is>
          <t>Itaguai</t>
        </is>
      </c>
      <c r="C5224" s="30" t="n">
        <v>78581620</v>
      </c>
      <c r="D5224" s="30">
        <f>"10142068000169"</f>
        <v/>
      </c>
      <c r="E5224" s="30" t="inlineStr">
        <is>
          <t>FRIGOMIX INDUSTRIA E COMERCIO DE CARNES LTDA</t>
        </is>
      </c>
      <c r="F5224" s="30" t="inlineStr">
        <is>
          <t>2020</t>
        </is>
      </c>
      <c r="G5224" s="40" t="n">
        <v>23006550.09</v>
      </c>
    </row>
    <row r="5225" ht="12" customHeight="1">
      <c r="A5225" s="30" t="inlineStr">
        <is>
          <t>ITG</t>
        </is>
      </c>
      <c r="B5225" s="30" t="inlineStr">
        <is>
          <t>Itaguai</t>
        </is>
      </c>
      <c r="C5225" s="30" t="n">
        <v>78581620</v>
      </c>
      <c r="D5225" s="30">
        <f>"10142068000169"</f>
        <v/>
      </c>
      <c r="E5225" s="30" t="inlineStr">
        <is>
          <t>FRIGOMIX INDUSTRIA E COMERCIO DE CARNES LTDA</t>
        </is>
      </c>
      <c r="F5225" s="30" t="inlineStr">
        <is>
          <t>2021</t>
        </is>
      </c>
      <c r="G5225" s="40" t="n">
        <v>21459838.48</v>
      </c>
    </row>
    <row r="5226" ht="12" customHeight="1">
      <c r="A5226" s="30" t="inlineStr">
        <is>
          <t>ITG</t>
        </is>
      </c>
      <c r="B5226" s="30" t="inlineStr">
        <is>
          <t>Itaguai</t>
        </is>
      </c>
      <c r="C5226" s="30" t="n">
        <v>78581620</v>
      </c>
      <c r="D5226" s="30">
        <f>"10142068000169"</f>
        <v/>
      </c>
      <c r="E5226" s="30" t="inlineStr">
        <is>
          <t>FRIGOMIX INDUSTRIA E COMERCIO DE CARNES LTDA</t>
        </is>
      </c>
      <c r="F5226" s="30" t="inlineStr">
        <is>
          <t>2022</t>
        </is>
      </c>
      <c r="G5226" s="40" t="n">
        <v>16780833.69</v>
      </c>
    </row>
    <row r="5227" ht="12" customHeight="1">
      <c r="A5227" s="30" t="inlineStr">
        <is>
          <t>ITG</t>
        </is>
      </c>
      <c r="B5227" s="30" t="inlineStr">
        <is>
          <t>Itaguai</t>
        </is>
      </c>
      <c r="C5227" s="30" t="n">
        <v>78581620</v>
      </c>
      <c r="D5227" s="30">
        <f>"10142068000169"</f>
        <v/>
      </c>
      <c r="E5227" s="30" t="inlineStr">
        <is>
          <t>FRIGOMIX INDUSTRIA E COMERCIO DE CARNES LTDA</t>
        </is>
      </c>
      <c r="F5227" s="30" t="inlineStr">
        <is>
          <t>2023</t>
        </is>
      </c>
      <c r="G5227" s="40" t="n">
        <v>14347364.08</v>
      </c>
    </row>
    <row r="5228" ht="12" customHeight="1">
      <c r="A5228" s="30" t="inlineStr">
        <is>
          <t>ITG</t>
        </is>
      </c>
      <c r="B5228" s="30" t="inlineStr">
        <is>
          <t>Itaguai</t>
        </is>
      </c>
      <c r="C5228" s="30" t="n">
        <v>78583746</v>
      </c>
      <c r="D5228" s="30">
        <f>"10312737000101"</f>
        <v/>
      </c>
      <c r="E5228" s="30" t="inlineStr">
        <is>
          <t>N B TRANSPORTES DE MACAE LTDA</t>
        </is>
      </c>
      <c r="F5228" s="30" t="inlineStr">
        <is>
          <t>2021</t>
        </is>
      </c>
      <c r="G5228" s="40" t="n">
        <v>0</v>
      </c>
    </row>
    <row r="5229" ht="12" customHeight="1">
      <c r="A5229" s="30" t="inlineStr">
        <is>
          <t>ITG</t>
        </is>
      </c>
      <c r="B5229" s="30" t="inlineStr">
        <is>
          <t>Itaguai</t>
        </is>
      </c>
      <c r="C5229" s="30" t="n">
        <v>78583746</v>
      </c>
      <c r="D5229" s="30">
        <f>"10312737000101"</f>
        <v/>
      </c>
      <c r="E5229" s="30" t="inlineStr">
        <is>
          <t>N B TRANSPORTES DE MACAE LTDA</t>
        </is>
      </c>
      <c r="F5229" s="30" t="inlineStr">
        <is>
          <t>2022</t>
        </is>
      </c>
      <c r="G5229" s="40" t="n">
        <v>0</v>
      </c>
    </row>
    <row r="5230" ht="12" customHeight="1">
      <c r="A5230" s="30" t="inlineStr">
        <is>
          <t>ITG</t>
        </is>
      </c>
      <c r="B5230" s="30" t="inlineStr">
        <is>
          <t>Itaguai</t>
        </is>
      </c>
      <c r="C5230" s="30" t="n">
        <v>78583746</v>
      </c>
      <c r="D5230" s="30">
        <f>"10312737000101"</f>
        <v/>
      </c>
      <c r="E5230" s="30" t="inlineStr">
        <is>
          <t>N B TRANSPORTES DE MACAE LTDA</t>
        </is>
      </c>
      <c r="F5230" s="30" t="inlineStr">
        <is>
          <t>2023</t>
        </is>
      </c>
      <c r="G5230" s="40" t="n">
        <v>2796</v>
      </c>
    </row>
    <row r="5231" ht="12" customHeight="1">
      <c r="A5231" s="30" t="inlineStr">
        <is>
          <t>ITG</t>
        </is>
      </c>
      <c r="B5231" s="30" t="inlineStr">
        <is>
          <t>Itaguai</t>
        </is>
      </c>
      <c r="C5231" s="30" t="n">
        <v>78587555</v>
      </c>
      <c r="D5231" s="30">
        <f>"10218686000145"</f>
        <v/>
      </c>
      <c r="E5231" s="30" t="inlineStr">
        <is>
          <t>MP SIMETRIA CALCADOS LTDA</t>
        </is>
      </c>
      <c r="F5231" s="30" t="inlineStr">
        <is>
          <t>2017</t>
        </is>
      </c>
      <c r="G5231" s="40" t="n">
        <v>0</v>
      </c>
    </row>
    <row r="5232" ht="12" customHeight="1">
      <c r="A5232" s="30" t="inlineStr">
        <is>
          <t>ITG</t>
        </is>
      </c>
      <c r="B5232" s="30" t="inlineStr">
        <is>
          <t>Itaguai</t>
        </is>
      </c>
      <c r="C5232" s="30" t="n">
        <v>78587555</v>
      </c>
      <c r="D5232" s="30">
        <f>"10218686000145"</f>
        <v/>
      </c>
      <c r="E5232" s="30" t="inlineStr">
        <is>
          <t>MP SIMETRIA CALCADOS LTDA</t>
        </is>
      </c>
      <c r="F5232" s="30" t="inlineStr">
        <is>
          <t>2018</t>
        </is>
      </c>
      <c r="G5232" s="40" t="n">
        <v>0</v>
      </c>
    </row>
    <row r="5233" ht="12" customHeight="1">
      <c r="A5233" s="30" t="inlineStr">
        <is>
          <t>ITG</t>
        </is>
      </c>
      <c r="B5233" s="30" t="inlineStr">
        <is>
          <t>Itaguai</t>
        </is>
      </c>
      <c r="C5233" s="30" t="n">
        <v>78587555</v>
      </c>
      <c r="D5233" s="30">
        <f>"10218686000145"</f>
        <v/>
      </c>
      <c r="E5233" s="30" t="inlineStr">
        <is>
          <t>MP SIMETRIA CALCADOS LTDA</t>
        </is>
      </c>
      <c r="F5233" s="30" t="inlineStr">
        <is>
          <t>2019</t>
        </is>
      </c>
      <c r="G5233" s="40" t="n">
        <v>0</v>
      </c>
    </row>
    <row r="5234" ht="12" customHeight="1">
      <c r="A5234" s="30" t="inlineStr">
        <is>
          <t>ITG</t>
        </is>
      </c>
      <c r="B5234" s="30" t="inlineStr">
        <is>
          <t>Itaguai</t>
        </is>
      </c>
      <c r="C5234" s="30" t="n">
        <v>78604840</v>
      </c>
      <c r="D5234" s="30">
        <f>"10383159000196"</f>
        <v/>
      </c>
      <c r="E5234" s="30" t="inlineStr">
        <is>
          <t>DONATO TRANSPORTES LTDA</t>
        </is>
      </c>
      <c r="F5234" s="30" t="inlineStr">
        <is>
          <t>2017</t>
        </is>
      </c>
      <c r="G5234" s="40" t="n">
        <v>10290</v>
      </c>
    </row>
    <row r="5235" ht="12" customHeight="1">
      <c r="A5235" s="30" t="inlineStr">
        <is>
          <t>ITG</t>
        </is>
      </c>
      <c r="B5235" s="30" t="inlineStr">
        <is>
          <t>Itaguai</t>
        </is>
      </c>
      <c r="C5235" s="30" t="n">
        <v>78604840</v>
      </c>
      <c r="D5235" s="30">
        <f>"10383159000196"</f>
        <v/>
      </c>
      <c r="E5235" s="30" t="inlineStr">
        <is>
          <t>DONATO TRANSPORTES LTDA</t>
        </is>
      </c>
      <c r="F5235" s="30" t="inlineStr">
        <is>
          <t>2018</t>
        </is>
      </c>
      <c r="G5235" s="40" t="n">
        <v>0</v>
      </c>
    </row>
    <row r="5236" ht="12" customHeight="1">
      <c r="A5236" s="30" t="inlineStr">
        <is>
          <t>ITG</t>
        </is>
      </c>
      <c r="B5236" s="30" t="inlineStr">
        <is>
          <t>Itaguai</t>
        </is>
      </c>
      <c r="C5236" s="30" t="n">
        <v>78604840</v>
      </c>
      <c r="D5236" s="30">
        <f>"10383159000196"</f>
        <v/>
      </c>
      <c r="E5236" s="30" t="inlineStr">
        <is>
          <t>DONATO TRANSPORTES LTDA</t>
        </is>
      </c>
      <c r="F5236" s="30" t="inlineStr">
        <is>
          <t>2019</t>
        </is>
      </c>
      <c r="G5236" s="40" t="n">
        <v>0</v>
      </c>
    </row>
    <row r="5237" ht="12" customHeight="1">
      <c r="A5237" s="30" t="inlineStr">
        <is>
          <t>ITG</t>
        </is>
      </c>
      <c r="B5237" s="30" t="inlineStr">
        <is>
          <t>Itaguai</t>
        </is>
      </c>
      <c r="C5237" s="30" t="n">
        <v>78613432</v>
      </c>
      <c r="D5237" s="30">
        <f>"10408064000180"</f>
        <v/>
      </c>
      <c r="E5237" s="30" t="inlineStr">
        <is>
          <t>TATY LACERDA MODAS LTDA ME</t>
        </is>
      </c>
      <c r="F5237" s="30" t="inlineStr">
        <is>
          <t>2017</t>
        </is>
      </c>
      <c r="G5237" s="40" t="n">
        <v>0</v>
      </c>
    </row>
    <row r="5238" ht="12" customHeight="1">
      <c r="A5238" s="30" t="inlineStr">
        <is>
          <t>ITG</t>
        </is>
      </c>
      <c r="B5238" s="30" t="inlineStr">
        <is>
          <t>Itaguai</t>
        </is>
      </c>
      <c r="C5238" s="30" t="n">
        <v>78613432</v>
      </c>
      <c r="D5238" s="30">
        <f>"10408064000180"</f>
        <v/>
      </c>
      <c r="E5238" s="30" t="inlineStr">
        <is>
          <t>TATY LACERDA MODAS LTDA ME</t>
        </is>
      </c>
      <c r="F5238" s="30" t="inlineStr">
        <is>
          <t>2018</t>
        </is>
      </c>
      <c r="G5238" s="40" t="n">
        <v>0</v>
      </c>
    </row>
    <row r="5239" ht="12" customHeight="1">
      <c r="A5239" s="30" t="inlineStr">
        <is>
          <t>ITG</t>
        </is>
      </c>
      <c r="B5239" s="30" t="inlineStr">
        <is>
          <t>Itaguai</t>
        </is>
      </c>
      <c r="C5239" s="30" t="n">
        <v>78613432</v>
      </c>
      <c r="D5239" s="30">
        <f>"10408064000180"</f>
        <v/>
      </c>
      <c r="E5239" s="30" t="inlineStr">
        <is>
          <t>TATY LACERDA MODAS LTDA ME</t>
        </is>
      </c>
      <c r="F5239" s="30" t="inlineStr">
        <is>
          <t>2019</t>
        </is>
      </c>
      <c r="G5239" s="40" t="n">
        <v>0</v>
      </c>
    </row>
    <row r="5240" ht="12" customHeight="1">
      <c r="A5240" s="30" t="inlineStr">
        <is>
          <t>ITG</t>
        </is>
      </c>
      <c r="B5240" s="30" t="inlineStr">
        <is>
          <t>Itaguai</t>
        </is>
      </c>
      <c r="C5240" s="30" t="n">
        <v>78614200</v>
      </c>
      <c r="D5240" s="30">
        <f>"10290263000136"</f>
        <v/>
      </c>
      <c r="E5240" s="30" t="inlineStr">
        <is>
          <t>E LOURENCO EQUIPAMENTOS DE INFORMATICA LTDA ME</t>
        </is>
      </c>
      <c r="F5240" s="30" t="inlineStr">
        <is>
          <t>2017</t>
        </is>
      </c>
      <c r="G5240" s="40" t="n">
        <v>0</v>
      </c>
    </row>
    <row r="5241" ht="12" customHeight="1">
      <c r="A5241" s="30" t="inlineStr">
        <is>
          <t>ITG</t>
        </is>
      </c>
      <c r="B5241" s="30" t="inlineStr">
        <is>
          <t>Itaguai</t>
        </is>
      </c>
      <c r="C5241" s="30" t="n">
        <v>78614200</v>
      </c>
      <c r="D5241" s="30">
        <f>"10290263000136"</f>
        <v/>
      </c>
      <c r="E5241" s="30" t="inlineStr">
        <is>
          <t>E LOURENCO EQUIPAMENTOS DE INFORMATICA LTDA ME</t>
        </is>
      </c>
      <c r="F5241" s="30" t="inlineStr">
        <is>
          <t>2018</t>
        </is>
      </c>
      <c r="G5241" s="40" t="n">
        <v>0</v>
      </c>
    </row>
    <row r="5242" ht="12" customHeight="1">
      <c r="A5242" s="30" t="inlineStr">
        <is>
          <t>ITG</t>
        </is>
      </c>
      <c r="B5242" s="30" t="inlineStr">
        <is>
          <t>Itaguai</t>
        </is>
      </c>
      <c r="C5242" s="30" t="n">
        <v>78614200</v>
      </c>
      <c r="D5242" s="30">
        <f>"10290263000136"</f>
        <v/>
      </c>
      <c r="E5242" s="30" t="inlineStr">
        <is>
          <t>E LOURENCO EQUIPAMENTOS DE INFORMATICA LTDA ME</t>
        </is>
      </c>
      <c r="F5242" s="30" t="inlineStr">
        <is>
          <t>2019</t>
        </is>
      </c>
      <c r="G5242" s="40" t="n">
        <v>0</v>
      </c>
    </row>
    <row r="5243" ht="12" customHeight="1">
      <c r="A5243" s="30" t="inlineStr">
        <is>
          <t>ITG</t>
        </is>
      </c>
      <c r="B5243" s="30" t="inlineStr">
        <is>
          <t>Itaguai</t>
        </is>
      </c>
      <c r="C5243" s="30" t="n">
        <v>78614200</v>
      </c>
      <c r="D5243" s="30">
        <f>"10290263000136"</f>
        <v/>
      </c>
      <c r="E5243" s="30" t="inlineStr">
        <is>
          <t>E LOURENCO EQUIPAMENTOS DE INFORMATICA LTDA ME</t>
        </is>
      </c>
      <c r="F5243" s="30" t="inlineStr">
        <is>
          <t>2020</t>
        </is>
      </c>
      <c r="G5243" s="40" t="n">
        <v>0</v>
      </c>
    </row>
    <row r="5244" ht="12" customHeight="1">
      <c r="A5244" s="30" t="inlineStr">
        <is>
          <t>ITG</t>
        </is>
      </c>
      <c r="B5244" s="30" t="inlineStr">
        <is>
          <t>Itaguai</t>
        </is>
      </c>
      <c r="C5244" s="30" t="n">
        <v>78614200</v>
      </c>
      <c r="D5244" s="30">
        <f>"10290263000136"</f>
        <v/>
      </c>
      <c r="E5244" s="30" t="inlineStr">
        <is>
          <t>E LOURENCO EQUIPAMENTOS DE INFORMATICA LTDA ME</t>
        </is>
      </c>
      <c r="F5244" s="30" t="inlineStr">
        <is>
          <t>2021</t>
        </is>
      </c>
      <c r="G5244" s="40" t="n">
        <v>0</v>
      </c>
    </row>
    <row r="5245" ht="12" customHeight="1">
      <c r="A5245" s="30" t="inlineStr">
        <is>
          <t>ITG</t>
        </is>
      </c>
      <c r="B5245" s="30" t="inlineStr">
        <is>
          <t>Itaguai</t>
        </is>
      </c>
      <c r="C5245" s="30" t="n">
        <v>78616326</v>
      </c>
      <c r="D5245" s="30">
        <f>"10393647000184"</f>
        <v/>
      </c>
      <c r="E5245" s="30" t="inlineStr">
        <is>
          <t>M A G TERRAPLANAGEM TRANSPORTE E LOGISTICA LTDA</t>
        </is>
      </c>
      <c r="F5245" s="30" t="inlineStr">
        <is>
          <t>2017</t>
        </is>
      </c>
      <c r="G5245" s="40" t="n">
        <v>0</v>
      </c>
    </row>
    <row r="5246" ht="12" customHeight="1">
      <c r="A5246" s="30" t="inlineStr">
        <is>
          <t>ITG</t>
        </is>
      </c>
      <c r="B5246" s="30" t="inlineStr">
        <is>
          <t>Itaguai</t>
        </is>
      </c>
      <c r="C5246" s="30" t="n">
        <v>78616326</v>
      </c>
      <c r="D5246" s="30">
        <f>"10393647000184"</f>
        <v/>
      </c>
      <c r="E5246" s="30" t="inlineStr">
        <is>
          <t>M A G TERRAPLANAGEM TRANSPORTE E LOGISTICA LTDA</t>
        </is>
      </c>
      <c r="F5246" s="30" t="inlineStr">
        <is>
          <t>2018</t>
        </is>
      </c>
      <c r="G5246" s="40" t="n">
        <v>0</v>
      </c>
    </row>
    <row r="5247" ht="12" customHeight="1">
      <c r="A5247" s="30" t="inlineStr">
        <is>
          <t>ITG</t>
        </is>
      </c>
      <c r="B5247" s="30" t="inlineStr">
        <is>
          <t>Itaguai</t>
        </is>
      </c>
      <c r="C5247" s="30" t="n">
        <v>78616326</v>
      </c>
      <c r="D5247" s="30">
        <f>"10393647000184"</f>
        <v/>
      </c>
      <c r="E5247" s="30" t="inlineStr">
        <is>
          <t>M A G TERRAPLANAGEM TRANSPORTE E LOGISTICA LTDA</t>
        </is>
      </c>
      <c r="F5247" s="30" t="inlineStr">
        <is>
          <t>2019</t>
        </is>
      </c>
      <c r="G5247" s="40" t="n">
        <v>0</v>
      </c>
    </row>
    <row r="5248" ht="12" customHeight="1">
      <c r="A5248" s="30" t="inlineStr">
        <is>
          <t>ITG</t>
        </is>
      </c>
      <c r="B5248" s="30" t="inlineStr">
        <is>
          <t>Itaguai</t>
        </is>
      </c>
      <c r="C5248" s="30" t="n">
        <v>78632097</v>
      </c>
      <c r="D5248" s="30">
        <f>"07628915000195"</f>
        <v/>
      </c>
      <c r="E5248" s="30" t="inlineStr">
        <is>
          <t>TRANSPORTE RODOVIARIO CATUESA LTDA ME</t>
        </is>
      </c>
      <c r="F5248" s="30" t="inlineStr">
        <is>
          <t>2017</t>
        </is>
      </c>
      <c r="G5248" s="40" t="n">
        <v>0</v>
      </c>
    </row>
    <row r="5249" ht="12" customHeight="1">
      <c r="A5249" s="30" t="inlineStr">
        <is>
          <t>ITG</t>
        </is>
      </c>
      <c r="B5249" s="30" t="inlineStr">
        <is>
          <t>Itaguai</t>
        </is>
      </c>
      <c r="C5249" s="30" t="n">
        <v>78632097</v>
      </c>
      <c r="D5249" s="30">
        <f>"07628915000195"</f>
        <v/>
      </c>
      <c r="E5249" s="30" t="inlineStr">
        <is>
          <t>TRANSPORTE RODOVIARIO CATUESA LTDA ME</t>
        </is>
      </c>
      <c r="F5249" s="30" t="inlineStr">
        <is>
          <t>2018</t>
        </is>
      </c>
      <c r="G5249" s="40" t="n">
        <v>0</v>
      </c>
    </row>
    <row r="5250" ht="12" customHeight="1">
      <c r="A5250" s="30" t="inlineStr">
        <is>
          <t>ITG</t>
        </is>
      </c>
      <c r="B5250" s="30" t="inlineStr">
        <is>
          <t>Itaguai</t>
        </is>
      </c>
      <c r="C5250" s="30" t="n">
        <v>78632097</v>
      </c>
      <c r="D5250" s="30">
        <f>"07628915000195"</f>
        <v/>
      </c>
      <c r="E5250" s="30" t="inlineStr">
        <is>
          <t>TRANSPORTE RODOVIARIO CATUESA LTDA ME</t>
        </is>
      </c>
      <c r="F5250" s="30" t="inlineStr">
        <is>
          <t>2019</t>
        </is>
      </c>
      <c r="G5250" s="40" t="n">
        <v>0</v>
      </c>
    </row>
    <row r="5251" ht="12" customHeight="1">
      <c r="A5251" s="30" t="inlineStr">
        <is>
          <t>ITG</t>
        </is>
      </c>
      <c r="B5251" s="30" t="inlineStr">
        <is>
          <t>Itaguai</t>
        </is>
      </c>
      <c r="C5251" s="30" t="n">
        <v>78632097</v>
      </c>
      <c r="D5251" s="30">
        <f>"07628915000195"</f>
        <v/>
      </c>
      <c r="E5251" s="30" t="inlineStr">
        <is>
          <t>TRANSPORTE RODOVIARIO CATUESA LTDA ME</t>
        </is>
      </c>
      <c r="F5251" s="30" t="inlineStr">
        <is>
          <t>2020</t>
        </is>
      </c>
      <c r="G5251" s="40" t="n">
        <v>0</v>
      </c>
    </row>
    <row r="5252" ht="12" customHeight="1">
      <c r="A5252" s="30" t="inlineStr">
        <is>
          <t>ITG</t>
        </is>
      </c>
      <c r="B5252" s="30" t="inlineStr">
        <is>
          <t>Itaguai</t>
        </is>
      </c>
      <c r="C5252" s="30" t="n">
        <v>78632097</v>
      </c>
      <c r="D5252" s="30">
        <f>"07628915000195"</f>
        <v/>
      </c>
      <c r="E5252" s="30" t="inlineStr">
        <is>
          <t>TRANSPORTE RODOVIARIO CATUESA LTDA ME</t>
        </is>
      </c>
      <c r="F5252" s="30" t="inlineStr">
        <is>
          <t>2021</t>
        </is>
      </c>
      <c r="G5252" s="40" t="n">
        <v>0</v>
      </c>
    </row>
    <row r="5253" ht="12" customHeight="1">
      <c r="A5253" s="30" t="inlineStr">
        <is>
          <t>ITG</t>
        </is>
      </c>
      <c r="B5253" s="30" t="inlineStr">
        <is>
          <t>Itaguai</t>
        </is>
      </c>
      <c r="C5253" s="30" t="n">
        <v>78632097</v>
      </c>
      <c r="D5253" s="30">
        <f>"07628915000195"</f>
        <v/>
      </c>
      <c r="E5253" s="30" t="inlineStr">
        <is>
          <t>TRANSPORTE RODOVIARIO CATUESA LTDA ME</t>
        </is>
      </c>
      <c r="F5253" s="30" t="inlineStr">
        <is>
          <t>2022</t>
        </is>
      </c>
      <c r="G5253" s="40" t="n">
        <v>0</v>
      </c>
    </row>
    <row r="5254" ht="12" customHeight="1">
      <c r="A5254" s="30" t="inlineStr">
        <is>
          <t>ITG</t>
        </is>
      </c>
      <c r="B5254" s="30" t="inlineStr">
        <is>
          <t>Itaguai</t>
        </is>
      </c>
      <c r="C5254" s="30" t="n">
        <v>78633638</v>
      </c>
      <c r="D5254" s="30">
        <f>"10449779000180"</f>
        <v/>
      </c>
      <c r="E5254" s="30" t="inlineStr">
        <is>
          <t>MULTIFOX TRANSPORTES LTDA EPP</t>
        </is>
      </c>
      <c r="F5254" s="30" t="inlineStr">
        <is>
          <t>2017</t>
        </is>
      </c>
      <c r="G5254" s="40" t="n">
        <v>1233.96</v>
      </c>
    </row>
    <row r="5255" ht="12" customHeight="1">
      <c r="A5255" s="30" t="inlineStr">
        <is>
          <t>ITG</t>
        </is>
      </c>
      <c r="B5255" s="30" t="inlineStr">
        <is>
          <t>Itaguai</t>
        </is>
      </c>
      <c r="C5255" s="30" t="n">
        <v>78633638</v>
      </c>
      <c r="D5255" s="30">
        <f>"10449779000180"</f>
        <v/>
      </c>
      <c r="E5255" s="30" t="inlineStr">
        <is>
          <t>MULTIFOX TRANSPORTES LTDA EPP</t>
        </is>
      </c>
      <c r="F5255" s="30" t="inlineStr">
        <is>
          <t>2018</t>
        </is>
      </c>
      <c r="G5255" s="40" t="n">
        <v>0</v>
      </c>
    </row>
    <row r="5256" ht="12" customHeight="1">
      <c r="A5256" s="30" t="inlineStr">
        <is>
          <t>ITG</t>
        </is>
      </c>
      <c r="B5256" s="30" t="inlineStr">
        <is>
          <t>Itaguai</t>
        </is>
      </c>
      <c r="C5256" s="30" t="n">
        <v>78633638</v>
      </c>
      <c r="D5256" s="30">
        <f>"10449779000180"</f>
        <v/>
      </c>
      <c r="E5256" s="30" t="inlineStr">
        <is>
          <t>MULTIFOX TRANSPORTES LTDA EPP</t>
        </is>
      </c>
      <c r="F5256" s="30" t="inlineStr">
        <is>
          <t>2019</t>
        </is>
      </c>
      <c r="G5256" s="40" t="n">
        <v>0</v>
      </c>
    </row>
    <row r="5257" ht="12" customHeight="1">
      <c r="A5257" s="30" t="inlineStr">
        <is>
          <t>ITG</t>
        </is>
      </c>
      <c r="B5257" s="30" t="inlineStr">
        <is>
          <t>Itaguai</t>
        </is>
      </c>
      <c r="C5257" s="30" t="n">
        <v>78643463</v>
      </c>
      <c r="D5257" s="30">
        <f>"00591531000368"</f>
        <v/>
      </c>
      <c r="E5257" s="30" t="inlineStr">
        <is>
          <t>E J DE SOUZA - TRANSPORTES</t>
        </is>
      </c>
      <c r="F5257" s="30" t="inlineStr">
        <is>
          <t>2017</t>
        </is>
      </c>
      <c r="G5257" s="40" t="n">
        <v>0</v>
      </c>
    </row>
    <row r="5258" ht="12" customHeight="1">
      <c r="A5258" s="30" t="inlineStr">
        <is>
          <t>ITG</t>
        </is>
      </c>
      <c r="B5258" s="30" t="inlineStr">
        <is>
          <t>Itaguai</t>
        </is>
      </c>
      <c r="C5258" s="30" t="n">
        <v>78643463</v>
      </c>
      <c r="D5258" s="30">
        <f>"00591531000368"</f>
        <v/>
      </c>
      <c r="E5258" s="30" t="inlineStr">
        <is>
          <t>E J DE SOUZA - TRANSPORTES</t>
        </is>
      </c>
      <c r="F5258" s="30" t="inlineStr">
        <is>
          <t>2018</t>
        </is>
      </c>
      <c r="G5258" s="40" t="n">
        <v>0</v>
      </c>
    </row>
    <row r="5259" ht="12" customHeight="1">
      <c r="A5259" s="30" t="inlineStr">
        <is>
          <t>ITG</t>
        </is>
      </c>
      <c r="B5259" s="30" t="inlineStr">
        <is>
          <t>Itaguai</t>
        </is>
      </c>
      <c r="C5259" s="30" t="n">
        <v>78643463</v>
      </c>
      <c r="D5259" s="30">
        <f>"00591531000368"</f>
        <v/>
      </c>
      <c r="E5259" s="30" t="inlineStr">
        <is>
          <t>E J DE SOUZA - TRANSPORTES</t>
        </is>
      </c>
      <c r="F5259" s="30" t="inlineStr">
        <is>
          <t>2019</t>
        </is>
      </c>
      <c r="G5259" s="40" t="n">
        <v>266.51</v>
      </c>
    </row>
    <row r="5260" ht="12" customHeight="1">
      <c r="A5260" s="30" t="inlineStr">
        <is>
          <t>ITG</t>
        </is>
      </c>
      <c r="B5260" s="30" t="inlineStr">
        <is>
          <t>Itaguai</t>
        </is>
      </c>
      <c r="C5260" s="30" t="n">
        <v>78643463</v>
      </c>
      <c r="D5260" s="30">
        <f>"00591531000368"</f>
        <v/>
      </c>
      <c r="E5260" s="30" t="inlineStr">
        <is>
          <t>E J DE SOUZA - TRANSPORTES</t>
        </is>
      </c>
      <c r="F5260" s="30" t="inlineStr">
        <is>
          <t>2020</t>
        </is>
      </c>
      <c r="G5260" s="40" t="n">
        <v>70.73999999999999</v>
      </c>
    </row>
    <row r="5261" ht="12" customHeight="1">
      <c r="A5261" s="30" t="inlineStr">
        <is>
          <t>ITG</t>
        </is>
      </c>
      <c r="B5261" s="30" t="inlineStr">
        <is>
          <t>Itaguai</t>
        </is>
      </c>
      <c r="C5261" s="30" t="n">
        <v>78643463</v>
      </c>
      <c r="D5261" s="30">
        <f>"00591531000368"</f>
        <v/>
      </c>
      <c r="E5261" s="30" t="inlineStr">
        <is>
          <t>E J DE SOUZA - TRANSPORTES</t>
        </is>
      </c>
      <c r="F5261" s="30" t="inlineStr">
        <is>
          <t>2021</t>
        </is>
      </c>
      <c r="G5261" s="40" t="n">
        <v>0</v>
      </c>
    </row>
    <row r="5262" ht="12" customHeight="1">
      <c r="A5262" s="30" t="inlineStr">
        <is>
          <t>ITG</t>
        </is>
      </c>
      <c r="B5262" s="30" t="inlineStr">
        <is>
          <t>Itaguai</t>
        </is>
      </c>
      <c r="C5262" s="30" t="n">
        <v>78643463</v>
      </c>
      <c r="D5262" s="30">
        <f>"00591531000368"</f>
        <v/>
      </c>
      <c r="E5262" s="30" t="inlineStr">
        <is>
          <t>E J DE SOUZA - TRANSPORTES</t>
        </is>
      </c>
      <c r="F5262" s="30" t="inlineStr">
        <is>
          <t>2022</t>
        </is>
      </c>
      <c r="G5262" s="40" t="n">
        <v>0</v>
      </c>
    </row>
    <row r="5263" ht="12" customHeight="1">
      <c r="A5263" s="30" t="inlineStr">
        <is>
          <t>ITG</t>
        </is>
      </c>
      <c r="B5263" s="30" t="inlineStr">
        <is>
          <t>Itaguai</t>
        </is>
      </c>
      <c r="C5263" s="30" t="n">
        <v>78645288</v>
      </c>
      <c r="D5263" s="30">
        <f>"10386033000175"</f>
        <v/>
      </c>
      <c r="E5263" s="30" t="inlineStr">
        <is>
          <t>SHIVA TRANSPORTES LTDA</t>
        </is>
      </c>
      <c r="F5263" s="30" t="inlineStr">
        <is>
          <t>2021</t>
        </is>
      </c>
      <c r="G5263" s="40" t="n">
        <v>0</v>
      </c>
    </row>
    <row r="5264" ht="12" customHeight="1">
      <c r="A5264" s="30" t="inlineStr">
        <is>
          <t>ITG</t>
        </is>
      </c>
      <c r="B5264" s="30" t="inlineStr">
        <is>
          <t>Itaguai</t>
        </is>
      </c>
      <c r="C5264" s="30" t="n">
        <v>78645288</v>
      </c>
      <c r="D5264" s="30">
        <f>"10386033000175"</f>
        <v/>
      </c>
      <c r="E5264" s="30" t="inlineStr">
        <is>
          <t>SHIVA TRANSPORTES LTDA</t>
        </is>
      </c>
      <c r="F5264" s="30" t="inlineStr">
        <is>
          <t>2022</t>
        </is>
      </c>
      <c r="G5264" s="40" t="n">
        <v>0</v>
      </c>
    </row>
    <row r="5265" ht="12" customHeight="1">
      <c r="A5265" s="30" t="inlineStr">
        <is>
          <t>ITG</t>
        </is>
      </c>
      <c r="B5265" s="30" t="inlineStr">
        <is>
          <t>Itaguai</t>
        </is>
      </c>
      <c r="C5265" s="30" t="n">
        <v>78645288</v>
      </c>
      <c r="D5265" s="30">
        <f>"10386033000175"</f>
        <v/>
      </c>
      <c r="E5265" s="30" t="inlineStr">
        <is>
          <t>SHIVA TRANSPORTES LTDA</t>
        </is>
      </c>
      <c r="F5265" s="30" t="inlineStr">
        <is>
          <t>2023</t>
        </is>
      </c>
      <c r="G5265" s="40" t="n">
        <v>8777.809999999999</v>
      </c>
    </row>
    <row r="5266" ht="12" customHeight="1">
      <c r="A5266" s="30" t="inlineStr">
        <is>
          <t>ITG</t>
        </is>
      </c>
      <c r="B5266" s="30" t="inlineStr">
        <is>
          <t>Itaguai</t>
        </is>
      </c>
      <c r="C5266" s="30" t="n">
        <v>78655747</v>
      </c>
      <c r="D5266" s="30">
        <f>"10520551000130"</f>
        <v/>
      </c>
      <c r="E5266" s="30" t="inlineStr">
        <is>
          <t>AGIFLEX TRANSPORTES DE CARGAS LTDA</t>
        </is>
      </c>
      <c r="F5266" s="30" t="inlineStr">
        <is>
          <t>2017</t>
        </is>
      </c>
      <c r="G5266" s="40" t="n">
        <v>0</v>
      </c>
    </row>
    <row r="5267" ht="12" customHeight="1">
      <c r="A5267" s="30" t="inlineStr">
        <is>
          <t>ITG</t>
        </is>
      </c>
      <c r="B5267" s="30" t="inlineStr">
        <is>
          <t>Itaguai</t>
        </is>
      </c>
      <c r="C5267" s="30" t="n">
        <v>78655747</v>
      </c>
      <c r="D5267" s="30">
        <f>"10520551000130"</f>
        <v/>
      </c>
      <c r="E5267" s="30" t="inlineStr">
        <is>
          <t>AGIFLEX TRANSPORTES DE CARGAS LTDA</t>
        </is>
      </c>
      <c r="F5267" s="30" t="inlineStr">
        <is>
          <t>2018</t>
        </is>
      </c>
      <c r="G5267" s="40" t="n">
        <v>274.5</v>
      </c>
    </row>
    <row r="5268" ht="12" customHeight="1">
      <c r="A5268" s="30" t="inlineStr">
        <is>
          <t>ITG</t>
        </is>
      </c>
      <c r="B5268" s="30" t="inlineStr">
        <is>
          <t>Itaguai</t>
        </is>
      </c>
      <c r="C5268" s="30" t="n">
        <v>78655747</v>
      </c>
      <c r="D5268" s="30">
        <f>"10520551000130"</f>
        <v/>
      </c>
      <c r="E5268" s="30" t="inlineStr">
        <is>
          <t>AGIFLEX TRANSPORTES DE CARGAS LTDA</t>
        </is>
      </c>
      <c r="F5268" s="30" t="inlineStr">
        <is>
          <t>2019</t>
        </is>
      </c>
      <c r="G5268" s="40" t="n">
        <v>280.12</v>
      </c>
    </row>
    <row r="5269" ht="12" customHeight="1">
      <c r="A5269" s="30" t="inlineStr">
        <is>
          <t>ITG</t>
        </is>
      </c>
      <c r="B5269" s="30" t="inlineStr">
        <is>
          <t>Itaguai</t>
        </is>
      </c>
      <c r="C5269" s="30" t="n">
        <v>78655747</v>
      </c>
      <c r="D5269" s="30">
        <f>"10520551000130"</f>
        <v/>
      </c>
      <c r="E5269" s="30" t="inlineStr">
        <is>
          <t>AGIFLEX TRANSPORTES DE CARGAS LTDA</t>
        </is>
      </c>
      <c r="F5269" s="30" t="inlineStr">
        <is>
          <t>2020</t>
        </is>
      </c>
      <c r="G5269" s="40" t="n">
        <v>0</v>
      </c>
    </row>
    <row r="5270" ht="12" customHeight="1">
      <c r="A5270" s="30" t="inlineStr">
        <is>
          <t>ITG</t>
        </is>
      </c>
      <c r="B5270" s="30" t="inlineStr">
        <is>
          <t>Itaguai</t>
        </is>
      </c>
      <c r="C5270" s="30" t="n">
        <v>78655747</v>
      </c>
      <c r="D5270" s="30">
        <f>"10520551000130"</f>
        <v/>
      </c>
      <c r="E5270" s="30" t="inlineStr">
        <is>
          <t>AGIFLEX TRANSPORTES DE CARGAS LTDA</t>
        </is>
      </c>
      <c r="F5270" s="30" t="inlineStr">
        <is>
          <t>2021</t>
        </is>
      </c>
      <c r="G5270" s="40" t="n">
        <v>278.18</v>
      </c>
    </row>
    <row r="5271" ht="12" customHeight="1">
      <c r="A5271" s="30" t="inlineStr">
        <is>
          <t>ITG</t>
        </is>
      </c>
      <c r="B5271" s="30" t="inlineStr">
        <is>
          <t>Itaguai</t>
        </is>
      </c>
      <c r="C5271" s="30" t="n">
        <v>78655747</v>
      </c>
      <c r="D5271" s="30">
        <f>"10520551000130"</f>
        <v/>
      </c>
      <c r="E5271" s="30" t="inlineStr">
        <is>
          <t>AGIFLEX TRANSPORTES DE CARGAS LTDA</t>
        </is>
      </c>
      <c r="F5271" s="30" t="inlineStr">
        <is>
          <t>2022</t>
        </is>
      </c>
      <c r="G5271" s="40" t="n">
        <v>1147.73</v>
      </c>
    </row>
    <row r="5272" ht="12" customHeight="1">
      <c r="A5272" s="30" t="inlineStr">
        <is>
          <t>ITG</t>
        </is>
      </c>
      <c r="B5272" s="30" t="inlineStr">
        <is>
          <t>Itaguai</t>
        </is>
      </c>
      <c r="C5272" s="30" t="n">
        <v>78655747</v>
      </c>
      <c r="D5272" s="30">
        <f>"10520551000130"</f>
        <v/>
      </c>
      <c r="E5272" s="30" t="inlineStr">
        <is>
          <t>AGIFLEX TRANSPORTES DE CARGAS LTDA</t>
        </is>
      </c>
      <c r="F5272" s="30" t="inlineStr">
        <is>
          <t>2023</t>
        </is>
      </c>
      <c r="G5272" s="40" t="n">
        <v>5138.18</v>
      </c>
    </row>
    <row r="5273" ht="12" customHeight="1">
      <c r="A5273" s="30" t="inlineStr">
        <is>
          <t>ITG</t>
        </is>
      </c>
      <c r="B5273" s="30" t="inlineStr">
        <is>
          <t>Itaguai</t>
        </is>
      </c>
      <c r="C5273" s="30" t="n">
        <v>78666528</v>
      </c>
      <c r="D5273" s="30">
        <f>"10553018000174"</f>
        <v/>
      </c>
      <c r="E5273" s="30" t="inlineStr">
        <is>
          <t>RRLOG LOGISTICA E TRANSPORTADORA LTDA</t>
        </is>
      </c>
      <c r="F5273" s="30" t="inlineStr">
        <is>
          <t>2017</t>
        </is>
      </c>
      <c r="G5273" s="40" t="n">
        <v>116.44</v>
      </c>
    </row>
    <row r="5274" ht="12" customHeight="1">
      <c r="A5274" s="30" t="inlineStr">
        <is>
          <t>ITG</t>
        </is>
      </c>
      <c r="B5274" s="30" t="inlineStr">
        <is>
          <t>Itaguai</t>
        </is>
      </c>
      <c r="C5274" s="30" t="n">
        <v>78666528</v>
      </c>
      <c r="D5274" s="30">
        <f>"10553018000174"</f>
        <v/>
      </c>
      <c r="E5274" s="30" t="inlineStr">
        <is>
          <t>RRLOG LOGISTICA E TRANSPORTADORA LTDA</t>
        </is>
      </c>
      <c r="F5274" s="30" t="inlineStr">
        <is>
          <t>2018</t>
        </is>
      </c>
      <c r="G5274" s="40" t="n">
        <v>0</v>
      </c>
    </row>
    <row r="5275" ht="12" customHeight="1">
      <c r="A5275" s="30" t="inlineStr">
        <is>
          <t>ITG</t>
        </is>
      </c>
      <c r="B5275" s="30" t="inlineStr">
        <is>
          <t>Itaguai</t>
        </is>
      </c>
      <c r="C5275" s="30" t="n">
        <v>78666528</v>
      </c>
      <c r="D5275" s="30">
        <f>"10553018000174"</f>
        <v/>
      </c>
      <c r="E5275" s="30" t="inlineStr">
        <is>
          <t>RRLOG LOGISTICA E TRANSPORTADORA LTDA</t>
        </is>
      </c>
      <c r="F5275" s="30" t="inlineStr">
        <is>
          <t>2019</t>
        </is>
      </c>
      <c r="G5275" s="40" t="n">
        <v>0</v>
      </c>
    </row>
    <row r="5276" ht="12" customHeight="1">
      <c r="A5276" s="30" t="inlineStr">
        <is>
          <t>ITG</t>
        </is>
      </c>
      <c r="B5276" s="30" t="inlineStr">
        <is>
          <t>Itaguai</t>
        </is>
      </c>
      <c r="C5276" s="30" t="n">
        <v>78672471</v>
      </c>
      <c r="D5276" s="30">
        <f>"10536388000101"</f>
        <v/>
      </c>
      <c r="E5276" s="30" t="inlineStr">
        <is>
          <t>CASIN CASA DA SINALIZACAO,INDUSTRIA  E COMERCIO DE PRODUTOS  DE</t>
        </is>
      </c>
      <c r="F5276" s="30" t="inlineStr">
        <is>
          <t>2017</t>
        </is>
      </c>
      <c r="G5276" s="40" t="n">
        <v>46111.36</v>
      </c>
    </row>
    <row r="5277" ht="12" customHeight="1">
      <c r="A5277" s="30" t="inlineStr">
        <is>
          <t>ITG</t>
        </is>
      </c>
      <c r="B5277" s="30" t="inlineStr">
        <is>
          <t>Itaguai</t>
        </is>
      </c>
      <c r="C5277" s="30" t="n">
        <v>78672471</v>
      </c>
      <c r="D5277" s="30">
        <f>"10536388000101"</f>
        <v/>
      </c>
      <c r="E5277" s="30" t="inlineStr">
        <is>
          <t>CASIN CASA DA SINALIZACAO,INDUSTRIA  E COMERCIO DE PRODUTOS  DE</t>
        </is>
      </c>
      <c r="F5277" s="30" t="inlineStr">
        <is>
          <t>2018</t>
        </is>
      </c>
      <c r="G5277" s="40" t="n">
        <v>0</v>
      </c>
    </row>
    <row r="5278" ht="12" customHeight="1">
      <c r="A5278" s="30" t="inlineStr">
        <is>
          <t>ITG</t>
        </is>
      </c>
      <c r="B5278" s="30" t="inlineStr">
        <is>
          <t>Itaguai</t>
        </is>
      </c>
      <c r="C5278" s="30" t="n">
        <v>78672471</v>
      </c>
      <c r="D5278" s="30">
        <f>"10536388000101"</f>
        <v/>
      </c>
      <c r="E5278" s="30" t="inlineStr">
        <is>
          <t>CASIN CASA DA SINALIZACAO,INDUSTRIA  E COMERCIO DE PRODUTOS  DE</t>
        </is>
      </c>
      <c r="F5278" s="30" t="inlineStr">
        <is>
          <t>2019</t>
        </is>
      </c>
      <c r="G5278" s="40" t="n">
        <v>0</v>
      </c>
    </row>
    <row r="5279" ht="12" customHeight="1">
      <c r="A5279" s="30" t="inlineStr">
        <is>
          <t>ITG</t>
        </is>
      </c>
      <c r="B5279" s="30" t="inlineStr">
        <is>
          <t>Itaguai</t>
        </is>
      </c>
      <c r="C5279" s="30" t="n">
        <v>78675306</v>
      </c>
      <c r="D5279" s="30">
        <f>"10569074000105"</f>
        <v/>
      </c>
      <c r="E5279" s="30" t="inlineStr">
        <is>
          <t>DROGARIA RAMOS PIRES LTDA</t>
        </is>
      </c>
      <c r="F5279" s="30" t="inlineStr">
        <is>
          <t>2017</t>
        </is>
      </c>
      <c r="G5279" s="40" t="n">
        <v>0</v>
      </c>
    </row>
    <row r="5280" ht="12" customHeight="1">
      <c r="A5280" s="30" t="inlineStr">
        <is>
          <t>ITG</t>
        </is>
      </c>
      <c r="B5280" s="30" t="inlineStr">
        <is>
          <t>Itaguai</t>
        </is>
      </c>
      <c r="C5280" s="30" t="n">
        <v>78675306</v>
      </c>
      <c r="D5280" s="30">
        <f>"10569074000105"</f>
        <v/>
      </c>
      <c r="E5280" s="30" t="inlineStr">
        <is>
          <t>DROGARIA RAMOS PIRES LTDA</t>
        </is>
      </c>
      <c r="F5280" s="30" t="inlineStr">
        <is>
          <t>2018</t>
        </is>
      </c>
      <c r="G5280" s="40" t="n">
        <v>0</v>
      </c>
    </row>
    <row r="5281" ht="12" customHeight="1">
      <c r="A5281" s="30" t="inlineStr">
        <is>
          <t>ITG</t>
        </is>
      </c>
      <c r="B5281" s="30" t="inlineStr">
        <is>
          <t>Itaguai</t>
        </is>
      </c>
      <c r="C5281" s="30" t="n">
        <v>78675306</v>
      </c>
      <c r="D5281" s="30">
        <f>"10569074000105"</f>
        <v/>
      </c>
      <c r="E5281" s="30" t="inlineStr">
        <is>
          <t>DROGARIA RAMOS PIRES LTDA</t>
        </is>
      </c>
      <c r="F5281" s="30" t="inlineStr">
        <is>
          <t>2019</t>
        </is>
      </c>
      <c r="G5281" s="40" t="n">
        <v>276100.05</v>
      </c>
    </row>
    <row r="5282" ht="12" customHeight="1">
      <c r="A5282" s="30" t="inlineStr">
        <is>
          <t>ITG</t>
        </is>
      </c>
      <c r="B5282" s="30" t="inlineStr">
        <is>
          <t>Itaguai</t>
        </is>
      </c>
      <c r="C5282" s="30" t="n">
        <v>78675306</v>
      </c>
      <c r="D5282" s="30">
        <f>"10569074000105"</f>
        <v/>
      </c>
      <c r="E5282" s="30" t="inlineStr">
        <is>
          <t>DROGARIA RAMOS PIRES LTDA</t>
        </is>
      </c>
      <c r="F5282" s="30" t="inlineStr">
        <is>
          <t>2020</t>
        </is>
      </c>
      <c r="G5282" s="40" t="n">
        <v>97226.17</v>
      </c>
    </row>
    <row r="5283" ht="12" customHeight="1">
      <c r="A5283" s="30" t="inlineStr">
        <is>
          <t>ITG</t>
        </is>
      </c>
      <c r="B5283" s="30" t="inlineStr">
        <is>
          <t>Itaguai</t>
        </is>
      </c>
      <c r="C5283" s="30" t="n">
        <v>78675306</v>
      </c>
      <c r="D5283" s="30">
        <f>"10569074000105"</f>
        <v/>
      </c>
      <c r="E5283" s="30" t="inlineStr">
        <is>
          <t>DROGARIA RAMOS PIRES LTDA</t>
        </is>
      </c>
      <c r="F5283" s="30" t="inlineStr">
        <is>
          <t>2021</t>
        </is>
      </c>
      <c r="G5283" s="40" t="n">
        <v>25006.71</v>
      </c>
    </row>
    <row r="5284" ht="12" customHeight="1">
      <c r="A5284" s="30" t="inlineStr">
        <is>
          <t>ITG</t>
        </is>
      </c>
      <c r="B5284" s="30" t="inlineStr">
        <is>
          <t>Itaguai</t>
        </is>
      </c>
      <c r="C5284" s="30" t="n">
        <v>78675306</v>
      </c>
      <c r="D5284" s="30">
        <f>"10569074000105"</f>
        <v/>
      </c>
      <c r="E5284" s="30" t="inlineStr">
        <is>
          <t>DROGARIA RAMOS PIRES LTDA</t>
        </is>
      </c>
      <c r="F5284" s="30" t="inlineStr">
        <is>
          <t>2022</t>
        </is>
      </c>
      <c r="G5284" s="40" t="n">
        <v>0</v>
      </c>
    </row>
    <row r="5285" ht="12" customHeight="1">
      <c r="A5285" s="30" t="inlineStr">
        <is>
          <t>ITG</t>
        </is>
      </c>
      <c r="B5285" s="30" t="inlineStr">
        <is>
          <t>Itaguai</t>
        </is>
      </c>
      <c r="C5285" s="30" t="n">
        <v>78675306</v>
      </c>
      <c r="D5285" s="30">
        <f>"10569074000105"</f>
        <v/>
      </c>
      <c r="E5285" s="30" t="inlineStr">
        <is>
          <t>DROGARIA RAMOS PIRES LTDA</t>
        </is>
      </c>
      <c r="F5285" s="30" t="inlineStr">
        <is>
          <t>2023</t>
        </is>
      </c>
      <c r="G5285" s="40" t="n">
        <v>0</v>
      </c>
    </row>
    <row r="5286" ht="12" customHeight="1">
      <c r="A5286" s="30" t="inlineStr">
        <is>
          <t>ITG</t>
        </is>
      </c>
      <c r="B5286" s="30" t="inlineStr">
        <is>
          <t>Itaguai</t>
        </is>
      </c>
      <c r="C5286" s="30" t="n">
        <v>78676850</v>
      </c>
      <c r="D5286" s="30">
        <f>"09296295000321"</f>
        <v/>
      </c>
      <c r="E5286" s="30" t="inlineStr">
        <is>
          <t>AZUL LINHAS AEREAS BRASILEIRAS S A</t>
        </is>
      </c>
      <c r="F5286" s="30" t="inlineStr">
        <is>
          <t>2017</t>
        </is>
      </c>
      <c r="G5286" s="40" t="n">
        <v>1084.01</v>
      </c>
    </row>
    <row r="5287" ht="12" customHeight="1">
      <c r="A5287" s="30" t="inlineStr">
        <is>
          <t>ITG</t>
        </is>
      </c>
      <c r="B5287" s="30" t="inlineStr">
        <is>
          <t>Itaguai</t>
        </is>
      </c>
      <c r="C5287" s="30" t="n">
        <v>78676850</v>
      </c>
      <c r="D5287" s="30">
        <f>"09296295000321"</f>
        <v/>
      </c>
      <c r="E5287" s="30" t="inlineStr">
        <is>
          <t>AZUL LINHAS AEREAS BRASILEIRAS S A</t>
        </is>
      </c>
      <c r="F5287" s="30" t="inlineStr">
        <is>
          <t>2018</t>
        </is>
      </c>
      <c r="G5287" s="40" t="n">
        <v>1092.11</v>
      </c>
    </row>
    <row r="5288" ht="12" customHeight="1">
      <c r="A5288" s="30" t="inlineStr">
        <is>
          <t>ITG</t>
        </is>
      </c>
      <c r="B5288" s="30" t="inlineStr">
        <is>
          <t>Itaguai</t>
        </is>
      </c>
      <c r="C5288" s="30" t="n">
        <v>78676850</v>
      </c>
      <c r="D5288" s="30">
        <f>"09296295000321"</f>
        <v/>
      </c>
      <c r="E5288" s="30" t="inlineStr">
        <is>
          <t>AZUL LINHAS AEREAS BRASILEIRAS S A</t>
        </is>
      </c>
      <c r="F5288" s="30" t="inlineStr">
        <is>
          <t>2019</t>
        </is>
      </c>
      <c r="G5288" s="40" t="n">
        <v>0</v>
      </c>
    </row>
    <row r="5289" ht="12" customHeight="1">
      <c r="A5289" s="30" t="inlineStr">
        <is>
          <t>ITG</t>
        </is>
      </c>
      <c r="B5289" s="30" t="inlineStr">
        <is>
          <t>Itaguai</t>
        </is>
      </c>
      <c r="C5289" s="30" t="n">
        <v>78676850</v>
      </c>
      <c r="D5289" s="30">
        <f>"09296295000321"</f>
        <v/>
      </c>
      <c r="E5289" s="30" t="inlineStr">
        <is>
          <t>AZUL LINHAS AEREAS BRASILEIRAS S A</t>
        </is>
      </c>
      <c r="F5289" s="30" t="inlineStr">
        <is>
          <t>2020</t>
        </is>
      </c>
      <c r="G5289" s="40" t="n">
        <v>0</v>
      </c>
    </row>
    <row r="5290" ht="12" customHeight="1">
      <c r="A5290" s="30" t="inlineStr">
        <is>
          <t>ITG</t>
        </is>
      </c>
      <c r="B5290" s="30" t="inlineStr">
        <is>
          <t>Itaguai</t>
        </is>
      </c>
      <c r="C5290" s="30" t="n">
        <v>78682566</v>
      </c>
      <c r="D5290" s="30">
        <f>"08599609000130"</f>
        <v/>
      </c>
      <c r="E5290" s="30" t="inlineStr">
        <is>
          <t>IGUANA ENROLAMENTO DE MOTORES LTDA</t>
        </is>
      </c>
      <c r="F5290" s="30" t="inlineStr">
        <is>
          <t>2017</t>
        </is>
      </c>
      <c r="G5290" s="40" t="n">
        <v>0</v>
      </c>
    </row>
    <row r="5291" ht="12" customHeight="1">
      <c r="A5291" s="30" t="inlineStr">
        <is>
          <t>ITG</t>
        </is>
      </c>
      <c r="B5291" s="30" t="inlineStr">
        <is>
          <t>Itaguai</t>
        </is>
      </c>
      <c r="C5291" s="30" t="n">
        <v>78682566</v>
      </c>
      <c r="D5291" s="30">
        <f>"08599609000130"</f>
        <v/>
      </c>
      <c r="E5291" s="30" t="inlineStr">
        <is>
          <t>IGUANA ENROLAMENTO DE MOTORES LTDA</t>
        </is>
      </c>
      <c r="F5291" s="30" t="inlineStr">
        <is>
          <t>2018</t>
        </is>
      </c>
      <c r="G5291" s="40" t="n">
        <v>0</v>
      </c>
    </row>
    <row r="5292" ht="12" customHeight="1">
      <c r="A5292" s="30" t="inlineStr">
        <is>
          <t>ITG</t>
        </is>
      </c>
      <c r="B5292" s="30" t="inlineStr">
        <is>
          <t>Itaguai</t>
        </is>
      </c>
      <c r="C5292" s="30" t="n">
        <v>78682566</v>
      </c>
      <c r="D5292" s="30">
        <f>"08599609000130"</f>
        <v/>
      </c>
      <c r="E5292" s="30" t="inlineStr">
        <is>
          <t>IGUANA ENROLAMENTO DE MOTORES LTDA</t>
        </is>
      </c>
      <c r="F5292" s="30" t="inlineStr">
        <is>
          <t>2019</t>
        </is>
      </c>
      <c r="G5292" s="40" t="n">
        <v>0</v>
      </c>
    </row>
    <row r="5293" ht="12" customHeight="1">
      <c r="A5293" s="30" t="inlineStr">
        <is>
          <t>ITG</t>
        </is>
      </c>
      <c r="B5293" s="30" t="inlineStr">
        <is>
          <t>Itaguai</t>
        </is>
      </c>
      <c r="C5293" s="30" t="n">
        <v>78686111</v>
      </c>
      <c r="D5293" s="30">
        <f>"10526585000131"</f>
        <v/>
      </c>
      <c r="E5293" s="30" t="inlineStr">
        <is>
          <t>TILIM DISTRIBUIDORA DE ALIMENTOS LTDA</t>
        </is>
      </c>
      <c r="F5293" s="30" t="inlineStr">
        <is>
          <t>2020</t>
        </is>
      </c>
      <c r="G5293" s="40" t="n">
        <v>0</v>
      </c>
    </row>
    <row r="5294" ht="12" customHeight="1">
      <c r="A5294" s="30" t="inlineStr">
        <is>
          <t>ITG</t>
        </is>
      </c>
      <c r="B5294" s="30" t="inlineStr">
        <is>
          <t>Itaguai</t>
        </is>
      </c>
      <c r="C5294" s="30" t="n">
        <v>78686111</v>
      </c>
      <c r="D5294" s="30">
        <f>"10526585000131"</f>
        <v/>
      </c>
      <c r="E5294" s="30" t="inlineStr">
        <is>
          <t>TILIM DISTRIBUIDORA DE ALIMENTOS LTDA</t>
        </is>
      </c>
      <c r="F5294" s="30" t="inlineStr">
        <is>
          <t>2021</t>
        </is>
      </c>
      <c r="G5294" s="40" t="n">
        <v>0</v>
      </c>
    </row>
    <row r="5295" ht="12" customHeight="1">
      <c r="A5295" s="30" t="inlineStr">
        <is>
          <t>ITG</t>
        </is>
      </c>
      <c r="B5295" s="30" t="inlineStr">
        <is>
          <t>Itaguai</t>
        </is>
      </c>
      <c r="C5295" s="30" t="n">
        <v>78686111</v>
      </c>
      <c r="D5295" s="30">
        <f>"10526585000131"</f>
        <v/>
      </c>
      <c r="E5295" s="30" t="inlineStr">
        <is>
          <t>TILIM DISTRIBUIDORA DE ALIMENTOS LTDA</t>
        </is>
      </c>
      <c r="F5295" s="30" t="inlineStr">
        <is>
          <t>2022</t>
        </is>
      </c>
      <c r="G5295" s="40" t="n">
        <v>409183.34</v>
      </c>
    </row>
    <row r="5296" ht="12" customHeight="1">
      <c r="A5296" s="30" t="inlineStr">
        <is>
          <t>ITG</t>
        </is>
      </c>
      <c r="B5296" s="30" t="inlineStr">
        <is>
          <t>Itaguai</t>
        </is>
      </c>
      <c r="C5296" s="30" t="n">
        <v>78686111</v>
      </c>
      <c r="D5296" s="30">
        <f>"10526585000131"</f>
        <v/>
      </c>
      <c r="E5296" s="30" t="inlineStr">
        <is>
          <t>TILIM DISTRIBUIDORA DE ALIMENTOS LTDA</t>
        </is>
      </c>
      <c r="F5296" s="30" t="inlineStr">
        <is>
          <t>2023</t>
        </is>
      </c>
      <c r="G5296" s="40" t="n">
        <v>148797.57</v>
      </c>
    </row>
    <row r="5297" ht="12" customHeight="1">
      <c r="A5297" s="30" t="inlineStr">
        <is>
          <t>ITG</t>
        </is>
      </c>
      <c r="B5297" s="30" t="inlineStr">
        <is>
          <t>Itaguai</t>
        </is>
      </c>
      <c r="C5297" s="30" t="n">
        <v>78686707</v>
      </c>
      <c r="D5297" s="30">
        <f>"10505938000117"</f>
        <v/>
      </c>
      <c r="E5297" s="30" t="inlineStr">
        <is>
          <t>EMPRESA DE TRANSPORTES INVICTA X LTDA ME</t>
        </is>
      </c>
      <c r="F5297" s="30" t="inlineStr">
        <is>
          <t>2018</t>
        </is>
      </c>
      <c r="G5297" s="40" t="n">
        <v>0</v>
      </c>
    </row>
    <row r="5298" ht="12" customHeight="1">
      <c r="A5298" s="30" t="inlineStr">
        <is>
          <t>ITG</t>
        </is>
      </c>
      <c r="B5298" s="30" t="inlineStr">
        <is>
          <t>Itaguai</t>
        </is>
      </c>
      <c r="C5298" s="30" t="n">
        <v>78686707</v>
      </c>
      <c r="D5298" s="30">
        <f>"10505938000117"</f>
        <v/>
      </c>
      <c r="E5298" s="30" t="inlineStr">
        <is>
          <t>EMPRESA DE TRANSPORTES INVICTA X LTDA ME</t>
        </is>
      </c>
      <c r="F5298" s="30" t="inlineStr">
        <is>
          <t>2019</t>
        </is>
      </c>
      <c r="G5298" s="40" t="n">
        <v>0</v>
      </c>
    </row>
    <row r="5299" ht="12" customHeight="1">
      <c r="A5299" s="30" t="inlineStr">
        <is>
          <t>ITG</t>
        </is>
      </c>
      <c r="B5299" s="30" t="inlineStr">
        <is>
          <t>Itaguai</t>
        </is>
      </c>
      <c r="C5299" s="30" t="n">
        <v>78686707</v>
      </c>
      <c r="D5299" s="30">
        <f>"10505938000117"</f>
        <v/>
      </c>
      <c r="E5299" s="30" t="inlineStr">
        <is>
          <t>EMPRESA DE TRANSPORTES INVICTA X LTDA ME</t>
        </is>
      </c>
      <c r="F5299" s="30" t="inlineStr">
        <is>
          <t>2020</t>
        </is>
      </c>
      <c r="G5299" s="40" t="n">
        <v>19262.78</v>
      </c>
    </row>
    <row r="5300" ht="12" customHeight="1">
      <c r="A5300" s="30" t="inlineStr">
        <is>
          <t>ITG</t>
        </is>
      </c>
      <c r="B5300" s="30" t="inlineStr">
        <is>
          <t>Itaguai</t>
        </is>
      </c>
      <c r="C5300" s="30" t="n">
        <v>78686707</v>
      </c>
      <c r="D5300" s="30">
        <f>"10505938000117"</f>
        <v/>
      </c>
      <c r="E5300" s="30" t="inlineStr">
        <is>
          <t>EMPRESA DE TRANSPORTES INVICTA X LTDA ME</t>
        </is>
      </c>
      <c r="F5300" s="30" t="inlineStr">
        <is>
          <t>2021</t>
        </is>
      </c>
      <c r="G5300" s="40" t="n">
        <v>0</v>
      </c>
    </row>
    <row r="5301" ht="12" customHeight="1">
      <c r="A5301" s="30" t="inlineStr">
        <is>
          <t>ITG</t>
        </is>
      </c>
      <c r="B5301" s="30" t="inlineStr">
        <is>
          <t>Itaguai</t>
        </is>
      </c>
      <c r="C5301" s="30" t="n">
        <v>78686707</v>
      </c>
      <c r="D5301" s="30">
        <f>"10505938000117"</f>
        <v/>
      </c>
      <c r="E5301" s="30" t="inlineStr">
        <is>
          <t>EMPRESA DE TRANSPORTES INVICTA X LTDA ME</t>
        </is>
      </c>
      <c r="F5301" s="30" t="inlineStr">
        <is>
          <t>2022</t>
        </is>
      </c>
      <c r="G5301" s="40" t="n">
        <v>0</v>
      </c>
    </row>
    <row r="5302" ht="12" customHeight="1">
      <c r="A5302" s="30" t="inlineStr">
        <is>
          <t>ITG</t>
        </is>
      </c>
      <c r="B5302" s="30" t="inlineStr">
        <is>
          <t>Itaguai</t>
        </is>
      </c>
      <c r="C5302" s="30" t="n">
        <v>78696362</v>
      </c>
      <c r="D5302" s="30">
        <f>"39777776000158"</f>
        <v/>
      </c>
      <c r="E5302" s="30" t="inlineStr">
        <is>
          <t>LASSAC REPRESENTACOES LTDA - ME</t>
        </is>
      </c>
      <c r="F5302" s="30" t="inlineStr">
        <is>
          <t>2018</t>
        </is>
      </c>
      <c r="G5302" s="40" t="n">
        <v>0</v>
      </c>
    </row>
    <row r="5303" ht="12" customHeight="1">
      <c r="A5303" s="30" t="inlineStr">
        <is>
          <t>ITG</t>
        </is>
      </c>
      <c r="B5303" s="30" t="inlineStr">
        <is>
          <t>Itaguai</t>
        </is>
      </c>
      <c r="C5303" s="30" t="n">
        <v>78696362</v>
      </c>
      <c r="D5303" s="30">
        <f>"39777776000158"</f>
        <v/>
      </c>
      <c r="E5303" s="30" t="inlineStr">
        <is>
          <t>LASSAC REPRESENTACOES LTDA - ME</t>
        </is>
      </c>
      <c r="F5303" s="30" t="inlineStr">
        <is>
          <t>2019</t>
        </is>
      </c>
      <c r="G5303" s="40" t="n">
        <v>0</v>
      </c>
    </row>
    <row r="5304" ht="12" customHeight="1">
      <c r="A5304" s="30" t="inlineStr">
        <is>
          <t>ITG</t>
        </is>
      </c>
      <c r="B5304" s="30" t="inlineStr">
        <is>
          <t>Itaguai</t>
        </is>
      </c>
      <c r="C5304" s="30" t="n">
        <v>78696362</v>
      </c>
      <c r="D5304" s="30">
        <f>"39777776000158"</f>
        <v/>
      </c>
      <c r="E5304" s="30" t="inlineStr">
        <is>
          <t>LASSAC REPRESENTACOES LTDA - ME</t>
        </is>
      </c>
      <c r="F5304" s="30" t="inlineStr">
        <is>
          <t>2020</t>
        </is>
      </c>
      <c r="G5304" s="40" t="n">
        <v>114831.74</v>
      </c>
    </row>
    <row r="5305" ht="12" customHeight="1">
      <c r="A5305" s="30" t="inlineStr">
        <is>
          <t>ITG</t>
        </is>
      </c>
      <c r="B5305" s="30" t="inlineStr">
        <is>
          <t>Itaguai</t>
        </is>
      </c>
      <c r="C5305" s="30" t="n">
        <v>78696362</v>
      </c>
      <c r="D5305" s="30">
        <f>"39777776000158"</f>
        <v/>
      </c>
      <c r="E5305" s="30" t="inlineStr">
        <is>
          <t>LASSAC REPRESENTACOES LTDA - ME</t>
        </is>
      </c>
      <c r="F5305" s="30" t="inlineStr">
        <is>
          <t>2021</t>
        </is>
      </c>
      <c r="G5305" s="40" t="n">
        <v>91847.99000000001</v>
      </c>
    </row>
    <row r="5306" ht="12" customHeight="1">
      <c r="A5306" s="30" t="inlineStr">
        <is>
          <t>ITG</t>
        </is>
      </c>
      <c r="B5306" s="30" t="inlineStr">
        <is>
          <t>Itaguai</t>
        </is>
      </c>
      <c r="C5306" s="30" t="n">
        <v>78696362</v>
      </c>
      <c r="D5306" s="30">
        <f>"39777776000158"</f>
        <v/>
      </c>
      <c r="E5306" s="30" t="inlineStr">
        <is>
          <t>LASSAC REPRESENTACOES LTDA - ME</t>
        </is>
      </c>
      <c r="F5306" s="30" t="inlineStr">
        <is>
          <t>2022</t>
        </is>
      </c>
      <c r="G5306" s="40" t="n">
        <v>240456.27</v>
      </c>
    </row>
    <row r="5307" ht="12" customHeight="1">
      <c r="A5307" s="30" t="inlineStr">
        <is>
          <t>ITG</t>
        </is>
      </c>
      <c r="B5307" s="30" t="inlineStr">
        <is>
          <t>Itaguai</t>
        </is>
      </c>
      <c r="C5307" s="30" t="n">
        <v>78696362</v>
      </c>
      <c r="D5307" s="30">
        <f>"39777776000158"</f>
        <v/>
      </c>
      <c r="E5307" s="30" t="inlineStr">
        <is>
          <t>LASSAC REPRESENTACOES LTDA - ME</t>
        </is>
      </c>
      <c r="F5307" s="30" t="inlineStr">
        <is>
          <t>2023</t>
        </is>
      </c>
      <c r="G5307" s="40" t="n">
        <v>0</v>
      </c>
    </row>
    <row r="5308" ht="12" customHeight="1">
      <c r="A5308" s="30" t="inlineStr">
        <is>
          <t>ITG</t>
        </is>
      </c>
      <c r="B5308" s="30" t="inlineStr">
        <is>
          <t>Itaguai</t>
        </is>
      </c>
      <c r="C5308" s="30" t="n">
        <v>78704284</v>
      </c>
      <c r="D5308" s="30">
        <f>"08512037000372"</f>
        <v/>
      </c>
      <c r="E5308" s="30" t="inlineStr">
        <is>
          <t>GHISOLFI LOGISTICA E TRANSPORTE LTDA</t>
        </is>
      </c>
      <c r="F5308" s="30" t="inlineStr">
        <is>
          <t>2019</t>
        </is>
      </c>
      <c r="G5308" s="40" t="n">
        <v>0</v>
      </c>
    </row>
    <row r="5309" ht="12" customHeight="1">
      <c r="A5309" s="30" t="inlineStr">
        <is>
          <t>ITG</t>
        </is>
      </c>
      <c r="B5309" s="30" t="inlineStr">
        <is>
          <t>Itaguai</t>
        </is>
      </c>
      <c r="C5309" s="30" t="n">
        <v>78704284</v>
      </c>
      <c r="D5309" s="30">
        <f>"08512037000372"</f>
        <v/>
      </c>
      <c r="E5309" s="30" t="inlineStr">
        <is>
          <t>GHISOLFI LOGISTICA E TRANSPORTE LTDA</t>
        </is>
      </c>
      <c r="F5309" s="30" t="inlineStr">
        <is>
          <t>2020</t>
        </is>
      </c>
      <c r="G5309" s="40" t="n">
        <v>0</v>
      </c>
    </row>
    <row r="5310" ht="12" customHeight="1">
      <c r="A5310" s="30" t="inlineStr">
        <is>
          <t>ITG</t>
        </is>
      </c>
      <c r="B5310" s="30" t="inlineStr">
        <is>
          <t>Itaguai</t>
        </is>
      </c>
      <c r="C5310" s="30" t="n">
        <v>78704284</v>
      </c>
      <c r="D5310" s="30">
        <f>"08512037000372"</f>
        <v/>
      </c>
      <c r="E5310" s="30" t="inlineStr">
        <is>
          <t>GHISOLFI LOGISTICA E TRANSPORTE LTDA</t>
        </is>
      </c>
      <c r="F5310" s="30" t="inlineStr">
        <is>
          <t>2021</t>
        </is>
      </c>
      <c r="G5310" s="40" t="n">
        <v>7096.8</v>
      </c>
    </row>
    <row r="5311" ht="12" customHeight="1">
      <c r="A5311" s="30" t="inlineStr">
        <is>
          <t>ITG</t>
        </is>
      </c>
      <c r="B5311" s="30" t="inlineStr">
        <is>
          <t>Itaguai</t>
        </is>
      </c>
      <c r="C5311" s="30" t="n">
        <v>78704284</v>
      </c>
      <c r="D5311" s="30">
        <f>"08512037000372"</f>
        <v/>
      </c>
      <c r="E5311" s="30" t="inlineStr">
        <is>
          <t>GHISOLFI LOGISTICA E TRANSPORTE LTDA</t>
        </is>
      </c>
      <c r="F5311" s="30" t="inlineStr">
        <is>
          <t>2022</t>
        </is>
      </c>
      <c r="G5311" s="40" t="n">
        <v>0</v>
      </c>
    </row>
    <row r="5312" ht="12" customHeight="1">
      <c r="A5312" s="30" t="inlineStr">
        <is>
          <t>ITG</t>
        </is>
      </c>
      <c r="B5312" s="30" t="inlineStr">
        <is>
          <t>Itaguai</t>
        </is>
      </c>
      <c r="C5312" s="30" t="n">
        <v>78704284</v>
      </c>
      <c r="D5312" s="30">
        <f>"08512037000372"</f>
        <v/>
      </c>
      <c r="E5312" s="30" t="inlineStr">
        <is>
          <t>GHISOLFI LOGISTICA E TRANSPORTE LTDA</t>
        </is>
      </c>
      <c r="F5312" s="30" t="inlineStr">
        <is>
          <t>2023</t>
        </is>
      </c>
      <c r="G5312" s="40" t="n">
        <v>0</v>
      </c>
    </row>
    <row r="5313" ht="12" customHeight="1">
      <c r="A5313" s="30" t="inlineStr">
        <is>
          <t>ITG</t>
        </is>
      </c>
      <c r="B5313" s="30" t="inlineStr">
        <is>
          <t>Itaguai</t>
        </is>
      </c>
      <c r="C5313" s="30" t="n">
        <v>78718021</v>
      </c>
      <c r="D5313" s="30">
        <f>"74155052000416"</f>
        <v/>
      </c>
      <c r="E5313" s="30" t="inlineStr">
        <is>
          <t>UPS DO BRASIL REMESSAS EXPRESSAS LTDA</t>
        </is>
      </c>
      <c r="F5313" s="30" t="inlineStr">
        <is>
          <t>2017</t>
        </is>
      </c>
      <c r="G5313" s="40" t="n">
        <v>737.03</v>
      </c>
    </row>
    <row r="5314" ht="12" customHeight="1">
      <c r="A5314" s="30" t="inlineStr">
        <is>
          <t>ITG</t>
        </is>
      </c>
      <c r="B5314" s="30" t="inlineStr">
        <is>
          <t>Itaguai</t>
        </is>
      </c>
      <c r="C5314" s="30" t="n">
        <v>78718021</v>
      </c>
      <c r="D5314" s="30">
        <f>"74155052000416"</f>
        <v/>
      </c>
      <c r="E5314" s="30" t="inlineStr">
        <is>
          <t>UPS DO BRASIL REMESSAS EXPRESSAS LTDA</t>
        </is>
      </c>
      <c r="F5314" s="30" t="inlineStr">
        <is>
          <t>2018</t>
        </is>
      </c>
      <c r="G5314" s="40" t="n">
        <v>304.12</v>
      </c>
    </row>
    <row r="5315" ht="12" customHeight="1">
      <c r="A5315" s="30" t="inlineStr">
        <is>
          <t>ITG</t>
        </is>
      </c>
      <c r="B5315" s="30" t="inlineStr">
        <is>
          <t>Itaguai</t>
        </is>
      </c>
      <c r="C5315" s="30" t="n">
        <v>78718021</v>
      </c>
      <c r="D5315" s="30">
        <f>"74155052000416"</f>
        <v/>
      </c>
      <c r="E5315" s="30" t="inlineStr">
        <is>
          <t>UPS DO BRASIL REMESSAS EXPRESSAS LTDA</t>
        </is>
      </c>
      <c r="F5315" s="30" t="inlineStr">
        <is>
          <t>2019</t>
        </is>
      </c>
      <c r="G5315" s="40" t="n">
        <v>199.5</v>
      </c>
    </row>
    <row r="5316" ht="12" customHeight="1">
      <c r="A5316" s="30" t="inlineStr">
        <is>
          <t>ITG</t>
        </is>
      </c>
      <c r="B5316" s="30" t="inlineStr">
        <is>
          <t>Itaguai</t>
        </is>
      </c>
      <c r="C5316" s="30" t="n">
        <v>78718021</v>
      </c>
      <c r="D5316" s="30">
        <f>"74155052000416"</f>
        <v/>
      </c>
      <c r="E5316" s="30" t="inlineStr">
        <is>
          <t>UPS DO BRASIL REMESSAS EXPRESSAS LTDA</t>
        </is>
      </c>
      <c r="F5316" s="30" t="inlineStr">
        <is>
          <t>2020</t>
        </is>
      </c>
      <c r="G5316" s="40" t="n">
        <v>86.27</v>
      </c>
    </row>
    <row r="5317" ht="12" customHeight="1">
      <c r="A5317" s="30" t="inlineStr">
        <is>
          <t>ITG</t>
        </is>
      </c>
      <c r="B5317" s="30" t="inlineStr">
        <is>
          <t>Itaguai</t>
        </is>
      </c>
      <c r="C5317" s="30" t="n">
        <v>78718021</v>
      </c>
      <c r="D5317" s="30">
        <f>"74155052000416"</f>
        <v/>
      </c>
      <c r="E5317" s="30" t="inlineStr">
        <is>
          <t>UPS DO BRASIL REMESSAS EXPRESSAS LTDA</t>
        </is>
      </c>
      <c r="F5317" s="30" t="inlineStr">
        <is>
          <t>2021</t>
        </is>
      </c>
      <c r="G5317" s="40" t="n">
        <v>479.45</v>
      </c>
    </row>
    <row r="5318" ht="12" customHeight="1">
      <c r="A5318" s="30" t="inlineStr">
        <is>
          <t>ITG</t>
        </is>
      </c>
      <c r="B5318" s="30" t="inlineStr">
        <is>
          <t>Itaguai</t>
        </is>
      </c>
      <c r="C5318" s="30" t="n">
        <v>78718021</v>
      </c>
      <c r="D5318" s="30">
        <f>"74155052000416"</f>
        <v/>
      </c>
      <c r="E5318" s="30" t="inlineStr">
        <is>
          <t>UPS DO BRASIL REMESSAS EXPRESSAS LTDA</t>
        </is>
      </c>
      <c r="F5318" s="30" t="inlineStr">
        <is>
          <t>2022</t>
        </is>
      </c>
      <c r="G5318" s="40" t="n">
        <v>519.88</v>
      </c>
    </row>
    <row r="5319" ht="12" customHeight="1">
      <c r="A5319" s="30" t="inlineStr">
        <is>
          <t>ITG</t>
        </is>
      </c>
      <c r="B5319" s="30" t="inlineStr">
        <is>
          <t>Itaguai</t>
        </is>
      </c>
      <c r="C5319" s="30" t="n">
        <v>78718021</v>
      </c>
      <c r="D5319" s="30">
        <f>"74155052000416"</f>
        <v/>
      </c>
      <c r="E5319" s="30" t="inlineStr">
        <is>
          <t>UPS DO BRASIL REMESSAS EXPRESSAS LTDA</t>
        </is>
      </c>
      <c r="F5319" s="30" t="inlineStr">
        <is>
          <t>2023</t>
        </is>
      </c>
      <c r="G5319" s="40" t="n">
        <v>533.73</v>
      </c>
    </row>
    <row r="5320" ht="12" customHeight="1">
      <c r="A5320" s="30" t="inlineStr">
        <is>
          <t>ITG</t>
        </is>
      </c>
      <c r="B5320" s="30" t="inlineStr">
        <is>
          <t>Itaguai</t>
        </is>
      </c>
      <c r="C5320" s="30" t="n">
        <v>78724226</v>
      </c>
      <c r="D5320" s="30">
        <f>"09452900000306"</f>
        <v/>
      </c>
      <c r="E5320" s="30" t="inlineStr">
        <is>
          <t>VIX TRANSPORTES DEDICADOS LTDA</t>
        </is>
      </c>
      <c r="F5320" s="30" t="inlineStr">
        <is>
          <t>2021</t>
        </is>
      </c>
      <c r="G5320" s="40" t="n">
        <v>0</v>
      </c>
    </row>
    <row r="5321" ht="12" customHeight="1">
      <c r="A5321" s="30" t="inlineStr">
        <is>
          <t>ITG</t>
        </is>
      </c>
      <c r="B5321" s="30" t="inlineStr">
        <is>
          <t>Itaguai</t>
        </is>
      </c>
      <c r="C5321" s="30" t="n">
        <v>78724226</v>
      </c>
      <c r="D5321" s="30">
        <f>"09452900000306"</f>
        <v/>
      </c>
      <c r="E5321" s="30" t="inlineStr">
        <is>
          <t>VIX TRANSPORTES DEDICADOS LTDA</t>
        </is>
      </c>
      <c r="F5321" s="30" t="inlineStr">
        <is>
          <t>2022</t>
        </is>
      </c>
      <c r="G5321" s="40" t="n">
        <v>0</v>
      </c>
    </row>
    <row r="5322" ht="12" customHeight="1">
      <c r="A5322" s="30" t="inlineStr">
        <is>
          <t>ITG</t>
        </is>
      </c>
      <c r="B5322" s="30" t="inlineStr">
        <is>
          <t>Itaguai</t>
        </is>
      </c>
      <c r="C5322" s="30" t="n">
        <v>78724226</v>
      </c>
      <c r="D5322" s="30">
        <f>"09452900000306"</f>
        <v/>
      </c>
      <c r="E5322" s="30" t="inlineStr">
        <is>
          <t>VIX TRANSPORTES DEDICADOS LTDA</t>
        </is>
      </c>
      <c r="F5322" s="30" t="inlineStr">
        <is>
          <t>2023</t>
        </is>
      </c>
      <c r="G5322" s="40" t="n">
        <v>5718.19</v>
      </c>
    </row>
    <row r="5323" ht="12" customHeight="1">
      <c r="A5323" s="30" t="inlineStr">
        <is>
          <t>ITG</t>
        </is>
      </c>
      <c r="B5323" s="30" t="inlineStr">
        <is>
          <t>Itaguai</t>
        </is>
      </c>
      <c r="C5323" s="30" t="n">
        <v>78731451</v>
      </c>
      <c r="D5323" s="30">
        <f>"07360468000217"</f>
        <v/>
      </c>
      <c r="E5323" s="30" t="inlineStr">
        <is>
          <t>MTR LOGISTICA LTDA</t>
        </is>
      </c>
      <c r="F5323" s="30" t="inlineStr">
        <is>
          <t>2017</t>
        </is>
      </c>
      <c r="G5323" s="40" t="n">
        <v>296.47</v>
      </c>
    </row>
    <row r="5324" ht="12" customHeight="1">
      <c r="A5324" s="30" t="inlineStr">
        <is>
          <t>ITG</t>
        </is>
      </c>
      <c r="B5324" s="30" t="inlineStr">
        <is>
          <t>Itaguai</t>
        </is>
      </c>
      <c r="C5324" s="30" t="n">
        <v>78731451</v>
      </c>
      <c r="D5324" s="30">
        <f>"07360468000217"</f>
        <v/>
      </c>
      <c r="E5324" s="30" t="inlineStr">
        <is>
          <t>MTR LOGISTICA LTDA</t>
        </is>
      </c>
      <c r="F5324" s="30" t="inlineStr">
        <is>
          <t>2018</t>
        </is>
      </c>
      <c r="G5324" s="40" t="n">
        <v>386.45</v>
      </c>
    </row>
    <row r="5325" ht="12" customHeight="1">
      <c r="A5325" s="30" t="inlineStr">
        <is>
          <t>ITG</t>
        </is>
      </c>
      <c r="B5325" s="30" t="inlineStr">
        <is>
          <t>Itaguai</t>
        </is>
      </c>
      <c r="C5325" s="30" t="n">
        <v>78731451</v>
      </c>
      <c r="D5325" s="30">
        <f>"07360468000217"</f>
        <v/>
      </c>
      <c r="E5325" s="30" t="inlineStr">
        <is>
          <t>MTR LOGISTICA LTDA</t>
        </is>
      </c>
      <c r="F5325" s="30" t="inlineStr">
        <is>
          <t>2019</t>
        </is>
      </c>
      <c r="G5325" s="40" t="n">
        <v>0</v>
      </c>
    </row>
    <row r="5326" ht="12" customHeight="1">
      <c r="A5326" s="30" t="inlineStr">
        <is>
          <t>ITG</t>
        </is>
      </c>
      <c r="B5326" s="30" t="inlineStr">
        <is>
          <t>Itaguai</t>
        </is>
      </c>
      <c r="C5326" s="30" t="n">
        <v>78731451</v>
      </c>
      <c r="D5326" s="30">
        <f>"07360468000217"</f>
        <v/>
      </c>
      <c r="E5326" s="30" t="inlineStr">
        <is>
          <t>MTR LOGISTICA LTDA</t>
        </is>
      </c>
      <c r="F5326" s="30" t="inlineStr">
        <is>
          <t>2020</t>
        </is>
      </c>
      <c r="G5326" s="40" t="n">
        <v>0</v>
      </c>
    </row>
    <row r="5327" ht="12" customHeight="1">
      <c r="A5327" s="30" t="inlineStr">
        <is>
          <t>ITG</t>
        </is>
      </c>
      <c r="B5327" s="30" t="inlineStr">
        <is>
          <t>Itaguai</t>
        </is>
      </c>
      <c r="C5327" s="30" t="n">
        <v>78754117</v>
      </c>
      <c r="D5327" s="30">
        <f>"60869336020657"</f>
        <v/>
      </c>
      <c r="E5327" s="30" t="inlineStr">
        <is>
          <t>LAFARGEHOLCIM (BRASIL) S A</t>
        </is>
      </c>
      <c r="F5327" s="30" t="inlineStr">
        <is>
          <t>2017</t>
        </is>
      </c>
      <c r="G5327" s="40" t="n">
        <v>0</v>
      </c>
    </row>
    <row r="5328" ht="12" customHeight="1">
      <c r="A5328" s="30" t="inlineStr">
        <is>
          <t>ITG</t>
        </is>
      </c>
      <c r="B5328" s="30" t="inlineStr">
        <is>
          <t>Itaguai</t>
        </is>
      </c>
      <c r="C5328" s="30" t="n">
        <v>78754117</v>
      </c>
      <c r="D5328" s="30">
        <f>"60869336020657"</f>
        <v/>
      </c>
      <c r="E5328" s="30" t="inlineStr">
        <is>
          <t>LAFARGEHOLCIM (BRASIL) S A</t>
        </is>
      </c>
      <c r="F5328" s="30" t="inlineStr">
        <is>
          <t>2018</t>
        </is>
      </c>
      <c r="G5328" s="40" t="n">
        <v>0</v>
      </c>
    </row>
    <row r="5329" ht="12" customHeight="1">
      <c r="A5329" s="30" t="inlineStr">
        <is>
          <t>ITG</t>
        </is>
      </c>
      <c r="B5329" s="30" t="inlineStr">
        <is>
          <t>Itaguai</t>
        </is>
      </c>
      <c r="C5329" s="30" t="n">
        <v>78754117</v>
      </c>
      <c r="D5329" s="30">
        <f>"60869336020657"</f>
        <v/>
      </c>
      <c r="E5329" s="30" t="inlineStr">
        <is>
          <t>LAFARGEHOLCIM (BRASIL) S A</t>
        </is>
      </c>
      <c r="F5329" s="30" t="inlineStr">
        <is>
          <t>2019</t>
        </is>
      </c>
      <c r="G5329" s="40" t="n">
        <v>0</v>
      </c>
    </row>
    <row r="5330" ht="12" customHeight="1">
      <c r="A5330" s="30" t="inlineStr">
        <is>
          <t>ITG</t>
        </is>
      </c>
      <c r="B5330" s="30" t="inlineStr">
        <is>
          <t>Itaguai</t>
        </is>
      </c>
      <c r="C5330" s="30" t="n">
        <v>78760230</v>
      </c>
      <c r="D5330" s="30">
        <f>"08310839000138"</f>
        <v/>
      </c>
      <c r="E5330" s="30" t="inlineStr">
        <is>
          <t>PORTO SUDESTE DO BRASIL S A</t>
        </is>
      </c>
      <c r="F5330" s="30" t="inlineStr">
        <is>
          <t>2017</t>
        </is>
      </c>
      <c r="G5330" s="40" t="n">
        <v>0</v>
      </c>
    </row>
    <row r="5331" ht="12" customHeight="1">
      <c r="A5331" s="30" t="inlineStr">
        <is>
          <t>ITG</t>
        </is>
      </c>
      <c r="B5331" s="30" t="inlineStr">
        <is>
          <t>Itaguai</t>
        </is>
      </c>
      <c r="C5331" s="30" t="n">
        <v>78760230</v>
      </c>
      <c r="D5331" s="30">
        <f>"08310839000138"</f>
        <v/>
      </c>
      <c r="E5331" s="30" t="inlineStr">
        <is>
          <t>PORTO SUDESTE DO BRASIL S A</t>
        </is>
      </c>
      <c r="F5331" s="30" t="inlineStr">
        <is>
          <t>2018</t>
        </is>
      </c>
      <c r="G5331" s="40" t="n">
        <v>0</v>
      </c>
    </row>
    <row r="5332" ht="12" customHeight="1">
      <c r="A5332" s="30" t="inlineStr">
        <is>
          <t>ITG</t>
        </is>
      </c>
      <c r="B5332" s="30" t="inlineStr">
        <is>
          <t>Itaguai</t>
        </is>
      </c>
      <c r="C5332" s="30" t="n">
        <v>78760230</v>
      </c>
      <c r="D5332" s="30">
        <f>"08310839000138"</f>
        <v/>
      </c>
      <c r="E5332" s="30" t="inlineStr">
        <is>
          <t>PORTO SUDESTE DO BRASIL S A</t>
        </is>
      </c>
      <c r="F5332" s="30" t="inlineStr">
        <is>
          <t>2019</t>
        </is>
      </c>
      <c r="G5332" s="40" t="n">
        <v>0</v>
      </c>
    </row>
    <row r="5333" ht="12" customHeight="1">
      <c r="A5333" s="30" t="inlineStr">
        <is>
          <t>ITG</t>
        </is>
      </c>
      <c r="B5333" s="30" t="inlineStr">
        <is>
          <t>Itaguai</t>
        </is>
      </c>
      <c r="C5333" s="30" t="n">
        <v>78760230</v>
      </c>
      <c r="D5333" s="30">
        <f>"08310839000138"</f>
        <v/>
      </c>
      <c r="E5333" s="30" t="inlineStr">
        <is>
          <t>PORTO SUDESTE DO BRASIL S A</t>
        </is>
      </c>
      <c r="F5333" s="30" t="inlineStr">
        <is>
          <t>2020</t>
        </is>
      </c>
      <c r="G5333" s="40" t="n">
        <v>0</v>
      </c>
    </row>
    <row r="5334" ht="12" customHeight="1">
      <c r="A5334" s="30" t="inlineStr">
        <is>
          <t>ITG</t>
        </is>
      </c>
      <c r="B5334" s="30" t="inlineStr">
        <is>
          <t>Itaguai</t>
        </is>
      </c>
      <c r="C5334" s="30" t="n">
        <v>78760230</v>
      </c>
      <c r="D5334" s="30">
        <f>"08310839000138"</f>
        <v/>
      </c>
      <c r="E5334" s="30" t="inlineStr">
        <is>
          <t>PORTO SUDESTE DO BRASIL S A</t>
        </is>
      </c>
      <c r="F5334" s="30" t="inlineStr">
        <is>
          <t>2021</t>
        </is>
      </c>
      <c r="G5334" s="40" t="n">
        <v>0</v>
      </c>
    </row>
    <row r="5335" ht="12" customHeight="1">
      <c r="A5335" s="30" t="inlineStr">
        <is>
          <t>ITG</t>
        </is>
      </c>
      <c r="B5335" s="30" t="inlineStr">
        <is>
          <t>Itaguai</t>
        </is>
      </c>
      <c r="C5335" s="30" t="n">
        <v>78760230</v>
      </c>
      <c r="D5335" s="30">
        <f>"08310839000138"</f>
        <v/>
      </c>
      <c r="E5335" s="30" t="inlineStr">
        <is>
          <t>PORTO SUDESTE DO BRASIL S A</t>
        </is>
      </c>
      <c r="F5335" s="30" t="inlineStr">
        <is>
          <t>2022</t>
        </is>
      </c>
      <c r="G5335" s="40" t="n">
        <v>0</v>
      </c>
    </row>
    <row r="5336" ht="12" customHeight="1">
      <c r="A5336" s="30" t="inlineStr">
        <is>
          <t>ITG</t>
        </is>
      </c>
      <c r="B5336" s="30" t="inlineStr">
        <is>
          <t>Itaguai</t>
        </is>
      </c>
      <c r="C5336" s="30" t="n">
        <v>78760230</v>
      </c>
      <c r="D5336" s="30">
        <f>"08310839000138"</f>
        <v/>
      </c>
      <c r="E5336" s="30" t="inlineStr">
        <is>
          <t>PORTO SUDESTE DO BRASIL S A</t>
        </is>
      </c>
      <c r="F5336" s="30" t="inlineStr">
        <is>
          <t>2023</t>
        </is>
      </c>
      <c r="G5336" s="40" t="n">
        <v>0</v>
      </c>
    </row>
    <row r="5337" ht="12" customHeight="1">
      <c r="A5337" s="30" t="inlineStr">
        <is>
          <t>ITG</t>
        </is>
      </c>
      <c r="B5337" s="30" t="inlineStr">
        <is>
          <t>Itaguai</t>
        </is>
      </c>
      <c r="C5337" s="30" t="n">
        <v>78775211</v>
      </c>
      <c r="D5337" s="30">
        <f>"10904999000157"</f>
        <v/>
      </c>
      <c r="E5337" s="30" t="inlineStr">
        <is>
          <t>FIGUEIRA &amp; CIA REPRESENTACAO COMERCIAL E SERVICOS TECNICOS LTDA</t>
        </is>
      </c>
      <c r="F5337" s="30" t="inlineStr">
        <is>
          <t>2017</t>
        </is>
      </c>
      <c r="G5337" s="40" t="n">
        <v>0</v>
      </c>
    </row>
    <row r="5338" ht="12" customHeight="1">
      <c r="A5338" s="30" t="inlineStr">
        <is>
          <t>ITG</t>
        </is>
      </c>
      <c r="B5338" s="30" t="inlineStr">
        <is>
          <t>Itaguai</t>
        </is>
      </c>
      <c r="C5338" s="30" t="n">
        <v>78775211</v>
      </c>
      <c r="D5338" s="30">
        <f>"10904999000157"</f>
        <v/>
      </c>
      <c r="E5338" s="30" t="inlineStr">
        <is>
          <t>FIGUEIRA &amp; CIA REPRESENTACAO COMERCIAL E SERVICOS TECNICOS LTDA</t>
        </is>
      </c>
      <c r="F5338" s="30" t="inlineStr">
        <is>
          <t>2018</t>
        </is>
      </c>
      <c r="G5338" s="40" t="n">
        <v>0</v>
      </c>
    </row>
    <row r="5339" ht="12" customHeight="1">
      <c r="A5339" s="30" t="inlineStr">
        <is>
          <t>ITG</t>
        </is>
      </c>
      <c r="B5339" s="30" t="inlineStr">
        <is>
          <t>Itaguai</t>
        </is>
      </c>
      <c r="C5339" s="30" t="n">
        <v>78775211</v>
      </c>
      <c r="D5339" s="30">
        <f>"10904999000157"</f>
        <v/>
      </c>
      <c r="E5339" s="30" t="inlineStr">
        <is>
          <t>FIGUEIRA &amp; CIA REPRESENTACAO COMERCIAL E SERVICOS TECNICOS LTDA</t>
        </is>
      </c>
      <c r="F5339" s="30" t="inlineStr">
        <is>
          <t>2019</t>
        </is>
      </c>
      <c r="G5339" s="40" t="n">
        <v>0</v>
      </c>
    </row>
    <row r="5340" ht="12" customHeight="1">
      <c r="A5340" s="30" t="inlineStr">
        <is>
          <t>ITG</t>
        </is>
      </c>
      <c r="B5340" s="30" t="inlineStr">
        <is>
          <t>Itaguai</t>
        </is>
      </c>
      <c r="C5340" s="30" t="n">
        <v>78776323</v>
      </c>
      <c r="D5340" s="30">
        <f>"03098929000436"</f>
        <v/>
      </c>
      <c r="E5340" s="30" t="inlineStr">
        <is>
          <t>SETE LAGOAS TRANSPORTES LTDA ME</t>
        </is>
      </c>
      <c r="F5340" s="30" t="inlineStr">
        <is>
          <t>2017</t>
        </is>
      </c>
      <c r="G5340" s="40" t="n">
        <v>1492.37</v>
      </c>
    </row>
    <row r="5341" ht="12" customHeight="1">
      <c r="A5341" s="30" t="inlineStr">
        <is>
          <t>ITG</t>
        </is>
      </c>
      <c r="B5341" s="30" t="inlineStr">
        <is>
          <t>Itaguai</t>
        </is>
      </c>
      <c r="C5341" s="30" t="n">
        <v>78776323</v>
      </c>
      <c r="D5341" s="30">
        <f>"03098929000436"</f>
        <v/>
      </c>
      <c r="E5341" s="30" t="inlineStr">
        <is>
          <t>SETE LAGOAS TRANSPORTES LTDA ME</t>
        </is>
      </c>
      <c r="F5341" s="30" t="inlineStr">
        <is>
          <t>2018</t>
        </is>
      </c>
      <c r="G5341" s="40" t="n">
        <v>683.14</v>
      </c>
    </row>
    <row r="5342" ht="12" customHeight="1">
      <c r="A5342" s="30" t="inlineStr">
        <is>
          <t>ITG</t>
        </is>
      </c>
      <c r="B5342" s="30" t="inlineStr">
        <is>
          <t>Itaguai</t>
        </is>
      </c>
      <c r="C5342" s="30" t="n">
        <v>78776323</v>
      </c>
      <c r="D5342" s="30">
        <f>"03098929000436"</f>
        <v/>
      </c>
      <c r="E5342" s="30" t="inlineStr">
        <is>
          <t>SETE LAGOAS TRANSPORTES LTDA ME</t>
        </is>
      </c>
      <c r="F5342" s="30" t="inlineStr">
        <is>
          <t>2019</t>
        </is>
      </c>
      <c r="G5342" s="40" t="n">
        <v>93.68000000000001</v>
      </c>
    </row>
    <row r="5343" ht="12" customHeight="1">
      <c r="A5343" s="30" t="inlineStr">
        <is>
          <t>ITG</t>
        </is>
      </c>
      <c r="B5343" s="30" t="inlineStr">
        <is>
          <t>Itaguai</t>
        </is>
      </c>
      <c r="C5343" s="30" t="n">
        <v>78776323</v>
      </c>
      <c r="D5343" s="30">
        <f>"03098929000436"</f>
        <v/>
      </c>
      <c r="E5343" s="30" t="inlineStr">
        <is>
          <t>SETE LAGOAS TRANSPORTES LTDA ME</t>
        </is>
      </c>
      <c r="F5343" s="30" t="inlineStr">
        <is>
          <t>2020</t>
        </is>
      </c>
      <c r="G5343" s="40" t="n">
        <v>0</v>
      </c>
    </row>
    <row r="5344" ht="12" customHeight="1">
      <c r="A5344" s="30" t="inlineStr">
        <is>
          <t>ITG</t>
        </is>
      </c>
      <c r="B5344" s="30" t="inlineStr">
        <is>
          <t>Itaguai</t>
        </is>
      </c>
      <c r="C5344" s="30" t="n">
        <v>78776323</v>
      </c>
      <c r="D5344" s="30">
        <f>"03098929000436"</f>
        <v/>
      </c>
      <c r="E5344" s="30" t="inlineStr">
        <is>
          <t>SETE LAGOAS TRANSPORTES LTDA ME</t>
        </is>
      </c>
      <c r="F5344" s="30" t="inlineStr">
        <is>
          <t>2021</t>
        </is>
      </c>
      <c r="G5344" s="40" t="n">
        <v>3581.13</v>
      </c>
    </row>
    <row r="5345" ht="12" customHeight="1">
      <c r="A5345" s="30" t="inlineStr">
        <is>
          <t>ITG</t>
        </is>
      </c>
      <c r="B5345" s="30" t="inlineStr">
        <is>
          <t>Itaguai</t>
        </is>
      </c>
      <c r="C5345" s="30" t="n">
        <v>78776323</v>
      </c>
      <c r="D5345" s="30">
        <f>"03098929000436"</f>
        <v/>
      </c>
      <c r="E5345" s="30" t="inlineStr">
        <is>
          <t>SETE LAGOAS TRANSPORTES LTDA ME</t>
        </is>
      </c>
      <c r="F5345" s="30" t="inlineStr">
        <is>
          <t>2022</t>
        </is>
      </c>
      <c r="G5345" s="40" t="n">
        <v>1476.3</v>
      </c>
    </row>
    <row r="5346" ht="12" customHeight="1">
      <c r="A5346" s="30" t="inlineStr">
        <is>
          <t>ITG</t>
        </is>
      </c>
      <c r="B5346" s="30" t="inlineStr">
        <is>
          <t>Itaguai</t>
        </is>
      </c>
      <c r="C5346" s="30" t="n">
        <v>78776323</v>
      </c>
      <c r="D5346" s="30">
        <f>"03098929000436"</f>
        <v/>
      </c>
      <c r="E5346" s="30" t="inlineStr">
        <is>
          <t>SETE LAGOAS TRANSPORTES LTDA ME</t>
        </is>
      </c>
      <c r="F5346" s="30" t="inlineStr">
        <is>
          <t>2023</t>
        </is>
      </c>
      <c r="G5346" s="40" t="n">
        <v>1026.77</v>
      </c>
    </row>
    <row r="5347" ht="12" customHeight="1">
      <c r="A5347" s="30" t="inlineStr">
        <is>
          <t>ITG</t>
        </is>
      </c>
      <c r="B5347" s="30" t="inlineStr">
        <is>
          <t>Itaguai</t>
        </is>
      </c>
      <c r="C5347" s="30" t="n">
        <v>78776633</v>
      </c>
      <c r="D5347" s="30">
        <f>"72189988000602"</f>
        <v/>
      </c>
      <c r="E5347" s="30" t="inlineStr">
        <is>
          <t>EMPRESA DE ONIBUS ROSA LTDA</t>
        </is>
      </c>
      <c r="F5347" s="30" t="inlineStr">
        <is>
          <t>2017</t>
        </is>
      </c>
      <c r="G5347" s="40" t="n">
        <v>8784980.93</v>
      </c>
    </row>
    <row r="5348" ht="12" customHeight="1">
      <c r="A5348" s="30" t="inlineStr">
        <is>
          <t>ITG</t>
        </is>
      </c>
      <c r="B5348" s="30" t="inlineStr">
        <is>
          <t>Itaguai</t>
        </is>
      </c>
      <c r="C5348" s="30" t="n">
        <v>78776633</v>
      </c>
      <c r="D5348" s="30">
        <f>"72189988000602"</f>
        <v/>
      </c>
      <c r="E5348" s="30" t="inlineStr">
        <is>
          <t>EMPRESA DE ONIBUS ROSA LTDA</t>
        </is>
      </c>
      <c r="F5348" s="30" t="inlineStr">
        <is>
          <t>2018</t>
        </is>
      </c>
      <c r="G5348" s="40" t="n">
        <v>7908044.04</v>
      </c>
    </row>
    <row r="5349" ht="12" customHeight="1">
      <c r="A5349" s="30" t="inlineStr">
        <is>
          <t>ITG</t>
        </is>
      </c>
      <c r="B5349" s="30" t="inlineStr">
        <is>
          <t>Itaguai</t>
        </is>
      </c>
      <c r="C5349" s="30" t="n">
        <v>78776633</v>
      </c>
      <c r="D5349" s="30">
        <f>"72189988000602"</f>
        <v/>
      </c>
      <c r="E5349" s="30" t="inlineStr">
        <is>
          <t>EMPRESA DE ONIBUS ROSA LTDA</t>
        </is>
      </c>
      <c r="F5349" s="30" t="inlineStr">
        <is>
          <t>2019</t>
        </is>
      </c>
      <c r="G5349" s="40" t="n">
        <v>4005297.27</v>
      </c>
    </row>
    <row r="5350" ht="12" customHeight="1">
      <c r="A5350" s="30" t="inlineStr">
        <is>
          <t>ITG</t>
        </is>
      </c>
      <c r="B5350" s="30" t="inlineStr">
        <is>
          <t>Itaguai</t>
        </is>
      </c>
      <c r="C5350" s="30" t="n">
        <v>78776633</v>
      </c>
      <c r="D5350" s="30">
        <f>"72189988000602"</f>
        <v/>
      </c>
      <c r="E5350" s="30" t="inlineStr">
        <is>
          <t>EMPRESA DE ONIBUS ROSA LTDA</t>
        </is>
      </c>
      <c r="F5350" s="30" t="inlineStr">
        <is>
          <t>2020</t>
        </is>
      </c>
      <c r="G5350" s="40" t="n">
        <v>2541925.11</v>
      </c>
    </row>
    <row r="5351" ht="12" customHeight="1">
      <c r="A5351" s="30" t="inlineStr">
        <is>
          <t>ITG</t>
        </is>
      </c>
      <c r="B5351" s="30" t="inlineStr">
        <is>
          <t>Itaguai</t>
        </is>
      </c>
      <c r="C5351" s="30" t="n">
        <v>78776633</v>
      </c>
      <c r="D5351" s="30">
        <f>"72189988000602"</f>
        <v/>
      </c>
      <c r="E5351" s="30" t="inlineStr">
        <is>
          <t>EMPRESA DE ONIBUS ROSA LTDA</t>
        </is>
      </c>
      <c r="F5351" s="30" t="inlineStr">
        <is>
          <t>2021</t>
        </is>
      </c>
      <c r="G5351" s="40" t="n">
        <v>3195725.92</v>
      </c>
    </row>
    <row r="5352" ht="12" customHeight="1">
      <c r="A5352" s="30" t="inlineStr">
        <is>
          <t>ITG</t>
        </is>
      </c>
      <c r="B5352" s="30" t="inlineStr">
        <is>
          <t>Itaguai</t>
        </is>
      </c>
      <c r="C5352" s="30" t="n">
        <v>78776633</v>
      </c>
      <c r="D5352" s="30">
        <f>"72189988000602"</f>
        <v/>
      </c>
      <c r="E5352" s="30" t="inlineStr">
        <is>
          <t>EMPRESA DE ONIBUS ROSA LTDA</t>
        </is>
      </c>
      <c r="F5352" s="30" t="inlineStr">
        <is>
          <t>2022</t>
        </is>
      </c>
      <c r="G5352" s="40" t="n">
        <v>2912868.61</v>
      </c>
    </row>
    <row r="5353" ht="12" customHeight="1">
      <c r="A5353" s="30" t="inlineStr">
        <is>
          <t>ITG</t>
        </is>
      </c>
      <c r="B5353" s="30" t="inlineStr">
        <is>
          <t>Itaguai</t>
        </is>
      </c>
      <c r="C5353" s="30" t="n">
        <v>78776633</v>
      </c>
      <c r="D5353" s="30">
        <f>"72189988000602"</f>
        <v/>
      </c>
      <c r="E5353" s="30" t="inlineStr">
        <is>
          <t>EMPRESA DE ONIBUS ROSA LTDA</t>
        </is>
      </c>
      <c r="F5353" s="30" t="inlineStr">
        <is>
          <t>2023</t>
        </is>
      </c>
      <c r="G5353" s="40" t="n">
        <v>2540808.67</v>
      </c>
    </row>
    <row r="5354" ht="12" customHeight="1">
      <c r="A5354" s="30" t="inlineStr">
        <is>
          <t>ITG</t>
        </is>
      </c>
      <c r="B5354" s="30" t="inlineStr">
        <is>
          <t>Itaguai</t>
        </is>
      </c>
      <c r="C5354" s="30" t="n">
        <v>78779691</v>
      </c>
      <c r="D5354" s="30">
        <f>"10865047000171"</f>
        <v/>
      </c>
      <c r="E5354" s="30" t="inlineStr">
        <is>
          <t>POUSADA E LAZER CANTINHO DA ROÇA LTDA</t>
        </is>
      </c>
      <c r="F5354" s="30" t="inlineStr">
        <is>
          <t>2020</t>
        </is>
      </c>
      <c r="G5354" s="40" t="n">
        <v>0</v>
      </c>
    </row>
    <row r="5355" ht="12" customHeight="1">
      <c r="A5355" s="30" t="inlineStr">
        <is>
          <t>ITG</t>
        </is>
      </c>
      <c r="B5355" s="30" t="inlineStr">
        <is>
          <t>Itaguai</t>
        </is>
      </c>
      <c r="C5355" s="30" t="n">
        <v>78779691</v>
      </c>
      <c r="D5355" s="30">
        <f>"10865047000171"</f>
        <v/>
      </c>
      <c r="E5355" s="30" t="inlineStr">
        <is>
          <t>POUSADA E LAZER CANTINHO DA ROÇA LTDA</t>
        </is>
      </c>
      <c r="F5355" s="30" t="inlineStr">
        <is>
          <t>2021</t>
        </is>
      </c>
      <c r="G5355" s="40" t="n">
        <v>0</v>
      </c>
    </row>
    <row r="5356" ht="12" customHeight="1">
      <c r="A5356" s="30" t="inlineStr">
        <is>
          <t>ITG</t>
        </is>
      </c>
      <c r="B5356" s="30" t="inlineStr">
        <is>
          <t>Itaguai</t>
        </is>
      </c>
      <c r="C5356" s="30" t="n">
        <v>78779691</v>
      </c>
      <c r="D5356" s="30">
        <f>"10865047000171"</f>
        <v/>
      </c>
      <c r="E5356" s="30" t="inlineStr">
        <is>
          <t>POUSADA E LAZER CANTINHO DA ROÇA LTDA</t>
        </is>
      </c>
      <c r="F5356" s="30" t="inlineStr">
        <is>
          <t>2022</t>
        </is>
      </c>
      <c r="G5356" s="40" t="n">
        <v>0</v>
      </c>
    </row>
    <row r="5357" ht="12" customHeight="1">
      <c r="A5357" s="30" t="inlineStr">
        <is>
          <t>ITG</t>
        </is>
      </c>
      <c r="B5357" s="30" t="inlineStr">
        <is>
          <t>Itaguai</t>
        </is>
      </c>
      <c r="C5357" s="30" t="n">
        <v>78779691</v>
      </c>
      <c r="D5357" s="30">
        <f>"10865047000171"</f>
        <v/>
      </c>
      <c r="E5357" s="30" t="inlineStr">
        <is>
          <t>POUSADA E LAZER CANTINHO DA ROÇA LTDA</t>
        </is>
      </c>
      <c r="F5357" s="30" t="inlineStr">
        <is>
          <t>2023</t>
        </is>
      </c>
      <c r="G5357" s="40" t="n">
        <v>0</v>
      </c>
    </row>
    <row r="5358" ht="12" customHeight="1">
      <c r="A5358" s="30" t="inlineStr">
        <is>
          <t>ITG</t>
        </is>
      </c>
      <c r="B5358" s="30" t="inlineStr">
        <is>
          <t>Itaguai</t>
        </is>
      </c>
      <c r="C5358" s="30" t="n">
        <v>78782544</v>
      </c>
      <c r="D5358" s="30">
        <f>"10928631000129"</f>
        <v/>
      </c>
      <c r="E5358" s="30" t="inlineStr">
        <is>
          <t>RIVETTI COM?RCIO E SERVI?OS T?CNICOS LTDA</t>
        </is>
      </c>
      <c r="F5358" s="30" t="inlineStr">
        <is>
          <t>2017</t>
        </is>
      </c>
      <c r="G5358" s="40" t="n">
        <v>0</v>
      </c>
    </row>
    <row r="5359" ht="12" customHeight="1">
      <c r="A5359" s="30" t="inlineStr">
        <is>
          <t>ITG</t>
        </is>
      </c>
      <c r="B5359" s="30" t="inlineStr">
        <is>
          <t>Itaguai</t>
        </is>
      </c>
      <c r="C5359" s="30" t="n">
        <v>78782544</v>
      </c>
      <c r="D5359" s="30">
        <f>"10928631000129"</f>
        <v/>
      </c>
      <c r="E5359" s="30" t="inlineStr">
        <is>
          <t>RIVETTI COM?RCIO E SERVI?OS T?CNICOS LTDA</t>
        </is>
      </c>
      <c r="F5359" s="30" t="inlineStr">
        <is>
          <t>2018</t>
        </is>
      </c>
      <c r="G5359" s="40" t="n">
        <v>0</v>
      </c>
    </row>
    <row r="5360" ht="12" customHeight="1">
      <c r="A5360" s="30" t="inlineStr">
        <is>
          <t>ITG</t>
        </is>
      </c>
      <c r="B5360" s="30" t="inlineStr">
        <is>
          <t>Itaguai</t>
        </is>
      </c>
      <c r="C5360" s="30" t="n">
        <v>78782544</v>
      </c>
      <c r="D5360" s="30">
        <f>"10928631000129"</f>
        <v/>
      </c>
      <c r="E5360" s="30" t="inlineStr">
        <is>
          <t>RIVETTI COM?RCIO E SERVI?OS T?CNICOS LTDA</t>
        </is>
      </c>
      <c r="F5360" s="30" t="inlineStr">
        <is>
          <t>2019</t>
        </is>
      </c>
      <c r="G5360" s="40" t="n">
        <v>0</v>
      </c>
    </row>
    <row r="5361" ht="12" customHeight="1">
      <c r="A5361" s="30" t="inlineStr">
        <is>
          <t>ITG</t>
        </is>
      </c>
      <c r="B5361" s="30" t="inlineStr">
        <is>
          <t>Itaguai</t>
        </is>
      </c>
      <c r="C5361" s="30" t="n">
        <v>78782544</v>
      </c>
      <c r="D5361" s="30">
        <f>"10928631000129"</f>
        <v/>
      </c>
      <c r="E5361" s="30" t="inlineStr">
        <is>
          <t>RIVETTI COM?RCIO E SERVI?OS T?CNICOS LTDA</t>
        </is>
      </c>
      <c r="F5361" s="30" t="inlineStr">
        <is>
          <t>2020</t>
        </is>
      </c>
      <c r="G5361" s="40" t="n">
        <v>0</v>
      </c>
    </row>
    <row r="5362" ht="12" customHeight="1">
      <c r="A5362" s="30" t="inlineStr">
        <is>
          <t>ITG</t>
        </is>
      </c>
      <c r="B5362" s="30" t="inlineStr">
        <is>
          <t>Itaguai</t>
        </is>
      </c>
      <c r="C5362" s="30" t="n">
        <v>78782986</v>
      </c>
      <c r="D5362" s="30">
        <f>"08472792000109"</f>
        <v/>
      </c>
      <c r="E5362" s="30" t="inlineStr">
        <is>
          <t>TERRAPLAN RJ LOCAÇÕES LTDA</t>
        </is>
      </c>
      <c r="F5362" s="30" t="inlineStr">
        <is>
          <t>2017</t>
        </is>
      </c>
      <c r="G5362" s="40" t="n">
        <v>0</v>
      </c>
    </row>
    <row r="5363" ht="12" customHeight="1">
      <c r="A5363" s="30" t="inlineStr">
        <is>
          <t>ITG</t>
        </is>
      </c>
      <c r="B5363" s="30" t="inlineStr">
        <is>
          <t>Itaguai</t>
        </is>
      </c>
      <c r="C5363" s="30" t="n">
        <v>78782986</v>
      </c>
      <c r="D5363" s="30">
        <f>"08472792000109"</f>
        <v/>
      </c>
      <c r="E5363" s="30" t="inlineStr">
        <is>
          <t>TERRAPLAN RJ LOCAÇÕES LTDA</t>
        </is>
      </c>
      <c r="F5363" s="30" t="inlineStr">
        <is>
          <t>2018</t>
        </is>
      </c>
      <c r="G5363" s="40" t="n">
        <v>0</v>
      </c>
    </row>
    <row r="5364" ht="12" customHeight="1">
      <c r="A5364" s="30" t="inlineStr">
        <is>
          <t>ITG</t>
        </is>
      </c>
      <c r="B5364" s="30" t="inlineStr">
        <is>
          <t>Itaguai</t>
        </is>
      </c>
      <c r="C5364" s="30" t="n">
        <v>78782986</v>
      </c>
      <c r="D5364" s="30">
        <f>"08472792000109"</f>
        <v/>
      </c>
      <c r="E5364" s="30" t="inlineStr">
        <is>
          <t>TERRAPLAN RJ LOCAÇÕES LTDA</t>
        </is>
      </c>
      <c r="F5364" s="30" t="inlineStr">
        <is>
          <t>2019</t>
        </is>
      </c>
      <c r="G5364" s="40" t="n">
        <v>0</v>
      </c>
    </row>
    <row r="5365" ht="12" customHeight="1">
      <c r="A5365" s="30" t="inlineStr">
        <is>
          <t>ITG</t>
        </is>
      </c>
      <c r="B5365" s="30" t="inlineStr">
        <is>
          <t>Itaguai</t>
        </is>
      </c>
      <c r="C5365" s="30" t="n">
        <v>78782986</v>
      </c>
      <c r="D5365" s="30">
        <f>"08472792000109"</f>
        <v/>
      </c>
      <c r="E5365" s="30" t="inlineStr">
        <is>
          <t>TERRAPLAN RJ LOCAÇÕES LTDA</t>
        </is>
      </c>
      <c r="F5365" s="30" t="inlineStr">
        <is>
          <t>2020</t>
        </is>
      </c>
      <c r="G5365" s="40" t="n">
        <v>0</v>
      </c>
    </row>
    <row r="5366" ht="12" customHeight="1">
      <c r="A5366" s="30" t="inlineStr">
        <is>
          <t>ITG</t>
        </is>
      </c>
      <c r="B5366" s="30" t="inlineStr">
        <is>
          <t>Itaguai</t>
        </is>
      </c>
      <c r="C5366" s="30" t="n">
        <v>78782986</v>
      </c>
      <c r="D5366" s="30">
        <f>"08472792000109"</f>
        <v/>
      </c>
      <c r="E5366" s="30" t="inlineStr">
        <is>
          <t>TERRAPLAN RJ LOCAÇÕES LTDA</t>
        </is>
      </c>
      <c r="F5366" s="30" t="inlineStr">
        <is>
          <t>2021</t>
        </is>
      </c>
      <c r="G5366" s="40" t="n">
        <v>0</v>
      </c>
    </row>
    <row r="5367" ht="12" customHeight="1">
      <c r="A5367" s="30" t="inlineStr">
        <is>
          <t>ITG</t>
        </is>
      </c>
      <c r="B5367" s="30" t="inlineStr">
        <is>
          <t>Itaguai</t>
        </is>
      </c>
      <c r="C5367" s="30" t="n">
        <v>78782986</v>
      </c>
      <c r="D5367" s="30">
        <f>"08472792000109"</f>
        <v/>
      </c>
      <c r="E5367" s="30" t="inlineStr">
        <is>
          <t>TERRAPLAN RJ LOCAÇÕES LTDA</t>
        </is>
      </c>
      <c r="F5367" s="30" t="inlineStr">
        <is>
          <t>2022</t>
        </is>
      </c>
      <c r="G5367" s="40" t="n">
        <v>0</v>
      </c>
    </row>
    <row r="5368" ht="12" customHeight="1">
      <c r="A5368" s="30" t="inlineStr">
        <is>
          <t>ITG</t>
        </is>
      </c>
      <c r="B5368" s="30" t="inlineStr">
        <is>
          <t>Itaguai</t>
        </is>
      </c>
      <c r="C5368" s="30" t="n">
        <v>78782986</v>
      </c>
      <c r="D5368" s="30">
        <f>"08472792000109"</f>
        <v/>
      </c>
      <c r="E5368" s="30" t="inlineStr">
        <is>
          <t>TERRAPLAN RJ LOCAÇÕES LTDA</t>
        </is>
      </c>
      <c r="F5368" s="30" t="inlineStr">
        <is>
          <t>2023</t>
        </is>
      </c>
      <c r="G5368" s="40" t="n">
        <v>0</v>
      </c>
    </row>
    <row r="5369" ht="12" customHeight="1">
      <c r="A5369" s="30" t="inlineStr">
        <is>
          <t>ITG</t>
        </is>
      </c>
      <c r="B5369" s="30" t="inlineStr">
        <is>
          <t>Itaguai</t>
        </is>
      </c>
      <c r="C5369" s="30" t="n">
        <v>78788496</v>
      </c>
      <c r="D5369" s="30">
        <f>"10955881000158"</f>
        <v/>
      </c>
      <c r="E5369" s="30" t="inlineStr">
        <is>
          <t>CHACARA SANTA BARBARA DE ITAGUAI LTDA</t>
        </is>
      </c>
      <c r="F5369" s="30" t="inlineStr">
        <is>
          <t>2018</t>
        </is>
      </c>
      <c r="G5369" s="40" t="n">
        <v>0</v>
      </c>
    </row>
    <row r="5370" ht="12" customHeight="1">
      <c r="A5370" s="30" t="inlineStr">
        <is>
          <t>ITG</t>
        </is>
      </c>
      <c r="B5370" s="30" t="inlineStr">
        <is>
          <t>Itaguai</t>
        </is>
      </c>
      <c r="C5370" s="30" t="n">
        <v>78788496</v>
      </c>
      <c r="D5370" s="30">
        <f>"10955881000158"</f>
        <v/>
      </c>
      <c r="E5370" s="30" t="inlineStr">
        <is>
          <t>CHACARA SANTA BARBARA DE ITAGUAI LTDA</t>
        </is>
      </c>
      <c r="F5370" s="30" t="inlineStr">
        <is>
          <t>2019</t>
        </is>
      </c>
      <c r="G5370" s="40" t="n">
        <v>0</v>
      </c>
    </row>
    <row r="5371" ht="12" customHeight="1">
      <c r="A5371" s="30" t="inlineStr">
        <is>
          <t>ITG</t>
        </is>
      </c>
      <c r="B5371" s="30" t="inlineStr">
        <is>
          <t>Itaguai</t>
        </is>
      </c>
      <c r="C5371" s="30" t="n">
        <v>78788496</v>
      </c>
      <c r="D5371" s="30">
        <f>"10955881000158"</f>
        <v/>
      </c>
      <c r="E5371" s="30" t="inlineStr">
        <is>
          <t>CHACARA SANTA BARBARA DE ITAGUAI LTDA</t>
        </is>
      </c>
      <c r="F5371" s="30" t="inlineStr">
        <is>
          <t>2020</t>
        </is>
      </c>
      <c r="G5371" s="40" t="n">
        <v>0</v>
      </c>
    </row>
    <row r="5372" ht="12" customHeight="1">
      <c r="A5372" s="30" t="inlineStr">
        <is>
          <t>ITG</t>
        </is>
      </c>
      <c r="B5372" s="30" t="inlineStr">
        <is>
          <t>Itaguai</t>
        </is>
      </c>
      <c r="C5372" s="30" t="n">
        <v>78788496</v>
      </c>
      <c r="D5372" s="30">
        <f>"10955881000158"</f>
        <v/>
      </c>
      <c r="E5372" s="30" t="inlineStr">
        <is>
          <t>CHACARA SANTA BARBARA DE ITAGUAI LTDA</t>
        </is>
      </c>
      <c r="F5372" s="30" t="inlineStr">
        <is>
          <t>2021</t>
        </is>
      </c>
      <c r="G5372" s="40" t="n">
        <v>0</v>
      </c>
    </row>
    <row r="5373" ht="12" customHeight="1">
      <c r="A5373" s="30" t="inlineStr">
        <is>
          <t>ITG</t>
        </is>
      </c>
      <c r="B5373" s="30" t="inlineStr">
        <is>
          <t>Itaguai</t>
        </is>
      </c>
      <c r="C5373" s="30" t="n">
        <v>78788496</v>
      </c>
      <c r="D5373" s="30">
        <f>"10955881000158"</f>
        <v/>
      </c>
      <c r="E5373" s="30" t="inlineStr">
        <is>
          <t>CHACARA SANTA BARBARA DE ITAGUAI LTDA</t>
        </is>
      </c>
      <c r="F5373" s="30" t="inlineStr">
        <is>
          <t>2022</t>
        </is>
      </c>
      <c r="G5373" s="40" t="n">
        <v>0</v>
      </c>
    </row>
    <row r="5374" ht="12" customHeight="1">
      <c r="A5374" s="30" t="inlineStr">
        <is>
          <t>ITG</t>
        </is>
      </c>
      <c r="B5374" s="30" t="inlineStr">
        <is>
          <t>Itaguai</t>
        </is>
      </c>
      <c r="C5374" s="30" t="n">
        <v>78790865</v>
      </c>
      <c r="D5374" s="30">
        <f>"10955352000154"</f>
        <v/>
      </c>
      <c r="E5374" s="30" t="inlineStr">
        <is>
          <t>PRS EMPRESA ADMINISTRADORA DE POSTOS DE COMBUSTIVEIS LTDA</t>
        </is>
      </c>
      <c r="F5374" s="30" t="inlineStr">
        <is>
          <t>2017</t>
        </is>
      </c>
      <c r="G5374" s="40" t="n">
        <v>1581460.64</v>
      </c>
    </row>
    <row r="5375" ht="12" customHeight="1">
      <c r="A5375" s="30" t="inlineStr">
        <is>
          <t>ITG</t>
        </is>
      </c>
      <c r="B5375" s="30" t="inlineStr">
        <is>
          <t>Itaguai</t>
        </is>
      </c>
      <c r="C5375" s="30" t="n">
        <v>78790865</v>
      </c>
      <c r="D5375" s="30">
        <f>"10955352000154"</f>
        <v/>
      </c>
      <c r="E5375" s="30" t="inlineStr">
        <is>
          <t>PRS EMPRESA ADMINISTRADORA DE POSTOS DE COMBUSTIVEIS LTDA</t>
        </is>
      </c>
      <c r="F5375" s="30" t="inlineStr">
        <is>
          <t>2018</t>
        </is>
      </c>
      <c r="G5375" s="40" t="n">
        <v>1107205.63</v>
      </c>
    </row>
    <row r="5376" ht="12" customHeight="1">
      <c r="A5376" s="30" t="inlineStr">
        <is>
          <t>ITG</t>
        </is>
      </c>
      <c r="B5376" s="30" t="inlineStr">
        <is>
          <t>Itaguai</t>
        </is>
      </c>
      <c r="C5376" s="30" t="n">
        <v>78790865</v>
      </c>
      <c r="D5376" s="30">
        <f>"10955352000154"</f>
        <v/>
      </c>
      <c r="E5376" s="30" t="inlineStr">
        <is>
          <t>PRS EMPRESA ADMINISTRADORA DE POSTOS DE COMBUSTIVEIS LTDA</t>
        </is>
      </c>
      <c r="F5376" s="30" t="inlineStr">
        <is>
          <t>2019</t>
        </is>
      </c>
      <c r="G5376" s="40" t="n">
        <v>1767762.13</v>
      </c>
    </row>
    <row r="5377" ht="12" customHeight="1">
      <c r="A5377" s="30" t="inlineStr">
        <is>
          <t>ITG</t>
        </is>
      </c>
      <c r="B5377" s="30" t="inlineStr">
        <is>
          <t>Itaguai</t>
        </is>
      </c>
      <c r="C5377" s="30" t="n">
        <v>78790865</v>
      </c>
      <c r="D5377" s="30">
        <f>"10955352000154"</f>
        <v/>
      </c>
      <c r="E5377" s="30" t="inlineStr">
        <is>
          <t>PRS EMPRESA ADMINISTRADORA DE POSTOS DE COMBUSTIVEIS LTDA</t>
        </is>
      </c>
      <c r="F5377" s="30" t="inlineStr">
        <is>
          <t>2020</t>
        </is>
      </c>
      <c r="G5377" s="40" t="n">
        <v>4627236.57</v>
      </c>
    </row>
    <row r="5378" ht="12" customHeight="1">
      <c r="A5378" s="30" t="inlineStr">
        <is>
          <t>ITG</t>
        </is>
      </c>
      <c r="B5378" s="30" t="inlineStr">
        <is>
          <t>Itaguai</t>
        </is>
      </c>
      <c r="C5378" s="30" t="n">
        <v>78790865</v>
      </c>
      <c r="D5378" s="30">
        <f>"10955352000154"</f>
        <v/>
      </c>
      <c r="E5378" s="30" t="inlineStr">
        <is>
          <t>PRS EMPRESA ADMINISTRADORA DE POSTOS DE COMBUSTIVEIS LTDA</t>
        </is>
      </c>
      <c r="F5378" s="30" t="inlineStr">
        <is>
          <t>2021</t>
        </is>
      </c>
      <c r="G5378" s="40" t="n">
        <v>26500.51</v>
      </c>
    </row>
    <row r="5379" ht="12" customHeight="1">
      <c r="A5379" s="30" t="inlineStr">
        <is>
          <t>ITG</t>
        </is>
      </c>
      <c r="B5379" s="30" t="inlineStr">
        <is>
          <t>Itaguai</t>
        </is>
      </c>
      <c r="C5379" s="30" t="n">
        <v>78790865</v>
      </c>
      <c r="D5379" s="30">
        <f>"10955352000154"</f>
        <v/>
      </c>
      <c r="E5379" s="30" t="inlineStr">
        <is>
          <t>PRS EMPRESA ADMINISTRADORA DE POSTOS DE COMBUSTIVEIS LTDA</t>
        </is>
      </c>
      <c r="F5379" s="30" t="inlineStr">
        <is>
          <t>2022</t>
        </is>
      </c>
      <c r="G5379" s="40" t="n">
        <v>2314617.94</v>
      </c>
    </row>
    <row r="5380" ht="12" customHeight="1">
      <c r="A5380" s="30" t="inlineStr">
        <is>
          <t>ITG</t>
        </is>
      </c>
      <c r="B5380" s="30" t="inlineStr">
        <is>
          <t>Itaguai</t>
        </is>
      </c>
      <c r="C5380" s="30" t="n">
        <v>78790865</v>
      </c>
      <c r="D5380" s="30">
        <f>"10955352000154"</f>
        <v/>
      </c>
      <c r="E5380" s="30" t="inlineStr">
        <is>
          <t>PRS EMPRESA ADMINISTRADORA DE POSTOS DE COMBUSTIVEIS LTDA</t>
        </is>
      </c>
      <c r="F5380" s="30" t="inlineStr">
        <is>
          <t>2023</t>
        </is>
      </c>
      <c r="G5380" s="40" t="n">
        <v>2281007.18</v>
      </c>
    </row>
    <row r="5381" ht="12" customHeight="1">
      <c r="A5381" s="30" t="inlineStr">
        <is>
          <t>ITG</t>
        </is>
      </c>
      <c r="B5381" s="30" t="inlineStr">
        <is>
          <t>Itaguai</t>
        </is>
      </c>
      <c r="C5381" s="30" t="n">
        <v>78795700</v>
      </c>
      <c r="D5381" s="30">
        <f>"10914634000103"</f>
        <v/>
      </c>
      <c r="E5381" s="30" t="inlineStr">
        <is>
          <t>PEGADA FORTE INDUSTRIA DE ARGAMASSAS LTDA</t>
        </is>
      </c>
      <c r="F5381" s="30" t="inlineStr">
        <is>
          <t>2017</t>
        </is>
      </c>
      <c r="G5381" s="40" t="n">
        <v>0</v>
      </c>
    </row>
    <row r="5382" ht="12" customHeight="1">
      <c r="A5382" s="30" t="inlineStr">
        <is>
          <t>ITG</t>
        </is>
      </c>
      <c r="B5382" s="30" t="inlineStr">
        <is>
          <t>Itaguai</t>
        </is>
      </c>
      <c r="C5382" s="30" t="n">
        <v>78795700</v>
      </c>
      <c r="D5382" s="30">
        <f>"10914634000103"</f>
        <v/>
      </c>
      <c r="E5382" s="30" t="inlineStr">
        <is>
          <t>PEGADA FORTE INDUSTRIA DE ARGAMASSAS LTDA</t>
        </is>
      </c>
      <c r="F5382" s="30" t="inlineStr">
        <is>
          <t>2018</t>
        </is>
      </c>
      <c r="G5382" s="40" t="n">
        <v>8911655.390000001</v>
      </c>
    </row>
    <row r="5383" ht="12" customHeight="1">
      <c r="A5383" s="30" t="inlineStr">
        <is>
          <t>ITG</t>
        </is>
      </c>
      <c r="B5383" s="30" t="inlineStr">
        <is>
          <t>Itaguai</t>
        </is>
      </c>
      <c r="C5383" s="30" t="n">
        <v>78795700</v>
      </c>
      <c r="D5383" s="30">
        <f>"10914634000103"</f>
        <v/>
      </c>
      <c r="E5383" s="30" t="inlineStr">
        <is>
          <t>PEGADA FORTE INDUSTRIA DE ARGAMASSAS LTDA</t>
        </is>
      </c>
      <c r="F5383" s="30" t="inlineStr">
        <is>
          <t>2019</t>
        </is>
      </c>
      <c r="G5383" s="40" t="n">
        <v>8935912.949999999</v>
      </c>
    </row>
    <row r="5384" ht="12" customHeight="1">
      <c r="A5384" s="30" t="inlineStr">
        <is>
          <t>ITG</t>
        </is>
      </c>
      <c r="B5384" s="30" t="inlineStr">
        <is>
          <t>Itaguai</t>
        </is>
      </c>
      <c r="C5384" s="30" t="n">
        <v>78795700</v>
      </c>
      <c r="D5384" s="30">
        <f>"10914634000103"</f>
        <v/>
      </c>
      <c r="E5384" s="30" t="inlineStr">
        <is>
          <t>PEGADA FORTE INDUSTRIA DE ARGAMASSAS LTDA</t>
        </is>
      </c>
      <c r="F5384" s="30" t="inlineStr">
        <is>
          <t>2020</t>
        </is>
      </c>
      <c r="G5384" s="40" t="n">
        <v>10199168.95</v>
      </c>
    </row>
    <row r="5385" ht="12" customHeight="1">
      <c r="A5385" s="30" t="inlineStr">
        <is>
          <t>ITG</t>
        </is>
      </c>
      <c r="B5385" s="30" t="inlineStr">
        <is>
          <t>Itaguai</t>
        </is>
      </c>
      <c r="C5385" s="30" t="n">
        <v>78795700</v>
      </c>
      <c r="D5385" s="30">
        <f>"10914634000103"</f>
        <v/>
      </c>
      <c r="E5385" s="30" t="inlineStr">
        <is>
          <t>PEGADA FORTE INDUSTRIA DE ARGAMASSAS LTDA</t>
        </is>
      </c>
      <c r="F5385" s="30" t="inlineStr">
        <is>
          <t>2021</t>
        </is>
      </c>
      <c r="G5385" s="40" t="n">
        <v>1650538</v>
      </c>
    </row>
    <row r="5386" ht="12" customHeight="1">
      <c r="A5386" s="30" t="inlineStr">
        <is>
          <t>ITG</t>
        </is>
      </c>
      <c r="B5386" s="30" t="inlineStr">
        <is>
          <t>Itaguai</t>
        </is>
      </c>
      <c r="C5386" s="30" t="n">
        <v>78795700</v>
      </c>
      <c r="D5386" s="30">
        <f>"10914634000103"</f>
        <v/>
      </c>
      <c r="E5386" s="30" t="inlineStr">
        <is>
          <t>PEGADA FORTE INDUSTRIA DE ARGAMASSAS LTDA</t>
        </is>
      </c>
      <c r="F5386" s="30" t="inlineStr">
        <is>
          <t>2022</t>
        </is>
      </c>
      <c r="G5386" s="40" t="n">
        <v>0</v>
      </c>
    </row>
    <row r="5387" ht="12" customHeight="1">
      <c r="A5387" s="30" t="inlineStr">
        <is>
          <t>ITG</t>
        </is>
      </c>
      <c r="B5387" s="30" t="inlineStr">
        <is>
          <t>Itaguai</t>
        </is>
      </c>
      <c r="C5387" s="30" t="n">
        <v>78795700</v>
      </c>
      <c r="D5387" s="30">
        <f>"10914634000103"</f>
        <v/>
      </c>
      <c r="E5387" s="30" t="inlineStr">
        <is>
          <t>PEGADA FORTE INDUSTRIA DE ARGAMASSAS LTDA</t>
        </is>
      </c>
      <c r="F5387" s="30" t="inlineStr">
        <is>
          <t>2023</t>
        </is>
      </c>
      <c r="G5387" s="40" t="n">
        <v>0</v>
      </c>
    </row>
    <row r="5388" ht="12" customHeight="1">
      <c r="A5388" s="30" t="inlineStr">
        <is>
          <t>ITG</t>
        </is>
      </c>
      <c r="B5388" s="30" t="inlineStr">
        <is>
          <t>Itaguai</t>
        </is>
      </c>
      <c r="C5388" s="30" t="n">
        <v>78797509</v>
      </c>
      <c r="D5388" s="30">
        <f>"08310839000308"</f>
        <v/>
      </c>
      <c r="E5388" s="30" t="inlineStr">
        <is>
          <t>PORTO SUDESTE DO BRASIL S A</t>
        </is>
      </c>
      <c r="F5388" s="30" t="inlineStr">
        <is>
          <t>2017</t>
        </is>
      </c>
      <c r="G5388" s="40" t="n">
        <v>0</v>
      </c>
    </row>
    <row r="5389" ht="12" customHeight="1">
      <c r="A5389" s="30" t="inlineStr">
        <is>
          <t>ITG</t>
        </is>
      </c>
      <c r="B5389" s="30" t="inlineStr">
        <is>
          <t>Itaguai</t>
        </is>
      </c>
      <c r="C5389" s="30" t="n">
        <v>78797509</v>
      </c>
      <c r="D5389" s="30">
        <f>"08310839000308"</f>
        <v/>
      </c>
      <c r="E5389" s="30" t="inlineStr">
        <is>
          <t>PORTO SUDESTE DO BRASIL S A</t>
        </is>
      </c>
      <c r="F5389" s="30" t="inlineStr">
        <is>
          <t>2018</t>
        </is>
      </c>
      <c r="G5389" s="40" t="n">
        <v>0</v>
      </c>
    </row>
    <row r="5390" ht="12" customHeight="1">
      <c r="A5390" s="30" t="inlineStr">
        <is>
          <t>ITG</t>
        </is>
      </c>
      <c r="B5390" s="30" t="inlineStr">
        <is>
          <t>Itaguai</t>
        </is>
      </c>
      <c r="C5390" s="30" t="n">
        <v>78797509</v>
      </c>
      <c r="D5390" s="30">
        <f>"08310839000308"</f>
        <v/>
      </c>
      <c r="E5390" s="30" t="inlineStr">
        <is>
          <t>PORTO SUDESTE DO BRASIL S A</t>
        </is>
      </c>
      <c r="F5390" s="30" t="inlineStr">
        <is>
          <t>2019</t>
        </is>
      </c>
      <c r="G5390" s="40" t="n">
        <v>0</v>
      </c>
    </row>
    <row r="5391" ht="12" customHeight="1">
      <c r="A5391" s="30" t="inlineStr">
        <is>
          <t>ITG</t>
        </is>
      </c>
      <c r="B5391" s="30" t="inlineStr">
        <is>
          <t>Itaguai</t>
        </is>
      </c>
      <c r="C5391" s="30" t="n">
        <v>78797509</v>
      </c>
      <c r="D5391" s="30">
        <f>"08310839000308"</f>
        <v/>
      </c>
      <c r="E5391" s="30" t="inlineStr">
        <is>
          <t>PORTO SUDESTE DO BRASIL S A</t>
        </is>
      </c>
      <c r="F5391" s="30" t="inlineStr">
        <is>
          <t>2020</t>
        </is>
      </c>
      <c r="G5391" s="40" t="n">
        <v>0</v>
      </c>
    </row>
    <row r="5392" ht="12" customHeight="1">
      <c r="A5392" s="30" t="inlineStr">
        <is>
          <t>ITG</t>
        </is>
      </c>
      <c r="B5392" s="30" t="inlineStr">
        <is>
          <t>Itaguai</t>
        </is>
      </c>
      <c r="C5392" s="30" t="n">
        <v>78797509</v>
      </c>
      <c r="D5392" s="30">
        <f>"08310839000308"</f>
        <v/>
      </c>
      <c r="E5392" s="30" t="inlineStr">
        <is>
          <t>PORTO SUDESTE DO BRASIL S A</t>
        </is>
      </c>
      <c r="F5392" s="30" t="inlineStr">
        <is>
          <t>2021</t>
        </is>
      </c>
      <c r="G5392" s="40" t="n">
        <v>0</v>
      </c>
    </row>
    <row r="5393" ht="12" customHeight="1">
      <c r="A5393" s="30" t="inlineStr">
        <is>
          <t>ITG</t>
        </is>
      </c>
      <c r="B5393" s="30" t="inlineStr">
        <is>
          <t>Itaguai</t>
        </is>
      </c>
      <c r="C5393" s="30" t="n">
        <v>78797509</v>
      </c>
      <c r="D5393" s="30">
        <f>"08310839000308"</f>
        <v/>
      </c>
      <c r="E5393" s="30" t="inlineStr">
        <is>
          <t>PORTO SUDESTE DO BRASIL S A</t>
        </is>
      </c>
      <c r="F5393" s="30" t="inlineStr">
        <is>
          <t>2022</t>
        </is>
      </c>
      <c r="G5393" s="40" t="n">
        <v>0</v>
      </c>
    </row>
    <row r="5394" ht="12" customHeight="1">
      <c r="A5394" s="30" t="inlineStr">
        <is>
          <t>ITG</t>
        </is>
      </c>
      <c r="B5394" s="30" t="inlineStr">
        <is>
          <t>Itaguai</t>
        </is>
      </c>
      <c r="C5394" s="30" t="n">
        <v>78797509</v>
      </c>
      <c r="D5394" s="30">
        <f>"08310839000308"</f>
        <v/>
      </c>
      <c r="E5394" s="30" t="inlineStr">
        <is>
          <t>PORTO SUDESTE DO BRASIL S A</t>
        </is>
      </c>
      <c r="F5394" s="30" t="inlineStr">
        <is>
          <t>2023</t>
        </is>
      </c>
      <c r="G5394" s="40" t="n">
        <v>0</v>
      </c>
    </row>
    <row r="5395" ht="12" customHeight="1">
      <c r="A5395" s="30" t="inlineStr">
        <is>
          <t>ITG</t>
        </is>
      </c>
      <c r="B5395" s="30" t="inlineStr">
        <is>
          <t>Itaguai</t>
        </is>
      </c>
      <c r="C5395" s="30" t="n">
        <v>78797517</v>
      </c>
      <c r="D5395" s="30">
        <f>"08310839000219"</f>
        <v/>
      </c>
      <c r="E5395" s="30" t="inlineStr">
        <is>
          <t>PORTO SUDESTE DO BRASIL S A</t>
        </is>
      </c>
      <c r="F5395" s="30" t="inlineStr">
        <is>
          <t>2017</t>
        </is>
      </c>
      <c r="G5395" s="40" t="n">
        <v>0</v>
      </c>
    </row>
    <row r="5396" ht="12" customHeight="1">
      <c r="A5396" s="30" t="inlineStr">
        <is>
          <t>ITG</t>
        </is>
      </c>
      <c r="B5396" s="30" t="inlineStr">
        <is>
          <t>Itaguai</t>
        </is>
      </c>
      <c r="C5396" s="30" t="n">
        <v>78797517</v>
      </c>
      <c r="D5396" s="30">
        <f>"08310839000219"</f>
        <v/>
      </c>
      <c r="E5396" s="30" t="inlineStr">
        <is>
          <t>PORTO SUDESTE DO BRASIL S A</t>
        </is>
      </c>
      <c r="F5396" s="30" t="inlineStr">
        <is>
          <t>2018</t>
        </is>
      </c>
      <c r="G5396" s="40" t="n">
        <v>0</v>
      </c>
    </row>
    <row r="5397" ht="12" customHeight="1">
      <c r="A5397" s="30" t="inlineStr">
        <is>
          <t>ITG</t>
        </is>
      </c>
      <c r="B5397" s="30" t="inlineStr">
        <is>
          <t>Itaguai</t>
        </is>
      </c>
      <c r="C5397" s="30" t="n">
        <v>78797517</v>
      </c>
      <c r="D5397" s="30">
        <f>"08310839000219"</f>
        <v/>
      </c>
      <c r="E5397" s="30" t="inlineStr">
        <is>
          <t>PORTO SUDESTE DO BRASIL S A</t>
        </is>
      </c>
      <c r="F5397" s="30" t="inlineStr">
        <is>
          <t>2019</t>
        </is>
      </c>
      <c r="G5397" s="40" t="n">
        <v>0</v>
      </c>
    </row>
    <row r="5398" ht="12" customHeight="1">
      <c r="A5398" s="30" t="inlineStr">
        <is>
          <t>ITG</t>
        </is>
      </c>
      <c r="B5398" s="30" t="inlineStr">
        <is>
          <t>Itaguai</t>
        </is>
      </c>
      <c r="C5398" s="30" t="n">
        <v>78797517</v>
      </c>
      <c r="D5398" s="30">
        <f>"08310839000219"</f>
        <v/>
      </c>
      <c r="E5398" s="30" t="inlineStr">
        <is>
          <t>PORTO SUDESTE DO BRASIL S A</t>
        </is>
      </c>
      <c r="F5398" s="30" t="inlineStr">
        <is>
          <t>2020</t>
        </is>
      </c>
      <c r="G5398" s="40" t="n">
        <v>0</v>
      </c>
    </row>
    <row r="5399" ht="12" customHeight="1">
      <c r="A5399" s="30" t="inlineStr">
        <is>
          <t>ITG</t>
        </is>
      </c>
      <c r="B5399" s="30" t="inlineStr">
        <is>
          <t>Itaguai</t>
        </is>
      </c>
      <c r="C5399" s="30" t="n">
        <v>78797517</v>
      </c>
      <c r="D5399" s="30">
        <f>"08310839000219"</f>
        <v/>
      </c>
      <c r="E5399" s="30" t="inlineStr">
        <is>
          <t>PORTO SUDESTE DO BRASIL S A</t>
        </is>
      </c>
      <c r="F5399" s="30" t="inlineStr">
        <is>
          <t>2021</t>
        </is>
      </c>
      <c r="G5399" s="40" t="n">
        <v>0</v>
      </c>
    </row>
    <row r="5400" ht="12" customHeight="1">
      <c r="A5400" s="30" t="inlineStr">
        <is>
          <t>ITG</t>
        </is>
      </c>
      <c r="B5400" s="30" t="inlineStr">
        <is>
          <t>Itaguai</t>
        </is>
      </c>
      <c r="C5400" s="30" t="n">
        <v>78797517</v>
      </c>
      <c r="D5400" s="30">
        <f>"08310839000219"</f>
        <v/>
      </c>
      <c r="E5400" s="30" t="inlineStr">
        <is>
          <t>PORTO SUDESTE DO BRASIL S A</t>
        </is>
      </c>
      <c r="F5400" s="30" t="inlineStr">
        <is>
          <t>2022</t>
        </is>
      </c>
      <c r="G5400" s="40" t="n">
        <v>0</v>
      </c>
    </row>
    <row r="5401" ht="12" customHeight="1">
      <c r="A5401" s="30" t="inlineStr">
        <is>
          <t>ITG</t>
        </is>
      </c>
      <c r="B5401" s="30" t="inlineStr">
        <is>
          <t>Itaguai</t>
        </is>
      </c>
      <c r="C5401" s="30" t="n">
        <v>78797517</v>
      </c>
      <c r="D5401" s="30">
        <f>"08310839000219"</f>
        <v/>
      </c>
      <c r="E5401" s="30" t="inlineStr">
        <is>
          <t>PORTO SUDESTE DO BRASIL S A</t>
        </is>
      </c>
      <c r="F5401" s="30" t="inlineStr">
        <is>
          <t>2023</t>
        </is>
      </c>
      <c r="G5401" s="40" t="n">
        <v>0</v>
      </c>
    </row>
    <row r="5402" ht="12" customHeight="1">
      <c r="A5402" s="30" t="inlineStr">
        <is>
          <t>ITG</t>
        </is>
      </c>
      <c r="B5402" s="30" t="inlineStr">
        <is>
          <t>Itaguai</t>
        </is>
      </c>
      <c r="C5402" s="30" t="n">
        <v>78802693</v>
      </c>
      <c r="D5402" s="30">
        <f>"10949805000130"</f>
        <v/>
      </c>
      <c r="E5402" s="30" t="inlineStr">
        <is>
          <t>C A A DOS S CANDIDA COMERCIO DE GAS ME</t>
        </is>
      </c>
      <c r="F5402" s="30" t="inlineStr">
        <is>
          <t>2017</t>
        </is>
      </c>
      <c r="G5402" s="40" t="n">
        <v>565035.15</v>
      </c>
    </row>
    <row r="5403" ht="12" customHeight="1">
      <c r="A5403" s="30" t="inlineStr">
        <is>
          <t>ITG</t>
        </is>
      </c>
      <c r="B5403" s="30" t="inlineStr">
        <is>
          <t>Itaguai</t>
        </is>
      </c>
      <c r="C5403" s="30" t="n">
        <v>78802693</v>
      </c>
      <c r="D5403" s="30">
        <f>"10949805000130"</f>
        <v/>
      </c>
      <c r="E5403" s="30" t="inlineStr">
        <is>
          <t>C A A DOS S CANDIDA COMERCIO DE GAS ME</t>
        </is>
      </c>
      <c r="F5403" s="30" t="inlineStr">
        <is>
          <t>2018</t>
        </is>
      </c>
      <c r="G5403" s="40" t="n">
        <v>0</v>
      </c>
    </row>
    <row r="5404" ht="12" customHeight="1">
      <c r="A5404" s="30" t="inlineStr">
        <is>
          <t>ITG</t>
        </is>
      </c>
      <c r="B5404" s="30" t="inlineStr">
        <is>
          <t>Itaguai</t>
        </is>
      </c>
      <c r="C5404" s="30" t="n">
        <v>78802693</v>
      </c>
      <c r="D5404" s="30">
        <f>"10949805000130"</f>
        <v/>
      </c>
      <c r="E5404" s="30" t="inlineStr">
        <is>
          <t>C A A DOS S CANDIDA COMERCIO DE GAS ME</t>
        </is>
      </c>
      <c r="F5404" s="30" t="inlineStr">
        <is>
          <t>2019</t>
        </is>
      </c>
      <c r="G5404" s="40" t="n">
        <v>0</v>
      </c>
    </row>
    <row r="5405" ht="12" customHeight="1">
      <c r="A5405" s="30" t="inlineStr">
        <is>
          <t>ITG</t>
        </is>
      </c>
      <c r="B5405" s="30" t="inlineStr">
        <is>
          <t>Itaguai</t>
        </is>
      </c>
      <c r="C5405" s="30" t="n">
        <v>78808209</v>
      </c>
      <c r="D5405" s="30">
        <f>"11011612000104"</f>
        <v/>
      </c>
      <c r="E5405" s="30" t="inlineStr">
        <is>
          <t>ZL LOG LOGISTICA LTDA</t>
        </is>
      </c>
      <c r="F5405" s="30" t="inlineStr">
        <is>
          <t>2017</t>
        </is>
      </c>
      <c r="G5405" s="40" t="n">
        <v>2210</v>
      </c>
    </row>
    <row r="5406" ht="12" customHeight="1">
      <c r="A5406" s="30" t="inlineStr">
        <is>
          <t>ITG</t>
        </is>
      </c>
      <c r="B5406" s="30" t="inlineStr">
        <is>
          <t>Itaguai</t>
        </is>
      </c>
      <c r="C5406" s="30" t="n">
        <v>78808209</v>
      </c>
      <c r="D5406" s="30">
        <f>"11011612000104"</f>
        <v/>
      </c>
      <c r="E5406" s="30" t="inlineStr">
        <is>
          <t>ZL LOG LOGISTICA LTDA</t>
        </is>
      </c>
      <c r="F5406" s="30" t="inlineStr">
        <is>
          <t>2018</t>
        </is>
      </c>
      <c r="G5406" s="40" t="n">
        <v>2416603.8</v>
      </c>
    </row>
    <row r="5407" ht="12" customHeight="1">
      <c r="A5407" s="30" t="inlineStr">
        <is>
          <t>ITG</t>
        </is>
      </c>
      <c r="B5407" s="30" t="inlineStr">
        <is>
          <t>Itaguai</t>
        </is>
      </c>
      <c r="C5407" s="30" t="n">
        <v>78808209</v>
      </c>
      <c r="D5407" s="30">
        <f>"11011612000104"</f>
        <v/>
      </c>
      <c r="E5407" s="30" t="inlineStr">
        <is>
          <t>ZL LOG LOGISTICA LTDA</t>
        </is>
      </c>
      <c r="F5407" s="30" t="inlineStr">
        <is>
          <t>2019</t>
        </is>
      </c>
      <c r="G5407" s="40" t="n">
        <v>0</v>
      </c>
    </row>
    <row r="5408" ht="12" customHeight="1">
      <c r="A5408" s="30" t="inlineStr">
        <is>
          <t>ITG</t>
        </is>
      </c>
      <c r="B5408" s="30" t="inlineStr">
        <is>
          <t>Itaguai</t>
        </is>
      </c>
      <c r="C5408" s="30" t="n">
        <v>78808209</v>
      </c>
      <c r="D5408" s="30">
        <f>"11011612000104"</f>
        <v/>
      </c>
      <c r="E5408" s="30" t="inlineStr">
        <is>
          <t>ZL LOG LOGISTICA LTDA</t>
        </is>
      </c>
      <c r="F5408" s="30" t="inlineStr">
        <is>
          <t>2020</t>
        </is>
      </c>
      <c r="G5408" s="40" t="n">
        <v>0</v>
      </c>
    </row>
    <row r="5409" ht="12" customHeight="1">
      <c r="A5409" s="30" t="inlineStr">
        <is>
          <t>ITG</t>
        </is>
      </c>
      <c r="B5409" s="30" t="inlineStr">
        <is>
          <t>Itaguai</t>
        </is>
      </c>
      <c r="C5409" s="30" t="n">
        <v>78808209</v>
      </c>
      <c r="D5409" s="30">
        <f>"11011612000104"</f>
        <v/>
      </c>
      <c r="E5409" s="30" t="inlineStr">
        <is>
          <t>ZL LOG LOGISTICA LTDA</t>
        </is>
      </c>
      <c r="F5409" s="30" t="inlineStr">
        <is>
          <t>2021</t>
        </is>
      </c>
      <c r="G5409" s="40" t="n">
        <v>0</v>
      </c>
    </row>
    <row r="5410" ht="12" customHeight="1">
      <c r="A5410" s="30" t="inlineStr">
        <is>
          <t>ITG</t>
        </is>
      </c>
      <c r="B5410" s="30" t="inlineStr">
        <is>
          <t>Itaguai</t>
        </is>
      </c>
      <c r="C5410" s="30" t="n">
        <v>78808209</v>
      </c>
      <c r="D5410" s="30">
        <f>"11011612000104"</f>
        <v/>
      </c>
      <c r="E5410" s="30" t="inlineStr">
        <is>
          <t>ZL LOG LOGISTICA LTDA</t>
        </is>
      </c>
      <c r="F5410" s="30" t="inlineStr">
        <is>
          <t>2022</t>
        </is>
      </c>
      <c r="G5410" s="40" t="n">
        <v>0</v>
      </c>
    </row>
    <row r="5411" ht="12" customHeight="1">
      <c r="A5411" s="30" t="inlineStr">
        <is>
          <t>ITG</t>
        </is>
      </c>
      <c r="B5411" s="30" t="inlineStr">
        <is>
          <t>Itaguai</t>
        </is>
      </c>
      <c r="C5411" s="30" t="n">
        <v>78808209</v>
      </c>
      <c r="D5411" s="30">
        <f>"11011612000104"</f>
        <v/>
      </c>
      <c r="E5411" s="30" t="inlineStr">
        <is>
          <t>ZL LOG LOGISTICA LTDA</t>
        </is>
      </c>
      <c r="F5411" s="30" t="inlineStr">
        <is>
          <t>2023</t>
        </is>
      </c>
      <c r="G5411" s="40" t="n">
        <v>0</v>
      </c>
    </row>
    <row r="5412" ht="12" customHeight="1">
      <c r="A5412" s="30" t="inlineStr">
        <is>
          <t>ITG</t>
        </is>
      </c>
      <c r="B5412" s="30" t="inlineStr">
        <is>
          <t>Itaguai</t>
        </is>
      </c>
      <c r="C5412" s="30" t="n">
        <v>78813997</v>
      </c>
      <c r="D5412" s="30">
        <f>"10861580000165"</f>
        <v/>
      </c>
      <c r="E5412" s="30" t="inlineStr">
        <is>
          <t>EUCLIDES JOSE DE CERQUEIRA FILHO</t>
        </is>
      </c>
      <c r="F5412" s="30" t="inlineStr">
        <is>
          <t>2017</t>
        </is>
      </c>
      <c r="G5412" s="40" t="n">
        <v>0</v>
      </c>
    </row>
    <row r="5413" ht="12" customHeight="1">
      <c r="A5413" s="30" t="inlineStr">
        <is>
          <t>ITG</t>
        </is>
      </c>
      <c r="B5413" s="30" t="inlineStr">
        <is>
          <t>Itaguai</t>
        </is>
      </c>
      <c r="C5413" s="30" t="n">
        <v>78813997</v>
      </c>
      <c r="D5413" s="30">
        <f>"10861580000165"</f>
        <v/>
      </c>
      <c r="E5413" s="30" t="inlineStr">
        <is>
          <t>EUCLIDES JOSE DE CERQUEIRA FILHO</t>
        </is>
      </c>
      <c r="F5413" s="30" t="inlineStr">
        <is>
          <t>2018</t>
        </is>
      </c>
      <c r="G5413" s="40" t="n">
        <v>0</v>
      </c>
    </row>
    <row r="5414" ht="12" customHeight="1">
      <c r="A5414" s="30" t="inlineStr">
        <is>
          <t>ITG</t>
        </is>
      </c>
      <c r="B5414" s="30" t="inlineStr">
        <is>
          <t>Itaguai</t>
        </is>
      </c>
      <c r="C5414" s="30" t="n">
        <v>78813997</v>
      </c>
      <c r="D5414" s="30">
        <f>"10861580000165"</f>
        <v/>
      </c>
      <c r="E5414" s="30" t="inlineStr">
        <is>
          <t>EUCLIDES JOSE DE CERQUEIRA FILHO</t>
        </is>
      </c>
      <c r="F5414" s="30" t="inlineStr">
        <is>
          <t>2019</t>
        </is>
      </c>
      <c r="G5414" s="40" t="n">
        <v>0</v>
      </c>
    </row>
    <row r="5415" ht="12" customHeight="1">
      <c r="A5415" s="30" t="inlineStr">
        <is>
          <t>ITG</t>
        </is>
      </c>
      <c r="B5415" s="30" t="inlineStr">
        <is>
          <t>Itaguai</t>
        </is>
      </c>
      <c r="C5415" s="30" t="n">
        <v>78813997</v>
      </c>
      <c r="D5415" s="30">
        <f>"10861580000165"</f>
        <v/>
      </c>
      <c r="E5415" s="30" t="inlineStr">
        <is>
          <t>EUCLIDES JOSE DE CERQUEIRA FILHO</t>
        </is>
      </c>
      <c r="F5415" s="30" t="inlineStr">
        <is>
          <t>2020</t>
        </is>
      </c>
      <c r="G5415" s="40" t="n">
        <v>0</v>
      </c>
    </row>
    <row r="5416" ht="12" customHeight="1">
      <c r="A5416" s="30" t="inlineStr">
        <is>
          <t>ITG</t>
        </is>
      </c>
      <c r="B5416" s="30" t="inlineStr">
        <is>
          <t>Itaguai</t>
        </is>
      </c>
      <c r="C5416" s="30" t="n">
        <v>78826266</v>
      </c>
      <c r="D5416" s="30">
        <f>"10957487000159"</f>
        <v/>
      </c>
      <c r="E5416" s="30" t="inlineStr">
        <is>
          <t>DAJA QUIOSQUE E MADEIRAS LTDA ME</t>
        </is>
      </c>
      <c r="F5416" s="30" t="inlineStr">
        <is>
          <t>2017</t>
        </is>
      </c>
      <c r="G5416" s="40" t="n">
        <v>0</v>
      </c>
    </row>
    <row r="5417" ht="12" customHeight="1">
      <c r="A5417" s="30" t="inlineStr">
        <is>
          <t>ITG</t>
        </is>
      </c>
      <c r="B5417" s="30" t="inlineStr">
        <is>
          <t>Itaguai</t>
        </is>
      </c>
      <c r="C5417" s="30" t="n">
        <v>78826266</v>
      </c>
      <c r="D5417" s="30">
        <f>"10957487000159"</f>
        <v/>
      </c>
      <c r="E5417" s="30" t="inlineStr">
        <is>
          <t>DAJA QUIOSQUE E MADEIRAS LTDA ME</t>
        </is>
      </c>
      <c r="F5417" s="30" t="inlineStr">
        <is>
          <t>2018</t>
        </is>
      </c>
      <c r="G5417" s="40" t="n">
        <v>0</v>
      </c>
    </row>
    <row r="5418" ht="12" customHeight="1">
      <c r="A5418" s="30" t="inlineStr">
        <is>
          <t>ITG</t>
        </is>
      </c>
      <c r="B5418" s="30" t="inlineStr">
        <is>
          <t>Itaguai</t>
        </is>
      </c>
      <c r="C5418" s="30" t="n">
        <v>78826266</v>
      </c>
      <c r="D5418" s="30">
        <f>"10957487000159"</f>
        <v/>
      </c>
      <c r="E5418" s="30" t="inlineStr">
        <is>
          <t>DAJA QUIOSQUE E MADEIRAS LTDA ME</t>
        </is>
      </c>
      <c r="F5418" s="30" t="inlineStr">
        <is>
          <t>2019</t>
        </is>
      </c>
      <c r="G5418" s="40" t="n">
        <v>0</v>
      </c>
    </row>
    <row r="5419" ht="12" customHeight="1">
      <c r="A5419" s="30" t="inlineStr">
        <is>
          <t>ITG</t>
        </is>
      </c>
      <c r="B5419" s="30" t="inlineStr">
        <is>
          <t>Itaguai</t>
        </is>
      </c>
      <c r="C5419" s="30" t="n">
        <v>78826266</v>
      </c>
      <c r="D5419" s="30">
        <f>"10957487000159"</f>
        <v/>
      </c>
      <c r="E5419" s="30" t="inlineStr">
        <is>
          <t>DAJA QUIOSQUE E MADEIRAS LTDA ME</t>
        </is>
      </c>
      <c r="F5419" s="30" t="inlineStr">
        <is>
          <t>2020</t>
        </is>
      </c>
      <c r="G5419" s="40" t="n">
        <v>0</v>
      </c>
    </row>
    <row r="5420" ht="12" customHeight="1">
      <c r="A5420" s="30" t="inlineStr">
        <is>
          <t>ITG</t>
        </is>
      </c>
      <c r="B5420" s="30" t="inlineStr">
        <is>
          <t>Itaguai</t>
        </is>
      </c>
      <c r="C5420" s="30" t="n">
        <v>78826266</v>
      </c>
      <c r="D5420" s="30">
        <f>"10957487000159"</f>
        <v/>
      </c>
      <c r="E5420" s="30" t="inlineStr">
        <is>
          <t>DAJA QUIOSQUE E MADEIRAS LTDA ME</t>
        </is>
      </c>
      <c r="F5420" s="30" t="inlineStr">
        <is>
          <t>2021</t>
        </is>
      </c>
      <c r="G5420" s="40" t="n">
        <v>0</v>
      </c>
    </row>
    <row r="5421" ht="12" customHeight="1">
      <c r="A5421" s="30" t="inlineStr">
        <is>
          <t>ITG</t>
        </is>
      </c>
      <c r="B5421" s="30" t="inlineStr">
        <is>
          <t>Itaguai</t>
        </is>
      </c>
      <c r="C5421" s="30" t="n">
        <v>78826266</v>
      </c>
      <c r="D5421" s="30">
        <f>"10957487000159"</f>
        <v/>
      </c>
      <c r="E5421" s="30" t="inlineStr">
        <is>
          <t>DAJA QUIOSQUE E MADEIRAS LTDA ME</t>
        </is>
      </c>
      <c r="F5421" s="30" t="inlineStr">
        <is>
          <t>2022</t>
        </is>
      </c>
      <c r="G5421" s="40" t="n">
        <v>0</v>
      </c>
    </row>
    <row r="5422" ht="12" customHeight="1">
      <c r="A5422" s="30" t="inlineStr">
        <is>
          <t>ITG</t>
        </is>
      </c>
      <c r="B5422" s="30" t="inlineStr">
        <is>
          <t>Itaguai</t>
        </is>
      </c>
      <c r="C5422" s="30" t="n">
        <v>78826266</v>
      </c>
      <c r="D5422" s="30">
        <f>"10957487000159"</f>
        <v/>
      </c>
      <c r="E5422" s="30" t="inlineStr">
        <is>
          <t>DAJA QUIOSQUE E MADEIRAS LTDA ME</t>
        </is>
      </c>
      <c r="F5422" s="30" t="inlineStr">
        <is>
          <t>2023</t>
        </is>
      </c>
      <c r="G5422" s="40" t="n">
        <v>18856.81</v>
      </c>
    </row>
    <row r="5423" ht="12" customHeight="1">
      <c r="A5423" s="30" t="inlineStr">
        <is>
          <t>ITG</t>
        </is>
      </c>
      <c r="B5423" s="30" t="inlineStr">
        <is>
          <t>Itaguai</t>
        </is>
      </c>
      <c r="C5423" s="30" t="n">
        <v>78827661</v>
      </c>
      <c r="D5423" s="30">
        <f>"02303036000331"</f>
        <v/>
      </c>
      <c r="E5423" s="30" t="inlineStr">
        <is>
          <t>CLURCRI DISTRIBUIDORA DE GAS EIRELI ME</t>
        </is>
      </c>
      <c r="F5423" s="30" t="inlineStr">
        <is>
          <t>2017</t>
        </is>
      </c>
      <c r="G5423" s="40" t="n">
        <v>17318.83</v>
      </c>
    </row>
    <row r="5424" ht="12" customHeight="1">
      <c r="A5424" s="30" t="inlineStr">
        <is>
          <t>ITG</t>
        </is>
      </c>
      <c r="B5424" s="30" t="inlineStr">
        <is>
          <t>Itaguai</t>
        </is>
      </c>
      <c r="C5424" s="30" t="n">
        <v>78827661</v>
      </c>
      <c r="D5424" s="30">
        <f>"02303036000331"</f>
        <v/>
      </c>
      <c r="E5424" s="30" t="inlineStr">
        <is>
          <t>CLURCRI DISTRIBUIDORA DE GAS EIRELI ME</t>
        </is>
      </c>
      <c r="F5424" s="30" t="inlineStr">
        <is>
          <t>2018</t>
        </is>
      </c>
      <c r="G5424" s="40" t="n">
        <v>0</v>
      </c>
    </row>
    <row r="5425" ht="12" customHeight="1">
      <c r="A5425" s="30" t="inlineStr">
        <is>
          <t>ITG</t>
        </is>
      </c>
      <c r="B5425" s="30" t="inlineStr">
        <is>
          <t>Itaguai</t>
        </is>
      </c>
      <c r="C5425" s="30" t="n">
        <v>78827661</v>
      </c>
      <c r="D5425" s="30">
        <f>"02303036000331"</f>
        <v/>
      </c>
      <c r="E5425" s="30" t="inlineStr">
        <is>
          <t>CLURCRI DISTRIBUIDORA DE GAS EIRELI ME</t>
        </is>
      </c>
      <c r="F5425" s="30" t="inlineStr">
        <is>
          <t>2019</t>
        </is>
      </c>
      <c r="G5425" s="40" t="n">
        <v>0</v>
      </c>
    </row>
    <row r="5426" ht="12" customHeight="1">
      <c r="A5426" s="30" t="inlineStr">
        <is>
          <t>ITG</t>
        </is>
      </c>
      <c r="B5426" s="30" t="inlineStr">
        <is>
          <t>Itaguai</t>
        </is>
      </c>
      <c r="C5426" s="30" t="n">
        <v>78828358</v>
      </c>
      <c r="D5426" s="30">
        <f>"11078742000156"</f>
        <v/>
      </c>
      <c r="E5426" s="30" t="inlineStr">
        <is>
          <t>G N P PREPARACAO E COMERCIO DE DERIVADOS DE CARNES LTDA</t>
        </is>
      </c>
      <c r="F5426" s="30" t="inlineStr">
        <is>
          <t>2017</t>
        </is>
      </c>
      <c r="G5426" s="40" t="n">
        <v>0</v>
      </c>
    </row>
    <row r="5427" ht="12" customHeight="1">
      <c r="A5427" s="30" t="inlineStr">
        <is>
          <t>ITG</t>
        </is>
      </c>
      <c r="B5427" s="30" t="inlineStr">
        <is>
          <t>Itaguai</t>
        </is>
      </c>
      <c r="C5427" s="30" t="n">
        <v>78828358</v>
      </c>
      <c r="D5427" s="30">
        <f>"11078742000156"</f>
        <v/>
      </c>
      <c r="E5427" s="30" t="inlineStr">
        <is>
          <t>G N P PREPARACAO E COMERCIO DE DERIVADOS DE CARNES LTDA</t>
        </is>
      </c>
      <c r="F5427" s="30" t="inlineStr">
        <is>
          <t>2018</t>
        </is>
      </c>
      <c r="G5427" s="40" t="n">
        <v>0</v>
      </c>
    </row>
    <row r="5428" ht="12" customHeight="1">
      <c r="A5428" s="30" t="inlineStr">
        <is>
          <t>ITG</t>
        </is>
      </c>
      <c r="B5428" s="30" t="inlineStr">
        <is>
          <t>Itaguai</t>
        </is>
      </c>
      <c r="C5428" s="30" t="n">
        <v>78828358</v>
      </c>
      <c r="D5428" s="30">
        <f>"11078742000156"</f>
        <v/>
      </c>
      <c r="E5428" s="30" t="inlineStr">
        <is>
          <t>G N P PREPARACAO E COMERCIO DE DERIVADOS DE CARNES LTDA</t>
        </is>
      </c>
      <c r="F5428" s="30" t="inlineStr">
        <is>
          <t>2019</t>
        </is>
      </c>
      <c r="G5428" s="40" t="n">
        <v>0</v>
      </c>
    </row>
    <row r="5429" ht="12" customHeight="1">
      <c r="A5429" s="30" t="inlineStr">
        <is>
          <t>ITG</t>
        </is>
      </c>
      <c r="B5429" s="30" t="inlineStr">
        <is>
          <t>Itaguai</t>
        </is>
      </c>
      <c r="C5429" s="30" t="n">
        <v>78832410</v>
      </c>
      <c r="D5429" s="30">
        <f>"29502945001084"</f>
        <v/>
      </c>
      <c r="E5429" s="30" t="inlineStr">
        <is>
          <t>DISTAC DISTRIBUIDORA DE AUTOMOVEIS E COMERCIO LTDA</t>
        </is>
      </c>
      <c r="F5429" s="30" t="inlineStr">
        <is>
          <t>2017</t>
        </is>
      </c>
      <c r="G5429" s="40" t="n">
        <v>0</v>
      </c>
    </row>
    <row r="5430" ht="12" customHeight="1">
      <c r="A5430" s="30" t="inlineStr">
        <is>
          <t>ITG</t>
        </is>
      </c>
      <c r="B5430" s="30" t="inlineStr">
        <is>
          <t>Itaguai</t>
        </is>
      </c>
      <c r="C5430" s="30" t="n">
        <v>78832410</v>
      </c>
      <c r="D5430" s="30">
        <f>"29502945001084"</f>
        <v/>
      </c>
      <c r="E5430" s="30" t="inlineStr">
        <is>
          <t>DISTAC DISTRIBUIDORA DE AUTOMOVEIS E COMERCIO LTDA</t>
        </is>
      </c>
      <c r="F5430" s="30" t="inlineStr">
        <is>
          <t>2018</t>
        </is>
      </c>
      <c r="G5430" s="40" t="n">
        <v>0</v>
      </c>
    </row>
    <row r="5431" ht="12" customHeight="1">
      <c r="A5431" s="30" t="inlineStr">
        <is>
          <t>ITG</t>
        </is>
      </c>
      <c r="B5431" s="30" t="inlineStr">
        <is>
          <t>Itaguai</t>
        </is>
      </c>
      <c r="C5431" s="30" t="n">
        <v>78832410</v>
      </c>
      <c r="D5431" s="30">
        <f>"29502945001084"</f>
        <v/>
      </c>
      <c r="E5431" s="30" t="inlineStr">
        <is>
          <t>DISTAC DISTRIBUIDORA DE AUTOMOVEIS E COMERCIO LTDA</t>
        </is>
      </c>
      <c r="F5431" s="30" t="inlineStr">
        <is>
          <t>2019</t>
        </is>
      </c>
      <c r="G5431" s="40" t="n">
        <v>0</v>
      </c>
    </row>
    <row r="5432" ht="12" customHeight="1">
      <c r="A5432" s="30" t="inlineStr">
        <is>
          <t>ITG</t>
        </is>
      </c>
      <c r="B5432" s="30" t="inlineStr">
        <is>
          <t>Itaguai</t>
        </is>
      </c>
      <c r="C5432" s="30" t="n">
        <v>78832410</v>
      </c>
      <c r="D5432" s="30">
        <f>"29502945001084"</f>
        <v/>
      </c>
      <c r="E5432" s="30" t="inlineStr">
        <is>
          <t>DISTAC DISTRIBUIDORA DE AUTOMOVEIS E COMERCIO LTDA</t>
        </is>
      </c>
      <c r="F5432" s="30" t="inlineStr">
        <is>
          <t>2020</t>
        </is>
      </c>
      <c r="G5432" s="40" t="n">
        <v>0</v>
      </c>
    </row>
    <row r="5433" ht="12" customHeight="1">
      <c r="A5433" s="30" t="inlineStr">
        <is>
          <t>ITG</t>
        </is>
      </c>
      <c r="B5433" s="30" t="inlineStr">
        <is>
          <t>Itaguai</t>
        </is>
      </c>
      <c r="C5433" s="30" t="n">
        <v>78832410</v>
      </c>
      <c r="D5433" s="30">
        <f>"29502945001084"</f>
        <v/>
      </c>
      <c r="E5433" s="30" t="inlineStr">
        <is>
          <t>DISTAC DISTRIBUIDORA DE AUTOMOVEIS E COMERCIO LTDA</t>
        </is>
      </c>
      <c r="F5433" s="30" t="inlineStr">
        <is>
          <t>2021</t>
        </is>
      </c>
      <c r="G5433" s="40" t="n">
        <v>0</v>
      </c>
    </row>
    <row r="5434" ht="12" customHeight="1">
      <c r="A5434" s="30" t="inlineStr">
        <is>
          <t>ITG</t>
        </is>
      </c>
      <c r="B5434" s="30" t="inlineStr">
        <is>
          <t>Itaguai</t>
        </is>
      </c>
      <c r="C5434" s="30" t="n">
        <v>78832410</v>
      </c>
      <c r="D5434" s="30">
        <f>"29502945001084"</f>
        <v/>
      </c>
      <c r="E5434" s="30" t="inlineStr">
        <is>
          <t>DISTAC DISTRIBUIDORA DE AUTOMOVEIS E COMERCIO LTDA</t>
        </is>
      </c>
      <c r="F5434" s="30" t="inlineStr">
        <is>
          <t>2022</t>
        </is>
      </c>
      <c r="G5434" s="40" t="n">
        <v>0</v>
      </c>
    </row>
    <row r="5435" ht="12" customHeight="1">
      <c r="A5435" s="30" t="inlineStr">
        <is>
          <t>ITG</t>
        </is>
      </c>
      <c r="B5435" s="30" t="inlineStr">
        <is>
          <t>Itaguai</t>
        </is>
      </c>
      <c r="C5435" s="30" t="n">
        <v>78832410</v>
      </c>
      <c r="D5435" s="30">
        <f>"29502945001084"</f>
        <v/>
      </c>
      <c r="E5435" s="30" t="inlineStr">
        <is>
          <t>DISTAC DISTRIBUIDORA DE AUTOMOVEIS E COMERCIO LTDA</t>
        </is>
      </c>
      <c r="F5435" s="30" t="inlineStr">
        <is>
          <t>2023</t>
        </is>
      </c>
      <c r="G5435" s="40" t="n">
        <v>0</v>
      </c>
    </row>
    <row r="5436" ht="12" customHeight="1">
      <c r="A5436" s="30" t="inlineStr">
        <is>
          <t>ITG</t>
        </is>
      </c>
      <c r="B5436" s="30" t="inlineStr">
        <is>
          <t>Itaguai</t>
        </is>
      </c>
      <c r="C5436" s="30" t="n">
        <v>78832584</v>
      </c>
      <c r="D5436" s="30">
        <f>"10827182000122"</f>
        <v/>
      </c>
      <c r="E5436" s="30" t="inlineStr">
        <is>
          <t>ITAGUAI CONSTRUCOES NAVAIS S/A</t>
        </is>
      </c>
      <c r="F5436" s="30" t="inlineStr">
        <is>
          <t>2017</t>
        </is>
      </c>
      <c r="G5436" s="40" t="n">
        <v>0</v>
      </c>
    </row>
    <row r="5437" ht="12" customHeight="1">
      <c r="A5437" s="30" t="inlineStr">
        <is>
          <t>ITG</t>
        </is>
      </c>
      <c r="B5437" s="30" t="inlineStr">
        <is>
          <t>Itaguai</t>
        </is>
      </c>
      <c r="C5437" s="30" t="n">
        <v>78832584</v>
      </c>
      <c r="D5437" s="30">
        <f>"10827182000122"</f>
        <v/>
      </c>
      <c r="E5437" s="30" t="inlineStr">
        <is>
          <t>ITAGUAI CONSTRUCOES NAVAIS S/A</t>
        </is>
      </c>
      <c r="F5437" s="30" t="inlineStr">
        <is>
          <t>2018</t>
        </is>
      </c>
      <c r="G5437" s="40" t="n">
        <v>0</v>
      </c>
    </row>
    <row r="5438" ht="12" customHeight="1">
      <c r="A5438" s="30" t="inlineStr">
        <is>
          <t>ITG</t>
        </is>
      </c>
      <c r="B5438" s="30" t="inlineStr">
        <is>
          <t>Itaguai</t>
        </is>
      </c>
      <c r="C5438" s="30" t="n">
        <v>78832584</v>
      </c>
      <c r="D5438" s="30">
        <f>"10827182000122"</f>
        <v/>
      </c>
      <c r="E5438" s="30" t="inlineStr">
        <is>
          <t>ITAGUAI CONSTRUCOES NAVAIS S/A</t>
        </is>
      </c>
      <c r="F5438" s="30" t="inlineStr">
        <is>
          <t>2019</t>
        </is>
      </c>
      <c r="G5438" s="40" t="n">
        <v>0</v>
      </c>
    </row>
    <row r="5439" ht="12" customHeight="1">
      <c r="A5439" s="30" t="inlineStr">
        <is>
          <t>ITG</t>
        </is>
      </c>
      <c r="B5439" s="30" t="inlineStr">
        <is>
          <t>Itaguai</t>
        </is>
      </c>
      <c r="C5439" s="30" t="n">
        <v>78832584</v>
      </c>
      <c r="D5439" s="30">
        <f>"10827182000122"</f>
        <v/>
      </c>
      <c r="E5439" s="30" t="inlineStr">
        <is>
          <t>ITAGUAI CONSTRUCOES NAVAIS S/A</t>
        </is>
      </c>
      <c r="F5439" s="30" t="inlineStr">
        <is>
          <t>2020</t>
        </is>
      </c>
      <c r="G5439" s="40" t="n">
        <v>0</v>
      </c>
    </row>
    <row r="5440" ht="12" customHeight="1">
      <c r="A5440" s="30" t="inlineStr">
        <is>
          <t>ITG</t>
        </is>
      </c>
      <c r="B5440" s="30" t="inlineStr">
        <is>
          <t>Itaguai</t>
        </is>
      </c>
      <c r="C5440" s="30" t="n">
        <v>78832584</v>
      </c>
      <c r="D5440" s="30">
        <f>"10827182000122"</f>
        <v/>
      </c>
      <c r="E5440" s="30" t="inlineStr">
        <is>
          <t>ITAGUAI CONSTRUCOES NAVAIS S/A</t>
        </is>
      </c>
      <c r="F5440" s="30" t="inlineStr">
        <is>
          <t>2021</t>
        </is>
      </c>
      <c r="G5440" s="40" t="n">
        <v>0</v>
      </c>
    </row>
    <row r="5441" ht="12" customHeight="1">
      <c r="A5441" s="30" t="inlineStr">
        <is>
          <t>ITG</t>
        </is>
      </c>
      <c r="B5441" s="30" t="inlineStr">
        <is>
          <t>Itaguai</t>
        </is>
      </c>
      <c r="C5441" s="30" t="n">
        <v>78832584</v>
      </c>
      <c r="D5441" s="30">
        <f>"10827182000122"</f>
        <v/>
      </c>
      <c r="E5441" s="30" t="inlineStr">
        <is>
          <t>ITAGUAI CONSTRUCOES NAVAIS S/A</t>
        </is>
      </c>
      <c r="F5441" s="30" t="inlineStr">
        <is>
          <t>2022</t>
        </is>
      </c>
      <c r="G5441" s="40" t="n">
        <v>704568054.77</v>
      </c>
    </row>
    <row r="5442" ht="12" customHeight="1">
      <c r="A5442" s="30" t="inlineStr">
        <is>
          <t>ITG</t>
        </is>
      </c>
      <c r="B5442" s="30" t="inlineStr">
        <is>
          <t>Itaguai</t>
        </is>
      </c>
      <c r="C5442" s="30" t="n">
        <v>78832584</v>
      </c>
      <c r="D5442" s="30">
        <f>"10827182000122"</f>
        <v/>
      </c>
      <c r="E5442" s="30" t="inlineStr">
        <is>
          <t>ITAGUAI CONSTRUCOES NAVAIS S/A</t>
        </is>
      </c>
      <c r="F5442" s="30" t="inlineStr">
        <is>
          <t>2023</t>
        </is>
      </c>
      <c r="G5442" s="40" t="n">
        <v>0</v>
      </c>
    </row>
    <row r="5443" ht="12" customHeight="1">
      <c r="A5443" s="30" t="inlineStr">
        <is>
          <t>ITG</t>
        </is>
      </c>
      <c r="B5443" s="30" t="inlineStr">
        <is>
          <t>Itaguai</t>
        </is>
      </c>
      <c r="C5443" s="30" t="n">
        <v>78833319</v>
      </c>
      <c r="D5443" s="30">
        <f>"11091069000194"</f>
        <v/>
      </c>
      <c r="E5443" s="30" t="inlineStr">
        <is>
          <t>GREEN COAST COMERCIAL E REPRESENTACAO DE GEN ALIMENTICIOS LTDA</t>
        </is>
      </c>
      <c r="F5443" s="30" t="inlineStr">
        <is>
          <t>2019</t>
        </is>
      </c>
      <c r="G5443" s="40" t="n">
        <v>0</v>
      </c>
    </row>
    <row r="5444" ht="12" customHeight="1">
      <c r="A5444" s="30" t="inlineStr">
        <is>
          <t>ITG</t>
        </is>
      </c>
      <c r="B5444" s="30" t="inlineStr">
        <is>
          <t>Itaguai</t>
        </is>
      </c>
      <c r="C5444" s="30" t="n">
        <v>78833319</v>
      </c>
      <c r="D5444" s="30">
        <f>"11091069000194"</f>
        <v/>
      </c>
      <c r="E5444" s="30" t="inlineStr">
        <is>
          <t>GREEN COAST COMERCIAL E REPRESENTACAO DE GEN ALIMENTICIOS LTDA</t>
        </is>
      </c>
      <c r="F5444" s="30" t="inlineStr">
        <is>
          <t>2020</t>
        </is>
      </c>
      <c r="G5444" s="40" t="n">
        <v>0</v>
      </c>
    </row>
    <row r="5445" ht="12" customHeight="1">
      <c r="A5445" s="30" t="inlineStr">
        <is>
          <t>ITG</t>
        </is>
      </c>
      <c r="B5445" s="30" t="inlineStr">
        <is>
          <t>Itaguai</t>
        </is>
      </c>
      <c r="C5445" s="30" t="n">
        <v>78833319</v>
      </c>
      <c r="D5445" s="30">
        <f>"11091069000194"</f>
        <v/>
      </c>
      <c r="E5445" s="30" t="inlineStr">
        <is>
          <t>GREEN COAST COMERCIAL E REPRESENTACAO DE GEN ALIMENTICIOS LTDA</t>
        </is>
      </c>
      <c r="F5445" s="30" t="inlineStr">
        <is>
          <t>2021</t>
        </is>
      </c>
      <c r="G5445" s="40" t="n">
        <v>0</v>
      </c>
    </row>
    <row r="5446" ht="12" customHeight="1">
      <c r="A5446" s="30" t="inlineStr">
        <is>
          <t>ITG</t>
        </is>
      </c>
      <c r="B5446" s="30" t="inlineStr">
        <is>
          <t>Itaguai</t>
        </is>
      </c>
      <c r="C5446" s="30" t="n">
        <v>78833319</v>
      </c>
      <c r="D5446" s="30">
        <f>"11091069000194"</f>
        <v/>
      </c>
      <c r="E5446" s="30" t="inlineStr">
        <is>
          <t>GREEN COAST COMERCIAL E REPRESENTACAO DE GEN ALIMENTICIOS LTDA</t>
        </is>
      </c>
      <c r="F5446" s="30" t="inlineStr">
        <is>
          <t>2022</t>
        </is>
      </c>
      <c r="G5446" s="40" t="n">
        <v>0</v>
      </c>
    </row>
    <row r="5447" ht="12" customHeight="1">
      <c r="A5447" s="30" t="inlineStr">
        <is>
          <t>ITG</t>
        </is>
      </c>
      <c r="B5447" s="30" t="inlineStr">
        <is>
          <t>Itaguai</t>
        </is>
      </c>
      <c r="C5447" s="30" t="n">
        <v>78833319</v>
      </c>
      <c r="D5447" s="30">
        <f>"11091069000194"</f>
        <v/>
      </c>
      <c r="E5447" s="30" t="inlineStr">
        <is>
          <t>GREEN COAST COMERCIAL E REPRESENTACAO DE GEN ALIMENTICIOS LTDA</t>
        </is>
      </c>
      <c r="F5447" s="30" t="inlineStr">
        <is>
          <t>2023</t>
        </is>
      </c>
      <c r="G5447" s="40" t="n">
        <v>0</v>
      </c>
    </row>
    <row r="5448" ht="12" customHeight="1">
      <c r="A5448" s="30" t="inlineStr">
        <is>
          <t>ITG</t>
        </is>
      </c>
      <c r="B5448" s="30" t="inlineStr">
        <is>
          <t>Itaguai</t>
        </is>
      </c>
      <c r="C5448" s="30" t="n">
        <v>78833327</v>
      </c>
      <c r="D5448" s="30">
        <f>"10317382000135"</f>
        <v/>
      </c>
      <c r="E5448" s="30" t="inlineStr">
        <is>
          <t>POSTO DE GASOLINA CIDADE DO PORTO LTDA</t>
        </is>
      </c>
      <c r="F5448" s="30" t="inlineStr">
        <is>
          <t>2017</t>
        </is>
      </c>
      <c r="G5448" s="40" t="n">
        <v>1206364.07</v>
      </c>
    </row>
    <row r="5449" ht="12" customHeight="1">
      <c r="A5449" s="30" t="inlineStr">
        <is>
          <t>ITG</t>
        </is>
      </c>
      <c r="B5449" s="30" t="inlineStr">
        <is>
          <t>Itaguai</t>
        </is>
      </c>
      <c r="C5449" s="30" t="n">
        <v>78833327</v>
      </c>
      <c r="D5449" s="30">
        <f>"10317382000135"</f>
        <v/>
      </c>
      <c r="E5449" s="30" t="inlineStr">
        <is>
          <t>POSTO DE GASOLINA CIDADE DO PORTO LTDA</t>
        </is>
      </c>
      <c r="F5449" s="30" t="inlineStr">
        <is>
          <t>2018</t>
        </is>
      </c>
      <c r="G5449" s="40" t="n">
        <v>1483752.91</v>
      </c>
    </row>
    <row r="5450" ht="12" customHeight="1">
      <c r="A5450" s="30" t="inlineStr">
        <is>
          <t>ITG</t>
        </is>
      </c>
      <c r="B5450" s="30" t="inlineStr">
        <is>
          <t>Itaguai</t>
        </is>
      </c>
      <c r="C5450" s="30" t="n">
        <v>78833327</v>
      </c>
      <c r="D5450" s="30">
        <f>"10317382000135"</f>
        <v/>
      </c>
      <c r="E5450" s="30" t="inlineStr">
        <is>
          <t>POSTO DE GASOLINA CIDADE DO PORTO LTDA</t>
        </is>
      </c>
      <c r="F5450" s="30" t="inlineStr">
        <is>
          <t>2019</t>
        </is>
      </c>
      <c r="G5450" s="40" t="n">
        <v>1390640.41</v>
      </c>
    </row>
    <row r="5451" ht="12" customHeight="1">
      <c r="A5451" s="30" t="inlineStr">
        <is>
          <t>ITG</t>
        </is>
      </c>
      <c r="B5451" s="30" t="inlineStr">
        <is>
          <t>Itaguai</t>
        </is>
      </c>
      <c r="C5451" s="30" t="n">
        <v>78833327</v>
      </c>
      <c r="D5451" s="30">
        <f>"10317382000135"</f>
        <v/>
      </c>
      <c r="E5451" s="30" t="inlineStr">
        <is>
          <t>POSTO DE GASOLINA CIDADE DO PORTO LTDA</t>
        </is>
      </c>
      <c r="F5451" s="30" t="inlineStr">
        <is>
          <t>2020</t>
        </is>
      </c>
      <c r="G5451" s="40" t="n">
        <v>3361403.82</v>
      </c>
    </row>
    <row r="5452" ht="12" customHeight="1">
      <c r="A5452" s="30" t="inlineStr">
        <is>
          <t>ITG</t>
        </is>
      </c>
      <c r="B5452" s="30" t="inlineStr">
        <is>
          <t>Itaguai</t>
        </is>
      </c>
      <c r="C5452" s="30" t="n">
        <v>78833327</v>
      </c>
      <c r="D5452" s="30">
        <f>"10317382000135"</f>
        <v/>
      </c>
      <c r="E5452" s="30" t="inlineStr">
        <is>
          <t>POSTO DE GASOLINA CIDADE DO PORTO LTDA</t>
        </is>
      </c>
      <c r="F5452" s="30" t="inlineStr">
        <is>
          <t>2021</t>
        </is>
      </c>
      <c r="G5452" s="40" t="n">
        <v>6141251.69</v>
      </c>
    </row>
    <row r="5453" ht="12" customHeight="1">
      <c r="A5453" s="30" t="inlineStr">
        <is>
          <t>ITG</t>
        </is>
      </c>
      <c r="B5453" s="30" t="inlineStr">
        <is>
          <t>Itaguai</t>
        </is>
      </c>
      <c r="C5453" s="30" t="n">
        <v>78833327</v>
      </c>
      <c r="D5453" s="30">
        <f>"10317382000135"</f>
        <v/>
      </c>
      <c r="E5453" s="30" t="inlineStr">
        <is>
          <t>POSTO DE GASOLINA CIDADE DO PORTO LTDA</t>
        </is>
      </c>
      <c r="F5453" s="30" t="inlineStr">
        <is>
          <t>2022</t>
        </is>
      </c>
      <c r="G5453" s="40" t="n">
        <v>2136406.72</v>
      </c>
    </row>
    <row r="5454" ht="12" customHeight="1">
      <c r="A5454" s="30" t="inlineStr">
        <is>
          <t>ITG</t>
        </is>
      </c>
      <c r="B5454" s="30" t="inlineStr">
        <is>
          <t>Itaguai</t>
        </is>
      </c>
      <c r="C5454" s="30" t="n">
        <v>78833327</v>
      </c>
      <c r="D5454" s="30">
        <f>"10317382000135"</f>
        <v/>
      </c>
      <c r="E5454" s="30" t="inlineStr">
        <is>
          <t>POSTO DE GASOLINA CIDADE DO PORTO LTDA</t>
        </is>
      </c>
      <c r="F5454" s="30" t="inlineStr">
        <is>
          <t>2023</t>
        </is>
      </c>
      <c r="G5454" s="40" t="n">
        <v>5861667.56</v>
      </c>
    </row>
    <row r="5455" ht="12" customHeight="1">
      <c r="A5455" s="30" t="inlineStr">
        <is>
          <t>ITG</t>
        </is>
      </c>
      <c r="B5455" s="30" t="inlineStr">
        <is>
          <t>Itaguai</t>
        </is>
      </c>
      <c r="C5455" s="30" t="n">
        <v>78835516</v>
      </c>
      <c r="D5455" s="30">
        <f>"06933939000608"</f>
        <v/>
      </c>
      <c r="E5455" s="30" t="inlineStr">
        <is>
          <t>TRANSCHERRER TRANSPORTADORA LTDA</t>
        </is>
      </c>
      <c r="F5455" s="30" t="inlineStr">
        <is>
          <t>2018</t>
        </is>
      </c>
      <c r="G5455" s="40" t="n">
        <v>0</v>
      </c>
    </row>
    <row r="5456" ht="12" customHeight="1">
      <c r="A5456" s="30" t="inlineStr">
        <is>
          <t>ITG</t>
        </is>
      </c>
      <c r="B5456" s="30" t="inlineStr">
        <is>
          <t>Itaguai</t>
        </is>
      </c>
      <c r="C5456" s="30" t="n">
        <v>78835516</v>
      </c>
      <c r="D5456" s="30">
        <f>"06933939000608"</f>
        <v/>
      </c>
      <c r="E5456" s="30" t="inlineStr">
        <is>
          <t>TRANSCHERRER TRANSPORTADORA LTDA</t>
        </is>
      </c>
      <c r="F5456" s="30" t="inlineStr">
        <is>
          <t>2019</t>
        </is>
      </c>
      <c r="G5456" s="40" t="n">
        <v>0</v>
      </c>
    </row>
    <row r="5457" ht="12" customHeight="1">
      <c r="A5457" s="30" t="inlineStr">
        <is>
          <t>ITG</t>
        </is>
      </c>
      <c r="B5457" s="30" t="inlineStr">
        <is>
          <t>Itaguai</t>
        </is>
      </c>
      <c r="C5457" s="30" t="n">
        <v>78835516</v>
      </c>
      <c r="D5457" s="30">
        <f>"06933939000608"</f>
        <v/>
      </c>
      <c r="E5457" s="30" t="inlineStr">
        <is>
          <t>TRANSCHERRER TRANSPORTADORA LTDA</t>
        </is>
      </c>
      <c r="F5457" s="30" t="inlineStr">
        <is>
          <t>2020</t>
        </is>
      </c>
      <c r="G5457" s="40" t="n">
        <v>43.49</v>
      </c>
    </row>
    <row r="5458" ht="12" customHeight="1">
      <c r="A5458" s="30" t="inlineStr">
        <is>
          <t>ITG</t>
        </is>
      </c>
      <c r="B5458" s="30" t="inlineStr">
        <is>
          <t>Itaguai</t>
        </is>
      </c>
      <c r="C5458" s="30" t="n">
        <v>78835516</v>
      </c>
      <c r="D5458" s="30">
        <f>"06933939000608"</f>
        <v/>
      </c>
      <c r="E5458" s="30" t="inlineStr">
        <is>
          <t>TRANSCHERRER TRANSPORTADORA LTDA</t>
        </is>
      </c>
      <c r="F5458" s="30" t="inlineStr">
        <is>
          <t>2021</t>
        </is>
      </c>
      <c r="G5458" s="40" t="n">
        <v>0</v>
      </c>
    </row>
    <row r="5459" ht="12" customHeight="1">
      <c r="A5459" s="30" t="inlineStr">
        <is>
          <t>ITG</t>
        </is>
      </c>
      <c r="B5459" s="30" t="inlineStr">
        <is>
          <t>Itaguai</t>
        </is>
      </c>
      <c r="C5459" s="30" t="n">
        <v>78835516</v>
      </c>
      <c r="D5459" s="30">
        <f>"06933939000608"</f>
        <v/>
      </c>
      <c r="E5459" s="30" t="inlineStr">
        <is>
          <t>TRANSCHERRER TRANSPORTADORA LTDA</t>
        </is>
      </c>
      <c r="F5459" s="30" t="inlineStr">
        <is>
          <t>2022</t>
        </is>
      </c>
      <c r="G5459" s="40" t="n">
        <v>0</v>
      </c>
    </row>
    <row r="5460" ht="12" customHeight="1">
      <c r="A5460" s="30" t="inlineStr">
        <is>
          <t>ITG</t>
        </is>
      </c>
      <c r="B5460" s="30" t="inlineStr">
        <is>
          <t>Itaguai</t>
        </is>
      </c>
      <c r="C5460" s="30" t="n">
        <v>78835630</v>
      </c>
      <c r="D5460" s="30">
        <f>"11064899000122"</f>
        <v/>
      </c>
      <c r="E5460" s="30" t="inlineStr">
        <is>
          <t>E R F RIOS SERRALHERIA ME</t>
        </is>
      </c>
      <c r="F5460" s="30" t="inlineStr">
        <is>
          <t>2017</t>
        </is>
      </c>
      <c r="G5460" s="40" t="n">
        <v>0</v>
      </c>
    </row>
    <row r="5461" ht="12" customHeight="1">
      <c r="A5461" s="30" t="inlineStr">
        <is>
          <t>ITG</t>
        </is>
      </c>
      <c r="B5461" s="30" t="inlineStr">
        <is>
          <t>Itaguai</t>
        </is>
      </c>
      <c r="C5461" s="30" t="n">
        <v>78835630</v>
      </c>
      <c r="D5461" s="30">
        <f>"11064899000122"</f>
        <v/>
      </c>
      <c r="E5461" s="30" t="inlineStr">
        <is>
          <t>E R F RIOS SERRALHERIA ME</t>
        </is>
      </c>
      <c r="F5461" s="30" t="inlineStr">
        <is>
          <t>2018</t>
        </is>
      </c>
      <c r="G5461" s="40" t="n">
        <v>0</v>
      </c>
    </row>
    <row r="5462" ht="12" customHeight="1">
      <c r="A5462" s="30" t="inlineStr">
        <is>
          <t>ITG</t>
        </is>
      </c>
      <c r="B5462" s="30" t="inlineStr">
        <is>
          <t>Itaguai</t>
        </is>
      </c>
      <c r="C5462" s="30" t="n">
        <v>78835630</v>
      </c>
      <c r="D5462" s="30">
        <f>"11064899000122"</f>
        <v/>
      </c>
      <c r="E5462" s="30" t="inlineStr">
        <is>
          <t>E R F RIOS SERRALHERIA ME</t>
        </is>
      </c>
      <c r="F5462" s="30" t="inlineStr">
        <is>
          <t>2019</t>
        </is>
      </c>
      <c r="G5462" s="40" t="n">
        <v>0</v>
      </c>
    </row>
    <row r="5463" ht="12" customHeight="1">
      <c r="A5463" s="30" t="inlineStr">
        <is>
          <t>ITG</t>
        </is>
      </c>
      <c r="B5463" s="30" t="inlineStr">
        <is>
          <t>Itaguai</t>
        </is>
      </c>
      <c r="C5463" s="30" t="n">
        <v>78835630</v>
      </c>
      <c r="D5463" s="30">
        <f>"11064899000122"</f>
        <v/>
      </c>
      <c r="E5463" s="30" t="inlineStr">
        <is>
          <t>E R F RIOS SERRALHERIA ME</t>
        </is>
      </c>
      <c r="F5463" s="30" t="inlineStr">
        <is>
          <t>2020</t>
        </is>
      </c>
      <c r="G5463" s="40" t="n">
        <v>0</v>
      </c>
    </row>
    <row r="5464" ht="12" customHeight="1">
      <c r="A5464" s="30" t="inlineStr">
        <is>
          <t>ITG</t>
        </is>
      </c>
      <c r="B5464" s="30" t="inlineStr">
        <is>
          <t>Itaguai</t>
        </is>
      </c>
      <c r="C5464" s="30" t="n">
        <v>78835630</v>
      </c>
      <c r="D5464" s="30">
        <f>"11064899000122"</f>
        <v/>
      </c>
      <c r="E5464" s="30" t="inlineStr">
        <is>
          <t>E R F RIOS SERRALHERIA ME</t>
        </is>
      </c>
      <c r="F5464" s="30" t="inlineStr">
        <is>
          <t>2021</t>
        </is>
      </c>
      <c r="G5464" s="40" t="n">
        <v>0</v>
      </c>
    </row>
    <row r="5465" ht="12" customHeight="1">
      <c r="A5465" s="30" t="inlineStr">
        <is>
          <t>ITG</t>
        </is>
      </c>
      <c r="B5465" s="30" t="inlineStr">
        <is>
          <t>Itaguai</t>
        </is>
      </c>
      <c r="C5465" s="30" t="n">
        <v>78840110</v>
      </c>
      <c r="D5465" s="30">
        <f>"43368422002251"</f>
        <v/>
      </c>
      <c r="E5465" s="30" t="inlineStr">
        <is>
          <t>LOCAR GUINDASTES E TRANSPORTES INTERMODAIS LTDA</t>
        </is>
      </c>
      <c r="F5465" s="30" t="inlineStr">
        <is>
          <t>2018</t>
        </is>
      </c>
      <c r="G5465" s="40" t="n">
        <v>0</v>
      </c>
    </row>
    <row r="5466" ht="12" customHeight="1">
      <c r="A5466" s="30" t="inlineStr">
        <is>
          <t>ITG</t>
        </is>
      </c>
      <c r="B5466" s="30" t="inlineStr">
        <is>
          <t>Itaguai</t>
        </is>
      </c>
      <c r="C5466" s="30" t="n">
        <v>78840110</v>
      </c>
      <c r="D5466" s="30">
        <f>"43368422002251"</f>
        <v/>
      </c>
      <c r="E5466" s="30" t="inlineStr">
        <is>
          <t>LOCAR GUINDASTES E TRANSPORTES INTERMODAIS LTDA</t>
        </is>
      </c>
      <c r="F5466" s="30" t="inlineStr">
        <is>
          <t>2019</t>
        </is>
      </c>
      <c r="G5466" s="40" t="n">
        <v>0</v>
      </c>
    </row>
    <row r="5467" ht="12" customHeight="1">
      <c r="A5467" s="30" t="inlineStr">
        <is>
          <t>ITG</t>
        </is>
      </c>
      <c r="B5467" s="30" t="inlineStr">
        <is>
          <t>Itaguai</t>
        </is>
      </c>
      <c r="C5467" s="30" t="n">
        <v>78840110</v>
      </c>
      <c r="D5467" s="30">
        <f>"43368422002251"</f>
        <v/>
      </c>
      <c r="E5467" s="30" t="inlineStr">
        <is>
          <t>LOCAR GUINDASTES E TRANSPORTES INTERMODAIS LTDA</t>
        </is>
      </c>
      <c r="F5467" s="30" t="inlineStr">
        <is>
          <t>2020</t>
        </is>
      </c>
      <c r="G5467" s="40" t="n">
        <v>4586.85</v>
      </c>
    </row>
    <row r="5468" ht="12" customHeight="1">
      <c r="A5468" s="30" t="inlineStr">
        <is>
          <t>ITG</t>
        </is>
      </c>
      <c r="B5468" s="30" t="inlineStr">
        <is>
          <t>Itaguai</t>
        </is>
      </c>
      <c r="C5468" s="30" t="n">
        <v>78840110</v>
      </c>
      <c r="D5468" s="30">
        <f>"43368422002251"</f>
        <v/>
      </c>
      <c r="E5468" s="30" t="inlineStr">
        <is>
          <t>LOCAR GUINDASTES E TRANSPORTES INTERMODAIS LTDA</t>
        </is>
      </c>
      <c r="F5468" s="30" t="inlineStr">
        <is>
          <t>2021</t>
        </is>
      </c>
      <c r="G5468" s="40" t="n">
        <v>0</v>
      </c>
    </row>
    <row r="5469" ht="12" customHeight="1">
      <c r="A5469" s="30" t="inlineStr">
        <is>
          <t>ITG</t>
        </is>
      </c>
      <c r="B5469" s="30" t="inlineStr">
        <is>
          <t>Itaguai</t>
        </is>
      </c>
      <c r="C5469" s="30" t="n">
        <v>78840110</v>
      </c>
      <c r="D5469" s="30">
        <f>"43368422002251"</f>
        <v/>
      </c>
      <c r="E5469" s="30" t="inlineStr">
        <is>
          <t>LOCAR GUINDASTES E TRANSPORTES INTERMODAIS LTDA</t>
        </is>
      </c>
      <c r="F5469" s="30" t="inlineStr">
        <is>
          <t>2022</t>
        </is>
      </c>
      <c r="G5469" s="40" t="n">
        <v>0</v>
      </c>
    </row>
    <row r="5470" ht="12" customHeight="1">
      <c r="A5470" s="30" t="inlineStr">
        <is>
          <t>ITG</t>
        </is>
      </c>
      <c r="B5470" s="30" t="inlineStr">
        <is>
          <t>Itaguai</t>
        </is>
      </c>
      <c r="C5470" s="30" t="n">
        <v>78840110</v>
      </c>
      <c r="D5470" s="30">
        <f>"43368422002251"</f>
        <v/>
      </c>
      <c r="E5470" s="30" t="inlineStr">
        <is>
          <t>LOCAR GUINDASTES E TRANSPORTES INTERMODAIS LTDA</t>
        </is>
      </c>
      <c r="F5470" s="30" t="inlineStr">
        <is>
          <t>2023</t>
        </is>
      </c>
      <c r="G5470" s="40" t="n">
        <v>5000</v>
      </c>
    </row>
    <row r="5471" ht="12" customHeight="1">
      <c r="A5471" s="30" t="inlineStr">
        <is>
          <t>ITG</t>
        </is>
      </c>
      <c r="B5471" s="30" t="inlineStr">
        <is>
          <t>Itaguai</t>
        </is>
      </c>
      <c r="C5471" s="30" t="n">
        <v>78845988</v>
      </c>
      <c r="D5471" s="30">
        <f>"48740351010390"</f>
        <v/>
      </c>
      <c r="E5471" s="30" t="inlineStr">
        <is>
          <t>BRASPRESS TRANSPORTES URGENTES LTDA</t>
        </is>
      </c>
      <c r="F5471" s="30" t="inlineStr">
        <is>
          <t>2017</t>
        </is>
      </c>
      <c r="G5471" s="40" t="n">
        <v>673.8099999999999</v>
      </c>
    </row>
    <row r="5472" ht="12" customHeight="1">
      <c r="A5472" s="30" t="inlineStr">
        <is>
          <t>ITG</t>
        </is>
      </c>
      <c r="B5472" s="30" t="inlineStr">
        <is>
          <t>Itaguai</t>
        </is>
      </c>
      <c r="C5472" s="30" t="n">
        <v>78845988</v>
      </c>
      <c r="D5472" s="30">
        <f>"48740351010390"</f>
        <v/>
      </c>
      <c r="E5472" s="30" t="inlineStr">
        <is>
          <t>BRASPRESS TRANSPORTES URGENTES LTDA</t>
        </is>
      </c>
      <c r="F5472" s="30" t="inlineStr">
        <is>
          <t>2018</t>
        </is>
      </c>
      <c r="G5472" s="40" t="n">
        <v>851.35</v>
      </c>
    </row>
    <row r="5473" ht="12" customHeight="1">
      <c r="A5473" s="30" t="inlineStr">
        <is>
          <t>ITG</t>
        </is>
      </c>
      <c r="B5473" s="30" t="inlineStr">
        <is>
          <t>Itaguai</t>
        </is>
      </c>
      <c r="C5473" s="30" t="n">
        <v>78845988</v>
      </c>
      <c r="D5473" s="30">
        <f>"48740351010390"</f>
        <v/>
      </c>
      <c r="E5473" s="30" t="inlineStr">
        <is>
          <t>BRASPRESS TRANSPORTES URGENTES LTDA</t>
        </is>
      </c>
      <c r="F5473" s="30" t="inlineStr">
        <is>
          <t>2019</t>
        </is>
      </c>
      <c r="G5473" s="40" t="n">
        <v>0</v>
      </c>
    </row>
    <row r="5474" ht="12" customHeight="1">
      <c r="A5474" s="30" t="inlineStr">
        <is>
          <t>ITG</t>
        </is>
      </c>
      <c r="B5474" s="30" t="inlineStr">
        <is>
          <t>Itaguai</t>
        </is>
      </c>
      <c r="C5474" s="30" t="n">
        <v>78845988</v>
      </c>
      <c r="D5474" s="30">
        <f>"48740351010390"</f>
        <v/>
      </c>
      <c r="E5474" s="30" t="inlineStr">
        <is>
          <t>BRASPRESS TRANSPORTES URGENTES LTDA</t>
        </is>
      </c>
      <c r="F5474" s="30" t="inlineStr">
        <is>
          <t>2020</t>
        </is>
      </c>
      <c r="G5474" s="40" t="n">
        <v>0</v>
      </c>
    </row>
    <row r="5475" ht="12" customHeight="1">
      <c r="A5475" s="30" t="inlineStr">
        <is>
          <t>ITG</t>
        </is>
      </c>
      <c r="B5475" s="30" t="inlineStr">
        <is>
          <t>Itaguai</t>
        </is>
      </c>
      <c r="C5475" s="30" t="n">
        <v>78854979</v>
      </c>
      <c r="D5475" s="30">
        <f>"10828536000153"</f>
        <v/>
      </c>
      <c r="E5475" s="30" t="inlineStr">
        <is>
          <t>M.A. DE FARIAS CONSTRU??ES E REFORMAS LTDA</t>
        </is>
      </c>
      <c r="F5475" s="30" t="inlineStr">
        <is>
          <t>2018</t>
        </is>
      </c>
      <c r="G5475" s="40" t="n">
        <v>0</v>
      </c>
    </row>
    <row r="5476" ht="12" customHeight="1">
      <c r="A5476" s="30" t="inlineStr">
        <is>
          <t>ITG</t>
        </is>
      </c>
      <c r="B5476" s="30" t="inlineStr">
        <is>
          <t>Itaguai</t>
        </is>
      </c>
      <c r="C5476" s="30" t="n">
        <v>78854979</v>
      </c>
      <c r="D5476" s="30">
        <f>"10828536000153"</f>
        <v/>
      </c>
      <c r="E5476" s="30" t="inlineStr">
        <is>
          <t>M.A. DE FARIAS CONSTRU??ES E REFORMAS LTDA</t>
        </is>
      </c>
      <c r="F5476" s="30" t="inlineStr">
        <is>
          <t>2019</t>
        </is>
      </c>
      <c r="G5476" s="40" t="n">
        <v>0</v>
      </c>
    </row>
    <row r="5477" ht="12" customHeight="1">
      <c r="A5477" s="30" t="inlineStr">
        <is>
          <t>ITG</t>
        </is>
      </c>
      <c r="B5477" s="30" t="inlineStr">
        <is>
          <t>Itaguai</t>
        </is>
      </c>
      <c r="C5477" s="30" t="n">
        <v>78854979</v>
      </c>
      <c r="D5477" s="30">
        <f>"10828536000153"</f>
        <v/>
      </c>
      <c r="E5477" s="30" t="inlineStr">
        <is>
          <t>M.A. DE FARIAS CONSTRU??ES E REFORMAS LTDA</t>
        </is>
      </c>
      <c r="F5477" s="30" t="inlineStr">
        <is>
          <t>2020</t>
        </is>
      </c>
      <c r="G5477" s="40" t="n">
        <v>0</v>
      </c>
    </row>
    <row r="5478" ht="12" customHeight="1">
      <c r="A5478" s="30" t="inlineStr">
        <is>
          <t>ITG</t>
        </is>
      </c>
      <c r="B5478" s="30" t="inlineStr">
        <is>
          <t>Itaguai</t>
        </is>
      </c>
      <c r="C5478" s="30" t="n">
        <v>78854979</v>
      </c>
      <c r="D5478" s="30">
        <f>"10828536000153"</f>
        <v/>
      </c>
      <c r="E5478" s="30" t="inlineStr">
        <is>
          <t>M.A. DE FARIAS CONSTRU??ES E REFORMAS LTDA</t>
        </is>
      </c>
      <c r="F5478" s="30" t="inlineStr">
        <is>
          <t>2021</t>
        </is>
      </c>
      <c r="G5478" s="40" t="n">
        <v>0</v>
      </c>
    </row>
    <row r="5479" ht="12" customHeight="1">
      <c r="A5479" s="30" t="inlineStr">
        <is>
          <t>ITG</t>
        </is>
      </c>
      <c r="B5479" s="30" t="inlineStr">
        <is>
          <t>Itaguai</t>
        </is>
      </c>
      <c r="C5479" s="30" t="n">
        <v>78854979</v>
      </c>
      <c r="D5479" s="30">
        <f>"10828536000153"</f>
        <v/>
      </c>
      <c r="E5479" s="30" t="inlineStr">
        <is>
          <t>M.A. DE FARIAS CONSTRU??ES E REFORMAS LTDA</t>
        </is>
      </c>
      <c r="F5479" s="30" t="inlineStr">
        <is>
          <t>2022</t>
        </is>
      </c>
      <c r="G5479" s="40" t="n">
        <v>0</v>
      </c>
    </row>
    <row r="5480" ht="12" customHeight="1">
      <c r="A5480" s="30" t="inlineStr">
        <is>
          <t>ITG</t>
        </is>
      </c>
      <c r="B5480" s="30" t="inlineStr">
        <is>
          <t>Itaguai</t>
        </is>
      </c>
      <c r="C5480" s="30" t="n">
        <v>78855525</v>
      </c>
      <c r="D5480" s="30">
        <f>"29240660000121"</f>
        <v/>
      </c>
      <c r="E5480" s="30" t="inlineStr">
        <is>
          <t>J S AUTO ELETRICA COMERCIO DE PECAS E SERVICOS LTDA ME</t>
        </is>
      </c>
      <c r="F5480" s="30" t="inlineStr">
        <is>
          <t>2017</t>
        </is>
      </c>
      <c r="G5480" s="40" t="n">
        <v>0</v>
      </c>
    </row>
    <row r="5481" ht="12" customHeight="1">
      <c r="A5481" s="30" t="inlineStr">
        <is>
          <t>ITG</t>
        </is>
      </c>
      <c r="B5481" s="30" t="inlineStr">
        <is>
          <t>Itaguai</t>
        </is>
      </c>
      <c r="C5481" s="30" t="n">
        <v>78855525</v>
      </c>
      <c r="D5481" s="30">
        <f>"29240660000121"</f>
        <v/>
      </c>
      <c r="E5481" s="30" t="inlineStr">
        <is>
          <t>J S AUTO ELETRICA COMERCIO DE PECAS E SERVICOS LTDA ME</t>
        </is>
      </c>
      <c r="F5481" s="30" t="inlineStr">
        <is>
          <t>2018</t>
        </is>
      </c>
      <c r="G5481" s="40" t="n">
        <v>0</v>
      </c>
    </row>
    <row r="5482" ht="12" customHeight="1">
      <c r="A5482" s="30" t="inlineStr">
        <is>
          <t>ITG</t>
        </is>
      </c>
      <c r="B5482" s="30" t="inlineStr">
        <is>
          <t>Itaguai</t>
        </is>
      </c>
      <c r="C5482" s="30" t="n">
        <v>78855525</v>
      </c>
      <c r="D5482" s="30">
        <f>"29240660000121"</f>
        <v/>
      </c>
      <c r="E5482" s="30" t="inlineStr">
        <is>
          <t>J S AUTO ELETRICA COMERCIO DE PECAS E SERVICOS LTDA ME</t>
        </is>
      </c>
      <c r="F5482" s="30" t="inlineStr">
        <is>
          <t>2019</t>
        </is>
      </c>
      <c r="G5482" s="40" t="n">
        <v>0</v>
      </c>
    </row>
    <row r="5483" ht="12" customHeight="1">
      <c r="A5483" s="30" t="inlineStr">
        <is>
          <t>ITG</t>
        </is>
      </c>
      <c r="B5483" s="30" t="inlineStr">
        <is>
          <t>Itaguai</t>
        </is>
      </c>
      <c r="C5483" s="30" t="n">
        <v>78873884</v>
      </c>
      <c r="D5483" s="30">
        <f>"86447224001214"</f>
        <v/>
      </c>
      <c r="E5483" s="30" t="inlineStr">
        <is>
          <t>LOGMIX TRANSPORTES LTDA</t>
        </is>
      </c>
      <c r="F5483" s="30" t="inlineStr">
        <is>
          <t>2017</t>
        </is>
      </c>
      <c r="G5483" s="40" t="n">
        <v>3619.97</v>
      </c>
    </row>
    <row r="5484" ht="12" customHeight="1">
      <c r="A5484" s="30" t="inlineStr">
        <is>
          <t>ITG</t>
        </is>
      </c>
      <c r="B5484" s="30" t="inlineStr">
        <is>
          <t>Itaguai</t>
        </is>
      </c>
      <c r="C5484" s="30" t="n">
        <v>78873884</v>
      </c>
      <c r="D5484" s="30">
        <f>"86447224001214"</f>
        <v/>
      </c>
      <c r="E5484" s="30" t="inlineStr">
        <is>
          <t>LOGMIX TRANSPORTES LTDA</t>
        </is>
      </c>
      <c r="F5484" s="30" t="inlineStr">
        <is>
          <t>2018</t>
        </is>
      </c>
      <c r="G5484" s="40" t="n">
        <v>1069.43</v>
      </c>
    </row>
    <row r="5485" ht="12" customHeight="1">
      <c r="A5485" s="30" t="inlineStr">
        <is>
          <t>ITG</t>
        </is>
      </c>
      <c r="B5485" s="30" t="inlineStr">
        <is>
          <t>Itaguai</t>
        </is>
      </c>
      <c r="C5485" s="30" t="n">
        <v>78873884</v>
      </c>
      <c r="D5485" s="30">
        <f>"86447224001214"</f>
        <v/>
      </c>
      <c r="E5485" s="30" t="inlineStr">
        <is>
          <t>LOGMIX TRANSPORTES LTDA</t>
        </is>
      </c>
      <c r="F5485" s="30" t="inlineStr">
        <is>
          <t>2019</t>
        </is>
      </c>
      <c r="G5485" s="40" t="n">
        <v>0</v>
      </c>
    </row>
    <row r="5486" ht="12" customHeight="1">
      <c r="A5486" s="30" t="inlineStr">
        <is>
          <t>ITG</t>
        </is>
      </c>
      <c r="B5486" s="30" t="inlineStr">
        <is>
          <t>Itaguai</t>
        </is>
      </c>
      <c r="C5486" s="30" t="n">
        <v>78873884</v>
      </c>
      <c r="D5486" s="30">
        <f>"86447224001214"</f>
        <v/>
      </c>
      <c r="E5486" s="30" t="inlineStr">
        <is>
          <t>LOGMIX TRANSPORTES LTDA</t>
        </is>
      </c>
      <c r="F5486" s="30" t="inlineStr">
        <is>
          <t>2020</t>
        </is>
      </c>
      <c r="G5486" s="40" t="n">
        <v>0</v>
      </c>
    </row>
    <row r="5487" ht="12" customHeight="1">
      <c r="A5487" s="30" t="inlineStr">
        <is>
          <t>ITG</t>
        </is>
      </c>
      <c r="B5487" s="30" t="inlineStr">
        <is>
          <t>Itaguai</t>
        </is>
      </c>
      <c r="C5487" s="30" t="n">
        <v>78873884</v>
      </c>
      <c r="D5487" s="30">
        <f>"86447224001214"</f>
        <v/>
      </c>
      <c r="E5487" s="30" t="inlineStr">
        <is>
          <t>LOGMIX TRANSPORTES LTDA</t>
        </is>
      </c>
      <c r="F5487" s="30" t="inlineStr">
        <is>
          <t>2021</t>
        </is>
      </c>
      <c r="G5487" s="40" t="n">
        <v>9414.299999999999</v>
      </c>
    </row>
    <row r="5488" ht="12" customHeight="1">
      <c r="A5488" s="30" t="inlineStr">
        <is>
          <t>ITG</t>
        </is>
      </c>
      <c r="B5488" s="30" t="inlineStr">
        <is>
          <t>Itaguai</t>
        </is>
      </c>
      <c r="C5488" s="30" t="n">
        <v>78873884</v>
      </c>
      <c r="D5488" s="30">
        <f>"86447224001214"</f>
        <v/>
      </c>
      <c r="E5488" s="30" t="inlineStr">
        <is>
          <t>LOGMIX TRANSPORTES LTDA</t>
        </is>
      </c>
      <c r="F5488" s="30" t="inlineStr">
        <is>
          <t>2022</t>
        </is>
      </c>
      <c r="G5488" s="40" t="n">
        <v>0</v>
      </c>
    </row>
    <row r="5489" ht="12" customHeight="1">
      <c r="A5489" s="30" t="inlineStr">
        <is>
          <t>ITG</t>
        </is>
      </c>
      <c r="B5489" s="30" t="inlineStr">
        <is>
          <t>Itaguai</t>
        </is>
      </c>
      <c r="C5489" s="30" t="n">
        <v>78873884</v>
      </c>
      <c r="D5489" s="30">
        <f>"86447224001214"</f>
        <v/>
      </c>
      <c r="E5489" s="30" t="inlineStr">
        <is>
          <t>LOGMIX TRANSPORTES LTDA</t>
        </is>
      </c>
      <c r="F5489" s="30" t="inlineStr">
        <is>
          <t>2023</t>
        </is>
      </c>
      <c r="G5489" s="40" t="n">
        <v>0</v>
      </c>
    </row>
    <row r="5490" ht="12" customHeight="1">
      <c r="A5490" s="30" t="inlineStr">
        <is>
          <t>ITG</t>
        </is>
      </c>
      <c r="B5490" s="30" t="inlineStr">
        <is>
          <t>Itaguai</t>
        </is>
      </c>
      <c r="C5490" s="30" t="n">
        <v>78885416</v>
      </c>
      <c r="D5490" s="30">
        <f>"11203265000103"</f>
        <v/>
      </c>
      <c r="E5490" s="30" t="inlineStr">
        <is>
          <t>CCR DA SILVA COMERCIO DE GAS - EPP</t>
        </is>
      </c>
      <c r="F5490" s="30" t="inlineStr">
        <is>
          <t>2017</t>
        </is>
      </c>
      <c r="G5490" s="40" t="n">
        <v>61971.92</v>
      </c>
    </row>
    <row r="5491" ht="12" customHeight="1">
      <c r="A5491" s="30" t="inlineStr">
        <is>
          <t>ITG</t>
        </is>
      </c>
      <c r="B5491" s="30" t="inlineStr">
        <is>
          <t>Itaguai</t>
        </is>
      </c>
      <c r="C5491" s="30" t="n">
        <v>78885416</v>
      </c>
      <c r="D5491" s="30">
        <f>"11203265000103"</f>
        <v/>
      </c>
      <c r="E5491" s="30" t="inlineStr">
        <is>
          <t>CCR DA SILVA COMERCIO DE GAS - EPP</t>
        </is>
      </c>
      <c r="F5491" s="30" t="inlineStr">
        <is>
          <t>2018</t>
        </is>
      </c>
      <c r="G5491" s="40" t="n">
        <v>59147.99</v>
      </c>
    </row>
    <row r="5492" ht="12" customHeight="1">
      <c r="A5492" s="30" t="inlineStr">
        <is>
          <t>ITG</t>
        </is>
      </c>
      <c r="B5492" s="30" t="inlineStr">
        <is>
          <t>Itaguai</t>
        </is>
      </c>
      <c r="C5492" s="30" t="n">
        <v>78885416</v>
      </c>
      <c r="D5492" s="30">
        <f>"11203265000103"</f>
        <v/>
      </c>
      <c r="E5492" s="30" t="inlineStr">
        <is>
          <t>CCR DA SILVA COMERCIO DE GAS - EPP</t>
        </is>
      </c>
      <c r="F5492" s="30" t="inlineStr">
        <is>
          <t>2019</t>
        </is>
      </c>
      <c r="G5492" s="40" t="n">
        <v>29633.61</v>
      </c>
    </row>
    <row r="5493" ht="12" customHeight="1">
      <c r="A5493" s="30" t="inlineStr">
        <is>
          <t>ITG</t>
        </is>
      </c>
      <c r="B5493" s="30" t="inlineStr">
        <is>
          <t>Itaguai</t>
        </is>
      </c>
      <c r="C5493" s="30" t="n">
        <v>78885416</v>
      </c>
      <c r="D5493" s="30">
        <f>"11203265000103"</f>
        <v/>
      </c>
      <c r="E5493" s="30" t="inlineStr">
        <is>
          <t>CCR DA SILVA COMERCIO DE GAS - EPP</t>
        </is>
      </c>
      <c r="F5493" s="30" t="inlineStr">
        <is>
          <t>2020</t>
        </is>
      </c>
      <c r="G5493" s="40" t="n">
        <v>51826.55</v>
      </c>
    </row>
    <row r="5494" ht="12" customHeight="1">
      <c r="A5494" s="30" t="inlineStr">
        <is>
          <t>ITG</t>
        </is>
      </c>
      <c r="B5494" s="30" t="inlineStr">
        <is>
          <t>Itaguai</t>
        </is>
      </c>
      <c r="C5494" s="30" t="n">
        <v>78885416</v>
      </c>
      <c r="D5494" s="30">
        <f>"11203265000103"</f>
        <v/>
      </c>
      <c r="E5494" s="30" t="inlineStr">
        <is>
          <t>CCR DA SILVA COMERCIO DE GAS - EPP</t>
        </is>
      </c>
      <c r="F5494" s="30" t="inlineStr">
        <is>
          <t>2021</t>
        </is>
      </c>
      <c r="G5494" s="40" t="n">
        <v>82481.67999999999</v>
      </c>
    </row>
    <row r="5495" ht="12" customHeight="1">
      <c r="A5495" s="30" t="inlineStr">
        <is>
          <t>ITG</t>
        </is>
      </c>
      <c r="B5495" s="30" t="inlineStr">
        <is>
          <t>Itaguai</t>
        </is>
      </c>
      <c r="C5495" s="30" t="n">
        <v>78885416</v>
      </c>
      <c r="D5495" s="30">
        <f>"11203265000103"</f>
        <v/>
      </c>
      <c r="E5495" s="30" t="inlineStr">
        <is>
          <t>CCR DA SILVA COMERCIO DE GAS - EPP</t>
        </is>
      </c>
      <c r="F5495" s="30" t="inlineStr">
        <is>
          <t>2022</t>
        </is>
      </c>
      <c r="G5495" s="40" t="n">
        <v>104511.5</v>
      </c>
    </row>
    <row r="5496" ht="12" customHeight="1">
      <c r="A5496" s="30" t="inlineStr">
        <is>
          <t>ITG</t>
        </is>
      </c>
      <c r="B5496" s="30" t="inlineStr">
        <is>
          <t>Itaguai</t>
        </is>
      </c>
      <c r="C5496" s="30" t="n">
        <v>78885416</v>
      </c>
      <c r="D5496" s="30">
        <f>"11203265000103"</f>
        <v/>
      </c>
      <c r="E5496" s="30" t="inlineStr">
        <is>
          <t>CCR DA SILVA COMERCIO DE GAS - EPP</t>
        </is>
      </c>
      <c r="F5496" s="30" t="inlineStr">
        <is>
          <t>2023</t>
        </is>
      </c>
      <c r="G5496" s="40" t="n">
        <v>0</v>
      </c>
    </row>
    <row r="5497" ht="12" customHeight="1">
      <c r="A5497" s="30" t="inlineStr">
        <is>
          <t>ITG</t>
        </is>
      </c>
      <c r="B5497" s="30" t="inlineStr">
        <is>
          <t>Itaguai</t>
        </is>
      </c>
      <c r="C5497" s="30" t="n">
        <v>78889365</v>
      </c>
      <c r="D5497" s="30">
        <f>"11114284002530"</f>
        <v/>
      </c>
      <c r="E5497" s="30" t="inlineStr">
        <is>
          <t>CASA &amp; VIDEO RIO DE JANEIRO S A</t>
        </is>
      </c>
      <c r="F5497" s="30" t="inlineStr">
        <is>
          <t>2017</t>
        </is>
      </c>
      <c r="G5497" s="40" t="n">
        <v>3319666.55</v>
      </c>
    </row>
    <row r="5498" ht="12" customHeight="1">
      <c r="A5498" s="30" t="inlineStr">
        <is>
          <t>ITG</t>
        </is>
      </c>
      <c r="B5498" s="30" t="inlineStr">
        <is>
          <t>Itaguai</t>
        </is>
      </c>
      <c r="C5498" s="30" t="n">
        <v>78889365</v>
      </c>
      <c r="D5498" s="30">
        <f>"11114284002530"</f>
        <v/>
      </c>
      <c r="E5498" s="30" t="inlineStr">
        <is>
          <t>CASA &amp; VIDEO RIO DE JANEIRO S A</t>
        </is>
      </c>
      <c r="F5498" s="30" t="inlineStr">
        <is>
          <t>2018</t>
        </is>
      </c>
      <c r="G5498" s="40" t="n">
        <v>3232823.19</v>
      </c>
    </row>
    <row r="5499" ht="12" customHeight="1">
      <c r="A5499" s="30" t="inlineStr">
        <is>
          <t>ITG</t>
        </is>
      </c>
      <c r="B5499" s="30" t="inlineStr">
        <is>
          <t>Itaguai</t>
        </is>
      </c>
      <c r="C5499" s="30" t="n">
        <v>78889365</v>
      </c>
      <c r="D5499" s="30">
        <f>"11114284002530"</f>
        <v/>
      </c>
      <c r="E5499" s="30" t="inlineStr">
        <is>
          <t>CASA &amp; VIDEO RIO DE JANEIRO S A</t>
        </is>
      </c>
      <c r="F5499" s="30" t="inlineStr">
        <is>
          <t>2019</t>
        </is>
      </c>
      <c r="G5499" s="40" t="n">
        <v>3420829.41</v>
      </c>
    </row>
    <row r="5500" ht="12" customHeight="1">
      <c r="A5500" s="30" t="inlineStr">
        <is>
          <t>ITG</t>
        </is>
      </c>
      <c r="B5500" s="30" t="inlineStr">
        <is>
          <t>Itaguai</t>
        </is>
      </c>
      <c r="C5500" s="30" t="n">
        <v>78889365</v>
      </c>
      <c r="D5500" s="30">
        <f>"11114284002530"</f>
        <v/>
      </c>
      <c r="E5500" s="30" t="inlineStr">
        <is>
          <t>CASA &amp; VIDEO RIO DE JANEIRO S A</t>
        </is>
      </c>
      <c r="F5500" s="30" t="inlineStr">
        <is>
          <t>2020</t>
        </is>
      </c>
      <c r="G5500" s="40" t="n">
        <v>4377646.72</v>
      </c>
    </row>
    <row r="5501" ht="12" customHeight="1">
      <c r="A5501" s="30" t="inlineStr">
        <is>
          <t>ITG</t>
        </is>
      </c>
      <c r="B5501" s="30" t="inlineStr">
        <is>
          <t>Itaguai</t>
        </is>
      </c>
      <c r="C5501" s="30" t="n">
        <v>78889365</v>
      </c>
      <c r="D5501" s="30">
        <f>"11114284002530"</f>
        <v/>
      </c>
      <c r="E5501" s="30" t="inlineStr">
        <is>
          <t>CASA &amp; VIDEO RIO DE JANEIRO S A</t>
        </is>
      </c>
      <c r="F5501" s="30" t="inlineStr">
        <is>
          <t>2021</t>
        </is>
      </c>
      <c r="G5501" s="40" t="n">
        <v>3229857.39</v>
      </c>
    </row>
    <row r="5502" ht="12" customHeight="1">
      <c r="A5502" s="30" t="inlineStr">
        <is>
          <t>ITG</t>
        </is>
      </c>
      <c r="B5502" s="30" t="inlineStr">
        <is>
          <t>Itaguai</t>
        </is>
      </c>
      <c r="C5502" s="30" t="n">
        <v>78889365</v>
      </c>
      <c r="D5502" s="30">
        <f>"11114284002530"</f>
        <v/>
      </c>
      <c r="E5502" s="30" t="inlineStr">
        <is>
          <t>CASA &amp; VIDEO RIO DE JANEIRO S A</t>
        </is>
      </c>
      <c r="F5502" s="30" t="inlineStr">
        <is>
          <t>2022</t>
        </is>
      </c>
      <c r="G5502" s="40" t="n">
        <v>3125149.78</v>
      </c>
    </row>
    <row r="5503" ht="12" customHeight="1">
      <c r="A5503" s="30" t="inlineStr">
        <is>
          <t>ITG</t>
        </is>
      </c>
      <c r="B5503" s="30" t="inlineStr">
        <is>
          <t>Itaguai</t>
        </is>
      </c>
      <c r="C5503" s="30" t="n">
        <v>78889365</v>
      </c>
      <c r="D5503" s="30">
        <f>"11114284002530"</f>
        <v/>
      </c>
      <c r="E5503" s="30" t="inlineStr">
        <is>
          <t>CASA &amp; VIDEO RIO DE JANEIRO S A</t>
        </is>
      </c>
      <c r="F5503" s="30" t="inlineStr">
        <is>
          <t>2023</t>
        </is>
      </c>
      <c r="G5503" s="40" t="n">
        <v>3353941.66</v>
      </c>
    </row>
    <row r="5504" ht="12" customHeight="1">
      <c r="A5504" s="30" t="inlineStr">
        <is>
          <t>ITG</t>
        </is>
      </c>
      <c r="B5504" s="30" t="inlineStr">
        <is>
          <t>Itaguai</t>
        </is>
      </c>
      <c r="C5504" s="30" t="n">
        <v>78889659</v>
      </c>
      <c r="D5504" s="30">
        <f>"11016242000190"</f>
        <v/>
      </c>
      <c r="E5504" s="30" t="inlineStr">
        <is>
          <t>BERIT CAM EMPREENDIMENTOS SERVICOS LTDA ME</t>
        </is>
      </c>
      <c r="F5504" s="30" t="inlineStr">
        <is>
          <t>2020</t>
        </is>
      </c>
      <c r="G5504" s="40" t="n">
        <v>0</v>
      </c>
    </row>
    <row r="5505" ht="12" customHeight="1">
      <c r="A5505" s="30" t="inlineStr">
        <is>
          <t>ITG</t>
        </is>
      </c>
      <c r="B5505" s="30" t="inlineStr">
        <is>
          <t>Itaguai</t>
        </is>
      </c>
      <c r="C5505" s="30" t="n">
        <v>78889659</v>
      </c>
      <c r="D5505" s="30">
        <f>"11016242000190"</f>
        <v/>
      </c>
      <c r="E5505" s="30" t="inlineStr">
        <is>
          <t>BERIT CAM EMPREENDIMENTOS SERVICOS LTDA ME</t>
        </is>
      </c>
      <c r="F5505" s="30" t="inlineStr">
        <is>
          <t>2021</t>
        </is>
      </c>
      <c r="G5505" s="40" t="n">
        <v>0</v>
      </c>
    </row>
    <row r="5506" ht="12" customHeight="1">
      <c r="A5506" s="30" t="inlineStr">
        <is>
          <t>ITG</t>
        </is>
      </c>
      <c r="B5506" s="30" t="inlineStr">
        <is>
          <t>Itaguai</t>
        </is>
      </c>
      <c r="C5506" s="30" t="n">
        <v>78889659</v>
      </c>
      <c r="D5506" s="30">
        <f>"11016242000190"</f>
        <v/>
      </c>
      <c r="E5506" s="30" t="inlineStr">
        <is>
          <t>BERIT CAM EMPREENDIMENTOS SERVICOS LTDA ME</t>
        </is>
      </c>
      <c r="F5506" s="30" t="inlineStr">
        <is>
          <t>2022</t>
        </is>
      </c>
      <c r="G5506" s="40" t="n">
        <v>0</v>
      </c>
    </row>
    <row r="5507" ht="12" customHeight="1">
      <c r="A5507" s="30" t="inlineStr">
        <is>
          <t>ITG</t>
        </is>
      </c>
      <c r="B5507" s="30" t="inlineStr">
        <is>
          <t>Itaguai</t>
        </is>
      </c>
      <c r="C5507" s="30" t="n">
        <v>78889659</v>
      </c>
      <c r="D5507" s="30">
        <f>"11016242000190"</f>
        <v/>
      </c>
      <c r="E5507" s="30" t="inlineStr">
        <is>
          <t>BERIT CAM EMPREENDIMENTOS SERVICOS LTDA ME</t>
        </is>
      </c>
      <c r="F5507" s="30" t="inlineStr">
        <is>
          <t>2023</t>
        </is>
      </c>
      <c r="G5507" s="40" t="n">
        <v>0</v>
      </c>
    </row>
    <row r="5508" ht="12" customHeight="1">
      <c r="A5508" s="30" t="inlineStr">
        <is>
          <t>ITG</t>
        </is>
      </c>
      <c r="B5508" s="30" t="inlineStr">
        <is>
          <t>Itaguai</t>
        </is>
      </c>
      <c r="C5508" s="30" t="n">
        <v>78891220</v>
      </c>
      <c r="D5508" s="30">
        <f>"33337122003142"</f>
        <v/>
      </c>
      <c r="E5508" s="30" t="inlineStr">
        <is>
          <t>IPIRANGA PRODUTOS DE PETROLEO S A</t>
        </is>
      </c>
      <c r="F5508" s="30" t="inlineStr">
        <is>
          <t>2017</t>
        </is>
      </c>
      <c r="G5508" s="40" t="n">
        <v>0</v>
      </c>
    </row>
    <row r="5509" ht="12" customHeight="1">
      <c r="A5509" s="30" t="inlineStr">
        <is>
          <t>ITG</t>
        </is>
      </c>
      <c r="B5509" s="30" t="inlineStr">
        <is>
          <t>Itaguai</t>
        </is>
      </c>
      <c r="C5509" s="30" t="n">
        <v>78891220</v>
      </c>
      <c r="D5509" s="30">
        <f>"33337122003142"</f>
        <v/>
      </c>
      <c r="E5509" s="30" t="inlineStr">
        <is>
          <t>IPIRANGA PRODUTOS DE PETROLEO S A</t>
        </is>
      </c>
      <c r="F5509" s="30" t="inlineStr">
        <is>
          <t>2018</t>
        </is>
      </c>
      <c r="G5509" s="40" t="n">
        <v>0</v>
      </c>
    </row>
    <row r="5510" ht="12" customHeight="1">
      <c r="A5510" s="30" t="inlineStr">
        <is>
          <t>ITG</t>
        </is>
      </c>
      <c r="B5510" s="30" t="inlineStr">
        <is>
          <t>Itaguai</t>
        </is>
      </c>
      <c r="C5510" s="30" t="n">
        <v>78891220</v>
      </c>
      <c r="D5510" s="30">
        <f>"33337122003142"</f>
        <v/>
      </c>
      <c r="E5510" s="30" t="inlineStr">
        <is>
          <t>IPIRANGA PRODUTOS DE PETROLEO S A</t>
        </is>
      </c>
      <c r="F5510" s="30" t="inlineStr">
        <is>
          <t>2019</t>
        </is>
      </c>
      <c r="G5510" s="40" t="n">
        <v>0</v>
      </c>
    </row>
    <row r="5511" ht="12" customHeight="1">
      <c r="A5511" s="30" t="inlineStr">
        <is>
          <t>ITG</t>
        </is>
      </c>
      <c r="B5511" s="30" t="inlineStr">
        <is>
          <t>Itaguai</t>
        </is>
      </c>
      <c r="C5511" s="30" t="n">
        <v>78891220</v>
      </c>
      <c r="D5511" s="30">
        <f>"33337122003142"</f>
        <v/>
      </c>
      <c r="E5511" s="30" t="inlineStr">
        <is>
          <t>IPIRANGA PRODUTOS DE PETROLEO S A</t>
        </is>
      </c>
      <c r="F5511" s="30" t="inlineStr">
        <is>
          <t>2020</t>
        </is>
      </c>
      <c r="G5511" s="40" t="n">
        <v>0</v>
      </c>
    </row>
    <row r="5512" ht="12" customHeight="1">
      <c r="A5512" s="30" t="inlineStr">
        <is>
          <t>ITG</t>
        </is>
      </c>
      <c r="B5512" s="30" t="inlineStr">
        <is>
          <t>Itaguai</t>
        </is>
      </c>
      <c r="C5512" s="30" t="n">
        <v>78891220</v>
      </c>
      <c r="D5512" s="30">
        <f>"33337122003142"</f>
        <v/>
      </c>
      <c r="E5512" s="30" t="inlineStr">
        <is>
          <t>IPIRANGA PRODUTOS DE PETROLEO S A</t>
        </is>
      </c>
      <c r="F5512" s="30" t="inlineStr">
        <is>
          <t>2021</t>
        </is>
      </c>
      <c r="G5512" s="40" t="n">
        <v>0</v>
      </c>
    </row>
    <row r="5513" ht="12" customHeight="1">
      <c r="A5513" s="30" t="inlineStr">
        <is>
          <t>ITG</t>
        </is>
      </c>
      <c r="B5513" s="30" t="inlineStr">
        <is>
          <t>Itaguai</t>
        </is>
      </c>
      <c r="C5513" s="30" t="n">
        <v>78891220</v>
      </c>
      <c r="D5513" s="30">
        <f>"33337122003142"</f>
        <v/>
      </c>
      <c r="E5513" s="30" t="inlineStr">
        <is>
          <t>IPIRANGA PRODUTOS DE PETROLEO S A</t>
        </is>
      </c>
      <c r="F5513" s="30" t="inlineStr">
        <is>
          <t>2022</t>
        </is>
      </c>
      <c r="G5513" s="40" t="n">
        <v>0</v>
      </c>
    </row>
    <row r="5514" ht="12" customHeight="1">
      <c r="A5514" s="30" t="inlineStr">
        <is>
          <t>ITG</t>
        </is>
      </c>
      <c r="B5514" s="30" t="inlineStr">
        <is>
          <t>Itaguai</t>
        </is>
      </c>
      <c r="C5514" s="30" t="n">
        <v>78891220</v>
      </c>
      <c r="D5514" s="30">
        <f>"33337122003142"</f>
        <v/>
      </c>
      <c r="E5514" s="30" t="inlineStr">
        <is>
          <t>IPIRANGA PRODUTOS DE PETROLEO S A</t>
        </is>
      </c>
      <c r="F5514" s="30" t="inlineStr">
        <is>
          <t>2023</t>
        </is>
      </c>
      <c r="G5514" s="40" t="n">
        <v>0</v>
      </c>
    </row>
    <row r="5515" ht="12" customHeight="1">
      <c r="A5515" s="30" t="inlineStr">
        <is>
          <t>ITG</t>
        </is>
      </c>
      <c r="B5515" s="30" t="inlineStr">
        <is>
          <t>Itaguai</t>
        </is>
      </c>
      <c r="C5515" s="30" t="n">
        <v>78892188</v>
      </c>
      <c r="D5515" s="30">
        <f>"10811717000177"</f>
        <v/>
      </c>
      <c r="E5515" s="30" t="inlineStr">
        <is>
          <t>VITORIA DE ITAGUAI CONFECCOES EIRELI- ME</t>
        </is>
      </c>
      <c r="F5515" s="30" t="inlineStr">
        <is>
          <t>2017</t>
        </is>
      </c>
      <c r="G5515" s="40" t="n">
        <v>0</v>
      </c>
    </row>
    <row r="5516" ht="12" customHeight="1">
      <c r="A5516" s="30" t="inlineStr">
        <is>
          <t>ITG</t>
        </is>
      </c>
      <c r="B5516" s="30" t="inlineStr">
        <is>
          <t>Itaguai</t>
        </is>
      </c>
      <c r="C5516" s="30" t="n">
        <v>78892188</v>
      </c>
      <c r="D5516" s="30">
        <f>"10811717000177"</f>
        <v/>
      </c>
      <c r="E5516" s="30" t="inlineStr">
        <is>
          <t>VITORIA DE ITAGUAI CONFECCOES EIRELI- ME</t>
        </is>
      </c>
      <c r="F5516" s="30" t="inlineStr">
        <is>
          <t>2018</t>
        </is>
      </c>
      <c r="G5516" s="40" t="n">
        <v>0</v>
      </c>
    </row>
    <row r="5517" ht="12" customHeight="1">
      <c r="A5517" s="30" t="inlineStr">
        <is>
          <t>ITG</t>
        </is>
      </c>
      <c r="B5517" s="30" t="inlineStr">
        <is>
          <t>Itaguai</t>
        </is>
      </c>
      <c r="C5517" s="30" t="n">
        <v>78892188</v>
      </c>
      <c r="D5517" s="30">
        <f>"10811717000177"</f>
        <v/>
      </c>
      <c r="E5517" s="30" t="inlineStr">
        <is>
          <t>VITORIA DE ITAGUAI CONFECCOES EIRELI- ME</t>
        </is>
      </c>
      <c r="F5517" s="30" t="inlineStr">
        <is>
          <t>2019</t>
        </is>
      </c>
      <c r="G5517" s="40" t="n">
        <v>0</v>
      </c>
    </row>
    <row r="5518" ht="12" customHeight="1">
      <c r="A5518" s="30" t="inlineStr">
        <is>
          <t>ITG</t>
        </is>
      </c>
      <c r="B5518" s="30" t="inlineStr">
        <is>
          <t>Itaguai</t>
        </is>
      </c>
      <c r="C5518" s="30" t="n">
        <v>78892200</v>
      </c>
      <c r="D5518" s="30">
        <f>"07035062000188"</f>
        <v/>
      </c>
      <c r="E5518" s="30" t="inlineStr">
        <is>
          <t>PANDELLI TRANSPORTES LTDA ME</t>
        </is>
      </c>
      <c r="F5518" s="30" t="inlineStr">
        <is>
          <t>2017</t>
        </is>
      </c>
      <c r="G5518" s="40" t="n">
        <v>0</v>
      </c>
    </row>
    <row r="5519" ht="12" customHeight="1">
      <c r="A5519" s="30" t="inlineStr">
        <is>
          <t>ITG</t>
        </is>
      </c>
      <c r="B5519" s="30" t="inlineStr">
        <is>
          <t>Itaguai</t>
        </is>
      </c>
      <c r="C5519" s="30" t="n">
        <v>78892200</v>
      </c>
      <c r="D5519" s="30">
        <f>"07035062000188"</f>
        <v/>
      </c>
      <c r="E5519" s="30" t="inlineStr">
        <is>
          <t>PANDELLI TRANSPORTES LTDA ME</t>
        </is>
      </c>
      <c r="F5519" s="30" t="inlineStr">
        <is>
          <t>2018</t>
        </is>
      </c>
      <c r="G5519" s="40" t="n">
        <v>20190</v>
      </c>
    </row>
    <row r="5520" ht="12" customHeight="1">
      <c r="A5520" s="30" t="inlineStr">
        <is>
          <t>ITG</t>
        </is>
      </c>
      <c r="B5520" s="30" t="inlineStr">
        <is>
          <t>Itaguai</t>
        </is>
      </c>
      <c r="C5520" s="30" t="n">
        <v>78892200</v>
      </c>
      <c r="D5520" s="30">
        <f>"07035062000188"</f>
        <v/>
      </c>
      <c r="E5520" s="30" t="inlineStr">
        <is>
          <t>PANDELLI TRANSPORTES LTDA ME</t>
        </is>
      </c>
      <c r="F5520" s="30" t="inlineStr">
        <is>
          <t>2019</t>
        </is>
      </c>
      <c r="G5520" s="40" t="n">
        <v>0</v>
      </c>
    </row>
    <row r="5521" ht="12" customHeight="1">
      <c r="A5521" s="30" t="inlineStr">
        <is>
          <t>ITG</t>
        </is>
      </c>
      <c r="B5521" s="30" t="inlineStr">
        <is>
          <t>Itaguai</t>
        </is>
      </c>
      <c r="C5521" s="30" t="n">
        <v>78892200</v>
      </c>
      <c r="D5521" s="30">
        <f>"07035062000188"</f>
        <v/>
      </c>
      <c r="E5521" s="30" t="inlineStr">
        <is>
          <t>PANDELLI TRANSPORTES LTDA ME</t>
        </is>
      </c>
      <c r="F5521" s="30" t="inlineStr">
        <is>
          <t>2020</t>
        </is>
      </c>
      <c r="G5521" s="40" t="n">
        <v>0</v>
      </c>
    </row>
    <row r="5522" ht="12" customHeight="1">
      <c r="A5522" s="30" t="inlineStr">
        <is>
          <t>ITG</t>
        </is>
      </c>
      <c r="B5522" s="30" t="inlineStr">
        <is>
          <t>Itaguai</t>
        </is>
      </c>
      <c r="C5522" s="30" t="n">
        <v>78903449</v>
      </c>
      <c r="D5522" s="30">
        <f>"08902291000387"</f>
        <v/>
      </c>
      <c r="E5522" s="30" t="inlineStr">
        <is>
          <t>CSN MINERACAO S A</t>
        </is>
      </c>
      <c r="F5522" s="30" t="inlineStr">
        <is>
          <t>2017</t>
        </is>
      </c>
      <c r="G5522" s="40" t="n">
        <v>128077337.66</v>
      </c>
    </row>
    <row r="5523" ht="12" customHeight="1">
      <c r="A5523" s="30" t="inlineStr">
        <is>
          <t>ITG</t>
        </is>
      </c>
      <c r="B5523" s="30" t="inlineStr">
        <is>
          <t>Itaguai</t>
        </is>
      </c>
      <c r="C5523" s="30" t="n">
        <v>78903449</v>
      </c>
      <c r="D5523" s="30">
        <f>"08902291000387"</f>
        <v/>
      </c>
      <c r="E5523" s="30" t="inlineStr">
        <is>
          <t>CSN MINERACAO S A</t>
        </is>
      </c>
      <c r="F5523" s="30" t="inlineStr">
        <is>
          <t>2018</t>
        </is>
      </c>
      <c r="G5523" s="40" t="n">
        <v>296710618.1</v>
      </c>
    </row>
    <row r="5524" ht="12" customHeight="1">
      <c r="A5524" s="30" t="inlineStr">
        <is>
          <t>ITG</t>
        </is>
      </c>
      <c r="B5524" s="30" t="inlineStr">
        <is>
          <t>Itaguai</t>
        </is>
      </c>
      <c r="C5524" s="30" t="n">
        <v>78903449</v>
      </c>
      <c r="D5524" s="30">
        <f>"08902291000387"</f>
        <v/>
      </c>
      <c r="E5524" s="30" t="inlineStr">
        <is>
          <t>CSN MINERACAO S A</t>
        </is>
      </c>
      <c r="F5524" s="30" t="inlineStr">
        <is>
          <t>2019</t>
        </is>
      </c>
      <c r="G5524" s="40" t="n">
        <v>1734474077.92</v>
      </c>
    </row>
    <row r="5525" ht="12" customHeight="1">
      <c r="A5525" s="30" t="inlineStr">
        <is>
          <t>ITG</t>
        </is>
      </c>
      <c r="B5525" s="30" t="inlineStr">
        <is>
          <t>Itaguai</t>
        </is>
      </c>
      <c r="C5525" s="30" t="n">
        <v>78903449</v>
      </c>
      <c r="D5525" s="30">
        <f>"08902291000387"</f>
        <v/>
      </c>
      <c r="E5525" s="30" t="inlineStr">
        <is>
          <t>CSN MINERACAO S A</t>
        </is>
      </c>
      <c r="F5525" s="30" t="inlineStr">
        <is>
          <t>2020</t>
        </is>
      </c>
      <c r="G5525" s="40" t="n">
        <v>2991178647.76</v>
      </c>
    </row>
    <row r="5526" ht="12" customHeight="1">
      <c r="A5526" s="30" t="inlineStr">
        <is>
          <t>ITG</t>
        </is>
      </c>
      <c r="B5526" s="30" t="inlineStr">
        <is>
          <t>Itaguai</t>
        </is>
      </c>
      <c r="C5526" s="30" t="n">
        <v>78903449</v>
      </c>
      <c r="D5526" s="30">
        <f>"08902291000387"</f>
        <v/>
      </c>
      <c r="E5526" s="30" t="inlineStr">
        <is>
          <t>CSN MINERACAO S A</t>
        </is>
      </c>
      <c r="F5526" s="30" t="inlineStr">
        <is>
          <t>2021</t>
        </is>
      </c>
      <c r="G5526" s="40" t="n">
        <v>1480732192.48</v>
      </c>
    </row>
    <row r="5527" ht="12" customHeight="1">
      <c r="A5527" s="30" t="inlineStr">
        <is>
          <t>ITG</t>
        </is>
      </c>
      <c r="B5527" s="30" t="inlineStr">
        <is>
          <t>Itaguai</t>
        </is>
      </c>
      <c r="C5527" s="30" t="n">
        <v>78903449</v>
      </c>
      <c r="D5527" s="30">
        <f>"08902291000387"</f>
        <v/>
      </c>
      <c r="E5527" s="30" t="inlineStr">
        <is>
          <t>CSN MINERACAO S A</t>
        </is>
      </c>
      <c r="F5527" s="30" t="inlineStr">
        <is>
          <t>2022</t>
        </is>
      </c>
      <c r="G5527" s="40" t="n">
        <v>2036551431.54</v>
      </c>
    </row>
    <row r="5528" ht="12" customHeight="1">
      <c r="A5528" s="30" t="inlineStr">
        <is>
          <t>ITG</t>
        </is>
      </c>
      <c r="B5528" s="30" t="inlineStr">
        <is>
          <t>Itaguai</t>
        </is>
      </c>
      <c r="C5528" s="30" t="n">
        <v>78903449</v>
      </c>
      <c r="D5528" s="30">
        <f>"08902291000387"</f>
        <v/>
      </c>
      <c r="E5528" s="30" t="inlineStr">
        <is>
          <t>CSN MINERACAO S A</t>
        </is>
      </c>
      <c r="F5528" s="30" t="inlineStr">
        <is>
          <t>2023</t>
        </is>
      </c>
      <c r="G5528" s="40" t="n">
        <v>2054621169.65</v>
      </c>
    </row>
    <row r="5529" ht="12" customHeight="1">
      <c r="A5529" s="30" t="inlineStr">
        <is>
          <t>ITG</t>
        </is>
      </c>
      <c r="B5529" s="30" t="inlineStr">
        <is>
          <t>Itaguai</t>
        </is>
      </c>
      <c r="C5529" s="30" t="n">
        <v>78904593</v>
      </c>
      <c r="D5529" s="30">
        <f>"30006027000314"</f>
        <v/>
      </c>
      <c r="E5529" s="30" t="inlineStr">
        <is>
          <t>LIDER RIO VEICULOS S A</t>
        </is>
      </c>
      <c r="F5529" s="30" t="inlineStr">
        <is>
          <t>2017</t>
        </is>
      </c>
      <c r="G5529" s="40" t="n">
        <v>917649.6899999999</v>
      </c>
    </row>
    <row r="5530" ht="12" customHeight="1">
      <c r="A5530" s="30" t="inlineStr">
        <is>
          <t>ITG</t>
        </is>
      </c>
      <c r="B5530" s="30" t="inlineStr">
        <is>
          <t>Itaguai</t>
        </is>
      </c>
      <c r="C5530" s="30" t="n">
        <v>78904593</v>
      </c>
      <c r="D5530" s="30">
        <f>"30006027000314"</f>
        <v/>
      </c>
      <c r="E5530" s="30" t="inlineStr">
        <is>
          <t>LIDER RIO VEICULOS S A</t>
        </is>
      </c>
      <c r="F5530" s="30" t="inlineStr">
        <is>
          <t>2018</t>
        </is>
      </c>
      <c r="G5530" s="40" t="n">
        <v>1433168.52</v>
      </c>
    </row>
    <row r="5531" ht="12" customHeight="1">
      <c r="A5531" s="30" t="inlineStr">
        <is>
          <t>ITG</t>
        </is>
      </c>
      <c r="B5531" s="30" t="inlineStr">
        <is>
          <t>Itaguai</t>
        </is>
      </c>
      <c r="C5531" s="30" t="n">
        <v>78904593</v>
      </c>
      <c r="D5531" s="30">
        <f>"30006027000314"</f>
        <v/>
      </c>
      <c r="E5531" s="30" t="inlineStr">
        <is>
          <t>LIDER RIO VEICULOS S A</t>
        </is>
      </c>
      <c r="F5531" s="30" t="inlineStr">
        <is>
          <t>2019</t>
        </is>
      </c>
      <c r="G5531" s="40" t="n">
        <v>487497.37</v>
      </c>
    </row>
    <row r="5532" ht="12" customHeight="1">
      <c r="A5532" s="30" t="inlineStr">
        <is>
          <t>ITG</t>
        </is>
      </c>
      <c r="B5532" s="30" t="inlineStr">
        <is>
          <t>Itaguai</t>
        </is>
      </c>
      <c r="C5532" s="30" t="n">
        <v>78904593</v>
      </c>
      <c r="D5532" s="30">
        <f>"30006027000314"</f>
        <v/>
      </c>
      <c r="E5532" s="30" t="inlineStr">
        <is>
          <t>LIDER RIO VEICULOS S A</t>
        </is>
      </c>
      <c r="F5532" s="30" t="inlineStr">
        <is>
          <t>2020</t>
        </is>
      </c>
      <c r="G5532" s="40" t="n">
        <v>1219089.2</v>
      </c>
    </row>
    <row r="5533" ht="12" customHeight="1">
      <c r="A5533" s="30" t="inlineStr">
        <is>
          <t>ITG</t>
        </is>
      </c>
      <c r="B5533" s="30" t="inlineStr">
        <is>
          <t>Itaguai</t>
        </is>
      </c>
      <c r="C5533" s="30" t="n">
        <v>78904593</v>
      </c>
      <c r="D5533" s="30">
        <f>"30006027000314"</f>
        <v/>
      </c>
      <c r="E5533" s="30" t="inlineStr">
        <is>
          <t>LIDER RIO VEICULOS S A</t>
        </is>
      </c>
      <c r="F5533" s="30" t="inlineStr">
        <is>
          <t>2021</t>
        </is>
      </c>
      <c r="G5533" s="40" t="n">
        <v>698522.8199999999</v>
      </c>
    </row>
    <row r="5534" ht="12" customHeight="1">
      <c r="A5534" s="30" t="inlineStr">
        <is>
          <t>ITG</t>
        </is>
      </c>
      <c r="B5534" s="30" t="inlineStr">
        <is>
          <t>Itaguai</t>
        </is>
      </c>
      <c r="C5534" s="30" t="n">
        <v>78904593</v>
      </c>
      <c r="D5534" s="30">
        <f>"30006027000314"</f>
        <v/>
      </c>
      <c r="E5534" s="30" t="inlineStr">
        <is>
          <t>LIDER RIO VEICULOS S A</t>
        </is>
      </c>
      <c r="F5534" s="30" t="inlineStr">
        <is>
          <t>2022</t>
        </is>
      </c>
      <c r="G5534" s="40" t="n">
        <v>0</v>
      </c>
    </row>
    <row r="5535" ht="12" customHeight="1">
      <c r="A5535" s="30" t="inlineStr">
        <is>
          <t>ITG</t>
        </is>
      </c>
      <c r="B5535" s="30" t="inlineStr">
        <is>
          <t>Itaguai</t>
        </is>
      </c>
      <c r="C5535" s="30" t="n">
        <v>78904593</v>
      </c>
      <c r="D5535" s="30">
        <f>"30006027000314"</f>
        <v/>
      </c>
      <c r="E5535" s="30" t="inlineStr">
        <is>
          <t>LIDER RIO VEICULOS S A</t>
        </is>
      </c>
      <c r="F5535" s="30" t="inlineStr">
        <is>
          <t>2023</t>
        </is>
      </c>
      <c r="G5535" s="40" t="n">
        <v>0</v>
      </c>
    </row>
    <row r="5536" ht="12" customHeight="1">
      <c r="A5536" s="30" t="inlineStr">
        <is>
          <t>ITG</t>
        </is>
      </c>
      <c r="B5536" s="30" t="inlineStr">
        <is>
          <t>Itaguai</t>
        </is>
      </c>
      <c r="C5536" s="30" t="n">
        <v>78911905</v>
      </c>
      <c r="D5536" s="30">
        <f>"87456562005272"</f>
        <v/>
      </c>
      <c r="E5536" s="30" t="inlineStr">
        <is>
          <t>JOSAPAR JOAQUIM OLIVEIRA S A PARTICIPACOES</t>
        </is>
      </c>
      <c r="F5536" s="30" t="inlineStr">
        <is>
          <t>2017</t>
        </is>
      </c>
      <c r="G5536" s="40" t="n">
        <v>35264266.06</v>
      </c>
    </row>
    <row r="5537" ht="12" customHeight="1">
      <c r="A5537" s="30" t="inlineStr">
        <is>
          <t>ITG</t>
        </is>
      </c>
      <c r="B5537" s="30" t="inlineStr">
        <is>
          <t>Itaguai</t>
        </is>
      </c>
      <c r="C5537" s="30" t="n">
        <v>78911905</v>
      </c>
      <c r="D5537" s="30">
        <f>"87456562005272"</f>
        <v/>
      </c>
      <c r="E5537" s="30" t="inlineStr">
        <is>
          <t>JOSAPAR JOAQUIM OLIVEIRA S A PARTICIPACOES</t>
        </is>
      </c>
      <c r="F5537" s="30" t="inlineStr">
        <is>
          <t>2018</t>
        </is>
      </c>
      <c r="G5537" s="40" t="n">
        <v>35526920.86</v>
      </c>
    </row>
    <row r="5538" ht="12" customHeight="1">
      <c r="A5538" s="30" t="inlineStr">
        <is>
          <t>ITG</t>
        </is>
      </c>
      <c r="B5538" s="30" t="inlineStr">
        <is>
          <t>Itaguai</t>
        </is>
      </c>
      <c r="C5538" s="30" t="n">
        <v>78911905</v>
      </c>
      <c r="D5538" s="30">
        <f>"87456562005272"</f>
        <v/>
      </c>
      <c r="E5538" s="30" t="inlineStr">
        <is>
          <t>JOSAPAR JOAQUIM OLIVEIRA S A PARTICIPACOES</t>
        </is>
      </c>
      <c r="F5538" s="30" t="inlineStr">
        <is>
          <t>2019</t>
        </is>
      </c>
      <c r="G5538" s="40" t="n">
        <v>32194086.32</v>
      </c>
    </row>
    <row r="5539" ht="12" customHeight="1">
      <c r="A5539" s="30" t="inlineStr">
        <is>
          <t>ITG</t>
        </is>
      </c>
      <c r="B5539" s="30" t="inlineStr">
        <is>
          <t>Itaguai</t>
        </is>
      </c>
      <c r="C5539" s="30" t="n">
        <v>78911905</v>
      </c>
      <c r="D5539" s="30">
        <f>"87456562005272"</f>
        <v/>
      </c>
      <c r="E5539" s="30" t="inlineStr">
        <is>
          <t>JOSAPAR JOAQUIM OLIVEIRA S A PARTICIPACOES</t>
        </is>
      </c>
      <c r="F5539" s="30" t="inlineStr">
        <is>
          <t>2020</t>
        </is>
      </c>
      <c r="G5539" s="40" t="n">
        <v>29933399.24</v>
      </c>
    </row>
    <row r="5540" ht="12" customHeight="1">
      <c r="A5540" s="30" t="inlineStr">
        <is>
          <t>ITG</t>
        </is>
      </c>
      <c r="B5540" s="30" t="inlineStr">
        <is>
          <t>Itaguai</t>
        </is>
      </c>
      <c r="C5540" s="30" t="n">
        <v>78911905</v>
      </c>
      <c r="D5540" s="30">
        <f>"87456562005272"</f>
        <v/>
      </c>
      <c r="E5540" s="30" t="inlineStr">
        <is>
          <t>JOSAPAR JOAQUIM OLIVEIRA S A PARTICIPACOES</t>
        </is>
      </c>
      <c r="F5540" s="30" t="inlineStr">
        <is>
          <t>2021</t>
        </is>
      </c>
      <c r="G5540" s="40" t="n">
        <v>40316807.59</v>
      </c>
    </row>
    <row r="5541" ht="12" customHeight="1">
      <c r="A5541" s="30" t="inlineStr">
        <is>
          <t>ITG</t>
        </is>
      </c>
      <c r="B5541" s="30" t="inlineStr">
        <is>
          <t>Itaguai</t>
        </is>
      </c>
      <c r="C5541" s="30" t="n">
        <v>78911905</v>
      </c>
      <c r="D5541" s="30">
        <f>"87456562005272"</f>
        <v/>
      </c>
      <c r="E5541" s="30" t="inlineStr">
        <is>
          <t>JOSAPAR JOAQUIM OLIVEIRA S A PARTICIPACOES</t>
        </is>
      </c>
      <c r="F5541" s="30" t="inlineStr">
        <is>
          <t>2022</t>
        </is>
      </c>
      <c r="G5541" s="40" t="n">
        <v>50030850.13</v>
      </c>
    </row>
    <row r="5542" ht="12" customHeight="1">
      <c r="A5542" s="30" t="inlineStr">
        <is>
          <t>ITG</t>
        </is>
      </c>
      <c r="B5542" s="30" t="inlineStr">
        <is>
          <t>Itaguai</t>
        </is>
      </c>
      <c r="C5542" s="30" t="n">
        <v>78911905</v>
      </c>
      <c r="D5542" s="30">
        <f>"87456562005272"</f>
        <v/>
      </c>
      <c r="E5542" s="30" t="inlineStr">
        <is>
          <t>JOSAPAR JOAQUIM OLIVEIRA S A PARTICIPACOES</t>
        </is>
      </c>
      <c r="F5542" s="30" t="inlineStr">
        <is>
          <t>2023</t>
        </is>
      </c>
      <c r="G5542" s="40" t="n">
        <v>59722075.69</v>
      </c>
    </row>
    <row r="5543" ht="12" customHeight="1">
      <c r="A5543" s="30" t="inlineStr">
        <is>
          <t>ITG</t>
        </is>
      </c>
      <c r="B5543" s="30" t="inlineStr">
        <is>
          <t>Itaguai</t>
        </is>
      </c>
      <c r="C5543" s="30" t="n">
        <v>78916907</v>
      </c>
      <c r="D5543" s="30">
        <f>"11358292000155"</f>
        <v/>
      </c>
      <c r="E5543" s="30" t="inlineStr">
        <is>
          <t>ZIRANLOG LOGISTICA EIRELI</t>
        </is>
      </c>
      <c r="F5543" s="30" t="inlineStr">
        <is>
          <t>2017</t>
        </is>
      </c>
      <c r="G5543" s="40" t="n">
        <v>0</v>
      </c>
    </row>
    <row r="5544" ht="12" customHeight="1">
      <c r="A5544" s="30" t="inlineStr">
        <is>
          <t>ITG</t>
        </is>
      </c>
      <c r="B5544" s="30" t="inlineStr">
        <is>
          <t>Itaguai</t>
        </is>
      </c>
      <c r="C5544" s="30" t="n">
        <v>78916907</v>
      </c>
      <c r="D5544" s="30">
        <f>"11358292000155"</f>
        <v/>
      </c>
      <c r="E5544" s="30" t="inlineStr">
        <is>
          <t>ZIRANLOG LOGISTICA EIRELI</t>
        </is>
      </c>
      <c r="F5544" s="30" t="inlineStr">
        <is>
          <t>2018</t>
        </is>
      </c>
      <c r="G5544" s="40" t="n">
        <v>0</v>
      </c>
    </row>
    <row r="5545" ht="12" customHeight="1">
      <c r="A5545" s="30" t="inlineStr">
        <is>
          <t>ITG</t>
        </is>
      </c>
      <c r="B5545" s="30" t="inlineStr">
        <is>
          <t>Itaguai</t>
        </is>
      </c>
      <c r="C5545" s="30" t="n">
        <v>78916907</v>
      </c>
      <c r="D5545" s="30">
        <f>"11358292000155"</f>
        <v/>
      </c>
      <c r="E5545" s="30" t="inlineStr">
        <is>
          <t>ZIRANLOG LOGISTICA EIRELI</t>
        </is>
      </c>
      <c r="F5545" s="30" t="inlineStr">
        <is>
          <t>2019</t>
        </is>
      </c>
      <c r="G5545" s="40" t="n">
        <v>692828.66</v>
      </c>
    </row>
    <row r="5546" ht="12" customHeight="1">
      <c r="A5546" s="30" t="inlineStr">
        <is>
          <t>ITG</t>
        </is>
      </c>
      <c r="B5546" s="30" t="inlineStr">
        <is>
          <t>Itaguai</t>
        </is>
      </c>
      <c r="C5546" s="30" t="n">
        <v>78916907</v>
      </c>
      <c r="D5546" s="30">
        <f>"11358292000155"</f>
        <v/>
      </c>
      <c r="E5546" s="30" t="inlineStr">
        <is>
          <t>ZIRANLOG LOGISTICA EIRELI</t>
        </is>
      </c>
      <c r="F5546" s="30" t="inlineStr">
        <is>
          <t>2020</t>
        </is>
      </c>
      <c r="G5546" s="40" t="n">
        <v>78860.13</v>
      </c>
    </row>
    <row r="5547" ht="12" customHeight="1">
      <c r="A5547" s="30" t="inlineStr">
        <is>
          <t>ITG</t>
        </is>
      </c>
      <c r="B5547" s="30" t="inlineStr">
        <is>
          <t>Itaguai</t>
        </is>
      </c>
      <c r="C5547" s="30" t="n">
        <v>78916907</v>
      </c>
      <c r="D5547" s="30">
        <f>"11358292000155"</f>
        <v/>
      </c>
      <c r="E5547" s="30" t="inlineStr">
        <is>
          <t>ZIRANLOG LOGISTICA EIRELI</t>
        </is>
      </c>
      <c r="F5547" s="30" t="inlineStr">
        <is>
          <t>2021</t>
        </is>
      </c>
      <c r="G5547" s="40" t="n">
        <v>0</v>
      </c>
    </row>
    <row r="5548" ht="12" customHeight="1">
      <c r="A5548" s="30" t="inlineStr">
        <is>
          <t>ITG</t>
        </is>
      </c>
      <c r="B5548" s="30" t="inlineStr">
        <is>
          <t>Itaguai</t>
        </is>
      </c>
      <c r="C5548" s="30" t="n">
        <v>78916907</v>
      </c>
      <c r="D5548" s="30">
        <f>"11358292000155"</f>
        <v/>
      </c>
      <c r="E5548" s="30" t="inlineStr">
        <is>
          <t>ZIRANLOG LOGISTICA EIRELI</t>
        </is>
      </c>
      <c r="F5548" s="30" t="inlineStr">
        <is>
          <t>2022</t>
        </is>
      </c>
      <c r="G5548" s="40" t="n">
        <v>0</v>
      </c>
    </row>
    <row r="5549" ht="12" customHeight="1">
      <c r="A5549" s="30" t="inlineStr">
        <is>
          <t>ITG</t>
        </is>
      </c>
      <c r="B5549" s="30" t="inlineStr">
        <is>
          <t>Itaguai</t>
        </is>
      </c>
      <c r="C5549" s="30" t="n">
        <v>78919655</v>
      </c>
      <c r="D5549" s="30">
        <f>"10925867000101"</f>
        <v/>
      </c>
      <c r="E5549" s="30" t="inlineStr">
        <is>
          <t>EXPRESSO FENIX TRANSPORTES LTDA</t>
        </is>
      </c>
      <c r="F5549" s="30" t="inlineStr">
        <is>
          <t>2018</t>
        </is>
      </c>
      <c r="G5549" s="40" t="n">
        <v>0</v>
      </c>
    </row>
    <row r="5550" ht="12" customHeight="1">
      <c r="A5550" s="30" t="inlineStr">
        <is>
          <t>ITG</t>
        </is>
      </c>
      <c r="B5550" s="30" t="inlineStr">
        <is>
          <t>Itaguai</t>
        </is>
      </c>
      <c r="C5550" s="30" t="n">
        <v>78919655</v>
      </c>
      <c r="D5550" s="30">
        <f>"10925867000101"</f>
        <v/>
      </c>
      <c r="E5550" s="30" t="inlineStr">
        <is>
          <t>EXPRESSO FENIX TRANSPORTES LTDA</t>
        </is>
      </c>
      <c r="F5550" s="30" t="inlineStr">
        <is>
          <t>2019</t>
        </is>
      </c>
      <c r="G5550" s="40" t="n">
        <v>0</v>
      </c>
    </row>
    <row r="5551" ht="12" customHeight="1">
      <c r="A5551" s="30" t="inlineStr">
        <is>
          <t>ITG</t>
        </is>
      </c>
      <c r="B5551" s="30" t="inlineStr">
        <is>
          <t>Itaguai</t>
        </is>
      </c>
      <c r="C5551" s="30" t="n">
        <v>78919655</v>
      </c>
      <c r="D5551" s="30">
        <f>"10925867000101"</f>
        <v/>
      </c>
      <c r="E5551" s="30" t="inlineStr">
        <is>
          <t>EXPRESSO FENIX TRANSPORTES LTDA</t>
        </is>
      </c>
      <c r="F5551" s="30" t="inlineStr">
        <is>
          <t>2020</t>
        </is>
      </c>
      <c r="G5551" s="40" t="n">
        <v>1650</v>
      </c>
    </row>
    <row r="5552" ht="12" customHeight="1">
      <c r="A5552" s="30" t="inlineStr">
        <is>
          <t>ITG</t>
        </is>
      </c>
      <c r="B5552" s="30" t="inlineStr">
        <is>
          <t>Itaguai</t>
        </is>
      </c>
      <c r="C5552" s="30" t="n">
        <v>78919655</v>
      </c>
      <c r="D5552" s="30">
        <f>"10925867000101"</f>
        <v/>
      </c>
      <c r="E5552" s="30" t="inlineStr">
        <is>
          <t>EXPRESSO FENIX TRANSPORTES LTDA</t>
        </is>
      </c>
      <c r="F5552" s="30" t="inlineStr">
        <is>
          <t>2021</t>
        </is>
      </c>
      <c r="G5552" s="40" t="n">
        <v>0</v>
      </c>
    </row>
    <row r="5553" ht="12" customHeight="1">
      <c r="A5553" s="30" t="inlineStr">
        <is>
          <t>ITG</t>
        </is>
      </c>
      <c r="B5553" s="30" t="inlineStr">
        <is>
          <t>Itaguai</t>
        </is>
      </c>
      <c r="C5553" s="30" t="n">
        <v>78919655</v>
      </c>
      <c r="D5553" s="30">
        <f>"10925867000101"</f>
        <v/>
      </c>
      <c r="E5553" s="30" t="inlineStr">
        <is>
          <t>EXPRESSO FENIX TRANSPORTES LTDA</t>
        </is>
      </c>
      <c r="F5553" s="30" t="inlineStr">
        <is>
          <t>2022</t>
        </is>
      </c>
      <c r="G5553" s="40" t="n">
        <v>0</v>
      </c>
    </row>
    <row r="5554" ht="12" customHeight="1">
      <c r="A5554" s="30" t="inlineStr">
        <is>
          <t>ITG</t>
        </is>
      </c>
      <c r="B5554" s="30" t="inlineStr">
        <is>
          <t>Itaguai</t>
        </is>
      </c>
      <c r="C5554" s="30" t="n">
        <v>78926279</v>
      </c>
      <c r="D5554" s="30">
        <f>"21312434000440"</f>
        <v/>
      </c>
      <c r="E5554" s="30" t="inlineStr">
        <is>
          <t>METALURGICA LORENA LTDA</t>
        </is>
      </c>
      <c r="F5554" s="30" t="inlineStr">
        <is>
          <t>2020</t>
        </is>
      </c>
      <c r="G5554" s="40" t="n">
        <v>0</v>
      </c>
    </row>
    <row r="5555" ht="12" customHeight="1">
      <c r="A5555" s="30" t="inlineStr">
        <is>
          <t>ITG</t>
        </is>
      </c>
      <c r="B5555" s="30" t="inlineStr">
        <is>
          <t>Itaguai</t>
        </is>
      </c>
      <c r="C5555" s="30" t="n">
        <v>78926279</v>
      </c>
      <c r="D5555" s="30">
        <f>"21312434000440"</f>
        <v/>
      </c>
      <c r="E5555" s="30" t="inlineStr">
        <is>
          <t>METALURGICA LORENA LTDA</t>
        </is>
      </c>
      <c r="F5555" s="30" t="inlineStr">
        <is>
          <t>2021</t>
        </is>
      </c>
      <c r="G5555" s="40" t="n">
        <v>0</v>
      </c>
    </row>
    <row r="5556" ht="12" customHeight="1">
      <c r="A5556" s="30" t="inlineStr">
        <is>
          <t>ITG</t>
        </is>
      </c>
      <c r="B5556" s="30" t="inlineStr">
        <is>
          <t>Itaguai</t>
        </is>
      </c>
      <c r="C5556" s="30" t="n">
        <v>78926279</v>
      </c>
      <c r="D5556" s="30">
        <f>"21312434000440"</f>
        <v/>
      </c>
      <c r="E5556" s="30" t="inlineStr">
        <is>
          <t>METALURGICA LORENA LTDA</t>
        </is>
      </c>
      <c r="F5556" s="30" t="inlineStr">
        <is>
          <t>2022</t>
        </is>
      </c>
      <c r="G5556" s="40" t="n">
        <v>179865.6</v>
      </c>
    </row>
    <row r="5557" ht="12" customHeight="1">
      <c r="A5557" s="30" t="inlineStr">
        <is>
          <t>ITG</t>
        </is>
      </c>
      <c r="B5557" s="30" t="inlineStr">
        <is>
          <t>Itaguai</t>
        </is>
      </c>
      <c r="C5557" s="30" t="n">
        <v>78926279</v>
      </c>
      <c r="D5557" s="30">
        <f>"21312434000440"</f>
        <v/>
      </c>
      <c r="E5557" s="30" t="inlineStr">
        <is>
          <t>METALURGICA LORENA LTDA</t>
        </is>
      </c>
      <c r="F5557" s="30" t="inlineStr">
        <is>
          <t>2023</t>
        </is>
      </c>
      <c r="G5557" s="40" t="n">
        <v>1669972.37</v>
      </c>
    </row>
    <row r="5558" ht="12" customHeight="1">
      <c r="A5558" s="30" t="inlineStr">
        <is>
          <t>ITG</t>
        </is>
      </c>
      <c r="B5558" s="30" t="inlineStr">
        <is>
          <t>Itaguai</t>
        </is>
      </c>
      <c r="C5558" s="30" t="n">
        <v>78943742</v>
      </c>
      <c r="D5558" s="30">
        <f>"79942140002697"</f>
        <v/>
      </c>
      <c r="E5558" s="30" t="inlineStr">
        <is>
          <t>TRANSMAGNA TRANSPORTES EIRELI</t>
        </is>
      </c>
      <c r="F5558" s="30" t="inlineStr">
        <is>
          <t>2017</t>
        </is>
      </c>
      <c r="G5558" s="40" t="n">
        <v>465.44</v>
      </c>
    </row>
    <row r="5559" ht="12" customHeight="1">
      <c r="A5559" s="30" t="inlineStr">
        <is>
          <t>ITG</t>
        </is>
      </c>
      <c r="B5559" s="30" t="inlineStr">
        <is>
          <t>Itaguai</t>
        </is>
      </c>
      <c r="C5559" s="30" t="n">
        <v>78943742</v>
      </c>
      <c r="D5559" s="30">
        <f>"79942140002697"</f>
        <v/>
      </c>
      <c r="E5559" s="30" t="inlineStr">
        <is>
          <t>TRANSMAGNA TRANSPORTES EIRELI</t>
        </is>
      </c>
      <c r="F5559" s="30" t="inlineStr">
        <is>
          <t>2018</t>
        </is>
      </c>
      <c r="G5559" s="40" t="n">
        <v>0</v>
      </c>
    </row>
    <row r="5560" ht="12" customHeight="1">
      <c r="A5560" s="30" t="inlineStr">
        <is>
          <t>ITG</t>
        </is>
      </c>
      <c r="B5560" s="30" t="inlineStr">
        <is>
          <t>Itaguai</t>
        </is>
      </c>
      <c r="C5560" s="30" t="n">
        <v>78943742</v>
      </c>
      <c r="D5560" s="30">
        <f>"79942140002697"</f>
        <v/>
      </c>
      <c r="E5560" s="30" t="inlineStr">
        <is>
          <t>TRANSMAGNA TRANSPORTES EIRELI</t>
        </is>
      </c>
      <c r="F5560" s="30" t="inlineStr">
        <is>
          <t>2019</t>
        </is>
      </c>
      <c r="G5560" s="40" t="n">
        <v>492.9</v>
      </c>
    </row>
    <row r="5561" ht="12" customHeight="1">
      <c r="A5561" s="30" t="inlineStr">
        <is>
          <t>ITG</t>
        </is>
      </c>
      <c r="B5561" s="30" t="inlineStr">
        <is>
          <t>Itaguai</t>
        </is>
      </c>
      <c r="C5561" s="30" t="n">
        <v>78943742</v>
      </c>
      <c r="D5561" s="30">
        <f>"79942140002697"</f>
        <v/>
      </c>
      <c r="E5561" s="30" t="inlineStr">
        <is>
          <t>TRANSMAGNA TRANSPORTES EIRELI</t>
        </is>
      </c>
      <c r="F5561" s="30" t="inlineStr">
        <is>
          <t>2020</t>
        </is>
      </c>
      <c r="G5561" s="40" t="n">
        <v>269.22</v>
      </c>
    </row>
    <row r="5562" ht="12" customHeight="1">
      <c r="A5562" s="30" t="inlineStr">
        <is>
          <t>ITG</t>
        </is>
      </c>
      <c r="B5562" s="30" t="inlineStr">
        <is>
          <t>Itaguai</t>
        </is>
      </c>
      <c r="C5562" s="30" t="n">
        <v>78943742</v>
      </c>
      <c r="D5562" s="30">
        <f>"79942140002697"</f>
        <v/>
      </c>
      <c r="E5562" s="30" t="inlineStr">
        <is>
          <t>TRANSMAGNA TRANSPORTES EIRELI</t>
        </is>
      </c>
      <c r="F5562" s="30" t="inlineStr">
        <is>
          <t>2021</t>
        </is>
      </c>
      <c r="G5562" s="40" t="n">
        <v>213.93</v>
      </c>
    </row>
    <row r="5563" ht="12" customHeight="1">
      <c r="A5563" s="30" t="inlineStr">
        <is>
          <t>ITG</t>
        </is>
      </c>
      <c r="B5563" s="30" t="inlineStr">
        <is>
          <t>Itaguai</t>
        </is>
      </c>
      <c r="C5563" s="30" t="n">
        <v>78943742</v>
      </c>
      <c r="D5563" s="30">
        <f>"79942140002697"</f>
        <v/>
      </c>
      <c r="E5563" s="30" t="inlineStr">
        <is>
          <t>TRANSMAGNA TRANSPORTES EIRELI</t>
        </is>
      </c>
      <c r="F5563" s="30" t="inlineStr">
        <is>
          <t>2022</t>
        </is>
      </c>
      <c r="G5563" s="40" t="n">
        <v>0</v>
      </c>
    </row>
    <row r="5564" ht="12" customHeight="1">
      <c r="A5564" s="30" t="inlineStr">
        <is>
          <t>ITG</t>
        </is>
      </c>
      <c r="B5564" s="30" t="inlineStr">
        <is>
          <t>Itaguai</t>
        </is>
      </c>
      <c r="C5564" s="30" t="n">
        <v>78943742</v>
      </c>
      <c r="D5564" s="30">
        <f>"79942140002697"</f>
        <v/>
      </c>
      <c r="E5564" s="30" t="inlineStr">
        <is>
          <t>TRANSMAGNA TRANSPORTES EIRELI</t>
        </is>
      </c>
      <c r="F5564" s="30" t="inlineStr">
        <is>
          <t>2023</t>
        </is>
      </c>
      <c r="G5564" s="40" t="n">
        <v>0</v>
      </c>
    </row>
    <row r="5565" ht="12" customHeight="1">
      <c r="A5565" s="30" t="inlineStr">
        <is>
          <t>ITG</t>
        </is>
      </c>
      <c r="B5565" s="30" t="inlineStr">
        <is>
          <t>Itaguai</t>
        </is>
      </c>
      <c r="C5565" s="30" t="n">
        <v>78956070</v>
      </c>
      <c r="D5565" s="30">
        <f>"10992167000210"</f>
        <v/>
      </c>
      <c r="E5565" s="30" t="inlineStr">
        <is>
          <t>METAR LOGISTICA LTDA</t>
        </is>
      </c>
      <c r="F5565" s="30" t="inlineStr">
        <is>
          <t>2018</t>
        </is>
      </c>
      <c r="G5565" s="40" t="n">
        <v>0</v>
      </c>
    </row>
    <row r="5566" ht="12" customHeight="1">
      <c r="A5566" s="30" t="inlineStr">
        <is>
          <t>ITG</t>
        </is>
      </c>
      <c r="B5566" s="30" t="inlineStr">
        <is>
          <t>Itaguai</t>
        </is>
      </c>
      <c r="C5566" s="30" t="n">
        <v>78956070</v>
      </c>
      <c r="D5566" s="30">
        <f>"10992167000210"</f>
        <v/>
      </c>
      <c r="E5566" s="30" t="inlineStr">
        <is>
          <t>METAR LOGISTICA LTDA</t>
        </is>
      </c>
      <c r="F5566" s="30" t="inlineStr">
        <is>
          <t>2019</t>
        </is>
      </c>
      <c r="G5566" s="40" t="n">
        <v>0</v>
      </c>
    </row>
    <row r="5567" ht="12" customHeight="1">
      <c r="A5567" s="30" t="inlineStr">
        <is>
          <t>ITG</t>
        </is>
      </c>
      <c r="B5567" s="30" t="inlineStr">
        <is>
          <t>Itaguai</t>
        </is>
      </c>
      <c r="C5567" s="30" t="n">
        <v>78956070</v>
      </c>
      <c r="D5567" s="30">
        <f>"10992167000210"</f>
        <v/>
      </c>
      <c r="E5567" s="30" t="inlineStr">
        <is>
          <t>METAR LOGISTICA LTDA</t>
        </is>
      </c>
      <c r="F5567" s="30" t="inlineStr">
        <is>
          <t>2020</t>
        </is>
      </c>
      <c r="G5567" s="40" t="n">
        <v>473.7</v>
      </c>
    </row>
    <row r="5568" ht="12" customHeight="1">
      <c r="A5568" s="30" t="inlineStr">
        <is>
          <t>ITG</t>
        </is>
      </c>
      <c r="B5568" s="30" t="inlineStr">
        <is>
          <t>Itaguai</t>
        </is>
      </c>
      <c r="C5568" s="30" t="n">
        <v>78956070</v>
      </c>
      <c r="D5568" s="30">
        <f>"10992167000210"</f>
        <v/>
      </c>
      <c r="E5568" s="30" t="inlineStr">
        <is>
          <t>METAR LOGISTICA LTDA</t>
        </is>
      </c>
      <c r="F5568" s="30" t="inlineStr">
        <is>
          <t>2021</t>
        </is>
      </c>
      <c r="G5568" s="40" t="n">
        <v>960.24</v>
      </c>
    </row>
    <row r="5569" ht="12" customHeight="1">
      <c r="A5569" s="30" t="inlineStr">
        <is>
          <t>ITG</t>
        </is>
      </c>
      <c r="B5569" s="30" t="inlineStr">
        <is>
          <t>Itaguai</t>
        </is>
      </c>
      <c r="C5569" s="30" t="n">
        <v>78956070</v>
      </c>
      <c r="D5569" s="30">
        <f>"10992167000210"</f>
        <v/>
      </c>
      <c r="E5569" s="30" t="inlineStr">
        <is>
          <t>METAR LOGISTICA LTDA</t>
        </is>
      </c>
      <c r="F5569" s="30" t="inlineStr">
        <is>
          <t>2022</t>
        </is>
      </c>
      <c r="G5569" s="40" t="n">
        <v>871.97</v>
      </c>
    </row>
    <row r="5570" ht="12" customHeight="1">
      <c r="A5570" s="30" t="inlineStr">
        <is>
          <t>ITG</t>
        </is>
      </c>
      <c r="B5570" s="30" t="inlineStr">
        <is>
          <t>Itaguai</t>
        </is>
      </c>
      <c r="C5570" s="30" t="n">
        <v>78956070</v>
      </c>
      <c r="D5570" s="30">
        <f>"10992167000210"</f>
        <v/>
      </c>
      <c r="E5570" s="30" t="inlineStr">
        <is>
          <t>METAR LOGISTICA LTDA</t>
        </is>
      </c>
      <c r="F5570" s="30" t="inlineStr">
        <is>
          <t>2023</t>
        </is>
      </c>
      <c r="G5570" s="40" t="n">
        <v>0</v>
      </c>
    </row>
    <row r="5571" ht="12" customHeight="1">
      <c r="A5571" s="30" t="inlineStr">
        <is>
          <t>ITG</t>
        </is>
      </c>
      <c r="B5571" s="30" t="inlineStr">
        <is>
          <t>Itaguai</t>
        </is>
      </c>
      <c r="C5571" s="30" t="n">
        <v>78961104</v>
      </c>
      <c r="D5571" s="30">
        <f>"11426289000393"</f>
        <v/>
      </c>
      <c r="E5571" s="30" t="inlineStr">
        <is>
          <t>ITVA RIO MOTOS LTDA</t>
        </is>
      </c>
      <c r="F5571" s="30" t="inlineStr">
        <is>
          <t>2017</t>
        </is>
      </c>
      <c r="G5571" s="40" t="n">
        <v>0</v>
      </c>
    </row>
    <row r="5572" ht="12" customHeight="1">
      <c r="A5572" s="30" t="inlineStr">
        <is>
          <t>ITG</t>
        </is>
      </c>
      <c r="B5572" s="30" t="inlineStr">
        <is>
          <t>Itaguai</t>
        </is>
      </c>
      <c r="C5572" s="30" t="n">
        <v>78961104</v>
      </c>
      <c r="D5572" s="30">
        <f>"11426289000393"</f>
        <v/>
      </c>
      <c r="E5572" s="30" t="inlineStr">
        <is>
          <t>ITVA RIO MOTOS LTDA</t>
        </is>
      </c>
      <c r="F5572" s="30" t="inlineStr">
        <is>
          <t>2018</t>
        </is>
      </c>
      <c r="G5572" s="40" t="n">
        <v>0</v>
      </c>
    </row>
    <row r="5573" ht="12" customHeight="1">
      <c r="A5573" s="30" t="inlineStr">
        <is>
          <t>ITG</t>
        </is>
      </c>
      <c r="B5573" s="30" t="inlineStr">
        <is>
          <t>Itaguai</t>
        </is>
      </c>
      <c r="C5573" s="30" t="n">
        <v>78961104</v>
      </c>
      <c r="D5573" s="30">
        <f>"11426289000393"</f>
        <v/>
      </c>
      <c r="E5573" s="30" t="inlineStr">
        <is>
          <t>ITVA RIO MOTOS LTDA</t>
        </is>
      </c>
      <c r="F5573" s="30" t="inlineStr">
        <is>
          <t>2019</t>
        </is>
      </c>
      <c r="G5573" s="40" t="n">
        <v>0</v>
      </c>
    </row>
    <row r="5574" ht="12" customHeight="1">
      <c r="A5574" s="30" t="inlineStr">
        <is>
          <t>ITG</t>
        </is>
      </c>
      <c r="B5574" s="30" t="inlineStr">
        <is>
          <t>Itaguai</t>
        </is>
      </c>
      <c r="C5574" s="30" t="n">
        <v>78964332</v>
      </c>
      <c r="D5574" s="30">
        <f>"11304945000202"</f>
        <v/>
      </c>
      <c r="E5574" s="30" t="inlineStr">
        <is>
          <t>MERCADO SAO FERNANDO 10 LTDA ME</t>
        </is>
      </c>
      <c r="F5574" s="30" t="inlineStr">
        <is>
          <t>2017</t>
        </is>
      </c>
      <c r="G5574" s="40" t="n">
        <v>1470258.32</v>
      </c>
    </row>
    <row r="5575" ht="12" customHeight="1">
      <c r="A5575" s="30" t="inlineStr">
        <is>
          <t>ITG</t>
        </is>
      </c>
      <c r="B5575" s="30" t="inlineStr">
        <is>
          <t>Itaguai</t>
        </is>
      </c>
      <c r="C5575" s="30" t="n">
        <v>78964332</v>
      </c>
      <c r="D5575" s="30">
        <f>"11304945000202"</f>
        <v/>
      </c>
      <c r="E5575" s="30" t="inlineStr">
        <is>
          <t>MERCADO SAO FERNANDO 10 LTDA ME</t>
        </is>
      </c>
      <c r="F5575" s="30" t="inlineStr">
        <is>
          <t>2018</t>
        </is>
      </c>
      <c r="G5575" s="40" t="n">
        <v>86834.8</v>
      </c>
    </row>
    <row r="5576" ht="12" customHeight="1">
      <c r="A5576" s="30" t="inlineStr">
        <is>
          <t>ITG</t>
        </is>
      </c>
      <c r="B5576" s="30" t="inlineStr">
        <is>
          <t>Itaguai</t>
        </is>
      </c>
      <c r="C5576" s="30" t="n">
        <v>78964332</v>
      </c>
      <c r="D5576" s="30">
        <f>"11304945000202"</f>
        <v/>
      </c>
      <c r="E5576" s="30" t="inlineStr">
        <is>
          <t>MERCADO SAO FERNANDO 10 LTDA ME</t>
        </is>
      </c>
      <c r="F5576" s="30" t="inlineStr">
        <is>
          <t>2019</t>
        </is>
      </c>
      <c r="G5576" s="40" t="n">
        <v>2889148.39</v>
      </c>
    </row>
    <row r="5577" ht="12" customHeight="1">
      <c r="A5577" s="30" t="inlineStr">
        <is>
          <t>ITG</t>
        </is>
      </c>
      <c r="B5577" s="30" t="inlineStr">
        <is>
          <t>Itaguai</t>
        </is>
      </c>
      <c r="C5577" s="30" t="n">
        <v>78964332</v>
      </c>
      <c r="D5577" s="30">
        <f>"11304945000202"</f>
        <v/>
      </c>
      <c r="E5577" s="30" t="inlineStr">
        <is>
          <t>MERCADO SAO FERNANDO 10 LTDA ME</t>
        </is>
      </c>
      <c r="F5577" s="30" t="inlineStr">
        <is>
          <t>2020</t>
        </is>
      </c>
      <c r="G5577" s="40" t="n">
        <v>7299490.19</v>
      </c>
    </row>
    <row r="5578" ht="12" customHeight="1">
      <c r="A5578" s="30" t="inlineStr">
        <is>
          <t>ITG</t>
        </is>
      </c>
      <c r="B5578" s="30" t="inlineStr">
        <is>
          <t>Itaguai</t>
        </is>
      </c>
      <c r="C5578" s="30" t="n">
        <v>78964332</v>
      </c>
      <c r="D5578" s="30">
        <f>"11304945000202"</f>
        <v/>
      </c>
      <c r="E5578" s="30" t="inlineStr">
        <is>
          <t>MERCADO SAO FERNANDO 10 LTDA ME</t>
        </is>
      </c>
      <c r="F5578" s="30" t="inlineStr">
        <is>
          <t>2021</t>
        </is>
      </c>
      <c r="G5578" s="40" t="n">
        <v>9357805.199999999</v>
      </c>
    </row>
    <row r="5579" ht="12" customHeight="1">
      <c r="A5579" s="30" t="inlineStr">
        <is>
          <t>ITG</t>
        </is>
      </c>
      <c r="B5579" s="30" t="inlineStr">
        <is>
          <t>Itaguai</t>
        </is>
      </c>
      <c r="C5579" s="30" t="n">
        <v>78964332</v>
      </c>
      <c r="D5579" s="30">
        <f>"11304945000202"</f>
        <v/>
      </c>
      <c r="E5579" s="30" t="inlineStr">
        <is>
          <t>MERCADO SAO FERNANDO 10 LTDA ME</t>
        </is>
      </c>
      <c r="F5579" s="30" t="inlineStr">
        <is>
          <t>2022</t>
        </is>
      </c>
      <c r="G5579" s="40" t="n">
        <v>10334895.18</v>
      </c>
    </row>
    <row r="5580" ht="12" customHeight="1">
      <c r="A5580" s="30" t="inlineStr">
        <is>
          <t>ITG</t>
        </is>
      </c>
      <c r="B5580" s="30" t="inlineStr">
        <is>
          <t>Itaguai</t>
        </is>
      </c>
      <c r="C5580" s="30" t="n">
        <v>78964332</v>
      </c>
      <c r="D5580" s="30">
        <f>"11304945000202"</f>
        <v/>
      </c>
      <c r="E5580" s="30" t="inlineStr">
        <is>
          <t>MERCADO SAO FERNANDO 10 LTDA ME</t>
        </is>
      </c>
      <c r="F5580" s="30" t="inlineStr">
        <is>
          <t>2023</t>
        </is>
      </c>
      <c r="G5580" s="40" t="n">
        <v>11031010.1</v>
      </c>
    </row>
    <row r="5581" ht="12" customHeight="1">
      <c r="A5581" s="30" t="inlineStr">
        <is>
          <t>ITG</t>
        </is>
      </c>
      <c r="B5581" s="30" t="inlineStr">
        <is>
          <t>Itaguai</t>
        </is>
      </c>
      <c r="C5581" s="30" t="n">
        <v>78968362</v>
      </c>
      <c r="D5581" s="30">
        <f>"11503663000145"</f>
        <v/>
      </c>
      <c r="E5581" s="30" t="inlineStr">
        <is>
          <t>PORTO VEICULOS DE ITAGUAI - EIRELI</t>
        </is>
      </c>
      <c r="F5581" s="30" t="inlineStr">
        <is>
          <t>2017</t>
        </is>
      </c>
      <c r="G5581" s="40" t="n">
        <v>0</v>
      </c>
    </row>
    <row r="5582" ht="12" customHeight="1">
      <c r="A5582" s="30" t="inlineStr">
        <is>
          <t>ITG</t>
        </is>
      </c>
      <c r="B5582" s="30" t="inlineStr">
        <is>
          <t>Itaguai</t>
        </is>
      </c>
      <c r="C5582" s="30" t="n">
        <v>78968362</v>
      </c>
      <c r="D5582" s="30">
        <f>"11503663000145"</f>
        <v/>
      </c>
      <c r="E5582" s="30" t="inlineStr">
        <is>
          <t>PORTO VEICULOS DE ITAGUAI - EIRELI</t>
        </is>
      </c>
      <c r="F5582" s="30" t="inlineStr">
        <is>
          <t>2018</t>
        </is>
      </c>
      <c r="G5582" s="40" t="n">
        <v>0</v>
      </c>
    </row>
    <row r="5583" ht="12" customHeight="1">
      <c r="A5583" s="30" t="inlineStr">
        <is>
          <t>ITG</t>
        </is>
      </c>
      <c r="B5583" s="30" t="inlineStr">
        <is>
          <t>Itaguai</t>
        </is>
      </c>
      <c r="C5583" s="30" t="n">
        <v>78968362</v>
      </c>
      <c r="D5583" s="30">
        <f>"11503663000145"</f>
        <v/>
      </c>
      <c r="E5583" s="30" t="inlineStr">
        <is>
          <t>PORTO VEICULOS DE ITAGUAI - EIRELI</t>
        </is>
      </c>
      <c r="F5583" s="30" t="inlineStr">
        <is>
          <t>2019</t>
        </is>
      </c>
      <c r="G5583" s="40" t="n">
        <v>0</v>
      </c>
    </row>
    <row r="5584" ht="12" customHeight="1">
      <c r="A5584" s="30" t="inlineStr">
        <is>
          <t>ITG</t>
        </is>
      </c>
      <c r="B5584" s="30" t="inlineStr">
        <is>
          <t>Itaguai</t>
        </is>
      </c>
      <c r="C5584" s="30" t="n">
        <v>78968362</v>
      </c>
      <c r="D5584" s="30">
        <f>"11503663000145"</f>
        <v/>
      </c>
      <c r="E5584" s="30" t="inlineStr">
        <is>
          <t>PORTO VEICULOS DE ITAGUAI - EIRELI</t>
        </is>
      </c>
      <c r="F5584" s="30" t="inlineStr">
        <is>
          <t>2020</t>
        </is>
      </c>
      <c r="G5584" s="40" t="n">
        <v>0</v>
      </c>
    </row>
    <row r="5585" ht="12" customHeight="1">
      <c r="A5585" s="30" t="inlineStr">
        <is>
          <t>ITG</t>
        </is>
      </c>
      <c r="B5585" s="30" t="inlineStr">
        <is>
          <t>Itaguai</t>
        </is>
      </c>
      <c r="C5585" s="30" t="n">
        <v>78968362</v>
      </c>
      <c r="D5585" s="30">
        <f>"11503663000145"</f>
        <v/>
      </c>
      <c r="E5585" s="30" t="inlineStr">
        <is>
          <t>PORTO VEICULOS DE ITAGUAI - EIRELI</t>
        </is>
      </c>
      <c r="F5585" s="30" t="inlineStr">
        <is>
          <t>2021</t>
        </is>
      </c>
      <c r="G5585" s="40" t="n">
        <v>0</v>
      </c>
    </row>
    <row r="5586" ht="12" customHeight="1">
      <c r="A5586" s="30" t="inlineStr">
        <is>
          <t>ITG</t>
        </is>
      </c>
      <c r="B5586" s="30" t="inlineStr">
        <is>
          <t>Itaguai</t>
        </is>
      </c>
      <c r="C5586" s="30" t="n">
        <v>78968362</v>
      </c>
      <c r="D5586" s="30">
        <f>"11503663000145"</f>
        <v/>
      </c>
      <c r="E5586" s="30" t="inlineStr">
        <is>
          <t>PORTO VEICULOS DE ITAGUAI - EIRELI</t>
        </is>
      </c>
      <c r="F5586" s="30" t="inlineStr">
        <is>
          <t>2022</t>
        </is>
      </c>
      <c r="G5586" s="40" t="n">
        <v>0</v>
      </c>
    </row>
    <row r="5587" ht="12" customHeight="1">
      <c r="A5587" s="30" t="inlineStr">
        <is>
          <t>ITG</t>
        </is>
      </c>
      <c r="B5587" s="30" t="inlineStr">
        <is>
          <t>Itaguai</t>
        </is>
      </c>
      <c r="C5587" s="30" t="n">
        <v>78968362</v>
      </c>
      <c r="D5587" s="30">
        <f>"11503663000145"</f>
        <v/>
      </c>
      <c r="E5587" s="30" t="inlineStr">
        <is>
          <t>PORTO VEICULOS DE ITAGUAI - EIRELI</t>
        </is>
      </c>
      <c r="F5587" s="30" t="inlineStr">
        <is>
          <t>2023</t>
        </is>
      </c>
      <c r="G5587" s="40" t="n">
        <v>0</v>
      </c>
    </row>
    <row r="5588" ht="12" customHeight="1">
      <c r="A5588" s="30" t="inlineStr">
        <is>
          <t>ITG</t>
        </is>
      </c>
      <c r="B5588" s="30" t="inlineStr">
        <is>
          <t>Itaguai</t>
        </is>
      </c>
      <c r="C5588" s="30" t="n">
        <v>78976217</v>
      </c>
      <c r="D5588" s="30">
        <f>"11505209000123"</f>
        <v/>
      </c>
      <c r="E5588" s="30" t="inlineStr">
        <is>
          <t>M L J TRIGO 117 COMERCIO DE ALIMENTOS LTDA ME</t>
        </is>
      </c>
      <c r="F5588" s="30" t="inlineStr">
        <is>
          <t>2018</t>
        </is>
      </c>
      <c r="G5588" s="40" t="n">
        <v>0</v>
      </c>
    </row>
    <row r="5589" ht="12" customHeight="1">
      <c r="A5589" s="30" t="inlineStr">
        <is>
          <t>ITG</t>
        </is>
      </c>
      <c r="B5589" s="30" t="inlineStr">
        <is>
          <t>Itaguai</t>
        </is>
      </c>
      <c r="C5589" s="30" t="n">
        <v>78976217</v>
      </c>
      <c r="D5589" s="30">
        <f>"11505209000123"</f>
        <v/>
      </c>
      <c r="E5589" s="30" t="inlineStr">
        <is>
          <t>M L J TRIGO 117 COMERCIO DE ALIMENTOS LTDA ME</t>
        </is>
      </c>
      <c r="F5589" s="30" t="inlineStr">
        <is>
          <t>2019</t>
        </is>
      </c>
      <c r="G5589" s="40" t="n">
        <v>0</v>
      </c>
    </row>
    <row r="5590" ht="12" customHeight="1">
      <c r="A5590" s="30" t="inlineStr">
        <is>
          <t>ITG</t>
        </is>
      </c>
      <c r="B5590" s="30" t="inlineStr">
        <is>
          <t>Itaguai</t>
        </is>
      </c>
      <c r="C5590" s="30" t="n">
        <v>78976217</v>
      </c>
      <c r="D5590" s="30">
        <f>"11505209000123"</f>
        <v/>
      </c>
      <c r="E5590" s="30" t="inlineStr">
        <is>
          <t>M L J TRIGO 117 COMERCIO DE ALIMENTOS LTDA ME</t>
        </is>
      </c>
      <c r="F5590" s="30" t="inlineStr">
        <is>
          <t>2020</t>
        </is>
      </c>
      <c r="G5590" s="40" t="n">
        <v>0</v>
      </c>
    </row>
    <row r="5591" ht="12" customHeight="1">
      <c r="A5591" s="30" t="inlineStr">
        <is>
          <t>ITG</t>
        </is>
      </c>
      <c r="B5591" s="30" t="inlineStr">
        <is>
          <t>Itaguai</t>
        </is>
      </c>
      <c r="C5591" s="30" t="n">
        <v>78976217</v>
      </c>
      <c r="D5591" s="30">
        <f>"11505209000123"</f>
        <v/>
      </c>
      <c r="E5591" s="30" t="inlineStr">
        <is>
          <t>M L J TRIGO 117 COMERCIO DE ALIMENTOS LTDA ME</t>
        </is>
      </c>
      <c r="F5591" s="30" t="inlineStr">
        <is>
          <t>2021</t>
        </is>
      </c>
      <c r="G5591" s="40" t="n">
        <v>0</v>
      </c>
    </row>
    <row r="5592" ht="12" customHeight="1">
      <c r="A5592" s="30" t="inlineStr">
        <is>
          <t>ITG</t>
        </is>
      </c>
      <c r="B5592" s="30" t="inlineStr">
        <is>
          <t>Itaguai</t>
        </is>
      </c>
      <c r="C5592" s="30" t="n">
        <v>78976217</v>
      </c>
      <c r="D5592" s="30">
        <f>"11505209000123"</f>
        <v/>
      </c>
      <c r="E5592" s="30" t="inlineStr">
        <is>
          <t>M L J TRIGO 117 COMERCIO DE ALIMENTOS LTDA ME</t>
        </is>
      </c>
      <c r="F5592" s="30" t="inlineStr">
        <is>
          <t>2022</t>
        </is>
      </c>
      <c r="G5592" s="40" t="n">
        <v>0</v>
      </c>
    </row>
    <row r="5593" ht="12" customHeight="1">
      <c r="A5593" s="30" t="inlineStr">
        <is>
          <t>ITG</t>
        </is>
      </c>
      <c r="B5593" s="30" t="inlineStr">
        <is>
          <t>Itaguai</t>
        </is>
      </c>
      <c r="C5593" s="30" t="n">
        <v>78976217</v>
      </c>
      <c r="D5593" s="30">
        <f>"11505209000123"</f>
        <v/>
      </c>
      <c r="E5593" s="30" t="inlineStr">
        <is>
          <t>M L J TRIGO 117 COMERCIO DE ALIMENTOS LTDA ME</t>
        </is>
      </c>
      <c r="F5593" s="30" t="inlineStr">
        <is>
          <t>2023</t>
        </is>
      </c>
      <c r="G5593" s="40" t="n">
        <v>0</v>
      </c>
    </row>
    <row r="5594" ht="12" customHeight="1">
      <c r="A5594" s="30" t="inlineStr">
        <is>
          <t>ITG</t>
        </is>
      </c>
      <c r="B5594" s="30" t="inlineStr">
        <is>
          <t>Itaguai</t>
        </is>
      </c>
      <c r="C5594" s="30" t="n">
        <v>78978902</v>
      </c>
      <c r="D5594" s="30">
        <f>"02448002000254"</f>
        <v/>
      </c>
      <c r="E5594" s="30" t="inlineStr">
        <is>
          <t>GP TRANSPORTES E SERVIÇOS EIRELI</t>
        </is>
      </c>
      <c r="F5594" s="30" t="inlineStr">
        <is>
          <t>2017</t>
        </is>
      </c>
      <c r="G5594" s="40" t="n">
        <v>0</v>
      </c>
    </row>
    <row r="5595" ht="12" customHeight="1">
      <c r="A5595" s="30" t="inlineStr">
        <is>
          <t>ITG</t>
        </is>
      </c>
      <c r="B5595" s="30" t="inlineStr">
        <is>
          <t>Itaguai</t>
        </is>
      </c>
      <c r="C5595" s="30" t="n">
        <v>78978902</v>
      </c>
      <c r="D5595" s="30">
        <f>"02448002000254"</f>
        <v/>
      </c>
      <c r="E5595" s="30" t="inlineStr">
        <is>
          <t>GP TRANSPORTES E SERVIÇOS EIRELI</t>
        </is>
      </c>
      <c r="F5595" s="30" t="inlineStr">
        <is>
          <t>2018</t>
        </is>
      </c>
      <c r="G5595" s="40" t="n">
        <v>0</v>
      </c>
    </row>
    <row r="5596" ht="12" customHeight="1">
      <c r="A5596" s="30" t="inlineStr">
        <is>
          <t>ITG</t>
        </is>
      </c>
      <c r="B5596" s="30" t="inlineStr">
        <is>
          <t>Itaguai</t>
        </is>
      </c>
      <c r="C5596" s="30" t="n">
        <v>78978902</v>
      </c>
      <c r="D5596" s="30">
        <f>"02448002000254"</f>
        <v/>
      </c>
      <c r="E5596" s="30" t="inlineStr">
        <is>
          <t>GP TRANSPORTES E SERVIÇOS EIRELI</t>
        </is>
      </c>
      <c r="F5596" s="30" t="inlineStr">
        <is>
          <t>2019</t>
        </is>
      </c>
      <c r="G5596" s="40" t="n">
        <v>195.49</v>
      </c>
    </row>
    <row r="5597" ht="12" customHeight="1">
      <c r="A5597" s="30" t="inlineStr">
        <is>
          <t>ITG</t>
        </is>
      </c>
      <c r="B5597" s="30" t="inlineStr">
        <is>
          <t>Itaguai</t>
        </is>
      </c>
      <c r="C5597" s="30" t="n">
        <v>78978902</v>
      </c>
      <c r="D5597" s="30">
        <f>"02448002000254"</f>
        <v/>
      </c>
      <c r="E5597" s="30" t="inlineStr">
        <is>
          <t>GP TRANSPORTES E SERVIÇOS EIRELI</t>
        </is>
      </c>
      <c r="F5597" s="30" t="inlineStr">
        <is>
          <t>2020</t>
        </is>
      </c>
      <c r="G5597" s="40" t="n">
        <v>0</v>
      </c>
    </row>
    <row r="5598" ht="12" customHeight="1">
      <c r="A5598" s="30" t="inlineStr">
        <is>
          <t>ITG</t>
        </is>
      </c>
      <c r="B5598" s="30" t="inlineStr">
        <is>
          <t>Itaguai</t>
        </is>
      </c>
      <c r="C5598" s="30" t="n">
        <v>78978902</v>
      </c>
      <c r="D5598" s="30">
        <f>"02448002000254"</f>
        <v/>
      </c>
      <c r="E5598" s="30" t="inlineStr">
        <is>
          <t>GP TRANSPORTES E SERVIÇOS EIRELI</t>
        </is>
      </c>
      <c r="F5598" s="30" t="inlineStr">
        <is>
          <t>2021</t>
        </is>
      </c>
      <c r="G5598" s="40" t="n">
        <v>43.97</v>
      </c>
    </row>
    <row r="5599" ht="12" customHeight="1">
      <c r="A5599" s="30" t="inlineStr">
        <is>
          <t>ITG</t>
        </is>
      </c>
      <c r="B5599" s="30" t="inlineStr">
        <is>
          <t>Itaguai</t>
        </is>
      </c>
      <c r="C5599" s="30" t="n">
        <v>78978902</v>
      </c>
      <c r="D5599" s="30">
        <f>"02448002000254"</f>
        <v/>
      </c>
      <c r="E5599" s="30" t="inlineStr">
        <is>
          <t>GP TRANSPORTES E SERVIÇOS EIRELI</t>
        </is>
      </c>
      <c r="F5599" s="30" t="inlineStr">
        <is>
          <t>2022</t>
        </is>
      </c>
      <c r="G5599" s="40" t="n">
        <v>0</v>
      </c>
    </row>
    <row r="5600" ht="12" customHeight="1">
      <c r="A5600" s="30" t="inlineStr">
        <is>
          <t>ITG</t>
        </is>
      </c>
      <c r="B5600" s="30" t="inlineStr">
        <is>
          <t>Itaguai</t>
        </is>
      </c>
      <c r="C5600" s="30" t="n">
        <v>78978902</v>
      </c>
      <c r="D5600" s="30">
        <f>"02448002000254"</f>
        <v/>
      </c>
      <c r="E5600" s="30" t="inlineStr">
        <is>
          <t>GP TRANSPORTES E SERVIÇOS EIRELI</t>
        </is>
      </c>
      <c r="F5600" s="30" t="inlineStr">
        <is>
          <t>2023</t>
        </is>
      </c>
      <c r="G5600" s="40" t="n">
        <v>0</v>
      </c>
    </row>
    <row r="5601" ht="12" customHeight="1">
      <c r="A5601" s="30" t="inlineStr">
        <is>
          <t>ITG</t>
        </is>
      </c>
      <c r="B5601" s="30" t="inlineStr">
        <is>
          <t>Itaguai</t>
        </is>
      </c>
      <c r="C5601" s="30" t="n">
        <v>78982926</v>
      </c>
      <c r="D5601" s="30">
        <f>"03505701000170"</f>
        <v/>
      </c>
      <c r="E5601" s="30" t="inlineStr">
        <is>
          <t>J I DISTRIBUIDORA DE BEBIDAS E DESCARTAVEIS LTDA ME</t>
        </is>
      </c>
      <c r="F5601" s="30" t="inlineStr">
        <is>
          <t>2017</t>
        </is>
      </c>
      <c r="G5601" s="40" t="n">
        <v>0</v>
      </c>
    </row>
    <row r="5602" ht="12" customHeight="1">
      <c r="A5602" s="30" t="inlineStr">
        <is>
          <t>ITG</t>
        </is>
      </c>
      <c r="B5602" s="30" t="inlineStr">
        <is>
          <t>Itaguai</t>
        </is>
      </c>
      <c r="C5602" s="30" t="n">
        <v>78982926</v>
      </c>
      <c r="D5602" s="30">
        <f>"03505701000170"</f>
        <v/>
      </c>
      <c r="E5602" s="30" t="inlineStr">
        <is>
          <t>J I DISTRIBUIDORA DE BEBIDAS E DESCARTAVEIS LTDA ME</t>
        </is>
      </c>
      <c r="F5602" s="30" t="inlineStr">
        <is>
          <t>2018</t>
        </is>
      </c>
      <c r="G5602" s="40" t="n">
        <v>0</v>
      </c>
    </row>
    <row r="5603" ht="12" customHeight="1">
      <c r="A5603" s="30" t="inlineStr">
        <is>
          <t>ITG</t>
        </is>
      </c>
      <c r="B5603" s="30" t="inlineStr">
        <is>
          <t>Itaguai</t>
        </is>
      </c>
      <c r="C5603" s="30" t="n">
        <v>78982926</v>
      </c>
      <c r="D5603" s="30">
        <f>"03505701000170"</f>
        <v/>
      </c>
      <c r="E5603" s="30" t="inlineStr">
        <is>
          <t>J I DISTRIBUIDORA DE BEBIDAS E DESCARTAVEIS LTDA ME</t>
        </is>
      </c>
      <c r="F5603" s="30" t="inlineStr">
        <is>
          <t>2019</t>
        </is>
      </c>
      <c r="G5603" s="40" t="n">
        <v>0</v>
      </c>
    </row>
    <row r="5604" ht="12" customHeight="1">
      <c r="A5604" s="30" t="inlineStr">
        <is>
          <t>ITG</t>
        </is>
      </c>
      <c r="B5604" s="30" t="inlineStr">
        <is>
          <t>Itaguai</t>
        </is>
      </c>
      <c r="C5604" s="30" t="n">
        <v>78982926</v>
      </c>
      <c r="D5604" s="30">
        <f>"03505701000170"</f>
        <v/>
      </c>
      <c r="E5604" s="30" t="inlineStr">
        <is>
          <t>J I DISTRIBUIDORA DE BEBIDAS E DESCARTAVEIS LTDA ME</t>
        </is>
      </c>
      <c r="F5604" s="30" t="inlineStr">
        <is>
          <t>2020</t>
        </is>
      </c>
      <c r="G5604" s="40" t="n">
        <v>0</v>
      </c>
    </row>
    <row r="5605" ht="12" customHeight="1">
      <c r="A5605" s="30" t="inlineStr">
        <is>
          <t>ITG</t>
        </is>
      </c>
      <c r="B5605" s="30" t="inlineStr">
        <is>
          <t>Itaguai</t>
        </is>
      </c>
      <c r="C5605" s="30" t="n">
        <v>78982926</v>
      </c>
      <c r="D5605" s="30">
        <f>"03505701000170"</f>
        <v/>
      </c>
      <c r="E5605" s="30" t="inlineStr">
        <is>
          <t>J I DISTRIBUIDORA DE BEBIDAS E DESCARTAVEIS LTDA ME</t>
        </is>
      </c>
      <c r="F5605" s="30" t="inlineStr">
        <is>
          <t>2021</t>
        </is>
      </c>
      <c r="G5605" s="40" t="n">
        <v>0</v>
      </c>
    </row>
    <row r="5606" ht="12" customHeight="1">
      <c r="A5606" s="30" t="inlineStr">
        <is>
          <t>ITG</t>
        </is>
      </c>
      <c r="B5606" s="30" t="inlineStr">
        <is>
          <t>Itaguai</t>
        </is>
      </c>
      <c r="C5606" s="30" t="n">
        <v>78982926</v>
      </c>
      <c r="D5606" s="30">
        <f>"03505701000170"</f>
        <v/>
      </c>
      <c r="E5606" s="30" t="inlineStr">
        <is>
          <t>J I DISTRIBUIDORA DE BEBIDAS E DESCARTAVEIS LTDA ME</t>
        </is>
      </c>
      <c r="F5606" s="30" t="inlineStr">
        <is>
          <t>2022</t>
        </is>
      </c>
      <c r="G5606" s="40" t="n">
        <v>0</v>
      </c>
    </row>
    <row r="5607" ht="12" customHeight="1">
      <c r="A5607" s="30" t="inlineStr">
        <is>
          <t>ITG</t>
        </is>
      </c>
      <c r="B5607" s="30" t="inlineStr">
        <is>
          <t>Itaguai</t>
        </is>
      </c>
      <c r="C5607" s="30" t="n">
        <v>78991437</v>
      </c>
      <c r="D5607" s="30">
        <f>"11497152000168"</f>
        <v/>
      </c>
      <c r="E5607" s="30" t="inlineStr">
        <is>
          <t>GRILL-RIO PRODUTOS ALIMENTÍCIOS EIRELI</t>
        </is>
      </c>
      <c r="F5607" s="30" t="inlineStr">
        <is>
          <t>2017</t>
        </is>
      </c>
      <c r="G5607" s="40" t="n">
        <v>1036415.84</v>
      </c>
    </row>
    <row r="5608" ht="12" customHeight="1">
      <c r="A5608" s="30" t="inlineStr">
        <is>
          <t>ITG</t>
        </is>
      </c>
      <c r="B5608" s="30" t="inlineStr">
        <is>
          <t>Itaguai</t>
        </is>
      </c>
      <c r="C5608" s="30" t="n">
        <v>78991437</v>
      </c>
      <c r="D5608" s="30">
        <f>"11497152000168"</f>
        <v/>
      </c>
      <c r="E5608" s="30" t="inlineStr">
        <is>
          <t>GRILL-RIO PRODUTOS ALIMENTÍCIOS EIRELI</t>
        </is>
      </c>
      <c r="F5608" s="30" t="inlineStr">
        <is>
          <t>2018</t>
        </is>
      </c>
      <c r="G5608" s="40" t="n">
        <v>671362.86</v>
      </c>
    </row>
    <row r="5609" ht="12" customHeight="1">
      <c r="A5609" s="30" t="inlineStr">
        <is>
          <t>ITG</t>
        </is>
      </c>
      <c r="B5609" s="30" t="inlineStr">
        <is>
          <t>Itaguai</t>
        </is>
      </c>
      <c r="C5609" s="30" t="n">
        <v>78991437</v>
      </c>
      <c r="D5609" s="30">
        <f>"11497152000168"</f>
        <v/>
      </c>
      <c r="E5609" s="30" t="inlineStr">
        <is>
          <t>GRILL-RIO PRODUTOS ALIMENTÍCIOS EIRELI</t>
        </is>
      </c>
      <c r="F5609" s="30" t="inlineStr">
        <is>
          <t>2019</t>
        </is>
      </c>
      <c r="G5609" s="40" t="n">
        <v>738711.73</v>
      </c>
    </row>
    <row r="5610" ht="12" customHeight="1">
      <c r="A5610" s="30" t="inlineStr">
        <is>
          <t>ITG</t>
        </is>
      </c>
      <c r="B5610" s="30" t="inlineStr">
        <is>
          <t>Itaguai</t>
        </is>
      </c>
      <c r="C5610" s="30" t="n">
        <v>78991437</v>
      </c>
      <c r="D5610" s="30">
        <f>"11497152000168"</f>
        <v/>
      </c>
      <c r="E5610" s="30" t="inlineStr">
        <is>
          <t>GRILL-RIO PRODUTOS ALIMENTÍCIOS EIRELI</t>
        </is>
      </c>
      <c r="F5610" s="30" t="inlineStr">
        <is>
          <t>2020</t>
        </is>
      </c>
      <c r="G5610" s="40" t="n">
        <v>0</v>
      </c>
    </row>
    <row r="5611" ht="12" customHeight="1">
      <c r="A5611" s="30" t="inlineStr">
        <is>
          <t>ITG</t>
        </is>
      </c>
      <c r="B5611" s="30" t="inlineStr">
        <is>
          <t>Itaguai</t>
        </is>
      </c>
      <c r="C5611" s="30" t="n">
        <v>78991437</v>
      </c>
      <c r="D5611" s="30">
        <f>"11497152000168"</f>
        <v/>
      </c>
      <c r="E5611" s="30" t="inlineStr">
        <is>
          <t>GRILL-RIO PRODUTOS ALIMENTÍCIOS EIRELI</t>
        </is>
      </c>
      <c r="F5611" s="30" t="inlineStr">
        <is>
          <t>2021</t>
        </is>
      </c>
      <c r="G5611" s="40" t="n">
        <v>0</v>
      </c>
    </row>
    <row r="5612" ht="12" customHeight="1">
      <c r="A5612" s="30" t="inlineStr">
        <is>
          <t>ITG</t>
        </is>
      </c>
      <c r="B5612" s="30" t="inlineStr">
        <is>
          <t>Itaguai</t>
        </is>
      </c>
      <c r="C5612" s="30" t="n">
        <v>78991437</v>
      </c>
      <c r="D5612" s="30">
        <f>"11497152000168"</f>
        <v/>
      </c>
      <c r="E5612" s="30" t="inlineStr">
        <is>
          <t>GRILL-RIO PRODUTOS ALIMENTÍCIOS EIRELI</t>
        </is>
      </c>
      <c r="F5612" s="30" t="inlineStr">
        <is>
          <t>2022</t>
        </is>
      </c>
      <c r="G5612" s="40" t="n">
        <v>0</v>
      </c>
    </row>
    <row r="5613" ht="12" customHeight="1">
      <c r="A5613" s="30" t="inlineStr">
        <is>
          <t>ITG</t>
        </is>
      </c>
      <c r="B5613" s="30" t="inlineStr">
        <is>
          <t>Itaguai</t>
        </is>
      </c>
      <c r="C5613" s="30" t="n">
        <v>78991437</v>
      </c>
      <c r="D5613" s="30">
        <f>"11497152000168"</f>
        <v/>
      </c>
      <c r="E5613" s="30" t="inlineStr">
        <is>
          <t>GRILL-RIO PRODUTOS ALIMENTÍCIOS EIRELI</t>
        </is>
      </c>
      <c r="F5613" s="30" t="inlineStr">
        <is>
          <t>2023</t>
        </is>
      </c>
      <c r="G5613" s="40" t="n">
        <v>0</v>
      </c>
    </row>
    <row r="5614" ht="12" customHeight="1">
      <c r="A5614" s="30" t="inlineStr">
        <is>
          <t>ITG</t>
        </is>
      </c>
      <c r="B5614" s="30" t="inlineStr">
        <is>
          <t>Itaguai</t>
        </is>
      </c>
      <c r="C5614" s="30" t="n">
        <v>78991674</v>
      </c>
      <c r="D5614" s="30">
        <f>"01778972000336"</f>
        <v/>
      </c>
      <c r="E5614" s="30" t="inlineStr">
        <is>
          <t>AMERICA NET LTDA</t>
        </is>
      </c>
      <c r="F5614" s="30" t="inlineStr">
        <is>
          <t>2019</t>
        </is>
      </c>
      <c r="G5614" s="40" t="n">
        <v>0</v>
      </c>
    </row>
    <row r="5615" ht="12" customHeight="1">
      <c r="A5615" s="30" t="inlineStr">
        <is>
          <t>ITG</t>
        </is>
      </c>
      <c r="B5615" s="30" t="inlineStr">
        <is>
          <t>Itaguai</t>
        </is>
      </c>
      <c r="C5615" s="30" t="n">
        <v>78991674</v>
      </c>
      <c r="D5615" s="30">
        <f>"01778972000336"</f>
        <v/>
      </c>
      <c r="E5615" s="30" t="inlineStr">
        <is>
          <t>AMERICA NET LTDA</t>
        </is>
      </c>
      <c r="F5615" s="30" t="inlineStr">
        <is>
          <t>2020</t>
        </is>
      </c>
      <c r="G5615" s="40" t="n">
        <v>0</v>
      </c>
    </row>
    <row r="5616" ht="12" customHeight="1">
      <c r="A5616" s="30" t="inlineStr">
        <is>
          <t>ITG</t>
        </is>
      </c>
      <c r="B5616" s="30" t="inlineStr">
        <is>
          <t>Itaguai</t>
        </is>
      </c>
      <c r="C5616" s="30" t="n">
        <v>78991674</v>
      </c>
      <c r="D5616" s="30">
        <f>"01778972000336"</f>
        <v/>
      </c>
      <c r="E5616" s="30" t="inlineStr">
        <is>
          <t>AMERICA NET LTDA</t>
        </is>
      </c>
      <c r="F5616" s="30" t="inlineStr">
        <is>
          <t>2021</t>
        </is>
      </c>
      <c r="G5616" s="40" t="n">
        <v>1472.01</v>
      </c>
    </row>
    <row r="5617" ht="12" customHeight="1">
      <c r="A5617" s="30" t="inlineStr">
        <is>
          <t>ITG</t>
        </is>
      </c>
      <c r="B5617" s="30" t="inlineStr">
        <is>
          <t>Itaguai</t>
        </is>
      </c>
      <c r="C5617" s="30" t="n">
        <v>78991674</v>
      </c>
      <c r="D5617" s="30">
        <f>"01778972000336"</f>
        <v/>
      </c>
      <c r="E5617" s="30" t="inlineStr">
        <is>
          <t>AMERICA NET LTDA</t>
        </is>
      </c>
      <c r="F5617" s="30" t="inlineStr">
        <is>
          <t>2022</t>
        </is>
      </c>
      <c r="G5617" s="40" t="n">
        <v>2385.19</v>
      </c>
    </row>
    <row r="5618" ht="12" customHeight="1">
      <c r="A5618" s="30" t="inlineStr">
        <is>
          <t>ITG</t>
        </is>
      </c>
      <c r="B5618" s="30" t="inlineStr">
        <is>
          <t>Itaguai</t>
        </is>
      </c>
      <c r="C5618" s="30" t="n">
        <v>78991674</v>
      </c>
      <c r="D5618" s="30">
        <f>"01778972000336"</f>
        <v/>
      </c>
      <c r="E5618" s="30" t="inlineStr">
        <is>
          <t>AMERICA NET LTDA</t>
        </is>
      </c>
      <c r="F5618" s="30" t="inlineStr">
        <is>
          <t>2023</t>
        </is>
      </c>
      <c r="G5618" s="40" t="n">
        <v>0</v>
      </c>
    </row>
    <row r="5619" ht="12" customHeight="1">
      <c r="A5619" s="30" t="inlineStr">
        <is>
          <t>ITG</t>
        </is>
      </c>
      <c r="B5619" s="30" t="inlineStr">
        <is>
          <t>Itaguai</t>
        </is>
      </c>
      <c r="C5619" s="30" t="n">
        <v>78998121</v>
      </c>
      <c r="D5619" s="30">
        <f>"01489122000407"</f>
        <v/>
      </c>
      <c r="E5619" s="30" t="inlineStr">
        <is>
          <t>TJ4 TRANSPORTES EIRELI</t>
        </is>
      </c>
      <c r="F5619" s="30" t="inlineStr">
        <is>
          <t>2019</t>
        </is>
      </c>
      <c r="G5619" s="40" t="n">
        <v>0</v>
      </c>
    </row>
    <row r="5620" ht="12" customHeight="1">
      <c r="A5620" s="30" t="inlineStr">
        <is>
          <t>ITG</t>
        </is>
      </c>
      <c r="B5620" s="30" t="inlineStr">
        <is>
          <t>Itaguai</t>
        </is>
      </c>
      <c r="C5620" s="30" t="n">
        <v>78998121</v>
      </c>
      <c r="D5620" s="30">
        <f>"01489122000407"</f>
        <v/>
      </c>
      <c r="E5620" s="30" t="inlineStr">
        <is>
          <t>TJ4 TRANSPORTES EIRELI</t>
        </is>
      </c>
      <c r="F5620" s="30" t="inlineStr">
        <is>
          <t>2020</t>
        </is>
      </c>
      <c r="G5620" s="40" t="n">
        <v>0</v>
      </c>
    </row>
    <row r="5621" ht="12" customHeight="1">
      <c r="A5621" s="30" t="inlineStr">
        <is>
          <t>ITG</t>
        </is>
      </c>
      <c r="B5621" s="30" t="inlineStr">
        <is>
          <t>Itaguai</t>
        </is>
      </c>
      <c r="C5621" s="30" t="n">
        <v>78998121</v>
      </c>
      <c r="D5621" s="30">
        <f>"01489122000407"</f>
        <v/>
      </c>
      <c r="E5621" s="30" t="inlineStr">
        <is>
          <t>TJ4 TRANSPORTES EIRELI</t>
        </is>
      </c>
      <c r="F5621" s="30" t="inlineStr">
        <is>
          <t>2021</t>
        </is>
      </c>
      <c r="G5621" s="40" t="n">
        <v>684.02</v>
      </c>
    </row>
    <row r="5622" ht="12" customHeight="1">
      <c r="A5622" s="30" t="inlineStr">
        <is>
          <t>ITG</t>
        </is>
      </c>
      <c r="B5622" s="30" t="inlineStr">
        <is>
          <t>Itaguai</t>
        </is>
      </c>
      <c r="C5622" s="30" t="n">
        <v>78998121</v>
      </c>
      <c r="D5622" s="30">
        <f>"01489122000407"</f>
        <v/>
      </c>
      <c r="E5622" s="30" t="inlineStr">
        <is>
          <t>TJ4 TRANSPORTES EIRELI</t>
        </is>
      </c>
      <c r="F5622" s="30" t="inlineStr">
        <is>
          <t>2022</t>
        </is>
      </c>
      <c r="G5622" s="40" t="n">
        <v>1770.13</v>
      </c>
    </row>
    <row r="5623" ht="12" customHeight="1">
      <c r="A5623" s="30" t="inlineStr">
        <is>
          <t>ITG</t>
        </is>
      </c>
      <c r="B5623" s="30" t="inlineStr">
        <is>
          <t>Itaguai</t>
        </is>
      </c>
      <c r="C5623" s="30" t="n">
        <v>78998121</v>
      </c>
      <c r="D5623" s="30">
        <f>"01489122000407"</f>
        <v/>
      </c>
      <c r="E5623" s="30" t="inlineStr">
        <is>
          <t>TJ4 TRANSPORTES EIRELI</t>
        </is>
      </c>
      <c r="F5623" s="30" t="inlineStr">
        <is>
          <t>2023</t>
        </is>
      </c>
      <c r="G5623" s="40" t="n">
        <v>705.41</v>
      </c>
    </row>
    <row r="5624" ht="12" customHeight="1">
      <c r="A5624" s="30" t="inlineStr">
        <is>
          <t>ITG</t>
        </is>
      </c>
      <c r="B5624" s="30" t="inlineStr">
        <is>
          <t>Itaguai</t>
        </is>
      </c>
      <c r="C5624" s="30" t="n">
        <v>79010570</v>
      </c>
      <c r="D5624" s="30">
        <f>"09256422000105"</f>
        <v/>
      </c>
      <c r="E5624" s="30" t="inlineStr">
        <is>
          <t>MP TRANSPORTES, MONTAGENS INDUSTRIAIS, REFORMA E MANUTENÇÃO EIRELI</t>
        </is>
      </c>
      <c r="F5624" s="30" t="inlineStr">
        <is>
          <t>2017</t>
        </is>
      </c>
      <c r="G5624" s="40" t="n">
        <v>0</v>
      </c>
    </row>
    <row r="5625" ht="12" customHeight="1">
      <c r="A5625" s="30" t="inlineStr">
        <is>
          <t>ITG</t>
        </is>
      </c>
      <c r="B5625" s="30" t="inlineStr">
        <is>
          <t>Itaguai</t>
        </is>
      </c>
      <c r="C5625" s="30" t="n">
        <v>79010570</v>
      </c>
      <c r="D5625" s="30">
        <f>"09256422000105"</f>
        <v/>
      </c>
      <c r="E5625" s="30" t="inlineStr">
        <is>
          <t>MP TRANSPORTES, MONTAGENS INDUSTRIAIS, REFORMA E MANUTENÇÃO EIRELI</t>
        </is>
      </c>
      <c r="F5625" s="30" t="inlineStr">
        <is>
          <t>2018</t>
        </is>
      </c>
      <c r="G5625" s="40" t="n">
        <v>0</v>
      </c>
    </row>
    <row r="5626" ht="12" customHeight="1">
      <c r="A5626" s="30" t="inlineStr">
        <is>
          <t>ITG</t>
        </is>
      </c>
      <c r="B5626" s="30" t="inlineStr">
        <is>
          <t>Itaguai</t>
        </is>
      </c>
      <c r="C5626" s="30" t="n">
        <v>79010570</v>
      </c>
      <c r="D5626" s="30">
        <f>"09256422000105"</f>
        <v/>
      </c>
      <c r="E5626" s="30" t="inlineStr">
        <is>
          <t>MP TRANSPORTES, MONTAGENS INDUSTRIAIS, REFORMA E MANUTENÇÃO EIRELI</t>
        </is>
      </c>
      <c r="F5626" s="30" t="inlineStr">
        <is>
          <t>2019</t>
        </is>
      </c>
      <c r="G5626" s="40" t="n">
        <v>0</v>
      </c>
    </row>
    <row r="5627" ht="12" customHeight="1">
      <c r="A5627" s="30" t="inlineStr">
        <is>
          <t>ITG</t>
        </is>
      </c>
      <c r="B5627" s="30" t="inlineStr">
        <is>
          <t>Itaguai</t>
        </is>
      </c>
      <c r="C5627" s="30" t="n">
        <v>79010570</v>
      </c>
      <c r="D5627" s="30">
        <f>"09256422000105"</f>
        <v/>
      </c>
      <c r="E5627" s="30" t="inlineStr">
        <is>
          <t>MP TRANSPORTES, MONTAGENS INDUSTRIAIS, REFORMA E MANUTENÇÃO EIRELI</t>
        </is>
      </c>
      <c r="F5627" s="30" t="inlineStr">
        <is>
          <t>2020</t>
        </is>
      </c>
      <c r="G5627" s="40" t="n">
        <v>0</v>
      </c>
    </row>
    <row r="5628" ht="12" customHeight="1">
      <c r="A5628" s="30" t="inlineStr">
        <is>
          <t>ITG</t>
        </is>
      </c>
      <c r="B5628" s="30" t="inlineStr">
        <is>
          <t>Itaguai</t>
        </is>
      </c>
      <c r="C5628" s="30" t="n">
        <v>79010685</v>
      </c>
      <c r="D5628" s="30">
        <f>"05944440000110"</f>
        <v/>
      </c>
      <c r="E5628" s="30" t="inlineStr">
        <is>
          <t>BRENDA COMERCIO E SERVICOS LTDA ME</t>
        </is>
      </c>
      <c r="F5628" s="30" t="inlineStr">
        <is>
          <t>2017</t>
        </is>
      </c>
      <c r="G5628" s="40" t="n">
        <v>0</v>
      </c>
    </row>
    <row r="5629" ht="12" customHeight="1">
      <c r="A5629" s="30" t="inlineStr">
        <is>
          <t>ITG</t>
        </is>
      </c>
      <c r="B5629" s="30" t="inlineStr">
        <is>
          <t>Itaguai</t>
        </is>
      </c>
      <c r="C5629" s="30" t="n">
        <v>79010685</v>
      </c>
      <c r="D5629" s="30">
        <f>"05944440000110"</f>
        <v/>
      </c>
      <c r="E5629" s="30" t="inlineStr">
        <is>
          <t>BRENDA COMERCIO E SERVICOS LTDA ME</t>
        </is>
      </c>
      <c r="F5629" s="30" t="inlineStr">
        <is>
          <t>2018</t>
        </is>
      </c>
      <c r="G5629" s="40" t="n">
        <v>0</v>
      </c>
    </row>
    <row r="5630" ht="12" customHeight="1">
      <c r="A5630" s="30" t="inlineStr">
        <is>
          <t>ITG</t>
        </is>
      </c>
      <c r="B5630" s="30" t="inlineStr">
        <is>
          <t>Itaguai</t>
        </is>
      </c>
      <c r="C5630" s="30" t="n">
        <v>79010685</v>
      </c>
      <c r="D5630" s="30">
        <f>"05944440000110"</f>
        <v/>
      </c>
      <c r="E5630" s="30" t="inlineStr">
        <is>
          <t>BRENDA COMERCIO E SERVICOS LTDA ME</t>
        </is>
      </c>
      <c r="F5630" s="30" t="inlineStr">
        <is>
          <t>2019</t>
        </is>
      </c>
      <c r="G5630" s="40" t="n">
        <v>0</v>
      </c>
    </row>
    <row r="5631" ht="12" customHeight="1">
      <c r="A5631" s="30" t="inlineStr">
        <is>
          <t>ITG</t>
        </is>
      </c>
      <c r="B5631" s="30" t="inlineStr">
        <is>
          <t>Itaguai</t>
        </is>
      </c>
      <c r="C5631" s="30" t="n">
        <v>79010731</v>
      </c>
      <c r="D5631" s="30">
        <f>"03961747000102"</f>
        <v/>
      </c>
      <c r="E5631" s="30" t="inlineStr">
        <is>
          <t>C S F J M IDIOMAS LTDA ME</t>
        </is>
      </c>
      <c r="F5631" s="30" t="inlineStr">
        <is>
          <t>2017</t>
        </is>
      </c>
      <c r="G5631" s="40" t="n">
        <v>0</v>
      </c>
    </row>
    <row r="5632" ht="12" customHeight="1">
      <c r="A5632" s="30" t="inlineStr">
        <is>
          <t>ITG</t>
        </is>
      </c>
      <c r="B5632" s="30" t="inlineStr">
        <is>
          <t>Itaguai</t>
        </is>
      </c>
      <c r="C5632" s="30" t="n">
        <v>79010731</v>
      </c>
      <c r="D5632" s="30">
        <f>"03961747000102"</f>
        <v/>
      </c>
      <c r="E5632" s="30" t="inlineStr">
        <is>
          <t>C S F J M IDIOMAS LTDA ME</t>
        </is>
      </c>
      <c r="F5632" s="30" t="inlineStr">
        <is>
          <t>2018</t>
        </is>
      </c>
      <c r="G5632" s="40" t="n">
        <v>0</v>
      </c>
    </row>
    <row r="5633" ht="12" customHeight="1">
      <c r="A5633" s="30" t="inlineStr">
        <is>
          <t>ITG</t>
        </is>
      </c>
      <c r="B5633" s="30" t="inlineStr">
        <is>
          <t>Itaguai</t>
        </is>
      </c>
      <c r="C5633" s="30" t="n">
        <v>79010731</v>
      </c>
      <c r="D5633" s="30">
        <f>"03961747000102"</f>
        <v/>
      </c>
      <c r="E5633" s="30" t="inlineStr">
        <is>
          <t>C S F J M IDIOMAS LTDA ME</t>
        </is>
      </c>
      <c r="F5633" s="30" t="inlineStr">
        <is>
          <t>2019</t>
        </is>
      </c>
      <c r="G5633" s="40" t="n">
        <v>0</v>
      </c>
    </row>
    <row r="5634" ht="12" customHeight="1">
      <c r="A5634" s="30" t="inlineStr">
        <is>
          <t>ITG</t>
        </is>
      </c>
      <c r="B5634" s="30" t="inlineStr">
        <is>
          <t>Itaguai</t>
        </is>
      </c>
      <c r="C5634" s="30" t="n">
        <v>79017329</v>
      </c>
      <c r="D5634" s="30">
        <f>"00747102000256"</f>
        <v/>
      </c>
      <c r="E5634" s="30" t="inlineStr">
        <is>
          <t>AREAL DO FUTURO EXTRACAO DE AREIA LTDA EPP</t>
        </is>
      </c>
      <c r="F5634" s="30" t="inlineStr">
        <is>
          <t>2017</t>
        </is>
      </c>
      <c r="G5634" s="40" t="n">
        <v>0</v>
      </c>
    </row>
    <row r="5635" ht="12" customHeight="1">
      <c r="A5635" s="30" t="inlineStr">
        <is>
          <t>ITG</t>
        </is>
      </c>
      <c r="B5635" s="30" t="inlineStr">
        <is>
          <t>Itaguai</t>
        </is>
      </c>
      <c r="C5635" s="30" t="n">
        <v>79017329</v>
      </c>
      <c r="D5635" s="30">
        <f>"00747102000256"</f>
        <v/>
      </c>
      <c r="E5635" s="30" t="inlineStr">
        <is>
          <t>AREAL DO FUTURO EXTRACAO DE AREIA LTDA EPP</t>
        </is>
      </c>
      <c r="F5635" s="30" t="inlineStr">
        <is>
          <t>2018</t>
        </is>
      </c>
      <c r="G5635" s="40" t="n">
        <v>0</v>
      </c>
    </row>
    <row r="5636" ht="12" customHeight="1">
      <c r="A5636" s="30" t="inlineStr">
        <is>
          <t>ITG</t>
        </is>
      </c>
      <c r="B5636" s="30" t="inlineStr">
        <is>
          <t>Itaguai</t>
        </is>
      </c>
      <c r="C5636" s="30" t="n">
        <v>79017329</v>
      </c>
      <c r="D5636" s="30">
        <f>"00747102000256"</f>
        <v/>
      </c>
      <c r="E5636" s="30" t="inlineStr">
        <is>
          <t>AREAL DO FUTURO EXTRACAO DE AREIA LTDA EPP</t>
        </is>
      </c>
      <c r="F5636" s="30" t="inlineStr">
        <is>
          <t>2019</t>
        </is>
      </c>
      <c r="G5636" s="40" t="n">
        <v>0</v>
      </c>
    </row>
    <row r="5637" ht="12" customHeight="1">
      <c r="A5637" s="30" t="inlineStr">
        <is>
          <t>ITG</t>
        </is>
      </c>
      <c r="B5637" s="30" t="inlineStr">
        <is>
          <t>Itaguai</t>
        </is>
      </c>
      <c r="C5637" s="30" t="n">
        <v>79017329</v>
      </c>
      <c r="D5637" s="30">
        <f>"00747102000256"</f>
        <v/>
      </c>
      <c r="E5637" s="30" t="inlineStr">
        <is>
          <t>AREAL DO FUTURO EXTRACAO DE AREIA LTDA EPP</t>
        </is>
      </c>
      <c r="F5637" s="30" t="inlineStr">
        <is>
          <t>2020</t>
        </is>
      </c>
      <c r="G5637" s="40" t="n">
        <v>0</v>
      </c>
    </row>
    <row r="5638" ht="12" customHeight="1">
      <c r="A5638" s="30" t="inlineStr">
        <is>
          <t>ITG</t>
        </is>
      </c>
      <c r="B5638" s="30" t="inlineStr">
        <is>
          <t>Itaguai</t>
        </is>
      </c>
      <c r="C5638" s="30" t="n">
        <v>79017329</v>
      </c>
      <c r="D5638" s="30">
        <f>"00747102000256"</f>
        <v/>
      </c>
      <c r="E5638" s="30" t="inlineStr">
        <is>
          <t>AREAL DO FUTURO EXTRACAO DE AREIA LTDA EPP</t>
        </is>
      </c>
      <c r="F5638" s="30" t="inlineStr">
        <is>
          <t>2021</t>
        </is>
      </c>
      <c r="G5638" s="40" t="n">
        <v>0</v>
      </c>
    </row>
    <row r="5639" ht="12" customHeight="1">
      <c r="A5639" s="30" t="inlineStr">
        <is>
          <t>ITG</t>
        </is>
      </c>
      <c r="B5639" s="30" t="inlineStr">
        <is>
          <t>Itaguai</t>
        </is>
      </c>
      <c r="C5639" s="30" t="n">
        <v>79017329</v>
      </c>
      <c r="D5639" s="30">
        <f>"00747102000256"</f>
        <v/>
      </c>
      <c r="E5639" s="30" t="inlineStr">
        <is>
          <t>AREAL DO FUTURO EXTRACAO DE AREIA LTDA EPP</t>
        </is>
      </c>
      <c r="F5639" s="30" t="inlineStr">
        <is>
          <t>2022</t>
        </is>
      </c>
      <c r="G5639" s="40" t="n">
        <v>0</v>
      </c>
    </row>
    <row r="5640" ht="12" customHeight="1">
      <c r="A5640" s="30" t="inlineStr">
        <is>
          <t>ITG</t>
        </is>
      </c>
      <c r="B5640" s="30" t="inlineStr">
        <is>
          <t>Itaguai</t>
        </is>
      </c>
      <c r="C5640" s="30" t="n">
        <v>79020354</v>
      </c>
      <c r="D5640" s="30">
        <f>"06236452000234"</f>
        <v/>
      </c>
      <c r="E5640" s="30" t="inlineStr">
        <is>
          <t>PH 2009 RECICLAGEM LTDA</t>
        </is>
      </c>
      <c r="F5640" s="30" t="inlineStr">
        <is>
          <t>2021</t>
        </is>
      </c>
      <c r="G5640" s="40" t="n">
        <v>0</v>
      </c>
    </row>
    <row r="5641" ht="12" customHeight="1">
      <c r="A5641" s="30" t="inlineStr">
        <is>
          <t>ITG</t>
        </is>
      </c>
      <c r="B5641" s="30" t="inlineStr">
        <is>
          <t>Itaguai</t>
        </is>
      </c>
      <c r="C5641" s="30" t="n">
        <v>79020354</v>
      </c>
      <c r="D5641" s="30">
        <f>"06236452000234"</f>
        <v/>
      </c>
      <c r="E5641" s="30" t="inlineStr">
        <is>
          <t>PH 2009 RECICLAGEM LTDA</t>
        </is>
      </c>
      <c r="F5641" s="30" t="inlineStr">
        <is>
          <t>2022</t>
        </is>
      </c>
      <c r="G5641" s="40" t="n">
        <v>0</v>
      </c>
    </row>
    <row r="5642" ht="12" customHeight="1">
      <c r="A5642" s="30" t="inlineStr">
        <is>
          <t>ITG</t>
        </is>
      </c>
      <c r="B5642" s="30" t="inlineStr">
        <is>
          <t>Itaguai</t>
        </is>
      </c>
      <c r="C5642" s="30" t="n">
        <v>79020354</v>
      </c>
      <c r="D5642" s="30">
        <f>"06236452000234"</f>
        <v/>
      </c>
      <c r="E5642" s="30" t="inlineStr">
        <is>
          <t>PH 2009 RECICLAGEM LTDA</t>
        </is>
      </c>
      <c r="F5642" s="30" t="inlineStr">
        <is>
          <t>2023</t>
        </is>
      </c>
      <c r="G5642" s="40" t="n">
        <v>28140</v>
      </c>
    </row>
    <row r="5643" ht="12" customHeight="1">
      <c r="A5643" s="30" t="inlineStr">
        <is>
          <t>ITG</t>
        </is>
      </c>
      <c r="B5643" s="30" t="inlineStr">
        <is>
          <t>Itaguai</t>
        </is>
      </c>
      <c r="C5643" s="30" t="n">
        <v>79024554</v>
      </c>
      <c r="D5643" s="30">
        <f>"78531000105"</f>
        <v/>
      </c>
      <c r="E5643" s="30" t="inlineStr">
        <is>
          <t>MTECH LOCAÇÕES E SERVIÇOS LTDA</t>
        </is>
      </c>
      <c r="F5643" s="30" t="inlineStr">
        <is>
          <t>2019</t>
        </is>
      </c>
      <c r="G5643" s="40" t="n">
        <v>0</v>
      </c>
    </row>
    <row r="5644" ht="12" customHeight="1">
      <c r="A5644" s="30" t="inlineStr">
        <is>
          <t>ITG</t>
        </is>
      </c>
      <c r="B5644" s="30" t="inlineStr">
        <is>
          <t>Itaguai</t>
        </is>
      </c>
      <c r="C5644" s="30" t="n">
        <v>79024554</v>
      </c>
      <c r="D5644" s="30">
        <f>"78531000105"</f>
        <v/>
      </c>
      <c r="E5644" s="30" t="inlineStr">
        <is>
          <t>MTECH LOCAÇÕES E SERVIÇOS LTDA</t>
        </is>
      </c>
      <c r="F5644" s="30" t="inlineStr">
        <is>
          <t>2020</t>
        </is>
      </c>
      <c r="G5644" s="40" t="n">
        <v>0</v>
      </c>
    </row>
    <row r="5645" ht="12" customHeight="1">
      <c r="A5645" s="30" t="inlineStr">
        <is>
          <t>ITG</t>
        </is>
      </c>
      <c r="B5645" s="30" t="inlineStr">
        <is>
          <t>Itaguai</t>
        </is>
      </c>
      <c r="C5645" s="30" t="n">
        <v>79024554</v>
      </c>
      <c r="D5645" s="30">
        <f>"78531000105"</f>
        <v/>
      </c>
      <c r="E5645" s="30" t="inlineStr">
        <is>
          <t>MTECH LOCAÇÕES E SERVIÇOS LTDA</t>
        </is>
      </c>
      <c r="F5645" s="30" t="inlineStr">
        <is>
          <t>2021</t>
        </is>
      </c>
      <c r="G5645" s="40" t="n">
        <v>0</v>
      </c>
    </row>
    <row r="5646" ht="12" customHeight="1">
      <c r="A5646" s="30" t="inlineStr">
        <is>
          <t>ITG</t>
        </is>
      </c>
      <c r="B5646" s="30" t="inlineStr">
        <is>
          <t>Itaguai</t>
        </is>
      </c>
      <c r="C5646" s="30" t="n">
        <v>79024554</v>
      </c>
      <c r="D5646" s="30">
        <f>"78531000105"</f>
        <v/>
      </c>
      <c r="E5646" s="30" t="inlineStr">
        <is>
          <t>MTECH LOCAÇÕES E SERVIÇOS LTDA</t>
        </is>
      </c>
      <c r="F5646" s="30" t="inlineStr">
        <is>
          <t>2022</t>
        </is>
      </c>
      <c r="G5646" s="40" t="n">
        <v>0</v>
      </c>
    </row>
    <row r="5647" ht="12" customHeight="1">
      <c r="A5647" s="30" t="inlineStr">
        <is>
          <t>ITG</t>
        </is>
      </c>
      <c r="B5647" s="30" t="inlineStr">
        <is>
          <t>Itaguai</t>
        </is>
      </c>
      <c r="C5647" s="30" t="n">
        <v>79024554</v>
      </c>
      <c r="D5647" s="30">
        <f>"78531000105"</f>
        <v/>
      </c>
      <c r="E5647" s="30" t="inlineStr">
        <is>
          <t>MTECH LOCAÇÕES E SERVIÇOS LTDA</t>
        </is>
      </c>
      <c r="F5647" s="30" t="inlineStr">
        <is>
          <t>2023</t>
        </is>
      </c>
      <c r="G5647" s="40" t="n">
        <v>0</v>
      </c>
    </row>
    <row r="5648" ht="12" customHeight="1">
      <c r="A5648" s="30" t="inlineStr">
        <is>
          <t>ITG</t>
        </is>
      </c>
      <c r="B5648" s="30" t="inlineStr">
        <is>
          <t>Itaguai</t>
        </is>
      </c>
      <c r="C5648" s="30" t="n">
        <v>79024597</v>
      </c>
      <c r="D5648" s="30">
        <f>"01491379000142"</f>
        <v/>
      </c>
      <c r="E5648" s="30" t="inlineStr">
        <is>
          <t>CORBO PIZZAS E SERVICOS LTDA ME</t>
        </is>
      </c>
      <c r="F5648" s="30" t="inlineStr">
        <is>
          <t>2017</t>
        </is>
      </c>
      <c r="G5648" s="40" t="n">
        <v>21984.56</v>
      </c>
    </row>
    <row r="5649" ht="12" customHeight="1">
      <c r="A5649" s="30" t="inlineStr">
        <is>
          <t>ITG</t>
        </is>
      </c>
      <c r="B5649" s="30" t="inlineStr">
        <is>
          <t>Itaguai</t>
        </is>
      </c>
      <c r="C5649" s="30" t="n">
        <v>79024597</v>
      </c>
      <c r="D5649" s="30">
        <f>"01491379000142"</f>
        <v/>
      </c>
      <c r="E5649" s="30" t="inlineStr">
        <is>
          <t>CORBO PIZZAS E SERVICOS LTDA ME</t>
        </is>
      </c>
      <c r="F5649" s="30" t="inlineStr">
        <is>
          <t>2018</t>
        </is>
      </c>
      <c r="G5649" s="40" t="n">
        <v>0</v>
      </c>
    </row>
    <row r="5650" ht="12" customHeight="1">
      <c r="A5650" s="30" t="inlineStr">
        <is>
          <t>ITG</t>
        </is>
      </c>
      <c r="B5650" s="30" t="inlineStr">
        <is>
          <t>Itaguai</t>
        </is>
      </c>
      <c r="C5650" s="30" t="n">
        <v>79024597</v>
      </c>
      <c r="D5650" s="30">
        <f>"01491379000142"</f>
        <v/>
      </c>
      <c r="E5650" s="30" t="inlineStr">
        <is>
          <t>CORBO PIZZAS E SERVICOS LTDA ME</t>
        </is>
      </c>
      <c r="F5650" s="30" t="inlineStr">
        <is>
          <t>2019</t>
        </is>
      </c>
      <c r="G5650" s="40" t="n">
        <v>0</v>
      </c>
    </row>
    <row r="5651" ht="12" customHeight="1">
      <c r="A5651" s="30" t="inlineStr">
        <is>
          <t>ITG</t>
        </is>
      </c>
      <c r="B5651" s="30" t="inlineStr">
        <is>
          <t>Itaguai</t>
        </is>
      </c>
      <c r="C5651" s="30" t="n">
        <v>79027782</v>
      </c>
      <c r="D5651" s="30">
        <f>"66702325001600"</f>
        <v/>
      </c>
      <c r="E5651" s="30" t="inlineStr">
        <is>
          <t>TORA LOGISTICA ARMAZENS E TERMINAIS MULTIMODAIS S/A</t>
        </is>
      </c>
      <c r="F5651" s="30" t="inlineStr">
        <is>
          <t>2017</t>
        </is>
      </c>
      <c r="G5651" s="40" t="n">
        <v>0</v>
      </c>
    </row>
    <row r="5652" ht="12" customHeight="1">
      <c r="A5652" s="30" t="inlineStr">
        <is>
          <t>ITG</t>
        </is>
      </c>
      <c r="B5652" s="30" t="inlineStr">
        <is>
          <t>Itaguai</t>
        </is>
      </c>
      <c r="C5652" s="30" t="n">
        <v>79027782</v>
      </c>
      <c r="D5652" s="30">
        <f>"66702325001600"</f>
        <v/>
      </c>
      <c r="E5652" s="30" t="inlineStr">
        <is>
          <t>TORA LOGISTICA ARMAZENS E TERMINAIS MULTIMODAIS S/A</t>
        </is>
      </c>
      <c r="F5652" s="30" t="inlineStr">
        <is>
          <t>2018</t>
        </is>
      </c>
      <c r="G5652" s="40" t="n">
        <v>0</v>
      </c>
    </row>
    <row r="5653" ht="12" customHeight="1">
      <c r="A5653" s="30" t="inlineStr">
        <is>
          <t>ITG</t>
        </is>
      </c>
      <c r="B5653" s="30" t="inlineStr">
        <is>
          <t>Itaguai</t>
        </is>
      </c>
      <c r="C5653" s="30" t="n">
        <v>79027782</v>
      </c>
      <c r="D5653" s="30">
        <f>"66702325001600"</f>
        <v/>
      </c>
      <c r="E5653" s="30" t="inlineStr">
        <is>
          <t>TORA LOGISTICA ARMAZENS E TERMINAIS MULTIMODAIS S/A</t>
        </is>
      </c>
      <c r="F5653" s="30" t="inlineStr">
        <is>
          <t>2019</t>
        </is>
      </c>
      <c r="G5653" s="40" t="n">
        <v>0</v>
      </c>
    </row>
    <row r="5654" ht="12" customHeight="1">
      <c r="A5654" s="30" t="inlineStr">
        <is>
          <t>ITG</t>
        </is>
      </c>
      <c r="B5654" s="30" t="inlineStr">
        <is>
          <t>Itaguai</t>
        </is>
      </c>
      <c r="C5654" s="30" t="n">
        <v>79027782</v>
      </c>
      <c r="D5654" s="30">
        <f>"66702325001600"</f>
        <v/>
      </c>
      <c r="E5654" s="30" t="inlineStr">
        <is>
          <t>TORA LOGISTICA ARMAZENS E TERMINAIS MULTIMODAIS S/A</t>
        </is>
      </c>
      <c r="F5654" s="30" t="inlineStr">
        <is>
          <t>2020</t>
        </is>
      </c>
      <c r="G5654" s="40" t="n">
        <v>0</v>
      </c>
    </row>
    <row r="5655" ht="12" customHeight="1">
      <c r="A5655" s="30" t="inlineStr">
        <is>
          <t>ITG</t>
        </is>
      </c>
      <c r="B5655" s="30" t="inlineStr">
        <is>
          <t>Itaguai</t>
        </is>
      </c>
      <c r="C5655" s="30" t="n">
        <v>79027782</v>
      </c>
      <c r="D5655" s="30">
        <f>"66702325001600"</f>
        <v/>
      </c>
      <c r="E5655" s="30" t="inlineStr">
        <is>
          <t>TORA LOGISTICA ARMAZENS E TERMINAIS MULTIMODAIS S/A</t>
        </is>
      </c>
      <c r="F5655" s="30" t="inlineStr">
        <is>
          <t>2021</t>
        </is>
      </c>
      <c r="G5655" s="40" t="n">
        <v>0</v>
      </c>
    </row>
    <row r="5656" ht="12" customHeight="1">
      <c r="A5656" s="30" t="inlineStr">
        <is>
          <t>ITG</t>
        </is>
      </c>
      <c r="B5656" s="30" t="inlineStr">
        <is>
          <t>Itaguai</t>
        </is>
      </c>
      <c r="C5656" s="30" t="n">
        <v>79027782</v>
      </c>
      <c r="D5656" s="30">
        <f>"66702325001600"</f>
        <v/>
      </c>
      <c r="E5656" s="30" t="inlineStr">
        <is>
          <t>TORA LOGISTICA ARMAZENS E TERMINAIS MULTIMODAIS S/A</t>
        </is>
      </c>
      <c r="F5656" s="30" t="inlineStr">
        <is>
          <t>2022</t>
        </is>
      </c>
      <c r="G5656" s="40" t="n">
        <v>0</v>
      </c>
    </row>
    <row r="5657" ht="12" customHeight="1">
      <c r="A5657" s="30" t="inlineStr">
        <is>
          <t>ITG</t>
        </is>
      </c>
      <c r="B5657" s="30" t="inlineStr">
        <is>
          <t>Itaguai</t>
        </is>
      </c>
      <c r="C5657" s="30" t="n">
        <v>79027782</v>
      </c>
      <c r="D5657" s="30">
        <f>"66702325001600"</f>
        <v/>
      </c>
      <c r="E5657" s="30" t="inlineStr">
        <is>
          <t>TORA LOGISTICA ARMAZENS E TERMINAIS MULTIMODAIS S/A</t>
        </is>
      </c>
      <c r="F5657" s="30" t="inlineStr">
        <is>
          <t>2023</t>
        </is>
      </c>
      <c r="G5657" s="40" t="n">
        <v>0</v>
      </c>
    </row>
    <row r="5658" ht="12" customHeight="1">
      <c r="A5658" s="30" t="inlineStr">
        <is>
          <t>ITG</t>
        </is>
      </c>
      <c r="B5658" s="30" t="inlineStr">
        <is>
          <t>Itaguai</t>
        </is>
      </c>
      <c r="C5658" s="30" t="n">
        <v>79029076</v>
      </c>
      <c r="D5658" s="30">
        <f>"11824706000194"</f>
        <v/>
      </c>
      <c r="E5658" s="30" t="inlineStr">
        <is>
          <t>MENOS E MAIS INDUSTRIA E COMERCIO DE ROUPAS LTDA ME</t>
        </is>
      </c>
      <c r="F5658" s="30" t="inlineStr">
        <is>
          <t>2017</t>
        </is>
      </c>
      <c r="G5658" s="40" t="n">
        <v>0</v>
      </c>
    </row>
    <row r="5659" ht="12" customHeight="1">
      <c r="A5659" s="30" t="inlineStr">
        <is>
          <t>ITG</t>
        </is>
      </c>
      <c r="B5659" s="30" t="inlineStr">
        <is>
          <t>Itaguai</t>
        </is>
      </c>
      <c r="C5659" s="30" t="n">
        <v>79029076</v>
      </c>
      <c r="D5659" s="30">
        <f>"11824706000194"</f>
        <v/>
      </c>
      <c r="E5659" s="30" t="inlineStr">
        <is>
          <t>MENOS E MAIS INDUSTRIA E COMERCIO DE ROUPAS LTDA ME</t>
        </is>
      </c>
      <c r="F5659" s="30" t="inlineStr">
        <is>
          <t>2018</t>
        </is>
      </c>
      <c r="G5659" s="40" t="n">
        <v>0</v>
      </c>
    </row>
    <row r="5660" ht="12" customHeight="1">
      <c r="A5660" s="30" t="inlineStr">
        <is>
          <t>ITG</t>
        </is>
      </c>
      <c r="B5660" s="30" t="inlineStr">
        <is>
          <t>Itaguai</t>
        </is>
      </c>
      <c r="C5660" s="30" t="n">
        <v>79029076</v>
      </c>
      <c r="D5660" s="30">
        <f>"11824706000194"</f>
        <v/>
      </c>
      <c r="E5660" s="30" t="inlineStr">
        <is>
          <t>MENOS E MAIS INDUSTRIA E COMERCIO DE ROUPAS LTDA ME</t>
        </is>
      </c>
      <c r="F5660" s="30" t="inlineStr">
        <is>
          <t>2019</t>
        </is>
      </c>
      <c r="G5660" s="40" t="n">
        <v>0</v>
      </c>
    </row>
    <row r="5661" ht="12" customHeight="1">
      <c r="A5661" s="30" t="inlineStr">
        <is>
          <t>ITG</t>
        </is>
      </c>
      <c r="B5661" s="30" t="inlineStr">
        <is>
          <t>Itaguai</t>
        </is>
      </c>
      <c r="C5661" s="30" t="n">
        <v>79029076</v>
      </c>
      <c r="D5661" s="30">
        <f>"11824706000194"</f>
        <v/>
      </c>
      <c r="E5661" s="30" t="inlineStr">
        <is>
          <t>MENOS E MAIS INDUSTRIA E COMERCIO DE ROUPAS LTDA ME</t>
        </is>
      </c>
      <c r="F5661" s="30" t="inlineStr">
        <is>
          <t>2020</t>
        </is>
      </c>
      <c r="G5661" s="40" t="n">
        <v>0</v>
      </c>
    </row>
    <row r="5662" ht="12" customHeight="1">
      <c r="A5662" s="30" t="inlineStr">
        <is>
          <t>ITG</t>
        </is>
      </c>
      <c r="B5662" s="30" t="inlineStr">
        <is>
          <t>Itaguai</t>
        </is>
      </c>
      <c r="C5662" s="30" t="n">
        <v>79032557</v>
      </c>
      <c r="D5662" s="30">
        <f>"33014556056906"</f>
        <v/>
      </c>
      <c r="E5662" s="30" t="inlineStr">
        <is>
          <t>LOJAS AMERICANAS S.A.</t>
        </is>
      </c>
      <c r="F5662" s="30" t="inlineStr">
        <is>
          <t>2017</t>
        </is>
      </c>
      <c r="G5662" s="40" t="n">
        <v>2428163.09</v>
      </c>
    </row>
    <row r="5663" ht="12" customHeight="1">
      <c r="A5663" s="30" t="inlineStr">
        <is>
          <t>ITG</t>
        </is>
      </c>
      <c r="B5663" s="30" t="inlineStr">
        <is>
          <t>Itaguai</t>
        </is>
      </c>
      <c r="C5663" s="30" t="n">
        <v>79032557</v>
      </c>
      <c r="D5663" s="30">
        <f>"33014556056906"</f>
        <v/>
      </c>
      <c r="E5663" s="30" t="inlineStr">
        <is>
          <t>LOJAS AMERICANAS S.A.</t>
        </is>
      </c>
      <c r="F5663" s="30" t="inlineStr">
        <is>
          <t>2018</t>
        </is>
      </c>
      <c r="G5663" s="40" t="n">
        <v>2208804.75</v>
      </c>
    </row>
    <row r="5664" ht="12" customHeight="1">
      <c r="A5664" s="30" t="inlineStr">
        <is>
          <t>ITG</t>
        </is>
      </c>
      <c r="B5664" s="30" t="inlineStr">
        <is>
          <t>Itaguai</t>
        </is>
      </c>
      <c r="C5664" s="30" t="n">
        <v>79032557</v>
      </c>
      <c r="D5664" s="30">
        <f>"33014556056906"</f>
        <v/>
      </c>
      <c r="E5664" s="30" t="inlineStr">
        <is>
          <t>LOJAS AMERICANAS S.A.</t>
        </is>
      </c>
      <c r="F5664" s="30" t="inlineStr">
        <is>
          <t>2019</t>
        </is>
      </c>
      <c r="G5664" s="40" t="n">
        <v>2163553.11</v>
      </c>
    </row>
    <row r="5665" ht="12" customHeight="1">
      <c r="A5665" s="30" t="inlineStr">
        <is>
          <t>ITG</t>
        </is>
      </c>
      <c r="B5665" s="30" t="inlineStr">
        <is>
          <t>Itaguai</t>
        </is>
      </c>
      <c r="C5665" s="30" t="n">
        <v>79032557</v>
      </c>
      <c r="D5665" s="30">
        <f>"33014556056906"</f>
        <v/>
      </c>
      <c r="E5665" s="30" t="inlineStr">
        <is>
          <t>LOJAS AMERICANAS S.A.</t>
        </is>
      </c>
      <c r="F5665" s="30" t="inlineStr">
        <is>
          <t>2020</t>
        </is>
      </c>
      <c r="G5665" s="40" t="n">
        <v>1520579.29</v>
      </c>
    </row>
    <row r="5666" ht="12" customHeight="1">
      <c r="A5666" s="30" t="inlineStr">
        <is>
          <t>ITG</t>
        </is>
      </c>
      <c r="B5666" s="30" t="inlineStr">
        <is>
          <t>Itaguai</t>
        </is>
      </c>
      <c r="C5666" s="30" t="n">
        <v>79032557</v>
      </c>
      <c r="D5666" s="30">
        <f>"33014556056906"</f>
        <v/>
      </c>
      <c r="E5666" s="30" t="inlineStr">
        <is>
          <t>LOJAS AMERICANAS S.A.</t>
        </is>
      </c>
      <c r="F5666" s="30" t="inlineStr">
        <is>
          <t>2021</t>
        </is>
      </c>
      <c r="G5666" s="40" t="n">
        <v>0</v>
      </c>
    </row>
    <row r="5667" ht="12" customHeight="1">
      <c r="A5667" s="30" t="inlineStr">
        <is>
          <t>ITG</t>
        </is>
      </c>
      <c r="B5667" s="30" t="inlineStr">
        <is>
          <t>Itaguai</t>
        </is>
      </c>
      <c r="C5667" s="30" t="n">
        <v>79032557</v>
      </c>
      <c r="D5667" s="30">
        <f>"33014556056906"</f>
        <v/>
      </c>
      <c r="E5667" s="30" t="inlineStr">
        <is>
          <t>LOJAS AMERICANAS S.A.</t>
        </is>
      </c>
      <c r="F5667" s="30" t="inlineStr">
        <is>
          <t>2022</t>
        </is>
      </c>
      <c r="G5667" s="40" t="n">
        <v>0</v>
      </c>
    </row>
    <row r="5668" ht="12" customHeight="1">
      <c r="A5668" s="30" t="inlineStr">
        <is>
          <t>ITG</t>
        </is>
      </c>
      <c r="B5668" s="30" t="inlineStr">
        <is>
          <t>Itaguai</t>
        </is>
      </c>
      <c r="C5668" s="30" t="n">
        <v>79032557</v>
      </c>
      <c r="D5668" s="30">
        <f>"33014556056906"</f>
        <v/>
      </c>
      <c r="E5668" s="30" t="inlineStr">
        <is>
          <t>LOJAS AMERICANAS S.A.</t>
        </is>
      </c>
      <c r="F5668" s="30" t="inlineStr">
        <is>
          <t>2023</t>
        </is>
      </c>
      <c r="G5668" s="40" t="n">
        <v>0</v>
      </c>
    </row>
    <row r="5669" ht="12" customHeight="1">
      <c r="A5669" s="30" t="inlineStr">
        <is>
          <t>ITG</t>
        </is>
      </c>
      <c r="B5669" s="30" t="inlineStr">
        <is>
          <t>Itaguai</t>
        </is>
      </c>
      <c r="C5669" s="30" t="n">
        <v>79038849</v>
      </c>
      <c r="D5669" s="30">
        <f>"11395515000154"</f>
        <v/>
      </c>
      <c r="E5669" s="30" t="inlineStr">
        <is>
          <t>RODRIGUES E CORREDOR COMERCIO E CONFECCAO DE ROUPAS LTDA ME</t>
        </is>
      </c>
      <c r="F5669" s="30" t="inlineStr">
        <is>
          <t>2020</t>
        </is>
      </c>
      <c r="G5669" s="40" t="n">
        <v>0</v>
      </c>
    </row>
    <row r="5670" ht="12" customHeight="1">
      <c r="A5670" s="30" t="inlineStr">
        <is>
          <t>ITG</t>
        </is>
      </c>
      <c r="B5670" s="30" t="inlineStr">
        <is>
          <t>Itaguai</t>
        </is>
      </c>
      <c r="C5670" s="30" t="n">
        <v>79038849</v>
      </c>
      <c r="D5670" s="30">
        <f>"11395515000154"</f>
        <v/>
      </c>
      <c r="E5670" s="30" t="inlineStr">
        <is>
          <t>RODRIGUES E CORREDOR COMERCIO E CONFECCAO DE ROUPAS LTDA ME</t>
        </is>
      </c>
      <c r="F5670" s="30" t="inlineStr">
        <is>
          <t>2021</t>
        </is>
      </c>
      <c r="G5670" s="40" t="n">
        <v>0</v>
      </c>
    </row>
    <row r="5671" ht="12" customHeight="1">
      <c r="A5671" s="30" t="inlineStr">
        <is>
          <t>ITG</t>
        </is>
      </c>
      <c r="B5671" s="30" t="inlineStr">
        <is>
          <t>Itaguai</t>
        </is>
      </c>
      <c r="C5671" s="30" t="n">
        <v>79038849</v>
      </c>
      <c r="D5671" s="30">
        <f>"11395515000154"</f>
        <v/>
      </c>
      <c r="E5671" s="30" t="inlineStr">
        <is>
          <t>RODRIGUES E CORREDOR COMERCIO E CONFECCAO DE ROUPAS LTDA ME</t>
        </is>
      </c>
      <c r="F5671" s="30" t="inlineStr">
        <is>
          <t>2022</t>
        </is>
      </c>
      <c r="G5671" s="40" t="n">
        <v>0</v>
      </c>
    </row>
    <row r="5672" ht="12" customHeight="1">
      <c r="A5672" s="30" t="inlineStr">
        <is>
          <t>ITG</t>
        </is>
      </c>
      <c r="B5672" s="30" t="inlineStr">
        <is>
          <t>Itaguai</t>
        </is>
      </c>
      <c r="C5672" s="30" t="n">
        <v>79038849</v>
      </c>
      <c r="D5672" s="30">
        <f>"11395515000154"</f>
        <v/>
      </c>
      <c r="E5672" s="30" t="inlineStr">
        <is>
          <t>RODRIGUES E CORREDOR COMERCIO E CONFECCAO DE ROUPAS LTDA ME</t>
        </is>
      </c>
      <c r="F5672" s="30" t="inlineStr">
        <is>
          <t>2023</t>
        </is>
      </c>
      <c r="G5672" s="40" t="n">
        <v>0</v>
      </c>
    </row>
    <row r="5673" ht="12" customHeight="1">
      <c r="A5673" s="30" t="inlineStr">
        <is>
          <t>ITG</t>
        </is>
      </c>
      <c r="B5673" s="30" t="inlineStr">
        <is>
          <t>Itaguai</t>
        </is>
      </c>
      <c r="C5673" s="30" t="n">
        <v>79038857</v>
      </c>
      <c r="D5673" s="30">
        <f>"11836157000178"</f>
        <v/>
      </c>
      <c r="E5673" s="30" t="inlineStr">
        <is>
          <t>DROGARIA SANTOS &amp; PIRES LTDA ME</t>
        </is>
      </c>
      <c r="F5673" s="30" t="inlineStr">
        <is>
          <t>2017</t>
        </is>
      </c>
      <c r="G5673" s="40" t="n">
        <v>0</v>
      </c>
    </row>
    <row r="5674" ht="12" customHeight="1">
      <c r="A5674" s="30" t="inlineStr">
        <is>
          <t>ITG</t>
        </is>
      </c>
      <c r="B5674" s="30" t="inlineStr">
        <is>
          <t>Itaguai</t>
        </is>
      </c>
      <c r="C5674" s="30" t="n">
        <v>79038857</v>
      </c>
      <c r="D5674" s="30">
        <f>"11836157000178"</f>
        <v/>
      </c>
      <c r="E5674" s="30" t="inlineStr">
        <is>
          <t>DROGARIA SANTOS &amp; PIRES LTDA ME</t>
        </is>
      </c>
      <c r="F5674" s="30" t="inlineStr">
        <is>
          <t>2018</t>
        </is>
      </c>
      <c r="G5674" s="40" t="n">
        <v>0</v>
      </c>
    </row>
    <row r="5675" ht="12" customHeight="1">
      <c r="A5675" s="30" t="inlineStr">
        <is>
          <t>ITG</t>
        </is>
      </c>
      <c r="B5675" s="30" t="inlineStr">
        <is>
          <t>Itaguai</t>
        </is>
      </c>
      <c r="C5675" s="30" t="n">
        <v>79038857</v>
      </c>
      <c r="D5675" s="30">
        <f>"11836157000178"</f>
        <v/>
      </c>
      <c r="E5675" s="30" t="inlineStr">
        <is>
          <t>DROGARIA SANTOS &amp; PIRES LTDA ME</t>
        </is>
      </c>
      <c r="F5675" s="30" t="inlineStr">
        <is>
          <t>2019</t>
        </is>
      </c>
      <c r="G5675" s="40" t="n">
        <v>137047.87</v>
      </c>
    </row>
    <row r="5676" ht="12" customHeight="1">
      <c r="A5676" s="30" t="inlineStr">
        <is>
          <t>ITG</t>
        </is>
      </c>
      <c r="B5676" s="30" t="inlineStr">
        <is>
          <t>Itaguai</t>
        </is>
      </c>
      <c r="C5676" s="30" t="n">
        <v>79038857</v>
      </c>
      <c r="D5676" s="30">
        <f>"11836157000178"</f>
        <v/>
      </c>
      <c r="E5676" s="30" t="inlineStr">
        <is>
          <t>DROGARIA SANTOS &amp; PIRES LTDA ME</t>
        </is>
      </c>
      <c r="F5676" s="30" t="inlineStr">
        <is>
          <t>2020</t>
        </is>
      </c>
      <c r="G5676" s="40" t="n">
        <v>62822.07</v>
      </c>
    </row>
    <row r="5677" ht="12" customHeight="1">
      <c r="A5677" s="30" t="inlineStr">
        <is>
          <t>ITG</t>
        </is>
      </c>
      <c r="B5677" s="30" t="inlineStr">
        <is>
          <t>Itaguai</t>
        </is>
      </c>
      <c r="C5677" s="30" t="n">
        <v>79038857</v>
      </c>
      <c r="D5677" s="30">
        <f>"11836157000178"</f>
        <v/>
      </c>
      <c r="E5677" s="30" t="inlineStr">
        <is>
          <t>DROGARIA SANTOS &amp; PIRES LTDA ME</t>
        </is>
      </c>
      <c r="F5677" s="30" t="inlineStr">
        <is>
          <t>2021</t>
        </is>
      </c>
      <c r="G5677" s="40" t="n">
        <v>22957.18</v>
      </c>
    </row>
    <row r="5678" ht="12" customHeight="1">
      <c r="A5678" s="30" t="inlineStr">
        <is>
          <t>ITG</t>
        </is>
      </c>
      <c r="B5678" s="30" t="inlineStr">
        <is>
          <t>Itaguai</t>
        </is>
      </c>
      <c r="C5678" s="30" t="n">
        <v>79038857</v>
      </c>
      <c r="D5678" s="30">
        <f>"11836157000178"</f>
        <v/>
      </c>
      <c r="E5678" s="30" t="inlineStr">
        <is>
          <t>DROGARIA SANTOS &amp; PIRES LTDA ME</t>
        </is>
      </c>
      <c r="F5678" s="30" t="inlineStr">
        <is>
          <t>2022</t>
        </is>
      </c>
      <c r="G5678" s="40" t="n">
        <v>0</v>
      </c>
    </row>
    <row r="5679" ht="12" customHeight="1">
      <c r="A5679" s="30" t="inlineStr">
        <is>
          <t>ITG</t>
        </is>
      </c>
      <c r="B5679" s="30" t="inlineStr">
        <is>
          <t>Itaguai</t>
        </is>
      </c>
      <c r="C5679" s="30" t="n">
        <v>79038857</v>
      </c>
      <c r="D5679" s="30">
        <f>"11836157000178"</f>
        <v/>
      </c>
      <c r="E5679" s="30" t="inlineStr">
        <is>
          <t>DROGARIA SANTOS &amp; PIRES LTDA ME</t>
        </is>
      </c>
      <c r="F5679" s="30" t="inlineStr">
        <is>
          <t>2023</t>
        </is>
      </c>
      <c r="G5679" s="40" t="n">
        <v>0</v>
      </c>
    </row>
    <row r="5680" ht="12" customHeight="1">
      <c r="A5680" s="30" t="inlineStr">
        <is>
          <t>ITG</t>
        </is>
      </c>
      <c r="B5680" s="30" t="inlineStr">
        <is>
          <t>Itaguai</t>
        </is>
      </c>
      <c r="C5680" s="30" t="n">
        <v>79041777</v>
      </c>
      <c r="D5680" s="30">
        <f>"11884885000155"</f>
        <v/>
      </c>
      <c r="E5680" s="30" t="inlineStr">
        <is>
          <t>DROGARIA SILVA DE ITAGUAI LTDA EPP</t>
        </is>
      </c>
      <c r="F5680" s="30" t="inlineStr">
        <is>
          <t>2017</t>
        </is>
      </c>
      <c r="G5680" s="40" t="n">
        <v>0</v>
      </c>
    </row>
    <row r="5681" ht="12" customHeight="1">
      <c r="A5681" s="30" t="inlineStr">
        <is>
          <t>ITG</t>
        </is>
      </c>
      <c r="B5681" s="30" t="inlineStr">
        <is>
          <t>Itaguai</t>
        </is>
      </c>
      <c r="C5681" s="30" t="n">
        <v>79041777</v>
      </c>
      <c r="D5681" s="30">
        <f>"11884885000155"</f>
        <v/>
      </c>
      <c r="E5681" s="30" t="inlineStr">
        <is>
          <t>DROGARIA SILVA DE ITAGUAI LTDA EPP</t>
        </is>
      </c>
      <c r="F5681" s="30" t="inlineStr">
        <is>
          <t>2018</t>
        </is>
      </c>
      <c r="G5681" s="40" t="n">
        <v>3050861.54</v>
      </c>
    </row>
    <row r="5682" ht="12" customHeight="1">
      <c r="A5682" s="30" t="inlineStr">
        <is>
          <t>ITG</t>
        </is>
      </c>
      <c r="B5682" s="30" t="inlineStr">
        <is>
          <t>Itaguai</t>
        </is>
      </c>
      <c r="C5682" s="30" t="n">
        <v>79041777</v>
      </c>
      <c r="D5682" s="30">
        <f>"11884885000155"</f>
        <v/>
      </c>
      <c r="E5682" s="30" t="inlineStr">
        <is>
          <t>DROGARIA SILVA DE ITAGUAI LTDA EPP</t>
        </is>
      </c>
      <c r="F5682" s="30" t="inlineStr">
        <is>
          <t>2019</t>
        </is>
      </c>
      <c r="G5682" s="40" t="n">
        <v>876355.33</v>
      </c>
    </row>
    <row r="5683" ht="12" customHeight="1">
      <c r="A5683" s="30" t="inlineStr">
        <is>
          <t>ITG</t>
        </is>
      </c>
      <c r="B5683" s="30" t="inlineStr">
        <is>
          <t>Itaguai</t>
        </is>
      </c>
      <c r="C5683" s="30" t="n">
        <v>79041777</v>
      </c>
      <c r="D5683" s="30">
        <f>"11884885000155"</f>
        <v/>
      </c>
      <c r="E5683" s="30" t="inlineStr">
        <is>
          <t>DROGARIA SILVA DE ITAGUAI LTDA EPP</t>
        </is>
      </c>
      <c r="F5683" s="30" t="inlineStr">
        <is>
          <t>2020</t>
        </is>
      </c>
      <c r="G5683" s="40" t="n">
        <v>484807.47</v>
      </c>
    </row>
    <row r="5684" ht="12" customHeight="1">
      <c r="A5684" s="30" t="inlineStr">
        <is>
          <t>ITG</t>
        </is>
      </c>
      <c r="B5684" s="30" t="inlineStr">
        <is>
          <t>Itaguai</t>
        </is>
      </c>
      <c r="C5684" s="30" t="n">
        <v>79041777</v>
      </c>
      <c r="D5684" s="30">
        <f>"11884885000155"</f>
        <v/>
      </c>
      <c r="E5684" s="30" t="inlineStr">
        <is>
          <t>DROGARIA SILVA DE ITAGUAI LTDA EPP</t>
        </is>
      </c>
      <c r="F5684" s="30" t="inlineStr">
        <is>
          <t>2021</t>
        </is>
      </c>
      <c r="G5684" s="40" t="n">
        <v>1357204.39</v>
      </c>
    </row>
    <row r="5685" ht="12" customHeight="1">
      <c r="A5685" s="30" t="inlineStr">
        <is>
          <t>ITG</t>
        </is>
      </c>
      <c r="B5685" s="30" t="inlineStr">
        <is>
          <t>Itaguai</t>
        </is>
      </c>
      <c r="C5685" s="30" t="n">
        <v>79041777</v>
      </c>
      <c r="D5685" s="30">
        <f>"11884885000155"</f>
        <v/>
      </c>
      <c r="E5685" s="30" t="inlineStr">
        <is>
          <t>DROGARIA SILVA DE ITAGUAI LTDA EPP</t>
        </is>
      </c>
      <c r="F5685" s="30" t="inlineStr">
        <is>
          <t>2022</t>
        </is>
      </c>
      <c r="G5685" s="40" t="n">
        <v>0</v>
      </c>
    </row>
    <row r="5686" ht="12" customHeight="1">
      <c r="A5686" s="30" t="inlineStr">
        <is>
          <t>ITG</t>
        </is>
      </c>
      <c r="B5686" s="30" t="inlineStr">
        <is>
          <t>Itaguai</t>
        </is>
      </c>
      <c r="C5686" s="30" t="n">
        <v>79041777</v>
      </c>
      <c r="D5686" s="30">
        <f>"11884885000155"</f>
        <v/>
      </c>
      <c r="E5686" s="30" t="inlineStr">
        <is>
          <t>DROGARIA SILVA DE ITAGUAI LTDA EPP</t>
        </is>
      </c>
      <c r="F5686" s="30" t="inlineStr">
        <is>
          <t>2023</t>
        </is>
      </c>
      <c r="G5686" s="40" t="n">
        <v>0</v>
      </c>
    </row>
    <row r="5687" ht="12" customHeight="1">
      <c r="A5687" s="30" t="inlineStr">
        <is>
          <t>ITG</t>
        </is>
      </c>
      <c r="B5687" s="30" t="inlineStr">
        <is>
          <t>Itaguai</t>
        </is>
      </c>
      <c r="C5687" s="30" t="n">
        <v>79065668</v>
      </c>
      <c r="D5687" s="30">
        <f>"33355207000723"</f>
        <v/>
      </c>
      <c r="E5687" s="30" t="inlineStr">
        <is>
          <t>DROGARIA SANTO AGOSTINHO LTDA</t>
        </is>
      </c>
      <c r="F5687" s="30" t="inlineStr">
        <is>
          <t>2017</t>
        </is>
      </c>
      <c r="G5687" s="40" t="n">
        <v>2139121.49</v>
      </c>
    </row>
    <row r="5688" ht="12" customHeight="1">
      <c r="A5688" s="30" t="inlineStr">
        <is>
          <t>ITG</t>
        </is>
      </c>
      <c r="B5688" s="30" t="inlineStr">
        <is>
          <t>Itaguai</t>
        </is>
      </c>
      <c r="C5688" s="30" t="n">
        <v>79065668</v>
      </c>
      <c r="D5688" s="30">
        <f>"33355207000723"</f>
        <v/>
      </c>
      <c r="E5688" s="30" t="inlineStr">
        <is>
          <t>DROGARIA SANTO AGOSTINHO LTDA</t>
        </is>
      </c>
      <c r="F5688" s="30" t="inlineStr">
        <is>
          <t>2018</t>
        </is>
      </c>
      <c r="G5688" s="40" t="n">
        <v>2061933.91</v>
      </c>
    </row>
    <row r="5689" ht="12" customHeight="1">
      <c r="A5689" s="30" t="inlineStr">
        <is>
          <t>ITG</t>
        </is>
      </c>
      <c r="B5689" s="30" t="inlineStr">
        <is>
          <t>Itaguai</t>
        </is>
      </c>
      <c r="C5689" s="30" t="n">
        <v>79065668</v>
      </c>
      <c r="D5689" s="30">
        <f>"33355207000723"</f>
        <v/>
      </c>
      <c r="E5689" s="30" t="inlineStr">
        <is>
          <t>DROGARIA SANTO AGOSTINHO LTDA</t>
        </is>
      </c>
      <c r="F5689" s="30" t="inlineStr">
        <is>
          <t>2019</t>
        </is>
      </c>
      <c r="G5689" s="40" t="n">
        <v>2640874.76</v>
      </c>
    </row>
    <row r="5690" ht="12" customHeight="1">
      <c r="A5690" s="30" t="inlineStr">
        <is>
          <t>ITG</t>
        </is>
      </c>
      <c r="B5690" s="30" t="inlineStr">
        <is>
          <t>Itaguai</t>
        </is>
      </c>
      <c r="C5690" s="30" t="n">
        <v>79065668</v>
      </c>
      <c r="D5690" s="30">
        <f>"33355207000723"</f>
        <v/>
      </c>
      <c r="E5690" s="30" t="inlineStr">
        <is>
          <t>DROGARIA SANTO AGOSTINHO LTDA</t>
        </is>
      </c>
      <c r="F5690" s="30" t="inlineStr">
        <is>
          <t>2020</t>
        </is>
      </c>
      <c r="G5690" s="40" t="n">
        <v>2943865.63</v>
      </c>
    </row>
    <row r="5691" ht="12" customHeight="1">
      <c r="A5691" s="30" t="inlineStr">
        <is>
          <t>ITG</t>
        </is>
      </c>
      <c r="B5691" s="30" t="inlineStr">
        <is>
          <t>Itaguai</t>
        </is>
      </c>
      <c r="C5691" s="30" t="n">
        <v>79065668</v>
      </c>
      <c r="D5691" s="30">
        <f>"33355207000723"</f>
        <v/>
      </c>
      <c r="E5691" s="30" t="inlineStr">
        <is>
          <t>DROGARIA SANTO AGOSTINHO LTDA</t>
        </is>
      </c>
      <c r="F5691" s="30" t="inlineStr">
        <is>
          <t>2021</t>
        </is>
      </c>
      <c r="G5691" s="40" t="n">
        <v>4270421.26</v>
      </c>
    </row>
    <row r="5692" ht="12" customHeight="1">
      <c r="A5692" s="30" t="inlineStr">
        <is>
          <t>ITG</t>
        </is>
      </c>
      <c r="B5692" s="30" t="inlineStr">
        <is>
          <t>Itaguai</t>
        </is>
      </c>
      <c r="C5692" s="30" t="n">
        <v>79065668</v>
      </c>
      <c r="D5692" s="30">
        <f>"33355207000723"</f>
        <v/>
      </c>
      <c r="E5692" s="30" t="inlineStr">
        <is>
          <t>DROGARIA SANTO AGOSTINHO LTDA</t>
        </is>
      </c>
      <c r="F5692" s="30" t="inlineStr">
        <is>
          <t>2022</t>
        </is>
      </c>
      <c r="G5692" s="40" t="n">
        <v>4123002.79</v>
      </c>
    </row>
    <row r="5693" ht="12" customHeight="1">
      <c r="A5693" s="30" t="inlineStr">
        <is>
          <t>ITG</t>
        </is>
      </c>
      <c r="B5693" s="30" t="inlineStr">
        <is>
          <t>Itaguai</t>
        </is>
      </c>
      <c r="C5693" s="30" t="n">
        <v>79065668</v>
      </c>
      <c r="D5693" s="30">
        <f>"33355207000723"</f>
        <v/>
      </c>
      <c r="E5693" s="30" t="inlineStr">
        <is>
          <t>DROGARIA SANTO AGOSTINHO LTDA</t>
        </is>
      </c>
      <c r="F5693" s="30" t="inlineStr">
        <is>
          <t>2023</t>
        </is>
      </c>
      <c r="G5693" s="40" t="n">
        <v>3500380.39</v>
      </c>
    </row>
    <row r="5694" ht="12" customHeight="1">
      <c r="A5694" s="30" t="inlineStr">
        <is>
          <t>ITG</t>
        </is>
      </c>
      <c r="B5694" s="30" t="inlineStr">
        <is>
          <t>Itaguai</t>
        </is>
      </c>
      <c r="C5694" s="30" t="n">
        <v>79065684</v>
      </c>
      <c r="D5694" s="30">
        <f>"33355207000804"</f>
        <v/>
      </c>
      <c r="E5694" s="30" t="inlineStr">
        <is>
          <t>DROGARIA SANTO AGOSTINHO LTDA</t>
        </is>
      </c>
      <c r="F5694" s="30" t="inlineStr">
        <is>
          <t>2017</t>
        </is>
      </c>
      <c r="G5694" s="40" t="n">
        <v>1087151.31</v>
      </c>
    </row>
    <row r="5695" ht="12" customHeight="1">
      <c r="A5695" s="30" t="inlineStr">
        <is>
          <t>ITG</t>
        </is>
      </c>
      <c r="B5695" s="30" t="inlineStr">
        <is>
          <t>Itaguai</t>
        </is>
      </c>
      <c r="C5695" s="30" t="n">
        <v>79065684</v>
      </c>
      <c r="D5695" s="30">
        <f>"33355207000804"</f>
        <v/>
      </c>
      <c r="E5695" s="30" t="inlineStr">
        <is>
          <t>DROGARIA SANTO AGOSTINHO LTDA</t>
        </is>
      </c>
      <c r="F5695" s="30" t="inlineStr">
        <is>
          <t>2018</t>
        </is>
      </c>
      <c r="G5695" s="40" t="n">
        <v>1034790.82</v>
      </c>
    </row>
    <row r="5696" ht="12" customHeight="1">
      <c r="A5696" s="30" t="inlineStr">
        <is>
          <t>ITG</t>
        </is>
      </c>
      <c r="B5696" s="30" t="inlineStr">
        <is>
          <t>Itaguai</t>
        </is>
      </c>
      <c r="C5696" s="30" t="n">
        <v>79065684</v>
      </c>
      <c r="D5696" s="30">
        <f>"33355207000804"</f>
        <v/>
      </c>
      <c r="E5696" s="30" t="inlineStr">
        <is>
          <t>DROGARIA SANTO AGOSTINHO LTDA</t>
        </is>
      </c>
      <c r="F5696" s="30" t="inlineStr">
        <is>
          <t>2019</t>
        </is>
      </c>
      <c r="G5696" s="40" t="n">
        <v>1199083.79</v>
      </c>
    </row>
    <row r="5697" ht="12" customHeight="1">
      <c r="A5697" s="30" t="inlineStr">
        <is>
          <t>ITG</t>
        </is>
      </c>
      <c r="B5697" s="30" t="inlineStr">
        <is>
          <t>Itaguai</t>
        </is>
      </c>
      <c r="C5697" s="30" t="n">
        <v>79065684</v>
      </c>
      <c r="D5697" s="30">
        <f>"33355207000804"</f>
        <v/>
      </c>
      <c r="E5697" s="30" t="inlineStr">
        <is>
          <t>DROGARIA SANTO AGOSTINHO LTDA</t>
        </is>
      </c>
      <c r="F5697" s="30" t="inlineStr">
        <is>
          <t>2020</t>
        </is>
      </c>
      <c r="G5697" s="40" t="n">
        <v>982706.03</v>
      </c>
    </row>
    <row r="5698" ht="12" customHeight="1">
      <c r="A5698" s="30" t="inlineStr">
        <is>
          <t>ITG</t>
        </is>
      </c>
      <c r="B5698" s="30" t="inlineStr">
        <is>
          <t>Itaguai</t>
        </is>
      </c>
      <c r="C5698" s="30" t="n">
        <v>79065684</v>
      </c>
      <c r="D5698" s="30">
        <f>"33355207000804"</f>
        <v/>
      </c>
      <c r="E5698" s="30" t="inlineStr">
        <is>
          <t>DROGARIA SANTO AGOSTINHO LTDA</t>
        </is>
      </c>
      <c r="F5698" s="30" t="inlineStr">
        <is>
          <t>2021</t>
        </is>
      </c>
      <c r="G5698" s="40" t="n">
        <v>1696314.2</v>
      </c>
    </row>
    <row r="5699" ht="12" customHeight="1">
      <c r="A5699" s="30" t="inlineStr">
        <is>
          <t>ITG</t>
        </is>
      </c>
      <c r="B5699" s="30" t="inlineStr">
        <is>
          <t>Itaguai</t>
        </is>
      </c>
      <c r="C5699" s="30" t="n">
        <v>79065684</v>
      </c>
      <c r="D5699" s="30">
        <f>"33355207000804"</f>
        <v/>
      </c>
      <c r="E5699" s="30" t="inlineStr">
        <is>
          <t>DROGARIA SANTO AGOSTINHO LTDA</t>
        </is>
      </c>
      <c r="F5699" s="30" t="inlineStr">
        <is>
          <t>2022</t>
        </is>
      </c>
      <c r="G5699" s="40" t="n">
        <v>1275212.49</v>
      </c>
    </row>
    <row r="5700" ht="12" customHeight="1">
      <c r="A5700" s="30" t="inlineStr">
        <is>
          <t>ITG</t>
        </is>
      </c>
      <c r="B5700" s="30" t="inlineStr">
        <is>
          <t>Itaguai</t>
        </is>
      </c>
      <c r="C5700" s="30" t="n">
        <v>79065684</v>
      </c>
      <c r="D5700" s="30">
        <f>"33355207000804"</f>
        <v/>
      </c>
      <c r="E5700" s="30" t="inlineStr">
        <is>
          <t>DROGARIA SANTO AGOSTINHO LTDA</t>
        </is>
      </c>
      <c r="F5700" s="30" t="inlineStr">
        <is>
          <t>2023</t>
        </is>
      </c>
      <c r="G5700" s="40" t="n">
        <v>1297470.43</v>
      </c>
    </row>
    <row r="5701" ht="12" customHeight="1">
      <c r="A5701" s="30" t="inlineStr">
        <is>
          <t>ITG</t>
        </is>
      </c>
      <c r="B5701" s="30" t="inlineStr">
        <is>
          <t>Itaguai</t>
        </is>
      </c>
      <c r="C5701" s="30" t="n">
        <v>79091111</v>
      </c>
      <c r="D5701" s="30">
        <f>"12104312000124"</f>
        <v/>
      </c>
      <c r="E5701" s="30" t="inlineStr">
        <is>
          <t>DROGA-FARMA RIO DE ITAGUAI LTDA - ME</t>
        </is>
      </c>
      <c r="F5701" s="30" t="inlineStr">
        <is>
          <t>2020</t>
        </is>
      </c>
      <c r="G5701" s="40" t="n">
        <v>0</v>
      </c>
    </row>
    <row r="5702" ht="12" customHeight="1">
      <c r="A5702" s="30" t="inlineStr">
        <is>
          <t>ITG</t>
        </is>
      </c>
      <c r="B5702" s="30" t="inlineStr">
        <is>
          <t>Itaguai</t>
        </is>
      </c>
      <c r="C5702" s="30" t="n">
        <v>79091111</v>
      </c>
      <c r="D5702" s="30">
        <f>"12104312000124"</f>
        <v/>
      </c>
      <c r="E5702" s="30" t="inlineStr">
        <is>
          <t>DROGA-FARMA RIO DE ITAGUAI LTDA - ME</t>
        </is>
      </c>
      <c r="F5702" s="30" t="inlineStr">
        <is>
          <t>2021</t>
        </is>
      </c>
      <c r="G5702" s="40" t="n">
        <v>0</v>
      </c>
    </row>
    <row r="5703" ht="12" customHeight="1">
      <c r="A5703" s="30" t="inlineStr">
        <is>
          <t>ITG</t>
        </is>
      </c>
      <c r="B5703" s="30" t="inlineStr">
        <is>
          <t>Itaguai</t>
        </is>
      </c>
      <c r="C5703" s="30" t="n">
        <v>79091111</v>
      </c>
      <c r="D5703" s="30">
        <f>"12104312000124"</f>
        <v/>
      </c>
      <c r="E5703" s="30" t="inlineStr">
        <is>
          <t>DROGA-FARMA RIO DE ITAGUAI LTDA - ME</t>
        </is>
      </c>
      <c r="F5703" s="30" t="inlineStr">
        <is>
          <t>2022</t>
        </is>
      </c>
      <c r="G5703" s="40" t="n">
        <v>2888123.64</v>
      </c>
    </row>
    <row r="5704" ht="12" customHeight="1">
      <c r="A5704" s="30" t="inlineStr">
        <is>
          <t>ITG</t>
        </is>
      </c>
      <c r="B5704" s="30" t="inlineStr">
        <is>
          <t>Itaguai</t>
        </is>
      </c>
      <c r="C5704" s="30" t="n">
        <v>79091111</v>
      </c>
      <c r="D5704" s="30">
        <f>"12104312000124"</f>
        <v/>
      </c>
      <c r="E5704" s="30" t="inlineStr">
        <is>
          <t>DROGA-FARMA RIO DE ITAGUAI LTDA - ME</t>
        </is>
      </c>
      <c r="F5704" s="30" t="inlineStr">
        <is>
          <t>2023</t>
        </is>
      </c>
      <c r="G5704" s="40" t="n">
        <v>0</v>
      </c>
    </row>
    <row r="5705" ht="12" customHeight="1">
      <c r="A5705" s="30" t="inlineStr">
        <is>
          <t>ITG</t>
        </is>
      </c>
      <c r="B5705" s="30" t="inlineStr">
        <is>
          <t>Itaguai</t>
        </is>
      </c>
      <c r="C5705" s="30" t="n">
        <v>79092959</v>
      </c>
      <c r="D5705" s="30">
        <f>"08955576000203"</f>
        <v/>
      </c>
      <c r="E5705" s="30" t="inlineStr">
        <is>
          <t>WINSTON TRANSPORTES LTDA</t>
        </is>
      </c>
      <c r="F5705" s="30" t="inlineStr">
        <is>
          <t>2017</t>
        </is>
      </c>
      <c r="G5705" s="40" t="n">
        <v>2000</v>
      </c>
    </row>
    <row r="5706" ht="12" customHeight="1">
      <c r="A5706" s="30" t="inlineStr">
        <is>
          <t>ITG</t>
        </is>
      </c>
      <c r="B5706" s="30" t="inlineStr">
        <is>
          <t>Itaguai</t>
        </is>
      </c>
      <c r="C5706" s="30" t="n">
        <v>79092959</v>
      </c>
      <c r="D5706" s="30">
        <f>"08955576000203"</f>
        <v/>
      </c>
      <c r="E5706" s="30" t="inlineStr">
        <is>
          <t>WINSTON TRANSPORTES LTDA</t>
        </is>
      </c>
      <c r="F5706" s="30" t="inlineStr">
        <is>
          <t>2018</t>
        </is>
      </c>
      <c r="G5706" s="40" t="n">
        <v>0</v>
      </c>
    </row>
    <row r="5707" ht="12" customHeight="1">
      <c r="A5707" s="30" t="inlineStr">
        <is>
          <t>ITG</t>
        </is>
      </c>
      <c r="B5707" s="30" t="inlineStr">
        <is>
          <t>Itaguai</t>
        </is>
      </c>
      <c r="C5707" s="30" t="n">
        <v>79092959</v>
      </c>
      <c r="D5707" s="30">
        <f>"08955576000203"</f>
        <v/>
      </c>
      <c r="E5707" s="30" t="inlineStr">
        <is>
          <t>WINSTON TRANSPORTES LTDA</t>
        </is>
      </c>
      <c r="F5707" s="30" t="inlineStr">
        <is>
          <t>2019</t>
        </is>
      </c>
      <c r="G5707" s="40" t="n">
        <v>0</v>
      </c>
    </row>
    <row r="5708" ht="12" customHeight="1">
      <c r="A5708" s="30" t="inlineStr">
        <is>
          <t>ITG</t>
        </is>
      </c>
      <c r="B5708" s="30" t="inlineStr">
        <is>
          <t>Itaguai</t>
        </is>
      </c>
      <c r="C5708" s="30" t="n">
        <v>79094714</v>
      </c>
      <c r="D5708" s="30">
        <f>"45242914024039"</f>
        <v/>
      </c>
      <c r="E5708" s="30" t="inlineStr">
        <is>
          <t>C&amp;A MODAS S.A.</t>
        </is>
      </c>
      <c r="F5708" s="30" t="inlineStr">
        <is>
          <t>2017</t>
        </is>
      </c>
      <c r="G5708" s="40" t="n">
        <v>4674316.46</v>
      </c>
    </row>
    <row r="5709" ht="12" customHeight="1">
      <c r="A5709" s="30" t="inlineStr">
        <is>
          <t>ITG</t>
        </is>
      </c>
      <c r="B5709" s="30" t="inlineStr">
        <is>
          <t>Itaguai</t>
        </is>
      </c>
      <c r="C5709" s="30" t="n">
        <v>79094714</v>
      </c>
      <c r="D5709" s="30">
        <f>"45242914024039"</f>
        <v/>
      </c>
      <c r="E5709" s="30" t="inlineStr">
        <is>
          <t>C&amp;A MODAS S.A.</t>
        </is>
      </c>
      <c r="F5709" s="30" t="inlineStr">
        <is>
          <t>2018</t>
        </is>
      </c>
      <c r="G5709" s="40" t="n">
        <v>4602988.7</v>
      </c>
    </row>
    <row r="5710" ht="12" customHeight="1">
      <c r="A5710" s="30" t="inlineStr">
        <is>
          <t>ITG</t>
        </is>
      </c>
      <c r="B5710" s="30" t="inlineStr">
        <is>
          <t>Itaguai</t>
        </is>
      </c>
      <c r="C5710" s="30" t="n">
        <v>79094714</v>
      </c>
      <c r="D5710" s="30">
        <f>"45242914024039"</f>
        <v/>
      </c>
      <c r="E5710" s="30" t="inlineStr">
        <is>
          <t>C&amp;A MODAS S.A.</t>
        </is>
      </c>
      <c r="F5710" s="30" t="inlineStr">
        <is>
          <t>2019</t>
        </is>
      </c>
      <c r="G5710" s="40" t="n">
        <v>6055412.71</v>
      </c>
    </row>
    <row r="5711" ht="12" customHeight="1">
      <c r="A5711" s="30" t="inlineStr">
        <is>
          <t>ITG</t>
        </is>
      </c>
      <c r="B5711" s="30" t="inlineStr">
        <is>
          <t>Itaguai</t>
        </is>
      </c>
      <c r="C5711" s="30" t="n">
        <v>79094714</v>
      </c>
      <c r="D5711" s="30">
        <f>"45242914024039"</f>
        <v/>
      </c>
      <c r="E5711" s="30" t="inlineStr">
        <is>
          <t>C&amp;A MODAS S.A.</t>
        </is>
      </c>
      <c r="F5711" s="30" t="inlineStr">
        <is>
          <t>2020</t>
        </is>
      </c>
      <c r="G5711" s="40" t="n">
        <v>3277691.47</v>
      </c>
    </row>
    <row r="5712" ht="12" customHeight="1">
      <c r="A5712" s="30" t="inlineStr">
        <is>
          <t>ITG</t>
        </is>
      </c>
      <c r="B5712" s="30" t="inlineStr">
        <is>
          <t>Itaguai</t>
        </is>
      </c>
      <c r="C5712" s="30" t="n">
        <v>79094714</v>
      </c>
      <c r="D5712" s="30">
        <f>"45242914024039"</f>
        <v/>
      </c>
      <c r="E5712" s="30" t="inlineStr">
        <is>
          <t>C&amp;A MODAS S.A.</t>
        </is>
      </c>
      <c r="F5712" s="30" t="inlineStr">
        <is>
          <t>2021</t>
        </is>
      </c>
      <c r="G5712" s="40" t="n">
        <v>4854639</v>
      </c>
    </row>
    <row r="5713" ht="12" customHeight="1">
      <c r="A5713" s="30" t="inlineStr">
        <is>
          <t>ITG</t>
        </is>
      </c>
      <c r="B5713" s="30" t="inlineStr">
        <is>
          <t>Itaguai</t>
        </is>
      </c>
      <c r="C5713" s="30" t="n">
        <v>79094714</v>
      </c>
      <c r="D5713" s="30">
        <f>"45242914024039"</f>
        <v/>
      </c>
      <c r="E5713" s="30" t="inlineStr">
        <is>
          <t>C&amp;A MODAS S.A.</t>
        </is>
      </c>
      <c r="F5713" s="30" t="inlineStr">
        <is>
          <t>2022</t>
        </is>
      </c>
      <c r="G5713" s="40" t="n">
        <v>4757819.62</v>
      </c>
    </row>
    <row r="5714" ht="12" customHeight="1">
      <c r="A5714" s="30" t="inlineStr">
        <is>
          <t>ITG</t>
        </is>
      </c>
      <c r="B5714" s="30" t="inlineStr">
        <is>
          <t>Itaguai</t>
        </is>
      </c>
      <c r="C5714" s="30" t="n">
        <v>79094714</v>
      </c>
      <c r="D5714" s="30">
        <f>"45242914024039"</f>
        <v/>
      </c>
      <c r="E5714" s="30" t="inlineStr">
        <is>
          <t>C&amp;A MODAS S.A.</t>
        </is>
      </c>
      <c r="F5714" s="30" t="inlineStr">
        <is>
          <t>2023</t>
        </is>
      </c>
      <c r="G5714" s="40" t="n">
        <v>5918244.79</v>
      </c>
    </row>
    <row r="5715" ht="12" customHeight="1">
      <c r="A5715" s="30" t="inlineStr">
        <is>
          <t>ITG</t>
        </is>
      </c>
      <c r="B5715" s="30" t="inlineStr">
        <is>
          <t>Itaguai</t>
        </is>
      </c>
      <c r="C5715" s="30" t="n">
        <v>79095346</v>
      </c>
      <c r="D5715" s="30">
        <f>"20520862004069"</f>
        <v/>
      </c>
      <c r="E5715" s="30" t="inlineStr">
        <is>
          <t>A R G LTDA</t>
        </is>
      </c>
      <c r="F5715" s="30" t="inlineStr">
        <is>
          <t>2017</t>
        </is>
      </c>
      <c r="G5715" s="40" t="n">
        <v>0</v>
      </c>
    </row>
    <row r="5716" ht="12" customHeight="1">
      <c r="A5716" s="30" t="inlineStr">
        <is>
          <t>ITG</t>
        </is>
      </c>
      <c r="B5716" s="30" t="inlineStr">
        <is>
          <t>Itaguai</t>
        </is>
      </c>
      <c r="C5716" s="30" t="n">
        <v>79095346</v>
      </c>
      <c r="D5716" s="30">
        <f>"20520862004069"</f>
        <v/>
      </c>
      <c r="E5716" s="30" t="inlineStr">
        <is>
          <t>A R G LTDA</t>
        </is>
      </c>
      <c r="F5716" s="30" t="inlineStr">
        <is>
          <t>2018</t>
        </is>
      </c>
      <c r="G5716" s="40" t="n">
        <v>0</v>
      </c>
    </row>
    <row r="5717" ht="12" customHeight="1">
      <c r="A5717" s="30" t="inlineStr">
        <is>
          <t>ITG</t>
        </is>
      </c>
      <c r="B5717" s="30" t="inlineStr">
        <is>
          <t>Itaguai</t>
        </is>
      </c>
      <c r="C5717" s="30" t="n">
        <v>79095346</v>
      </c>
      <c r="D5717" s="30">
        <f>"20520862004069"</f>
        <v/>
      </c>
      <c r="E5717" s="30" t="inlineStr">
        <is>
          <t>A R G LTDA</t>
        </is>
      </c>
      <c r="F5717" s="30" t="inlineStr">
        <is>
          <t>2019</t>
        </is>
      </c>
      <c r="G5717" s="40" t="n">
        <v>0</v>
      </c>
    </row>
    <row r="5718" ht="12" customHeight="1">
      <c r="A5718" s="30" t="inlineStr">
        <is>
          <t>ITG</t>
        </is>
      </c>
      <c r="B5718" s="30" t="inlineStr">
        <is>
          <t>Itaguai</t>
        </is>
      </c>
      <c r="C5718" s="30" t="n">
        <v>79095346</v>
      </c>
      <c r="D5718" s="30">
        <f>"20520862004069"</f>
        <v/>
      </c>
      <c r="E5718" s="30" t="inlineStr">
        <is>
          <t>A R G LTDA</t>
        </is>
      </c>
      <c r="F5718" s="30" t="inlineStr">
        <is>
          <t>2020</t>
        </is>
      </c>
      <c r="G5718" s="40" t="n">
        <v>0</v>
      </c>
    </row>
    <row r="5719" ht="12" customHeight="1">
      <c r="A5719" s="30" t="inlineStr">
        <is>
          <t>ITG</t>
        </is>
      </c>
      <c r="B5719" s="30" t="inlineStr">
        <is>
          <t>Itaguai</t>
        </is>
      </c>
      <c r="C5719" s="30" t="n">
        <v>79095346</v>
      </c>
      <c r="D5719" s="30">
        <f>"20520862004069"</f>
        <v/>
      </c>
      <c r="E5719" s="30" t="inlineStr">
        <is>
          <t>A R G LTDA</t>
        </is>
      </c>
      <c r="F5719" s="30" t="inlineStr">
        <is>
          <t>2021</t>
        </is>
      </c>
      <c r="G5719" s="40" t="n">
        <v>0</v>
      </c>
    </row>
    <row r="5720" ht="12" customHeight="1">
      <c r="A5720" s="30" t="inlineStr">
        <is>
          <t>ITG</t>
        </is>
      </c>
      <c r="B5720" s="30" t="inlineStr">
        <is>
          <t>Itaguai</t>
        </is>
      </c>
      <c r="C5720" s="30" t="n">
        <v>79095346</v>
      </c>
      <c r="D5720" s="30">
        <f>"20520862004069"</f>
        <v/>
      </c>
      <c r="E5720" s="30" t="inlineStr">
        <is>
          <t>A R G LTDA</t>
        </is>
      </c>
      <c r="F5720" s="30" t="inlineStr">
        <is>
          <t>2022</t>
        </is>
      </c>
      <c r="G5720" s="40" t="n">
        <v>0</v>
      </c>
    </row>
    <row r="5721" ht="12" customHeight="1">
      <c r="A5721" s="30" t="inlineStr">
        <is>
          <t>ITG</t>
        </is>
      </c>
      <c r="B5721" s="30" t="inlineStr">
        <is>
          <t>Itaguai</t>
        </is>
      </c>
      <c r="C5721" s="30" t="n">
        <v>79095524</v>
      </c>
      <c r="D5721" s="30">
        <f>"06979577000688"</f>
        <v/>
      </c>
      <c r="E5721" s="30" t="inlineStr">
        <is>
          <t>JC THEDIN TRANSPORTES LTDA</t>
        </is>
      </c>
      <c r="F5721" s="30" t="inlineStr">
        <is>
          <t>2017</t>
        </is>
      </c>
      <c r="G5721" s="40" t="n">
        <v>581.04</v>
      </c>
    </row>
    <row r="5722" ht="12" customHeight="1">
      <c r="A5722" s="30" t="inlineStr">
        <is>
          <t>ITG</t>
        </is>
      </c>
      <c r="B5722" s="30" t="inlineStr">
        <is>
          <t>Itaguai</t>
        </is>
      </c>
      <c r="C5722" s="30" t="n">
        <v>79095524</v>
      </c>
      <c r="D5722" s="30">
        <f>"06979577000688"</f>
        <v/>
      </c>
      <c r="E5722" s="30" t="inlineStr">
        <is>
          <t>JC THEDIN TRANSPORTES LTDA</t>
        </is>
      </c>
      <c r="F5722" s="30" t="inlineStr">
        <is>
          <t>2018</t>
        </is>
      </c>
      <c r="G5722" s="40" t="n">
        <v>0</v>
      </c>
    </row>
    <row r="5723" ht="12" customHeight="1">
      <c r="A5723" s="30" t="inlineStr">
        <is>
          <t>ITG</t>
        </is>
      </c>
      <c r="B5723" s="30" t="inlineStr">
        <is>
          <t>Itaguai</t>
        </is>
      </c>
      <c r="C5723" s="30" t="n">
        <v>79095524</v>
      </c>
      <c r="D5723" s="30">
        <f>"06979577000688"</f>
        <v/>
      </c>
      <c r="E5723" s="30" t="inlineStr">
        <is>
          <t>JC THEDIN TRANSPORTES LTDA</t>
        </is>
      </c>
      <c r="F5723" s="30" t="inlineStr">
        <is>
          <t>2019</t>
        </is>
      </c>
      <c r="G5723" s="40" t="n">
        <v>920.51</v>
      </c>
    </row>
    <row r="5724" ht="12" customHeight="1">
      <c r="A5724" s="30" t="inlineStr">
        <is>
          <t>ITG</t>
        </is>
      </c>
      <c r="B5724" s="30" t="inlineStr">
        <is>
          <t>Itaguai</t>
        </is>
      </c>
      <c r="C5724" s="30" t="n">
        <v>79095524</v>
      </c>
      <c r="D5724" s="30">
        <f>"06979577000688"</f>
        <v/>
      </c>
      <c r="E5724" s="30" t="inlineStr">
        <is>
          <t>JC THEDIN TRANSPORTES LTDA</t>
        </is>
      </c>
      <c r="F5724" s="30" t="inlineStr">
        <is>
          <t>2020</t>
        </is>
      </c>
      <c r="G5724" s="40" t="n">
        <v>1313.15</v>
      </c>
    </row>
    <row r="5725" ht="12" customHeight="1">
      <c r="A5725" s="30" t="inlineStr">
        <is>
          <t>ITG</t>
        </is>
      </c>
      <c r="B5725" s="30" t="inlineStr">
        <is>
          <t>Itaguai</t>
        </is>
      </c>
      <c r="C5725" s="30" t="n">
        <v>79095524</v>
      </c>
      <c r="D5725" s="30">
        <f>"06979577000688"</f>
        <v/>
      </c>
      <c r="E5725" s="30" t="inlineStr">
        <is>
          <t>JC THEDIN TRANSPORTES LTDA</t>
        </is>
      </c>
      <c r="F5725" s="30" t="inlineStr">
        <is>
          <t>2021</t>
        </is>
      </c>
      <c r="G5725" s="40" t="n">
        <v>887.61</v>
      </c>
    </row>
    <row r="5726" ht="12" customHeight="1">
      <c r="A5726" s="30" t="inlineStr">
        <is>
          <t>ITG</t>
        </is>
      </c>
      <c r="B5726" s="30" t="inlineStr">
        <is>
          <t>Itaguai</t>
        </is>
      </c>
      <c r="C5726" s="30" t="n">
        <v>79095524</v>
      </c>
      <c r="D5726" s="30">
        <f>"06979577000688"</f>
        <v/>
      </c>
      <c r="E5726" s="30" t="inlineStr">
        <is>
          <t>JC THEDIN TRANSPORTES LTDA</t>
        </is>
      </c>
      <c r="F5726" s="30" t="inlineStr">
        <is>
          <t>2022</t>
        </is>
      </c>
      <c r="G5726" s="40" t="n">
        <v>0</v>
      </c>
    </row>
    <row r="5727" ht="12" customHeight="1">
      <c r="A5727" s="30" t="inlineStr">
        <is>
          <t>ITG</t>
        </is>
      </c>
      <c r="B5727" s="30" t="inlineStr">
        <is>
          <t>Itaguai</t>
        </is>
      </c>
      <c r="C5727" s="30" t="n">
        <v>79095524</v>
      </c>
      <c r="D5727" s="30">
        <f>"06979577000688"</f>
        <v/>
      </c>
      <c r="E5727" s="30" t="inlineStr">
        <is>
          <t>JC THEDIN TRANSPORTES LTDA</t>
        </is>
      </c>
      <c r="F5727" s="30" t="inlineStr">
        <is>
          <t>2023</t>
        </is>
      </c>
      <c r="G5727" s="40" t="n">
        <v>338.68</v>
      </c>
    </row>
    <row r="5728" ht="12" customHeight="1">
      <c r="A5728" s="30" t="inlineStr">
        <is>
          <t>ITG</t>
        </is>
      </c>
      <c r="B5728" s="30" t="inlineStr">
        <is>
          <t>Itaguai</t>
        </is>
      </c>
      <c r="C5728" s="30" t="n">
        <v>79111678</v>
      </c>
      <c r="D5728" s="30">
        <f>"60157377000504"</f>
        <v/>
      </c>
      <c r="E5728" s="30" t="inlineStr">
        <is>
          <t>TRANS WELL S EXPRESSO RODOVIARIO EIRELI</t>
        </is>
      </c>
      <c r="F5728" s="30" t="inlineStr">
        <is>
          <t>2017</t>
        </is>
      </c>
      <c r="G5728" s="40" t="n">
        <v>0</v>
      </c>
    </row>
    <row r="5729" ht="12" customHeight="1">
      <c r="A5729" s="30" t="inlineStr">
        <is>
          <t>ITG</t>
        </is>
      </c>
      <c r="B5729" s="30" t="inlineStr">
        <is>
          <t>Itaguai</t>
        </is>
      </c>
      <c r="C5729" s="30" t="n">
        <v>79111678</v>
      </c>
      <c r="D5729" s="30">
        <f>"60157377000504"</f>
        <v/>
      </c>
      <c r="E5729" s="30" t="inlineStr">
        <is>
          <t>TRANS WELL S EXPRESSO RODOVIARIO EIRELI</t>
        </is>
      </c>
      <c r="F5729" s="30" t="inlineStr">
        <is>
          <t>2018</t>
        </is>
      </c>
      <c r="G5729" s="40" t="n">
        <v>5673.2</v>
      </c>
    </row>
    <row r="5730" ht="12" customHeight="1">
      <c r="A5730" s="30" t="inlineStr">
        <is>
          <t>ITG</t>
        </is>
      </c>
      <c r="B5730" s="30" t="inlineStr">
        <is>
          <t>Itaguai</t>
        </is>
      </c>
      <c r="C5730" s="30" t="n">
        <v>79111678</v>
      </c>
      <c r="D5730" s="30">
        <f>"60157377000504"</f>
        <v/>
      </c>
      <c r="E5730" s="30" t="inlineStr">
        <is>
          <t>TRANS WELL S EXPRESSO RODOVIARIO EIRELI</t>
        </is>
      </c>
      <c r="F5730" s="30" t="inlineStr">
        <is>
          <t>2019</t>
        </is>
      </c>
      <c r="G5730" s="40" t="n">
        <v>82.58</v>
      </c>
    </row>
    <row r="5731" ht="12" customHeight="1">
      <c r="A5731" s="30" t="inlineStr">
        <is>
          <t>ITG</t>
        </is>
      </c>
      <c r="B5731" s="30" t="inlineStr">
        <is>
          <t>Itaguai</t>
        </is>
      </c>
      <c r="C5731" s="30" t="n">
        <v>79111678</v>
      </c>
      <c r="D5731" s="30">
        <f>"60157377000504"</f>
        <v/>
      </c>
      <c r="E5731" s="30" t="inlineStr">
        <is>
          <t>TRANS WELL S EXPRESSO RODOVIARIO EIRELI</t>
        </is>
      </c>
      <c r="F5731" s="30" t="inlineStr">
        <is>
          <t>2020</t>
        </is>
      </c>
      <c r="G5731" s="40" t="n">
        <v>75.02</v>
      </c>
    </row>
    <row r="5732" ht="12" customHeight="1">
      <c r="A5732" s="30" t="inlineStr">
        <is>
          <t>ITG</t>
        </is>
      </c>
      <c r="B5732" s="30" t="inlineStr">
        <is>
          <t>Itaguai</t>
        </is>
      </c>
      <c r="C5732" s="30" t="n">
        <v>79111678</v>
      </c>
      <c r="D5732" s="30">
        <f>"60157377000504"</f>
        <v/>
      </c>
      <c r="E5732" s="30" t="inlineStr">
        <is>
          <t>TRANS WELL S EXPRESSO RODOVIARIO EIRELI</t>
        </is>
      </c>
      <c r="F5732" s="30" t="inlineStr">
        <is>
          <t>2021</t>
        </is>
      </c>
      <c r="G5732" s="40" t="n">
        <v>395.03</v>
      </c>
    </row>
    <row r="5733" ht="12" customHeight="1">
      <c r="A5733" s="30" t="inlineStr">
        <is>
          <t>ITG</t>
        </is>
      </c>
      <c r="B5733" s="30" t="inlineStr">
        <is>
          <t>Itaguai</t>
        </is>
      </c>
      <c r="C5733" s="30" t="n">
        <v>79111678</v>
      </c>
      <c r="D5733" s="30">
        <f>"60157377000504"</f>
        <v/>
      </c>
      <c r="E5733" s="30" t="inlineStr">
        <is>
          <t>TRANS WELL S EXPRESSO RODOVIARIO EIRELI</t>
        </is>
      </c>
      <c r="F5733" s="30" t="inlineStr">
        <is>
          <t>2022</t>
        </is>
      </c>
      <c r="G5733" s="40" t="n">
        <v>823.21</v>
      </c>
    </row>
    <row r="5734" ht="12" customHeight="1">
      <c r="A5734" s="30" t="inlineStr">
        <is>
          <t>ITG</t>
        </is>
      </c>
      <c r="B5734" s="30" t="inlineStr">
        <is>
          <t>Itaguai</t>
        </is>
      </c>
      <c r="C5734" s="30" t="n">
        <v>79111678</v>
      </c>
      <c r="D5734" s="30">
        <f>"60157377000504"</f>
        <v/>
      </c>
      <c r="E5734" s="30" t="inlineStr">
        <is>
          <t>TRANS WELL S EXPRESSO RODOVIARIO EIRELI</t>
        </is>
      </c>
      <c r="F5734" s="30" t="inlineStr">
        <is>
          <t>2023</t>
        </is>
      </c>
      <c r="G5734" s="40" t="n">
        <v>193.03</v>
      </c>
    </row>
    <row r="5735" ht="12" customHeight="1">
      <c r="A5735" s="30" t="inlineStr">
        <is>
          <t>ITG</t>
        </is>
      </c>
      <c r="B5735" s="30" t="inlineStr">
        <is>
          <t>Itaguai</t>
        </is>
      </c>
      <c r="C5735" s="30" t="n">
        <v>79113166</v>
      </c>
      <c r="D5735" s="30">
        <f>"12220768000150"</f>
        <v/>
      </c>
      <c r="E5735" s="30" t="inlineStr">
        <is>
          <t>PB2 RESTAURANTE E PIZZARIA EIRELI</t>
        </is>
      </c>
      <c r="F5735" s="30" t="inlineStr">
        <is>
          <t>2020</t>
        </is>
      </c>
      <c r="G5735" s="40" t="n">
        <v>0</v>
      </c>
    </row>
    <row r="5736" ht="12" customHeight="1">
      <c r="A5736" s="30" t="inlineStr">
        <is>
          <t>ITG</t>
        </is>
      </c>
      <c r="B5736" s="30" t="inlineStr">
        <is>
          <t>Itaguai</t>
        </is>
      </c>
      <c r="C5736" s="30" t="n">
        <v>79113166</v>
      </c>
      <c r="D5736" s="30">
        <f>"12220768000150"</f>
        <v/>
      </c>
      <c r="E5736" s="30" t="inlineStr">
        <is>
          <t>PB2 RESTAURANTE E PIZZARIA EIRELI</t>
        </is>
      </c>
      <c r="F5736" s="30" t="inlineStr">
        <is>
          <t>2021</t>
        </is>
      </c>
      <c r="G5736" s="40" t="n">
        <v>0</v>
      </c>
    </row>
    <row r="5737" ht="12" customHeight="1">
      <c r="A5737" s="30" t="inlineStr">
        <is>
          <t>ITG</t>
        </is>
      </c>
      <c r="B5737" s="30" t="inlineStr">
        <is>
          <t>Itaguai</t>
        </is>
      </c>
      <c r="C5737" s="30" t="n">
        <v>79113166</v>
      </c>
      <c r="D5737" s="30">
        <f>"12220768000150"</f>
        <v/>
      </c>
      <c r="E5737" s="30" t="inlineStr">
        <is>
          <t>PB2 RESTAURANTE E PIZZARIA EIRELI</t>
        </is>
      </c>
      <c r="F5737" s="30" t="inlineStr">
        <is>
          <t>2022</t>
        </is>
      </c>
      <c r="G5737" s="40" t="n">
        <v>0</v>
      </c>
    </row>
    <row r="5738" ht="12" customHeight="1">
      <c r="A5738" s="30" t="inlineStr">
        <is>
          <t>ITG</t>
        </is>
      </c>
      <c r="B5738" s="30" t="inlineStr">
        <is>
          <t>Itaguai</t>
        </is>
      </c>
      <c r="C5738" s="30" t="n">
        <v>79113166</v>
      </c>
      <c r="D5738" s="30">
        <f>"12220768000150"</f>
        <v/>
      </c>
      <c r="E5738" s="30" t="inlineStr">
        <is>
          <t>PB2 RESTAURANTE E PIZZARIA EIRELI</t>
        </is>
      </c>
      <c r="F5738" s="30" t="inlineStr">
        <is>
          <t>2023</t>
        </is>
      </c>
      <c r="G5738" s="40" t="n">
        <v>0</v>
      </c>
    </row>
    <row r="5739" ht="12" customHeight="1">
      <c r="A5739" s="30" t="inlineStr">
        <is>
          <t>ITG</t>
        </is>
      </c>
      <c r="B5739" s="30" t="inlineStr">
        <is>
          <t>Itaguai</t>
        </is>
      </c>
      <c r="C5739" s="30" t="n">
        <v>79114693</v>
      </c>
      <c r="D5739" s="30">
        <f>"60541240000559"</f>
        <v/>
      </c>
      <c r="E5739" s="30" t="inlineStr">
        <is>
          <t>TECNOLOG TRANSPORTES RODO AEREO E LOGISTICA LTDA</t>
        </is>
      </c>
      <c r="F5739" s="30" t="inlineStr">
        <is>
          <t>2019</t>
        </is>
      </c>
      <c r="G5739" s="40" t="n">
        <v>0</v>
      </c>
    </row>
    <row r="5740" ht="12" customHeight="1">
      <c r="A5740" s="30" t="inlineStr">
        <is>
          <t>ITG</t>
        </is>
      </c>
      <c r="B5740" s="30" t="inlineStr">
        <is>
          <t>Itaguai</t>
        </is>
      </c>
      <c r="C5740" s="30" t="n">
        <v>79114693</v>
      </c>
      <c r="D5740" s="30">
        <f>"60541240000559"</f>
        <v/>
      </c>
      <c r="E5740" s="30" t="inlineStr">
        <is>
          <t>TECNOLOG TRANSPORTES RODO AEREO E LOGISTICA LTDA</t>
        </is>
      </c>
      <c r="F5740" s="30" t="inlineStr">
        <is>
          <t>2020</t>
        </is>
      </c>
      <c r="G5740" s="40" t="n">
        <v>0</v>
      </c>
    </row>
    <row r="5741" ht="12" customHeight="1">
      <c r="A5741" s="30" t="inlineStr">
        <is>
          <t>ITG</t>
        </is>
      </c>
      <c r="B5741" s="30" t="inlineStr">
        <is>
          <t>Itaguai</t>
        </is>
      </c>
      <c r="C5741" s="30" t="n">
        <v>79114693</v>
      </c>
      <c r="D5741" s="30">
        <f>"60541240000559"</f>
        <v/>
      </c>
      <c r="E5741" s="30" t="inlineStr">
        <is>
          <t>TECNOLOG TRANSPORTES RODO AEREO E LOGISTICA LTDA</t>
        </is>
      </c>
      <c r="F5741" s="30" t="inlineStr">
        <is>
          <t>2021</t>
        </is>
      </c>
      <c r="G5741" s="40" t="n">
        <v>1501.94</v>
      </c>
    </row>
    <row r="5742" ht="12" customHeight="1">
      <c r="A5742" s="30" t="inlineStr">
        <is>
          <t>ITG</t>
        </is>
      </c>
      <c r="B5742" s="30" t="inlineStr">
        <is>
          <t>Itaguai</t>
        </is>
      </c>
      <c r="C5742" s="30" t="n">
        <v>79114693</v>
      </c>
      <c r="D5742" s="30">
        <f>"60541240000559"</f>
        <v/>
      </c>
      <c r="E5742" s="30" t="inlineStr">
        <is>
          <t>TECNOLOG TRANSPORTES RODO AEREO E LOGISTICA LTDA</t>
        </is>
      </c>
      <c r="F5742" s="30" t="inlineStr">
        <is>
          <t>2022</t>
        </is>
      </c>
      <c r="G5742" s="40" t="n">
        <v>0</v>
      </c>
    </row>
    <row r="5743" ht="12" customHeight="1">
      <c r="A5743" s="30" t="inlineStr">
        <is>
          <t>ITG</t>
        </is>
      </c>
      <c r="B5743" s="30" t="inlineStr">
        <is>
          <t>Itaguai</t>
        </is>
      </c>
      <c r="C5743" s="30" t="n">
        <v>79114693</v>
      </c>
      <c r="D5743" s="30">
        <f>"60541240000559"</f>
        <v/>
      </c>
      <c r="E5743" s="30" t="inlineStr">
        <is>
          <t>TECNOLOG TRANSPORTES RODO AEREO E LOGISTICA LTDA</t>
        </is>
      </c>
      <c r="F5743" s="30" t="inlineStr">
        <is>
          <t>2023</t>
        </is>
      </c>
      <c r="G5743" s="40" t="n">
        <v>0</v>
      </c>
    </row>
    <row r="5744" ht="12" customHeight="1">
      <c r="A5744" s="30" t="inlineStr">
        <is>
          <t>ITG</t>
        </is>
      </c>
      <c r="B5744" s="30" t="inlineStr">
        <is>
          <t>Itaguai</t>
        </is>
      </c>
      <c r="C5744" s="30" t="n">
        <v>79121320</v>
      </c>
      <c r="D5744" s="30">
        <f>"12186855000138"</f>
        <v/>
      </c>
      <c r="E5744" s="30" t="inlineStr">
        <is>
          <t>K LOG TRANSPORTES EIRELI</t>
        </is>
      </c>
      <c r="F5744" s="30" t="inlineStr">
        <is>
          <t>2017</t>
        </is>
      </c>
      <c r="G5744" s="40" t="n">
        <v>0</v>
      </c>
    </row>
    <row r="5745" ht="12" customHeight="1">
      <c r="A5745" s="30" t="inlineStr">
        <is>
          <t>ITG</t>
        </is>
      </c>
      <c r="B5745" s="30" t="inlineStr">
        <is>
          <t>Itaguai</t>
        </is>
      </c>
      <c r="C5745" s="30" t="n">
        <v>79121320</v>
      </c>
      <c r="D5745" s="30">
        <f>"12186855000138"</f>
        <v/>
      </c>
      <c r="E5745" s="30" t="inlineStr">
        <is>
          <t>K LOG TRANSPORTES EIRELI</t>
        </is>
      </c>
      <c r="F5745" s="30" t="inlineStr">
        <is>
          <t>2018</t>
        </is>
      </c>
      <c r="G5745" s="40" t="n">
        <v>124210.46</v>
      </c>
    </row>
    <row r="5746" ht="12" customHeight="1">
      <c r="A5746" s="30" t="inlineStr">
        <is>
          <t>ITG</t>
        </is>
      </c>
      <c r="B5746" s="30" t="inlineStr">
        <is>
          <t>Itaguai</t>
        </is>
      </c>
      <c r="C5746" s="30" t="n">
        <v>79121320</v>
      </c>
      <c r="D5746" s="30">
        <f>"12186855000138"</f>
        <v/>
      </c>
      <c r="E5746" s="30" t="inlineStr">
        <is>
          <t>K LOG TRANSPORTES EIRELI</t>
        </is>
      </c>
      <c r="F5746" s="30" t="inlineStr">
        <is>
          <t>2019</t>
        </is>
      </c>
      <c r="G5746" s="40" t="n">
        <v>691239.36</v>
      </c>
    </row>
    <row r="5747" ht="12" customHeight="1">
      <c r="A5747" s="30" t="inlineStr">
        <is>
          <t>ITG</t>
        </is>
      </c>
      <c r="B5747" s="30" t="inlineStr">
        <is>
          <t>Itaguai</t>
        </is>
      </c>
      <c r="C5747" s="30" t="n">
        <v>79121320</v>
      </c>
      <c r="D5747" s="30">
        <f>"12186855000138"</f>
        <v/>
      </c>
      <c r="E5747" s="30" t="inlineStr">
        <is>
          <t>K LOG TRANSPORTES EIRELI</t>
        </is>
      </c>
      <c r="F5747" s="30" t="inlineStr">
        <is>
          <t>2020</t>
        </is>
      </c>
      <c r="G5747" s="40" t="n">
        <v>306351.19</v>
      </c>
    </row>
    <row r="5748" ht="12" customHeight="1">
      <c r="A5748" s="30" t="inlineStr">
        <is>
          <t>ITG</t>
        </is>
      </c>
      <c r="B5748" s="30" t="inlineStr">
        <is>
          <t>Itaguai</t>
        </is>
      </c>
      <c r="C5748" s="30" t="n">
        <v>79121320</v>
      </c>
      <c r="D5748" s="30">
        <f>"12186855000138"</f>
        <v/>
      </c>
      <c r="E5748" s="30" t="inlineStr">
        <is>
          <t>K LOG TRANSPORTES EIRELI</t>
        </is>
      </c>
      <c r="F5748" s="30" t="inlineStr">
        <is>
          <t>2021</t>
        </is>
      </c>
      <c r="G5748" s="40" t="n">
        <v>93885.14</v>
      </c>
    </row>
    <row r="5749" ht="12" customHeight="1">
      <c r="A5749" s="30" t="inlineStr">
        <is>
          <t>ITG</t>
        </is>
      </c>
      <c r="B5749" s="30" t="inlineStr">
        <is>
          <t>Itaguai</t>
        </is>
      </c>
      <c r="C5749" s="30" t="n">
        <v>79121320</v>
      </c>
      <c r="D5749" s="30">
        <f>"12186855000138"</f>
        <v/>
      </c>
      <c r="E5749" s="30" t="inlineStr">
        <is>
          <t>K LOG TRANSPORTES EIRELI</t>
        </is>
      </c>
      <c r="F5749" s="30" t="inlineStr">
        <is>
          <t>2022</t>
        </is>
      </c>
      <c r="G5749" s="40" t="n">
        <v>0</v>
      </c>
    </row>
    <row r="5750" ht="12" customHeight="1">
      <c r="A5750" s="30" t="inlineStr">
        <is>
          <t>ITG</t>
        </is>
      </c>
      <c r="B5750" s="30" t="inlineStr">
        <is>
          <t>Itaguai</t>
        </is>
      </c>
      <c r="C5750" s="30" t="n">
        <v>79121320</v>
      </c>
      <c r="D5750" s="30">
        <f>"12186855000138"</f>
        <v/>
      </c>
      <c r="E5750" s="30" t="inlineStr">
        <is>
          <t>K LOG TRANSPORTES EIRELI</t>
        </is>
      </c>
      <c r="F5750" s="30" t="inlineStr">
        <is>
          <t>2023</t>
        </is>
      </c>
      <c r="G5750" s="40" t="n">
        <v>0</v>
      </c>
    </row>
    <row r="5751" ht="12" customHeight="1">
      <c r="A5751" s="30" t="inlineStr">
        <is>
          <t>ITG</t>
        </is>
      </c>
      <c r="B5751" s="30" t="inlineStr">
        <is>
          <t>Itaguai</t>
        </is>
      </c>
      <c r="C5751" s="30" t="n">
        <v>79121800</v>
      </c>
      <c r="D5751" s="30">
        <f>"05593147000237"</f>
        <v/>
      </c>
      <c r="E5751" s="30" t="inlineStr">
        <is>
          <t>VELTEN LOGISTICA E TRANSPORTE LTDA EPP</t>
        </is>
      </c>
      <c r="F5751" s="30" t="inlineStr">
        <is>
          <t>2017</t>
        </is>
      </c>
      <c r="G5751" s="40" t="n">
        <v>3.51</v>
      </c>
    </row>
    <row r="5752" ht="12" customHeight="1">
      <c r="A5752" s="30" t="inlineStr">
        <is>
          <t>ITG</t>
        </is>
      </c>
      <c r="B5752" s="30" t="inlineStr">
        <is>
          <t>Itaguai</t>
        </is>
      </c>
      <c r="C5752" s="30" t="n">
        <v>79121800</v>
      </c>
      <c r="D5752" s="30">
        <f>"05593147000237"</f>
        <v/>
      </c>
      <c r="E5752" s="30" t="inlineStr">
        <is>
          <t>VELTEN LOGISTICA E TRANSPORTE LTDA EPP</t>
        </is>
      </c>
      <c r="F5752" s="30" t="inlineStr">
        <is>
          <t>2018</t>
        </is>
      </c>
      <c r="G5752" s="40" t="n">
        <v>0</v>
      </c>
    </row>
    <row r="5753" ht="12" customHeight="1">
      <c r="A5753" s="30" t="inlineStr">
        <is>
          <t>ITG</t>
        </is>
      </c>
      <c r="B5753" s="30" t="inlineStr">
        <is>
          <t>Itaguai</t>
        </is>
      </c>
      <c r="C5753" s="30" t="n">
        <v>79121800</v>
      </c>
      <c r="D5753" s="30">
        <f>"05593147000237"</f>
        <v/>
      </c>
      <c r="E5753" s="30" t="inlineStr">
        <is>
          <t>VELTEN LOGISTICA E TRANSPORTE LTDA EPP</t>
        </is>
      </c>
      <c r="F5753" s="30" t="inlineStr">
        <is>
          <t>2019</t>
        </is>
      </c>
      <c r="G5753" s="40" t="n">
        <v>0</v>
      </c>
    </row>
    <row r="5754" ht="12" customHeight="1">
      <c r="A5754" s="30" t="inlineStr">
        <is>
          <t>ITG</t>
        </is>
      </c>
      <c r="B5754" s="30" t="inlineStr">
        <is>
          <t>Itaguai</t>
        </is>
      </c>
      <c r="C5754" s="30" t="n">
        <v>79123927</v>
      </c>
      <c r="D5754" s="30">
        <f>"12137130000150"</f>
        <v/>
      </c>
      <c r="E5754" s="30" t="inlineStr">
        <is>
          <t>REINO VEGETAL PLANTAS E JARDINS LTDA ME</t>
        </is>
      </c>
      <c r="F5754" s="30" t="inlineStr">
        <is>
          <t>2017</t>
        </is>
      </c>
      <c r="G5754" s="40" t="n">
        <v>0</v>
      </c>
    </row>
    <row r="5755" ht="12" customHeight="1">
      <c r="A5755" s="30" t="inlineStr">
        <is>
          <t>ITG</t>
        </is>
      </c>
      <c r="B5755" s="30" t="inlineStr">
        <is>
          <t>Itaguai</t>
        </is>
      </c>
      <c r="C5755" s="30" t="n">
        <v>79123927</v>
      </c>
      <c r="D5755" s="30">
        <f>"12137130000150"</f>
        <v/>
      </c>
      <c r="E5755" s="30" t="inlineStr">
        <is>
          <t>REINO VEGETAL PLANTAS E JARDINS LTDA ME</t>
        </is>
      </c>
      <c r="F5755" s="30" t="inlineStr">
        <is>
          <t>2018</t>
        </is>
      </c>
      <c r="G5755" s="40" t="n">
        <v>0</v>
      </c>
    </row>
    <row r="5756" ht="12" customHeight="1">
      <c r="A5756" s="30" t="inlineStr">
        <is>
          <t>ITG</t>
        </is>
      </c>
      <c r="B5756" s="30" t="inlineStr">
        <is>
          <t>Itaguai</t>
        </is>
      </c>
      <c r="C5756" s="30" t="n">
        <v>79123927</v>
      </c>
      <c r="D5756" s="30">
        <f>"12137130000150"</f>
        <v/>
      </c>
      <c r="E5756" s="30" t="inlineStr">
        <is>
          <t>REINO VEGETAL PLANTAS E JARDINS LTDA ME</t>
        </is>
      </c>
      <c r="F5756" s="30" t="inlineStr">
        <is>
          <t>2019</t>
        </is>
      </c>
      <c r="G5756" s="40" t="n">
        <v>0</v>
      </c>
    </row>
    <row r="5757" ht="12" customHeight="1">
      <c r="A5757" s="30" t="inlineStr">
        <is>
          <t>ITG</t>
        </is>
      </c>
      <c r="B5757" s="30" t="inlineStr">
        <is>
          <t>Itaguai</t>
        </is>
      </c>
      <c r="C5757" s="30" t="n">
        <v>79123927</v>
      </c>
      <c r="D5757" s="30">
        <f>"12137130000150"</f>
        <v/>
      </c>
      <c r="E5757" s="30" t="inlineStr">
        <is>
          <t>REINO VEGETAL PLANTAS E JARDINS LTDA ME</t>
        </is>
      </c>
      <c r="F5757" s="30" t="inlineStr">
        <is>
          <t>2020</t>
        </is>
      </c>
      <c r="G5757" s="40" t="n">
        <v>0</v>
      </c>
    </row>
    <row r="5758" ht="12" customHeight="1">
      <c r="A5758" s="30" t="inlineStr">
        <is>
          <t>ITG</t>
        </is>
      </c>
      <c r="B5758" s="30" t="inlineStr">
        <is>
          <t>Itaguai</t>
        </is>
      </c>
      <c r="C5758" s="30" t="n">
        <v>79123927</v>
      </c>
      <c r="D5758" s="30">
        <f>"12137130000150"</f>
        <v/>
      </c>
      <c r="E5758" s="30" t="inlineStr">
        <is>
          <t>REINO VEGETAL PLANTAS E JARDINS LTDA ME</t>
        </is>
      </c>
      <c r="F5758" s="30" t="inlineStr">
        <is>
          <t>2021</t>
        </is>
      </c>
      <c r="G5758" s="40" t="n">
        <v>0</v>
      </c>
    </row>
    <row r="5759" ht="12" customHeight="1">
      <c r="A5759" s="30" t="inlineStr">
        <is>
          <t>ITG</t>
        </is>
      </c>
      <c r="B5759" s="30" t="inlineStr">
        <is>
          <t>Itaguai</t>
        </is>
      </c>
      <c r="C5759" s="30" t="n">
        <v>79130508</v>
      </c>
      <c r="D5759" s="30">
        <f>"12330142000104"</f>
        <v/>
      </c>
      <c r="E5759" s="30" t="inlineStr">
        <is>
          <t>MABA V MANIPULACAO FARMACEUTICA EIRELI EPP</t>
        </is>
      </c>
      <c r="F5759" s="30" t="inlineStr">
        <is>
          <t>2020</t>
        </is>
      </c>
      <c r="G5759" s="40" t="n">
        <v>0</v>
      </c>
    </row>
    <row r="5760" ht="12" customHeight="1">
      <c r="A5760" s="30" t="inlineStr">
        <is>
          <t>ITG</t>
        </is>
      </c>
      <c r="B5760" s="30" t="inlineStr">
        <is>
          <t>Itaguai</t>
        </is>
      </c>
      <c r="C5760" s="30" t="n">
        <v>79130508</v>
      </c>
      <c r="D5760" s="30">
        <f>"12330142000104"</f>
        <v/>
      </c>
      <c r="E5760" s="30" t="inlineStr">
        <is>
          <t>MABA V MANIPULACAO FARMACEUTICA EIRELI EPP</t>
        </is>
      </c>
      <c r="F5760" s="30" t="inlineStr">
        <is>
          <t>2021</t>
        </is>
      </c>
      <c r="G5760" s="40" t="n">
        <v>0</v>
      </c>
    </row>
    <row r="5761" ht="12" customHeight="1">
      <c r="A5761" s="30" t="inlineStr">
        <is>
          <t>ITG</t>
        </is>
      </c>
      <c r="B5761" s="30" t="inlineStr">
        <is>
          <t>Itaguai</t>
        </is>
      </c>
      <c r="C5761" s="30" t="n">
        <v>79130508</v>
      </c>
      <c r="D5761" s="30">
        <f>"12330142000104"</f>
        <v/>
      </c>
      <c r="E5761" s="30" t="inlineStr">
        <is>
          <t>MABA V MANIPULACAO FARMACEUTICA EIRELI EPP</t>
        </is>
      </c>
      <c r="F5761" s="30" t="inlineStr">
        <is>
          <t>2022</t>
        </is>
      </c>
      <c r="G5761" s="40" t="n">
        <v>61739.18</v>
      </c>
    </row>
    <row r="5762" ht="12" customHeight="1">
      <c r="A5762" s="30" t="inlineStr">
        <is>
          <t>ITG</t>
        </is>
      </c>
      <c r="B5762" s="30" t="inlineStr">
        <is>
          <t>Itaguai</t>
        </is>
      </c>
      <c r="C5762" s="30" t="n">
        <v>79130508</v>
      </c>
      <c r="D5762" s="30">
        <f>"12330142000104"</f>
        <v/>
      </c>
      <c r="E5762" s="30" t="inlineStr">
        <is>
          <t>MABA V MANIPULACAO FARMACEUTICA EIRELI EPP</t>
        </is>
      </c>
      <c r="F5762" s="30" t="inlineStr">
        <is>
          <t>2023</t>
        </is>
      </c>
      <c r="G5762" s="40" t="n">
        <v>0</v>
      </c>
    </row>
    <row r="5763" ht="12" customHeight="1">
      <c r="A5763" s="30" t="inlineStr">
        <is>
          <t>ITG</t>
        </is>
      </c>
      <c r="B5763" s="30" t="inlineStr">
        <is>
          <t>Itaguai</t>
        </is>
      </c>
      <c r="C5763" s="30" t="n">
        <v>79133108</v>
      </c>
      <c r="D5763" s="30">
        <f>"11682198000157"</f>
        <v/>
      </c>
      <c r="E5763" s="30" t="inlineStr">
        <is>
          <t>TRANSMAGNOLOG SERVICOS LOGISTICOS LTDA</t>
        </is>
      </c>
      <c r="F5763" s="30" t="inlineStr">
        <is>
          <t>2017</t>
        </is>
      </c>
      <c r="G5763" s="40" t="n">
        <v>285304.47</v>
      </c>
    </row>
    <row r="5764" ht="12" customHeight="1">
      <c r="A5764" s="30" t="inlineStr">
        <is>
          <t>ITG</t>
        </is>
      </c>
      <c r="B5764" s="30" t="inlineStr">
        <is>
          <t>Itaguai</t>
        </is>
      </c>
      <c r="C5764" s="30" t="n">
        <v>79133108</v>
      </c>
      <c r="D5764" s="30">
        <f>"11682198000157"</f>
        <v/>
      </c>
      <c r="E5764" s="30" t="inlineStr">
        <is>
          <t>TRANSMAGNOLOG SERVICOS LOGISTICOS LTDA</t>
        </is>
      </c>
      <c r="F5764" s="30" t="inlineStr">
        <is>
          <t>2018</t>
        </is>
      </c>
      <c r="G5764" s="40" t="n">
        <v>0</v>
      </c>
    </row>
    <row r="5765" ht="12" customHeight="1">
      <c r="A5765" s="30" t="inlineStr">
        <is>
          <t>ITG</t>
        </is>
      </c>
      <c r="B5765" s="30" t="inlineStr">
        <is>
          <t>Itaguai</t>
        </is>
      </c>
      <c r="C5765" s="30" t="n">
        <v>79133108</v>
      </c>
      <c r="D5765" s="30">
        <f>"11682198000157"</f>
        <v/>
      </c>
      <c r="E5765" s="30" t="inlineStr">
        <is>
          <t>TRANSMAGNOLOG SERVICOS LOGISTICOS LTDA</t>
        </is>
      </c>
      <c r="F5765" s="30" t="inlineStr">
        <is>
          <t>2019</t>
        </is>
      </c>
      <c r="G5765" s="40" t="n">
        <v>0</v>
      </c>
    </row>
    <row r="5766" ht="12" customHeight="1">
      <c r="A5766" s="30" t="inlineStr">
        <is>
          <t>ITG</t>
        </is>
      </c>
      <c r="B5766" s="30" t="inlineStr">
        <is>
          <t>Itaguai</t>
        </is>
      </c>
      <c r="C5766" s="30" t="n">
        <v>79142166</v>
      </c>
      <c r="D5766" s="30">
        <f>"12334748000100"</f>
        <v/>
      </c>
      <c r="E5766" s="30" t="inlineStr">
        <is>
          <t>DEVOC COMERCIO DE ALIMENTOS LTDA</t>
        </is>
      </c>
      <c r="F5766" s="30" t="inlineStr">
        <is>
          <t>2017</t>
        </is>
      </c>
      <c r="G5766" s="40" t="n">
        <v>3745019.11</v>
      </c>
    </row>
    <row r="5767" ht="12" customHeight="1">
      <c r="A5767" s="30" t="inlineStr">
        <is>
          <t>ITG</t>
        </is>
      </c>
      <c r="B5767" s="30" t="inlineStr">
        <is>
          <t>Itaguai</t>
        </is>
      </c>
      <c r="C5767" s="30" t="n">
        <v>79142166</v>
      </c>
      <c r="D5767" s="30">
        <f>"12334748000100"</f>
        <v/>
      </c>
      <c r="E5767" s="30" t="inlineStr">
        <is>
          <t>DEVOC COMERCIO DE ALIMENTOS LTDA</t>
        </is>
      </c>
      <c r="F5767" s="30" t="inlineStr">
        <is>
          <t>2018</t>
        </is>
      </c>
      <c r="G5767" s="40" t="n">
        <v>4110531.57</v>
      </c>
    </row>
    <row r="5768" ht="12" customHeight="1">
      <c r="A5768" s="30" t="inlineStr">
        <is>
          <t>ITG</t>
        </is>
      </c>
      <c r="B5768" s="30" t="inlineStr">
        <is>
          <t>Itaguai</t>
        </is>
      </c>
      <c r="C5768" s="30" t="n">
        <v>79142166</v>
      </c>
      <c r="D5768" s="30">
        <f>"12334748000100"</f>
        <v/>
      </c>
      <c r="E5768" s="30" t="inlineStr">
        <is>
          <t>DEVOC COMERCIO DE ALIMENTOS LTDA</t>
        </is>
      </c>
      <c r="F5768" s="30" t="inlineStr">
        <is>
          <t>2019</t>
        </is>
      </c>
      <c r="G5768" s="40" t="n">
        <v>2553699.95</v>
      </c>
    </row>
    <row r="5769" ht="12" customHeight="1">
      <c r="A5769" s="30" t="inlineStr">
        <is>
          <t>ITG</t>
        </is>
      </c>
      <c r="B5769" s="30" t="inlineStr">
        <is>
          <t>Itaguai</t>
        </is>
      </c>
      <c r="C5769" s="30" t="n">
        <v>79142166</v>
      </c>
      <c r="D5769" s="30">
        <f>"12334748000100"</f>
        <v/>
      </c>
      <c r="E5769" s="30" t="inlineStr">
        <is>
          <t>DEVOC COMERCIO DE ALIMENTOS LTDA</t>
        </is>
      </c>
      <c r="F5769" s="30" t="inlineStr">
        <is>
          <t>2020</t>
        </is>
      </c>
      <c r="G5769" s="40" t="n">
        <v>3997332.54</v>
      </c>
    </row>
    <row r="5770" ht="12" customHeight="1">
      <c r="A5770" s="30" t="inlineStr">
        <is>
          <t>ITG</t>
        </is>
      </c>
      <c r="B5770" s="30" t="inlineStr">
        <is>
          <t>Itaguai</t>
        </is>
      </c>
      <c r="C5770" s="30" t="n">
        <v>79142166</v>
      </c>
      <c r="D5770" s="30">
        <f>"12334748000100"</f>
        <v/>
      </c>
      <c r="E5770" s="30" t="inlineStr">
        <is>
          <t>DEVOC COMERCIO DE ALIMENTOS LTDA</t>
        </is>
      </c>
      <c r="F5770" s="30" t="inlineStr">
        <is>
          <t>2021</t>
        </is>
      </c>
      <c r="G5770" s="40" t="n">
        <v>5014741.75</v>
      </c>
    </row>
    <row r="5771" ht="12" customHeight="1">
      <c r="A5771" s="30" t="inlineStr">
        <is>
          <t>ITG</t>
        </is>
      </c>
      <c r="B5771" s="30" t="inlineStr">
        <is>
          <t>Itaguai</t>
        </is>
      </c>
      <c r="C5771" s="30" t="n">
        <v>79142166</v>
      </c>
      <c r="D5771" s="30">
        <f>"12334748000100"</f>
        <v/>
      </c>
      <c r="E5771" s="30" t="inlineStr">
        <is>
          <t>DEVOC COMERCIO DE ALIMENTOS LTDA</t>
        </is>
      </c>
      <c r="F5771" s="30" t="inlineStr">
        <is>
          <t>2022</t>
        </is>
      </c>
      <c r="G5771" s="40" t="n">
        <v>6229497.74</v>
      </c>
    </row>
    <row r="5772" ht="12" customHeight="1">
      <c r="A5772" s="30" t="inlineStr">
        <is>
          <t>ITG</t>
        </is>
      </c>
      <c r="B5772" s="30" t="inlineStr">
        <is>
          <t>Itaguai</t>
        </is>
      </c>
      <c r="C5772" s="30" t="n">
        <v>79142166</v>
      </c>
      <c r="D5772" s="30">
        <f>"12334748000100"</f>
        <v/>
      </c>
      <c r="E5772" s="30" t="inlineStr">
        <is>
          <t>DEVOC COMERCIO DE ALIMENTOS LTDA</t>
        </is>
      </c>
      <c r="F5772" s="30" t="inlineStr">
        <is>
          <t>2023</t>
        </is>
      </c>
      <c r="G5772" s="40" t="n">
        <v>6796153.45</v>
      </c>
    </row>
    <row r="5773" ht="12" customHeight="1">
      <c r="A5773" s="30" t="inlineStr">
        <is>
          <t>ITG</t>
        </is>
      </c>
      <c r="B5773" s="30" t="inlineStr">
        <is>
          <t>Itaguai</t>
        </is>
      </c>
      <c r="C5773" s="30" t="n">
        <v>79145866</v>
      </c>
      <c r="D5773" s="30">
        <f>"12382566000104"</f>
        <v/>
      </c>
      <c r="E5773" s="30" t="inlineStr">
        <is>
          <t>BOTIMIX LTDA EPP</t>
        </is>
      </c>
      <c r="F5773" s="30" t="inlineStr">
        <is>
          <t>2017</t>
        </is>
      </c>
      <c r="G5773" s="40" t="n">
        <v>468425.33</v>
      </c>
    </row>
    <row r="5774" ht="12" customHeight="1">
      <c r="A5774" s="30" t="inlineStr">
        <is>
          <t>ITG</t>
        </is>
      </c>
      <c r="B5774" s="30" t="inlineStr">
        <is>
          <t>Itaguai</t>
        </is>
      </c>
      <c r="C5774" s="30" t="n">
        <v>79145866</v>
      </c>
      <c r="D5774" s="30">
        <f>"12382566000104"</f>
        <v/>
      </c>
      <c r="E5774" s="30" t="inlineStr">
        <is>
          <t>BOTIMIX LTDA EPP</t>
        </is>
      </c>
      <c r="F5774" s="30" t="inlineStr">
        <is>
          <t>2018</t>
        </is>
      </c>
      <c r="G5774" s="40" t="n">
        <v>269887.99</v>
      </c>
    </row>
    <row r="5775" ht="12" customHeight="1">
      <c r="A5775" s="30" t="inlineStr">
        <is>
          <t>ITG</t>
        </is>
      </c>
      <c r="B5775" s="30" t="inlineStr">
        <is>
          <t>Itaguai</t>
        </is>
      </c>
      <c r="C5775" s="30" t="n">
        <v>79145866</v>
      </c>
      <c r="D5775" s="30">
        <f>"12382566000104"</f>
        <v/>
      </c>
      <c r="E5775" s="30" t="inlineStr">
        <is>
          <t>BOTIMIX LTDA EPP</t>
        </is>
      </c>
      <c r="F5775" s="30" t="inlineStr">
        <is>
          <t>2019</t>
        </is>
      </c>
      <c r="G5775" s="40" t="n">
        <v>248380.61</v>
      </c>
    </row>
    <row r="5776" ht="12" customHeight="1">
      <c r="A5776" s="30" t="inlineStr">
        <is>
          <t>ITG</t>
        </is>
      </c>
      <c r="B5776" s="30" t="inlineStr">
        <is>
          <t>Itaguai</t>
        </is>
      </c>
      <c r="C5776" s="30" t="n">
        <v>79145866</v>
      </c>
      <c r="D5776" s="30">
        <f>"12382566000104"</f>
        <v/>
      </c>
      <c r="E5776" s="30" t="inlineStr">
        <is>
          <t>BOTIMIX LTDA EPP</t>
        </is>
      </c>
      <c r="F5776" s="30" t="inlineStr">
        <is>
          <t>2020</t>
        </is>
      </c>
      <c r="G5776" s="40" t="n">
        <v>0</v>
      </c>
    </row>
    <row r="5777" ht="12" customHeight="1">
      <c r="A5777" s="30" t="inlineStr">
        <is>
          <t>ITG</t>
        </is>
      </c>
      <c r="B5777" s="30" t="inlineStr">
        <is>
          <t>Itaguai</t>
        </is>
      </c>
      <c r="C5777" s="30" t="n">
        <v>79145866</v>
      </c>
      <c r="D5777" s="30">
        <f>"12382566000104"</f>
        <v/>
      </c>
      <c r="E5777" s="30" t="inlineStr">
        <is>
          <t>BOTIMIX LTDA EPP</t>
        </is>
      </c>
      <c r="F5777" s="30" t="inlineStr">
        <is>
          <t>2021</t>
        </is>
      </c>
      <c r="G5777" s="40" t="n">
        <v>0</v>
      </c>
    </row>
    <row r="5778" ht="12" customHeight="1">
      <c r="A5778" s="30" t="inlineStr">
        <is>
          <t>ITG</t>
        </is>
      </c>
      <c r="B5778" s="30" t="inlineStr">
        <is>
          <t>Itaguai</t>
        </is>
      </c>
      <c r="C5778" s="30" t="n">
        <v>79145866</v>
      </c>
      <c r="D5778" s="30">
        <f>"12382566000104"</f>
        <v/>
      </c>
      <c r="E5778" s="30" t="inlineStr">
        <is>
          <t>BOTIMIX LTDA EPP</t>
        </is>
      </c>
      <c r="F5778" s="30" t="inlineStr">
        <is>
          <t>2022</t>
        </is>
      </c>
      <c r="G5778" s="40" t="n">
        <v>0</v>
      </c>
    </row>
    <row r="5779" ht="12" customHeight="1">
      <c r="A5779" s="30" t="inlineStr">
        <is>
          <t>ITG</t>
        </is>
      </c>
      <c r="B5779" s="30" t="inlineStr">
        <is>
          <t>Itaguai</t>
        </is>
      </c>
      <c r="C5779" s="30" t="n">
        <v>79145866</v>
      </c>
      <c r="D5779" s="30">
        <f>"12382566000104"</f>
        <v/>
      </c>
      <c r="E5779" s="30" t="inlineStr">
        <is>
          <t>BOTIMIX LTDA EPP</t>
        </is>
      </c>
      <c r="F5779" s="30" t="inlineStr">
        <is>
          <t>2023</t>
        </is>
      </c>
      <c r="G5779" s="40" t="n">
        <v>0</v>
      </c>
    </row>
    <row r="5780" ht="12" customHeight="1">
      <c r="A5780" s="30" t="inlineStr">
        <is>
          <t>ITG</t>
        </is>
      </c>
      <c r="B5780" s="30" t="inlineStr">
        <is>
          <t>Itaguai</t>
        </is>
      </c>
      <c r="C5780" s="30" t="n">
        <v>79145963</v>
      </c>
      <c r="D5780" s="30">
        <f>"12382533000164"</f>
        <v/>
      </c>
      <c r="E5780" s="30" t="inlineStr">
        <is>
          <t>LU BOTICA LTDA EPP</t>
        </is>
      </c>
      <c r="F5780" s="30" t="inlineStr">
        <is>
          <t>2017</t>
        </is>
      </c>
      <c r="G5780" s="40" t="n">
        <v>400076.28</v>
      </c>
    </row>
    <row r="5781" ht="12" customHeight="1">
      <c r="A5781" s="30" t="inlineStr">
        <is>
          <t>ITG</t>
        </is>
      </c>
      <c r="B5781" s="30" t="inlineStr">
        <is>
          <t>Itaguai</t>
        </is>
      </c>
      <c r="C5781" s="30" t="n">
        <v>79145963</v>
      </c>
      <c r="D5781" s="30">
        <f>"12382533000164"</f>
        <v/>
      </c>
      <c r="E5781" s="30" t="inlineStr">
        <is>
          <t>LU BOTICA LTDA EPP</t>
        </is>
      </c>
      <c r="F5781" s="30" t="inlineStr">
        <is>
          <t>2018</t>
        </is>
      </c>
      <c r="G5781" s="40" t="n">
        <v>387285.56</v>
      </c>
    </row>
    <row r="5782" ht="12" customHeight="1">
      <c r="A5782" s="30" t="inlineStr">
        <is>
          <t>ITG</t>
        </is>
      </c>
      <c r="B5782" s="30" t="inlineStr">
        <is>
          <t>Itaguai</t>
        </is>
      </c>
      <c r="C5782" s="30" t="n">
        <v>79145963</v>
      </c>
      <c r="D5782" s="30">
        <f>"12382533000164"</f>
        <v/>
      </c>
      <c r="E5782" s="30" t="inlineStr">
        <is>
          <t>LU BOTICA LTDA EPP</t>
        </is>
      </c>
      <c r="F5782" s="30" t="inlineStr">
        <is>
          <t>2019</t>
        </is>
      </c>
      <c r="G5782" s="40" t="n">
        <v>378575.66</v>
      </c>
    </row>
    <row r="5783" ht="12" customHeight="1">
      <c r="A5783" s="30" t="inlineStr">
        <is>
          <t>ITG</t>
        </is>
      </c>
      <c r="B5783" s="30" t="inlineStr">
        <is>
          <t>Itaguai</t>
        </is>
      </c>
      <c r="C5783" s="30" t="n">
        <v>79145963</v>
      </c>
      <c r="D5783" s="30">
        <f>"12382533000164"</f>
        <v/>
      </c>
      <c r="E5783" s="30" t="inlineStr">
        <is>
          <t>LU BOTICA LTDA EPP</t>
        </is>
      </c>
      <c r="F5783" s="30" t="inlineStr">
        <is>
          <t>2020</t>
        </is>
      </c>
      <c r="G5783" s="40" t="n">
        <v>362223.74</v>
      </c>
    </row>
    <row r="5784" ht="12" customHeight="1">
      <c r="A5784" s="30" t="inlineStr">
        <is>
          <t>ITG</t>
        </is>
      </c>
      <c r="B5784" s="30" t="inlineStr">
        <is>
          <t>Itaguai</t>
        </is>
      </c>
      <c r="C5784" s="30" t="n">
        <v>79145963</v>
      </c>
      <c r="D5784" s="30">
        <f>"12382533000164"</f>
        <v/>
      </c>
      <c r="E5784" s="30" t="inlineStr">
        <is>
          <t>LU BOTICA LTDA EPP</t>
        </is>
      </c>
      <c r="F5784" s="30" t="inlineStr">
        <is>
          <t>2021</t>
        </is>
      </c>
      <c r="G5784" s="40" t="n">
        <v>410352.2</v>
      </c>
    </row>
    <row r="5785" ht="12" customHeight="1">
      <c r="A5785" s="30" t="inlineStr">
        <is>
          <t>ITG</t>
        </is>
      </c>
      <c r="B5785" s="30" t="inlineStr">
        <is>
          <t>Itaguai</t>
        </is>
      </c>
      <c r="C5785" s="30" t="n">
        <v>79145963</v>
      </c>
      <c r="D5785" s="30">
        <f>"12382533000164"</f>
        <v/>
      </c>
      <c r="E5785" s="30" t="inlineStr">
        <is>
          <t>LU BOTICA LTDA EPP</t>
        </is>
      </c>
      <c r="F5785" s="30" t="inlineStr">
        <is>
          <t>2022</t>
        </is>
      </c>
      <c r="G5785" s="40" t="n">
        <v>539818.02</v>
      </c>
    </row>
    <row r="5786" ht="12" customHeight="1">
      <c r="A5786" s="30" t="inlineStr">
        <is>
          <t>ITG</t>
        </is>
      </c>
      <c r="B5786" s="30" t="inlineStr">
        <is>
          <t>Itaguai</t>
        </is>
      </c>
      <c r="C5786" s="30" t="n">
        <v>79145963</v>
      </c>
      <c r="D5786" s="30">
        <f>"12382533000164"</f>
        <v/>
      </c>
      <c r="E5786" s="30" t="inlineStr">
        <is>
          <t>LU BOTICA LTDA EPP</t>
        </is>
      </c>
      <c r="F5786" s="30" t="inlineStr">
        <is>
          <t>2023</t>
        </is>
      </c>
      <c r="G5786" s="40" t="n">
        <v>507621.04</v>
      </c>
    </row>
    <row r="5787" ht="12" customHeight="1">
      <c r="A5787" s="30" t="inlineStr">
        <is>
          <t>ITG</t>
        </is>
      </c>
      <c r="B5787" s="30" t="inlineStr">
        <is>
          <t>Itaguai</t>
        </is>
      </c>
      <c r="C5787" s="30" t="n">
        <v>79146641</v>
      </c>
      <c r="D5787" s="30">
        <f>"60960473001304"</f>
        <v/>
      </c>
      <c r="E5787" s="30" t="inlineStr">
        <is>
          <t>RODOGARCIA TRANSPORTES RODOVIARIOS LTDA</t>
        </is>
      </c>
      <c r="F5787" s="30" t="inlineStr">
        <is>
          <t>2021</t>
        </is>
      </c>
      <c r="G5787" s="40" t="n">
        <v>0</v>
      </c>
    </row>
    <row r="5788" ht="12" customHeight="1">
      <c r="A5788" s="30" t="inlineStr">
        <is>
          <t>ITG</t>
        </is>
      </c>
      <c r="B5788" s="30" t="inlineStr">
        <is>
          <t>Itaguai</t>
        </is>
      </c>
      <c r="C5788" s="30" t="n">
        <v>79146641</v>
      </c>
      <c r="D5788" s="30">
        <f>"60960473001304"</f>
        <v/>
      </c>
      <c r="E5788" s="30" t="inlineStr">
        <is>
          <t>RODOGARCIA TRANSPORTES RODOVIARIOS LTDA</t>
        </is>
      </c>
      <c r="F5788" s="30" t="inlineStr">
        <is>
          <t>2022</t>
        </is>
      </c>
      <c r="G5788" s="40" t="n">
        <v>0</v>
      </c>
    </row>
    <row r="5789" ht="12" customHeight="1">
      <c r="A5789" s="30" t="inlineStr">
        <is>
          <t>ITG</t>
        </is>
      </c>
      <c r="B5789" s="30" t="inlineStr">
        <is>
          <t>Itaguai</t>
        </is>
      </c>
      <c r="C5789" s="30" t="n">
        <v>79146641</v>
      </c>
      <c r="D5789" s="30">
        <f>"60960473001304"</f>
        <v/>
      </c>
      <c r="E5789" s="30" t="inlineStr">
        <is>
          <t>RODOGARCIA TRANSPORTES RODOVIARIOS LTDA</t>
        </is>
      </c>
      <c r="F5789" s="30" t="inlineStr">
        <is>
          <t>2023</t>
        </is>
      </c>
      <c r="G5789" s="40" t="n">
        <v>435.94</v>
      </c>
    </row>
    <row r="5790" ht="12" customHeight="1">
      <c r="A5790" s="30" t="inlineStr">
        <is>
          <t>ITG</t>
        </is>
      </c>
      <c r="B5790" s="30" t="inlineStr">
        <is>
          <t>Itaguai</t>
        </is>
      </c>
      <c r="C5790" s="30" t="n">
        <v>79147222</v>
      </c>
      <c r="D5790" s="30">
        <f>"59530832001487"</f>
        <v/>
      </c>
      <c r="E5790" s="30" t="inlineStr">
        <is>
          <t>BRASILMAXI LOGISTICA LTDA</t>
        </is>
      </c>
      <c r="F5790" s="30" t="inlineStr">
        <is>
          <t>2017</t>
        </is>
      </c>
      <c r="G5790" s="40" t="n">
        <v>18157.92</v>
      </c>
    </row>
    <row r="5791" ht="12" customHeight="1">
      <c r="A5791" s="30" t="inlineStr">
        <is>
          <t>ITG</t>
        </is>
      </c>
      <c r="B5791" s="30" t="inlineStr">
        <is>
          <t>Itaguai</t>
        </is>
      </c>
      <c r="C5791" s="30" t="n">
        <v>79147222</v>
      </c>
      <c r="D5791" s="30">
        <f>"59530832001487"</f>
        <v/>
      </c>
      <c r="E5791" s="30" t="inlineStr">
        <is>
          <t>BRASILMAXI LOGISTICA LTDA</t>
        </is>
      </c>
      <c r="F5791" s="30" t="inlineStr">
        <is>
          <t>2018</t>
        </is>
      </c>
      <c r="G5791" s="40" t="n">
        <v>0</v>
      </c>
    </row>
    <row r="5792" ht="12" customHeight="1">
      <c r="A5792" s="30" t="inlineStr">
        <is>
          <t>ITG</t>
        </is>
      </c>
      <c r="B5792" s="30" t="inlineStr">
        <is>
          <t>Itaguai</t>
        </is>
      </c>
      <c r="C5792" s="30" t="n">
        <v>79147222</v>
      </c>
      <c r="D5792" s="30">
        <f>"59530832001487"</f>
        <v/>
      </c>
      <c r="E5792" s="30" t="inlineStr">
        <is>
          <t>BRASILMAXI LOGISTICA LTDA</t>
        </is>
      </c>
      <c r="F5792" s="30" t="inlineStr">
        <is>
          <t>2019</t>
        </is>
      </c>
      <c r="G5792" s="40" t="n">
        <v>0</v>
      </c>
    </row>
    <row r="5793" ht="12" customHeight="1">
      <c r="A5793" s="30" t="inlineStr">
        <is>
          <t>ITG</t>
        </is>
      </c>
      <c r="B5793" s="30" t="inlineStr">
        <is>
          <t>Itaguai</t>
        </is>
      </c>
      <c r="C5793" s="30" t="n">
        <v>79148474</v>
      </c>
      <c r="D5793" s="30">
        <f>"00202759000157"</f>
        <v/>
      </c>
      <c r="E5793" s="30" t="inlineStr">
        <is>
          <t>SUPERPESA MARITIMA LTDA</t>
        </is>
      </c>
      <c r="F5793" s="30" t="inlineStr">
        <is>
          <t>2021</t>
        </is>
      </c>
      <c r="G5793" s="40" t="n">
        <v>0</v>
      </c>
    </row>
    <row r="5794" ht="12" customHeight="1">
      <c r="A5794" s="30" t="inlineStr">
        <is>
          <t>ITG</t>
        </is>
      </c>
      <c r="B5794" s="30" t="inlineStr">
        <is>
          <t>Itaguai</t>
        </is>
      </c>
      <c r="C5794" s="30" t="n">
        <v>79148474</v>
      </c>
      <c r="D5794" s="30">
        <f>"00202759000157"</f>
        <v/>
      </c>
      <c r="E5794" s="30" t="inlineStr">
        <is>
          <t>SUPERPESA MARITIMA LTDA</t>
        </is>
      </c>
      <c r="F5794" s="30" t="inlineStr">
        <is>
          <t>2022</t>
        </is>
      </c>
      <c r="G5794" s="40" t="n">
        <v>0</v>
      </c>
    </row>
    <row r="5795" ht="12" customHeight="1">
      <c r="A5795" s="30" t="inlineStr">
        <is>
          <t>ITG</t>
        </is>
      </c>
      <c r="B5795" s="30" t="inlineStr">
        <is>
          <t>Itaguai</t>
        </is>
      </c>
      <c r="C5795" s="30" t="n">
        <v>79148474</v>
      </c>
      <c r="D5795" s="30">
        <f>"00202759000157"</f>
        <v/>
      </c>
      <c r="E5795" s="30" t="inlineStr">
        <is>
          <t>SUPERPESA MARITIMA LTDA</t>
        </is>
      </c>
      <c r="F5795" s="30" t="inlineStr">
        <is>
          <t>2023</t>
        </is>
      </c>
      <c r="G5795" s="40" t="n">
        <v>836936.29</v>
      </c>
    </row>
    <row r="5796" ht="12" customHeight="1">
      <c r="A5796" s="30" t="inlineStr">
        <is>
          <t>ITG</t>
        </is>
      </c>
      <c r="B5796" s="30" t="inlineStr">
        <is>
          <t>Itaguai</t>
        </is>
      </c>
      <c r="C5796" s="30" t="n">
        <v>79153583</v>
      </c>
      <c r="D5796" s="30">
        <f>"11682198000238"</f>
        <v/>
      </c>
      <c r="E5796" s="30" t="inlineStr">
        <is>
          <t>TRANSMAGNOLOG SERVICOS LOGISTICOS LTDA</t>
        </is>
      </c>
      <c r="F5796" s="30" t="inlineStr">
        <is>
          <t>2017</t>
        </is>
      </c>
      <c r="G5796" s="40" t="n">
        <v>1750.51</v>
      </c>
    </row>
    <row r="5797" ht="12" customHeight="1">
      <c r="A5797" s="30" t="inlineStr">
        <is>
          <t>ITG</t>
        </is>
      </c>
      <c r="B5797" s="30" t="inlineStr">
        <is>
          <t>Itaguai</t>
        </is>
      </c>
      <c r="C5797" s="30" t="n">
        <v>79153583</v>
      </c>
      <c r="D5797" s="30">
        <f>"11682198000238"</f>
        <v/>
      </c>
      <c r="E5797" s="30" t="inlineStr">
        <is>
          <t>TRANSMAGNOLOG SERVICOS LOGISTICOS LTDA</t>
        </is>
      </c>
      <c r="F5797" s="30" t="inlineStr">
        <is>
          <t>2018</t>
        </is>
      </c>
      <c r="G5797" s="40" t="n">
        <v>0</v>
      </c>
    </row>
    <row r="5798" ht="12" customHeight="1">
      <c r="A5798" s="30" t="inlineStr">
        <is>
          <t>ITG</t>
        </is>
      </c>
      <c r="B5798" s="30" t="inlineStr">
        <is>
          <t>Itaguai</t>
        </is>
      </c>
      <c r="C5798" s="30" t="n">
        <v>79153583</v>
      </c>
      <c r="D5798" s="30">
        <f>"11682198000238"</f>
        <v/>
      </c>
      <c r="E5798" s="30" t="inlineStr">
        <is>
          <t>TRANSMAGNOLOG SERVICOS LOGISTICOS LTDA</t>
        </is>
      </c>
      <c r="F5798" s="30" t="inlineStr">
        <is>
          <t>2019</t>
        </is>
      </c>
      <c r="G5798" s="40" t="n">
        <v>0</v>
      </c>
    </row>
    <row r="5799" ht="12" customHeight="1">
      <c r="A5799" s="30" t="inlineStr">
        <is>
          <t>ITG</t>
        </is>
      </c>
      <c r="B5799" s="30" t="inlineStr">
        <is>
          <t>Itaguai</t>
        </is>
      </c>
      <c r="C5799" s="30" t="n">
        <v>79159310</v>
      </c>
      <c r="D5799" s="30">
        <f>"12238412000224"</f>
        <v/>
      </c>
      <c r="E5799" s="30" t="inlineStr">
        <is>
          <t>CONSORCIO ARG-CIVILPORT-PORTO SUDESTE</t>
        </is>
      </c>
      <c r="F5799" s="30" t="inlineStr">
        <is>
          <t>2017</t>
        </is>
      </c>
      <c r="G5799" s="40" t="n">
        <v>0</v>
      </c>
    </row>
    <row r="5800" ht="12" customHeight="1">
      <c r="A5800" s="30" t="inlineStr">
        <is>
          <t>ITG</t>
        </is>
      </c>
      <c r="B5800" s="30" t="inlineStr">
        <is>
          <t>Itaguai</t>
        </is>
      </c>
      <c r="C5800" s="30" t="n">
        <v>79159310</v>
      </c>
      <c r="D5800" s="30">
        <f>"12238412000224"</f>
        <v/>
      </c>
      <c r="E5800" s="30" t="inlineStr">
        <is>
          <t>CONSORCIO ARG-CIVILPORT-PORTO SUDESTE</t>
        </is>
      </c>
      <c r="F5800" s="30" t="inlineStr">
        <is>
          <t>2018</t>
        </is>
      </c>
      <c r="G5800" s="40" t="n">
        <v>0</v>
      </c>
    </row>
    <row r="5801" ht="12" customHeight="1">
      <c r="A5801" s="30" t="inlineStr">
        <is>
          <t>ITG</t>
        </is>
      </c>
      <c r="B5801" s="30" t="inlineStr">
        <is>
          <t>Itaguai</t>
        </is>
      </c>
      <c r="C5801" s="30" t="n">
        <v>79159310</v>
      </c>
      <c r="D5801" s="30">
        <f>"12238412000224"</f>
        <v/>
      </c>
      <c r="E5801" s="30" t="inlineStr">
        <is>
          <t>CONSORCIO ARG-CIVILPORT-PORTO SUDESTE</t>
        </is>
      </c>
      <c r="F5801" s="30" t="inlineStr">
        <is>
          <t>2019</t>
        </is>
      </c>
      <c r="G5801" s="40" t="n">
        <v>0</v>
      </c>
    </row>
    <row r="5802" ht="12" customHeight="1">
      <c r="A5802" s="30" t="inlineStr">
        <is>
          <t>ITG</t>
        </is>
      </c>
      <c r="B5802" s="30" t="inlineStr">
        <is>
          <t>Itaguai</t>
        </is>
      </c>
      <c r="C5802" s="30" t="n">
        <v>79159310</v>
      </c>
      <c r="D5802" s="30">
        <f>"12238412000224"</f>
        <v/>
      </c>
      <c r="E5802" s="30" t="inlineStr">
        <is>
          <t>CONSORCIO ARG-CIVILPORT-PORTO SUDESTE</t>
        </is>
      </c>
      <c r="F5802" s="30" t="inlineStr">
        <is>
          <t>2020</t>
        </is>
      </c>
      <c r="G5802" s="40" t="n">
        <v>0</v>
      </c>
    </row>
    <row r="5803" ht="12" customHeight="1">
      <c r="A5803" s="30" t="inlineStr">
        <is>
          <t>ITG</t>
        </is>
      </c>
      <c r="B5803" s="30" t="inlineStr">
        <is>
          <t>Itaguai</t>
        </is>
      </c>
      <c r="C5803" s="30" t="n">
        <v>79159310</v>
      </c>
      <c r="D5803" s="30">
        <f>"12238412000224"</f>
        <v/>
      </c>
      <c r="E5803" s="30" t="inlineStr">
        <is>
          <t>CONSORCIO ARG-CIVILPORT-PORTO SUDESTE</t>
        </is>
      </c>
      <c r="F5803" s="30" t="inlineStr">
        <is>
          <t>2021</t>
        </is>
      </c>
      <c r="G5803" s="40" t="n">
        <v>0</v>
      </c>
    </row>
    <row r="5804" ht="12" customHeight="1">
      <c r="A5804" s="30" t="inlineStr">
        <is>
          <t>ITG</t>
        </is>
      </c>
      <c r="B5804" s="30" t="inlineStr">
        <is>
          <t>Itaguai</t>
        </is>
      </c>
      <c r="C5804" s="30" t="n">
        <v>79159310</v>
      </c>
      <c r="D5804" s="30">
        <f>"12238412000224"</f>
        <v/>
      </c>
      <c r="E5804" s="30" t="inlineStr">
        <is>
          <t>CONSORCIO ARG-CIVILPORT-PORTO SUDESTE</t>
        </is>
      </c>
      <c r="F5804" s="30" t="inlineStr">
        <is>
          <t>2022</t>
        </is>
      </c>
      <c r="G5804" s="40" t="n">
        <v>0</v>
      </c>
    </row>
    <row r="5805" ht="12" customHeight="1">
      <c r="A5805" s="30" t="inlineStr">
        <is>
          <t>ITG</t>
        </is>
      </c>
      <c r="B5805" s="30" t="inlineStr">
        <is>
          <t>Itaguai</t>
        </is>
      </c>
      <c r="C5805" s="30" t="n">
        <v>79167061</v>
      </c>
      <c r="D5805" s="30">
        <f>"05053441001309"</f>
        <v/>
      </c>
      <c r="E5805" s="30" t="inlineStr">
        <is>
          <t>RASTRECALL REPRESENTACOES COMERCIAIS DE TELECOMUNICACOES LTDA</t>
        </is>
      </c>
      <c r="F5805" s="30" t="inlineStr">
        <is>
          <t>2017</t>
        </is>
      </c>
      <c r="G5805" s="40" t="n">
        <v>179421.38</v>
      </c>
    </row>
    <row r="5806" ht="12" customHeight="1">
      <c r="A5806" s="30" t="inlineStr">
        <is>
          <t>ITG</t>
        </is>
      </c>
      <c r="B5806" s="30" t="inlineStr">
        <is>
          <t>Itaguai</t>
        </is>
      </c>
      <c r="C5806" s="30" t="n">
        <v>79167061</v>
      </c>
      <c r="D5806" s="30">
        <f>"05053441001309"</f>
        <v/>
      </c>
      <c r="E5806" s="30" t="inlineStr">
        <is>
          <t>RASTRECALL REPRESENTACOES COMERCIAIS DE TELECOMUNICACOES LTDA</t>
        </is>
      </c>
      <c r="F5806" s="30" t="inlineStr">
        <is>
          <t>2018</t>
        </is>
      </c>
      <c r="G5806" s="40" t="n">
        <v>0</v>
      </c>
    </row>
    <row r="5807" ht="12" customHeight="1">
      <c r="A5807" s="30" t="inlineStr">
        <is>
          <t>ITG</t>
        </is>
      </c>
      <c r="B5807" s="30" t="inlineStr">
        <is>
          <t>Itaguai</t>
        </is>
      </c>
      <c r="C5807" s="30" t="n">
        <v>79167061</v>
      </c>
      <c r="D5807" s="30">
        <f>"05053441001309"</f>
        <v/>
      </c>
      <c r="E5807" s="30" t="inlineStr">
        <is>
          <t>RASTRECALL REPRESENTACOES COMERCIAIS DE TELECOMUNICACOES LTDA</t>
        </is>
      </c>
      <c r="F5807" s="30" t="inlineStr">
        <is>
          <t>2019</t>
        </is>
      </c>
      <c r="G5807" s="40" t="n">
        <v>0</v>
      </c>
    </row>
    <row r="5808" ht="12" customHeight="1">
      <c r="A5808" s="30" t="inlineStr">
        <is>
          <t>ITG</t>
        </is>
      </c>
      <c r="B5808" s="30" t="inlineStr">
        <is>
          <t>Itaguai</t>
        </is>
      </c>
      <c r="C5808" s="30" t="n">
        <v>79167061</v>
      </c>
      <c r="D5808" s="30">
        <f>"05053441001309"</f>
        <v/>
      </c>
      <c r="E5808" s="30" t="inlineStr">
        <is>
          <t>RASTRECALL REPRESENTACOES COMERCIAIS DE TELECOMUNICACOES LTDA</t>
        </is>
      </c>
      <c r="F5808" s="30" t="inlineStr">
        <is>
          <t>2020</t>
        </is>
      </c>
      <c r="G5808" s="40" t="n">
        <v>0</v>
      </c>
    </row>
    <row r="5809" ht="12" customHeight="1">
      <c r="A5809" s="30" t="inlineStr">
        <is>
          <t>ITG</t>
        </is>
      </c>
      <c r="B5809" s="30" t="inlineStr">
        <is>
          <t>Itaguai</t>
        </is>
      </c>
      <c r="C5809" s="30" t="n">
        <v>79167061</v>
      </c>
      <c r="D5809" s="30">
        <f>"05053441001309"</f>
        <v/>
      </c>
      <c r="E5809" s="30" t="inlineStr">
        <is>
          <t>RASTRECALL REPRESENTACOES COMERCIAIS DE TELECOMUNICACOES LTDA</t>
        </is>
      </c>
      <c r="F5809" s="30" t="inlineStr">
        <is>
          <t>2021</t>
        </is>
      </c>
      <c r="G5809" s="40" t="n">
        <v>0</v>
      </c>
    </row>
    <row r="5810" ht="12" customHeight="1">
      <c r="A5810" s="30" t="inlineStr">
        <is>
          <t>ITG</t>
        </is>
      </c>
      <c r="B5810" s="30" t="inlineStr">
        <is>
          <t>Itaguai</t>
        </is>
      </c>
      <c r="C5810" s="30" t="n">
        <v>79167061</v>
      </c>
      <c r="D5810" s="30">
        <f>"05053441001309"</f>
        <v/>
      </c>
      <c r="E5810" s="30" t="inlineStr">
        <is>
          <t>RASTRECALL REPRESENTACOES COMERCIAIS DE TELECOMUNICACOES LTDA</t>
        </is>
      </c>
      <c r="F5810" s="30" t="inlineStr">
        <is>
          <t>2022</t>
        </is>
      </c>
      <c r="G5810" s="40" t="n">
        <v>0</v>
      </c>
    </row>
    <row r="5811" ht="12" customHeight="1">
      <c r="A5811" s="30" t="inlineStr">
        <is>
          <t>ITG</t>
        </is>
      </c>
      <c r="B5811" s="30" t="inlineStr">
        <is>
          <t>Itaguai</t>
        </is>
      </c>
      <c r="C5811" s="30" t="n">
        <v>79167061</v>
      </c>
      <c r="D5811" s="30">
        <f>"05053441001309"</f>
        <v/>
      </c>
      <c r="E5811" s="30" t="inlineStr">
        <is>
          <t>RASTRECALL REPRESENTACOES COMERCIAIS DE TELECOMUNICACOES LTDA</t>
        </is>
      </c>
      <c r="F5811" s="30" t="inlineStr">
        <is>
          <t>2023</t>
        </is>
      </c>
      <c r="G5811" s="40" t="n">
        <v>0</v>
      </c>
    </row>
    <row r="5812" ht="12" customHeight="1">
      <c r="A5812" s="30" t="inlineStr">
        <is>
          <t>ITG</t>
        </is>
      </c>
      <c r="B5812" s="30" t="inlineStr">
        <is>
          <t>Itaguai</t>
        </is>
      </c>
      <c r="C5812" s="30" t="n">
        <v>79170089</v>
      </c>
      <c r="D5812" s="30">
        <f>"11058804000168"</f>
        <v/>
      </c>
      <c r="E5812" s="30" t="inlineStr">
        <is>
          <t>PETRO RIO O&amp;G EXPLORACAO E PRODUCAO DE PETROLEO LTDA</t>
        </is>
      </c>
      <c r="F5812" s="30" t="inlineStr">
        <is>
          <t>2017</t>
        </is>
      </c>
      <c r="G5812" s="40" t="n">
        <v>860369.17</v>
      </c>
    </row>
    <row r="5813" ht="12" customHeight="1">
      <c r="A5813" s="30" t="inlineStr">
        <is>
          <t>ITG</t>
        </is>
      </c>
      <c r="B5813" s="30" t="inlineStr">
        <is>
          <t>Itaguai</t>
        </is>
      </c>
      <c r="C5813" s="30" t="n">
        <v>79170089</v>
      </c>
      <c r="D5813" s="30">
        <f>"11058804000168"</f>
        <v/>
      </c>
      <c r="E5813" s="30" t="inlineStr">
        <is>
          <t>PETRO RIO O&amp;G EXPLORACAO E PRODUCAO DE PETROLEO LTDA</t>
        </is>
      </c>
      <c r="F5813" s="30" t="inlineStr">
        <is>
          <t>2018</t>
        </is>
      </c>
      <c r="G5813" s="40" t="n">
        <v>1468737.72</v>
      </c>
    </row>
    <row r="5814" ht="12" customHeight="1">
      <c r="A5814" s="30" t="inlineStr">
        <is>
          <t>ITG</t>
        </is>
      </c>
      <c r="B5814" s="30" t="inlineStr">
        <is>
          <t>Itaguai</t>
        </is>
      </c>
      <c r="C5814" s="30" t="n">
        <v>79170089</v>
      </c>
      <c r="D5814" s="30">
        <f>"11058804000168"</f>
        <v/>
      </c>
      <c r="E5814" s="30" t="inlineStr">
        <is>
          <t>PETRO RIO O&amp;G EXPLORACAO E PRODUCAO DE PETROLEO LTDA</t>
        </is>
      </c>
      <c r="F5814" s="30" t="inlineStr">
        <is>
          <t>2019</t>
        </is>
      </c>
      <c r="G5814" s="40" t="n">
        <v>1316850.36</v>
      </c>
    </row>
    <row r="5815" ht="12" customHeight="1">
      <c r="A5815" s="30" t="inlineStr">
        <is>
          <t>ITG</t>
        </is>
      </c>
      <c r="B5815" s="30" t="inlineStr">
        <is>
          <t>Itaguai</t>
        </is>
      </c>
      <c r="C5815" s="30" t="n">
        <v>79170089</v>
      </c>
      <c r="D5815" s="30">
        <f>"11058804000168"</f>
        <v/>
      </c>
      <c r="E5815" s="30" t="inlineStr">
        <is>
          <t>PETRO RIO O&amp;G EXPLORACAO E PRODUCAO DE PETROLEO LTDA</t>
        </is>
      </c>
      <c r="F5815" s="30" t="inlineStr">
        <is>
          <t>2020</t>
        </is>
      </c>
      <c r="G5815" s="40" t="n">
        <v>1445162.32</v>
      </c>
    </row>
    <row r="5816" ht="12" customHeight="1">
      <c r="A5816" s="30" t="inlineStr">
        <is>
          <t>ITG</t>
        </is>
      </c>
      <c r="B5816" s="30" t="inlineStr">
        <is>
          <t>Itaguai</t>
        </is>
      </c>
      <c r="C5816" s="30" t="n">
        <v>79170089</v>
      </c>
      <c r="D5816" s="30">
        <f>"11058804000168"</f>
        <v/>
      </c>
      <c r="E5816" s="30" t="inlineStr">
        <is>
          <t>PETRO RIO O&amp;G EXPLORACAO E PRODUCAO DE PETROLEO LTDA</t>
        </is>
      </c>
      <c r="F5816" s="30" t="inlineStr">
        <is>
          <t>2021</t>
        </is>
      </c>
      <c r="G5816" s="40" t="n">
        <v>1337381.81</v>
      </c>
    </row>
    <row r="5817" ht="12" customHeight="1">
      <c r="A5817" s="30" t="inlineStr">
        <is>
          <t>ITG</t>
        </is>
      </c>
      <c r="B5817" s="30" t="inlineStr">
        <is>
          <t>Itaguai</t>
        </is>
      </c>
      <c r="C5817" s="30" t="n">
        <v>79170089</v>
      </c>
      <c r="D5817" s="30">
        <f>"11058804000168"</f>
        <v/>
      </c>
      <c r="E5817" s="30" t="inlineStr">
        <is>
          <t>PETRO RIO O&amp;G EXPLORACAO E PRODUCAO DE PETROLEO LTDA</t>
        </is>
      </c>
      <c r="F5817" s="30" t="inlineStr">
        <is>
          <t>2022</t>
        </is>
      </c>
      <c r="G5817" s="40" t="n">
        <v>0</v>
      </c>
    </row>
    <row r="5818" ht="12" customHeight="1">
      <c r="A5818" s="30" t="inlineStr">
        <is>
          <t>ITG</t>
        </is>
      </c>
      <c r="B5818" s="30" t="inlineStr">
        <is>
          <t>Itaguai</t>
        </is>
      </c>
      <c r="C5818" s="30" t="n">
        <v>79170089</v>
      </c>
      <c r="D5818" s="30">
        <f>"11058804000168"</f>
        <v/>
      </c>
      <c r="E5818" s="30" t="inlineStr">
        <is>
          <t>PETRO RIO O&amp;G EXPLORACAO E PRODUCAO DE PETROLEO LTDA</t>
        </is>
      </c>
      <c r="F5818" s="30" t="inlineStr">
        <is>
          <t>2023</t>
        </is>
      </c>
      <c r="G5818" s="40" t="n">
        <v>0</v>
      </c>
    </row>
    <row r="5819" ht="12" customHeight="1">
      <c r="A5819" s="30" t="inlineStr">
        <is>
          <t>ITG</t>
        </is>
      </c>
      <c r="B5819" s="30" t="inlineStr">
        <is>
          <t>Itaguai</t>
        </is>
      </c>
      <c r="C5819" s="30" t="n">
        <v>79179558</v>
      </c>
      <c r="D5819" s="30">
        <f>"07568880000146"</f>
        <v/>
      </c>
      <c r="E5819" s="30" t="inlineStr">
        <is>
          <t>EXPRESSO RECREIO TRANSPORTE DE PASSAGEIROS LTDA</t>
        </is>
      </c>
      <c r="F5819" s="30" t="inlineStr">
        <is>
          <t>2017</t>
        </is>
      </c>
      <c r="G5819" s="40" t="n">
        <v>0</v>
      </c>
    </row>
    <row r="5820" ht="12" customHeight="1">
      <c r="A5820" s="30" t="inlineStr">
        <is>
          <t>ITG</t>
        </is>
      </c>
      <c r="B5820" s="30" t="inlineStr">
        <is>
          <t>Itaguai</t>
        </is>
      </c>
      <c r="C5820" s="30" t="n">
        <v>79179558</v>
      </c>
      <c r="D5820" s="30">
        <f>"07568880000146"</f>
        <v/>
      </c>
      <c r="E5820" s="30" t="inlineStr">
        <is>
          <t>EXPRESSO RECREIO TRANSPORTE DE PASSAGEIROS LTDA</t>
        </is>
      </c>
      <c r="F5820" s="30" t="inlineStr">
        <is>
          <t>2018</t>
        </is>
      </c>
      <c r="G5820" s="40" t="n">
        <v>384315.63</v>
      </c>
    </row>
    <row r="5821" ht="12" customHeight="1">
      <c r="A5821" s="30" t="inlineStr">
        <is>
          <t>ITG</t>
        </is>
      </c>
      <c r="B5821" s="30" t="inlineStr">
        <is>
          <t>Itaguai</t>
        </is>
      </c>
      <c r="C5821" s="30" t="n">
        <v>79179558</v>
      </c>
      <c r="D5821" s="30">
        <f>"07568880000146"</f>
        <v/>
      </c>
      <c r="E5821" s="30" t="inlineStr">
        <is>
          <t>EXPRESSO RECREIO TRANSPORTE DE PASSAGEIROS LTDA</t>
        </is>
      </c>
      <c r="F5821" s="30" t="inlineStr">
        <is>
          <t>2019</t>
        </is>
      </c>
      <c r="G5821" s="40" t="n">
        <v>1374455</v>
      </c>
    </row>
    <row r="5822" ht="12" customHeight="1">
      <c r="A5822" s="30" t="inlineStr">
        <is>
          <t>ITG</t>
        </is>
      </c>
      <c r="B5822" s="30" t="inlineStr">
        <is>
          <t>Itaguai</t>
        </is>
      </c>
      <c r="C5822" s="30" t="n">
        <v>79179558</v>
      </c>
      <c r="D5822" s="30">
        <f>"07568880000146"</f>
        <v/>
      </c>
      <c r="E5822" s="30" t="inlineStr">
        <is>
          <t>EXPRESSO RECREIO TRANSPORTE DE PASSAGEIROS LTDA</t>
        </is>
      </c>
      <c r="F5822" s="30" t="inlineStr">
        <is>
          <t>2020</t>
        </is>
      </c>
      <c r="G5822" s="40" t="n">
        <v>0</v>
      </c>
    </row>
    <row r="5823" ht="12" customHeight="1">
      <c r="A5823" s="30" t="inlineStr">
        <is>
          <t>ITG</t>
        </is>
      </c>
      <c r="B5823" s="30" t="inlineStr">
        <is>
          <t>Itaguai</t>
        </is>
      </c>
      <c r="C5823" s="30" t="n">
        <v>79179558</v>
      </c>
      <c r="D5823" s="30">
        <f>"07568880000146"</f>
        <v/>
      </c>
      <c r="E5823" s="30" t="inlineStr">
        <is>
          <t>EXPRESSO RECREIO TRANSPORTE DE PASSAGEIROS LTDA</t>
        </is>
      </c>
      <c r="F5823" s="30" t="inlineStr">
        <is>
          <t>2021</t>
        </is>
      </c>
      <c r="G5823" s="40" t="n">
        <v>0</v>
      </c>
    </row>
    <row r="5824" ht="12" customHeight="1">
      <c r="A5824" s="30" t="inlineStr">
        <is>
          <t>ITG</t>
        </is>
      </c>
      <c r="B5824" s="30" t="inlineStr">
        <is>
          <t>Itaguai</t>
        </is>
      </c>
      <c r="C5824" s="30" t="n">
        <v>79180297</v>
      </c>
      <c r="D5824" s="30">
        <f>"05699139000199"</f>
        <v/>
      </c>
      <c r="E5824" s="30" t="inlineStr">
        <is>
          <t>GUIOMAR TRANSPORTES LTDA ME</t>
        </is>
      </c>
      <c r="F5824" s="30" t="inlineStr">
        <is>
          <t>2017</t>
        </is>
      </c>
      <c r="G5824" s="40" t="n">
        <v>4804774.15</v>
      </c>
    </row>
    <row r="5825" ht="12" customHeight="1">
      <c r="A5825" s="30" t="inlineStr">
        <is>
          <t>ITG</t>
        </is>
      </c>
      <c r="B5825" s="30" t="inlineStr">
        <is>
          <t>Itaguai</t>
        </is>
      </c>
      <c r="C5825" s="30" t="n">
        <v>79180297</v>
      </c>
      <c r="D5825" s="30">
        <f>"05699139000199"</f>
        <v/>
      </c>
      <c r="E5825" s="30" t="inlineStr">
        <is>
          <t>GUIOMAR TRANSPORTES LTDA ME</t>
        </is>
      </c>
      <c r="F5825" s="30" t="inlineStr">
        <is>
          <t>2018</t>
        </is>
      </c>
      <c r="G5825" s="40" t="n">
        <v>1845032.66</v>
      </c>
    </row>
    <row r="5826" ht="12" customHeight="1">
      <c r="A5826" s="30" t="inlineStr">
        <is>
          <t>ITG</t>
        </is>
      </c>
      <c r="B5826" s="30" t="inlineStr">
        <is>
          <t>Itaguai</t>
        </is>
      </c>
      <c r="C5826" s="30" t="n">
        <v>79180297</v>
      </c>
      <c r="D5826" s="30">
        <f>"05699139000199"</f>
        <v/>
      </c>
      <c r="E5826" s="30" t="inlineStr">
        <is>
          <t>GUIOMAR TRANSPORTES LTDA ME</t>
        </is>
      </c>
      <c r="F5826" s="30" t="inlineStr">
        <is>
          <t>2019</t>
        </is>
      </c>
      <c r="G5826" s="40" t="n">
        <v>27518.75</v>
      </c>
    </row>
    <row r="5827" ht="12" customHeight="1">
      <c r="A5827" s="30" t="inlineStr">
        <is>
          <t>ITG</t>
        </is>
      </c>
      <c r="B5827" s="30" t="inlineStr">
        <is>
          <t>Itaguai</t>
        </is>
      </c>
      <c r="C5827" s="30" t="n">
        <v>79180297</v>
      </c>
      <c r="D5827" s="30">
        <f>"05699139000199"</f>
        <v/>
      </c>
      <c r="E5827" s="30" t="inlineStr">
        <is>
          <t>GUIOMAR TRANSPORTES LTDA ME</t>
        </is>
      </c>
      <c r="F5827" s="30" t="inlineStr">
        <is>
          <t>2020</t>
        </is>
      </c>
      <c r="G5827" s="40" t="n">
        <v>9180367.4</v>
      </c>
    </row>
    <row r="5828" ht="12" customHeight="1">
      <c r="A5828" s="30" t="inlineStr">
        <is>
          <t>ITG</t>
        </is>
      </c>
      <c r="B5828" s="30" t="inlineStr">
        <is>
          <t>Itaguai</t>
        </is>
      </c>
      <c r="C5828" s="30" t="n">
        <v>79180297</v>
      </c>
      <c r="D5828" s="30">
        <f>"05699139000199"</f>
        <v/>
      </c>
      <c r="E5828" s="30" t="inlineStr">
        <is>
          <t>GUIOMAR TRANSPORTES LTDA ME</t>
        </is>
      </c>
      <c r="F5828" s="30" t="inlineStr">
        <is>
          <t>2021</t>
        </is>
      </c>
      <c r="G5828" s="40" t="n">
        <v>9166310.289999999</v>
      </c>
    </row>
    <row r="5829" ht="12" customHeight="1">
      <c r="A5829" s="30" t="inlineStr">
        <is>
          <t>ITG</t>
        </is>
      </c>
      <c r="B5829" s="30" t="inlineStr">
        <is>
          <t>Itaguai</t>
        </is>
      </c>
      <c r="C5829" s="30" t="n">
        <v>79180297</v>
      </c>
      <c r="D5829" s="30">
        <f>"05699139000199"</f>
        <v/>
      </c>
      <c r="E5829" s="30" t="inlineStr">
        <is>
          <t>GUIOMAR TRANSPORTES LTDA ME</t>
        </is>
      </c>
      <c r="F5829" s="30" t="inlineStr">
        <is>
          <t>2022</t>
        </is>
      </c>
      <c r="G5829" s="40" t="n">
        <v>8614543.68</v>
      </c>
    </row>
    <row r="5830" ht="12" customHeight="1">
      <c r="A5830" s="30" t="inlineStr">
        <is>
          <t>ITG</t>
        </is>
      </c>
      <c r="B5830" s="30" t="inlineStr">
        <is>
          <t>Itaguai</t>
        </is>
      </c>
      <c r="C5830" s="30" t="n">
        <v>79180297</v>
      </c>
      <c r="D5830" s="30">
        <f>"05699139000199"</f>
        <v/>
      </c>
      <c r="E5830" s="30" t="inlineStr">
        <is>
          <t>GUIOMAR TRANSPORTES LTDA ME</t>
        </is>
      </c>
      <c r="F5830" s="30" t="inlineStr">
        <is>
          <t>2023</t>
        </is>
      </c>
      <c r="G5830" s="40" t="n">
        <v>7771826.28</v>
      </c>
    </row>
    <row r="5831" ht="12" customHeight="1">
      <c r="A5831" s="30" t="inlineStr">
        <is>
          <t>ITG</t>
        </is>
      </c>
      <c r="B5831" s="30" t="inlineStr">
        <is>
          <t>Itaguai</t>
        </is>
      </c>
      <c r="C5831" s="30" t="n">
        <v>79180351</v>
      </c>
      <c r="D5831" s="30">
        <f>"12056613000634"</f>
        <v/>
      </c>
      <c r="E5831" s="30" t="inlineStr">
        <is>
          <t>MINERACAO USIMINAS S A</t>
        </is>
      </c>
      <c r="F5831" s="30" t="inlineStr">
        <is>
          <t>2017</t>
        </is>
      </c>
      <c r="G5831" s="40" t="n">
        <v>0</v>
      </c>
    </row>
    <row r="5832" ht="12" customHeight="1">
      <c r="A5832" s="30" t="inlineStr">
        <is>
          <t>ITG</t>
        </is>
      </c>
      <c r="B5832" s="30" t="inlineStr">
        <is>
          <t>Itaguai</t>
        </is>
      </c>
      <c r="C5832" s="30" t="n">
        <v>79180351</v>
      </c>
      <c r="D5832" s="30">
        <f>"12056613000634"</f>
        <v/>
      </c>
      <c r="E5832" s="30" t="inlineStr">
        <is>
          <t>MINERACAO USIMINAS S A</t>
        </is>
      </c>
      <c r="F5832" s="30" t="inlineStr">
        <is>
          <t>2018</t>
        </is>
      </c>
      <c r="G5832" s="40" t="n">
        <v>0</v>
      </c>
    </row>
    <row r="5833" ht="12" customHeight="1">
      <c r="A5833" s="30" t="inlineStr">
        <is>
          <t>ITG</t>
        </is>
      </c>
      <c r="B5833" s="30" t="inlineStr">
        <is>
          <t>Itaguai</t>
        </is>
      </c>
      <c r="C5833" s="30" t="n">
        <v>79180351</v>
      </c>
      <c r="D5833" s="30">
        <f>"12056613000634"</f>
        <v/>
      </c>
      <c r="E5833" s="30" t="inlineStr">
        <is>
          <t>MINERACAO USIMINAS S A</t>
        </is>
      </c>
      <c r="F5833" s="30" t="inlineStr">
        <is>
          <t>2019</t>
        </is>
      </c>
      <c r="G5833" s="40" t="n">
        <v>0</v>
      </c>
    </row>
    <row r="5834" ht="12" customHeight="1">
      <c r="A5834" s="30" t="inlineStr">
        <is>
          <t>ITG</t>
        </is>
      </c>
      <c r="B5834" s="30" t="inlineStr">
        <is>
          <t>Itaguai</t>
        </is>
      </c>
      <c r="C5834" s="30" t="n">
        <v>79180351</v>
      </c>
      <c r="D5834" s="30">
        <f>"12056613000634"</f>
        <v/>
      </c>
      <c r="E5834" s="30" t="inlineStr">
        <is>
          <t>MINERACAO USIMINAS S A</t>
        </is>
      </c>
      <c r="F5834" s="30" t="inlineStr">
        <is>
          <t>2020</t>
        </is>
      </c>
      <c r="G5834" s="40" t="n">
        <v>0</v>
      </c>
    </row>
    <row r="5835" ht="12" customHeight="1">
      <c r="A5835" s="30" t="inlineStr">
        <is>
          <t>ITG</t>
        </is>
      </c>
      <c r="B5835" s="30" t="inlineStr">
        <is>
          <t>Itaguai</t>
        </is>
      </c>
      <c r="C5835" s="30" t="n">
        <v>79180351</v>
      </c>
      <c r="D5835" s="30">
        <f>"12056613000634"</f>
        <v/>
      </c>
      <c r="E5835" s="30" t="inlineStr">
        <is>
          <t>MINERACAO USIMINAS S A</t>
        </is>
      </c>
      <c r="F5835" s="30" t="inlineStr">
        <is>
          <t>2021</t>
        </is>
      </c>
      <c r="G5835" s="40" t="n">
        <v>0</v>
      </c>
    </row>
    <row r="5836" ht="12" customHeight="1">
      <c r="A5836" s="30" t="inlineStr">
        <is>
          <t>ITG</t>
        </is>
      </c>
      <c r="B5836" s="30" t="inlineStr">
        <is>
          <t>Itaguai</t>
        </is>
      </c>
      <c r="C5836" s="30" t="n">
        <v>79180351</v>
      </c>
      <c r="D5836" s="30">
        <f>"12056613000634"</f>
        <v/>
      </c>
      <c r="E5836" s="30" t="inlineStr">
        <is>
          <t>MINERACAO USIMINAS S A</t>
        </is>
      </c>
      <c r="F5836" s="30" t="inlineStr">
        <is>
          <t>2022</t>
        </is>
      </c>
      <c r="G5836" s="40" t="n">
        <v>0</v>
      </c>
    </row>
    <row r="5837" ht="12" customHeight="1">
      <c r="A5837" s="30" t="inlineStr">
        <is>
          <t>ITG</t>
        </is>
      </c>
      <c r="B5837" s="30" t="inlineStr">
        <is>
          <t>Itaguai</t>
        </is>
      </c>
      <c r="C5837" s="30" t="n">
        <v>79180351</v>
      </c>
      <c r="D5837" s="30">
        <f>"12056613000634"</f>
        <v/>
      </c>
      <c r="E5837" s="30" t="inlineStr">
        <is>
          <t>MINERACAO USIMINAS S A</t>
        </is>
      </c>
      <c r="F5837" s="30" t="inlineStr">
        <is>
          <t>2023</t>
        </is>
      </c>
      <c r="G5837" s="40" t="n">
        <v>0</v>
      </c>
    </row>
    <row r="5838" ht="12" customHeight="1">
      <c r="A5838" s="30" t="inlineStr">
        <is>
          <t>ITG</t>
        </is>
      </c>
      <c r="B5838" s="30" t="inlineStr">
        <is>
          <t>Itaguai</t>
        </is>
      </c>
      <c r="C5838" s="30" t="n">
        <v>79183989</v>
      </c>
      <c r="D5838" s="30">
        <f>"12489359000153"</f>
        <v/>
      </c>
      <c r="E5838" s="30" t="inlineStr">
        <is>
          <t>BOAS NOVAS DE ITAGUAI COMERCIO DE ROUPAS EIRELI EPP</t>
        </is>
      </c>
      <c r="F5838" s="30" t="inlineStr">
        <is>
          <t>2018</t>
        </is>
      </c>
      <c r="G5838" s="40" t="n">
        <v>0</v>
      </c>
    </row>
    <row r="5839" ht="12" customHeight="1">
      <c r="A5839" s="30" t="inlineStr">
        <is>
          <t>ITG</t>
        </is>
      </c>
      <c r="B5839" s="30" t="inlineStr">
        <is>
          <t>Itaguai</t>
        </is>
      </c>
      <c r="C5839" s="30" t="n">
        <v>79183989</v>
      </c>
      <c r="D5839" s="30">
        <f>"12489359000153"</f>
        <v/>
      </c>
      <c r="E5839" s="30" t="inlineStr">
        <is>
          <t>BOAS NOVAS DE ITAGUAI COMERCIO DE ROUPAS EIRELI EPP</t>
        </is>
      </c>
      <c r="F5839" s="30" t="inlineStr">
        <is>
          <t>2019</t>
        </is>
      </c>
      <c r="G5839" s="40" t="n">
        <v>0</v>
      </c>
    </row>
    <row r="5840" ht="12" customHeight="1">
      <c r="A5840" s="30" t="inlineStr">
        <is>
          <t>ITG</t>
        </is>
      </c>
      <c r="B5840" s="30" t="inlineStr">
        <is>
          <t>Itaguai</t>
        </is>
      </c>
      <c r="C5840" s="30" t="n">
        <v>79183989</v>
      </c>
      <c r="D5840" s="30">
        <f>"12489359000153"</f>
        <v/>
      </c>
      <c r="E5840" s="30" t="inlineStr">
        <is>
          <t>BOAS NOVAS DE ITAGUAI COMERCIO DE ROUPAS EIRELI EPP</t>
        </is>
      </c>
      <c r="F5840" s="30" t="inlineStr">
        <is>
          <t>2020</t>
        </is>
      </c>
      <c r="G5840" s="40" t="n">
        <v>14301.76</v>
      </c>
    </row>
    <row r="5841" ht="12" customHeight="1">
      <c r="A5841" s="30" t="inlineStr">
        <is>
          <t>ITG</t>
        </is>
      </c>
      <c r="B5841" s="30" t="inlineStr">
        <is>
          <t>Itaguai</t>
        </is>
      </c>
      <c r="C5841" s="30" t="n">
        <v>79183989</v>
      </c>
      <c r="D5841" s="30">
        <f>"12489359000153"</f>
        <v/>
      </c>
      <c r="E5841" s="30" t="inlineStr">
        <is>
          <t>BOAS NOVAS DE ITAGUAI COMERCIO DE ROUPAS EIRELI EPP</t>
        </is>
      </c>
      <c r="F5841" s="30" t="inlineStr">
        <is>
          <t>2021</t>
        </is>
      </c>
      <c r="G5841" s="40" t="n">
        <v>0</v>
      </c>
    </row>
    <row r="5842" ht="12" customHeight="1">
      <c r="A5842" s="30" t="inlineStr">
        <is>
          <t>ITG</t>
        </is>
      </c>
      <c r="B5842" s="30" t="inlineStr">
        <is>
          <t>Itaguai</t>
        </is>
      </c>
      <c r="C5842" s="30" t="n">
        <v>79183989</v>
      </c>
      <c r="D5842" s="30">
        <f>"12489359000153"</f>
        <v/>
      </c>
      <c r="E5842" s="30" t="inlineStr">
        <is>
          <t>BOAS NOVAS DE ITAGUAI COMERCIO DE ROUPAS EIRELI EPP</t>
        </is>
      </c>
      <c r="F5842" s="30" t="inlineStr">
        <is>
          <t>2022</t>
        </is>
      </c>
      <c r="G5842" s="40" t="n">
        <v>0</v>
      </c>
    </row>
    <row r="5843" ht="12" customHeight="1">
      <c r="A5843" s="30" t="inlineStr">
        <is>
          <t>ITG</t>
        </is>
      </c>
      <c r="B5843" s="30" t="inlineStr">
        <is>
          <t>Itaguai</t>
        </is>
      </c>
      <c r="C5843" s="30" t="n">
        <v>79183989</v>
      </c>
      <c r="D5843" s="30">
        <f>"12489359000153"</f>
        <v/>
      </c>
      <c r="E5843" s="30" t="inlineStr">
        <is>
          <t>BOAS NOVAS DE ITAGUAI COMERCIO DE ROUPAS EIRELI EPP</t>
        </is>
      </c>
      <c r="F5843" s="30" t="inlineStr">
        <is>
          <t>2023</t>
        </is>
      </c>
      <c r="G5843" s="40" t="n">
        <v>0</v>
      </c>
    </row>
    <row r="5844" ht="12" customHeight="1">
      <c r="A5844" s="30" t="inlineStr">
        <is>
          <t>ITG</t>
        </is>
      </c>
      <c r="B5844" s="30" t="inlineStr">
        <is>
          <t>Itaguai</t>
        </is>
      </c>
      <c r="C5844" s="30" t="n">
        <v>79185280</v>
      </c>
      <c r="D5844" s="30">
        <f>"11824706000275"</f>
        <v/>
      </c>
      <c r="E5844" s="30" t="inlineStr">
        <is>
          <t>MENOS E MAIS INDUSTRIA E COMERCIO DE ROUPAS LTDA ME</t>
        </is>
      </c>
      <c r="F5844" s="30" t="inlineStr">
        <is>
          <t>2017</t>
        </is>
      </c>
      <c r="G5844" s="40" t="n">
        <v>0</v>
      </c>
    </row>
    <row r="5845" ht="12" customHeight="1">
      <c r="A5845" s="30" t="inlineStr">
        <is>
          <t>ITG</t>
        </is>
      </c>
      <c r="B5845" s="30" t="inlineStr">
        <is>
          <t>Itaguai</t>
        </is>
      </c>
      <c r="C5845" s="30" t="n">
        <v>79185280</v>
      </c>
      <c r="D5845" s="30">
        <f>"11824706000275"</f>
        <v/>
      </c>
      <c r="E5845" s="30" t="inlineStr">
        <is>
          <t>MENOS E MAIS INDUSTRIA E COMERCIO DE ROUPAS LTDA ME</t>
        </is>
      </c>
      <c r="F5845" s="30" t="inlineStr">
        <is>
          <t>2018</t>
        </is>
      </c>
      <c r="G5845" s="40" t="n">
        <v>0</v>
      </c>
    </row>
    <row r="5846" ht="12" customHeight="1">
      <c r="A5846" s="30" t="inlineStr">
        <is>
          <t>ITG</t>
        </is>
      </c>
      <c r="B5846" s="30" t="inlineStr">
        <is>
          <t>Itaguai</t>
        </is>
      </c>
      <c r="C5846" s="30" t="n">
        <v>79185280</v>
      </c>
      <c r="D5846" s="30">
        <f>"11824706000275"</f>
        <v/>
      </c>
      <c r="E5846" s="30" t="inlineStr">
        <is>
          <t>MENOS E MAIS INDUSTRIA E COMERCIO DE ROUPAS LTDA ME</t>
        </is>
      </c>
      <c r="F5846" s="30" t="inlineStr">
        <is>
          <t>2019</t>
        </is>
      </c>
      <c r="G5846" s="40" t="n">
        <v>0</v>
      </c>
    </row>
    <row r="5847" ht="12" customHeight="1">
      <c r="A5847" s="30" t="inlineStr">
        <is>
          <t>ITG</t>
        </is>
      </c>
      <c r="B5847" s="30" t="inlineStr">
        <is>
          <t>Itaguai</t>
        </is>
      </c>
      <c r="C5847" s="30" t="n">
        <v>79185280</v>
      </c>
      <c r="D5847" s="30">
        <f>"11824706000275"</f>
        <v/>
      </c>
      <c r="E5847" s="30" t="inlineStr">
        <is>
          <t>MENOS E MAIS INDUSTRIA E COMERCIO DE ROUPAS LTDA ME</t>
        </is>
      </c>
      <c r="F5847" s="30" t="inlineStr">
        <is>
          <t>2020</t>
        </is>
      </c>
      <c r="G5847" s="40" t="n">
        <v>0</v>
      </c>
    </row>
    <row r="5848" ht="12" customHeight="1">
      <c r="A5848" s="30" t="inlineStr">
        <is>
          <t>ITG</t>
        </is>
      </c>
      <c r="B5848" s="30" t="inlineStr">
        <is>
          <t>Itaguai</t>
        </is>
      </c>
      <c r="C5848" s="30" t="n">
        <v>79192309</v>
      </c>
      <c r="D5848" s="30">
        <f>"12434161000172"</f>
        <v/>
      </c>
      <c r="E5848" s="30" t="inlineStr">
        <is>
          <t>R A DE OLIVEIRA COMERCIO DE RECICLAGEM LTDA ME</t>
        </is>
      </c>
      <c r="F5848" s="30" t="inlineStr">
        <is>
          <t>2017</t>
        </is>
      </c>
      <c r="G5848" s="40" t="n">
        <v>0</v>
      </c>
    </row>
    <row r="5849" ht="12" customHeight="1">
      <c r="A5849" s="30" t="inlineStr">
        <is>
          <t>ITG</t>
        </is>
      </c>
      <c r="B5849" s="30" t="inlineStr">
        <is>
          <t>Itaguai</t>
        </is>
      </c>
      <c r="C5849" s="30" t="n">
        <v>79192309</v>
      </c>
      <c r="D5849" s="30">
        <f>"12434161000172"</f>
        <v/>
      </c>
      <c r="E5849" s="30" t="inlineStr">
        <is>
          <t>R A DE OLIVEIRA COMERCIO DE RECICLAGEM LTDA ME</t>
        </is>
      </c>
      <c r="F5849" s="30" t="inlineStr">
        <is>
          <t>2018</t>
        </is>
      </c>
      <c r="G5849" s="40" t="n">
        <v>0</v>
      </c>
    </row>
    <row r="5850" ht="12" customHeight="1">
      <c r="A5850" s="30" t="inlineStr">
        <is>
          <t>ITG</t>
        </is>
      </c>
      <c r="B5850" s="30" t="inlineStr">
        <is>
          <t>Itaguai</t>
        </is>
      </c>
      <c r="C5850" s="30" t="n">
        <v>79192309</v>
      </c>
      <c r="D5850" s="30">
        <f>"12434161000172"</f>
        <v/>
      </c>
      <c r="E5850" s="30" t="inlineStr">
        <is>
          <t>R A DE OLIVEIRA COMERCIO DE RECICLAGEM LTDA ME</t>
        </is>
      </c>
      <c r="F5850" s="30" t="inlineStr">
        <is>
          <t>2019</t>
        </is>
      </c>
      <c r="G5850" s="40" t="n">
        <v>0</v>
      </c>
    </row>
    <row r="5851" ht="12" customHeight="1">
      <c r="A5851" s="30" t="inlineStr">
        <is>
          <t>ITG</t>
        </is>
      </c>
      <c r="B5851" s="30" t="inlineStr">
        <is>
          <t>Itaguai</t>
        </is>
      </c>
      <c r="C5851" s="30" t="n">
        <v>79192317</v>
      </c>
      <c r="D5851" s="30">
        <f>"01748365000161"</f>
        <v/>
      </c>
      <c r="E5851" s="30" t="inlineStr">
        <is>
          <t>GRUPO NESTOR CAMPOS PAIVA COMERCIO E SERVICOS GRAFICOS LTDA ME</t>
        </is>
      </c>
      <c r="F5851" s="30" t="inlineStr">
        <is>
          <t>2017</t>
        </is>
      </c>
      <c r="G5851" s="40" t="n">
        <v>0</v>
      </c>
    </row>
    <row r="5852" ht="12" customHeight="1">
      <c r="A5852" s="30" t="inlineStr">
        <is>
          <t>ITG</t>
        </is>
      </c>
      <c r="B5852" s="30" t="inlineStr">
        <is>
          <t>Itaguai</t>
        </is>
      </c>
      <c r="C5852" s="30" t="n">
        <v>79192317</v>
      </c>
      <c r="D5852" s="30">
        <f>"01748365000161"</f>
        <v/>
      </c>
      <c r="E5852" s="30" t="inlineStr">
        <is>
          <t>GRUPO NESTOR CAMPOS PAIVA COMERCIO E SERVICOS GRAFICOS LTDA ME</t>
        </is>
      </c>
      <c r="F5852" s="30" t="inlineStr">
        <is>
          <t>2018</t>
        </is>
      </c>
      <c r="G5852" s="40" t="n">
        <v>0</v>
      </c>
    </row>
    <row r="5853" ht="12" customHeight="1">
      <c r="A5853" s="30" t="inlineStr">
        <is>
          <t>ITG</t>
        </is>
      </c>
      <c r="B5853" s="30" t="inlineStr">
        <is>
          <t>Itaguai</t>
        </is>
      </c>
      <c r="C5853" s="30" t="n">
        <v>79192317</v>
      </c>
      <c r="D5853" s="30">
        <f>"01748365000161"</f>
        <v/>
      </c>
      <c r="E5853" s="30" t="inlineStr">
        <is>
          <t>GRUPO NESTOR CAMPOS PAIVA COMERCIO E SERVICOS GRAFICOS LTDA ME</t>
        </is>
      </c>
      <c r="F5853" s="30" t="inlineStr">
        <is>
          <t>2019</t>
        </is>
      </c>
      <c r="G5853" s="40" t="n">
        <v>0</v>
      </c>
    </row>
    <row r="5854" ht="12" customHeight="1">
      <c r="A5854" s="30" t="inlineStr">
        <is>
          <t>ITG</t>
        </is>
      </c>
      <c r="B5854" s="30" t="inlineStr">
        <is>
          <t>Itaguai</t>
        </is>
      </c>
      <c r="C5854" s="30" t="n">
        <v>79192317</v>
      </c>
      <c r="D5854" s="30">
        <f>"01748365000161"</f>
        <v/>
      </c>
      <c r="E5854" s="30" t="inlineStr">
        <is>
          <t>GRUPO NESTOR CAMPOS PAIVA COMERCIO E SERVICOS GRAFICOS LTDA ME</t>
        </is>
      </c>
      <c r="F5854" s="30" t="inlineStr">
        <is>
          <t>2020</t>
        </is>
      </c>
      <c r="G5854" s="40" t="n">
        <v>0</v>
      </c>
    </row>
    <row r="5855" ht="12" customHeight="1">
      <c r="A5855" s="30" t="inlineStr">
        <is>
          <t>ITG</t>
        </is>
      </c>
      <c r="B5855" s="30" t="inlineStr">
        <is>
          <t>Itaguai</t>
        </is>
      </c>
      <c r="C5855" s="30" t="n">
        <v>79192317</v>
      </c>
      <c r="D5855" s="30">
        <f>"01748365000161"</f>
        <v/>
      </c>
      <c r="E5855" s="30" t="inlineStr">
        <is>
          <t>GRUPO NESTOR CAMPOS PAIVA COMERCIO E SERVICOS GRAFICOS LTDA ME</t>
        </is>
      </c>
      <c r="F5855" s="30" t="inlineStr">
        <is>
          <t>2021</t>
        </is>
      </c>
      <c r="G5855" s="40" t="n">
        <v>0</v>
      </c>
    </row>
    <row r="5856" ht="12" customHeight="1">
      <c r="A5856" s="30" t="inlineStr">
        <is>
          <t>ITG</t>
        </is>
      </c>
      <c r="B5856" s="30" t="inlineStr">
        <is>
          <t>Itaguai</t>
        </is>
      </c>
      <c r="C5856" s="30" t="n">
        <v>79192317</v>
      </c>
      <c r="D5856" s="30">
        <f>"01748365000161"</f>
        <v/>
      </c>
      <c r="E5856" s="30" t="inlineStr">
        <is>
          <t>GRUPO NESTOR CAMPOS PAIVA COMERCIO E SERVICOS GRAFICOS LTDA ME</t>
        </is>
      </c>
      <c r="F5856" s="30" t="inlineStr">
        <is>
          <t>2022</t>
        </is>
      </c>
      <c r="G5856" s="40" t="n">
        <v>0</v>
      </c>
    </row>
    <row r="5857" ht="12" customHeight="1">
      <c r="A5857" s="30" t="inlineStr">
        <is>
          <t>ITG</t>
        </is>
      </c>
      <c r="B5857" s="30" t="inlineStr">
        <is>
          <t>Itaguai</t>
        </is>
      </c>
      <c r="C5857" s="30" t="n">
        <v>79192317</v>
      </c>
      <c r="D5857" s="30">
        <f>"01748365000161"</f>
        <v/>
      </c>
      <c r="E5857" s="30" t="inlineStr">
        <is>
          <t>GRUPO NESTOR CAMPOS PAIVA COMERCIO E SERVICOS GRAFICOS LTDA ME</t>
        </is>
      </c>
      <c r="F5857" s="30" t="inlineStr">
        <is>
          <t>2023</t>
        </is>
      </c>
      <c r="G5857" s="40" t="n">
        <v>0</v>
      </c>
    </row>
    <row r="5858" ht="12" customHeight="1">
      <c r="A5858" s="30" t="inlineStr">
        <is>
          <t>ITG</t>
        </is>
      </c>
      <c r="B5858" s="30" t="inlineStr">
        <is>
          <t>Itaguai</t>
        </is>
      </c>
      <c r="C5858" s="30" t="n">
        <v>79193941</v>
      </c>
      <c r="D5858" s="30">
        <f>"12609494000195"</f>
        <v/>
      </c>
      <c r="E5858" s="30" t="inlineStr">
        <is>
          <t>CONCRETO SANTA LUZIA LTDA</t>
        </is>
      </c>
      <c r="F5858" s="30" t="inlineStr">
        <is>
          <t>2017</t>
        </is>
      </c>
      <c r="G5858" s="40" t="n">
        <v>0</v>
      </c>
    </row>
    <row r="5859" ht="12" customHeight="1">
      <c r="A5859" s="30" t="inlineStr">
        <is>
          <t>ITG</t>
        </is>
      </c>
      <c r="B5859" s="30" t="inlineStr">
        <is>
          <t>Itaguai</t>
        </is>
      </c>
      <c r="C5859" s="30" t="n">
        <v>79193941</v>
      </c>
      <c r="D5859" s="30">
        <f>"12609494000195"</f>
        <v/>
      </c>
      <c r="E5859" s="30" t="inlineStr">
        <is>
          <t>CONCRETO SANTA LUZIA LTDA</t>
        </is>
      </c>
      <c r="F5859" s="30" t="inlineStr">
        <is>
          <t>2018</t>
        </is>
      </c>
      <c r="G5859" s="40" t="n">
        <v>0</v>
      </c>
    </row>
    <row r="5860" ht="12" customHeight="1">
      <c r="A5860" s="30" t="inlineStr">
        <is>
          <t>ITG</t>
        </is>
      </c>
      <c r="B5860" s="30" t="inlineStr">
        <is>
          <t>Itaguai</t>
        </is>
      </c>
      <c r="C5860" s="30" t="n">
        <v>79193941</v>
      </c>
      <c r="D5860" s="30">
        <f>"12609494000195"</f>
        <v/>
      </c>
      <c r="E5860" s="30" t="inlineStr">
        <is>
          <t>CONCRETO SANTA LUZIA LTDA</t>
        </is>
      </c>
      <c r="F5860" s="30" t="inlineStr">
        <is>
          <t>2019</t>
        </is>
      </c>
      <c r="G5860" s="40" t="n">
        <v>0</v>
      </c>
    </row>
    <row r="5861" ht="12" customHeight="1">
      <c r="A5861" s="30" t="inlineStr">
        <is>
          <t>ITG</t>
        </is>
      </c>
      <c r="B5861" s="30" t="inlineStr">
        <is>
          <t>Itaguai</t>
        </is>
      </c>
      <c r="C5861" s="30" t="n">
        <v>79193941</v>
      </c>
      <c r="D5861" s="30">
        <f>"12609494000195"</f>
        <v/>
      </c>
      <c r="E5861" s="30" t="inlineStr">
        <is>
          <t>CONCRETO SANTA LUZIA LTDA</t>
        </is>
      </c>
      <c r="F5861" s="30" t="inlineStr">
        <is>
          <t>2020</t>
        </is>
      </c>
      <c r="G5861" s="40" t="n">
        <v>0</v>
      </c>
    </row>
    <row r="5862" ht="12" customHeight="1">
      <c r="A5862" s="30" t="inlineStr">
        <is>
          <t>ITG</t>
        </is>
      </c>
      <c r="B5862" s="30" t="inlineStr">
        <is>
          <t>Itaguai</t>
        </is>
      </c>
      <c r="C5862" s="30" t="n">
        <v>79193941</v>
      </c>
      <c r="D5862" s="30">
        <f>"12609494000195"</f>
        <v/>
      </c>
      <c r="E5862" s="30" t="inlineStr">
        <is>
          <t>CONCRETO SANTA LUZIA LTDA</t>
        </is>
      </c>
      <c r="F5862" s="30" t="inlineStr">
        <is>
          <t>2021</t>
        </is>
      </c>
      <c r="G5862" s="40" t="n">
        <v>0</v>
      </c>
    </row>
    <row r="5863" ht="12" customHeight="1">
      <c r="A5863" s="30" t="inlineStr">
        <is>
          <t>ITG</t>
        </is>
      </c>
      <c r="B5863" s="30" t="inlineStr">
        <is>
          <t>Itaguai</t>
        </is>
      </c>
      <c r="C5863" s="30" t="n">
        <v>79193941</v>
      </c>
      <c r="D5863" s="30">
        <f>"12609494000195"</f>
        <v/>
      </c>
      <c r="E5863" s="30" t="inlineStr">
        <is>
          <t>CONCRETO SANTA LUZIA LTDA</t>
        </is>
      </c>
      <c r="F5863" s="30" t="inlineStr">
        <is>
          <t>2022</t>
        </is>
      </c>
      <c r="G5863" s="40" t="n">
        <v>0</v>
      </c>
    </row>
    <row r="5864" ht="12" customHeight="1">
      <c r="A5864" s="30" t="inlineStr">
        <is>
          <t>ITG</t>
        </is>
      </c>
      <c r="B5864" s="30" t="inlineStr">
        <is>
          <t>Itaguai</t>
        </is>
      </c>
      <c r="C5864" s="30" t="n">
        <v>79193941</v>
      </c>
      <c r="D5864" s="30">
        <f>"12609494000195"</f>
        <v/>
      </c>
      <c r="E5864" s="30" t="inlineStr">
        <is>
          <t>CONCRETO SANTA LUZIA LTDA</t>
        </is>
      </c>
      <c r="F5864" s="30" t="inlineStr">
        <is>
          <t>2023</t>
        </is>
      </c>
      <c r="G5864" s="40" t="n">
        <v>0</v>
      </c>
    </row>
    <row r="5865" ht="12" customHeight="1">
      <c r="A5865" s="30" t="inlineStr">
        <is>
          <t>ITG</t>
        </is>
      </c>
      <c r="B5865" s="30" t="inlineStr">
        <is>
          <t>Itaguai</t>
        </is>
      </c>
      <c r="C5865" s="30" t="n">
        <v>79193976</v>
      </c>
      <c r="D5865" s="30">
        <f>"12609440000120"</f>
        <v/>
      </c>
      <c r="E5865" s="30" t="inlineStr">
        <is>
          <t>TRANSPORTES E LOGISTICA SANTA LUZIA LTDA</t>
        </is>
      </c>
      <c r="F5865" s="30" t="inlineStr">
        <is>
          <t>2017</t>
        </is>
      </c>
      <c r="G5865" s="40" t="n">
        <v>0</v>
      </c>
    </row>
    <row r="5866" ht="12" customHeight="1">
      <c r="A5866" s="30" t="inlineStr">
        <is>
          <t>ITG</t>
        </is>
      </c>
      <c r="B5866" s="30" t="inlineStr">
        <is>
          <t>Itaguai</t>
        </is>
      </c>
      <c r="C5866" s="30" t="n">
        <v>79193976</v>
      </c>
      <c r="D5866" s="30">
        <f>"12609440000120"</f>
        <v/>
      </c>
      <c r="E5866" s="30" t="inlineStr">
        <is>
          <t>TRANSPORTES E LOGISTICA SANTA LUZIA LTDA</t>
        </is>
      </c>
      <c r="F5866" s="30" t="inlineStr">
        <is>
          <t>2018</t>
        </is>
      </c>
      <c r="G5866" s="40" t="n">
        <v>0</v>
      </c>
    </row>
    <row r="5867" ht="12" customHeight="1">
      <c r="A5867" s="30" t="inlineStr">
        <is>
          <t>ITG</t>
        </is>
      </c>
      <c r="B5867" s="30" t="inlineStr">
        <is>
          <t>Itaguai</t>
        </is>
      </c>
      <c r="C5867" s="30" t="n">
        <v>79193976</v>
      </c>
      <c r="D5867" s="30">
        <f>"12609440000120"</f>
        <v/>
      </c>
      <c r="E5867" s="30" t="inlineStr">
        <is>
          <t>TRANSPORTES E LOGISTICA SANTA LUZIA LTDA</t>
        </is>
      </c>
      <c r="F5867" s="30" t="inlineStr">
        <is>
          <t>2019</t>
        </is>
      </c>
      <c r="G5867" s="40" t="n">
        <v>0</v>
      </c>
    </row>
    <row r="5868" ht="12" customHeight="1">
      <c r="A5868" s="30" t="inlineStr">
        <is>
          <t>ITG</t>
        </is>
      </c>
      <c r="B5868" s="30" t="inlineStr">
        <is>
          <t>Itaguai</t>
        </is>
      </c>
      <c r="C5868" s="30" t="n">
        <v>79193976</v>
      </c>
      <c r="D5868" s="30">
        <f>"12609440000120"</f>
        <v/>
      </c>
      <c r="E5868" s="30" t="inlineStr">
        <is>
          <t>TRANSPORTES E LOGISTICA SANTA LUZIA LTDA</t>
        </is>
      </c>
      <c r="F5868" s="30" t="inlineStr">
        <is>
          <t>2020</t>
        </is>
      </c>
      <c r="G5868" s="40" t="n">
        <v>0</v>
      </c>
    </row>
    <row r="5869" ht="12" customHeight="1">
      <c r="A5869" s="30" t="inlineStr">
        <is>
          <t>ITG</t>
        </is>
      </c>
      <c r="B5869" s="30" t="inlineStr">
        <is>
          <t>Itaguai</t>
        </is>
      </c>
      <c r="C5869" s="30" t="n">
        <v>79193976</v>
      </c>
      <c r="D5869" s="30">
        <f>"12609440000120"</f>
        <v/>
      </c>
      <c r="E5869" s="30" t="inlineStr">
        <is>
          <t>TRANSPORTES E LOGISTICA SANTA LUZIA LTDA</t>
        </is>
      </c>
      <c r="F5869" s="30" t="inlineStr">
        <is>
          <t>2021</t>
        </is>
      </c>
      <c r="G5869" s="40" t="n">
        <v>0</v>
      </c>
    </row>
    <row r="5870" ht="12" customHeight="1">
      <c r="A5870" s="30" t="inlineStr">
        <is>
          <t>ITG</t>
        </is>
      </c>
      <c r="B5870" s="30" t="inlineStr">
        <is>
          <t>Itaguai</t>
        </is>
      </c>
      <c r="C5870" s="30" t="n">
        <v>79193976</v>
      </c>
      <c r="D5870" s="30">
        <f>"12609440000120"</f>
        <v/>
      </c>
      <c r="E5870" s="30" t="inlineStr">
        <is>
          <t>TRANSPORTES E LOGISTICA SANTA LUZIA LTDA</t>
        </is>
      </c>
      <c r="F5870" s="30" t="inlineStr">
        <is>
          <t>2022</t>
        </is>
      </c>
      <c r="G5870" s="40" t="n">
        <v>0</v>
      </c>
    </row>
    <row r="5871" ht="12" customHeight="1">
      <c r="A5871" s="30" t="inlineStr">
        <is>
          <t>ITG</t>
        </is>
      </c>
      <c r="B5871" s="30" t="inlineStr">
        <is>
          <t>Itaguai</t>
        </is>
      </c>
      <c r="C5871" s="30" t="n">
        <v>79193976</v>
      </c>
      <c r="D5871" s="30">
        <f>"12609440000120"</f>
        <v/>
      </c>
      <c r="E5871" s="30" t="inlineStr">
        <is>
          <t>TRANSPORTES E LOGISTICA SANTA LUZIA LTDA</t>
        </is>
      </c>
      <c r="F5871" s="30" t="inlineStr">
        <is>
          <t>2023</t>
        </is>
      </c>
      <c r="G5871" s="40" t="n">
        <v>0</v>
      </c>
    </row>
    <row r="5872" ht="12" customHeight="1">
      <c r="A5872" s="30" t="inlineStr">
        <is>
          <t>ITG</t>
        </is>
      </c>
      <c r="B5872" s="30" t="inlineStr">
        <is>
          <t>Itaguai</t>
        </is>
      </c>
      <c r="C5872" s="30" t="n">
        <v>79194670</v>
      </c>
      <c r="D5872" s="30">
        <f>"07605932000107"</f>
        <v/>
      </c>
      <c r="E5872" s="30" t="inlineStr">
        <is>
          <t>WLENET SERVICOS DE TELECOMINICACOES LTDA</t>
        </is>
      </c>
      <c r="F5872" s="30" t="inlineStr">
        <is>
          <t>2018</t>
        </is>
      </c>
      <c r="G5872" s="40" t="n">
        <v>0</v>
      </c>
    </row>
    <row r="5873" ht="12" customHeight="1">
      <c r="A5873" s="30" t="inlineStr">
        <is>
          <t>ITG</t>
        </is>
      </c>
      <c r="B5873" s="30" t="inlineStr">
        <is>
          <t>Itaguai</t>
        </is>
      </c>
      <c r="C5873" s="30" t="n">
        <v>79194670</v>
      </c>
      <c r="D5873" s="30">
        <f>"07605932000107"</f>
        <v/>
      </c>
      <c r="E5873" s="30" t="inlineStr">
        <is>
          <t>WLENET SERVICOS DE TELECOMINICACOES LTDA</t>
        </is>
      </c>
      <c r="F5873" s="30" t="inlineStr">
        <is>
          <t>2019</t>
        </is>
      </c>
      <c r="G5873" s="40" t="n">
        <v>0</v>
      </c>
    </row>
    <row r="5874" ht="12" customHeight="1">
      <c r="A5874" s="30" t="inlineStr">
        <is>
          <t>ITG</t>
        </is>
      </c>
      <c r="B5874" s="30" t="inlineStr">
        <is>
          <t>Itaguai</t>
        </is>
      </c>
      <c r="C5874" s="30" t="n">
        <v>79194670</v>
      </c>
      <c r="D5874" s="30">
        <f>"07605932000107"</f>
        <v/>
      </c>
      <c r="E5874" s="30" t="inlineStr">
        <is>
          <t>WLENET SERVICOS DE TELECOMINICACOES LTDA</t>
        </is>
      </c>
      <c r="F5874" s="30" t="inlineStr">
        <is>
          <t>2020</t>
        </is>
      </c>
      <c r="G5874" s="40" t="n">
        <v>18206.9</v>
      </c>
    </row>
    <row r="5875" ht="12" customHeight="1">
      <c r="A5875" s="30" t="inlineStr">
        <is>
          <t>ITG</t>
        </is>
      </c>
      <c r="B5875" s="30" t="inlineStr">
        <is>
          <t>Itaguai</t>
        </is>
      </c>
      <c r="C5875" s="30" t="n">
        <v>79194670</v>
      </c>
      <c r="D5875" s="30">
        <f>"07605932000107"</f>
        <v/>
      </c>
      <c r="E5875" s="30" t="inlineStr">
        <is>
          <t>WLENET SERVICOS DE TELECOMINICACOES LTDA</t>
        </is>
      </c>
      <c r="F5875" s="30" t="inlineStr">
        <is>
          <t>2021</t>
        </is>
      </c>
      <c r="G5875" s="40" t="n">
        <v>69728</v>
      </c>
    </row>
    <row r="5876" ht="12" customHeight="1">
      <c r="A5876" s="30" t="inlineStr">
        <is>
          <t>ITG</t>
        </is>
      </c>
      <c r="B5876" s="30" t="inlineStr">
        <is>
          <t>Itaguai</t>
        </is>
      </c>
      <c r="C5876" s="30" t="n">
        <v>79194670</v>
      </c>
      <c r="D5876" s="30">
        <f>"07605932000107"</f>
        <v/>
      </c>
      <c r="E5876" s="30" t="inlineStr">
        <is>
          <t>WLENET SERVICOS DE TELECOMINICACOES LTDA</t>
        </is>
      </c>
      <c r="F5876" s="30" t="inlineStr">
        <is>
          <t>2022</t>
        </is>
      </c>
      <c r="G5876" s="40" t="n">
        <v>77115</v>
      </c>
    </row>
    <row r="5877" ht="12" customHeight="1">
      <c r="A5877" s="30" t="inlineStr">
        <is>
          <t>ITG</t>
        </is>
      </c>
      <c r="B5877" s="30" t="inlineStr">
        <is>
          <t>Itaguai</t>
        </is>
      </c>
      <c r="C5877" s="30" t="n">
        <v>79194670</v>
      </c>
      <c r="D5877" s="30">
        <f>"07605932000107"</f>
        <v/>
      </c>
      <c r="E5877" s="30" t="inlineStr">
        <is>
          <t>WLENET SERVICOS DE TELECOMINICACOES LTDA</t>
        </is>
      </c>
      <c r="F5877" s="30" t="inlineStr">
        <is>
          <t>2023</t>
        </is>
      </c>
      <c r="G5877" s="40" t="n">
        <v>43860</v>
      </c>
    </row>
    <row r="5878" ht="12" customHeight="1">
      <c r="A5878" s="30" t="inlineStr">
        <is>
          <t>ITG</t>
        </is>
      </c>
      <c r="B5878" s="30" t="inlineStr">
        <is>
          <t>Itaguai</t>
        </is>
      </c>
      <c r="C5878" s="30" t="n">
        <v>79198382</v>
      </c>
      <c r="D5878" s="30">
        <f>"02674023000107"</f>
        <v/>
      </c>
      <c r="E5878" s="30" t="inlineStr">
        <is>
          <t>JOANA DARC DO NASCIMENTO VALOIS ME</t>
        </is>
      </c>
      <c r="F5878" s="30" t="inlineStr">
        <is>
          <t>2017</t>
        </is>
      </c>
      <c r="G5878" s="40" t="n">
        <v>0</v>
      </c>
    </row>
    <row r="5879" ht="12" customHeight="1">
      <c r="A5879" s="30" t="inlineStr">
        <is>
          <t>ITG</t>
        </is>
      </c>
      <c r="B5879" s="30" t="inlineStr">
        <is>
          <t>Itaguai</t>
        </is>
      </c>
      <c r="C5879" s="30" t="n">
        <v>79198382</v>
      </c>
      <c r="D5879" s="30">
        <f>"02674023000107"</f>
        <v/>
      </c>
      <c r="E5879" s="30" t="inlineStr">
        <is>
          <t>JOANA DARC DO NASCIMENTO VALOIS ME</t>
        </is>
      </c>
      <c r="F5879" s="30" t="inlineStr">
        <is>
          <t>2018</t>
        </is>
      </c>
      <c r="G5879" s="40" t="n">
        <v>0</v>
      </c>
    </row>
    <row r="5880" ht="12" customHeight="1">
      <c r="A5880" s="30" t="inlineStr">
        <is>
          <t>ITG</t>
        </is>
      </c>
      <c r="B5880" s="30" t="inlineStr">
        <is>
          <t>Itaguai</t>
        </is>
      </c>
      <c r="C5880" s="30" t="n">
        <v>79198382</v>
      </c>
      <c r="D5880" s="30">
        <f>"02674023000107"</f>
        <v/>
      </c>
      <c r="E5880" s="30" t="inlineStr">
        <is>
          <t>JOANA DARC DO NASCIMENTO VALOIS ME</t>
        </is>
      </c>
      <c r="F5880" s="30" t="inlineStr">
        <is>
          <t>2019</t>
        </is>
      </c>
      <c r="G5880" s="40" t="n">
        <v>0</v>
      </c>
    </row>
    <row r="5881" ht="12" customHeight="1">
      <c r="A5881" s="30" t="inlineStr">
        <is>
          <t>ITG</t>
        </is>
      </c>
      <c r="B5881" s="30" t="inlineStr">
        <is>
          <t>Itaguai</t>
        </is>
      </c>
      <c r="C5881" s="30" t="n">
        <v>79198382</v>
      </c>
      <c r="D5881" s="30">
        <f>"02674023000107"</f>
        <v/>
      </c>
      <c r="E5881" s="30" t="inlineStr">
        <is>
          <t>JOANA DARC DO NASCIMENTO VALOIS ME</t>
        </is>
      </c>
      <c r="F5881" s="30" t="inlineStr">
        <is>
          <t>2020</t>
        </is>
      </c>
      <c r="G5881" s="40" t="n">
        <v>0</v>
      </c>
    </row>
    <row r="5882" ht="12" customHeight="1">
      <c r="A5882" s="30" t="inlineStr">
        <is>
          <t>ITG</t>
        </is>
      </c>
      <c r="B5882" s="30" t="inlineStr">
        <is>
          <t>Itaguai</t>
        </is>
      </c>
      <c r="C5882" s="30" t="n">
        <v>79198382</v>
      </c>
      <c r="D5882" s="30">
        <f>"02674023000107"</f>
        <v/>
      </c>
      <c r="E5882" s="30" t="inlineStr">
        <is>
          <t>JOANA DARC DO NASCIMENTO VALOIS ME</t>
        </is>
      </c>
      <c r="F5882" s="30" t="inlineStr">
        <is>
          <t>2021</t>
        </is>
      </c>
      <c r="G5882" s="40" t="n">
        <v>0</v>
      </c>
    </row>
    <row r="5883" ht="12" customHeight="1">
      <c r="A5883" s="30" t="inlineStr">
        <is>
          <t>ITG</t>
        </is>
      </c>
      <c r="B5883" s="30" t="inlineStr">
        <is>
          <t>Itaguai</t>
        </is>
      </c>
      <c r="C5883" s="30" t="n">
        <v>79198595</v>
      </c>
      <c r="D5883" s="30">
        <f>"03222025000128"</f>
        <v/>
      </c>
      <c r="E5883" s="30" t="inlineStr">
        <is>
          <t>JH DE PAULA TRANSPORTE E TURISMO LTDA</t>
        </is>
      </c>
      <c r="F5883" s="30" t="inlineStr">
        <is>
          <t>2018</t>
        </is>
      </c>
      <c r="G5883" s="40" t="n">
        <v>0</v>
      </c>
    </row>
    <row r="5884" ht="12" customHeight="1">
      <c r="A5884" s="30" t="inlineStr">
        <is>
          <t>ITG</t>
        </is>
      </c>
      <c r="B5884" s="30" t="inlineStr">
        <is>
          <t>Itaguai</t>
        </is>
      </c>
      <c r="C5884" s="30" t="n">
        <v>79198595</v>
      </c>
      <c r="D5884" s="30">
        <f>"03222025000128"</f>
        <v/>
      </c>
      <c r="E5884" s="30" t="inlineStr">
        <is>
          <t>JH DE PAULA TRANSPORTE E TURISMO LTDA</t>
        </is>
      </c>
      <c r="F5884" s="30" t="inlineStr">
        <is>
          <t>2019</t>
        </is>
      </c>
      <c r="G5884" s="40" t="n">
        <v>0</v>
      </c>
    </row>
    <row r="5885" ht="12" customHeight="1">
      <c r="A5885" s="30" t="inlineStr">
        <is>
          <t>ITG</t>
        </is>
      </c>
      <c r="B5885" s="30" t="inlineStr">
        <is>
          <t>Itaguai</t>
        </is>
      </c>
      <c r="C5885" s="30" t="n">
        <v>79198595</v>
      </c>
      <c r="D5885" s="30">
        <f>"03222025000128"</f>
        <v/>
      </c>
      <c r="E5885" s="30" t="inlineStr">
        <is>
          <t>JH DE PAULA TRANSPORTE E TURISMO LTDA</t>
        </is>
      </c>
      <c r="F5885" s="30" t="inlineStr">
        <is>
          <t>2020</t>
        </is>
      </c>
      <c r="G5885" s="40" t="n">
        <v>105639.72</v>
      </c>
    </row>
    <row r="5886" ht="12" customHeight="1">
      <c r="A5886" s="30" t="inlineStr">
        <is>
          <t>ITG</t>
        </is>
      </c>
      <c r="B5886" s="30" t="inlineStr">
        <is>
          <t>Itaguai</t>
        </is>
      </c>
      <c r="C5886" s="30" t="n">
        <v>79198595</v>
      </c>
      <c r="D5886" s="30">
        <f>"03222025000128"</f>
        <v/>
      </c>
      <c r="E5886" s="30" t="inlineStr">
        <is>
          <t>JH DE PAULA TRANSPORTE E TURISMO LTDA</t>
        </is>
      </c>
      <c r="F5886" s="30" t="inlineStr">
        <is>
          <t>2021</t>
        </is>
      </c>
      <c r="G5886" s="40" t="n">
        <v>62700</v>
      </c>
    </row>
    <row r="5887" ht="12" customHeight="1">
      <c r="A5887" s="30" t="inlineStr">
        <is>
          <t>ITG</t>
        </is>
      </c>
      <c r="B5887" s="30" t="inlineStr">
        <is>
          <t>Itaguai</t>
        </is>
      </c>
      <c r="C5887" s="30" t="n">
        <v>79198595</v>
      </c>
      <c r="D5887" s="30">
        <f>"03222025000128"</f>
        <v/>
      </c>
      <c r="E5887" s="30" t="inlineStr">
        <is>
          <t>JH DE PAULA TRANSPORTE E TURISMO LTDA</t>
        </is>
      </c>
      <c r="F5887" s="30" t="inlineStr">
        <is>
          <t>2022</t>
        </is>
      </c>
      <c r="G5887" s="40" t="n">
        <v>0</v>
      </c>
    </row>
    <row r="5888" ht="12" customHeight="1">
      <c r="A5888" s="30" t="inlineStr">
        <is>
          <t>ITG</t>
        </is>
      </c>
      <c r="B5888" s="30" t="inlineStr">
        <is>
          <t>Itaguai</t>
        </is>
      </c>
      <c r="C5888" s="30" t="n">
        <v>79198595</v>
      </c>
      <c r="D5888" s="30">
        <f>"03222025000128"</f>
        <v/>
      </c>
      <c r="E5888" s="30" t="inlineStr">
        <is>
          <t>JH DE PAULA TRANSPORTE E TURISMO LTDA</t>
        </is>
      </c>
      <c r="F5888" s="30" t="inlineStr">
        <is>
          <t>2023</t>
        </is>
      </c>
      <c r="G5888" s="40" t="n">
        <v>0</v>
      </c>
    </row>
    <row r="5889" ht="12" customHeight="1">
      <c r="A5889" s="30" t="inlineStr">
        <is>
          <t>ITG</t>
        </is>
      </c>
      <c r="B5889" s="30" t="inlineStr">
        <is>
          <t>Itaguai</t>
        </is>
      </c>
      <c r="C5889" s="30" t="n">
        <v>79201944</v>
      </c>
      <c r="D5889" s="30">
        <f>"61189288036884"</f>
        <v/>
      </c>
      <c r="E5889" s="30" t="inlineStr">
        <is>
          <t>MARISA LOJAS SA</t>
        </is>
      </c>
      <c r="F5889" s="30" t="inlineStr">
        <is>
          <t>2017</t>
        </is>
      </c>
      <c r="G5889" s="40" t="n">
        <v>1049118.61</v>
      </c>
    </row>
    <row r="5890" ht="12" customHeight="1">
      <c r="A5890" s="30" t="inlineStr">
        <is>
          <t>ITG</t>
        </is>
      </c>
      <c r="B5890" s="30" t="inlineStr">
        <is>
          <t>Itaguai</t>
        </is>
      </c>
      <c r="C5890" s="30" t="n">
        <v>79201944</v>
      </c>
      <c r="D5890" s="30">
        <f>"61189288036884"</f>
        <v/>
      </c>
      <c r="E5890" s="30" t="inlineStr">
        <is>
          <t>MARISA LOJAS SA</t>
        </is>
      </c>
      <c r="F5890" s="30" t="inlineStr">
        <is>
          <t>2018</t>
        </is>
      </c>
      <c r="G5890" s="40" t="n">
        <v>984855.22</v>
      </c>
    </row>
    <row r="5891" ht="12" customHeight="1">
      <c r="A5891" s="30" t="inlineStr">
        <is>
          <t>ITG</t>
        </is>
      </c>
      <c r="B5891" s="30" t="inlineStr">
        <is>
          <t>Itaguai</t>
        </is>
      </c>
      <c r="C5891" s="30" t="n">
        <v>79201944</v>
      </c>
      <c r="D5891" s="30">
        <f>"61189288036884"</f>
        <v/>
      </c>
      <c r="E5891" s="30" t="inlineStr">
        <is>
          <t>MARISA LOJAS SA</t>
        </is>
      </c>
      <c r="F5891" s="30" t="inlineStr">
        <is>
          <t>2019</t>
        </is>
      </c>
      <c r="G5891" s="40" t="n">
        <v>0</v>
      </c>
    </row>
    <row r="5892" ht="12" customHeight="1">
      <c r="A5892" s="30" t="inlineStr">
        <is>
          <t>ITG</t>
        </is>
      </c>
      <c r="B5892" s="30" t="inlineStr">
        <is>
          <t>Itaguai</t>
        </is>
      </c>
      <c r="C5892" s="30" t="n">
        <v>79201944</v>
      </c>
      <c r="D5892" s="30">
        <f>"61189288036884"</f>
        <v/>
      </c>
      <c r="E5892" s="30" t="inlineStr">
        <is>
          <t>MARISA LOJAS SA</t>
        </is>
      </c>
      <c r="F5892" s="30" t="inlineStr">
        <is>
          <t>2020</t>
        </is>
      </c>
      <c r="G5892" s="40" t="n">
        <v>0</v>
      </c>
    </row>
    <row r="5893" ht="12" customHeight="1">
      <c r="A5893" s="30" t="inlineStr">
        <is>
          <t>ITG</t>
        </is>
      </c>
      <c r="B5893" s="30" t="inlineStr">
        <is>
          <t>Itaguai</t>
        </is>
      </c>
      <c r="C5893" s="30" t="n">
        <v>79201944</v>
      </c>
      <c r="D5893" s="30">
        <f>"61189288036884"</f>
        <v/>
      </c>
      <c r="E5893" s="30" t="inlineStr">
        <is>
          <t>MARISA LOJAS SA</t>
        </is>
      </c>
      <c r="F5893" s="30" t="inlineStr">
        <is>
          <t>2021</t>
        </is>
      </c>
      <c r="G5893" s="40" t="n">
        <v>0</v>
      </c>
    </row>
    <row r="5894" ht="12" customHeight="1">
      <c r="A5894" s="30" t="inlineStr">
        <is>
          <t>ITG</t>
        </is>
      </c>
      <c r="B5894" s="30" t="inlineStr">
        <is>
          <t>Itaguai</t>
        </is>
      </c>
      <c r="C5894" s="30" t="n">
        <v>79201944</v>
      </c>
      <c r="D5894" s="30">
        <f>"61189288036884"</f>
        <v/>
      </c>
      <c r="E5894" s="30" t="inlineStr">
        <is>
          <t>MARISA LOJAS SA</t>
        </is>
      </c>
      <c r="F5894" s="30" t="inlineStr">
        <is>
          <t>2022</t>
        </is>
      </c>
      <c r="G5894" s="40" t="n">
        <v>0</v>
      </c>
    </row>
    <row r="5895" ht="12" customHeight="1">
      <c r="A5895" s="30" t="inlineStr">
        <is>
          <t>ITG</t>
        </is>
      </c>
      <c r="B5895" s="30" t="inlineStr">
        <is>
          <t>Itaguai</t>
        </is>
      </c>
      <c r="C5895" s="30" t="n">
        <v>79201944</v>
      </c>
      <c r="D5895" s="30">
        <f>"61189288036884"</f>
        <v/>
      </c>
      <c r="E5895" s="30" t="inlineStr">
        <is>
          <t>MARISA LOJAS SA</t>
        </is>
      </c>
      <c r="F5895" s="30" t="inlineStr">
        <is>
          <t>2023</t>
        </is>
      </c>
      <c r="G5895" s="40" t="n">
        <v>0</v>
      </c>
    </row>
    <row r="5896" ht="12" customHeight="1">
      <c r="A5896" s="30" t="inlineStr">
        <is>
          <t>ITG</t>
        </is>
      </c>
      <c r="B5896" s="30" t="inlineStr">
        <is>
          <t>Itaguai</t>
        </is>
      </c>
      <c r="C5896" s="30" t="n">
        <v>79205567</v>
      </c>
      <c r="D5896" s="30">
        <f>"12689268000161"</f>
        <v/>
      </c>
      <c r="E5896" s="30" t="inlineStr">
        <is>
          <t>MAFRAL BAR E RESTAURANTE LTDA</t>
        </is>
      </c>
      <c r="F5896" s="30" t="inlineStr">
        <is>
          <t>2017</t>
        </is>
      </c>
      <c r="G5896" s="40" t="n">
        <v>1692999.52</v>
      </c>
    </row>
    <row r="5897" ht="12" customHeight="1">
      <c r="A5897" s="30" t="inlineStr">
        <is>
          <t>ITG</t>
        </is>
      </c>
      <c r="B5897" s="30" t="inlineStr">
        <is>
          <t>Itaguai</t>
        </is>
      </c>
      <c r="C5897" s="30" t="n">
        <v>79205567</v>
      </c>
      <c r="D5897" s="30">
        <f>"12689268000161"</f>
        <v/>
      </c>
      <c r="E5897" s="30" t="inlineStr">
        <is>
          <t>MAFRAL BAR E RESTAURANTE LTDA</t>
        </is>
      </c>
      <c r="F5897" s="30" t="inlineStr">
        <is>
          <t>2018</t>
        </is>
      </c>
      <c r="G5897" s="40" t="n">
        <v>1376948.94</v>
      </c>
    </row>
    <row r="5898" ht="12" customHeight="1">
      <c r="A5898" s="30" t="inlineStr">
        <is>
          <t>ITG</t>
        </is>
      </c>
      <c r="B5898" s="30" t="inlineStr">
        <is>
          <t>Itaguai</t>
        </is>
      </c>
      <c r="C5898" s="30" t="n">
        <v>79205567</v>
      </c>
      <c r="D5898" s="30">
        <f>"12689268000161"</f>
        <v/>
      </c>
      <c r="E5898" s="30" t="inlineStr">
        <is>
          <t>MAFRAL BAR E RESTAURANTE LTDA</t>
        </is>
      </c>
      <c r="F5898" s="30" t="inlineStr">
        <is>
          <t>2019</t>
        </is>
      </c>
      <c r="G5898" s="40" t="n">
        <v>1893108.08</v>
      </c>
    </row>
    <row r="5899" ht="12" customHeight="1">
      <c r="A5899" s="30" t="inlineStr">
        <is>
          <t>ITG</t>
        </is>
      </c>
      <c r="B5899" s="30" t="inlineStr">
        <is>
          <t>Itaguai</t>
        </is>
      </c>
      <c r="C5899" s="30" t="n">
        <v>79205567</v>
      </c>
      <c r="D5899" s="30">
        <f>"12689268000161"</f>
        <v/>
      </c>
      <c r="E5899" s="30" t="inlineStr">
        <is>
          <t>MAFRAL BAR E RESTAURANTE LTDA</t>
        </is>
      </c>
      <c r="F5899" s="30" t="inlineStr">
        <is>
          <t>2020</t>
        </is>
      </c>
      <c r="G5899" s="40" t="n">
        <v>891247.33</v>
      </c>
    </row>
    <row r="5900" ht="12" customHeight="1">
      <c r="A5900" s="30" t="inlineStr">
        <is>
          <t>ITG</t>
        </is>
      </c>
      <c r="B5900" s="30" t="inlineStr">
        <is>
          <t>Itaguai</t>
        </is>
      </c>
      <c r="C5900" s="30" t="n">
        <v>79205567</v>
      </c>
      <c r="D5900" s="30">
        <f>"12689268000161"</f>
        <v/>
      </c>
      <c r="E5900" s="30" t="inlineStr">
        <is>
          <t>MAFRAL BAR E RESTAURANTE LTDA</t>
        </is>
      </c>
      <c r="F5900" s="30" t="inlineStr">
        <is>
          <t>2021</t>
        </is>
      </c>
      <c r="G5900" s="40" t="n">
        <v>1243492.26</v>
      </c>
    </row>
    <row r="5901" ht="12" customHeight="1">
      <c r="A5901" s="30" t="inlineStr">
        <is>
          <t>ITG</t>
        </is>
      </c>
      <c r="B5901" s="30" t="inlineStr">
        <is>
          <t>Itaguai</t>
        </is>
      </c>
      <c r="C5901" s="30" t="n">
        <v>79205567</v>
      </c>
      <c r="D5901" s="30">
        <f>"12689268000161"</f>
        <v/>
      </c>
      <c r="E5901" s="30" t="inlineStr">
        <is>
          <t>MAFRAL BAR E RESTAURANTE LTDA</t>
        </is>
      </c>
      <c r="F5901" s="30" t="inlineStr">
        <is>
          <t>2022</t>
        </is>
      </c>
      <c r="G5901" s="40" t="n">
        <v>1491053.09</v>
      </c>
    </row>
    <row r="5902" ht="12" customHeight="1">
      <c r="A5902" s="30" t="inlineStr">
        <is>
          <t>ITG</t>
        </is>
      </c>
      <c r="B5902" s="30" t="inlineStr">
        <is>
          <t>Itaguai</t>
        </is>
      </c>
      <c r="C5902" s="30" t="n">
        <v>79205567</v>
      </c>
      <c r="D5902" s="30">
        <f>"12689268000161"</f>
        <v/>
      </c>
      <c r="E5902" s="30" t="inlineStr">
        <is>
          <t>MAFRAL BAR E RESTAURANTE LTDA</t>
        </is>
      </c>
      <c r="F5902" s="30" t="inlineStr">
        <is>
          <t>2023</t>
        </is>
      </c>
      <c r="G5902" s="40" t="n">
        <v>1293322.17</v>
      </c>
    </row>
    <row r="5903" ht="12" customHeight="1">
      <c r="A5903" s="30" t="inlineStr">
        <is>
          <t>ITG</t>
        </is>
      </c>
      <c r="B5903" s="30" t="inlineStr">
        <is>
          <t>Itaguai</t>
        </is>
      </c>
      <c r="C5903" s="30" t="n">
        <v>79205869</v>
      </c>
      <c r="D5903" s="30">
        <f>"11908151000320"</f>
        <v/>
      </c>
      <c r="E5903" s="30" t="inlineStr">
        <is>
          <t>MORI ARTIGOS ESPORTIVOS LTDA</t>
        </is>
      </c>
      <c r="F5903" s="30" t="inlineStr">
        <is>
          <t>2017</t>
        </is>
      </c>
      <c r="G5903" s="40" t="n">
        <v>0</v>
      </c>
    </row>
    <row r="5904" ht="12" customHeight="1">
      <c r="A5904" s="30" t="inlineStr">
        <is>
          <t>ITG</t>
        </is>
      </c>
      <c r="B5904" s="30" t="inlineStr">
        <is>
          <t>Itaguai</t>
        </is>
      </c>
      <c r="C5904" s="30" t="n">
        <v>79205869</v>
      </c>
      <c r="D5904" s="30">
        <f>"11908151000320"</f>
        <v/>
      </c>
      <c r="E5904" s="30" t="inlineStr">
        <is>
          <t>MORI ARTIGOS ESPORTIVOS LTDA</t>
        </is>
      </c>
      <c r="F5904" s="30" t="inlineStr">
        <is>
          <t>2018</t>
        </is>
      </c>
      <c r="G5904" s="40" t="n">
        <v>464634.47</v>
      </c>
    </row>
    <row r="5905" ht="12" customHeight="1">
      <c r="A5905" s="30" t="inlineStr">
        <is>
          <t>ITG</t>
        </is>
      </c>
      <c r="B5905" s="30" t="inlineStr">
        <is>
          <t>Itaguai</t>
        </is>
      </c>
      <c r="C5905" s="30" t="n">
        <v>79205869</v>
      </c>
      <c r="D5905" s="30">
        <f>"11908151000320"</f>
        <v/>
      </c>
      <c r="E5905" s="30" t="inlineStr">
        <is>
          <t>MORI ARTIGOS ESPORTIVOS LTDA</t>
        </is>
      </c>
      <c r="F5905" s="30" t="inlineStr">
        <is>
          <t>2019</t>
        </is>
      </c>
      <c r="G5905" s="40" t="n">
        <v>400738.13</v>
      </c>
    </row>
    <row r="5906" ht="12" customHeight="1">
      <c r="A5906" s="30" t="inlineStr">
        <is>
          <t>ITG</t>
        </is>
      </c>
      <c r="B5906" s="30" t="inlineStr">
        <is>
          <t>Itaguai</t>
        </is>
      </c>
      <c r="C5906" s="30" t="n">
        <v>79205869</v>
      </c>
      <c r="D5906" s="30">
        <f>"11908151000320"</f>
        <v/>
      </c>
      <c r="E5906" s="30" t="inlineStr">
        <is>
          <t>MORI ARTIGOS ESPORTIVOS LTDA</t>
        </is>
      </c>
      <c r="F5906" s="30" t="inlineStr">
        <is>
          <t>2020</t>
        </is>
      </c>
      <c r="G5906" s="40" t="n">
        <v>325577.49</v>
      </c>
    </row>
    <row r="5907" ht="12" customHeight="1">
      <c r="A5907" s="30" t="inlineStr">
        <is>
          <t>ITG</t>
        </is>
      </c>
      <c r="B5907" s="30" t="inlineStr">
        <is>
          <t>Itaguai</t>
        </is>
      </c>
      <c r="C5907" s="30" t="n">
        <v>79205869</v>
      </c>
      <c r="D5907" s="30">
        <f>"11908151000320"</f>
        <v/>
      </c>
      <c r="E5907" s="30" t="inlineStr">
        <is>
          <t>MORI ARTIGOS ESPORTIVOS LTDA</t>
        </is>
      </c>
      <c r="F5907" s="30" t="inlineStr">
        <is>
          <t>2021</t>
        </is>
      </c>
      <c r="G5907" s="40" t="n">
        <v>316390.52</v>
      </c>
    </row>
    <row r="5908" ht="12" customHeight="1">
      <c r="A5908" s="30" t="inlineStr">
        <is>
          <t>ITG</t>
        </is>
      </c>
      <c r="B5908" s="30" t="inlineStr">
        <is>
          <t>Itaguai</t>
        </is>
      </c>
      <c r="C5908" s="30" t="n">
        <v>79205869</v>
      </c>
      <c r="D5908" s="30">
        <f>"11908151000320"</f>
        <v/>
      </c>
      <c r="E5908" s="30" t="inlineStr">
        <is>
          <t>MORI ARTIGOS ESPORTIVOS LTDA</t>
        </is>
      </c>
      <c r="F5908" s="30" t="inlineStr">
        <is>
          <t>2022</t>
        </is>
      </c>
      <c r="G5908" s="40" t="n">
        <v>0</v>
      </c>
    </row>
    <row r="5909" ht="12" customHeight="1">
      <c r="A5909" s="30" t="inlineStr">
        <is>
          <t>ITG</t>
        </is>
      </c>
      <c r="B5909" s="30" t="inlineStr">
        <is>
          <t>Itaguai</t>
        </is>
      </c>
      <c r="C5909" s="30" t="n">
        <v>79205869</v>
      </c>
      <c r="D5909" s="30">
        <f>"11908151000320"</f>
        <v/>
      </c>
      <c r="E5909" s="30" t="inlineStr">
        <is>
          <t>MORI ARTIGOS ESPORTIVOS LTDA</t>
        </is>
      </c>
      <c r="F5909" s="30" t="inlineStr">
        <is>
          <t>2023</t>
        </is>
      </c>
      <c r="G5909" s="40" t="n">
        <v>0</v>
      </c>
    </row>
    <row r="5910" ht="12" customHeight="1">
      <c r="A5910" s="30" t="inlineStr">
        <is>
          <t>ITG</t>
        </is>
      </c>
      <c r="B5910" s="30" t="inlineStr">
        <is>
          <t>Itaguai</t>
        </is>
      </c>
      <c r="C5910" s="30" t="n">
        <v>79205877</v>
      </c>
      <c r="D5910" s="30">
        <f>"09633032000280"</f>
        <v/>
      </c>
      <c r="E5910" s="30" t="inlineStr">
        <is>
          <t>MERCADO LIBERDADE JOAO XXIII LTDA ME</t>
        </is>
      </c>
      <c r="F5910" s="30" t="inlineStr">
        <is>
          <t>2017</t>
        </is>
      </c>
      <c r="G5910" s="40" t="n">
        <v>0</v>
      </c>
    </row>
    <row r="5911" ht="12" customHeight="1">
      <c r="A5911" s="30" t="inlineStr">
        <is>
          <t>ITG</t>
        </is>
      </c>
      <c r="B5911" s="30" t="inlineStr">
        <is>
          <t>Itaguai</t>
        </is>
      </c>
      <c r="C5911" s="30" t="n">
        <v>79205877</v>
      </c>
      <c r="D5911" s="30">
        <f>"09633032000280"</f>
        <v/>
      </c>
      <c r="E5911" s="30" t="inlineStr">
        <is>
          <t>MERCADO LIBERDADE JOAO XXIII LTDA ME</t>
        </is>
      </c>
      <c r="F5911" s="30" t="inlineStr">
        <is>
          <t>2018</t>
        </is>
      </c>
      <c r="G5911" s="40" t="n">
        <v>0</v>
      </c>
    </row>
    <row r="5912" ht="12" customHeight="1">
      <c r="A5912" s="30" t="inlineStr">
        <is>
          <t>ITG</t>
        </is>
      </c>
      <c r="B5912" s="30" t="inlineStr">
        <is>
          <t>Itaguai</t>
        </is>
      </c>
      <c r="C5912" s="30" t="n">
        <v>79205877</v>
      </c>
      <c r="D5912" s="30">
        <f>"09633032000280"</f>
        <v/>
      </c>
      <c r="E5912" s="30" t="inlineStr">
        <is>
          <t>MERCADO LIBERDADE JOAO XXIII LTDA ME</t>
        </is>
      </c>
      <c r="F5912" s="30" t="inlineStr">
        <is>
          <t>2019</t>
        </is>
      </c>
      <c r="G5912" s="40" t="n">
        <v>0</v>
      </c>
    </row>
    <row r="5913" ht="12" customHeight="1">
      <c r="A5913" s="30" t="inlineStr">
        <is>
          <t>ITG</t>
        </is>
      </c>
      <c r="B5913" s="30" t="inlineStr">
        <is>
          <t>Itaguai</t>
        </is>
      </c>
      <c r="C5913" s="30" t="n">
        <v>79205877</v>
      </c>
      <c r="D5913" s="30">
        <f>"09633032000280"</f>
        <v/>
      </c>
      <c r="E5913" s="30" t="inlineStr">
        <is>
          <t>MERCADO LIBERDADE JOAO XXIII LTDA ME</t>
        </is>
      </c>
      <c r="F5913" s="30" t="inlineStr">
        <is>
          <t>2020</t>
        </is>
      </c>
      <c r="G5913" s="40" t="n">
        <v>0</v>
      </c>
    </row>
    <row r="5914" ht="12" customHeight="1">
      <c r="A5914" s="30" t="inlineStr">
        <is>
          <t>ITG</t>
        </is>
      </c>
      <c r="B5914" s="30" t="inlineStr">
        <is>
          <t>Itaguai</t>
        </is>
      </c>
      <c r="C5914" s="30" t="n">
        <v>79205877</v>
      </c>
      <c r="D5914" s="30">
        <f>"09633032000280"</f>
        <v/>
      </c>
      <c r="E5914" s="30" t="inlineStr">
        <is>
          <t>MERCADO LIBERDADE JOAO XXIII LTDA ME</t>
        </is>
      </c>
      <c r="F5914" s="30" t="inlineStr">
        <is>
          <t>2021</t>
        </is>
      </c>
      <c r="G5914" s="40" t="n">
        <v>0</v>
      </c>
    </row>
    <row r="5915" ht="12" customHeight="1">
      <c r="A5915" s="30" t="inlineStr">
        <is>
          <t>ITG</t>
        </is>
      </c>
      <c r="B5915" s="30" t="inlineStr">
        <is>
          <t>Itaguai</t>
        </is>
      </c>
      <c r="C5915" s="30" t="n">
        <v>79205877</v>
      </c>
      <c r="D5915" s="30">
        <f>"09633032000280"</f>
        <v/>
      </c>
      <c r="E5915" s="30" t="inlineStr">
        <is>
          <t>MERCADO LIBERDADE JOAO XXIII LTDA ME</t>
        </is>
      </c>
      <c r="F5915" s="30" t="inlineStr">
        <is>
          <t>2022</t>
        </is>
      </c>
      <c r="G5915" s="40" t="n">
        <v>0</v>
      </c>
    </row>
    <row r="5916" ht="12" customHeight="1">
      <c r="A5916" s="30" t="inlineStr">
        <is>
          <t>ITG</t>
        </is>
      </c>
      <c r="B5916" s="30" t="inlineStr">
        <is>
          <t>Itaguai</t>
        </is>
      </c>
      <c r="C5916" s="30" t="n">
        <v>79205877</v>
      </c>
      <c r="D5916" s="30">
        <f>"09633032000280"</f>
        <v/>
      </c>
      <c r="E5916" s="30" t="inlineStr">
        <is>
          <t>MERCADO LIBERDADE JOAO XXIII LTDA ME</t>
        </is>
      </c>
      <c r="F5916" s="30" t="inlineStr">
        <is>
          <t>2023</t>
        </is>
      </c>
      <c r="G5916" s="40" t="n">
        <v>0</v>
      </c>
    </row>
    <row r="5917" ht="12" customHeight="1">
      <c r="A5917" s="30" t="inlineStr">
        <is>
          <t>ITG</t>
        </is>
      </c>
      <c r="B5917" s="30" t="inlineStr">
        <is>
          <t>Itaguai</t>
        </is>
      </c>
      <c r="C5917" s="30" t="n">
        <v>79213160</v>
      </c>
      <c r="D5917" s="30">
        <f>"52548435015524"</f>
        <v/>
      </c>
      <c r="E5917" s="30" t="inlineStr">
        <is>
          <t>JSL S/A</t>
        </is>
      </c>
      <c r="F5917" s="30" t="inlineStr">
        <is>
          <t>2018</t>
        </is>
      </c>
      <c r="G5917" s="40" t="n">
        <v>0</v>
      </c>
    </row>
    <row r="5918" ht="12" customHeight="1">
      <c r="A5918" s="30" t="inlineStr">
        <is>
          <t>ITG</t>
        </is>
      </c>
      <c r="B5918" s="30" t="inlineStr">
        <is>
          <t>Itaguai</t>
        </is>
      </c>
      <c r="C5918" s="30" t="n">
        <v>79213160</v>
      </c>
      <c r="D5918" s="30">
        <f>"52548435015524"</f>
        <v/>
      </c>
      <c r="E5918" s="30" t="inlineStr">
        <is>
          <t>JSL S/A</t>
        </is>
      </c>
      <c r="F5918" s="30" t="inlineStr">
        <is>
          <t>2019</t>
        </is>
      </c>
      <c r="G5918" s="40" t="n">
        <v>0</v>
      </c>
    </row>
    <row r="5919" ht="12" customHeight="1">
      <c r="A5919" s="30" t="inlineStr">
        <is>
          <t>ITG</t>
        </is>
      </c>
      <c r="B5919" s="30" t="inlineStr">
        <is>
          <t>Itaguai</t>
        </is>
      </c>
      <c r="C5919" s="30" t="n">
        <v>79213160</v>
      </c>
      <c r="D5919" s="30">
        <f>"52548435015524"</f>
        <v/>
      </c>
      <c r="E5919" s="30" t="inlineStr">
        <is>
          <t>JSL S/A</t>
        </is>
      </c>
      <c r="F5919" s="30" t="inlineStr">
        <is>
          <t>2020</t>
        </is>
      </c>
      <c r="G5919" s="40" t="n">
        <v>283980.6</v>
      </c>
    </row>
    <row r="5920" ht="12" customHeight="1">
      <c r="A5920" s="30" t="inlineStr">
        <is>
          <t>ITG</t>
        </is>
      </c>
      <c r="B5920" s="30" t="inlineStr">
        <is>
          <t>Itaguai</t>
        </is>
      </c>
      <c r="C5920" s="30" t="n">
        <v>79213160</v>
      </c>
      <c r="D5920" s="30">
        <f>"52548435015524"</f>
        <v/>
      </c>
      <c r="E5920" s="30" t="inlineStr">
        <is>
          <t>JSL S/A</t>
        </is>
      </c>
      <c r="F5920" s="30" t="inlineStr">
        <is>
          <t>2021</t>
        </is>
      </c>
      <c r="G5920" s="40" t="n">
        <v>541812.29</v>
      </c>
    </row>
    <row r="5921" ht="12" customHeight="1">
      <c r="A5921" s="30" t="inlineStr">
        <is>
          <t>ITG</t>
        </is>
      </c>
      <c r="B5921" s="30" t="inlineStr">
        <is>
          <t>Itaguai</t>
        </is>
      </c>
      <c r="C5921" s="30" t="n">
        <v>79213160</v>
      </c>
      <c r="D5921" s="30">
        <f>"52548435015524"</f>
        <v/>
      </c>
      <c r="E5921" s="30" t="inlineStr">
        <is>
          <t>JSL S/A</t>
        </is>
      </c>
      <c r="F5921" s="30" t="inlineStr">
        <is>
          <t>2022</t>
        </is>
      </c>
      <c r="G5921" s="40" t="n">
        <v>293826.22</v>
      </c>
    </row>
    <row r="5922" ht="12" customHeight="1">
      <c r="A5922" s="30" t="inlineStr">
        <is>
          <t>ITG</t>
        </is>
      </c>
      <c r="B5922" s="30" t="inlineStr">
        <is>
          <t>Itaguai</t>
        </is>
      </c>
      <c r="C5922" s="30" t="n">
        <v>79213160</v>
      </c>
      <c r="D5922" s="30">
        <f>"52548435015524"</f>
        <v/>
      </c>
      <c r="E5922" s="30" t="inlineStr">
        <is>
          <t>JSL S/A</t>
        </is>
      </c>
      <c r="F5922" s="30" t="inlineStr">
        <is>
          <t>2023</t>
        </is>
      </c>
      <c r="G5922" s="40" t="n">
        <v>81801.63</v>
      </c>
    </row>
    <row r="5923" ht="12" customHeight="1">
      <c r="A5923" s="30" t="inlineStr">
        <is>
          <t>ITG</t>
        </is>
      </c>
      <c r="B5923" s="30" t="inlineStr">
        <is>
          <t>Itaguai</t>
        </is>
      </c>
      <c r="C5923" s="30" t="n">
        <v>79214043</v>
      </c>
      <c r="D5923" s="30">
        <f>"11755795000245"</f>
        <v/>
      </c>
      <c r="E5923" s="30" t="inlineStr">
        <is>
          <t>WM TRANSPORTADORA DE COMBUSTIVEL E CARGAS LTDA</t>
        </is>
      </c>
      <c r="F5923" s="30" t="inlineStr">
        <is>
          <t>2017</t>
        </is>
      </c>
      <c r="G5923" s="40" t="n">
        <v>40577.74</v>
      </c>
    </row>
    <row r="5924" ht="12" customHeight="1">
      <c r="A5924" s="30" t="inlineStr">
        <is>
          <t>ITG</t>
        </is>
      </c>
      <c r="B5924" s="30" t="inlineStr">
        <is>
          <t>Itaguai</t>
        </is>
      </c>
      <c r="C5924" s="30" t="n">
        <v>79214043</v>
      </c>
      <c r="D5924" s="30">
        <f>"11755795000245"</f>
        <v/>
      </c>
      <c r="E5924" s="30" t="inlineStr">
        <is>
          <t>WM TRANSPORTADORA DE COMBUSTIVEL E CARGAS LTDA</t>
        </is>
      </c>
      <c r="F5924" s="30" t="inlineStr">
        <is>
          <t>2018</t>
        </is>
      </c>
      <c r="G5924" s="40" t="n">
        <v>25161.22</v>
      </c>
    </row>
    <row r="5925" ht="12" customHeight="1">
      <c r="A5925" s="30" t="inlineStr">
        <is>
          <t>ITG</t>
        </is>
      </c>
      <c r="B5925" s="30" t="inlineStr">
        <is>
          <t>Itaguai</t>
        </is>
      </c>
      <c r="C5925" s="30" t="n">
        <v>79214043</v>
      </c>
      <c r="D5925" s="30">
        <f>"11755795000245"</f>
        <v/>
      </c>
      <c r="E5925" s="30" t="inlineStr">
        <is>
          <t>WM TRANSPORTADORA DE COMBUSTIVEL E CARGAS LTDA</t>
        </is>
      </c>
      <c r="F5925" s="30" t="inlineStr">
        <is>
          <t>2019</t>
        </is>
      </c>
      <c r="G5925" s="40" t="n">
        <v>41536.3</v>
      </c>
    </row>
    <row r="5926" ht="12" customHeight="1">
      <c r="A5926" s="30" t="inlineStr">
        <is>
          <t>ITG</t>
        </is>
      </c>
      <c r="B5926" s="30" t="inlineStr">
        <is>
          <t>Itaguai</t>
        </is>
      </c>
      <c r="C5926" s="30" t="n">
        <v>79214043</v>
      </c>
      <c r="D5926" s="30">
        <f>"11755795000245"</f>
        <v/>
      </c>
      <c r="E5926" s="30" t="inlineStr">
        <is>
          <t>WM TRANSPORTADORA DE COMBUSTIVEL E CARGAS LTDA</t>
        </is>
      </c>
      <c r="F5926" s="30" t="inlineStr">
        <is>
          <t>2020</t>
        </is>
      </c>
      <c r="G5926" s="40" t="n">
        <v>0</v>
      </c>
    </row>
    <row r="5927" ht="12" customHeight="1">
      <c r="A5927" s="30" t="inlineStr">
        <is>
          <t>ITG</t>
        </is>
      </c>
      <c r="B5927" s="30" t="inlineStr">
        <is>
          <t>Itaguai</t>
        </is>
      </c>
      <c r="C5927" s="30" t="n">
        <v>79214043</v>
      </c>
      <c r="D5927" s="30">
        <f>"11755795000245"</f>
        <v/>
      </c>
      <c r="E5927" s="30" t="inlineStr">
        <is>
          <t>WM TRANSPORTADORA DE COMBUSTIVEL E CARGAS LTDA</t>
        </is>
      </c>
      <c r="F5927" s="30" t="inlineStr">
        <is>
          <t>2021</t>
        </is>
      </c>
      <c r="G5927" s="40" t="n">
        <v>0</v>
      </c>
    </row>
    <row r="5928" ht="12" customHeight="1">
      <c r="A5928" s="30" t="inlineStr">
        <is>
          <t>ITG</t>
        </is>
      </c>
      <c r="B5928" s="30" t="inlineStr">
        <is>
          <t>Itaguai</t>
        </is>
      </c>
      <c r="C5928" s="30" t="n">
        <v>79216933</v>
      </c>
      <c r="D5928" s="30">
        <f>"29853942000609"</f>
        <v/>
      </c>
      <c r="E5928" s="30" t="inlineStr">
        <is>
          <t>RIO ITA LTDA</t>
        </is>
      </c>
      <c r="F5928" s="30" t="inlineStr">
        <is>
          <t>2017</t>
        </is>
      </c>
      <c r="G5928" s="40" t="n">
        <v>0</v>
      </c>
    </row>
    <row r="5929" ht="12" customHeight="1">
      <c r="A5929" s="30" t="inlineStr">
        <is>
          <t>ITG</t>
        </is>
      </c>
      <c r="B5929" s="30" t="inlineStr">
        <is>
          <t>Itaguai</t>
        </is>
      </c>
      <c r="C5929" s="30" t="n">
        <v>79216933</v>
      </c>
      <c r="D5929" s="30">
        <f>"29853942000609"</f>
        <v/>
      </c>
      <c r="E5929" s="30" t="inlineStr">
        <is>
          <t>RIO ITA LTDA</t>
        </is>
      </c>
      <c r="F5929" s="30" t="inlineStr">
        <is>
          <t>2018</t>
        </is>
      </c>
      <c r="G5929" s="40" t="n">
        <v>0</v>
      </c>
    </row>
    <row r="5930" ht="12" customHeight="1">
      <c r="A5930" s="30" t="inlineStr">
        <is>
          <t>ITG</t>
        </is>
      </c>
      <c r="B5930" s="30" t="inlineStr">
        <is>
          <t>Itaguai</t>
        </is>
      </c>
      <c r="C5930" s="30" t="n">
        <v>79216933</v>
      </c>
      <c r="D5930" s="30">
        <f>"29853942000609"</f>
        <v/>
      </c>
      <c r="E5930" s="30" t="inlineStr">
        <is>
          <t>RIO ITA LTDA</t>
        </is>
      </c>
      <c r="F5930" s="30" t="inlineStr">
        <is>
          <t>2019</t>
        </is>
      </c>
      <c r="G5930" s="40" t="n">
        <v>4880</v>
      </c>
    </row>
    <row r="5931" ht="12" customHeight="1">
      <c r="A5931" s="30" t="inlineStr">
        <is>
          <t>ITG</t>
        </is>
      </c>
      <c r="B5931" s="30" t="inlineStr">
        <is>
          <t>Itaguai</t>
        </is>
      </c>
      <c r="C5931" s="30" t="n">
        <v>79216933</v>
      </c>
      <c r="D5931" s="30">
        <f>"29853942000609"</f>
        <v/>
      </c>
      <c r="E5931" s="30" t="inlineStr">
        <is>
          <t>RIO ITA LTDA</t>
        </is>
      </c>
      <c r="F5931" s="30" t="inlineStr">
        <is>
          <t>2020</t>
        </is>
      </c>
      <c r="G5931" s="40" t="n">
        <v>0</v>
      </c>
    </row>
    <row r="5932" ht="12" customHeight="1">
      <c r="A5932" s="30" t="inlineStr">
        <is>
          <t>ITG</t>
        </is>
      </c>
      <c r="B5932" s="30" t="inlineStr">
        <is>
          <t>Itaguai</t>
        </is>
      </c>
      <c r="C5932" s="30" t="n">
        <v>79216933</v>
      </c>
      <c r="D5932" s="30">
        <f>"29853942000609"</f>
        <v/>
      </c>
      <c r="E5932" s="30" t="inlineStr">
        <is>
          <t>RIO ITA LTDA</t>
        </is>
      </c>
      <c r="F5932" s="30" t="inlineStr">
        <is>
          <t>2021</t>
        </is>
      </c>
      <c r="G5932" s="40" t="n">
        <v>0</v>
      </c>
    </row>
    <row r="5933" ht="12" customHeight="1">
      <c r="A5933" s="30" t="inlineStr">
        <is>
          <t>ITG</t>
        </is>
      </c>
      <c r="B5933" s="30" t="inlineStr">
        <is>
          <t>Itaguai</t>
        </is>
      </c>
      <c r="C5933" s="30" t="n">
        <v>79216933</v>
      </c>
      <c r="D5933" s="30">
        <f>"29853942000609"</f>
        <v/>
      </c>
      <c r="E5933" s="30" t="inlineStr">
        <is>
          <t>RIO ITA LTDA</t>
        </is>
      </c>
      <c r="F5933" s="30" t="inlineStr">
        <is>
          <t>2022</t>
        </is>
      </c>
      <c r="G5933" s="40" t="n">
        <v>3292</v>
      </c>
    </row>
    <row r="5934" ht="12" customHeight="1">
      <c r="A5934" s="30" t="inlineStr">
        <is>
          <t>ITG</t>
        </is>
      </c>
      <c r="B5934" s="30" t="inlineStr">
        <is>
          <t>Itaguai</t>
        </is>
      </c>
      <c r="C5934" s="30" t="n">
        <v>79216933</v>
      </c>
      <c r="D5934" s="30">
        <f>"29853942000609"</f>
        <v/>
      </c>
      <c r="E5934" s="30" t="inlineStr">
        <is>
          <t>RIO ITA LTDA</t>
        </is>
      </c>
      <c r="F5934" s="30" t="inlineStr">
        <is>
          <t>2023</t>
        </is>
      </c>
      <c r="G5934" s="40" t="n">
        <v>1120</v>
      </c>
    </row>
    <row r="5935" ht="12" customHeight="1">
      <c r="A5935" s="30" t="inlineStr">
        <is>
          <t>ITG</t>
        </is>
      </c>
      <c r="B5935" s="30" t="inlineStr">
        <is>
          <t>Itaguai</t>
        </is>
      </c>
      <c r="C5935" s="30" t="n">
        <v>79217220</v>
      </c>
      <c r="D5935" s="30">
        <f>"01515934000200"</f>
        <v/>
      </c>
      <c r="E5935" s="30" t="inlineStr">
        <is>
          <t>FRIBURGO TRANSPORTE E LOGISTICA LTDA</t>
        </is>
      </c>
      <c r="F5935" s="30" t="inlineStr">
        <is>
          <t>2017</t>
        </is>
      </c>
      <c r="G5935" s="40" t="n">
        <v>0</v>
      </c>
    </row>
    <row r="5936" ht="12" customHeight="1">
      <c r="A5936" s="30" t="inlineStr">
        <is>
          <t>ITG</t>
        </is>
      </c>
      <c r="B5936" s="30" t="inlineStr">
        <is>
          <t>Itaguai</t>
        </is>
      </c>
      <c r="C5936" s="30" t="n">
        <v>79217220</v>
      </c>
      <c r="D5936" s="30">
        <f>"01515934000200"</f>
        <v/>
      </c>
      <c r="E5936" s="30" t="inlineStr">
        <is>
          <t>FRIBURGO TRANSPORTE E LOGISTICA LTDA</t>
        </is>
      </c>
      <c r="F5936" s="30" t="inlineStr">
        <is>
          <t>2018</t>
        </is>
      </c>
      <c r="G5936" s="40" t="n">
        <v>145.88</v>
      </c>
    </row>
    <row r="5937" ht="12" customHeight="1">
      <c r="A5937" s="30" t="inlineStr">
        <is>
          <t>ITG</t>
        </is>
      </c>
      <c r="B5937" s="30" t="inlineStr">
        <is>
          <t>Itaguai</t>
        </is>
      </c>
      <c r="C5937" s="30" t="n">
        <v>79217220</v>
      </c>
      <c r="D5937" s="30">
        <f>"01515934000200"</f>
        <v/>
      </c>
      <c r="E5937" s="30" t="inlineStr">
        <is>
          <t>FRIBURGO TRANSPORTE E LOGISTICA LTDA</t>
        </is>
      </c>
      <c r="F5937" s="30" t="inlineStr">
        <is>
          <t>2019</t>
        </is>
      </c>
      <c r="G5937" s="40" t="n">
        <v>0</v>
      </c>
    </row>
    <row r="5938" ht="12" customHeight="1">
      <c r="A5938" s="30" t="inlineStr">
        <is>
          <t>ITG</t>
        </is>
      </c>
      <c r="B5938" s="30" t="inlineStr">
        <is>
          <t>Itaguai</t>
        </is>
      </c>
      <c r="C5938" s="30" t="n">
        <v>79217220</v>
      </c>
      <c r="D5938" s="30">
        <f>"01515934000200"</f>
        <v/>
      </c>
      <c r="E5938" s="30" t="inlineStr">
        <is>
          <t>FRIBURGO TRANSPORTE E LOGISTICA LTDA</t>
        </is>
      </c>
      <c r="F5938" s="30" t="inlineStr">
        <is>
          <t>2020</t>
        </is>
      </c>
      <c r="G5938" s="40" t="n">
        <v>0</v>
      </c>
    </row>
    <row r="5939" ht="12" customHeight="1">
      <c r="A5939" s="30" t="inlineStr">
        <is>
          <t>ITG</t>
        </is>
      </c>
      <c r="B5939" s="30" t="inlineStr">
        <is>
          <t>Itaguai</t>
        </is>
      </c>
      <c r="C5939" s="30" t="n">
        <v>79228940</v>
      </c>
      <c r="D5939" s="30">
        <f>"11356166000595"</f>
        <v/>
      </c>
      <c r="E5939" s="30" t="inlineStr">
        <is>
          <t>CAVAGUTI CAMINHOES PECAS E SERVICOS EIRELI</t>
        </is>
      </c>
      <c r="F5939" s="30" t="inlineStr">
        <is>
          <t>2017</t>
        </is>
      </c>
      <c r="G5939" s="40" t="n">
        <v>0</v>
      </c>
    </row>
    <row r="5940" ht="12" customHeight="1">
      <c r="A5940" s="30" t="inlineStr">
        <is>
          <t>ITG</t>
        </is>
      </c>
      <c r="B5940" s="30" t="inlineStr">
        <is>
          <t>Itaguai</t>
        </is>
      </c>
      <c r="C5940" s="30" t="n">
        <v>79228940</v>
      </c>
      <c r="D5940" s="30">
        <f>"11356166000595"</f>
        <v/>
      </c>
      <c r="E5940" s="30" t="inlineStr">
        <is>
          <t>CAVAGUTI CAMINHOES PECAS E SERVICOS EIRELI</t>
        </is>
      </c>
      <c r="F5940" s="30" t="inlineStr">
        <is>
          <t>2018</t>
        </is>
      </c>
      <c r="G5940" s="40" t="n">
        <v>1036486.38</v>
      </c>
    </row>
    <row r="5941" ht="12" customHeight="1">
      <c r="A5941" s="30" t="inlineStr">
        <is>
          <t>ITG</t>
        </is>
      </c>
      <c r="B5941" s="30" t="inlineStr">
        <is>
          <t>Itaguai</t>
        </is>
      </c>
      <c r="C5941" s="30" t="n">
        <v>79228940</v>
      </c>
      <c r="D5941" s="30">
        <f>"11356166000595"</f>
        <v/>
      </c>
      <c r="E5941" s="30" t="inlineStr">
        <is>
          <t>CAVAGUTI CAMINHOES PECAS E SERVICOS EIRELI</t>
        </is>
      </c>
      <c r="F5941" s="30" t="inlineStr">
        <is>
          <t>2019</t>
        </is>
      </c>
      <c r="G5941" s="40" t="n">
        <v>326651.69</v>
      </c>
    </row>
    <row r="5942" ht="12" customHeight="1">
      <c r="A5942" s="30" t="inlineStr">
        <is>
          <t>ITG</t>
        </is>
      </c>
      <c r="B5942" s="30" t="inlineStr">
        <is>
          <t>Itaguai</t>
        </is>
      </c>
      <c r="C5942" s="30" t="n">
        <v>79228940</v>
      </c>
      <c r="D5942" s="30">
        <f>"11356166000595"</f>
        <v/>
      </c>
      <c r="E5942" s="30" t="inlineStr">
        <is>
          <t>CAVAGUTI CAMINHOES PECAS E SERVICOS EIRELI</t>
        </is>
      </c>
      <c r="F5942" s="30" t="inlineStr">
        <is>
          <t>2020</t>
        </is>
      </c>
      <c r="G5942" s="40" t="n">
        <v>1871285.14</v>
      </c>
    </row>
    <row r="5943" ht="12" customHeight="1">
      <c r="A5943" s="30" t="inlineStr">
        <is>
          <t>ITG</t>
        </is>
      </c>
      <c r="B5943" s="30" t="inlineStr">
        <is>
          <t>Itaguai</t>
        </is>
      </c>
      <c r="C5943" s="30" t="n">
        <v>79228940</v>
      </c>
      <c r="D5943" s="30">
        <f>"11356166000595"</f>
        <v/>
      </c>
      <c r="E5943" s="30" t="inlineStr">
        <is>
          <t>CAVAGUTI CAMINHOES PECAS E SERVICOS EIRELI</t>
        </is>
      </c>
      <c r="F5943" s="30" t="inlineStr">
        <is>
          <t>2021</t>
        </is>
      </c>
      <c r="G5943" s="40" t="n">
        <v>76100.34</v>
      </c>
    </row>
    <row r="5944" ht="12" customHeight="1">
      <c r="A5944" s="30" t="inlineStr">
        <is>
          <t>ITG</t>
        </is>
      </c>
      <c r="B5944" s="30" t="inlineStr">
        <is>
          <t>Itaguai</t>
        </is>
      </c>
      <c r="C5944" s="30" t="n">
        <v>79228940</v>
      </c>
      <c r="D5944" s="30">
        <f>"11356166000595"</f>
        <v/>
      </c>
      <c r="E5944" s="30" t="inlineStr">
        <is>
          <t>CAVAGUTI CAMINHOES PECAS E SERVICOS EIRELI</t>
        </is>
      </c>
      <c r="F5944" s="30" t="inlineStr">
        <is>
          <t>2022</t>
        </is>
      </c>
      <c r="G5944" s="40" t="n">
        <v>0</v>
      </c>
    </row>
    <row r="5945" ht="12" customHeight="1">
      <c r="A5945" s="30" t="inlineStr">
        <is>
          <t>ITG</t>
        </is>
      </c>
      <c r="B5945" s="30" t="inlineStr">
        <is>
          <t>Itaguai</t>
        </is>
      </c>
      <c r="C5945" s="30" t="n">
        <v>79228940</v>
      </c>
      <c r="D5945" s="30">
        <f>"11356166000595"</f>
        <v/>
      </c>
      <c r="E5945" s="30" t="inlineStr">
        <is>
          <t>CAVAGUTI CAMINHOES PECAS E SERVICOS EIRELI</t>
        </is>
      </c>
      <c r="F5945" s="30" t="inlineStr">
        <is>
          <t>2023</t>
        </is>
      </c>
      <c r="G5945" s="40" t="n">
        <v>0</v>
      </c>
    </row>
    <row r="5946" ht="12" customHeight="1">
      <c r="A5946" s="30" t="inlineStr">
        <is>
          <t>ITG</t>
        </is>
      </c>
      <c r="B5946" s="30" t="inlineStr">
        <is>
          <t>Itaguai</t>
        </is>
      </c>
      <c r="C5946" s="30" t="n">
        <v>79235652</v>
      </c>
      <c r="D5946" s="30">
        <f>"11146466001007"</f>
        <v/>
      </c>
      <c r="E5946" s="30" t="inlineStr">
        <is>
          <t>FLORIPA INDUSTRIA E COMERCIO DE ROUPAS LTDA</t>
        </is>
      </c>
      <c r="F5946" s="30" t="inlineStr">
        <is>
          <t>2017</t>
        </is>
      </c>
      <c r="G5946" s="40" t="n">
        <v>216525.21</v>
      </c>
    </row>
    <row r="5947" ht="12" customHeight="1">
      <c r="A5947" s="30" t="inlineStr">
        <is>
          <t>ITG</t>
        </is>
      </c>
      <c r="B5947" s="30" t="inlineStr">
        <is>
          <t>Itaguai</t>
        </is>
      </c>
      <c r="C5947" s="30" t="n">
        <v>79235652</v>
      </c>
      <c r="D5947" s="30">
        <f>"11146466001007"</f>
        <v/>
      </c>
      <c r="E5947" s="30" t="inlineStr">
        <is>
          <t>FLORIPA INDUSTRIA E COMERCIO DE ROUPAS LTDA</t>
        </is>
      </c>
      <c r="F5947" s="30" t="inlineStr">
        <is>
          <t>2018</t>
        </is>
      </c>
      <c r="G5947" s="40" t="n">
        <v>0</v>
      </c>
    </row>
    <row r="5948" ht="12" customHeight="1">
      <c r="A5948" s="30" t="inlineStr">
        <is>
          <t>ITG</t>
        </is>
      </c>
      <c r="B5948" s="30" t="inlineStr">
        <is>
          <t>Itaguai</t>
        </is>
      </c>
      <c r="C5948" s="30" t="n">
        <v>79235652</v>
      </c>
      <c r="D5948" s="30">
        <f>"11146466001007"</f>
        <v/>
      </c>
      <c r="E5948" s="30" t="inlineStr">
        <is>
          <t>FLORIPA INDUSTRIA E COMERCIO DE ROUPAS LTDA</t>
        </is>
      </c>
      <c r="F5948" s="30" t="inlineStr">
        <is>
          <t>2019</t>
        </is>
      </c>
      <c r="G5948" s="40" t="n">
        <v>0</v>
      </c>
    </row>
    <row r="5949" ht="12" customHeight="1">
      <c r="A5949" s="30" t="inlineStr">
        <is>
          <t>ITG</t>
        </is>
      </c>
      <c r="B5949" s="30" t="inlineStr">
        <is>
          <t>Itaguai</t>
        </is>
      </c>
      <c r="C5949" s="30" t="n">
        <v>79235652</v>
      </c>
      <c r="D5949" s="30">
        <f>"11146466001007"</f>
        <v/>
      </c>
      <c r="E5949" s="30" t="inlineStr">
        <is>
          <t>FLORIPA INDUSTRIA E COMERCIO DE ROUPAS LTDA</t>
        </is>
      </c>
      <c r="F5949" s="30" t="inlineStr">
        <is>
          <t>2020</t>
        </is>
      </c>
      <c r="G5949" s="40" t="n">
        <v>0</v>
      </c>
    </row>
    <row r="5950" ht="12" customHeight="1">
      <c r="A5950" s="30" t="inlineStr">
        <is>
          <t>ITG</t>
        </is>
      </c>
      <c r="B5950" s="30" t="inlineStr">
        <is>
          <t>Itaguai</t>
        </is>
      </c>
      <c r="C5950" s="30" t="n">
        <v>79235652</v>
      </c>
      <c r="D5950" s="30">
        <f>"11146466001007"</f>
        <v/>
      </c>
      <c r="E5950" s="30" t="inlineStr">
        <is>
          <t>FLORIPA INDUSTRIA E COMERCIO DE ROUPAS LTDA</t>
        </is>
      </c>
      <c r="F5950" s="30" t="inlineStr">
        <is>
          <t>2021</t>
        </is>
      </c>
      <c r="G5950" s="40" t="n">
        <v>208128.69</v>
      </c>
    </row>
    <row r="5951" ht="12" customHeight="1">
      <c r="A5951" s="30" t="inlineStr">
        <is>
          <t>ITG</t>
        </is>
      </c>
      <c r="B5951" s="30" t="inlineStr">
        <is>
          <t>Itaguai</t>
        </is>
      </c>
      <c r="C5951" s="30" t="n">
        <v>79235652</v>
      </c>
      <c r="D5951" s="30">
        <f>"11146466001007"</f>
        <v/>
      </c>
      <c r="E5951" s="30" t="inlineStr">
        <is>
          <t>FLORIPA INDUSTRIA E COMERCIO DE ROUPAS LTDA</t>
        </is>
      </c>
      <c r="F5951" s="30" t="inlineStr">
        <is>
          <t>2022</t>
        </is>
      </c>
      <c r="G5951" s="40" t="n">
        <v>627463.66</v>
      </c>
    </row>
    <row r="5952" ht="12" customHeight="1">
      <c r="A5952" s="30" t="inlineStr">
        <is>
          <t>ITG</t>
        </is>
      </c>
      <c r="B5952" s="30" t="inlineStr">
        <is>
          <t>Itaguai</t>
        </is>
      </c>
      <c r="C5952" s="30" t="n">
        <v>79235652</v>
      </c>
      <c r="D5952" s="30">
        <f>"11146466001007"</f>
        <v/>
      </c>
      <c r="E5952" s="30" t="inlineStr">
        <is>
          <t>FLORIPA INDUSTRIA E COMERCIO DE ROUPAS LTDA</t>
        </is>
      </c>
      <c r="F5952" s="30" t="inlineStr">
        <is>
          <t>2023</t>
        </is>
      </c>
      <c r="G5952" s="40" t="n">
        <v>284062.38</v>
      </c>
    </row>
    <row r="5953" ht="12" customHeight="1">
      <c r="A5953" s="30" t="inlineStr">
        <is>
          <t>ITG</t>
        </is>
      </c>
      <c r="B5953" s="30" t="inlineStr">
        <is>
          <t>Itaguai</t>
        </is>
      </c>
      <c r="C5953" s="30" t="n">
        <v>79238651</v>
      </c>
      <c r="D5953" s="30">
        <f>"27045905000134"</f>
        <v/>
      </c>
      <c r="E5953" s="30" t="inlineStr">
        <is>
          <t>VALLE SUL TERRAPLENAGEM LTDA</t>
        </is>
      </c>
      <c r="F5953" s="30" t="inlineStr">
        <is>
          <t>2017</t>
        </is>
      </c>
      <c r="G5953" s="40" t="n">
        <v>0</v>
      </c>
    </row>
    <row r="5954" ht="12" customHeight="1">
      <c r="A5954" s="30" t="inlineStr">
        <is>
          <t>ITG</t>
        </is>
      </c>
      <c r="B5954" s="30" t="inlineStr">
        <is>
          <t>Itaguai</t>
        </is>
      </c>
      <c r="C5954" s="30" t="n">
        <v>79238651</v>
      </c>
      <c r="D5954" s="30">
        <f>"27045905000134"</f>
        <v/>
      </c>
      <c r="E5954" s="30" t="inlineStr">
        <is>
          <t>VALLE SUL TERRAPLENAGEM LTDA</t>
        </is>
      </c>
      <c r="F5954" s="30" t="inlineStr">
        <is>
          <t>2018</t>
        </is>
      </c>
      <c r="G5954" s="40" t="n">
        <v>0</v>
      </c>
    </row>
    <row r="5955" ht="12" customHeight="1">
      <c r="A5955" s="30" t="inlineStr">
        <is>
          <t>ITG</t>
        </is>
      </c>
      <c r="B5955" s="30" t="inlineStr">
        <is>
          <t>Itaguai</t>
        </is>
      </c>
      <c r="C5955" s="30" t="n">
        <v>79238651</v>
      </c>
      <c r="D5955" s="30">
        <f>"27045905000134"</f>
        <v/>
      </c>
      <c r="E5955" s="30" t="inlineStr">
        <is>
          <t>VALLE SUL TERRAPLENAGEM LTDA</t>
        </is>
      </c>
      <c r="F5955" s="30" t="inlineStr">
        <is>
          <t>2019</t>
        </is>
      </c>
      <c r="G5955" s="40" t="n">
        <v>0</v>
      </c>
    </row>
    <row r="5956" ht="12" customHeight="1">
      <c r="A5956" s="30" t="inlineStr">
        <is>
          <t>ITG</t>
        </is>
      </c>
      <c r="B5956" s="30" t="inlineStr">
        <is>
          <t>Itaguai</t>
        </is>
      </c>
      <c r="C5956" s="30" t="n">
        <v>79238651</v>
      </c>
      <c r="D5956" s="30">
        <f>"27045905000134"</f>
        <v/>
      </c>
      <c r="E5956" s="30" t="inlineStr">
        <is>
          <t>VALLE SUL TERRAPLENAGEM LTDA</t>
        </is>
      </c>
      <c r="F5956" s="30" t="inlineStr">
        <is>
          <t>2020</t>
        </is>
      </c>
      <c r="G5956" s="40" t="n">
        <v>0</v>
      </c>
    </row>
    <row r="5957" ht="12" customHeight="1">
      <c r="A5957" s="30" t="inlineStr">
        <is>
          <t>ITG</t>
        </is>
      </c>
      <c r="B5957" s="30" t="inlineStr">
        <is>
          <t>Itaguai</t>
        </is>
      </c>
      <c r="C5957" s="30" t="n">
        <v>79238651</v>
      </c>
      <c r="D5957" s="30">
        <f>"27045905000134"</f>
        <v/>
      </c>
      <c r="E5957" s="30" t="inlineStr">
        <is>
          <t>VALLE SUL TERRAPLENAGEM LTDA</t>
        </is>
      </c>
      <c r="F5957" s="30" t="inlineStr">
        <is>
          <t>2021</t>
        </is>
      </c>
      <c r="G5957" s="40" t="n">
        <v>0</v>
      </c>
    </row>
    <row r="5958" ht="12" customHeight="1">
      <c r="A5958" s="30" t="inlineStr">
        <is>
          <t>ITG</t>
        </is>
      </c>
      <c r="B5958" s="30" t="inlineStr">
        <is>
          <t>Itaguai</t>
        </is>
      </c>
      <c r="C5958" s="30" t="n">
        <v>79253545</v>
      </c>
      <c r="D5958" s="30">
        <f>"13005146000171"</f>
        <v/>
      </c>
      <c r="E5958" s="30" t="inlineStr">
        <is>
          <t>SILVA &amp; ABREU COMERCIO OPTICO LTDA - ME</t>
        </is>
      </c>
      <c r="F5958" s="30" t="inlineStr">
        <is>
          <t>2017</t>
        </is>
      </c>
      <c r="G5958" s="40" t="n">
        <v>36017</v>
      </c>
    </row>
    <row r="5959" ht="12" customHeight="1">
      <c r="A5959" s="30" t="inlineStr">
        <is>
          <t>ITG</t>
        </is>
      </c>
      <c r="B5959" s="30" t="inlineStr">
        <is>
          <t>Itaguai</t>
        </is>
      </c>
      <c r="C5959" s="30" t="n">
        <v>79253545</v>
      </c>
      <c r="D5959" s="30">
        <f>"13005146000171"</f>
        <v/>
      </c>
      <c r="E5959" s="30" t="inlineStr">
        <is>
          <t>SILVA &amp; ABREU COMERCIO OPTICO LTDA - ME</t>
        </is>
      </c>
      <c r="F5959" s="30" t="inlineStr">
        <is>
          <t>2018</t>
        </is>
      </c>
      <c r="G5959" s="40" t="n">
        <v>30158</v>
      </c>
    </row>
    <row r="5960" ht="12" customHeight="1">
      <c r="A5960" s="30" t="inlineStr">
        <is>
          <t>ITG</t>
        </is>
      </c>
      <c r="B5960" s="30" t="inlineStr">
        <is>
          <t>Itaguai</t>
        </is>
      </c>
      <c r="C5960" s="30" t="n">
        <v>79253545</v>
      </c>
      <c r="D5960" s="30">
        <f>"13005146000171"</f>
        <v/>
      </c>
      <c r="E5960" s="30" t="inlineStr">
        <is>
          <t>SILVA &amp; ABREU COMERCIO OPTICO LTDA - ME</t>
        </is>
      </c>
      <c r="F5960" s="30" t="inlineStr">
        <is>
          <t>2019</t>
        </is>
      </c>
      <c r="G5960" s="40" t="n">
        <v>72730</v>
      </c>
    </row>
    <row r="5961" ht="12" customHeight="1">
      <c r="A5961" s="30" t="inlineStr">
        <is>
          <t>ITG</t>
        </is>
      </c>
      <c r="B5961" s="30" t="inlineStr">
        <is>
          <t>Itaguai</t>
        </is>
      </c>
      <c r="C5961" s="30" t="n">
        <v>79253545</v>
      </c>
      <c r="D5961" s="30">
        <f>"13005146000171"</f>
        <v/>
      </c>
      <c r="E5961" s="30" t="inlineStr">
        <is>
          <t>SILVA &amp; ABREU COMERCIO OPTICO LTDA - ME</t>
        </is>
      </c>
      <c r="F5961" s="30" t="inlineStr">
        <is>
          <t>2020</t>
        </is>
      </c>
      <c r="G5961" s="40" t="n">
        <v>55045.99</v>
      </c>
    </row>
    <row r="5962" ht="12" customHeight="1">
      <c r="A5962" s="30" t="inlineStr">
        <is>
          <t>ITG</t>
        </is>
      </c>
      <c r="B5962" s="30" t="inlineStr">
        <is>
          <t>Itaguai</t>
        </is>
      </c>
      <c r="C5962" s="30" t="n">
        <v>79253545</v>
      </c>
      <c r="D5962" s="30">
        <f>"13005146000171"</f>
        <v/>
      </c>
      <c r="E5962" s="30" t="inlineStr">
        <is>
          <t>SILVA &amp; ABREU COMERCIO OPTICO LTDA - ME</t>
        </is>
      </c>
      <c r="F5962" s="30" t="inlineStr">
        <is>
          <t>2021</t>
        </is>
      </c>
      <c r="G5962" s="40" t="n">
        <v>123332.2</v>
      </c>
    </row>
    <row r="5963" ht="12" customHeight="1">
      <c r="A5963" s="30" t="inlineStr">
        <is>
          <t>ITG</t>
        </is>
      </c>
      <c r="B5963" s="30" t="inlineStr">
        <is>
          <t>Itaguai</t>
        </is>
      </c>
      <c r="C5963" s="30" t="n">
        <v>79253545</v>
      </c>
      <c r="D5963" s="30">
        <f>"13005146000171"</f>
        <v/>
      </c>
      <c r="E5963" s="30" t="inlineStr">
        <is>
          <t>SILVA &amp; ABREU COMERCIO OPTICO LTDA - ME</t>
        </is>
      </c>
      <c r="F5963" s="30" t="inlineStr">
        <is>
          <t>2022</t>
        </is>
      </c>
      <c r="G5963" s="40" t="n">
        <v>242313.38</v>
      </c>
    </row>
    <row r="5964" ht="12" customHeight="1">
      <c r="A5964" s="30" t="inlineStr">
        <is>
          <t>ITG</t>
        </is>
      </c>
      <c r="B5964" s="30" t="inlineStr">
        <is>
          <t>Itaguai</t>
        </is>
      </c>
      <c r="C5964" s="30" t="n">
        <v>79253545</v>
      </c>
      <c r="D5964" s="30">
        <f>"13005146000171"</f>
        <v/>
      </c>
      <c r="E5964" s="30" t="inlineStr">
        <is>
          <t>SILVA &amp; ABREU COMERCIO OPTICO LTDA - ME</t>
        </is>
      </c>
      <c r="F5964" s="30" t="inlineStr">
        <is>
          <t>2023</t>
        </is>
      </c>
      <c r="G5964" s="40" t="n">
        <v>27520.35</v>
      </c>
    </row>
    <row r="5965" ht="12" customHeight="1">
      <c r="A5965" s="30" t="inlineStr">
        <is>
          <t>ITG</t>
        </is>
      </c>
      <c r="B5965" s="30" t="inlineStr">
        <is>
          <t>Itaguai</t>
        </is>
      </c>
      <c r="C5965" s="30" t="n">
        <v>79261688</v>
      </c>
      <c r="D5965" s="30">
        <f>"40284663000523"</f>
        <v/>
      </c>
      <c r="E5965" s="30" t="inlineStr">
        <is>
          <t>ACORP DO BRASIL IMPORTACAO E EXPORTACAO LTDA</t>
        </is>
      </c>
      <c r="F5965" s="30" t="inlineStr">
        <is>
          <t>2017</t>
        </is>
      </c>
      <c r="G5965" s="40" t="n">
        <v>0</v>
      </c>
    </row>
    <row r="5966" ht="12" customHeight="1">
      <c r="A5966" s="30" t="inlineStr">
        <is>
          <t>ITG</t>
        </is>
      </c>
      <c r="B5966" s="30" t="inlineStr">
        <is>
          <t>Itaguai</t>
        </is>
      </c>
      <c r="C5966" s="30" t="n">
        <v>79261688</v>
      </c>
      <c r="D5966" s="30">
        <f>"40284663000523"</f>
        <v/>
      </c>
      <c r="E5966" s="30" t="inlineStr">
        <is>
          <t>ACORP DO BRASIL IMPORTACAO E EXPORTACAO LTDA</t>
        </is>
      </c>
      <c r="F5966" s="30" t="inlineStr">
        <is>
          <t>2018</t>
        </is>
      </c>
      <c r="G5966" s="40" t="n">
        <v>0</v>
      </c>
    </row>
    <row r="5967" ht="12" customHeight="1">
      <c r="A5967" s="30" t="inlineStr">
        <is>
          <t>ITG</t>
        </is>
      </c>
      <c r="B5967" s="30" t="inlineStr">
        <is>
          <t>Itaguai</t>
        </is>
      </c>
      <c r="C5967" s="30" t="n">
        <v>79261688</v>
      </c>
      <c r="D5967" s="30">
        <f>"40284663000523"</f>
        <v/>
      </c>
      <c r="E5967" s="30" t="inlineStr">
        <is>
          <t>ACORP DO BRASIL IMPORTACAO E EXPORTACAO LTDA</t>
        </is>
      </c>
      <c r="F5967" s="30" t="inlineStr">
        <is>
          <t>2019</t>
        </is>
      </c>
      <c r="G5967" s="40" t="n">
        <v>2347235.39</v>
      </c>
    </row>
    <row r="5968" ht="12" customHeight="1">
      <c r="A5968" s="30" t="inlineStr">
        <is>
          <t>ITG</t>
        </is>
      </c>
      <c r="B5968" s="30" t="inlineStr">
        <is>
          <t>Itaguai</t>
        </is>
      </c>
      <c r="C5968" s="30" t="n">
        <v>79261688</v>
      </c>
      <c r="D5968" s="30">
        <f>"40284663000523"</f>
        <v/>
      </c>
      <c r="E5968" s="30" t="inlineStr">
        <is>
          <t>ACORP DO BRASIL IMPORTACAO E EXPORTACAO LTDA</t>
        </is>
      </c>
      <c r="F5968" s="30" t="inlineStr">
        <is>
          <t>2020</t>
        </is>
      </c>
      <c r="G5968" s="40" t="n">
        <v>0</v>
      </c>
    </row>
    <row r="5969" ht="12" customHeight="1">
      <c r="A5969" s="30" t="inlineStr">
        <is>
          <t>ITG</t>
        </is>
      </c>
      <c r="B5969" s="30" t="inlineStr">
        <is>
          <t>Itaguai</t>
        </is>
      </c>
      <c r="C5969" s="30" t="n">
        <v>79261688</v>
      </c>
      <c r="D5969" s="30">
        <f>"40284663000523"</f>
        <v/>
      </c>
      <c r="E5969" s="30" t="inlineStr">
        <is>
          <t>ACORP DO BRASIL IMPORTACAO E EXPORTACAO LTDA</t>
        </is>
      </c>
      <c r="F5969" s="30" t="inlineStr">
        <is>
          <t>2021</t>
        </is>
      </c>
      <c r="G5969" s="40" t="n">
        <v>5131674.73</v>
      </c>
    </row>
    <row r="5970" ht="12" customHeight="1">
      <c r="A5970" s="30" t="inlineStr">
        <is>
          <t>ITG</t>
        </is>
      </c>
      <c r="B5970" s="30" t="inlineStr">
        <is>
          <t>Itaguai</t>
        </is>
      </c>
      <c r="C5970" s="30" t="n">
        <v>79261688</v>
      </c>
      <c r="D5970" s="30">
        <f>"40284663000523"</f>
        <v/>
      </c>
      <c r="E5970" s="30" t="inlineStr">
        <is>
          <t>ACORP DO BRASIL IMPORTACAO E EXPORTACAO LTDA</t>
        </is>
      </c>
      <c r="F5970" s="30" t="inlineStr">
        <is>
          <t>2022</t>
        </is>
      </c>
      <c r="G5970" s="40" t="n">
        <v>0</v>
      </c>
    </row>
    <row r="5971" ht="12" customHeight="1">
      <c r="A5971" s="30" t="inlineStr">
        <is>
          <t>ITG</t>
        </is>
      </c>
      <c r="B5971" s="30" t="inlineStr">
        <is>
          <t>Itaguai</t>
        </is>
      </c>
      <c r="C5971" s="30" t="n">
        <v>79261688</v>
      </c>
      <c r="D5971" s="30">
        <f>"40284663000523"</f>
        <v/>
      </c>
      <c r="E5971" s="30" t="inlineStr">
        <is>
          <t>ACORP DO BRASIL IMPORTACAO E EXPORTACAO LTDA</t>
        </is>
      </c>
      <c r="F5971" s="30" t="inlineStr">
        <is>
          <t>2023</t>
        </is>
      </c>
      <c r="G5971" s="40" t="n">
        <v>8028.66</v>
      </c>
    </row>
    <row r="5972" ht="12" customHeight="1">
      <c r="A5972" s="30" t="inlineStr">
        <is>
          <t>ITG</t>
        </is>
      </c>
      <c r="B5972" s="30" t="inlineStr">
        <is>
          <t>Itaguai</t>
        </is>
      </c>
      <c r="C5972" s="30" t="n">
        <v>79263575</v>
      </c>
      <c r="D5972" s="30">
        <f>"13045627000100"</f>
        <v/>
      </c>
      <c r="E5972" s="30" t="inlineStr">
        <is>
          <t>LESSA COMERCIO DE BEBIDAS E DESCARTAVEIS LTDA ME</t>
        </is>
      </c>
      <c r="F5972" s="30" t="inlineStr">
        <is>
          <t>2017</t>
        </is>
      </c>
      <c r="G5972" s="40" t="n">
        <v>155976.55</v>
      </c>
    </row>
    <row r="5973" ht="12" customHeight="1">
      <c r="A5973" s="30" t="inlineStr">
        <is>
          <t>ITG</t>
        </is>
      </c>
      <c r="B5973" s="30" t="inlineStr">
        <is>
          <t>Itaguai</t>
        </is>
      </c>
      <c r="C5973" s="30" t="n">
        <v>79263575</v>
      </c>
      <c r="D5973" s="30">
        <f>"13045627000100"</f>
        <v/>
      </c>
      <c r="E5973" s="30" t="inlineStr">
        <is>
          <t>LESSA COMERCIO DE BEBIDAS E DESCARTAVEIS LTDA ME</t>
        </is>
      </c>
      <c r="F5973" s="30" t="inlineStr">
        <is>
          <t>2018</t>
        </is>
      </c>
      <c r="G5973" s="40" t="n">
        <v>5046.5</v>
      </c>
    </row>
    <row r="5974" ht="12" customHeight="1">
      <c r="A5974" s="30" t="inlineStr">
        <is>
          <t>ITG</t>
        </is>
      </c>
      <c r="B5974" s="30" t="inlineStr">
        <is>
          <t>Itaguai</t>
        </is>
      </c>
      <c r="C5974" s="30" t="n">
        <v>79263575</v>
      </c>
      <c r="D5974" s="30">
        <f>"13045627000100"</f>
        <v/>
      </c>
      <c r="E5974" s="30" t="inlineStr">
        <is>
          <t>LESSA COMERCIO DE BEBIDAS E DESCARTAVEIS LTDA ME</t>
        </is>
      </c>
      <c r="F5974" s="30" t="inlineStr">
        <is>
          <t>2019</t>
        </is>
      </c>
      <c r="G5974" s="40" t="n">
        <v>0</v>
      </c>
    </row>
    <row r="5975" ht="12" customHeight="1">
      <c r="A5975" s="30" t="inlineStr">
        <is>
          <t>ITG</t>
        </is>
      </c>
      <c r="B5975" s="30" t="inlineStr">
        <is>
          <t>Itaguai</t>
        </is>
      </c>
      <c r="C5975" s="30" t="n">
        <v>79263575</v>
      </c>
      <c r="D5975" s="30">
        <f>"13045627000100"</f>
        <v/>
      </c>
      <c r="E5975" s="30" t="inlineStr">
        <is>
          <t>LESSA COMERCIO DE BEBIDAS E DESCARTAVEIS LTDA ME</t>
        </is>
      </c>
      <c r="F5975" s="30" t="inlineStr">
        <is>
          <t>2020</t>
        </is>
      </c>
      <c r="G5975" s="40" t="n">
        <v>0</v>
      </c>
    </row>
    <row r="5976" ht="12" customHeight="1">
      <c r="A5976" s="30" t="inlineStr">
        <is>
          <t>ITG</t>
        </is>
      </c>
      <c r="B5976" s="30" t="inlineStr">
        <is>
          <t>Itaguai</t>
        </is>
      </c>
      <c r="C5976" s="30" t="n">
        <v>79263575</v>
      </c>
      <c r="D5976" s="30">
        <f>"13045627000100"</f>
        <v/>
      </c>
      <c r="E5976" s="30" t="inlineStr">
        <is>
          <t>LESSA COMERCIO DE BEBIDAS E DESCARTAVEIS LTDA ME</t>
        </is>
      </c>
      <c r="F5976" s="30" t="inlineStr">
        <is>
          <t>2021</t>
        </is>
      </c>
      <c r="G5976" s="40" t="n">
        <v>0</v>
      </c>
    </row>
    <row r="5977" ht="12" customHeight="1">
      <c r="A5977" s="30" t="inlineStr">
        <is>
          <t>ITG</t>
        </is>
      </c>
      <c r="B5977" s="30" t="inlineStr">
        <is>
          <t>Itaguai</t>
        </is>
      </c>
      <c r="C5977" s="30" t="n">
        <v>79269085</v>
      </c>
      <c r="D5977" s="30">
        <f>"01625195001108"</f>
        <v/>
      </c>
      <c r="E5977" s="30" t="inlineStr">
        <is>
          <t>SCS COMERCIAL E SERVICOS QUIMICOS LTDA</t>
        </is>
      </c>
      <c r="F5977" s="30" t="inlineStr">
        <is>
          <t>2017</t>
        </is>
      </c>
      <c r="G5977" s="40" t="n">
        <v>36958186.69</v>
      </c>
    </row>
    <row r="5978" ht="12" customHeight="1">
      <c r="A5978" s="30" t="inlineStr">
        <is>
          <t>ITG</t>
        </is>
      </c>
      <c r="B5978" s="30" t="inlineStr">
        <is>
          <t>Itaguai</t>
        </is>
      </c>
      <c r="C5978" s="30" t="n">
        <v>79269085</v>
      </c>
      <c r="D5978" s="30">
        <f>"01625195001108"</f>
        <v/>
      </c>
      <c r="E5978" s="30" t="inlineStr">
        <is>
          <t>SCS COMERCIAL E SERVICOS QUIMICOS LTDA</t>
        </is>
      </c>
      <c r="F5978" s="30" t="inlineStr">
        <is>
          <t>2018</t>
        </is>
      </c>
      <c r="G5978" s="40" t="n">
        <v>29022443.65</v>
      </c>
    </row>
    <row r="5979" ht="12" customHeight="1">
      <c r="A5979" s="30" t="inlineStr">
        <is>
          <t>ITG</t>
        </is>
      </c>
      <c r="B5979" s="30" t="inlineStr">
        <is>
          <t>Itaguai</t>
        </is>
      </c>
      <c r="C5979" s="30" t="n">
        <v>79269085</v>
      </c>
      <c r="D5979" s="30">
        <f>"01625195001108"</f>
        <v/>
      </c>
      <c r="E5979" s="30" t="inlineStr">
        <is>
          <t>SCS COMERCIAL E SERVICOS QUIMICOS LTDA</t>
        </is>
      </c>
      <c r="F5979" s="30" t="inlineStr">
        <is>
          <t>2019</t>
        </is>
      </c>
      <c r="G5979" s="40" t="n">
        <v>49528081.9</v>
      </c>
    </row>
    <row r="5980" ht="12" customHeight="1">
      <c r="A5980" s="30" t="inlineStr">
        <is>
          <t>ITG</t>
        </is>
      </c>
      <c r="B5980" s="30" t="inlineStr">
        <is>
          <t>Itaguai</t>
        </is>
      </c>
      <c r="C5980" s="30" t="n">
        <v>79269085</v>
      </c>
      <c r="D5980" s="30">
        <f>"01625195001108"</f>
        <v/>
      </c>
      <c r="E5980" s="30" t="inlineStr">
        <is>
          <t>SCS COMERCIAL E SERVICOS QUIMICOS LTDA</t>
        </is>
      </c>
      <c r="F5980" s="30" t="inlineStr">
        <is>
          <t>2020</t>
        </is>
      </c>
      <c r="G5980" s="40" t="n">
        <v>36846145.7</v>
      </c>
    </row>
    <row r="5981" ht="12" customHeight="1">
      <c r="A5981" s="30" t="inlineStr">
        <is>
          <t>ITG</t>
        </is>
      </c>
      <c r="B5981" s="30" t="inlineStr">
        <is>
          <t>Itaguai</t>
        </is>
      </c>
      <c r="C5981" s="30" t="n">
        <v>79269085</v>
      </c>
      <c r="D5981" s="30">
        <f>"01625195001108"</f>
        <v/>
      </c>
      <c r="E5981" s="30" t="inlineStr">
        <is>
          <t>SCS COMERCIAL E SERVICOS QUIMICOS LTDA</t>
        </is>
      </c>
      <c r="F5981" s="30" t="inlineStr">
        <is>
          <t>2021</t>
        </is>
      </c>
      <c r="G5981" s="40" t="n">
        <v>44154898.59</v>
      </c>
    </row>
    <row r="5982" ht="12" customHeight="1">
      <c r="A5982" s="30" t="inlineStr">
        <is>
          <t>ITG</t>
        </is>
      </c>
      <c r="B5982" s="30" t="inlineStr">
        <is>
          <t>Itaguai</t>
        </is>
      </c>
      <c r="C5982" s="30" t="n">
        <v>79269085</v>
      </c>
      <c r="D5982" s="30">
        <f>"01625195001108"</f>
        <v/>
      </c>
      <c r="E5982" s="30" t="inlineStr">
        <is>
          <t>SCS COMERCIAL E SERVICOS QUIMICOS LTDA</t>
        </is>
      </c>
      <c r="F5982" s="30" t="inlineStr">
        <is>
          <t>2022</t>
        </is>
      </c>
      <c r="G5982" s="40" t="n">
        <v>17734706.56</v>
      </c>
    </row>
    <row r="5983" ht="12" customHeight="1">
      <c r="A5983" s="30" t="inlineStr">
        <is>
          <t>ITG</t>
        </is>
      </c>
      <c r="B5983" s="30" t="inlineStr">
        <is>
          <t>Itaguai</t>
        </is>
      </c>
      <c r="C5983" s="30" t="n">
        <v>79269085</v>
      </c>
      <c r="D5983" s="30">
        <f>"01625195001108"</f>
        <v/>
      </c>
      <c r="E5983" s="30" t="inlineStr">
        <is>
          <t>SCS COMERCIAL E SERVICOS QUIMICOS LTDA</t>
        </is>
      </c>
      <c r="F5983" s="30" t="inlineStr">
        <is>
          <t>2023</t>
        </is>
      </c>
      <c r="G5983" s="40" t="n">
        <v>0</v>
      </c>
    </row>
    <row r="5984" ht="12" customHeight="1">
      <c r="A5984" s="30" t="inlineStr">
        <is>
          <t>ITG</t>
        </is>
      </c>
      <c r="B5984" s="30" t="inlineStr">
        <is>
          <t>Itaguai</t>
        </is>
      </c>
      <c r="C5984" s="30" t="n">
        <v>79273945</v>
      </c>
      <c r="D5984" s="30">
        <f>"49871213001583"</f>
        <v/>
      </c>
      <c r="E5984" s="30" t="inlineStr">
        <is>
          <t>IC TRANSPORTES LTDA</t>
        </is>
      </c>
      <c r="F5984" s="30" t="inlineStr">
        <is>
          <t>2017</t>
        </is>
      </c>
      <c r="G5984" s="40" t="n">
        <v>0</v>
      </c>
    </row>
    <row r="5985" ht="12" customHeight="1">
      <c r="A5985" s="30" t="inlineStr">
        <is>
          <t>ITG</t>
        </is>
      </c>
      <c r="B5985" s="30" t="inlineStr">
        <is>
          <t>Itaguai</t>
        </is>
      </c>
      <c r="C5985" s="30" t="n">
        <v>79273945</v>
      </c>
      <c r="D5985" s="30">
        <f>"49871213001583"</f>
        <v/>
      </c>
      <c r="E5985" s="30" t="inlineStr">
        <is>
          <t>IC TRANSPORTES LTDA</t>
        </is>
      </c>
      <c r="F5985" s="30" t="inlineStr">
        <is>
          <t>2018</t>
        </is>
      </c>
      <c r="G5985" s="40" t="n">
        <v>0</v>
      </c>
    </row>
    <row r="5986" ht="12" customHeight="1">
      <c r="A5986" s="30" t="inlineStr">
        <is>
          <t>ITG</t>
        </is>
      </c>
      <c r="B5986" s="30" t="inlineStr">
        <is>
          <t>Itaguai</t>
        </is>
      </c>
      <c r="C5986" s="30" t="n">
        <v>79273945</v>
      </c>
      <c r="D5986" s="30">
        <f>"49871213001583"</f>
        <v/>
      </c>
      <c r="E5986" s="30" t="inlineStr">
        <is>
          <t>IC TRANSPORTES LTDA</t>
        </is>
      </c>
      <c r="F5986" s="30" t="inlineStr">
        <is>
          <t>2019</t>
        </is>
      </c>
      <c r="G5986" s="40" t="n">
        <v>0</v>
      </c>
    </row>
    <row r="5987" ht="12" customHeight="1">
      <c r="A5987" s="30" t="inlineStr">
        <is>
          <t>ITG</t>
        </is>
      </c>
      <c r="B5987" s="30" t="inlineStr">
        <is>
          <t>Itaguai</t>
        </is>
      </c>
      <c r="C5987" s="30" t="n">
        <v>79273945</v>
      </c>
      <c r="D5987" s="30">
        <f>"49871213001583"</f>
        <v/>
      </c>
      <c r="E5987" s="30" t="inlineStr">
        <is>
          <t>IC TRANSPORTES LTDA</t>
        </is>
      </c>
      <c r="F5987" s="30" t="inlineStr">
        <is>
          <t>2020</t>
        </is>
      </c>
      <c r="G5987" s="40" t="n">
        <v>0</v>
      </c>
    </row>
    <row r="5988" ht="12" customHeight="1">
      <c r="A5988" s="30" t="inlineStr">
        <is>
          <t>ITG</t>
        </is>
      </c>
      <c r="B5988" s="30" t="inlineStr">
        <is>
          <t>Itaguai</t>
        </is>
      </c>
      <c r="C5988" s="30" t="n">
        <v>79273945</v>
      </c>
      <c r="D5988" s="30">
        <f>"49871213001583"</f>
        <v/>
      </c>
      <c r="E5988" s="30" t="inlineStr">
        <is>
          <t>IC TRANSPORTES LTDA</t>
        </is>
      </c>
      <c r="F5988" s="30" t="inlineStr">
        <is>
          <t>2021</t>
        </is>
      </c>
      <c r="G5988" s="40" t="n">
        <v>0</v>
      </c>
    </row>
    <row r="5989" ht="12" customHeight="1">
      <c r="A5989" s="30" t="inlineStr">
        <is>
          <t>ITG</t>
        </is>
      </c>
      <c r="B5989" s="30" t="inlineStr">
        <is>
          <t>Itaguai</t>
        </is>
      </c>
      <c r="C5989" s="30" t="n">
        <v>79273945</v>
      </c>
      <c r="D5989" s="30">
        <f>"49871213001583"</f>
        <v/>
      </c>
      <c r="E5989" s="30" t="inlineStr">
        <is>
          <t>IC TRANSPORTES LTDA</t>
        </is>
      </c>
      <c r="F5989" s="30" t="inlineStr">
        <is>
          <t>2022</t>
        </is>
      </c>
      <c r="G5989" s="40" t="n">
        <v>0</v>
      </c>
    </row>
    <row r="5990" ht="12" customHeight="1">
      <c r="A5990" s="30" t="inlineStr">
        <is>
          <t>ITG</t>
        </is>
      </c>
      <c r="B5990" s="30" t="inlineStr">
        <is>
          <t>Itaguai</t>
        </is>
      </c>
      <c r="C5990" s="30" t="n">
        <v>79273945</v>
      </c>
      <c r="D5990" s="30">
        <f>"49871213001583"</f>
        <v/>
      </c>
      <c r="E5990" s="30" t="inlineStr">
        <is>
          <t>IC TRANSPORTES LTDA</t>
        </is>
      </c>
      <c r="F5990" s="30" t="inlineStr">
        <is>
          <t>2023</t>
        </is>
      </c>
      <c r="G5990" s="40" t="n">
        <v>0</v>
      </c>
    </row>
    <row r="5991" ht="12" customHeight="1">
      <c r="A5991" s="30" t="inlineStr">
        <is>
          <t>ITG</t>
        </is>
      </c>
      <c r="B5991" s="30" t="inlineStr">
        <is>
          <t>Itaguai</t>
        </is>
      </c>
      <c r="C5991" s="30" t="n">
        <v>79280313</v>
      </c>
      <c r="D5991" s="30">
        <f>"12892994000187"</f>
        <v/>
      </c>
      <c r="E5991" s="30" t="inlineStr">
        <is>
          <t>RECICLE RECICLAGEM E COLETA LTDA</t>
        </is>
      </c>
      <c r="F5991" s="30" t="inlineStr">
        <is>
          <t>2020</t>
        </is>
      </c>
      <c r="G5991" s="40" t="n">
        <v>0</v>
      </c>
    </row>
    <row r="5992" ht="12" customHeight="1">
      <c r="A5992" s="30" t="inlineStr">
        <is>
          <t>ITG</t>
        </is>
      </c>
      <c r="B5992" s="30" t="inlineStr">
        <is>
          <t>Itaguai</t>
        </is>
      </c>
      <c r="C5992" s="30" t="n">
        <v>79280313</v>
      </c>
      <c r="D5992" s="30">
        <f>"12892994000187"</f>
        <v/>
      </c>
      <c r="E5992" s="30" t="inlineStr">
        <is>
          <t>RECICLE RECICLAGEM E COLETA LTDA</t>
        </is>
      </c>
      <c r="F5992" s="30" t="inlineStr">
        <is>
          <t>2021</t>
        </is>
      </c>
      <c r="G5992" s="40" t="n">
        <v>0</v>
      </c>
    </row>
    <row r="5993" ht="12" customHeight="1">
      <c r="A5993" s="30" t="inlineStr">
        <is>
          <t>ITG</t>
        </is>
      </c>
      <c r="B5993" s="30" t="inlineStr">
        <is>
          <t>Itaguai</t>
        </is>
      </c>
      <c r="C5993" s="30" t="n">
        <v>79280313</v>
      </c>
      <c r="D5993" s="30">
        <f>"12892994000187"</f>
        <v/>
      </c>
      <c r="E5993" s="30" t="inlineStr">
        <is>
          <t>RECICLE RECICLAGEM E COLETA LTDA</t>
        </is>
      </c>
      <c r="F5993" s="30" t="inlineStr">
        <is>
          <t>2022</t>
        </is>
      </c>
      <c r="G5993" s="40" t="n">
        <v>0</v>
      </c>
    </row>
    <row r="5994" ht="12" customHeight="1">
      <c r="A5994" s="30" t="inlineStr">
        <is>
          <t>ITG</t>
        </is>
      </c>
      <c r="B5994" s="30" t="inlineStr">
        <is>
          <t>Itaguai</t>
        </is>
      </c>
      <c r="C5994" s="30" t="n">
        <v>79280313</v>
      </c>
      <c r="D5994" s="30">
        <f>"12892994000187"</f>
        <v/>
      </c>
      <c r="E5994" s="30" t="inlineStr">
        <is>
          <t>RECICLE RECICLAGEM E COLETA LTDA</t>
        </is>
      </c>
      <c r="F5994" s="30" t="inlineStr">
        <is>
          <t>2023</t>
        </is>
      </c>
      <c r="G5994" s="40" t="n">
        <v>0</v>
      </c>
    </row>
    <row r="5995" ht="12" customHeight="1">
      <c r="A5995" s="30" t="inlineStr">
        <is>
          <t>ITG</t>
        </is>
      </c>
      <c r="B5995" s="30" t="inlineStr">
        <is>
          <t>Itaguai</t>
        </is>
      </c>
      <c r="C5995" s="30" t="n">
        <v>79280410</v>
      </c>
      <c r="D5995" s="30">
        <f>"12881139000170"</f>
        <v/>
      </c>
      <c r="E5995" s="30" t="inlineStr">
        <is>
          <t>PADARIA E CONFEITARIA NOVA BRISA MAR LTDA ME</t>
        </is>
      </c>
      <c r="F5995" s="30" t="inlineStr">
        <is>
          <t>2017</t>
        </is>
      </c>
      <c r="G5995" s="40" t="n">
        <v>0</v>
      </c>
    </row>
    <row r="5996" ht="12" customHeight="1">
      <c r="A5996" s="30" t="inlineStr">
        <is>
          <t>ITG</t>
        </is>
      </c>
      <c r="B5996" s="30" t="inlineStr">
        <is>
          <t>Itaguai</t>
        </is>
      </c>
      <c r="C5996" s="30" t="n">
        <v>79280410</v>
      </c>
      <c r="D5996" s="30">
        <f>"12881139000170"</f>
        <v/>
      </c>
      <c r="E5996" s="30" t="inlineStr">
        <is>
          <t>PADARIA E CONFEITARIA NOVA BRISA MAR LTDA ME</t>
        </is>
      </c>
      <c r="F5996" s="30" t="inlineStr">
        <is>
          <t>2018</t>
        </is>
      </c>
      <c r="G5996" s="40" t="n">
        <v>0</v>
      </c>
    </row>
    <row r="5997" ht="12" customHeight="1">
      <c r="A5997" s="30" t="inlineStr">
        <is>
          <t>ITG</t>
        </is>
      </c>
      <c r="B5997" s="30" t="inlineStr">
        <is>
          <t>Itaguai</t>
        </is>
      </c>
      <c r="C5997" s="30" t="n">
        <v>79280410</v>
      </c>
      <c r="D5997" s="30">
        <f>"12881139000170"</f>
        <v/>
      </c>
      <c r="E5997" s="30" t="inlineStr">
        <is>
          <t>PADARIA E CONFEITARIA NOVA BRISA MAR LTDA ME</t>
        </is>
      </c>
      <c r="F5997" s="30" t="inlineStr">
        <is>
          <t>2019</t>
        </is>
      </c>
      <c r="G5997" s="40" t="n">
        <v>0</v>
      </c>
    </row>
    <row r="5998" ht="12" customHeight="1">
      <c r="A5998" s="30" t="inlineStr">
        <is>
          <t>ITG</t>
        </is>
      </c>
      <c r="B5998" s="30" t="inlineStr">
        <is>
          <t>Itaguai</t>
        </is>
      </c>
      <c r="C5998" s="30" t="n">
        <v>79280410</v>
      </c>
      <c r="D5998" s="30">
        <f>"12881139000170"</f>
        <v/>
      </c>
      <c r="E5998" s="30" t="inlineStr">
        <is>
          <t>PADARIA E CONFEITARIA NOVA BRISA MAR LTDA ME</t>
        </is>
      </c>
      <c r="F5998" s="30" t="inlineStr">
        <is>
          <t>2020</t>
        </is>
      </c>
      <c r="G5998" s="40" t="n">
        <v>0</v>
      </c>
    </row>
    <row r="5999" ht="12" customHeight="1">
      <c r="A5999" s="30" t="inlineStr">
        <is>
          <t>ITG</t>
        </is>
      </c>
      <c r="B5999" s="30" t="inlineStr">
        <is>
          <t>Itaguai</t>
        </is>
      </c>
      <c r="C5999" s="30" t="n">
        <v>79280410</v>
      </c>
      <c r="D5999" s="30">
        <f>"12881139000170"</f>
        <v/>
      </c>
      <c r="E5999" s="30" t="inlineStr">
        <is>
          <t>PADARIA E CONFEITARIA NOVA BRISA MAR LTDA ME</t>
        </is>
      </c>
      <c r="F5999" s="30" t="inlineStr">
        <is>
          <t>2021</t>
        </is>
      </c>
      <c r="G5999" s="40" t="n">
        <v>0</v>
      </c>
    </row>
    <row r="6000" ht="12" customHeight="1">
      <c r="A6000" s="30" t="inlineStr">
        <is>
          <t>ITG</t>
        </is>
      </c>
      <c r="B6000" s="30" t="inlineStr">
        <is>
          <t>Itaguai</t>
        </is>
      </c>
      <c r="C6000" s="30" t="n">
        <v>79282898</v>
      </c>
      <c r="D6000" s="30">
        <f>"13146095000106"</f>
        <v/>
      </c>
      <c r="E6000" s="30" t="inlineStr">
        <is>
          <t>AUTO POSTO JMX LTDA - ME</t>
        </is>
      </c>
      <c r="F6000" s="30" t="inlineStr">
        <is>
          <t>2017</t>
        </is>
      </c>
      <c r="G6000" s="40" t="n">
        <v>506602.46</v>
      </c>
    </row>
    <row r="6001" ht="12" customHeight="1">
      <c r="A6001" s="30" t="inlineStr">
        <is>
          <t>ITG</t>
        </is>
      </c>
      <c r="B6001" s="30" t="inlineStr">
        <is>
          <t>Itaguai</t>
        </is>
      </c>
      <c r="C6001" s="30" t="n">
        <v>79282898</v>
      </c>
      <c r="D6001" s="30">
        <f>"13146095000106"</f>
        <v/>
      </c>
      <c r="E6001" s="30" t="inlineStr">
        <is>
          <t>AUTO POSTO JMX LTDA - ME</t>
        </is>
      </c>
      <c r="F6001" s="30" t="inlineStr">
        <is>
          <t>2018</t>
        </is>
      </c>
      <c r="G6001" s="40" t="n">
        <v>2246228.73</v>
      </c>
    </row>
    <row r="6002" ht="12" customHeight="1">
      <c r="A6002" s="30" t="inlineStr">
        <is>
          <t>ITG</t>
        </is>
      </c>
      <c r="B6002" s="30" t="inlineStr">
        <is>
          <t>Itaguai</t>
        </is>
      </c>
      <c r="C6002" s="30" t="n">
        <v>79282898</v>
      </c>
      <c r="D6002" s="30">
        <f>"13146095000106"</f>
        <v/>
      </c>
      <c r="E6002" s="30" t="inlineStr">
        <is>
          <t>AUTO POSTO JMX LTDA - ME</t>
        </is>
      </c>
      <c r="F6002" s="30" t="inlineStr">
        <is>
          <t>2019</t>
        </is>
      </c>
      <c r="G6002" s="40" t="n">
        <v>32677.1</v>
      </c>
    </row>
    <row r="6003" ht="12" customHeight="1">
      <c r="A6003" s="30" t="inlineStr">
        <is>
          <t>ITG</t>
        </is>
      </c>
      <c r="B6003" s="30" t="inlineStr">
        <is>
          <t>Itaguai</t>
        </is>
      </c>
      <c r="C6003" s="30" t="n">
        <v>79282898</v>
      </c>
      <c r="D6003" s="30">
        <f>"13146095000106"</f>
        <v/>
      </c>
      <c r="E6003" s="30" t="inlineStr">
        <is>
          <t>AUTO POSTO JMX LTDA - ME</t>
        </is>
      </c>
      <c r="F6003" s="30" t="inlineStr">
        <is>
          <t>2020</t>
        </is>
      </c>
      <c r="G6003" s="40" t="n">
        <v>89936.39</v>
      </c>
    </row>
    <row r="6004" ht="12" customHeight="1">
      <c r="A6004" s="30" t="inlineStr">
        <is>
          <t>ITG</t>
        </is>
      </c>
      <c r="B6004" s="30" t="inlineStr">
        <is>
          <t>Itaguai</t>
        </is>
      </c>
      <c r="C6004" s="30" t="n">
        <v>79282898</v>
      </c>
      <c r="D6004" s="30">
        <f>"13146095000106"</f>
        <v/>
      </c>
      <c r="E6004" s="30" t="inlineStr">
        <is>
          <t>AUTO POSTO JMX LTDA - ME</t>
        </is>
      </c>
      <c r="F6004" s="30" t="inlineStr">
        <is>
          <t>2021</t>
        </is>
      </c>
      <c r="G6004" s="40" t="n">
        <v>0</v>
      </c>
    </row>
    <row r="6005" ht="12" customHeight="1">
      <c r="A6005" s="30" t="inlineStr">
        <is>
          <t>ITG</t>
        </is>
      </c>
      <c r="B6005" s="30" t="inlineStr">
        <is>
          <t>Itaguai</t>
        </is>
      </c>
      <c r="C6005" s="30" t="n">
        <v>79282898</v>
      </c>
      <c r="D6005" s="30">
        <f>"13146095000106"</f>
        <v/>
      </c>
      <c r="E6005" s="30" t="inlineStr">
        <is>
          <t>AUTO POSTO JMX LTDA - ME</t>
        </is>
      </c>
      <c r="F6005" s="30" t="inlineStr">
        <is>
          <t>2022</t>
        </is>
      </c>
      <c r="G6005" s="40" t="n">
        <v>0</v>
      </c>
    </row>
    <row r="6006" ht="12" customHeight="1">
      <c r="A6006" s="30" t="inlineStr">
        <is>
          <t>ITG</t>
        </is>
      </c>
      <c r="B6006" s="30" t="inlineStr">
        <is>
          <t>Itaguai</t>
        </is>
      </c>
      <c r="C6006" s="30" t="n">
        <v>79282898</v>
      </c>
      <c r="D6006" s="30">
        <f>"13146095000106"</f>
        <v/>
      </c>
      <c r="E6006" s="30" t="inlineStr">
        <is>
          <t>AUTO POSTO JMX LTDA - ME</t>
        </is>
      </c>
      <c r="F6006" s="30" t="inlineStr">
        <is>
          <t>2023</t>
        </is>
      </c>
      <c r="G6006" s="40" t="n">
        <v>0</v>
      </c>
    </row>
    <row r="6007" ht="12" customHeight="1">
      <c r="A6007" s="30" t="inlineStr">
        <is>
          <t>ITG</t>
        </is>
      </c>
      <c r="B6007" s="30" t="inlineStr">
        <is>
          <t>Itaguai</t>
        </is>
      </c>
      <c r="C6007" s="30" t="n">
        <v>79292109</v>
      </c>
      <c r="D6007" s="30">
        <f>"11047649000265"</f>
        <v/>
      </c>
      <c r="E6007" s="30" t="inlineStr">
        <is>
          <t>VIACAO CAICARA LTDA</t>
        </is>
      </c>
      <c r="F6007" s="30" t="inlineStr">
        <is>
          <t>2017</t>
        </is>
      </c>
      <c r="G6007" s="40" t="n">
        <v>105598.82</v>
      </c>
    </row>
    <row r="6008" ht="12" customHeight="1">
      <c r="A6008" s="30" t="inlineStr">
        <is>
          <t>ITG</t>
        </is>
      </c>
      <c r="B6008" s="30" t="inlineStr">
        <is>
          <t>Itaguai</t>
        </is>
      </c>
      <c r="C6008" s="30" t="n">
        <v>79292109</v>
      </c>
      <c r="D6008" s="30">
        <f>"11047649000265"</f>
        <v/>
      </c>
      <c r="E6008" s="30" t="inlineStr">
        <is>
          <t>VIACAO CAICARA LTDA</t>
        </is>
      </c>
      <c r="F6008" s="30" t="inlineStr">
        <is>
          <t>2018</t>
        </is>
      </c>
      <c r="G6008" s="40" t="n">
        <v>131994.92</v>
      </c>
    </row>
    <row r="6009" ht="12" customHeight="1">
      <c r="A6009" s="30" t="inlineStr">
        <is>
          <t>ITG</t>
        </is>
      </c>
      <c r="B6009" s="30" t="inlineStr">
        <is>
          <t>Itaguai</t>
        </is>
      </c>
      <c r="C6009" s="30" t="n">
        <v>79292109</v>
      </c>
      <c r="D6009" s="30">
        <f>"11047649000265"</f>
        <v/>
      </c>
      <c r="E6009" s="30" t="inlineStr">
        <is>
          <t>VIACAO CAICARA LTDA</t>
        </is>
      </c>
      <c r="F6009" s="30" t="inlineStr">
        <is>
          <t>2019</t>
        </is>
      </c>
      <c r="G6009" s="40" t="n">
        <v>232988.74</v>
      </c>
    </row>
    <row r="6010" ht="12" customHeight="1">
      <c r="A6010" s="30" t="inlineStr">
        <is>
          <t>ITG</t>
        </is>
      </c>
      <c r="B6010" s="30" t="inlineStr">
        <is>
          <t>Itaguai</t>
        </is>
      </c>
      <c r="C6010" s="30" t="n">
        <v>79292109</v>
      </c>
      <c r="D6010" s="30">
        <f>"11047649000265"</f>
        <v/>
      </c>
      <c r="E6010" s="30" t="inlineStr">
        <is>
          <t>VIACAO CAICARA LTDA</t>
        </is>
      </c>
      <c r="F6010" s="30" t="inlineStr">
        <is>
          <t>2020</t>
        </is>
      </c>
      <c r="G6010" s="40" t="n">
        <v>122555.28</v>
      </c>
    </row>
    <row r="6011" ht="12" customHeight="1">
      <c r="A6011" s="30" t="inlineStr">
        <is>
          <t>ITG</t>
        </is>
      </c>
      <c r="B6011" s="30" t="inlineStr">
        <is>
          <t>Itaguai</t>
        </is>
      </c>
      <c r="C6011" s="30" t="n">
        <v>79292109</v>
      </c>
      <c r="D6011" s="30">
        <f>"11047649000265"</f>
        <v/>
      </c>
      <c r="E6011" s="30" t="inlineStr">
        <is>
          <t>VIACAO CAICARA LTDA</t>
        </is>
      </c>
      <c r="F6011" s="30" t="inlineStr">
        <is>
          <t>2021</t>
        </is>
      </c>
      <c r="G6011" s="40" t="n">
        <v>0</v>
      </c>
    </row>
    <row r="6012" ht="12" customHeight="1">
      <c r="A6012" s="30" t="inlineStr">
        <is>
          <t>ITG</t>
        </is>
      </c>
      <c r="B6012" s="30" t="inlineStr">
        <is>
          <t>Itaguai</t>
        </is>
      </c>
      <c r="C6012" s="30" t="n">
        <v>79292109</v>
      </c>
      <c r="D6012" s="30">
        <f>"11047649000265"</f>
        <v/>
      </c>
      <c r="E6012" s="30" t="inlineStr">
        <is>
          <t>VIACAO CAICARA LTDA</t>
        </is>
      </c>
      <c r="F6012" s="30" t="inlineStr">
        <is>
          <t>2022</t>
        </is>
      </c>
      <c r="G6012" s="40" t="n">
        <v>0</v>
      </c>
    </row>
    <row r="6013" ht="12" customHeight="1">
      <c r="A6013" s="30" t="inlineStr">
        <is>
          <t>ITG</t>
        </is>
      </c>
      <c r="B6013" s="30" t="inlineStr">
        <is>
          <t>Itaguai</t>
        </is>
      </c>
      <c r="C6013" s="30" t="n">
        <v>79299294</v>
      </c>
      <c r="D6013" s="30">
        <f>"13203242000124"</f>
        <v/>
      </c>
      <c r="E6013" s="30" t="inlineStr">
        <is>
          <t>TATI RESTAURANTE E LANCHONETE LTDA - ME</t>
        </is>
      </c>
      <c r="F6013" s="30" t="inlineStr">
        <is>
          <t>2017</t>
        </is>
      </c>
      <c r="G6013" s="40" t="n">
        <v>715328.28</v>
      </c>
    </row>
    <row r="6014" ht="12" customHeight="1">
      <c r="A6014" s="30" t="inlineStr">
        <is>
          <t>ITG</t>
        </is>
      </c>
      <c r="B6014" s="30" t="inlineStr">
        <is>
          <t>Itaguai</t>
        </is>
      </c>
      <c r="C6014" s="30" t="n">
        <v>79299294</v>
      </c>
      <c r="D6014" s="30">
        <f>"13203242000124"</f>
        <v/>
      </c>
      <c r="E6014" s="30" t="inlineStr">
        <is>
          <t>TATI RESTAURANTE E LANCHONETE LTDA - ME</t>
        </is>
      </c>
      <c r="F6014" s="30" t="inlineStr">
        <is>
          <t>2018</t>
        </is>
      </c>
      <c r="G6014" s="40" t="n">
        <v>8135450.32</v>
      </c>
    </row>
    <row r="6015" ht="12" customHeight="1">
      <c r="A6015" s="30" t="inlineStr">
        <is>
          <t>ITG</t>
        </is>
      </c>
      <c r="B6015" s="30" t="inlineStr">
        <is>
          <t>Itaguai</t>
        </is>
      </c>
      <c r="C6015" s="30" t="n">
        <v>79299294</v>
      </c>
      <c r="D6015" s="30">
        <f>"13203242000124"</f>
        <v/>
      </c>
      <c r="E6015" s="30" t="inlineStr">
        <is>
          <t>TATI RESTAURANTE E LANCHONETE LTDA - ME</t>
        </is>
      </c>
      <c r="F6015" s="30" t="inlineStr">
        <is>
          <t>2019</t>
        </is>
      </c>
      <c r="G6015" s="40" t="n">
        <v>4951124.03</v>
      </c>
    </row>
    <row r="6016" ht="12" customHeight="1">
      <c r="A6016" s="30" t="inlineStr">
        <is>
          <t>ITG</t>
        </is>
      </c>
      <c r="B6016" s="30" t="inlineStr">
        <is>
          <t>Itaguai</t>
        </is>
      </c>
      <c r="C6016" s="30" t="n">
        <v>79299294</v>
      </c>
      <c r="D6016" s="30">
        <f>"13203242000124"</f>
        <v/>
      </c>
      <c r="E6016" s="30" t="inlineStr">
        <is>
          <t>TATI RESTAURANTE E LANCHONETE LTDA - ME</t>
        </is>
      </c>
      <c r="F6016" s="30" t="inlineStr">
        <is>
          <t>2020</t>
        </is>
      </c>
      <c r="G6016" s="40" t="n">
        <v>0</v>
      </c>
    </row>
    <row r="6017" ht="12" customHeight="1">
      <c r="A6017" s="30" t="inlineStr">
        <is>
          <t>ITG</t>
        </is>
      </c>
      <c r="B6017" s="30" t="inlineStr">
        <is>
          <t>Itaguai</t>
        </is>
      </c>
      <c r="C6017" s="30" t="n">
        <v>79299294</v>
      </c>
      <c r="D6017" s="30">
        <f>"13203242000124"</f>
        <v/>
      </c>
      <c r="E6017" s="30" t="inlineStr">
        <is>
          <t>TATI RESTAURANTE E LANCHONETE LTDA - ME</t>
        </is>
      </c>
      <c r="F6017" s="30" t="inlineStr">
        <is>
          <t>2021</t>
        </is>
      </c>
      <c r="G6017" s="40" t="n">
        <v>0</v>
      </c>
    </row>
    <row r="6018" ht="12" customHeight="1">
      <c r="A6018" s="30" t="inlineStr">
        <is>
          <t>ITG</t>
        </is>
      </c>
      <c r="B6018" s="30" t="inlineStr">
        <is>
          <t>Itaguai</t>
        </is>
      </c>
      <c r="C6018" s="30" t="n">
        <v>79310166</v>
      </c>
      <c r="D6018" s="30">
        <f>"13203282000176"</f>
        <v/>
      </c>
      <c r="E6018" s="30" t="inlineStr">
        <is>
          <t>EMPORIO DO DOM LTDA ME</t>
        </is>
      </c>
      <c r="F6018" s="30" t="inlineStr">
        <is>
          <t>2017</t>
        </is>
      </c>
      <c r="G6018" s="40" t="n">
        <v>0</v>
      </c>
    </row>
    <row r="6019" ht="12" customHeight="1">
      <c r="A6019" s="30" t="inlineStr">
        <is>
          <t>ITG</t>
        </is>
      </c>
      <c r="B6019" s="30" t="inlineStr">
        <is>
          <t>Itaguai</t>
        </is>
      </c>
      <c r="C6019" s="30" t="n">
        <v>79310166</v>
      </c>
      <c r="D6019" s="30">
        <f>"13203282000176"</f>
        <v/>
      </c>
      <c r="E6019" s="30" t="inlineStr">
        <is>
          <t>EMPORIO DO DOM LTDA ME</t>
        </is>
      </c>
      <c r="F6019" s="30" t="inlineStr">
        <is>
          <t>2018</t>
        </is>
      </c>
      <c r="G6019" s="40" t="n">
        <v>0</v>
      </c>
    </row>
    <row r="6020" ht="12" customHeight="1">
      <c r="A6020" s="30" t="inlineStr">
        <is>
          <t>ITG</t>
        </is>
      </c>
      <c r="B6020" s="30" t="inlineStr">
        <is>
          <t>Itaguai</t>
        </is>
      </c>
      <c r="C6020" s="30" t="n">
        <v>79310166</v>
      </c>
      <c r="D6020" s="30">
        <f>"13203282000176"</f>
        <v/>
      </c>
      <c r="E6020" s="30" t="inlineStr">
        <is>
          <t>EMPORIO DO DOM LTDA ME</t>
        </is>
      </c>
      <c r="F6020" s="30" t="inlineStr">
        <is>
          <t>2019</t>
        </is>
      </c>
      <c r="G6020" s="40" t="n">
        <v>0</v>
      </c>
    </row>
    <row r="6021" ht="12" customHeight="1">
      <c r="A6021" s="30" t="inlineStr">
        <is>
          <t>ITG</t>
        </is>
      </c>
      <c r="B6021" s="30" t="inlineStr">
        <is>
          <t>Itaguai</t>
        </is>
      </c>
      <c r="C6021" s="30" t="n">
        <v>79310166</v>
      </c>
      <c r="D6021" s="30">
        <f>"13203282000176"</f>
        <v/>
      </c>
      <c r="E6021" s="30" t="inlineStr">
        <is>
          <t>EMPORIO DO DOM LTDA ME</t>
        </is>
      </c>
      <c r="F6021" s="30" t="inlineStr">
        <is>
          <t>2020</t>
        </is>
      </c>
      <c r="G6021" s="40" t="n">
        <v>0</v>
      </c>
    </row>
    <row r="6022" ht="12" customHeight="1">
      <c r="A6022" s="30" t="inlineStr">
        <is>
          <t>ITG</t>
        </is>
      </c>
      <c r="B6022" s="30" t="inlineStr">
        <is>
          <t>Itaguai</t>
        </is>
      </c>
      <c r="C6022" s="30" t="n">
        <v>79310166</v>
      </c>
      <c r="D6022" s="30">
        <f>"13203282000176"</f>
        <v/>
      </c>
      <c r="E6022" s="30" t="inlineStr">
        <is>
          <t>EMPORIO DO DOM LTDA ME</t>
        </is>
      </c>
      <c r="F6022" s="30" t="inlineStr">
        <is>
          <t>2021</t>
        </is>
      </c>
      <c r="G6022" s="40" t="n">
        <v>0</v>
      </c>
    </row>
    <row r="6023" ht="12" customHeight="1">
      <c r="A6023" s="30" t="inlineStr">
        <is>
          <t>ITG</t>
        </is>
      </c>
      <c r="B6023" s="30" t="inlineStr">
        <is>
          <t>Itaguai</t>
        </is>
      </c>
      <c r="C6023" s="30" t="n">
        <v>79310700</v>
      </c>
      <c r="D6023" s="30">
        <f>"05055714000110"</f>
        <v/>
      </c>
      <c r="E6023" s="30" t="inlineStr">
        <is>
          <t>MARVIN - TRANSPORTES E LOCACAO DE MAQUINAS LTDA</t>
        </is>
      </c>
      <c r="F6023" s="30" t="inlineStr">
        <is>
          <t>2018</t>
        </is>
      </c>
      <c r="G6023" s="40" t="n">
        <v>0</v>
      </c>
    </row>
    <row r="6024" ht="12" customHeight="1">
      <c r="A6024" s="30" t="inlineStr">
        <is>
          <t>ITG</t>
        </is>
      </c>
      <c r="B6024" s="30" t="inlineStr">
        <is>
          <t>Itaguai</t>
        </is>
      </c>
      <c r="C6024" s="30" t="n">
        <v>79310700</v>
      </c>
      <c r="D6024" s="30">
        <f>"05055714000110"</f>
        <v/>
      </c>
      <c r="E6024" s="30" t="inlineStr">
        <is>
          <t>MARVIN - TRANSPORTES E LOCACAO DE MAQUINAS LTDA</t>
        </is>
      </c>
      <c r="F6024" s="30" t="inlineStr">
        <is>
          <t>2019</t>
        </is>
      </c>
      <c r="G6024" s="40" t="n">
        <v>0</v>
      </c>
    </row>
    <row r="6025" ht="12" customHeight="1">
      <c r="A6025" s="30" t="inlineStr">
        <is>
          <t>ITG</t>
        </is>
      </c>
      <c r="B6025" s="30" t="inlineStr">
        <is>
          <t>Itaguai</t>
        </is>
      </c>
      <c r="C6025" s="30" t="n">
        <v>79310700</v>
      </c>
      <c r="D6025" s="30">
        <f>"05055714000110"</f>
        <v/>
      </c>
      <c r="E6025" s="30" t="inlineStr">
        <is>
          <t>MARVIN - TRANSPORTES E LOCACAO DE MAQUINAS LTDA</t>
        </is>
      </c>
      <c r="F6025" s="30" t="inlineStr">
        <is>
          <t>2020</t>
        </is>
      </c>
      <c r="G6025" s="40" t="n">
        <v>77368.69</v>
      </c>
    </row>
    <row r="6026" ht="12" customHeight="1">
      <c r="A6026" s="30" t="inlineStr">
        <is>
          <t>ITG</t>
        </is>
      </c>
      <c r="B6026" s="30" t="inlineStr">
        <is>
          <t>Itaguai</t>
        </is>
      </c>
      <c r="C6026" s="30" t="n">
        <v>79310700</v>
      </c>
      <c r="D6026" s="30">
        <f>"05055714000110"</f>
        <v/>
      </c>
      <c r="E6026" s="30" t="inlineStr">
        <is>
          <t>MARVIN - TRANSPORTES E LOCACAO DE MAQUINAS LTDA</t>
        </is>
      </c>
      <c r="F6026" s="30" t="inlineStr">
        <is>
          <t>2021</t>
        </is>
      </c>
      <c r="G6026" s="40" t="n">
        <v>0</v>
      </c>
    </row>
    <row r="6027" ht="12" customHeight="1">
      <c r="A6027" s="30" t="inlineStr">
        <is>
          <t>ITG</t>
        </is>
      </c>
      <c r="B6027" s="30" t="inlineStr">
        <is>
          <t>Itaguai</t>
        </is>
      </c>
      <c r="C6027" s="30" t="n">
        <v>79310700</v>
      </c>
      <c r="D6027" s="30">
        <f>"05055714000110"</f>
        <v/>
      </c>
      <c r="E6027" s="30" t="inlineStr">
        <is>
          <t>MARVIN - TRANSPORTES E LOCACAO DE MAQUINAS LTDA</t>
        </is>
      </c>
      <c r="F6027" s="30" t="inlineStr">
        <is>
          <t>2022</t>
        </is>
      </c>
      <c r="G6027" s="40" t="n">
        <v>0</v>
      </c>
    </row>
    <row r="6028" ht="12" customHeight="1">
      <c r="A6028" s="30" t="inlineStr">
        <is>
          <t>ITG</t>
        </is>
      </c>
      <c r="B6028" s="30" t="inlineStr">
        <is>
          <t>Itaguai</t>
        </is>
      </c>
      <c r="C6028" s="30" t="n">
        <v>79310700</v>
      </c>
      <c r="D6028" s="30">
        <f>"05055714000110"</f>
        <v/>
      </c>
      <c r="E6028" s="30" t="inlineStr">
        <is>
          <t>MARVIN - TRANSPORTES E LOCACAO DE MAQUINAS LTDA</t>
        </is>
      </c>
      <c r="F6028" s="30" t="inlineStr">
        <is>
          <t>2023</t>
        </is>
      </c>
      <c r="G6028" s="40" t="n">
        <v>0</v>
      </c>
    </row>
    <row r="6029" ht="12" customHeight="1">
      <c r="A6029" s="30" t="inlineStr">
        <is>
          <t>ITG</t>
        </is>
      </c>
      <c r="B6029" s="30" t="inlineStr">
        <is>
          <t>Itaguai</t>
        </is>
      </c>
      <c r="C6029" s="30" t="n">
        <v>79317870</v>
      </c>
      <c r="D6029" s="30">
        <f>"13345892000104"</f>
        <v/>
      </c>
      <c r="E6029" s="30" t="inlineStr">
        <is>
          <t>ASSOCIACAO MISTA DE PRODUTORES RURAIS DA AGRICULTURA FAMILIAR</t>
        </is>
      </c>
      <c r="F6029" s="30" t="inlineStr">
        <is>
          <t>2017</t>
        </is>
      </c>
      <c r="G6029" s="40" t="n">
        <v>0</v>
      </c>
    </row>
    <row r="6030" ht="12" customHeight="1">
      <c r="A6030" s="30" t="inlineStr">
        <is>
          <t>ITG</t>
        </is>
      </c>
      <c r="B6030" s="30" t="inlineStr">
        <is>
          <t>Itaguai</t>
        </is>
      </c>
      <c r="C6030" s="30" t="n">
        <v>79317870</v>
      </c>
      <c r="D6030" s="30">
        <f>"13345892000104"</f>
        <v/>
      </c>
      <c r="E6030" s="30" t="inlineStr">
        <is>
          <t>ASSOCIACAO MISTA DE PRODUTORES RURAIS DA AGRICULTURA FAMILIAR</t>
        </is>
      </c>
      <c r="F6030" s="30" t="inlineStr">
        <is>
          <t>2018</t>
        </is>
      </c>
      <c r="G6030" s="40" t="n">
        <v>0</v>
      </c>
    </row>
    <row r="6031" ht="12" customHeight="1">
      <c r="A6031" s="30" t="inlineStr">
        <is>
          <t>ITG</t>
        </is>
      </c>
      <c r="B6031" s="30" t="inlineStr">
        <is>
          <t>Itaguai</t>
        </is>
      </c>
      <c r="C6031" s="30" t="n">
        <v>79317870</v>
      </c>
      <c r="D6031" s="30">
        <f>"13345892000104"</f>
        <v/>
      </c>
      <c r="E6031" s="30" t="inlineStr">
        <is>
          <t>ASSOCIACAO MISTA DE PRODUTORES RURAIS DA AGRICULTURA FAMILIAR</t>
        </is>
      </c>
      <c r="F6031" s="30" t="inlineStr">
        <is>
          <t>2019</t>
        </is>
      </c>
      <c r="G6031" s="40" t="n">
        <v>0</v>
      </c>
    </row>
    <row r="6032" ht="12" customHeight="1">
      <c r="A6032" s="30" t="inlineStr">
        <is>
          <t>ITG</t>
        </is>
      </c>
      <c r="B6032" s="30" t="inlineStr">
        <is>
          <t>Itaguai</t>
        </is>
      </c>
      <c r="C6032" s="30" t="n">
        <v>79317870</v>
      </c>
      <c r="D6032" s="30">
        <f>"13345892000104"</f>
        <v/>
      </c>
      <c r="E6032" s="30" t="inlineStr">
        <is>
          <t>ASSOCIACAO MISTA DE PRODUTORES RURAIS DA AGRICULTURA FAMILIAR</t>
        </is>
      </c>
      <c r="F6032" s="30" t="inlineStr">
        <is>
          <t>2020</t>
        </is>
      </c>
      <c r="G6032" s="40" t="n">
        <v>0</v>
      </c>
    </row>
    <row r="6033" ht="12" customHeight="1">
      <c r="A6033" s="30" t="inlineStr">
        <is>
          <t>ITG</t>
        </is>
      </c>
      <c r="B6033" s="30" t="inlineStr">
        <is>
          <t>Itaguai</t>
        </is>
      </c>
      <c r="C6033" s="30" t="n">
        <v>79337471</v>
      </c>
      <c r="D6033" s="30">
        <f>"13447161000170"</f>
        <v/>
      </c>
      <c r="E6033" s="30" t="inlineStr">
        <is>
          <t>R C RANGEL TRANSPORTES LTDA ME</t>
        </is>
      </c>
      <c r="F6033" s="30" t="inlineStr">
        <is>
          <t>2020</t>
        </is>
      </c>
      <c r="G6033" s="40" t="n">
        <v>0</v>
      </c>
    </row>
    <row r="6034" ht="12" customHeight="1">
      <c r="A6034" s="30" t="inlineStr">
        <is>
          <t>ITG</t>
        </is>
      </c>
      <c r="B6034" s="30" t="inlineStr">
        <is>
          <t>Itaguai</t>
        </is>
      </c>
      <c r="C6034" s="30" t="n">
        <v>79337471</v>
      </c>
      <c r="D6034" s="30">
        <f>"13447161000170"</f>
        <v/>
      </c>
      <c r="E6034" s="30" t="inlineStr">
        <is>
          <t>R C RANGEL TRANSPORTES LTDA ME</t>
        </is>
      </c>
      <c r="F6034" s="30" t="inlineStr">
        <is>
          <t>2021</t>
        </is>
      </c>
      <c r="G6034" s="40" t="n">
        <v>0</v>
      </c>
    </row>
    <row r="6035" ht="12" customHeight="1">
      <c r="A6035" s="30" t="inlineStr">
        <is>
          <t>ITG</t>
        </is>
      </c>
      <c r="B6035" s="30" t="inlineStr">
        <is>
          <t>Itaguai</t>
        </is>
      </c>
      <c r="C6035" s="30" t="n">
        <v>79337471</v>
      </c>
      <c r="D6035" s="30">
        <f>"13447161000170"</f>
        <v/>
      </c>
      <c r="E6035" s="30" t="inlineStr">
        <is>
          <t>R C RANGEL TRANSPORTES LTDA ME</t>
        </is>
      </c>
      <c r="F6035" s="30" t="inlineStr">
        <is>
          <t>2022</t>
        </is>
      </c>
      <c r="G6035" s="40" t="n">
        <v>19765.38</v>
      </c>
    </row>
    <row r="6036" ht="12" customHeight="1">
      <c r="A6036" s="30" t="inlineStr">
        <is>
          <t>ITG</t>
        </is>
      </c>
      <c r="B6036" s="30" t="inlineStr">
        <is>
          <t>Itaguai</t>
        </is>
      </c>
      <c r="C6036" s="30" t="n">
        <v>79337471</v>
      </c>
      <c r="D6036" s="30">
        <f>"13447161000170"</f>
        <v/>
      </c>
      <c r="E6036" s="30" t="inlineStr">
        <is>
          <t>R C RANGEL TRANSPORTES LTDA ME</t>
        </is>
      </c>
      <c r="F6036" s="30" t="inlineStr">
        <is>
          <t>2023</t>
        </is>
      </c>
      <c r="G6036" s="40" t="n">
        <v>0</v>
      </c>
    </row>
    <row r="6037" ht="12" customHeight="1">
      <c r="A6037" s="30" t="inlineStr">
        <is>
          <t>ITG</t>
        </is>
      </c>
      <c r="B6037" s="30" t="inlineStr">
        <is>
          <t>Itaguai</t>
        </is>
      </c>
      <c r="C6037" s="30" t="n">
        <v>79338931</v>
      </c>
      <c r="D6037" s="30">
        <f>"13461436000120"</f>
        <v/>
      </c>
      <c r="E6037" s="30" t="inlineStr">
        <is>
          <t>AUDAX LOGISTICA TRANSPORTES &amp; TURISMO LTDA</t>
        </is>
      </c>
      <c r="F6037" s="30" t="inlineStr">
        <is>
          <t>2017</t>
        </is>
      </c>
      <c r="G6037" s="40" t="n">
        <v>0</v>
      </c>
    </row>
    <row r="6038" ht="12" customHeight="1">
      <c r="A6038" s="30" t="inlineStr">
        <is>
          <t>ITG</t>
        </is>
      </c>
      <c r="B6038" s="30" t="inlineStr">
        <is>
          <t>Itaguai</t>
        </is>
      </c>
      <c r="C6038" s="30" t="n">
        <v>79338931</v>
      </c>
      <c r="D6038" s="30">
        <f>"13461436000120"</f>
        <v/>
      </c>
      <c r="E6038" s="30" t="inlineStr">
        <is>
          <t>AUDAX LOGISTICA TRANSPORTES &amp; TURISMO LTDA</t>
        </is>
      </c>
      <c r="F6038" s="30" t="inlineStr">
        <is>
          <t>2018</t>
        </is>
      </c>
      <c r="G6038" s="40" t="n">
        <v>972.23</v>
      </c>
    </row>
    <row r="6039" ht="12" customHeight="1">
      <c r="A6039" s="30" t="inlineStr">
        <is>
          <t>ITG</t>
        </is>
      </c>
      <c r="B6039" s="30" t="inlineStr">
        <is>
          <t>Itaguai</t>
        </is>
      </c>
      <c r="C6039" s="30" t="n">
        <v>79338931</v>
      </c>
      <c r="D6039" s="30">
        <f>"13461436000120"</f>
        <v/>
      </c>
      <c r="E6039" s="30" t="inlineStr">
        <is>
          <t>AUDAX LOGISTICA TRANSPORTES &amp; TURISMO LTDA</t>
        </is>
      </c>
      <c r="F6039" s="30" t="inlineStr">
        <is>
          <t>2019</t>
        </is>
      </c>
      <c r="G6039" s="40" t="n">
        <v>737.71</v>
      </c>
    </row>
    <row r="6040" ht="12" customHeight="1">
      <c r="A6040" s="30" t="inlineStr">
        <is>
          <t>ITG</t>
        </is>
      </c>
      <c r="B6040" s="30" t="inlineStr">
        <is>
          <t>Itaguai</t>
        </is>
      </c>
      <c r="C6040" s="30" t="n">
        <v>79338931</v>
      </c>
      <c r="D6040" s="30">
        <f>"13461436000120"</f>
        <v/>
      </c>
      <c r="E6040" s="30" t="inlineStr">
        <is>
          <t>AUDAX LOGISTICA TRANSPORTES &amp; TURISMO LTDA</t>
        </is>
      </c>
      <c r="F6040" s="30" t="inlineStr">
        <is>
          <t>2020</t>
        </is>
      </c>
      <c r="G6040" s="40" t="n">
        <v>15502.12</v>
      </c>
    </row>
    <row r="6041" ht="12" customHeight="1">
      <c r="A6041" s="30" t="inlineStr">
        <is>
          <t>ITG</t>
        </is>
      </c>
      <c r="B6041" s="30" t="inlineStr">
        <is>
          <t>Itaguai</t>
        </is>
      </c>
      <c r="C6041" s="30" t="n">
        <v>79338931</v>
      </c>
      <c r="D6041" s="30">
        <f>"13461436000120"</f>
        <v/>
      </c>
      <c r="E6041" s="30" t="inlineStr">
        <is>
          <t>AUDAX LOGISTICA TRANSPORTES &amp; TURISMO LTDA</t>
        </is>
      </c>
      <c r="F6041" s="30" t="inlineStr">
        <is>
          <t>2021</t>
        </is>
      </c>
      <c r="G6041" s="40" t="n">
        <v>23908.77</v>
      </c>
    </row>
    <row r="6042" ht="12" customHeight="1">
      <c r="A6042" s="30" t="inlineStr">
        <is>
          <t>ITG</t>
        </is>
      </c>
      <c r="B6042" s="30" t="inlineStr">
        <is>
          <t>Itaguai</t>
        </is>
      </c>
      <c r="C6042" s="30" t="n">
        <v>79338931</v>
      </c>
      <c r="D6042" s="30">
        <f>"13461436000120"</f>
        <v/>
      </c>
      <c r="E6042" s="30" t="inlineStr">
        <is>
          <t>AUDAX LOGISTICA TRANSPORTES &amp; TURISMO LTDA</t>
        </is>
      </c>
      <c r="F6042" s="30" t="inlineStr">
        <is>
          <t>2022</t>
        </is>
      </c>
      <c r="G6042" s="40" t="n">
        <v>90618.31</v>
      </c>
    </row>
    <row r="6043" ht="12" customHeight="1">
      <c r="A6043" s="30" t="inlineStr">
        <is>
          <t>ITG</t>
        </is>
      </c>
      <c r="B6043" s="30" t="inlineStr">
        <is>
          <t>Itaguai</t>
        </is>
      </c>
      <c r="C6043" s="30" t="n">
        <v>79338931</v>
      </c>
      <c r="D6043" s="30">
        <f>"13461436000120"</f>
        <v/>
      </c>
      <c r="E6043" s="30" t="inlineStr">
        <is>
          <t>AUDAX LOGISTICA TRANSPORTES &amp; TURISMO LTDA</t>
        </is>
      </c>
      <c r="F6043" s="30" t="inlineStr">
        <is>
          <t>2023</t>
        </is>
      </c>
      <c r="G6043" s="40" t="n">
        <v>57507.96</v>
      </c>
    </row>
    <row r="6044" ht="12" customHeight="1">
      <c r="A6044" s="30" t="inlineStr">
        <is>
          <t>ITG</t>
        </is>
      </c>
      <c r="B6044" s="30" t="inlineStr">
        <is>
          <t>Itaguai</t>
        </is>
      </c>
      <c r="C6044" s="30" t="n">
        <v>79340839</v>
      </c>
      <c r="D6044" s="30">
        <f>"33247271001177"</f>
        <v/>
      </c>
      <c r="E6044" s="30" t="inlineStr">
        <is>
          <t>EMPRESA BRASILEIRA DE ENGENHARIA S/A</t>
        </is>
      </c>
      <c r="F6044" s="30" t="inlineStr">
        <is>
          <t>2018</t>
        </is>
      </c>
      <c r="G6044" s="40" t="n">
        <v>0</v>
      </c>
    </row>
    <row r="6045" ht="12" customHeight="1">
      <c r="A6045" s="30" t="inlineStr">
        <is>
          <t>ITG</t>
        </is>
      </c>
      <c r="B6045" s="30" t="inlineStr">
        <is>
          <t>Itaguai</t>
        </is>
      </c>
      <c r="C6045" s="30" t="n">
        <v>79340839</v>
      </c>
      <c r="D6045" s="30">
        <f>"33247271001177"</f>
        <v/>
      </c>
      <c r="E6045" s="30" t="inlineStr">
        <is>
          <t>EMPRESA BRASILEIRA DE ENGENHARIA S/A</t>
        </is>
      </c>
      <c r="F6045" s="30" t="inlineStr">
        <is>
          <t>2019</t>
        </is>
      </c>
      <c r="G6045" s="40" t="n">
        <v>0</v>
      </c>
    </row>
    <row r="6046" ht="12" customHeight="1">
      <c r="A6046" s="30" t="inlineStr">
        <is>
          <t>ITG</t>
        </is>
      </c>
      <c r="B6046" s="30" t="inlineStr">
        <is>
          <t>Itaguai</t>
        </is>
      </c>
      <c r="C6046" s="30" t="n">
        <v>79340839</v>
      </c>
      <c r="D6046" s="30">
        <f>"33247271001177"</f>
        <v/>
      </c>
      <c r="E6046" s="30" t="inlineStr">
        <is>
          <t>EMPRESA BRASILEIRA DE ENGENHARIA S/A</t>
        </is>
      </c>
      <c r="F6046" s="30" t="inlineStr">
        <is>
          <t>2020</t>
        </is>
      </c>
      <c r="G6046" s="40" t="n">
        <v>0</v>
      </c>
    </row>
    <row r="6047" ht="12" customHeight="1">
      <c r="A6047" s="30" t="inlineStr">
        <is>
          <t>ITG</t>
        </is>
      </c>
      <c r="B6047" s="30" t="inlineStr">
        <is>
          <t>Itaguai</t>
        </is>
      </c>
      <c r="C6047" s="30" t="n">
        <v>79340839</v>
      </c>
      <c r="D6047" s="30">
        <f>"33247271001177"</f>
        <v/>
      </c>
      <c r="E6047" s="30" t="inlineStr">
        <is>
          <t>EMPRESA BRASILEIRA DE ENGENHARIA S/A</t>
        </is>
      </c>
      <c r="F6047" s="30" t="inlineStr">
        <is>
          <t>2021</t>
        </is>
      </c>
      <c r="G6047" s="40" t="n">
        <v>0</v>
      </c>
    </row>
    <row r="6048" ht="12" customHeight="1">
      <c r="A6048" s="30" t="inlineStr">
        <is>
          <t>ITG</t>
        </is>
      </c>
      <c r="B6048" s="30" t="inlineStr">
        <is>
          <t>Itaguai</t>
        </is>
      </c>
      <c r="C6048" s="30" t="n">
        <v>79340839</v>
      </c>
      <c r="D6048" s="30">
        <f>"33247271001177"</f>
        <v/>
      </c>
      <c r="E6048" s="30" t="inlineStr">
        <is>
          <t>EMPRESA BRASILEIRA DE ENGENHARIA S/A</t>
        </is>
      </c>
      <c r="F6048" s="30" t="inlineStr">
        <is>
          <t>2022</t>
        </is>
      </c>
      <c r="G6048" s="40" t="n">
        <v>0</v>
      </c>
    </row>
    <row r="6049" ht="12" customHeight="1">
      <c r="A6049" s="30" t="inlineStr">
        <is>
          <t>ITG</t>
        </is>
      </c>
      <c r="B6049" s="30" t="inlineStr">
        <is>
          <t>Itaguai</t>
        </is>
      </c>
      <c r="C6049" s="30" t="n">
        <v>79341789</v>
      </c>
      <c r="D6049" s="30">
        <f>"30094114006735"</f>
        <v/>
      </c>
      <c r="E6049" s="30" t="inlineStr">
        <is>
          <t>UNIAO DE LOJAS LEADER S/A</t>
        </is>
      </c>
      <c r="F6049" s="30" t="inlineStr">
        <is>
          <t>2017</t>
        </is>
      </c>
      <c r="G6049" s="40" t="n">
        <v>5912716.58</v>
      </c>
    </row>
    <row r="6050" ht="12" customHeight="1">
      <c r="A6050" s="30" t="inlineStr">
        <is>
          <t>ITG</t>
        </is>
      </c>
      <c r="B6050" s="30" t="inlineStr">
        <is>
          <t>Itaguai</t>
        </is>
      </c>
      <c r="C6050" s="30" t="n">
        <v>79341789</v>
      </c>
      <c r="D6050" s="30">
        <f>"30094114006735"</f>
        <v/>
      </c>
      <c r="E6050" s="30" t="inlineStr">
        <is>
          <t>UNIAO DE LOJAS LEADER S/A</t>
        </is>
      </c>
      <c r="F6050" s="30" t="inlineStr">
        <is>
          <t>2018</t>
        </is>
      </c>
      <c r="G6050" s="40" t="n">
        <v>5500097.05</v>
      </c>
    </row>
    <row r="6051" ht="12" customHeight="1">
      <c r="A6051" s="30" t="inlineStr">
        <is>
          <t>ITG</t>
        </is>
      </c>
      <c r="B6051" s="30" t="inlineStr">
        <is>
          <t>Itaguai</t>
        </is>
      </c>
      <c r="C6051" s="30" t="n">
        <v>79341789</v>
      </c>
      <c r="D6051" s="30">
        <f>"30094114006735"</f>
        <v/>
      </c>
      <c r="E6051" s="30" t="inlineStr">
        <is>
          <t>UNIAO DE LOJAS LEADER S/A</t>
        </is>
      </c>
      <c r="F6051" s="30" t="inlineStr">
        <is>
          <t>2019</t>
        </is>
      </c>
      <c r="G6051" s="40" t="n">
        <v>6525120.65</v>
      </c>
    </row>
    <row r="6052" ht="12" customHeight="1">
      <c r="A6052" s="30" t="inlineStr">
        <is>
          <t>ITG</t>
        </is>
      </c>
      <c r="B6052" s="30" t="inlineStr">
        <is>
          <t>Itaguai</t>
        </is>
      </c>
      <c r="C6052" s="30" t="n">
        <v>79341789</v>
      </c>
      <c r="D6052" s="30">
        <f>"30094114006735"</f>
        <v/>
      </c>
      <c r="E6052" s="30" t="inlineStr">
        <is>
          <t>UNIAO DE LOJAS LEADER S/A</t>
        </is>
      </c>
      <c r="F6052" s="30" t="inlineStr">
        <is>
          <t>2020</t>
        </is>
      </c>
      <c r="G6052" s="40" t="n">
        <v>1948741.78</v>
      </c>
    </row>
    <row r="6053" ht="12" customHeight="1">
      <c r="A6053" s="30" t="inlineStr">
        <is>
          <t>ITG</t>
        </is>
      </c>
      <c r="B6053" s="30" t="inlineStr">
        <is>
          <t>Itaguai</t>
        </is>
      </c>
      <c r="C6053" s="30" t="n">
        <v>79341789</v>
      </c>
      <c r="D6053" s="30">
        <f>"30094114006735"</f>
        <v/>
      </c>
      <c r="E6053" s="30" t="inlineStr">
        <is>
          <t>UNIAO DE LOJAS LEADER S/A</t>
        </is>
      </c>
      <c r="F6053" s="30" t="inlineStr">
        <is>
          <t>2021</t>
        </is>
      </c>
      <c r="G6053" s="40" t="n">
        <v>3626971.7</v>
      </c>
    </row>
    <row r="6054" ht="12" customHeight="1">
      <c r="A6054" s="30" t="inlineStr">
        <is>
          <t>ITG</t>
        </is>
      </c>
      <c r="B6054" s="30" t="inlineStr">
        <is>
          <t>Itaguai</t>
        </is>
      </c>
      <c r="C6054" s="30" t="n">
        <v>79341789</v>
      </c>
      <c r="D6054" s="30">
        <f>"30094114006735"</f>
        <v/>
      </c>
      <c r="E6054" s="30" t="inlineStr">
        <is>
          <t>UNIAO DE LOJAS LEADER S/A</t>
        </is>
      </c>
      <c r="F6054" s="30" t="inlineStr">
        <is>
          <t>2022</t>
        </is>
      </c>
      <c r="G6054" s="40" t="n">
        <v>1868338.13</v>
      </c>
    </row>
    <row r="6055" ht="12" customHeight="1">
      <c r="A6055" s="30" t="inlineStr">
        <is>
          <t>ITG</t>
        </is>
      </c>
      <c r="B6055" s="30" t="inlineStr">
        <is>
          <t>Itaguai</t>
        </is>
      </c>
      <c r="C6055" s="30" t="n">
        <v>79341789</v>
      </c>
      <c r="D6055" s="30">
        <f>"30094114006735"</f>
        <v/>
      </c>
      <c r="E6055" s="30" t="inlineStr">
        <is>
          <t>UNIAO DE LOJAS LEADER S/A</t>
        </is>
      </c>
      <c r="F6055" s="30" t="inlineStr">
        <is>
          <t>2023</t>
        </is>
      </c>
      <c r="G6055" s="40" t="n">
        <v>0</v>
      </c>
    </row>
    <row r="6056" ht="12" customHeight="1">
      <c r="A6056" s="30" t="inlineStr">
        <is>
          <t>ITG</t>
        </is>
      </c>
      <c r="B6056" s="30" t="inlineStr">
        <is>
          <t>Itaguai</t>
        </is>
      </c>
      <c r="C6056" s="30" t="n">
        <v>79345091</v>
      </c>
      <c r="D6056" s="30">
        <f>"48740351012252"</f>
        <v/>
      </c>
      <c r="E6056" s="30" t="inlineStr">
        <is>
          <t>BRASPRESS TRANSPORTES URGENTES LTDA</t>
        </is>
      </c>
      <c r="F6056" s="30" t="inlineStr">
        <is>
          <t>2017</t>
        </is>
      </c>
      <c r="G6056" s="40" t="n">
        <v>0</v>
      </c>
    </row>
    <row r="6057" ht="12" customHeight="1">
      <c r="A6057" s="30" t="inlineStr">
        <is>
          <t>ITG</t>
        </is>
      </c>
      <c r="B6057" s="30" t="inlineStr">
        <is>
          <t>Itaguai</t>
        </is>
      </c>
      <c r="C6057" s="30" t="n">
        <v>79345091</v>
      </c>
      <c r="D6057" s="30">
        <f>"48740351012252"</f>
        <v/>
      </c>
      <c r="E6057" s="30" t="inlineStr">
        <is>
          <t>BRASPRESS TRANSPORTES URGENTES LTDA</t>
        </is>
      </c>
      <c r="F6057" s="30" t="inlineStr">
        <is>
          <t>2018</t>
        </is>
      </c>
      <c r="G6057" s="40" t="n">
        <v>1126.99</v>
      </c>
    </row>
    <row r="6058" ht="12" customHeight="1">
      <c r="A6058" s="30" t="inlineStr">
        <is>
          <t>ITG</t>
        </is>
      </c>
      <c r="B6058" s="30" t="inlineStr">
        <is>
          <t>Itaguai</t>
        </is>
      </c>
      <c r="C6058" s="30" t="n">
        <v>79345091</v>
      </c>
      <c r="D6058" s="30">
        <f>"48740351012252"</f>
        <v/>
      </c>
      <c r="E6058" s="30" t="inlineStr">
        <is>
          <t>BRASPRESS TRANSPORTES URGENTES LTDA</t>
        </is>
      </c>
      <c r="F6058" s="30" t="inlineStr">
        <is>
          <t>2019</t>
        </is>
      </c>
      <c r="G6058" s="40" t="n">
        <v>2720.34</v>
      </c>
    </row>
    <row r="6059" ht="12" customHeight="1">
      <c r="A6059" s="30" t="inlineStr">
        <is>
          <t>ITG</t>
        </is>
      </c>
      <c r="B6059" s="30" t="inlineStr">
        <is>
          <t>Itaguai</t>
        </is>
      </c>
      <c r="C6059" s="30" t="n">
        <v>79345091</v>
      </c>
      <c r="D6059" s="30">
        <f>"48740351012252"</f>
        <v/>
      </c>
      <c r="E6059" s="30" t="inlineStr">
        <is>
          <t>BRASPRESS TRANSPORTES URGENTES LTDA</t>
        </is>
      </c>
      <c r="F6059" s="30" t="inlineStr">
        <is>
          <t>2020</t>
        </is>
      </c>
      <c r="G6059" s="40" t="n">
        <v>1718.7</v>
      </c>
    </row>
    <row r="6060" ht="12" customHeight="1">
      <c r="A6060" s="30" t="inlineStr">
        <is>
          <t>ITG</t>
        </is>
      </c>
      <c r="B6060" s="30" t="inlineStr">
        <is>
          <t>Itaguai</t>
        </is>
      </c>
      <c r="C6060" s="30" t="n">
        <v>79345091</v>
      </c>
      <c r="D6060" s="30">
        <f>"48740351012252"</f>
        <v/>
      </c>
      <c r="E6060" s="30" t="inlineStr">
        <is>
          <t>BRASPRESS TRANSPORTES URGENTES LTDA</t>
        </is>
      </c>
      <c r="F6060" s="30" t="inlineStr">
        <is>
          <t>2021</t>
        </is>
      </c>
      <c r="G6060" s="40" t="n">
        <v>166.13</v>
      </c>
    </row>
    <row r="6061" ht="12" customHeight="1">
      <c r="A6061" s="30" t="inlineStr">
        <is>
          <t>ITG</t>
        </is>
      </c>
      <c r="B6061" s="30" t="inlineStr">
        <is>
          <t>Itaguai</t>
        </is>
      </c>
      <c r="C6061" s="30" t="n">
        <v>79345091</v>
      </c>
      <c r="D6061" s="30">
        <f>"48740351012252"</f>
        <v/>
      </c>
      <c r="E6061" s="30" t="inlineStr">
        <is>
          <t>BRASPRESS TRANSPORTES URGENTES LTDA</t>
        </is>
      </c>
      <c r="F6061" s="30" t="inlineStr">
        <is>
          <t>2022</t>
        </is>
      </c>
      <c r="G6061" s="40" t="n">
        <v>0</v>
      </c>
    </row>
    <row r="6062" ht="12" customHeight="1">
      <c r="A6062" s="30" t="inlineStr">
        <is>
          <t>ITG</t>
        </is>
      </c>
      <c r="B6062" s="30" t="inlineStr">
        <is>
          <t>Itaguai</t>
        </is>
      </c>
      <c r="C6062" s="30" t="n">
        <v>79345091</v>
      </c>
      <c r="D6062" s="30">
        <f>"48740351012252"</f>
        <v/>
      </c>
      <c r="E6062" s="30" t="inlineStr">
        <is>
          <t>BRASPRESS TRANSPORTES URGENTES LTDA</t>
        </is>
      </c>
      <c r="F6062" s="30" t="inlineStr">
        <is>
          <t>2023</t>
        </is>
      </c>
      <c r="G6062" s="40" t="n">
        <v>61.83</v>
      </c>
    </row>
    <row r="6063" ht="12" customHeight="1">
      <c r="A6063" s="30" t="inlineStr">
        <is>
          <t>ITG</t>
        </is>
      </c>
      <c r="B6063" s="30" t="inlineStr">
        <is>
          <t>Itaguai</t>
        </is>
      </c>
      <c r="C6063" s="30" t="n">
        <v>79360651</v>
      </c>
      <c r="D6063" s="30">
        <f>"19451038003477"</f>
        <v/>
      </c>
      <c r="E6063" s="30" t="inlineStr">
        <is>
          <t>RODOVIARIO CAMILO DOS SANTOS FILHO LTDA</t>
        </is>
      </c>
      <c r="F6063" s="30" t="inlineStr">
        <is>
          <t>2018</t>
        </is>
      </c>
      <c r="G6063" s="40" t="n">
        <v>0</v>
      </c>
    </row>
    <row r="6064" ht="12" customHeight="1">
      <c r="A6064" s="30" t="inlineStr">
        <is>
          <t>ITG</t>
        </is>
      </c>
      <c r="B6064" s="30" t="inlineStr">
        <is>
          <t>Itaguai</t>
        </is>
      </c>
      <c r="C6064" s="30" t="n">
        <v>79360651</v>
      </c>
      <c r="D6064" s="30">
        <f>"19451038003477"</f>
        <v/>
      </c>
      <c r="E6064" s="30" t="inlineStr">
        <is>
          <t>RODOVIARIO CAMILO DOS SANTOS FILHO LTDA</t>
        </is>
      </c>
      <c r="F6064" s="30" t="inlineStr">
        <is>
          <t>2019</t>
        </is>
      </c>
      <c r="G6064" s="40" t="n">
        <v>0</v>
      </c>
    </row>
    <row r="6065" ht="12" customHeight="1">
      <c r="A6065" s="30" t="inlineStr">
        <is>
          <t>ITG</t>
        </is>
      </c>
      <c r="B6065" s="30" t="inlineStr">
        <is>
          <t>Itaguai</t>
        </is>
      </c>
      <c r="C6065" s="30" t="n">
        <v>79360651</v>
      </c>
      <c r="D6065" s="30">
        <f>"19451038003477"</f>
        <v/>
      </c>
      <c r="E6065" s="30" t="inlineStr">
        <is>
          <t>RODOVIARIO CAMILO DOS SANTOS FILHO LTDA</t>
        </is>
      </c>
      <c r="F6065" s="30" t="inlineStr">
        <is>
          <t>2020</t>
        </is>
      </c>
      <c r="G6065" s="40" t="n">
        <v>137.5</v>
      </c>
    </row>
    <row r="6066" ht="12" customHeight="1">
      <c r="A6066" s="30" t="inlineStr">
        <is>
          <t>ITG</t>
        </is>
      </c>
      <c r="B6066" s="30" t="inlineStr">
        <is>
          <t>Itaguai</t>
        </is>
      </c>
      <c r="C6066" s="30" t="n">
        <v>79360651</v>
      </c>
      <c r="D6066" s="30">
        <f>"19451038003477"</f>
        <v/>
      </c>
      <c r="E6066" s="30" t="inlineStr">
        <is>
          <t>RODOVIARIO CAMILO DOS SANTOS FILHO LTDA</t>
        </is>
      </c>
      <c r="F6066" s="30" t="inlineStr">
        <is>
          <t>2021</t>
        </is>
      </c>
      <c r="G6066" s="40" t="n">
        <v>0</v>
      </c>
    </row>
    <row r="6067" ht="12" customHeight="1">
      <c r="A6067" s="30" t="inlineStr">
        <is>
          <t>ITG</t>
        </is>
      </c>
      <c r="B6067" s="30" t="inlineStr">
        <is>
          <t>Itaguai</t>
        </is>
      </c>
      <c r="C6067" s="30" t="n">
        <v>79360651</v>
      </c>
      <c r="D6067" s="30">
        <f>"19451038003477"</f>
        <v/>
      </c>
      <c r="E6067" s="30" t="inlineStr">
        <is>
          <t>RODOVIARIO CAMILO DOS SANTOS FILHO LTDA</t>
        </is>
      </c>
      <c r="F6067" s="30" t="inlineStr">
        <is>
          <t>2022</t>
        </is>
      </c>
      <c r="G6067" s="40" t="n">
        <v>0</v>
      </c>
    </row>
    <row r="6068" ht="12" customHeight="1">
      <c r="A6068" s="30" t="inlineStr">
        <is>
          <t>ITG</t>
        </is>
      </c>
      <c r="B6068" s="30" t="inlineStr">
        <is>
          <t>Itaguai</t>
        </is>
      </c>
      <c r="C6068" s="30" t="n">
        <v>79370991</v>
      </c>
      <c r="D6068" s="30">
        <f>"13632836000150"</f>
        <v/>
      </c>
      <c r="E6068" s="30" t="inlineStr">
        <is>
          <t>QUEIJARIA E ADEGA SANTA EDWIGES COMERCIO EIRELI EPP</t>
        </is>
      </c>
      <c r="F6068" s="30" t="inlineStr">
        <is>
          <t>2017</t>
        </is>
      </c>
      <c r="G6068" s="40" t="n">
        <v>2300</v>
      </c>
    </row>
    <row r="6069" ht="12" customHeight="1">
      <c r="A6069" s="30" t="inlineStr">
        <is>
          <t>ITG</t>
        </is>
      </c>
      <c r="B6069" s="30" t="inlineStr">
        <is>
          <t>Itaguai</t>
        </is>
      </c>
      <c r="C6069" s="30" t="n">
        <v>79370991</v>
      </c>
      <c r="D6069" s="30">
        <f>"13632836000150"</f>
        <v/>
      </c>
      <c r="E6069" s="30" t="inlineStr">
        <is>
          <t>QUEIJARIA E ADEGA SANTA EDWIGES COMERCIO EIRELI EPP</t>
        </is>
      </c>
      <c r="F6069" s="30" t="inlineStr">
        <is>
          <t>2018</t>
        </is>
      </c>
      <c r="G6069" s="40" t="n">
        <v>0</v>
      </c>
    </row>
    <row r="6070" ht="12" customHeight="1">
      <c r="A6070" s="30" t="inlineStr">
        <is>
          <t>ITG</t>
        </is>
      </c>
      <c r="B6070" s="30" t="inlineStr">
        <is>
          <t>Itaguai</t>
        </is>
      </c>
      <c r="C6070" s="30" t="n">
        <v>79370991</v>
      </c>
      <c r="D6070" s="30">
        <f>"13632836000150"</f>
        <v/>
      </c>
      <c r="E6070" s="30" t="inlineStr">
        <is>
          <t>QUEIJARIA E ADEGA SANTA EDWIGES COMERCIO EIRELI EPP</t>
        </is>
      </c>
      <c r="F6070" s="30" t="inlineStr">
        <is>
          <t>2019</t>
        </is>
      </c>
      <c r="G6070" s="40" t="n">
        <v>0</v>
      </c>
    </row>
    <row r="6071" ht="12" customHeight="1">
      <c r="A6071" s="30" t="inlineStr">
        <is>
          <t>ITG</t>
        </is>
      </c>
      <c r="B6071" s="30" t="inlineStr">
        <is>
          <t>Itaguai</t>
        </is>
      </c>
      <c r="C6071" s="30" t="n">
        <v>79373095</v>
      </c>
      <c r="D6071" s="30">
        <f>"13647980000160"</f>
        <v/>
      </c>
      <c r="E6071" s="30" t="inlineStr">
        <is>
          <t>PROGRESSO ARMAZENS E LOGISTICA EIRELI EPP</t>
        </is>
      </c>
      <c r="F6071" s="30" t="inlineStr">
        <is>
          <t>2017</t>
        </is>
      </c>
      <c r="G6071" s="40" t="n">
        <v>0</v>
      </c>
    </row>
    <row r="6072" ht="12" customHeight="1">
      <c r="A6072" s="30" t="inlineStr">
        <is>
          <t>ITG</t>
        </is>
      </c>
      <c r="B6072" s="30" t="inlineStr">
        <is>
          <t>Itaguai</t>
        </is>
      </c>
      <c r="C6072" s="30" t="n">
        <v>79373095</v>
      </c>
      <c r="D6072" s="30">
        <f>"13647980000160"</f>
        <v/>
      </c>
      <c r="E6072" s="30" t="inlineStr">
        <is>
          <t>PROGRESSO ARMAZENS E LOGISTICA EIRELI EPP</t>
        </is>
      </c>
      <c r="F6072" s="30" t="inlineStr">
        <is>
          <t>2018</t>
        </is>
      </c>
      <c r="G6072" s="40" t="n">
        <v>113881.01</v>
      </c>
    </row>
    <row r="6073" ht="12" customHeight="1">
      <c r="A6073" s="30" t="inlineStr">
        <is>
          <t>ITG</t>
        </is>
      </c>
      <c r="B6073" s="30" t="inlineStr">
        <is>
          <t>Itaguai</t>
        </is>
      </c>
      <c r="C6073" s="30" t="n">
        <v>79373095</v>
      </c>
      <c r="D6073" s="30">
        <f>"13647980000160"</f>
        <v/>
      </c>
      <c r="E6073" s="30" t="inlineStr">
        <is>
          <t>PROGRESSO ARMAZENS E LOGISTICA EIRELI EPP</t>
        </is>
      </c>
      <c r="F6073" s="30" t="inlineStr">
        <is>
          <t>2019</t>
        </is>
      </c>
      <c r="G6073" s="40" t="n">
        <v>188951.73</v>
      </c>
    </row>
    <row r="6074" ht="12" customHeight="1">
      <c r="A6074" s="30" t="inlineStr">
        <is>
          <t>ITG</t>
        </is>
      </c>
      <c r="B6074" s="30" t="inlineStr">
        <is>
          <t>Itaguai</t>
        </is>
      </c>
      <c r="C6074" s="30" t="n">
        <v>79373095</v>
      </c>
      <c r="D6074" s="30">
        <f>"13647980000160"</f>
        <v/>
      </c>
      <c r="E6074" s="30" t="inlineStr">
        <is>
          <t>PROGRESSO ARMAZENS E LOGISTICA EIRELI EPP</t>
        </is>
      </c>
      <c r="F6074" s="30" t="inlineStr">
        <is>
          <t>2020</t>
        </is>
      </c>
      <c r="G6074" s="40" t="n">
        <v>12506234.11</v>
      </c>
    </row>
    <row r="6075" ht="12" customHeight="1">
      <c r="A6075" s="30" t="inlineStr">
        <is>
          <t>ITG</t>
        </is>
      </c>
      <c r="B6075" s="30" t="inlineStr">
        <is>
          <t>Itaguai</t>
        </is>
      </c>
      <c r="C6075" s="30" t="n">
        <v>79373095</v>
      </c>
      <c r="D6075" s="30">
        <f>"13647980000160"</f>
        <v/>
      </c>
      <c r="E6075" s="30" t="inlineStr">
        <is>
          <t>PROGRESSO ARMAZENS E LOGISTICA EIRELI EPP</t>
        </is>
      </c>
      <c r="F6075" s="30" t="inlineStr">
        <is>
          <t>2021</t>
        </is>
      </c>
      <c r="G6075" s="40" t="n">
        <v>9619977.1</v>
      </c>
    </row>
    <row r="6076" ht="12" customHeight="1">
      <c r="A6076" s="30" t="inlineStr">
        <is>
          <t>ITG</t>
        </is>
      </c>
      <c r="B6076" s="30" t="inlineStr">
        <is>
          <t>Itaguai</t>
        </is>
      </c>
      <c r="C6076" s="30" t="n">
        <v>79373095</v>
      </c>
      <c r="D6076" s="30">
        <f>"13647980000160"</f>
        <v/>
      </c>
      <c r="E6076" s="30" t="inlineStr">
        <is>
          <t>PROGRESSO ARMAZENS E LOGISTICA EIRELI EPP</t>
        </is>
      </c>
      <c r="F6076" s="30" t="inlineStr">
        <is>
          <t>2022</t>
        </is>
      </c>
      <c r="G6076" s="40" t="n">
        <v>0</v>
      </c>
    </row>
    <row r="6077" ht="12" customHeight="1">
      <c r="A6077" s="30" t="inlineStr">
        <is>
          <t>ITG</t>
        </is>
      </c>
      <c r="B6077" s="30" t="inlineStr">
        <is>
          <t>Itaguai</t>
        </is>
      </c>
      <c r="C6077" s="30" t="n">
        <v>79373095</v>
      </c>
      <c r="D6077" s="30">
        <f>"13647980000160"</f>
        <v/>
      </c>
      <c r="E6077" s="30" t="inlineStr">
        <is>
          <t>PROGRESSO ARMAZENS E LOGISTICA EIRELI EPP</t>
        </is>
      </c>
      <c r="F6077" s="30" t="inlineStr">
        <is>
          <t>2023</t>
        </is>
      </c>
      <c r="G6077" s="40" t="n">
        <v>0</v>
      </c>
    </row>
    <row r="6078" ht="12" customHeight="1">
      <c r="A6078" s="30" t="inlineStr">
        <is>
          <t>ITG</t>
        </is>
      </c>
      <c r="B6078" s="30" t="inlineStr">
        <is>
          <t>Itaguai</t>
        </is>
      </c>
      <c r="C6078" s="30" t="n">
        <v>79376019</v>
      </c>
      <c r="D6078" s="30">
        <f>"13653577000144"</f>
        <v/>
      </c>
      <c r="E6078" s="30" t="inlineStr">
        <is>
          <t>SUPER GELO SISTEMAS LTDA</t>
        </is>
      </c>
      <c r="F6078" s="30" t="inlineStr">
        <is>
          <t>2021</t>
        </is>
      </c>
      <c r="G6078" s="40" t="n">
        <v>0</v>
      </c>
    </row>
    <row r="6079" ht="12" customHeight="1">
      <c r="A6079" s="30" t="inlineStr">
        <is>
          <t>ITG</t>
        </is>
      </c>
      <c r="B6079" s="30" t="inlineStr">
        <is>
          <t>Itaguai</t>
        </is>
      </c>
      <c r="C6079" s="30" t="n">
        <v>79376019</v>
      </c>
      <c r="D6079" s="30">
        <f>"13653577000144"</f>
        <v/>
      </c>
      <c r="E6079" s="30" t="inlineStr">
        <is>
          <t>SUPER GELO SISTEMAS LTDA</t>
        </is>
      </c>
      <c r="F6079" s="30" t="inlineStr">
        <is>
          <t>2022</t>
        </is>
      </c>
      <c r="G6079" s="40" t="n">
        <v>0</v>
      </c>
    </row>
    <row r="6080" ht="12" customHeight="1">
      <c r="A6080" s="30" t="inlineStr">
        <is>
          <t>ITG</t>
        </is>
      </c>
      <c r="B6080" s="30" t="inlineStr">
        <is>
          <t>Itaguai</t>
        </is>
      </c>
      <c r="C6080" s="30" t="n">
        <v>79376019</v>
      </c>
      <c r="D6080" s="30">
        <f>"13653577000144"</f>
        <v/>
      </c>
      <c r="E6080" s="30" t="inlineStr">
        <is>
          <t>SUPER GELO SISTEMAS LTDA</t>
        </is>
      </c>
      <c r="F6080" s="30" t="inlineStr">
        <is>
          <t>2023</t>
        </is>
      </c>
      <c r="G6080" s="40" t="n">
        <v>0</v>
      </c>
    </row>
    <row r="6081" ht="12" customHeight="1">
      <c r="A6081" s="30" t="inlineStr">
        <is>
          <t>ITG</t>
        </is>
      </c>
      <c r="B6081" s="30" t="inlineStr">
        <is>
          <t>Itaguai</t>
        </is>
      </c>
      <c r="C6081" s="30" t="n">
        <v>79379190</v>
      </c>
      <c r="D6081" s="30">
        <f>"13682031000111"</f>
        <v/>
      </c>
      <c r="E6081" s="30" t="inlineStr">
        <is>
          <t>F DE ALMEIDA MINI MERCADO ME</t>
        </is>
      </c>
      <c r="F6081" s="30" t="inlineStr">
        <is>
          <t>2021</t>
        </is>
      </c>
      <c r="G6081" s="40" t="n">
        <v>0</v>
      </c>
    </row>
    <row r="6082" ht="12" customHeight="1">
      <c r="A6082" s="30" t="inlineStr">
        <is>
          <t>ITG</t>
        </is>
      </c>
      <c r="B6082" s="30" t="inlineStr">
        <is>
          <t>Itaguai</t>
        </is>
      </c>
      <c r="C6082" s="30" t="n">
        <v>79379190</v>
      </c>
      <c r="D6082" s="30">
        <f>"13682031000111"</f>
        <v/>
      </c>
      <c r="E6082" s="30" t="inlineStr">
        <is>
          <t>F DE ALMEIDA MINI MERCADO ME</t>
        </is>
      </c>
      <c r="F6082" s="30" t="inlineStr">
        <is>
          <t>2022</t>
        </is>
      </c>
      <c r="G6082" s="40" t="n">
        <v>0</v>
      </c>
    </row>
    <row r="6083" ht="12" customHeight="1">
      <c r="A6083" s="30" t="inlineStr">
        <is>
          <t>ITG</t>
        </is>
      </c>
      <c r="B6083" s="30" t="inlineStr">
        <is>
          <t>Itaguai</t>
        </is>
      </c>
      <c r="C6083" s="30" t="n">
        <v>79379190</v>
      </c>
      <c r="D6083" s="30">
        <f>"13682031000111"</f>
        <v/>
      </c>
      <c r="E6083" s="30" t="inlineStr">
        <is>
          <t>F DE ALMEIDA MINI MERCADO ME</t>
        </is>
      </c>
      <c r="F6083" s="30" t="inlineStr">
        <is>
          <t>2023</t>
        </is>
      </c>
      <c r="G6083" s="40" t="n">
        <v>7378.35</v>
      </c>
    </row>
    <row r="6084" ht="12" customHeight="1">
      <c r="A6084" s="30" t="inlineStr">
        <is>
          <t>ITG</t>
        </is>
      </c>
      <c r="B6084" s="30" t="inlineStr">
        <is>
          <t>Itaguai</t>
        </is>
      </c>
      <c r="C6084" s="30" t="n">
        <v>79384232</v>
      </c>
      <c r="D6084" s="30">
        <f>"12500309000120"</f>
        <v/>
      </c>
      <c r="E6084" s="30" t="inlineStr">
        <is>
          <t>FLAVIA DA SILVA ZAMBONI CABELEIREIRA</t>
        </is>
      </c>
      <c r="F6084" s="30" t="inlineStr">
        <is>
          <t>2017</t>
        </is>
      </c>
      <c r="G6084" s="40" t="n">
        <v>0</v>
      </c>
    </row>
    <row r="6085" ht="12" customHeight="1">
      <c r="A6085" s="30" t="inlineStr">
        <is>
          <t>ITG</t>
        </is>
      </c>
      <c r="B6085" s="30" t="inlineStr">
        <is>
          <t>Itaguai</t>
        </is>
      </c>
      <c r="C6085" s="30" t="n">
        <v>79384232</v>
      </c>
      <c r="D6085" s="30">
        <f>"12500309000120"</f>
        <v/>
      </c>
      <c r="E6085" s="30" t="inlineStr">
        <is>
          <t>FLAVIA DA SILVA ZAMBONI CABELEIREIRA</t>
        </is>
      </c>
      <c r="F6085" s="30" t="inlineStr">
        <is>
          <t>2018</t>
        </is>
      </c>
      <c r="G6085" s="40" t="n">
        <v>0</v>
      </c>
    </row>
    <row r="6086" ht="12" customHeight="1">
      <c r="A6086" s="30" t="inlineStr">
        <is>
          <t>ITG</t>
        </is>
      </c>
      <c r="B6086" s="30" t="inlineStr">
        <is>
          <t>Itaguai</t>
        </is>
      </c>
      <c r="C6086" s="30" t="n">
        <v>79384232</v>
      </c>
      <c r="D6086" s="30">
        <f>"12500309000120"</f>
        <v/>
      </c>
      <c r="E6086" s="30" t="inlineStr">
        <is>
          <t>FLAVIA DA SILVA ZAMBONI CABELEIREIRA</t>
        </is>
      </c>
      <c r="F6086" s="30" t="inlineStr">
        <is>
          <t>2019</t>
        </is>
      </c>
      <c r="G6086" s="40" t="n">
        <v>0</v>
      </c>
    </row>
    <row r="6087" ht="12" customHeight="1">
      <c r="A6087" s="30" t="inlineStr">
        <is>
          <t>ITG</t>
        </is>
      </c>
      <c r="B6087" s="30" t="inlineStr">
        <is>
          <t>Itaguai</t>
        </is>
      </c>
      <c r="C6087" s="30" t="n">
        <v>79393789</v>
      </c>
      <c r="D6087" s="30">
        <f>"09044235019098"</f>
        <v/>
      </c>
      <c r="E6087" s="30" t="inlineStr">
        <is>
          <t>Q1 COMERCIAL DE ROUPAS S A</t>
        </is>
      </c>
      <c r="F6087" s="30" t="inlineStr">
        <is>
          <t>2017</t>
        </is>
      </c>
      <c r="G6087" s="40" t="n">
        <v>0</v>
      </c>
    </row>
    <row r="6088" ht="12" customHeight="1">
      <c r="A6088" s="30" t="inlineStr">
        <is>
          <t>ITG</t>
        </is>
      </c>
      <c r="B6088" s="30" t="inlineStr">
        <is>
          <t>Itaguai</t>
        </is>
      </c>
      <c r="C6088" s="30" t="n">
        <v>79393789</v>
      </c>
      <c r="D6088" s="30">
        <f>"09044235019098"</f>
        <v/>
      </c>
      <c r="E6088" s="30" t="inlineStr">
        <is>
          <t>Q1 COMERCIAL DE ROUPAS S A</t>
        </is>
      </c>
      <c r="F6088" s="30" t="inlineStr">
        <is>
          <t>2018</t>
        </is>
      </c>
      <c r="G6088" s="40" t="n">
        <v>198987.1</v>
      </c>
    </row>
    <row r="6089" ht="12" customHeight="1">
      <c r="A6089" s="30" t="inlineStr">
        <is>
          <t>ITG</t>
        </is>
      </c>
      <c r="B6089" s="30" t="inlineStr">
        <is>
          <t>Itaguai</t>
        </is>
      </c>
      <c r="C6089" s="30" t="n">
        <v>79393789</v>
      </c>
      <c r="D6089" s="30">
        <f>"09044235019098"</f>
        <v/>
      </c>
      <c r="E6089" s="30" t="inlineStr">
        <is>
          <t>Q1 COMERCIAL DE ROUPAS S A</t>
        </is>
      </c>
      <c r="F6089" s="30" t="inlineStr">
        <is>
          <t>2019</t>
        </is>
      </c>
      <c r="G6089" s="40" t="n">
        <v>47886.36</v>
      </c>
    </row>
    <row r="6090" ht="12" customHeight="1">
      <c r="A6090" s="30" t="inlineStr">
        <is>
          <t>ITG</t>
        </is>
      </c>
      <c r="B6090" s="30" t="inlineStr">
        <is>
          <t>Itaguai</t>
        </is>
      </c>
      <c r="C6090" s="30" t="n">
        <v>79393789</v>
      </c>
      <c r="D6090" s="30">
        <f>"09044235019098"</f>
        <v/>
      </c>
      <c r="E6090" s="30" t="inlineStr">
        <is>
          <t>Q1 COMERCIAL DE ROUPAS S A</t>
        </is>
      </c>
      <c r="F6090" s="30" t="inlineStr">
        <is>
          <t>2020</t>
        </is>
      </c>
      <c r="G6090" s="40" t="n">
        <v>0</v>
      </c>
    </row>
    <row r="6091" ht="12" customHeight="1">
      <c r="A6091" s="30" t="inlineStr">
        <is>
          <t>ITG</t>
        </is>
      </c>
      <c r="B6091" s="30" t="inlineStr">
        <is>
          <t>Itaguai</t>
        </is>
      </c>
      <c r="C6091" s="30" t="n">
        <v>79393789</v>
      </c>
      <c r="D6091" s="30">
        <f>"09044235019098"</f>
        <v/>
      </c>
      <c r="E6091" s="30" t="inlineStr">
        <is>
          <t>Q1 COMERCIAL DE ROUPAS S A</t>
        </is>
      </c>
      <c r="F6091" s="30" t="inlineStr">
        <is>
          <t>2021</t>
        </is>
      </c>
      <c r="G6091" s="40" t="n">
        <v>0</v>
      </c>
    </row>
    <row r="6092" ht="12" customHeight="1">
      <c r="A6092" s="30" t="inlineStr">
        <is>
          <t>ITG</t>
        </is>
      </c>
      <c r="B6092" s="30" t="inlineStr">
        <is>
          <t>Itaguai</t>
        </is>
      </c>
      <c r="C6092" s="30" t="n">
        <v>79394203</v>
      </c>
      <c r="D6092" s="30">
        <f>"33014556068742"</f>
        <v/>
      </c>
      <c r="E6092" s="30" t="inlineStr">
        <is>
          <t>LOJAS AMERICANAS S.A.</t>
        </is>
      </c>
      <c r="F6092" s="30" t="inlineStr">
        <is>
          <t>2017</t>
        </is>
      </c>
      <c r="G6092" s="40" t="n">
        <v>1667820.14</v>
      </c>
    </row>
    <row r="6093" ht="12" customHeight="1">
      <c r="A6093" s="30" t="inlineStr">
        <is>
          <t>ITG</t>
        </is>
      </c>
      <c r="B6093" s="30" t="inlineStr">
        <is>
          <t>Itaguai</t>
        </is>
      </c>
      <c r="C6093" s="30" t="n">
        <v>79394203</v>
      </c>
      <c r="D6093" s="30">
        <f>"33014556068742"</f>
        <v/>
      </c>
      <c r="E6093" s="30" t="inlineStr">
        <is>
          <t>LOJAS AMERICANAS S.A.</t>
        </is>
      </c>
      <c r="F6093" s="30" t="inlineStr">
        <is>
          <t>2018</t>
        </is>
      </c>
      <c r="G6093" s="40" t="n">
        <v>1456198.35</v>
      </c>
    </row>
    <row r="6094" ht="12" customHeight="1">
      <c r="A6094" s="30" t="inlineStr">
        <is>
          <t>ITG</t>
        </is>
      </c>
      <c r="B6094" s="30" t="inlineStr">
        <is>
          <t>Itaguai</t>
        </is>
      </c>
      <c r="C6094" s="30" t="n">
        <v>79394203</v>
      </c>
      <c r="D6094" s="30">
        <f>"33014556068742"</f>
        <v/>
      </c>
      <c r="E6094" s="30" t="inlineStr">
        <is>
          <t>LOJAS AMERICANAS S.A.</t>
        </is>
      </c>
      <c r="F6094" s="30" t="inlineStr">
        <is>
          <t>2019</t>
        </is>
      </c>
      <c r="G6094" s="40" t="n">
        <v>1410950.26</v>
      </c>
    </row>
    <row r="6095" ht="12" customHeight="1">
      <c r="A6095" s="30" t="inlineStr">
        <is>
          <t>ITG</t>
        </is>
      </c>
      <c r="B6095" s="30" t="inlineStr">
        <is>
          <t>Itaguai</t>
        </is>
      </c>
      <c r="C6095" s="30" t="n">
        <v>79394203</v>
      </c>
      <c r="D6095" s="30">
        <f>"33014556068742"</f>
        <v/>
      </c>
      <c r="E6095" s="30" t="inlineStr">
        <is>
          <t>LOJAS AMERICANAS S.A.</t>
        </is>
      </c>
      <c r="F6095" s="30" t="inlineStr">
        <is>
          <t>2020</t>
        </is>
      </c>
      <c r="G6095" s="40" t="n">
        <v>1636291.09</v>
      </c>
    </row>
    <row r="6096" ht="12" customHeight="1">
      <c r="A6096" s="30" t="inlineStr">
        <is>
          <t>ITG</t>
        </is>
      </c>
      <c r="B6096" s="30" t="inlineStr">
        <is>
          <t>Itaguai</t>
        </is>
      </c>
      <c r="C6096" s="30" t="n">
        <v>79394203</v>
      </c>
      <c r="D6096" s="30">
        <f>"33014556068742"</f>
        <v/>
      </c>
      <c r="E6096" s="30" t="inlineStr">
        <is>
          <t>LOJAS AMERICANAS S.A.</t>
        </is>
      </c>
      <c r="F6096" s="30" t="inlineStr">
        <is>
          <t>2021</t>
        </is>
      </c>
      <c r="G6096" s="40" t="n">
        <v>0</v>
      </c>
    </row>
    <row r="6097" ht="12" customHeight="1">
      <c r="A6097" s="30" t="inlineStr">
        <is>
          <t>ITG</t>
        </is>
      </c>
      <c r="B6097" s="30" t="inlineStr">
        <is>
          <t>Itaguai</t>
        </is>
      </c>
      <c r="C6097" s="30" t="n">
        <v>79394203</v>
      </c>
      <c r="D6097" s="30">
        <f>"33014556068742"</f>
        <v/>
      </c>
      <c r="E6097" s="30" t="inlineStr">
        <is>
          <t>LOJAS AMERICANAS S.A.</t>
        </is>
      </c>
      <c r="F6097" s="30" t="inlineStr">
        <is>
          <t>2022</t>
        </is>
      </c>
      <c r="G6097" s="40" t="n">
        <v>0</v>
      </c>
    </row>
    <row r="6098" ht="12" customHeight="1">
      <c r="A6098" s="30" t="inlineStr">
        <is>
          <t>ITG</t>
        </is>
      </c>
      <c r="B6098" s="30" t="inlineStr">
        <is>
          <t>Itaguai</t>
        </is>
      </c>
      <c r="C6098" s="30" t="n">
        <v>79394203</v>
      </c>
      <c r="D6098" s="30">
        <f>"33014556068742"</f>
        <v/>
      </c>
      <c r="E6098" s="30" t="inlineStr">
        <is>
          <t>LOJAS AMERICANAS S.A.</t>
        </is>
      </c>
      <c r="F6098" s="30" t="inlineStr">
        <is>
          <t>2023</t>
        </is>
      </c>
      <c r="G6098" s="40" t="n">
        <v>0</v>
      </c>
    </row>
    <row r="6099" ht="12" customHeight="1">
      <c r="A6099" s="30" t="inlineStr">
        <is>
          <t>ITG</t>
        </is>
      </c>
      <c r="B6099" s="30" t="inlineStr">
        <is>
          <t>Itaguai</t>
        </is>
      </c>
      <c r="C6099" s="30" t="n">
        <v>79394521</v>
      </c>
      <c r="D6099" s="30">
        <f>"13759684000151"</f>
        <v/>
      </c>
      <c r="E6099" s="30" t="inlineStr">
        <is>
          <t>PRESERVE SOLUCOES AMBIENTAIS EIRELI</t>
        </is>
      </c>
      <c r="F6099" s="30" t="inlineStr">
        <is>
          <t>2017</t>
        </is>
      </c>
      <c r="G6099" s="40" t="n">
        <v>219297</v>
      </c>
    </row>
    <row r="6100" ht="12" customHeight="1">
      <c r="A6100" s="30" t="inlineStr">
        <is>
          <t>ITG</t>
        </is>
      </c>
      <c r="B6100" s="30" t="inlineStr">
        <is>
          <t>Itaguai</t>
        </is>
      </c>
      <c r="C6100" s="30" t="n">
        <v>79394521</v>
      </c>
      <c r="D6100" s="30">
        <f>"13759684000151"</f>
        <v/>
      </c>
      <c r="E6100" s="30" t="inlineStr">
        <is>
          <t>PRESERVE SOLUCOES AMBIENTAIS EIRELI</t>
        </is>
      </c>
      <c r="F6100" s="30" t="inlineStr">
        <is>
          <t>2018</t>
        </is>
      </c>
      <c r="G6100" s="40" t="n">
        <v>0</v>
      </c>
    </row>
    <row r="6101" ht="12" customHeight="1">
      <c r="A6101" s="30" t="inlineStr">
        <is>
          <t>ITG</t>
        </is>
      </c>
      <c r="B6101" s="30" t="inlineStr">
        <is>
          <t>Itaguai</t>
        </is>
      </c>
      <c r="C6101" s="30" t="n">
        <v>79394521</v>
      </c>
      <c r="D6101" s="30">
        <f>"13759684000151"</f>
        <v/>
      </c>
      <c r="E6101" s="30" t="inlineStr">
        <is>
          <t>PRESERVE SOLUCOES AMBIENTAIS EIRELI</t>
        </is>
      </c>
      <c r="F6101" s="30" t="inlineStr">
        <is>
          <t>2019</t>
        </is>
      </c>
      <c r="G6101" s="40" t="n">
        <v>0</v>
      </c>
    </row>
    <row r="6102" ht="12" customHeight="1">
      <c r="A6102" s="30" t="inlineStr">
        <is>
          <t>ITG</t>
        </is>
      </c>
      <c r="B6102" s="30" t="inlineStr">
        <is>
          <t>Itaguai</t>
        </is>
      </c>
      <c r="C6102" s="30" t="n">
        <v>79394521</v>
      </c>
      <c r="D6102" s="30">
        <f>"13759684000151"</f>
        <v/>
      </c>
      <c r="E6102" s="30" t="inlineStr">
        <is>
          <t>PRESERVE SOLUCOES AMBIENTAIS EIRELI</t>
        </is>
      </c>
      <c r="F6102" s="30" t="inlineStr">
        <is>
          <t>2020</t>
        </is>
      </c>
      <c r="G6102" s="40" t="n">
        <v>0</v>
      </c>
    </row>
    <row r="6103" ht="12" customHeight="1">
      <c r="A6103" s="30" t="inlineStr">
        <is>
          <t>ITG</t>
        </is>
      </c>
      <c r="B6103" s="30" t="inlineStr">
        <is>
          <t>Itaguai</t>
        </is>
      </c>
      <c r="C6103" s="30" t="n">
        <v>79394521</v>
      </c>
      <c r="D6103" s="30">
        <f>"13759684000151"</f>
        <v/>
      </c>
      <c r="E6103" s="30" t="inlineStr">
        <is>
          <t>PRESERVE SOLUCOES AMBIENTAIS EIRELI</t>
        </is>
      </c>
      <c r="F6103" s="30" t="inlineStr">
        <is>
          <t>2021</t>
        </is>
      </c>
      <c r="G6103" s="40" t="n">
        <v>0</v>
      </c>
    </row>
    <row r="6104" ht="12" customHeight="1">
      <c r="A6104" s="30" t="inlineStr">
        <is>
          <t>ITG</t>
        </is>
      </c>
      <c r="B6104" s="30" t="inlineStr">
        <is>
          <t>Itaguai</t>
        </is>
      </c>
      <c r="C6104" s="30" t="n">
        <v>79394521</v>
      </c>
      <c r="D6104" s="30">
        <f>"13759684000151"</f>
        <v/>
      </c>
      <c r="E6104" s="30" t="inlineStr">
        <is>
          <t>PRESERVE SOLUCOES AMBIENTAIS EIRELI</t>
        </is>
      </c>
      <c r="F6104" s="30" t="inlineStr">
        <is>
          <t>2022</t>
        </is>
      </c>
      <c r="G6104" s="40" t="n">
        <v>794.48</v>
      </c>
    </row>
    <row r="6105" ht="12" customHeight="1">
      <c r="A6105" s="30" t="inlineStr">
        <is>
          <t>ITG</t>
        </is>
      </c>
      <c r="B6105" s="30" t="inlineStr">
        <is>
          <t>Itaguai</t>
        </is>
      </c>
      <c r="C6105" s="30" t="n">
        <v>79394521</v>
      </c>
      <c r="D6105" s="30">
        <f>"13759684000151"</f>
        <v/>
      </c>
      <c r="E6105" s="30" t="inlineStr">
        <is>
          <t>PRESERVE SOLUCOES AMBIENTAIS EIRELI</t>
        </is>
      </c>
      <c r="F6105" s="30" t="inlineStr">
        <is>
          <t>2023</t>
        </is>
      </c>
      <c r="G6105" s="40" t="n">
        <v>0</v>
      </c>
    </row>
    <row r="6106" ht="12" customHeight="1">
      <c r="A6106" s="30" t="inlineStr">
        <is>
          <t>ITG</t>
        </is>
      </c>
      <c r="B6106" s="30" t="inlineStr">
        <is>
          <t>Itaguai</t>
        </is>
      </c>
      <c r="C6106" s="30" t="n">
        <v>79395595</v>
      </c>
      <c r="D6106" s="30">
        <f>"13725103000160"</f>
        <v/>
      </c>
      <c r="E6106" s="30" t="inlineStr">
        <is>
          <t>INTALOG LOGISTICA TRANSPORTES LTDA</t>
        </is>
      </c>
      <c r="F6106" s="30" t="inlineStr">
        <is>
          <t>2017</t>
        </is>
      </c>
      <c r="G6106" s="40" t="n">
        <v>399526.41</v>
      </c>
    </row>
    <row r="6107" ht="12" customHeight="1">
      <c r="A6107" s="30" t="inlineStr">
        <is>
          <t>ITG</t>
        </is>
      </c>
      <c r="B6107" s="30" t="inlineStr">
        <is>
          <t>Itaguai</t>
        </is>
      </c>
      <c r="C6107" s="30" t="n">
        <v>79395595</v>
      </c>
      <c r="D6107" s="30">
        <f>"13725103000160"</f>
        <v/>
      </c>
      <c r="E6107" s="30" t="inlineStr">
        <is>
          <t>INTALOG LOGISTICA TRANSPORTES LTDA</t>
        </is>
      </c>
      <c r="F6107" s="30" t="inlineStr">
        <is>
          <t>2018</t>
        </is>
      </c>
      <c r="G6107" s="40" t="n">
        <v>1729370.62</v>
      </c>
    </row>
    <row r="6108" ht="12" customHeight="1">
      <c r="A6108" s="30" t="inlineStr">
        <is>
          <t>ITG</t>
        </is>
      </c>
      <c r="B6108" s="30" t="inlineStr">
        <is>
          <t>Itaguai</t>
        </is>
      </c>
      <c r="C6108" s="30" t="n">
        <v>79395595</v>
      </c>
      <c r="D6108" s="30">
        <f>"13725103000160"</f>
        <v/>
      </c>
      <c r="E6108" s="30" t="inlineStr">
        <is>
          <t>INTALOG LOGISTICA TRANSPORTES LTDA</t>
        </is>
      </c>
      <c r="F6108" s="30" t="inlineStr">
        <is>
          <t>2019</t>
        </is>
      </c>
      <c r="G6108" s="40" t="n">
        <v>1959487.02</v>
      </c>
    </row>
    <row r="6109" ht="12" customHeight="1">
      <c r="A6109" s="30" t="inlineStr">
        <is>
          <t>ITG</t>
        </is>
      </c>
      <c r="B6109" s="30" t="inlineStr">
        <is>
          <t>Itaguai</t>
        </is>
      </c>
      <c r="C6109" s="30" t="n">
        <v>79395595</v>
      </c>
      <c r="D6109" s="30">
        <f>"13725103000160"</f>
        <v/>
      </c>
      <c r="E6109" s="30" t="inlineStr">
        <is>
          <t>INTALOG LOGISTICA TRANSPORTES LTDA</t>
        </is>
      </c>
      <c r="F6109" s="30" t="inlineStr">
        <is>
          <t>2020</t>
        </is>
      </c>
      <c r="G6109" s="40" t="n">
        <v>0</v>
      </c>
    </row>
    <row r="6110" ht="12" customHeight="1">
      <c r="A6110" s="30" t="inlineStr">
        <is>
          <t>ITG</t>
        </is>
      </c>
      <c r="B6110" s="30" t="inlineStr">
        <is>
          <t>Itaguai</t>
        </is>
      </c>
      <c r="C6110" s="30" t="n">
        <v>79395595</v>
      </c>
      <c r="D6110" s="30">
        <f>"13725103000160"</f>
        <v/>
      </c>
      <c r="E6110" s="30" t="inlineStr">
        <is>
          <t>INTALOG LOGISTICA TRANSPORTES LTDA</t>
        </is>
      </c>
      <c r="F6110" s="30" t="inlineStr">
        <is>
          <t>2021</t>
        </is>
      </c>
      <c r="G6110" s="40" t="n">
        <v>1126783.62</v>
      </c>
    </row>
    <row r="6111" ht="12" customHeight="1">
      <c r="A6111" s="30" t="inlineStr">
        <is>
          <t>ITG</t>
        </is>
      </c>
      <c r="B6111" s="30" t="inlineStr">
        <is>
          <t>Itaguai</t>
        </is>
      </c>
      <c r="C6111" s="30" t="n">
        <v>79395595</v>
      </c>
      <c r="D6111" s="30">
        <f>"13725103000160"</f>
        <v/>
      </c>
      <c r="E6111" s="30" t="inlineStr">
        <is>
          <t>INTALOG LOGISTICA TRANSPORTES LTDA</t>
        </is>
      </c>
      <c r="F6111" s="30" t="inlineStr">
        <is>
          <t>2022</t>
        </is>
      </c>
      <c r="G6111" s="40" t="n">
        <v>3537704.46</v>
      </c>
    </row>
    <row r="6112" ht="12" customHeight="1">
      <c r="A6112" s="30" t="inlineStr">
        <is>
          <t>ITG</t>
        </is>
      </c>
      <c r="B6112" s="30" t="inlineStr">
        <is>
          <t>Itaguai</t>
        </is>
      </c>
      <c r="C6112" s="30" t="n">
        <v>79395595</v>
      </c>
      <c r="D6112" s="30">
        <f>"13725103000160"</f>
        <v/>
      </c>
      <c r="E6112" s="30" t="inlineStr">
        <is>
          <t>INTALOG LOGISTICA TRANSPORTES LTDA</t>
        </is>
      </c>
      <c r="F6112" s="30" t="inlineStr">
        <is>
          <t>2023</t>
        </is>
      </c>
      <c r="G6112" s="40" t="n">
        <v>2698686.18</v>
      </c>
    </row>
    <row r="6113" ht="12" customHeight="1">
      <c r="A6113" s="30" t="inlineStr">
        <is>
          <t>ITG</t>
        </is>
      </c>
      <c r="B6113" s="30" t="inlineStr">
        <is>
          <t>Itaguai</t>
        </is>
      </c>
      <c r="C6113" s="30" t="n">
        <v>79402605</v>
      </c>
      <c r="D6113" s="30">
        <f>"13742011000199"</f>
        <v/>
      </c>
      <c r="E6113" s="30" t="inlineStr">
        <is>
          <t>TRANSLUC TRANSPORTES E SERVICOS EIRELI EPP</t>
        </is>
      </c>
      <c r="F6113" s="30" t="inlineStr">
        <is>
          <t>2020</t>
        </is>
      </c>
      <c r="G6113" s="40" t="n">
        <v>0</v>
      </c>
    </row>
    <row r="6114" ht="12" customHeight="1">
      <c r="A6114" s="30" t="inlineStr">
        <is>
          <t>ITG</t>
        </is>
      </c>
      <c r="B6114" s="30" t="inlineStr">
        <is>
          <t>Itaguai</t>
        </is>
      </c>
      <c r="C6114" s="30" t="n">
        <v>79402605</v>
      </c>
      <c r="D6114" s="30">
        <f>"13742011000199"</f>
        <v/>
      </c>
      <c r="E6114" s="30" t="inlineStr">
        <is>
          <t>TRANSLUC TRANSPORTES E SERVICOS EIRELI EPP</t>
        </is>
      </c>
      <c r="F6114" s="30" t="inlineStr">
        <is>
          <t>2021</t>
        </is>
      </c>
      <c r="G6114" s="40" t="n">
        <v>0</v>
      </c>
    </row>
    <row r="6115" ht="12" customHeight="1">
      <c r="A6115" s="30" t="inlineStr">
        <is>
          <t>ITG</t>
        </is>
      </c>
      <c r="B6115" s="30" t="inlineStr">
        <is>
          <t>Itaguai</t>
        </is>
      </c>
      <c r="C6115" s="30" t="n">
        <v>79402605</v>
      </c>
      <c r="D6115" s="30">
        <f>"13742011000199"</f>
        <v/>
      </c>
      <c r="E6115" s="30" t="inlineStr">
        <is>
          <t>TRANSLUC TRANSPORTES E SERVICOS EIRELI EPP</t>
        </is>
      </c>
      <c r="F6115" s="30" t="inlineStr">
        <is>
          <t>2022</t>
        </is>
      </c>
      <c r="G6115" s="40" t="n">
        <v>13387.5</v>
      </c>
    </row>
    <row r="6116" ht="12" customHeight="1">
      <c r="A6116" s="30" t="inlineStr">
        <is>
          <t>ITG</t>
        </is>
      </c>
      <c r="B6116" s="30" t="inlineStr">
        <is>
          <t>Itaguai</t>
        </is>
      </c>
      <c r="C6116" s="30" t="n">
        <v>79402605</v>
      </c>
      <c r="D6116" s="30">
        <f>"13742011000199"</f>
        <v/>
      </c>
      <c r="E6116" s="30" t="inlineStr">
        <is>
          <t>TRANSLUC TRANSPORTES E SERVICOS EIRELI EPP</t>
        </is>
      </c>
      <c r="F6116" s="30" t="inlineStr">
        <is>
          <t>2023</t>
        </is>
      </c>
      <c r="G6116" s="40" t="n">
        <v>0</v>
      </c>
    </row>
    <row r="6117" ht="12" customHeight="1">
      <c r="A6117" s="30" t="inlineStr">
        <is>
          <t>ITG</t>
        </is>
      </c>
      <c r="B6117" s="30" t="inlineStr">
        <is>
          <t>Itaguai</t>
        </is>
      </c>
      <c r="C6117" s="30" t="n">
        <v>79421707</v>
      </c>
      <c r="D6117" s="30">
        <f>"13847255000136"</f>
        <v/>
      </c>
      <c r="E6117" s="30" t="inlineStr">
        <is>
          <t>BAZAR O AMIGAO DE ITAGUAI LTDA EPP</t>
        </is>
      </c>
      <c r="F6117" s="30" t="inlineStr">
        <is>
          <t>2017</t>
        </is>
      </c>
      <c r="G6117" s="40" t="n">
        <v>4378790.71</v>
      </c>
    </row>
    <row r="6118" ht="12" customHeight="1">
      <c r="A6118" s="30" t="inlineStr">
        <is>
          <t>ITG</t>
        </is>
      </c>
      <c r="B6118" s="30" t="inlineStr">
        <is>
          <t>Itaguai</t>
        </is>
      </c>
      <c r="C6118" s="30" t="n">
        <v>79421707</v>
      </c>
      <c r="D6118" s="30">
        <f>"13847255000136"</f>
        <v/>
      </c>
      <c r="E6118" s="30" t="inlineStr">
        <is>
          <t>BAZAR O AMIGAO DE ITAGUAI LTDA EPP</t>
        </is>
      </c>
      <c r="F6118" s="30" t="inlineStr">
        <is>
          <t>2018</t>
        </is>
      </c>
      <c r="G6118" s="40" t="n">
        <v>4684352.87</v>
      </c>
    </row>
    <row r="6119" ht="12" customHeight="1">
      <c r="A6119" s="30" t="inlineStr">
        <is>
          <t>ITG</t>
        </is>
      </c>
      <c r="B6119" s="30" t="inlineStr">
        <is>
          <t>Itaguai</t>
        </is>
      </c>
      <c r="C6119" s="30" t="n">
        <v>79421707</v>
      </c>
      <c r="D6119" s="30">
        <f>"13847255000136"</f>
        <v/>
      </c>
      <c r="E6119" s="30" t="inlineStr">
        <is>
          <t>BAZAR O AMIGAO DE ITAGUAI LTDA EPP</t>
        </is>
      </c>
      <c r="F6119" s="30" t="inlineStr">
        <is>
          <t>2019</t>
        </is>
      </c>
      <c r="G6119" s="40" t="n">
        <v>5313907.8</v>
      </c>
    </row>
    <row r="6120" ht="12" customHeight="1">
      <c r="A6120" s="30" t="inlineStr">
        <is>
          <t>ITG</t>
        </is>
      </c>
      <c r="B6120" s="30" t="inlineStr">
        <is>
          <t>Itaguai</t>
        </is>
      </c>
      <c r="C6120" s="30" t="n">
        <v>79421707</v>
      </c>
      <c r="D6120" s="30">
        <f>"13847255000136"</f>
        <v/>
      </c>
      <c r="E6120" s="30" t="inlineStr">
        <is>
          <t>BAZAR O AMIGAO DE ITAGUAI LTDA EPP</t>
        </is>
      </c>
      <c r="F6120" s="30" t="inlineStr">
        <is>
          <t>2020</t>
        </is>
      </c>
      <c r="G6120" s="40" t="n">
        <v>5121341.42</v>
      </c>
    </row>
    <row r="6121" ht="12" customHeight="1">
      <c r="A6121" s="30" t="inlineStr">
        <is>
          <t>ITG</t>
        </is>
      </c>
      <c r="B6121" s="30" t="inlineStr">
        <is>
          <t>Itaguai</t>
        </is>
      </c>
      <c r="C6121" s="30" t="n">
        <v>79421707</v>
      </c>
      <c r="D6121" s="30">
        <f>"13847255000136"</f>
        <v/>
      </c>
      <c r="E6121" s="30" t="inlineStr">
        <is>
          <t>BAZAR O AMIGAO DE ITAGUAI LTDA EPP</t>
        </is>
      </c>
      <c r="F6121" s="30" t="inlineStr">
        <is>
          <t>2021</t>
        </is>
      </c>
      <c r="G6121" s="40" t="n">
        <v>5397770.21</v>
      </c>
    </row>
    <row r="6122" ht="12" customHeight="1">
      <c r="A6122" s="30" t="inlineStr">
        <is>
          <t>ITG</t>
        </is>
      </c>
      <c r="B6122" s="30" t="inlineStr">
        <is>
          <t>Itaguai</t>
        </is>
      </c>
      <c r="C6122" s="30" t="n">
        <v>79421707</v>
      </c>
      <c r="D6122" s="30">
        <f>"13847255000136"</f>
        <v/>
      </c>
      <c r="E6122" s="30" t="inlineStr">
        <is>
          <t>BAZAR O AMIGAO DE ITAGUAI LTDA EPP</t>
        </is>
      </c>
      <c r="F6122" s="30" t="inlineStr">
        <is>
          <t>2022</t>
        </is>
      </c>
      <c r="G6122" s="40" t="n">
        <v>6514656.79</v>
      </c>
    </row>
    <row r="6123" ht="12" customHeight="1">
      <c r="A6123" s="30" t="inlineStr">
        <is>
          <t>ITG</t>
        </is>
      </c>
      <c r="B6123" s="30" t="inlineStr">
        <is>
          <t>Itaguai</t>
        </is>
      </c>
      <c r="C6123" s="30" t="n">
        <v>79421707</v>
      </c>
      <c r="D6123" s="30">
        <f>"13847255000136"</f>
        <v/>
      </c>
      <c r="E6123" s="30" t="inlineStr">
        <is>
          <t>BAZAR O AMIGAO DE ITAGUAI LTDA EPP</t>
        </is>
      </c>
      <c r="F6123" s="30" t="inlineStr">
        <is>
          <t>2023</t>
        </is>
      </c>
      <c r="G6123" s="40" t="n">
        <v>7886171.65</v>
      </c>
    </row>
    <row r="6124" ht="12" customHeight="1">
      <c r="A6124" s="30" t="inlineStr">
        <is>
          <t>ITG</t>
        </is>
      </c>
      <c r="B6124" s="30" t="inlineStr">
        <is>
          <t>Itaguai</t>
        </is>
      </c>
      <c r="C6124" s="30" t="n">
        <v>79424862</v>
      </c>
      <c r="D6124" s="30">
        <f>"13481309005402"</f>
        <v/>
      </c>
      <c r="E6124" s="30" t="inlineStr">
        <is>
          <t>RN COMERCIO VAREJISTA S/A</t>
        </is>
      </c>
      <c r="F6124" s="30" t="inlineStr">
        <is>
          <t>2017</t>
        </is>
      </c>
      <c r="G6124" s="40" t="n">
        <v>948417</v>
      </c>
    </row>
    <row r="6125" ht="12" customHeight="1">
      <c r="A6125" s="30" t="inlineStr">
        <is>
          <t>ITG</t>
        </is>
      </c>
      <c r="B6125" s="30" t="inlineStr">
        <is>
          <t>Itaguai</t>
        </is>
      </c>
      <c r="C6125" s="30" t="n">
        <v>79424862</v>
      </c>
      <c r="D6125" s="30">
        <f>"13481309005402"</f>
        <v/>
      </c>
      <c r="E6125" s="30" t="inlineStr">
        <is>
          <t>RN COMERCIO VAREJISTA S/A</t>
        </is>
      </c>
      <c r="F6125" s="30" t="inlineStr">
        <is>
          <t>2018</t>
        </is>
      </c>
      <c r="G6125" s="40" t="n">
        <v>546764.87</v>
      </c>
    </row>
    <row r="6126" ht="12" customHeight="1">
      <c r="A6126" s="30" t="inlineStr">
        <is>
          <t>ITG</t>
        </is>
      </c>
      <c r="B6126" s="30" t="inlineStr">
        <is>
          <t>Itaguai</t>
        </is>
      </c>
      <c r="C6126" s="30" t="n">
        <v>79424862</v>
      </c>
      <c r="D6126" s="30">
        <f>"13481309005402"</f>
        <v/>
      </c>
      <c r="E6126" s="30" t="inlineStr">
        <is>
          <t>RN COMERCIO VAREJISTA S/A</t>
        </is>
      </c>
      <c r="F6126" s="30" t="inlineStr">
        <is>
          <t>2019</t>
        </is>
      </c>
      <c r="G6126" s="40" t="n">
        <v>594050.73</v>
      </c>
    </row>
    <row r="6127" ht="12" customHeight="1">
      <c r="A6127" s="30" t="inlineStr">
        <is>
          <t>ITG</t>
        </is>
      </c>
      <c r="B6127" s="30" t="inlineStr">
        <is>
          <t>Itaguai</t>
        </is>
      </c>
      <c r="C6127" s="30" t="n">
        <v>79424862</v>
      </c>
      <c r="D6127" s="30">
        <f>"13481309005402"</f>
        <v/>
      </c>
      <c r="E6127" s="30" t="inlineStr">
        <is>
          <t>RN COMERCIO VAREJISTA S/A</t>
        </is>
      </c>
      <c r="F6127" s="30" t="inlineStr">
        <is>
          <t>2020</t>
        </is>
      </c>
      <c r="G6127" s="40" t="n">
        <v>0</v>
      </c>
    </row>
    <row r="6128" ht="12" customHeight="1">
      <c r="A6128" s="30" t="inlineStr">
        <is>
          <t>ITG</t>
        </is>
      </c>
      <c r="B6128" s="30" t="inlineStr">
        <is>
          <t>Itaguai</t>
        </is>
      </c>
      <c r="C6128" s="30" t="n">
        <v>79424862</v>
      </c>
      <c r="D6128" s="30">
        <f>"13481309005402"</f>
        <v/>
      </c>
      <c r="E6128" s="30" t="inlineStr">
        <is>
          <t>RN COMERCIO VAREJISTA S/A</t>
        </is>
      </c>
      <c r="F6128" s="30" t="inlineStr">
        <is>
          <t>2021</t>
        </is>
      </c>
      <c r="G6128" s="40" t="n">
        <v>0</v>
      </c>
    </row>
    <row r="6129" ht="12" customHeight="1">
      <c r="A6129" s="30" t="inlineStr">
        <is>
          <t>ITG</t>
        </is>
      </c>
      <c r="B6129" s="30" t="inlineStr">
        <is>
          <t>Itaguai</t>
        </is>
      </c>
      <c r="C6129" s="30" t="n">
        <v>79424862</v>
      </c>
      <c r="D6129" s="30">
        <f>"13481309005402"</f>
        <v/>
      </c>
      <c r="E6129" s="30" t="inlineStr">
        <is>
          <t>RN COMERCIO VAREJISTA S/A</t>
        </is>
      </c>
      <c r="F6129" s="30" t="inlineStr">
        <is>
          <t>2022</t>
        </is>
      </c>
      <c r="G6129" s="40" t="n">
        <v>0</v>
      </c>
    </row>
    <row r="6130" ht="12" customHeight="1">
      <c r="A6130" s="30" t="inlineStr">
        <is>
          <t>ITG</t>
        </is>
      </c>
      <c r="B6130" s="30" t="inlineStr">
        <is>
          <t>Itaguai</t>
        </is>
      </c>
      <c r="C6130" s="30" t="n">
        <v>79424862</v>
      </c>
      <c r="D6130" s="30">
        <f>"13481309005402"</f>
        <v/>
      </c>
      <c r="E6130" s="30" t="inlineStr">
        <is>
          <t>RN COMERCIO VAREJISTA S/A</t>
        </is>
      </c>
      <c r="F6130" s="30" t="inlineStr">
        <is>
          <t>2023</t>
        </is>
      </c>
      <c r="G6130" s="40" t="n">
        <v>0</v>
      </c>
    </row>
    <row r="6131" ht="12" customHeight="1">
      <c r="A6131" s="30" t="inlineStr">
        <is>
          <t>ITG</t>
        </is>
      </c>
      <c r="B6131" s="30" t="inlineStr">
        <is>
          <t>Itaguai</t>
        </is>
      </c>
      <c r="C6131" s="30" t="n">
        <v>79425532</v>
      </c>
      <c r="D6131" s="30">
        <f>"13481309009149"</f>
        <v/>
      </c>
      <c r="E6131" s="30" t="inlineStr">
        <is>
          <t>RN COMERCIO VAREJISTA S/A</t>
        </is>
      </c>
      <c r="F6131" s="30" t="inlineStr">
        <is>
          <t>2017</t>
        </is>
      </c>
      <c r="G6131" s="40" t="n">
        <v>0</v>
      </c>
    </row>
    <row r="6132" ht="12" customHeight="1">
      <c r="A6132" s="30" t="inlineStr">
        <is>
          <t>ITG</t>
        </is>
      </c>
      <c r="B6132" s="30" t="inlineStr">
        <is>
          <t>Itaguai</t>
        </is>
      </c>
      <c r="C6132" s="30" t="n">
        <v>79425532</v>
      </c>
      <c r="D6132" s="30">
        <f>"13481309009149"</f>
        <v/>
      </c>
      <c r="E6132" s="30" t="inlineStr">
        <is>
          <t>RN COMERCIO VAREJISTA S/A</t>
        </is>
      </c>
      <c r="F6132" s="30" t="inlineStr">
        <is>
          <t>2018</t>
        </is>
      </c>
      <c r="G6132" s="40" t="n">
        <v>0</v>
      </c>
    </row>
    <row r="6133" ht="12" customHeight="1">
      <c r="A6133" s="30" t="inlineStr">
        <is>
          <t>ITG</t>
        </is>
      </c>
      <c r="B6133" s="30" t="inlineStr">
        <is>
          <t>Itaguai</t>
        </is>
      </c>
      <c r="C6133" s="30" t="n">
        <v>79425532</v>
      </c>
      <c r="D6133" s="30">
        <f>"13481309009149"</f>
        <v/>
      </c>
      <c r="E6133" s="30" t="inlineStr">
        <is>
          <t>RN COMERCIO VAREJISTA S/A</t>
        </is>
      </c>
      <c r="F6133" s="30" t="inlineStr">
        <is>
          <t>2019</t>
        </is>
      </c>
      <c r="G6133" s="40" t="n">
        <v>0</v>
      </c>
    </row>
    <row r="6134" ht="12" customHeight="1">
      <c r="A6134" s="30" t="inlineStr">
        <is>
          <t>ITG</t>
        </is>
      </c>
      <c r="B6134" s="30" t="inlineStr">
        <is>
          <t>Itaguai</t>
        </is>
      </c>
      <c r="C6134" s="30" t="n">
        <v>79425532</v>
      </c>
      <c r="D6134" s="30">
        <f>"13481309009149"</f>
        <v/>
      </c>
      <c r="E6134" s="30" t="inlineStr">
        <is>
          <t>RN COMERCIO VAREJISTA S/A</t>
        </is>
      </c>
      <c r="F6134" s="30" t="inlineStr">
        <is>
          <t>2020</t>
        </is>
      </c>
      <c r="G6134" s="40" t="n">
        <v>0</v>
      </c>
    </row>
    <row r="6135" ht="12" customHeight="1">
      <c r="A6135" s="30" t="inlineStr">
        <is>
          <t>ITG</t>
        </is>
      </c>
      <c r="B6135" s="30" t="inlineStr">
        <is>
          <t>Itaguai</t>
        </is>
      </c>
      <c r="C6135" s="30" t="n">
        <v>79425532</v>
      </c>
      <c r="D6135" s="30">
        <f>"13481309009149"</f>
        <v/>
      </c>
      <c r="E6135" s="30" t="inlineStr">
        <is>
          <t>RN COMERCIO VAREJISTA S/A</t>
        </is>
      </c>
      <c r="F6135" s="30" t="inlineStr">
        <is>
          <t>2021</t>
        </is>
      </c>
      <c r="G6135" s="40" t="n">
        <v>0</v>
      </c>
    </row>
    <row r="6136" ht="12" customHeight="1">
      <c r="A6136" s="30" t="inlineStr">
        <is>
          <t>ITG</t>
        </is>
      </c>
      <c r="B6136" s="30" t="inlineStr">
        <is>
          <t>Itaguai</t>
        </is>
      </c>
      <c r="C6136" s="30" t="n">
        <v>79427047</v>
      </c>
      <c r="D6136" s="30">
        <f>"10334588000173"</f>
        <v/>
      </c>
      <c r="E6136" s="30" t="inlineStr">
        <is>
          <t>FENIX TRANSPORTES RODOVIARIOS LTDA EPP</t>
        </is>
      </c>
      <c r="F6136" s="30" t="inlineStr">
        <is>
          <t>2019</t>
        </is>
      </c>
      <c r="G6136" s="40" t="n">
        <v>0</v>
      </c>
    </row>
    <row r="6137" ht="12" customHeight="1">
      <c r="A6137" s="30" t="inlineStr">
        <is>
          <t>ITG</t>
        </is>
      </c>
      <c r="B6137" s="30" t="inlineStr">
        <is>
          <t>Itaguai</t>
        </is>
      </c>
      <c r="C6137" s="30" t="n">
        <v>79427047</v>
      </c>
      <c r="D6137" s="30">
        <f>"10334588000173"</f>
        <v/>
      </c>
      <c r="E6137" s="30" t="inlineStr">
        <is>
          <t>FENIX TRANSPORTES RODOVIARIOS LTDA EPP</t>
        </is>
      </c>
      <c r="F6137" s="30" t="inlineStr">
        <is>
          <t>2020</t>
        </is>
      </c>
      <c r="G6137" s="40" t="n">
        <v>0</v>
      </c>
    </row>
    <row r="6138" ht="12" customHeight="1">
      <c r="A6138" s="30" t="inlineStr">
        <is>
          <t>ITG</t>
        </is>
      </c>
      <c r="B6138" s="30" t="inlineStr">
        <is>
          <t>Itaguai</t>
        </is>
      </c>
      <c r="C6138" s="30" t="n">
        <v>79427047</v>
      </c>
      <c r="D6138" s="30">
        <f>"10334588000173"</f>
        <v/>
      </c>
      <c r="E6138" s="30" t="inlineStr">
        <is>
          <t>FENIX TRANSPORTES RODOVIARIOS LTDA EPP</t>
        </is>
      </c>
      <c r="F6138" s="30" t="inlineStr">
        <is>
          <t>2021</t>
        </is>
      </c>
      <c r="G6138" s="40" t="n">
        <v>9.59</v>
      </c>
    </row>
    <row r="6139" ht="12" customHeight="1">
      <c r="A6139" s="30" t="inlineStr">
        <is>
          <t>ITG</t>
        </is>
      </c>
      <c r="B6139" s="30" t="inlineStr">
        <is>
          <t>Itaguai</t>
        </is>
      </c>
      <c r="C6139" s="30" t="n">
        <v>79427047</v>
      </c>
      <c r="D6139" s="30">
        <f>"10334588000173"</f>
        <v/>
      </c>
      <c r="E6139" s="30" t="inlineStr">
        <is>
          <t>FENIX TRANSPORTES RODOVIARIOS LTDA EPP</t>
        </is>
      </c>
      <c r="F6139" s="30" t="inlineStr">
        <is>
          <t>2022</t>
        </is>
      </c>
      <c r="G6139" s="40" t="n">
        <v>0</v>
      </c>
    </row>
    <row r="6140" ht="12" customHeight="1">
      <c r="A6140" s="30" t="inlineStr">
        <is>
          <t>ITG</t>
        </is>
      </c>
      <c r="B6140" s="30" t="inlineStr">
        <is>
          <t>Itaguai</t>
        </is>
      </c>
      <c r="C6140" s="30" t="n">
        <v>79427047</v>
      </c>
      <c r="D6140" s="30">
        <f>"10334588000173"</f>
        <v/>
      </c>
      <c r="E6140" s="30" t="inlineStr">
        <is>
          <t>FENIX TRANSPORTES RODOVIARIOS LTDA EPP</t>
        </is>
      </c>
      <c r="F6140" s="30" t="inlineStr">
        <is>
          <t>2023</t>
        </is>
      </c>
      <c r="G6140" s="40" t="n">
        <v>0</v>
      </c>
    </row>
    <row r="6141" ht="12" customHeight="1">
      <c r="A6141" s="30" t="inlineStr">
        <is>
          <t>ITG</t>
        </is>
      </c>
      <c r="B6141" s="30" t="inlineStr">
        <is>
          <t>Itaguai</t>
        </is>
      </c>
      <c r="C6141" s="30" t="n">
        <v>79433802</v>
      </c>
      <c r="D6141" s="30">
        <f>"13982428000129"</f>
        <v/>
      </c>
      <c r="E6141" s="30" t="inlineStr">
        <is>
          <t>FORTE - GLASS SERRALHERIA E VIDRAÇARIA EIRELI</t>
        </is>
      </c>
      <c r="F6141" s="30" t="inlineStr">
        <is>
          <t>2017</t>
        </is>
      </c>
      <c r="G6141" s="40" t="n">
        <v>0</v>
      </c>
    </row>
    <row r="6142" ht="12" customHeight="1">
      <c r="A6142" s="30" t="inlineStr">
        <is>
          <t>ITG</t>
        </is>
      </c>
      <c r="B6142" s="30" t="inlineStr">
        <is>
          <t>Itaguai</t>
        </is>
      </c>
      <c r="C6142" s="30" t="n">
        <v>79433802</v>
      </c>
      <c r="D6142" s="30">
        <f>"13982428000129"</f>
        <v/>
      </c>
      <c r="E6142" s="30" t="inlineStr">
        <is>
          <t>FORTE - GLASS SERRALHERIA E VIDRAÇARIA EIRELI</t>
        </is>
      </c>
      <c r="F6142" s="30" t="inlineStr">
        <is>
          <t>2018</t>
        </is>
      </c>
      <c r="G6142" s="40" t="n">
        <v>0</v>
      </c>
    </row>
    <row r="6143" ht="12" customHeight="1">
      <c r="A6143" s="30" t="inlineStr">
        <is>
          <t>ITG</t>
        </is>
      </c>
      <c r="B6143" s="30" t="inlineStr">
        <is>
          <t>Itaguai</t>
        </is>
      </c>
      <c r="C6143" s="30" t="n">
        <v>79433802</v>
      </c>
      <c r="D6143" s="30">
        <f>"13982428000129"</f>
        <v/>
      </c>
      <c r="E6143" s="30" t="inlineStr">
        <is>
          <t>FORTE - GLASS SERRALHERIA E VIDRAÇARIA EIRELI</t>
        </is>
      </c>
      <c r="F6143" s="30" t="inlineStr">
        <is>
          <t>2019</t>
        </is>
      </c>
      <c r="G6143" s="40" t="n">
        <v>0</v>
      </c>
    </row>
    <row r="6144" ht="12" customHeight="1">
      <c r="A6144" s="30" t="inlineStr">
        <is>
          <t>ITG</t>
        </is>
      </c>
      <c r="B6144" s="30" t="inlineStr">
        <is>
          <t>Itaguai</t>
        </is>
      </c>
      <c r="C6144" s="30" t="n">
        <v>79433802</v>
      </c>
      <c r="D6144" s="30">
        <f>"13982428000129"</f>
        <v/>
      </c>
      <c r="E6144" s="30" t="inlineStr">
        <is>
          <t>FORTE - GLASS SERRALHERIA E VIDRAÇARIA EIRELI</t>
        </is>
      </c>
      <c r="F6144" s="30" t="inlineStr">
        <is>
          <t>2020</t>
        </is>
      </c>
      <c r="G6144" s="40" t="n">
        <v>0</v>
      </c>
    </row>
    <row r="6145" ht="12" customHeight="1">
      <c r="A6145" s="30" t="inlineStr">
        <is>
          <t>ITG</t>
        </is>
      </c>
      <c r="B6145" s="30" t="inlineStr">
        <is>
          <t>Itaguai</t>
        </is>
      </c>
      <c r="C6145" s="30" t="n">
        <v>79433802</v>
      </c>
      <c r="D6145" s="30">
        <f>"13982428000129"</f>
        <v/>
      </c>
      <c r="E6145" s="30" t="inlineStr">
        <is>
          <t>FORTE - GLASS SERRALHERIA E VIDRAÇARIA EIRELI</t>
        </is>
      </c>
      <c r="F6145" s="30" t="inlineStr">
        <is>
          <t>2021</t>
        </is>
      </c>
      <c r="G6145" s="40" t="n">
        <v>0</v>
      </c>
    </row>
    <row r="6146" ht="12" customHeight="1">
      <c r="A6146" s="30" t="inlineStr">
        <is>
          <t>ITG</t>
        </is>
      </c>
      <c r="B6146" s="30" t="inlineStr">
        <is>
          <t>Itaguai</t>
        </is>
      </c>
      <c r="C6146" s="30" t="n">
        <v>79433802</v>
      </c>
      <c r="D6146" s="30">
        <f>"13982428000129"</f>
        <v/>
      </c>
      <c r="E6146" s="30" t="inlineStr">
        <is>
          <t>FORTE - GLASS SERRALHERIA E VIDRAÇARIA EIRELI</t>
        </is>
      </c>
      <c r="F6146" s="30" t="inlineStr">
        <is>
          <t>2022</t>
        </is>
      </c>
      <c r="G6146" s="40" t="n">
        <v>0</v>
      </c>
    </row>
    <row r="6147" ht="12" customHeight="1">
      <c r="A6147" s="30" t="inlineStr">
        <is>
          <t>ITG</t>
        </is>
      </c>
      <c r="B6147" s="30" t="inlineStr">
        <is>
          <t>Itaguai</t>
        </is>
      </c>
      <c r="C6147" s="30" t="n">
        <v>79438111</v>
      </c>
      <c r="D6147" s="30">
        <f>"49025695000660"</f>
        <v/>
      </c>
      <c r="E6147" s="30" t="inlineStr">
        <is>
          <t>JD COCENZO &amp; CIA LTDA</t>
        </is>
      </c>
      <c r="F6147" s="30" t="inlineStr">
        <is>
          <t>2017</t>
        </is>
      </c>
      <c r="G6147" s="40" t="n">
        <v>0</v>
      </c>
    </row>
    <row r="6148" ht="12" customHeight="1">
      <c r="A6148" s="30" t="inlineStr">
        <is>
          <t>ITG</t>
        </is>
      </c>
      <c r="B6148" s="30" t="inlineStr">
        <is>
          <t>Itaguai</t>
        </is>
      </c>
      <c r="C6148" s="30" t="n">
        <v>79438111</v>
      </c>
      <c r="D6148" s="30">
        <f>"49025695000660"</f>
        <v/>
      </c>
      <c r="E6148" s="30" t="inlineStr">
        <is>
          <t>JD COCENZO &amp; CIA LTDA</t>
        </is>
      </c>
      <c r="F6148" s="30" t="inlineStr">
        <is>
          <t>2018</t>
        </is>
      </c>
      <c r="G6148" s="40" t="n">
        <v>1687.5</v>
      </c>
    </row>
    <row r="6149" ht="12" customHeight="1">
      <c r="A6149" s="30" t="inlineStr">
        <is>
          <t>ITG</t>
        </is>
      </c>
      <c r="B6149" s="30" t="inlineStr">
        <is>
          <t>Itaguai</t>
        </is>
      </c>
      <c r="C6149" s="30" t="n">
        <v>79438111</v>
      </c>
      <c r="D6149" s="30">
        <f>"49025695000660"</f>
        <v/>
      </c>
      <c r="E6149" s="30" t="inlineStr">
        <is>
          <t>JD COCENZO &amp; CIA LTDA</t>
        </is>
      </c>
      <c r="F6149" s="30" t="inlineStr">
        <is>
          <t>2019</t>
        </is>
      </c>
      <c r="G6149" s="40" t="n">
        <v>0</v>
      </c>
    </row>
    <row r="6150" ht="12" customHeight="1">
      <c r="A6150" s="30" t="inlineStr">
        <is>
          <t>ITG</t>
        </is>
      </c>
      <c r="B6150" s="30" t="inlineStr">
        <is>
          <t>Itaguai</t>
        </is>
      </c>
      <c r="C6150" s="30" t="n">
        <v>79438111</v>
      </c>
      <c r="D6150" s="30">
        <f>"49025695000660"</f>
        <v/>
      </c>
      <c r="E6150" s="30" t="inlineStr">
        <is>
          <t>JD COCENZO &amp; CIA LTDA</t>
        </is>
      </c>
      <c r="F6150" s="30" t="inlineStr">
        <is>
          <t>2020</t>
        </is>
      </c>
      <c r="G6150" s="40" t="n">
        <v>0</v>
      </c>
    </row>
    <row r="6151" ht="12" customHeight="1">
      <c r="A6151" s="30" t="inlineStr">
        <is>
          <t>ITG</t>
        </is>
      </c>
      <c r="B6151" s="30" t="inlineStr">
        <is>
          <t>Itaguai</t>
        </is>
      </c>
      <c r="C6151" s="30" t="n">
        <v>79438111</v>
      </c>
      <c r="D6151" s="30">
        <f>"49025695000660"</f>
        <v/>
      </c>
      <c r="E6151" s="30" t="inlineStr">
        <is>
          <t>JD COCENZO &amp; CIA LTDA</t>
        </is>
      </c>
      <c r="F6151" s="30" t="inlineStr">
        <is>
          <t>2021</t>
        </is>
      </c>
      <c r="G6151" s="40" t="n">
        <v>0</v>
      </c>
    </row>
    <row r="6152" ht="12" customHeight="1">
      <c r="A6152" s="30" t="inlineStr">
        <is>
          <t>ITG</t>
        </is>
      </c>
      <c r="B6152" s="30" t="inlineStr">
        <is>
          <t>Itaguai</t>
        </is>
      </c>
      <c r="C6152" s="30" t="n">
        <v>79438111</v>
      </c>
      <c r="D6152" s="30">
        <f>"49025695000660"</f>
        <v/>
      </c>
      <c r="E6152" s="30" t="inlineStr">
        <is>
          <t>JD COCENZO &amp; CIA LTDA</t>
        </is>
      </c>
      <c r="F6152" s="30" t="inlineStr">
        <is>
          <t>2022</t>
        </is>
      </c>
      <c r="G6152" s="40" t="n">
        <v>0</v>
      </c>
    </row>
    <row r="6153" ht="12" customHeight="1">
      <c r="A6153" s="30" t="inlineStr">
        <is>
          <t>ITG</t>
        </is>
      </c>
      <c r="B6153" s="30" t="inlineStr">
        <is>
          <t>Itaguai</t>
        </is>
      </c>
      <c r="C6153" s="30" t="n">
        <v>79438111</v>
      </c>
      <c r="D6153" s="30">
        <f>"49025695000660"</f>
        <v/>
      </c>
      <c r="E6153" s="30" t="inlineStr">
        <is>
          <t>JD COCENZO &amp; CIA LTDA</t>
        </is>
      </c>
      <c r="F6153" s="30" t="inlineStr">
        <is>
          <t>2023</t>
        </is>
      </c>
      <c r="G6153" s="40" t="n">
        <v>16530.4</v>
      </c>
    </row>
    <row r="6154" ht="12" customHeight="1">
      <c r="A6154" s="30" t="inlineStr">
        <is>
          <t>ITG</t>
        </is>
      </c>
      <c r="B6154" s="30" t="inlineStr">
        <is>
          <t>Itaguai</t>
        </is>
      </c>
      <c r="C6154" s="30" t="n">
        <v>79442178</v>
      </c>
      <c r="D6154" s="30">
        <f>"14000190000151"</f>
        <v/>
      </c>
      <c r="E6154" s="30" t="inlineStr">
        <is>
          <t>MG RODRIGUES TRANSPORTES LTDA ME</t>
        </is>
      </c>
      <c r="F6154" s="30" t="inlineStr">
        <is>
          <t>2017</t>
        </is>
      </c>
      <c r="G6154" s="40" t="n">
        <v>0</v>
      </c>
    </row>
    <row r="6155" ht="12" customHeight="1">
      <c r="A6155" s="30" t="inlineStr">
        <is>
          <t>ITG</t>
        </is>
      </c>
      <c r="B6155" s="30" t="inlineStr">
        <is>
          <t>Itaguai</t>
        </is>
      </c>
      <c r="C6155" s="30" t="n">
        <v>79442178</v>
      </c>
      <c r="D6155" s="30">
        <f>"14000190000151"</f>
        <v/>
      </c>
      <c r="E6155" s="30" t="inlineStr">
        <is>
          <t>MG RODRIGUES TRANSPORTES LTDA ME</t>
        </is>
      </c>
      <c r="F6155" s="30" t="inlineStr">
        <is>
          <t>2018</t>
        </is>
      </c>
      <c r="G6155" s="40" t="n">
        <v>8700</v>
      </c>
    </row>
    <row r="6156" ht="12" customHeight="1">
      <c r="A6156" s="30" t="inlineStr">
        <is>
          <t>ITG</t>
        </is>
      </c>
      <c r="B6156" s="30" t="inlineStr">
        <is>
          <t>Itaguai</t>
        </is>
      </c>
      <c r="C6156" s="30" t="n">
        <v>79442178</v>
      </c>
      <c r="D6156" s="30">
        <f>"14000190000151"</f>
        <v/>
      </c>
      <c r="E6156" s="30" t="inlineStr">
        <is>
          <t>MG RODRIGUES TRANSPORTES LTDA ME</t>
        </is>
      </c>
      <c r="F6156" s="30" t="inlineStr">
        <is>
          <t>2019</t>
        </is>
      </c>
      <c r="G6156" s="40" t="n">
        <v>40035.51</v>
      </c>
    </row>
    <row r="6157" ht="12" customHeight="1">
      <c r="A6157" s="30" t="inlineStr">
        <is>
          <t>ITG</t>
        </is>
      </c>
      <c r="B6157" s="30" t="inlineStr">
        <is>
          <t>Itaguai</t>
        </is>
      </c>
      <c r="C6157" s="30" t="n">
        <v>79442178</v>
      </c>
      <c r="D6157" s="30">
        <f>"14000190000151"</f>
        <v/>
      </c>
      <c r="E6157" s="30" t="inlineStr">
        <is>
          <t>MG RODRIGUES TRANSPORTES LTDA ME</t>
        </is>
      </c>
      <c r="F6157" s="30" t="inlineStr">
        <is>
          <t>2020</t>
        </is>
      </c>
      <c r="G6157" s="40" t="n">
        <v>0</v>
      </c>
    </row>
    <row r="6158" ht="12" customHeight="1">
      <c r="A6158" s="30" t="inlineStr">
        <is>
          <t>ITG</t>
        </is>
      </c>
      <c r="B6158" s="30" t="inlineStr">
        <is>
          <t>Itaguai</t>
        </is>
      </c>
      <c r="C6158" s="30" t="n">
        <v>79442178</v>
      </c>
      <c r="D6158" s="30">
        <f>"14000190000151"</f>
        <v/>
      </c>
      <c r="E6158" s="30" t="inlineStr">
        <is>
          <t>MG RODRIGUES TRANSPORTES LTDA ME</t>
        </is>
      </c>
      <c r="F6158" s="30" t="inlineStr">
        <is>
          <t>2021</t>
        </is>
      </c>
      <c r="G6158" s="40" t="n">
        <v>0</v>
      </c>
    </row>
    <row r="6159" ht="12" customHeight="1">
      <c r="A6159" s="30" t="inlineStr">
        <is>
          <t>ITG</t>
        </is>
      </c>
      <c r="B6159" s="30" t="inlineStr">
        <is>
          <t>Itaguai</t>
        </is>
      </c>
      <c r="C6159" s="30" t="n">
        <v>79444634</v>
      </c>
      <c r="D6159" s="30">
        <f>"13648760000151"</f>
        <v/>
      </c>
      <c r="E6159" s="30" t="inlineStr">
        <is>
          <t>TRANSPORTES PITASSI RJ EIRELI</t>
        </is>
      </c>
      <c r="F6159" s="30" t="inlineStr">
        <is>
          <t>2017</t>
        </is>
      </c>
      <c r="G6159" s="40" t="n">
        <v>0</v>
      </c>
    </row>
    <row r="6160" ht="12" customHeight="1">
      <c r="A6160" s="30" t="inlineStr">
        <is>
          <t>ITG</t>
        </is>
      </c>
      <c r="B6160" s="30" t="inlineStr">
        <is>
          <t>Itaguai</t>
        </is>
      </c>
      <c r="C6160" s="30" t="n">
        <v>79444634</v>
      </c>
      <c r="D6160" s="30">
        <f>"13648760000151"</f>
        <v/>
      </c>
      <c r="E6160" s="30" t="inlineStr">
        <is>
          <t>TRANSPORTES PITASSI RJ EIRELI</t>
        </is>
      </c>
      <c r="F6160" s="30" t="inlineStr">
        <is>
          <t>2018</t>
        </is>
      </c>
      <c r="G6160" s="40" t="n">
        <v>10993</v>
      </c>
    </row>
    <row r="6161" ht="12" customHeight="1">
      <c r="A6161" s="30" t="inlineStr">
        <is>
          <t>ITG</t>
        </is>
      </c>
      <c r="B6161" s="30" t="inlineStr">
        <is>
          <t>Itaguai</t>
        </is>
      </c>
      <c r="C6161" s="30" t="n">
        <v>79444634</v>
      </c>
      <c r="D6161" s="30">
        <f>"13648760000151"</f>
        <v/>
      </c>
      <c r="E6161" s="30" t="inlineStr">
        <is>
          <t>TRANSPORTES PITASSI RJ EIRELI</t>
        </is>
      </c>
      <c r="F6161" s="30" t="inlineStr">
        <is>
          <t>2019</t>
        </is>
      </c>
      <c r="G6161" s="40" t="n">
        <v>0</v>
      </c>
    </row>
    <row r="6162" ht="12" customHeight="1">
      <c r="A6162" s="30" t="inlineStr">
        <is>
          <t>ITG</t>
        </is>
      </c>
      <c r="B6162" s="30" t="inlineStr">
        <is>
          <t>Itaguai</t>
        </is>
      </c>
      <c r="C6162" s="30" t="n">
        <v>79444634</v>
      </c>
      <c r="D6162" s="30">
        <f>"13648760000151"</f>
        <v/>
      </c>
      <c r="E6162" s="30" t="inlineStr">
        <is>
          <t>TRANSPORTES PITASSI RJ EIRELI</t>
        </is>
      </c>
      <c r="F6162" s="30" t="inlineStr">
        <is>
          <t>2020</t>
        </is>
      </c>
      <c r="G6162" s="40" t="n">
        <v>24</v>
      </c>
    </row>
    <row r="6163" ht="12" customHeight="1">
      <c r="A6163" s="30" t="inlineStr">
        <is>
          <t>ITG</t>
        </is>
      </c>
      <c r="B6163" s="30" t="inlineStr">
        <is>
          <t>Itaguai</t>
        </is>
      </c>
      <c r="C6163" s="30" t="n">
        <v>79444634</v>
      </c>
      <c r="D6163" s="30">
        <f>"13648760000151"</f>
        <v/>
      </c>
      <c r="E6163" s="30" t="inlineStr">
        <is>
          <t>TRANSPORTES PITASSI RJ EIRELI</t>
        </is>
      </c>
      <c r="F6163" s="30" t="inlineStr">
        <is>
          <t>2021</t>
        </is>
      </c>
      <c r="G6163" s="40" t="n">
        <v>0</v>
      </c>
    </row>
    <row r="6164" ht="12" customHeight="1">
      <c r="A6164" s="30" t="inlineStr">
        <is>
          <t>ITG</t>
        </is>
      </c>
      <c r="B6164" s="30" t="inlineStr">
        <is>
          <t>Itaguai</t>
        </is>
      </c>
      <c r="C6164" s="30" t="n">
        <v>79444634</v>
      </c>
      <c r="D6164" s="30">
        <f>"13648760000151"</f>
        <v/>
      </c>
      <c r="E6164" s="30" t="inlineStr">
        <is>
          <t>TRANSPORTES PITASSI RJ EIRELI</t>
        </is>
      </c>
      <c r="F6164" s="30" t="inlineStr">
        <is>
          <t>2022</t>
        </is>
      </c>
      <c r="G6164" s="40" t="n">
        <v>4039332.88</v>
      </c>
    </row>
    <row r="6165" ht="12" customHeight="1">
      <c r="A6165" s="30" t="inlineStr">
        <is>
          <t>ITG</t>
        </is>
      </c>
      <c r="B6165" s="30" t="inlineStr">
        <is>
          <t>Itaguai</t>
        </is>
      </c>
      <c r="C6165" s="30" t="n">
        <v>79444634</v>
      </c>
      <c r="D6165" s="30">
        <f>"13648760000151"</f>
        <v/>
      </c>
      <c r="E6165" s="30" t="inlineStr">
        <is>
          <t>TRANSPORTES PITASSI RJ EIRELI</t>
        </is>
      </c>
      <c r="F6165" s="30" t="inlineStr">
        <is>
          <t>2023</t>
        </is>
      </c>
      <c r="G6165" s="40" t="n">
        <v>0</v>
      </c>
    </row>
    <row r="6166" ht="12" customHeight="1">
      <c r="A6166" s="30" t="inlineStr">
        <is>
          <t>ITG</t>
        </is>
      </c>
      <c r="B6166" s="30" t="inlineStr">
        <is>
          <t>Itaguai</t>
        </is>
      </c>
      <c r="C6166" s="30" t="n">
        <v>79446610</v>
      </c>
      <c r="D6166" s="30">
        <f>"44384832001449"</f>
        <v/>
      </c>
      <c r="E6166" s="30" t="inlineStr">
        <is>
          <t>TOME EQUIPAMENTOS E TRANSPORTES S A</t>
        </is>
      </c>
      <c r="F6166" s="30" t="inlineStr">
        <is>
          <t>2018</t>
        </is>
      </c>
      <c r="G6166" s="40" t="n">
        <v>0</v>
      </c>
    </row>
    <row r="6167" ht="12" customHeight="1">
      <c r="A6167" s="30" t="inlineStr">
        <is>
          <t>ITG</t>
        </is>
      </c>
      <c r="B6167" s="30" t="inlineStr">
        <is>
          <t>Itaguai</t>
        </is>
      </c>
      <c r="C6167" s="30" t="n">
        <v>79446610</v>
      </c>
      <c r="D6167" s="30">
        <f>"44384832001449"</f>
        <v/>
      </c>
      <c r="E6167" s="30" t="inlineStr">
        <is>
          <t>TOME EQUIPAMENTOS E TRANSPORTES S A</t>
        </is>
      </c>
      <c r="F6167" s="30" t="inlineStr">
        <is>
          <t>2019</t>
        </is>
      </c>
      <c r="G6167" s="40" t="n">
        <v>0</v>
      </c>
    </row>
    <row r="6168" ht="12" customHeight="1">
      <c r="A6168" s="30" t="inlineStr">
        <is>
          <t>ITG</t>
        </is>
      </c>
      <c r="B6168" s="30" t="inlineStr">
        <is>
          <t>Itaguai</t>
        </is>
      </c>
      <c r="C6168" s="30" t="n">
        <v>79446610</v>
      </c>
      <c r="D6168" s="30">
        <f>"44384832001449"</f>
        <v/>
      </c>
      <c r="E6168" s="30" t="inlineStr">
        <is>
          <t>TOME EQUIPAMENTOS E TRANSPORTES S A</t>
        </is>
      </c>
      <c r="F6168" s="30" t="inlineStr">
        <is>
          <t>2020</t>
        </is>
      </c>
      <c r="G6168" s="40" t="n">
        <v>4480</v>
      </c>
    </row>
    <row r="6169" ht="12" customHeight="1">
      <c r="A6169" s="30" t="inlineStr">
        <is>
          <t>ITG</t>
        </is>
      </c>
      <c r="B6169" s="30" t="inlineStr">
        <is>
          <t>Itaguai</t>
        </is>
      </c>
      <c r="C6169" s="30" t="n">
        <v>79446610</v>
      </c>
      <c r="D6169" s="30">
        <f>"44384832001449"</f>
        <v/>
      </c>
      <c r="E6169" s="30" t="inlineStr">
        <is>
          <t>TOME EQUIPAMENTOS E TRANSPORTES S A</t>
        </is>
      </c>
      <c r="F6169" s="30" t="inlineStr">
        <is>
          <t>2021</t>
        </is>
      </c>
      <c r="G6169" s="40" t="n">
        <v>0</v>
      </c>
    </row>
    <row r="6170" ht="12" customHeight="1">
      <c r="A6170" s="30" t="inlineStr">
        <is>
          <t>ITG</t>
        </is>
      </c>
      <c r="B6170" s="30" t="inlineStr">
        <is>
          <t>Itaguai</t>
        </is>
      </c>
      <c r="C6170" s="30" t="n">
        <v>79446610</v>
      </c>
      <c r="D6170" s="30">
        <f>"44384832001449"</f>
        <v/>
      </c>
      <c r="E6170" s="30" t="inlineStr">
        <is>
          <t>TOME EQUIPAMENTOS E TRANSPORTES S A</t>
        </is>
      </c>
      <c r="F6170" s="30" t="inlineStr">
        <is>
          <t>2022</t>
        </is>
      </c>
      <c r="G6170" s="40" t="n">
        <v>0</v>
      </c>
    </row>
    <row r="6171" ht="12" customHeight="1">
      <c r="A6171" s="30" t="inlineStr">
        <is>
          <t>ITG</t>
        </is>
      </c>
      <c r="B6171" s="30" t="inlineStr">
        <is>
          <t>Itaguai</t>
        </is>
      </c>
      <c r="C6171" s="30" t="n">
        <v>79449393</v>
      </c>
      <c r="D6171" s="30">
        <f>"14084886000103"</f>
        <v/>
      </c>
      <c r="E6171" s="30" t="inlineStr">
        <is>
          <t>EXPRESSO GUARANI ARMAZÉNS GERAIS E LOGISTICA EIRELI</t>
        </is>
      </c>
      <c r="F6171" s="30" t="inlineStr">
        <is>
          <t>2017</t>
        </is>
      </c>
      <c r="G6171" s="40" t="n">
        <v>0</v>
      </c>
    </row>
    <row r="6172" ht="12" customHeight="1">
      <c r="A6172" s="30" t="inlineStr">
        <is>
          <t>ITG</t>
        </is>
      </c>
      <c r="B6172" s="30" t="inlineStr">
        <is>
          <t>Itaguai</t>
        </is>
      </c>
      <c r="C6172" s="30" t="n">
        <v>79449393</v>
      </c>
      <c r="D6172" s="30">
        <f>"14084886000103"</f>
        <v/>
      </c>
      <c r="E6172" s="30" t="inlineStr">
        <is>
          <t>EXPRESSO GUARANI ARMAZÉNS GERAIS E LOGISTICA EIRELI</t>
        </is>
      </c>
      <c r="F6172" s="30" t="inlineStr">
        <is>
          <t>2018</t>
        </is>
      </c>
      <c r="G6172" s="40" t="n">
        <v>0</v>
      </c>
    </row>
    <row r="6173" ht="12" customHeight="1">
      <c r="A6173" s="30" t="inlineStr">
        <is>
          <t>ITG</t>
        </is>
      </c>
      <c r="B6173" s="30" t="inlineStr">
        <is>
          <t>Itaguai</t>
        </is>
      </c>
      <c r="C6173" s="30" t="n">
        <v>79449393</v>
      </c>
      <c r="D6173" s="30">
        <f>"14084886000103"</f>
        <v/>
      </c>
      <c r="E6173" s="30" t="inlineStr">
        <is>
          <t>EXPRESSO GUARANI ARMAZÉNS GERAIS E LOGISTICA EIRELI</t>
        </is>
      </c>
      <c r="F6173" s="30" t="inlineStr">
        <is>
          <t>2019</t>
        </is>
      </c>
      <c r="G6173" s="40" t="n">
        <v>17058.54</v>
      </c>
    </row>
    <row r="6174" ht="12" customHeight="1">
      <c r="A6174" s="30" t="inlineStr">
        <is>
          <t>ITG</t>
        </is>
      </c>
      <c r="B6174" s="30" t="inlineStr">
        <is>
          <t>Itaguai</t>
        </is>
      </c>
      <c r="C6174" s="30" t="n">
        <v>79449393</v>
      </c>
      <c r="D6174" s="30">
        <f>"14084886000103"</f>
        <v/>
      </c>
      <c r="E6174" s="30" t="inlineStr">
        <is>
          <t>EXPRESSO GUARANI ARMAZÉNS GERAIS E LOGISTICA EIRELI</t>
        </is>
      </c>
      <c r="F6174" s="30" t="inlineStr">
        <is>
          <t>2020</t>
        </is>
      </c>
      <c r="G6174" s="40" t="n">
        <v>0</v>
      </c>
    </row>
    <row r="6175" ht="12" customHeight="1">
      <c r="A6175" s="30" t="inlineStr">
        <is>
          <t>ITG</t>
        </is>
      </c>
      <c r="B6175" s="30" t="inlineStr">
        <is>
          <t>Itaguai</t>
        </is>
      </c>
      <c r="C6175" s="30" t="n">
        <v>79449393</v>
      </c>
      <c r="D6175" s="30">
        <f>"14084886000103"</f>
        <v/>
      </c>
      <c r="E6175" s="30" t="inlineStr">
        <is>
          <t>EXPRESSO GUARANI ARMAZÉNS GERAIS E LOGISTICA EIRELI</t>
        </is>
      </c>
      <c r="F6175" s="30" t="inlineStr">
        <is>
          <t>2021</t>
        </is>
      </c>
      <c r="G6175" s="40" t="n">
        <v>18735.24</v>
      </c>
    </row>
    <row r="6176" ht="12" customHeight="1">
      <c r="A6176" s="30" t="inlineStr">
        <is>
          <t>ITG</t>
        </is>
      </c>
      <c r="B6176" s="30" t="inlineStr">
        <is>
          <t>Itaguai</t>
        </is>
      </c>
      <c r="C6176" s="30" t="n">
        <v>79449393</v>
      </c>
      <c r="D6176" s="30">
        <f>"14084886000103"</f>
        <v/>
      </c>
      <c r="E6176" s="30" t="inlineStr">
        <is>
          <t>EXPRESSO GUARANI ARMAZÉNS GERAIS E LOGISTICA EIRELI</t>
        </is>
      </c>
      <c r="F6176" s="30" t="inlineStr">
        <is>
          <t>2022</t>
        </is>
      </c>
      <c r="G6176" s="40" t="n">
        <v>901539.27</v>
      </c>
    </row>
    <row r="6177" ht="12" customHeight="1">
      <c r="A6177" s="30" t="inlineStr">
        <is>
          <t>ITG</t>
        </is>
      </c>
      <c r="B6177" s="30" t="inlineStr">
        <is>
          <t>Itaguai</t>
        </is>
      </c>
      <c r="C6177" s="30" t="n">
        <v>79449393</v>
      </c>
      <c r="D6177" s="30">
        <f>"14084886000103"</f>
        <v/>
      </c>
      <c r="E6177" s="30" t="inlineStr">
        <is>
          <t>EXPRESSO GUARANI ARMAZÉNS GERAIS E LOGISTICA EIRELI</t>
        </is>
      </c>
      <c r="F6177" s="30" t="inlineStr">
        <is>
          <t>2023</t>
        </is>
      </c>
      <c r="G6177" s="40" t="n">
        <v>0</v>
      </c>
    </row>
    <row r="6178" ht="12" customHeight="1">
      <c r="A6178" s="30" t="inlineStr">
        <is>
          <t>ITG</t>
        </is>
      </c>
      <c r="B6178" s="30" t="inlineStr">
        <is>
          <t>Itaguai</t>
        </is>
      </c>
      <c r="C6178" s="30" t="n">
        <v>79451100</v>
      </c>
      <c r="D6178" s="30">
        <f>"30245542000276"</f>
        <v/>
      </c>
      <c r="E6178" s="30" t="inlineStr">
        <is>
          <t>FRIGORIFICO BEIJA FLOR COM ATAC E VAR DE PROD ALIM LTDA EPP</t>
        </is>
      </c>
      <c r="F6178" s="30" t="inlineStr">
        <is>
          <t>2017</t>
        </is>
      </c>
      <c r="G6178" s="40" t="n">
        <v>0</v>
      </c>
    </row>
    <row r="6179" ht="12" customHeight="1">
      <c r="A6179" s="30" t="inlineStr">
        <is>
          <t>ITG</t>
        </is>
      </c>
      <c r="B6179" s="30" t="inlineStr">
        <is>
          <t>Itaguai</t>
        </is>
      </c>
      <c r="C6179" s="30" t="n">
        <v>79451100</v>
      </c>
      <c r="D6179" s="30">
        <f>"30245542000276"</f>
        <v/>
      </c>
      <c r="E6179" s="30" t="inlineStr">
        <is>
          <t>FRIGORIFICO BEIJA FLOR COM ATAC E VAR DE PROD ALIM LTDA EPP</t>
        </is>
      </c>
      <c r="F6179" s="30" t="inlineStr">
        <is>
          <t>2018</t>
        </is>
      </c>
      <c r="G6179" s="40" t="n">
        <v>60282.52</v>
      </c>
    </row>
    <row r="6180" ht="12" customHeight="1">
      <c r="A6180" s="30" t="inlineStr">
        <is>
          <t>ITG</t>
        </is>
      </c>
      <c r="B6180" s="30" t="inlineStr">
        <is>
          <t>Itaguai</t>
        </is>
      </c>
      <c r="C6180" s="30" t="n">
        <v>79451100</v>
      </c>
      <c r="D6180" s="30">
        <f>"30245542000276"</f>
        <v/>
      </c>
      <c r="E6180" s="30" t="inlineStr">
        <is>
          <t>FRIGORIFICO BEIJA FLOR COM ATAC E VAR DE PROD ALIM LTDA EPP</t>
        </is>
      </c>
      <c r="F6180" s="30" t="inlineStr">
        <is>
          <t>2019</t>
        </is>
      </c>
      <c r="G6180" s="40" t="n">
        <v>0</v>
      </c>
    </row>
    <row r="6181" ht="12" customHeight="1">
      <c r="A6181" s="30" t="inlineStr">
        <is>
          <t>ITG</t>
        </is>
      </c>
      <c r="B6181" s="30" t="inlineStr">
        <is>
          <t>Itaguai</t>
        </is>
      </c>
      <c r="C6181" s="30" t="n">
        <v>79451100</v>
      </c>
      <c r="D6181" s="30">
        <f>"30245542000276"</f>
        <v/>
      </c>
      <c r="E6181" s="30" t="inlineStr">
        <is>
          <t>FRIGORIFICO BEIJA FLOR COM ATAC E VAR DE PROD ALIM LTDA EPP</t>
        </is>
      </c>
      <c r="F6181" s="30" t="inlineStr">
        <is>
          <t>2020</t>
        </is>
      </c>
      <c r="G6181" s="40" t="n">
        <v>0</v>
      </c>
    </row>
    <row r="6182" ht="12" customHeight="1">
      <c r="A6182" s="30" t="inlineStr">
        <is>
          <t>ITG</t>
        </is>
      </c>
      <c r="B6182" s="30" t="inlineStr">
        <is>
          <t>Itaguai</t>
        </is>
      </c>
      <c r="C6182" s="30" t="n">
        <v>79451100</v>
      </c>
      <c r="D6182" s="30">
        <f>"30245542000276"</f>
        <v/>
      </c>
      <c r="E6182" s="30" t="inlineStr">
        <is>
          <t>FRIGORIFICO BEIJA FLOR COM ATAC E VAR DE PROD ALIM LTDA EPP</t>
        </is>
      </c>
      <c r="F6182" s="30" t="inlineStr">
        <is>
          <t>2021</t>
        </is>
      </c>
      <c r="G6182" s="40" t="n">
        <v>0</v>
      </c>
    </row>
    <row r="6183" ht="12" customHeight="1">
      <c r="A6183" s="30" t="inlineStr">
        <is>
          <t>ITG</t>
        </is>
      </c>
      <c r="B6183" s="30" t="inlineStr">
        <is>
          <t>Itaguai</t>
        </is>
      </c>
      <c r="C6183" s="30" t="n">
        <v>79451100</v>
      </c>
      <c r="D6183" s="30">
        <f>"30245542000276"</f>
        <v/>
      </c>
      <c r="E6183" s="30" t="inlineStr">
        <is>
          <t>FRIGORIFICO BEIJA FLOR COM ATAC E VAR DE PROD ALIM LTDA EPP</t>
        </is>
      </c>
      <c r="F6183" s="30" t="inlineStr">
        <is>
          <t>2022</t>
        </is>
      </c>
      <c r="G6183" s="40" t="n">
        <v>211062.27</v>
      </c>
    </row>
    <row r="6184" ht="12" customHeight="1">
      <c r="A6184" s="30" t="inlineStr">
        <is>
          <t>ITG</t>
        </is>
      </c>
      <c r="B6184" s="30" t="inlineStr">
        <is>
          <t>Itaguai</t>
        </is>
      </c>
      <c r="C6184" s="30" t="n">
        <v>79451100</v>
      </c>
      <c r="D6184" s="30">
        <f>"30245542000276"</f>
        <v/>
      </c>
      <c r="E6184" s="30" t="inlineStr">
        <is>
          <t>FRIGORIFICO BEIJA FLOR COM ATAC E VAR DE PROD ALIM LTDA EPP</t>
        </is>
      </c>
      <c r="F6184" s="30" t="inlineStr">
        <is>
          <t>2023</t>
        </is>
      </c>
      <c r="G6184" s="40" t="n">
        <v>459443.11</v>
      </c>
    </row>
    <row r="6185" ht="12" customHeight="1">
      <c r="A6185" s="30" t="inlineStr">
        <is>
          <t>ITG</t>
        </is>
      </c>
      <c r="B6185" s="30" t="inlineStr">
        <is>
          <t>Itaguai</t>
        </is>
      </c>
      <c r="C6185" s="30" t="n">
        <v>79451142</v>
      </c>
      <c r="D6185" s="30">
        <f>"12334748000290"</f>
        <v/>
      </c>
      <c r="E6185" s="30" t="inlineStr">
        <is>
          <t>DEVOC COMERCIO DE ALIMENTOS LTDA</t>
        </is>
      </c>
      <c r="F6185" s="30" t="inlineStr">
        <is>
          <t>2017</t>
        </is>
      </c>
      <c r="G6185" s="40" t="n">
        <v>637994.5</v>
      </c>
    </row>
    <row r="6186" ht="12" customHeight="1">
      <c r="A6186" s="30" t="inlineStr">
        <is>
          <t>ITG</t>
        </is>
      </c>
      <c r="B6186" s="30" t="inlineStr">
        <is>
          <t>Itaguai</t>
        </is>
      </c>
      <c r="C6186" s="30" t="n">
        <v>79451142</v>
      </c>
      <c r="D6186" s="30">
        <f>"12334748000290"</f>
        <v/>
      </c>
      <c r="E6186" s="30" t="inlineStr">
        <is>
          <t>DEVOC COMERCIO DE ALIMENTOS LTDA</t>
        </is>
      </c>
      <c r="F6186" s="30" t="inlineStr">
        <is>
          <t>2018</t>
        </is>
      </c>
      <c r="G6186" s="40" t="n">
        <v>669059.8</v>
      </c>
    </row>
    <row r="6187" ht="12" customHeight="1">
      <c r="A6187" s="30" t="inlineStr">
        <is>
          <t>ITG</t>
        </is>
      </c>
      <c r="B6187" s="30" t="inlineStr">
        <is>
          <t>Itaguai</t>
        </is>
      </c>
      <c r="C6187" s="30" t="n">
        <v>79451142</v>
      </c>
      <c r="D6187" s="30">
        <f>"12334748000290"</f>
        <v/>
      </c>
      <c r="E6187" s="30" t="inlineStr">
        <is>
          <t>DEVOC COMERCIO DE ALIMENTOS LTDA</t>
        </is>
      </c>
      <c r="F6187" s="30" t="inlineStr">
        <is>
          <t>2019</t>
        </is>
      </c>
      <c r="G6187" s="40" t="n">
        <v>647333.62</v>
      </c>
    </row>
    <row r="6188" ht="12" customHeight="1">
      <c r="A6188" s="30" t="inlineStr">
        <is>
          <t>ITG</t>
        </is>
      </c>
      <c r="B6188" s="30" t="inlineStr">
        <is>
          <t>Itaguai</t>
        </is>
      </c>
      <c r="C6188" s="30" t="n">
        <v>79451142</v>
      </c>
      <c r="D6188" s="30">
        <f>"12334748000290"</f>
        <v/>
      </c>
      <c r="E6188" s="30" t="inlineStr">
        <is>
          <t>DEVOC COMERCIO DE ALIMENTOS LTDA</t>
        </is>
      </c>
      <c r="F6188" s="30" t="inlineStr">
        <is>
          <t>2020</t>
        </is>
      </c>
      <c r="G6188" s="40" t="n">
        <v>356712.94</v>
      </c>
    </row>
    <row r="6189" ht="12" customHeight="1">
      <c r="A6189" s="30" t="inlineStr">
        <is>
          <t>ITG</t>
        </is>
      </c>
      <c r="B6189" s="30" t="inlineStr">
        <is>
          <t>Itaguai</t>
        </is>
      </c>
      <c r="C6189" s="30" t="n">
        <v>79451142</v>
      </c>
      <c r="D6189" s="30">
        <f>"12334748000290"</f>
        <v/>
      </c>
      <c r="E6189" s="30" t="inlineStr">
        <is>
          <t>DEVOC COMERCIO DE ALIMENTOS LTDA</t>
        </is>
      </c>
      <c r="F6189" s="30" t="inlineStr">
        <is>
          <t>2021</t>
        </is>
      </c>
      <c r="G6189" s="40" t="n">
        <v>380138.86</v>
      </c>
    </row>
    <row r="6190" ht="12" customHeight="1">
      <c r="A6190" s="30" t="inlineStr">
        <is>
          <t>ITG</t>
        </is>
      </c>
      <c r="B6190" s="30" t="inlineStr">
        <is>
          <t>Itaguai</t>
        </is>
      </c>
      <c r="C6190" s="30" t="n">
        <v>79451142</v>
      </c>
      <c r="D6190" s="30">
        <f>"12334748000290"</f>
        <v/>
      </c>
      <c r="E6190" s="30" t="inlineStr">
        <is>
          <t>DEVOC COMERCIO DE ALIMENTOS LTDA</t>
        </is>
      </c>
      <c r="F6190" s="30" t="inlineStr">
        <is>
          <t>2022</t>
        </is>
      </c>
      <c r="G6190" s="40" t="n">
        <v>413540.11</v>
      </c>
    </row>
    <row r="6191" ht="12" customHeight="1">
      <c r="A6191" s="30" t="inlineStr">
        <is>
          <t>ITG</t>
        </is>
      </c>
      <c r="B6191" s="30" t="inlineStr">
        <is>
          <t>Itaguai</t>
        </is>
      </c>
      <c r="C6191" s="30" t="n">
        <v>79451142</v>
      </c>
      <c r="D6191" s="30">
        <f>"12334748000290"</f>
        <v/>
      </c>
      <c r="E6191" s="30" t="inlineStr">
        <is>
          <t>DEVOC COMERCIO DE ALIMENTOS LTDA</t>
        </is>
      </c>
      <c r="F6191" s="30" t="inlineStr">
        <is>
          <t>2023</t>
        </is>
      </c>
      <c r="G6191" s="40" t="n">
        <v>523880.67</v>
      </c>
    </row>
    <row r="6192" ht="12" customHeight="1">
      <c r="A6192" s="30" t="inlineStr">
        <is>
          <t>ITG</t>
        </is>
      </c>
      <c r="B6192" s="30" t="inlineStr">
        <is>
          <t>Itaguai</t>
        </is>
      </c>
      <c r="C6192" s="30" t="n">
        <v>79456748</v>
      </c>
      <c r="D6192" s="30">
        <f>"14120369000142"</f>
        <v/>
      </c>
      <c r="E6192" s="30" t="inlineStr">
        <is>
          <t>JARBAS GONCALVES DIAS EIRELI</t>
        </is>
      </c>
      <c r="F6192" s="30" t="inlineStr">
        <is>
          <t>2017</t>
        </is>
      </c>
      <c r="G6192" s="40" t="n">
        <v>0</v>
      </c>
    </row>
    <row r="6193" ht="12" customHeight="1">
      <c r="A6193" s="30" t="inlineStr">
        <is>
          <t>ITG</t>
        </is>
      </c>
      <c r="B6193" s="30" t="inlineStr">
        <is>
          <t>Itaguai</t>
        </is>
      </c>
      <c r="C6193" s="30" t="n">
        <v>79456748</v>
      </c>
      <c r="D6193" s="30">
        <f>"14120369000142"</f>
        <v/>
      </c>
      <c r="E6193" s="30" t="inlineStr">
        <is>
          <t>JARBAS GONCALVES DIAS EIRELI</t>
        </is>
      </c>
      <c r="F6193" s="30" t="inlineStr">
        <is>
          <t>2018</t>
        </is>
      </c>
      <c r="G6193" s="40" t="n">
        <v>136.5</v>
      </c>
    </row>
    <row r="6194" ht="12" customHeight="1">
      <c r="A6194" s="30" t="inlineStr">
        <is>
          <t>ITG</t>
        </is>
      </c>
      <c r="B6194" s="30" t="inlineStr">
        <is>
          <t>Itaguai</t>
        </is>
      </c>
      <c r="C6194" s="30" t="n">
        <v>79456748</v>
      </c>
      <c r="D6194" s="30">
        <f>"14120369000142"</f>
        <v/>
      </c>
      <c r="E6194" s="30" t="inlineStr">
        <is>
          <t>JARBAS GONCALVES DIAS EIRELI</t>
        </is>
      </c>
      <c r="F6194" s="30" t="inlineStr">
        <is>
          <t>2019</t>
        </is>
      </c>
      <c r="G6194" s="40" t="n">
        <v>0</v>
      </c>
    </row>
    <row r="6195" ht="12" customHeight="1">
      <c r="A6195" s="30" t="inlineStr">
        <is>
          <t>ITG</t>
        </is>
      </c>
      <c r="B6195" s="30" t="inlineStr">
        <is>
          <t>Itaguai</t>
        </is>
      </c>
      <c r="C6195" s="30" t="n">
        <v>79456748</v>
      </c>
      <c r="D6195" s="30">
        <f>"14120369000142"</f>
        <v/>
      </c>
      <c r="E6195" s="30" t="inlineStr">
        <is>
          <t>JARBAS GONCALVES DIAS EIRELI</t>
        </is>
      </c>
      <c r="F6195" s="30" t="inlineStr">
        <is>
          <t>2020</t>
        </is>
      </c>
      <c r="G6195" s="40" t="n">
        <v>0</v>
      </c>
    </row>
    <row r="6196" ht="12" customHeight="1">
      <c r="A6196" s="30" t="inlineStr">
        <is>
          <t>ITG</t>
        </is>
      </c>
      <c r="B6196" s="30" t="inlineStr">
        <is>
          <t>Itaguai</t>
        </is>
      </c>
      <c r="C6196" s="30" t="n">
        <v>79461911</v>
      </c>
      <c r="D6196" s="30">
        <f>"14135440000160"</f>
        <v/>
      </c>
      <c r="E6196" s="30" t="inlineStr">
        <is>
          <t>RODOMAX TRANSPORTES E SERVICOS DE LOGISTICA LTDA EPP</t>
        </is>
      </c>
      <c r="F6196" s="30" t="inlineStr">
        <is>
          <t>2017</t>
        </is>
      </c>
      <c r="G6196" s="40" t="n">
        <v>129000</v>
      </c>
    </row>
    <row r="6197" ht="12" customHeight="1">
      <c r="A6197" s="30" t="inlineStr">
        <is>
          <t>ITG</t>
        </is>
      </c>
      <c r="B6197" s="30" t="inlineStr">
        <is>
          <t>Itaguai</t>
        </is>
      </c>
      <c r="C6197" s="30" t="n">
        <v>79461911</v>
      </c>
      <c r="D6197" s="30">
        <f>"14135440000160"</f>
        <v/>
      </c>
      <c r="E6197" s="30" t="inlineStr">
        <is>
          <t>RODOMAX TRANSPORTES E SERVICOS DE LOGISTICA LTDA EPP</t>
        </is>
      </c>
      <c r="F6197" s="30" t="inlineStr">
        <is>
          <t>2018</t>
        </is>
      </c>
      <c r="G6197" s="40" t="n">
        <v>0</v>
      </c>
    </row>
    <row r="6198" ht="12" customHeight="1">
      <c r="A6198" s="30" t="inlineStr">
        <is>
          <t>ITG</t>
        </is>
      </c>
      <c r="B6198" s="30" t="inlineStr">
        <is>
          <t>Itaguai</t>
        </is>
      </c>
      <c r="C6198" s="30" t="n">
        <v>79461911</v>
      </c>
      <c r="D6198" s="30">
        <f>"14135440000160"</f>
        <v/>
      </c>
      <c r="E6198" s="30" t="inlineStr">
        <is>
          <t>RODOMAX TRANSPORTES E SERVICOS DE LOGISTICA LTDA EPP</t>
        </is>
      </c>
      <c r="F6198" s="30" t="inlineStr">
        <is>
          <t>2019</t>
        </is>
      </c>
      <c r="G6198" s="40" t="n">
        <v>0</v>
      </c>
    </row>
    <row r="6199" ht="12" customHeight="1">
      <c r="A6199" s="30" t="inlineStr">
        <is>
          <t>ITG</t>
        </is>
      </c>
      <c r="B6199" s="30" t="inlineStr">
        <is>
          <t>Itaguai</t>
        </is>
      </c>
      <c r="C6199" s="30" t="n">
        <v>79470597</v>
      </c>
      <c r="D6199" s="30">
        <f>"14207276000150"</f>
        <v/>
      </c>
      <c r="E6199" s="30" t="inlineStr">
        <is>
          <t>MAREVE DISTRIBUIDORA DE GAS LIQUEFEITO LTDA ME</t>
        </is>
      </c>
      <c r="F6199" s="30" t="inlineStr">
        <is>
          <t>2017</t>
        </is>
      </c>
      <c r="G6199" s="40" t="n">
        <v>0</v>
      </c>
    </row>
    <row r="6200" ht="12" customHeight="1">
      <c r="A6200" s="30" t="inlineStr">
        <is>
          <t>ITG</t>
        </is>
      </c>
      <c r="B6200" s="30" t="inlineStr">
        <is>
          <t>Itaguai</t>
        </is>
      </c>
      <c r="C6200" s="30" t="n">
        <v>79470597</v>
      </c>
      <c r="D6200" s="30">
        <f>"14207276000150"</f>
        <v/>
      </c>
      <c r="E6200" s="30" t="inlineStr">
        <is>
          <t>MAREVE DISTRIBUIDORA DE GAS LIQUEFEITO LTDA ME</t>
        </is>
      </c>
      <c r="F6200" s="30" t="inlineStr">
        <is>
          <t>2018</t>
        </is>
      </c>
      <c r="G6200" s="40" t="n">
        <v>0</v>
      </c>
    </row>
    <row r="6201" ht="12" customHeight="1">
      <c r="A6201" s="30" t="inlineStr">
        <is>
          <t>ITG</t>
        </is>
      </c>
      <c r="B6201" s="30" t="inlineStr">
        <is>
          <t>Itaguai</t>
        </is>
      </c>
      <c r="C6201" s="30" t="n">
        <v>79470597</v>
      </c>
      <c r="D6201" s="30">
        <f>"14207276000150"</f>
        <v/>
      </c>
      <c r="E6201" s="30" t="inlineStr">
        <is>
          <t>MAREVE DISTRIBUIDORA DE GAS LIQUEFEITO LTDA ME</t>
        </is>
      </c>
      <c r="F6201" s="30" t="inlineStr">
        <is>
          <t>2019</t>
        </is>
      </c>
      <c r="G6201" s="40" t="n">
        <v>106936.37</v>
      </c>
    </row>
    <row r="6202" ht="12" customHeight="1">
      <c r="A6202" s="30" t="inlineStr">
        <is>
          <t>ITG</t>
        </is>
      </c>
      <c r="B6202" s="30" t="inlineStr">
        <is>
          <t>Itaguai</t>
        </is>
      </c>
      <c r="C6202" s="30" t="n">
        <v>79470597</v>
      </c>
      <c r="D6202" s="30">
        <f>"14207276000150"</f>
        <v/>
      </c>
      <c r="E6202" s="30" t="inlineStr">
        <is>
          <t>MAREVE DISTRIBUIDORA DE GAS LIQUEFEITO LTDA ME</t>
        </is>
      </c>
      <c r="F6202" s="30" t="inlineStr">
        <is>
          <t>2020</t>
        </is>
      </c>
      <c r="G6202" s="40" t="n">
        <v>247645.83</v>
      </c>
    </row>
    <row r="6203" ht="12" customHeight="1">
      <c r="A6203" s="30" t="inlineStr">
        <is>
          <t>ITG</t>
        </is>
      </c>
      <c r="B6203" s="30" t="inlineStr">
        <is>
          <t>Itaguai</t>
        </is>
      </c>
      <c r="C6203" s="30" t="n">
        <v>79470597</v>
      </c>
      <c r="D6203" s="30">
        <f>"14207276000150"</f>
        <v/>
      </c>
      <c r="E6203" s="30" t="inlineStr">
        <is>
          <t>MAREVE DISTRIBUIDORA DE GAS LIQUEFEITO LTDA ME</t>
        </is>
      </c>
      <c r="F6203" s="30" t="inlineStr">
        <is>
          <t>2021</t>
        </is>
      </c>
      <c r="G6203" s="40" t="n">
        <v>342491.01</v>
      </c>
    </row>
    <row r="6204" ht="12" customHeight="1">
      <c r="A6204" s="30" t="inlineStr">
        <is>
          <t>ITG</t>
        </is>
      </c>
      <c r="B6204" s="30" t="inlineStr">
        <is>
          <t>Itaguai</t>
        </is>
      </c>
      <c r="C6204" s="30" t="n">
        <v>79470597</v>
      </c>
      <c r="D6204" s="30">
        <f>"14207276000150"</f>
        <v/>
      </c>
      <c r="E6204" s="30" t="inlineStr">
        <is>
          <t>MAREVE DISTRIBUIDORA DE GAS LIQUEFEITO LTDA ME</t>
        </is>
      </c>
      <c r="F6204" s="30" t="inlineStr">
        <is>
          <t>2022</t>
        </is>
      </c>
      <c r="G6204" s="40" t="n">
        <v>1404374.45</v>
      </c>
    </row>
    <row r="6205" ht="12" customHeight="1">
      <c r="A6205" s="30" t="inlineStr">
        <is>
          <t>ITG</t>
        </is>
      </c>
      <c r="B6205" s="30" t="inlineStr">
        <is>
          <t>Itaguai</t>
        </is>
      </c>
      <c r="C6205" s="30" t="n">
        <v>79470597</v>
      </c>
      <c r="D6205" s="30">
        <f>"14207276000150"</f>
        <v/>
      </c>
      <c r="E6205" s="30" t="inlineStr">
        <is>
          <t>MAREVE DISTRIBUIDORA DE GAS LIQUEFEITO LTDA ME</t>
        </is>
      </c>
      <c r="F6205" s="30" t="inlineStr">
        <is>
          <t>2023</t>
        </is>
      </c>
      <c r="G6205" s="40" t="n">
        <v>367734.89</v>
      </c>
    </row>
    <row r="6206" ht="12" customHeight="1">
      <c r="A6206" s="30" t="inlineStr">
        <is>
          <t>ITG</t>
        </is>
      </c>
      <c r="B6206" s="30" t="inlineStr">
        <is>
          <t>Itaguai</t>
        </is>
      </c>
      <c r="C6206" s="30" t="n">
        <v>79482358</v>
      </c>
      <c r="D6206" s="30">
        <f>"14248013000199"</f>
        <v/>
      </c>
      <c r="E6206" s="30" t="inlineStr">
        <is>
          <t>ESTRELAR WEB SERVICOS DE INTERNET LTDA ME</t>
        </is>
      </c>
      <c r="F6206" s="30" t="inlineStr">
        <is>
          <t>2018</t>
        </is>
      </c>
      <c r="G6206" s="40" t="n">
        <v>0</v>
      </c>
    </row>
    <row r="6207" ht="12" customHeight="1">
      <c r="A6207" s="30" t="inlineStr">
        <is>
          <t>ITG</t>
        </is>
      </c>
      <c r="B6207" s="30" t="inlineStr">
        <is>
          <t>Itaguai</t>
        </is>
      </c>
      <c r="C6207" s="30" t="n">
        <v>79482358</v>
      </c>
      <c r="D6207" s="30">
        <f>"14248013000199"</f>
        <v/>
      </c>
      <c r="E6207" s="30" t="inlineStr">
        <is>
          <t>ESTRELAR WEB SERVICOS DE INTERNET LTDA ME</t>
        </is>
      </c>
      <c r="F6207" s="30" t="inlineStr">
        <is>
          <t>2019</t>
        </is>
      </c>
      <c r="G6207" s="40" t="n">
        <v>0</v>
      </c>
    </row>
    <row r="6208" ht="12" customHeight="1">
      <c r="A6208" s="30" t="inlineStr">
        <is>
          <t>ITG</t>
        </is>
      </c>
      <c r="B6208" s="30" t="inlineStr">
        <is>
          <t>Itaguai</t>
        </is>
      </c>
      <c r="C6208" s="30" t="n">
        <v>79482358</v>
      </c>
      <c r="D6208" s="30">
        <f>"14248013000199"</f>
        <v/>
      </c>
      <c r="E6208" s="30" t="inlineStr">
        <is>
          <t>ESTRELAR WEB SERVICOS DE INTERNET LTDA ME</t>
        </is>
      </c>
      <c r="F6208" s="30" t="inlineStr">
        <is>
          <t>2020</t>
        </is>
      </c>
      <c r="G6208" s="40" t="n">
        <v>342382.35</v>
      </c>
    </row>
    <row r="6209" ht="12" customHeight="1">
      <c r="A6209" s="30" t="inlineStr">
        <is>
          <t>ITG</t>
        </is>
      </c>
      <c r="B6209" s="30" t="inlineStr">
        <is>
          <t>Itaguai</t>
        </is>
      </c>
      <c r="C6209" s="30" t="n">
        <v>79482358</v>
      </c>
      <c r="D6209" s="30">
        <f>"14248013000199"</f>
        <v/>
      </c>
      <c r="E6209" s="30" t="inlineStr">
        <is>
          <t>ESTRELAR WEB SERVICOS DE INTERNET LTDA ME</t>
        </is>
      </c>
      <c r="F6209" s="30" t="inlineStr">
        <is>
          <t>2021</t>
        </is>
      </c>
      <c r="G6209" s="40" t="n">
        <v>481024.68</v>
      </c>
    </row>
    <row r="6210" ht="12" customHeight="1">
      <c r="A6210" s="30" t="inlineStr">
        <is>
          <t>ITG</t>
        </is>
      </c>
      <c r="B6210" s="30" t="inlineStr">
        <is>
          <t>Itaguai</t>
        </is>
      </c>
      <c r="C6210" s="30" t="n">
        <v>79482358</v>
      </c>
      <c r="D6210" s="30">
        <f>"14248013000199"</f>
        <v/>
      </c>
      <c r="E6210" s="30" t="inlineStr">
        <is>
          <t>ESTRELAR WEB SERVICOS DE INTERNET LTDA ME</t>
        </is>
      </c>
      <c r="F6210" s="30" t="inlineStr">
        <is>
          <t>2022</t>
        </is>
      </c>
      <c r="G6210" s="40" t="n">
        <v>529925.92</v>
      </c>
    </row>
    <row r="6211" ht="12" customHeight="1">
      <c r="A6211" s="30" t="inlineStr">
        <is>
          <t>ITG</t>
        </is>
      </c>
      <c r="B6211" s="30" t="inlineStr">
        <is>
          <t>Itaguai</t>
        </is>
      </c>
      <c r="C6211" s="30" t="n">
        <v>79482358</v>
      </c>
      <c r="D6211" s="30">
        <f>"14248013000199"</f>
        <v/>
      </c>
      <c r="E6211" s="30" t="inlineStr">
        <is>
          <t>ESTRELAR WEB SERVICOS DE INTERNET LTDA ME</t>
        </is>
      </c>
      <c r="F6211" s="30" t="inlineStr">
        <is>
          <t>2023</t>
        </is>
      </c>
      <c r="G6211" s="40" t="n">
        <v>512884</v>
      </c>
    </row>
    <row r="6212" ht="12" customHeight="1">
      <c r="A6212" s="30" t="inlineStr">
        <is>
          <t>ITG</t>
        </is>
      </c>
      <c r="B6212" s="30" t="inlineStr">
        <is>
          <t>Itaguai</t>
        </is>
      </c>
      <c r="C6212" s="30" t="n">
        <v>79495808</v>
      </c>
      <c r="D6212" s="30">
        <f>"14232190000187"</f>
        <v/>
      </c>
      <c r="E6212" s="30" t="inlineStr">
        <is>
          <t>ROBERTO DOS SANTOS BAR E RESTAURANTE ME</t>
        </is>
      </c>
      <c r="F6212" s="30" t="inlineStr">
        <is>
          <t>2017</t>
        </is>
      </c>
      <c r="G6212" s="40" t="n">
        <v>0</v>
      </c>
    </row>
    <row r="6213" ht="12" customHeight="1">
      <c r="A6213" s="30" t="inlineStr">
        <is>
          <t>ITG</t>
        </is>
      </c>
      <c r="B6213" s="30" t="inlineStr">
        <is>
          <t>Itaguai</t>
        </is>
      </c>
      <c r="C6213" s="30" t="n">
        <v>79495808</v>
      </c>
      <c r="D6213" s="30">
        <f>"14232190000187"</f>
        <v/>
      </c>
      <c r="E6213" s="30" t="inlineStr">
        <is>
          <t>ROBERTO DOS SANTOS BAR E RESTAURANTE ME</t>
        </is>
      </c>
      <c r="F6213" s="30" t="inlineStr">
        <is>
          <t>2018</t>
        </is>
      </c>
      <c r="G6213" s="40" t="n">
        <v>0</v>
      </c>
    </row>
    <row r="6214" ht="12" customHeight="1">
      <c r="A6214" s="30" t="inlineStr">
        <is>
          <t>ITG</t>
        </is>
      </c>
      <c r="B6214" s="30" t="inlineStr">
        <is>
          <t>Itaguai</t>
        </is>
      </c>
      <c r="C6214" s="30" t="n">
        <v>79495808</v>
      </c>
      <c r="D6214" s="30">
        <f>"14232190000187"</f>
        <v/>
      </c>
      <c r="E6214" s="30" t="inlineStr">
        <is>
          <t>ROBERTO DOS SANTOS BAR E RESTAURANTE ME</t>
        </is>
      </c>
      <c r="F6214" s="30" t="inlineStr">
        <is>
          <t>2019</t>
        </is>
      </c>
      <c r="G6214" s="40" t="n">
        <v>0</v>
      </c>
    </row>
    <row r="6215" ht="12" customHeight="1">
      <c r="A6215" s="30" t="inlineStr">
        <is>
          <t>ITG</t>
        </is>
      </c>
      <c r="B6215" s="30" t="inlineStr">
        <is>
          <t>Itaguai</t>
        </is>
      </c>
      <c r="C6215" s="30" t="n">
        <v>79495808</v>
      </c>
      <c r="D6215" s="30">
        <f>"14232190000187"</f>
        <v/>
      </c>
      <c r="E6215" s="30" t="inlineStr">
        <is>
          <t>ROBERTO DOS SANTOS BAR E RESTAURANTE ME</t>
        </is>
      </c>
      <c r="F6215" s="30" t="inlineStr">
        <is>
          <t>2020</t>
        </is>
      </c>
      <c r="G6215" s="40" t="n">
        <v>0</v>
      </c>
    </row>
    <row r="6216" ht="12" customHeight="1">
      <c r="A6216" s="30" t="inlineStr">
        <is>
          <t>ITG</t>
        </is>
      </c>
      <c r="B6216" s="30" t="inlineStr">
        <is>
          <t>Itaguai</t>
        </is>
      </c>
      <c r="C6216" s="30" t="n">
        <v>79495808</v>
      </c>
      <c r="D6216" s="30">
        <f>"14232190000187"</f>
        <v/>
      </c>
      <c r="E6216" s="30" t="inlineStr">
        <is>
          <t>ROBERTO DOS SANTOS BAR E RESTAURANTE ME</t>
        </is>
      </c>
      <c r="F6216" s="30" t="inlineStr">
        <is>
          <t>2021</t>
        </is>
      </c>
      <c r="G6216" s="40" t="n">
        <v>0</v>
      </c>
    </row>
    <row r="6217" ht="12" customHeight="1">
      <c r="A6217" s="30" t="inlineStr">
        <is>
          <t>ITG</t>
        </is>
      </c>
      <c r="B6217" s="30" t="inlineStr">
        <is>
          <t>Itaguai</t>
        </is>
      </c>
      <c r="C6217" s="30" t="n">
        <v>79495808</v>
      </c>
      <c r="D6217" s="30">
        <f>"14232190000187"</f>
        <v/>
      </c>
      <c r="E6217" s="30" t="inlineStr">
        <is>
          <t>ROBERTO DOS SANTOS BAR E RESTAURANTE ME</t>
        </is>
      </c>
      <c r="F6217" s="30" t="inlineStr">
        <is>
          <t>2022</t>
        </is>
      </c>
      <c r="G6217" s="40" t="n">
        <v>0</v>
      </c>
    </row>
    <row r="6218" ht="12" customHeight="1">
      <c r="A6218" s="30" t="inlineStr">
        <is>
          <t>ITG</t>
        </is>
      </c>
      <c r="B6218" s="30" t="inlineStr">
        <is>
          <t>Itaguai</t>
        </is>
      </c>
      <c r="C6218" s="30" t="n">
        <v>79495808</v>
      </c>
      <c r="D6218" s="30">
        <f>"14232190000187"</f>
        <v/>
      </c>
      <c r="E6218" s="30" t="inlineStr">
        <is>
          <t>ROBERTO DOS SANTOS BAR E RESTAURANTE ME</t>
        </is>
      </c>
      <c r="F6218" s="30" t="inlineStr">
        <is>
          <t>2023</t>
        </is>
      </c>
      <c r="G6218" s="40" t="n">
        <v>0</v>
      </c>
    </row>
    <row r="6219" ht="12" customHeight="1">
      <c r="A6219" s="30" t="inlineStr">
        <is>
          <t>ITG</t>
        </is>
      </c>
      <c r="B6219" s="30" t="inlineStr">
        <is>
          <t>Itaguai</t>
        </is>
      </c>
      <c r="C6219" s="30" t="n">
        <v>79495930</v>
      </c>
      <c r="D6219" s="30">
        <f>"06334771000363"</f>
        <v/>
      </c>
      <c r="E6219" s="30" t="inlineStr">
        <is>
          <t>J M EUROFLEX COMERCIO E SERVICOS DE ARTIGOS INDUSTRIAIS LTDA</t>
        </is>
      </c>
      <c r="F6219" s="30" t="inlineStr">
        <is>
          <t>2017</t>
        </is>
      </c>
      <c r="G6219" s="40" t="n">
        <v>0</v>
      </c>
    </row>
    <row r="6220" ht="12" customHeight="1">
      <c r="A6220" s="30" t="inlineStr">
        <is>
          <t>ITG</t>
        </is>
      </c>
      <c r="B6220" s="30" t="inlineStr">
        <is>
          <t>Itaguai</t>
        </is>
      </c>
      <c r="C6220" s="30" t="n">
        <v>79495930</v>
      </c>
      <c r="D6220" s="30">
        <f>"06334771000363"</f>
        <v/>
      </c>
      <c r="E6220" s="30" t="inlineStr">
        <is>
          <t>J M EUROFLEX COMERCIO E SERVICOS DE ARTIGOS INDUSTRIAIS LTDA</t>
        </is>
      </c>
      <c r="F6220" s="30" t="inlineStr">
        <is>
          <t>2018</t>
        </is>
      </c>
      <c r="G6220" s="40" t="n">
        <v>0</v>
      </c>
    </row>
    <row r="6221" ht="12" customHeight="1">
      <c r="A6221" s="30" t="inlineStr">
        <is>
          <t>ITG</t>
        </is>
      </c>
      <c r="B6221" s="30" t="inlineStr">
        <is>
          <t>Itaguai</t>
        </is>
      </c>
      <c r="C6221" s="30" t="n">
        <v>79495930</v>
      </c>
      <c r="D6221" s="30">
        <f>"06334771000363"</f>
        <v/>
      </c>
      <c r="E6221" s="30" t="inlineStr">
        <is>
          <t>J M EUROFLEX COMERCIO E SERVICOS DE ARTIGOS INDUSTRIAIS LTDA</t>
        </is>
      </c>
      <c r="F6221" s="30" t="inlineStr">
        <is>
          <t>2019</t>
        </is>
      </c>
      <c r="G6221" s="40" t="n">
        <v>0</v>
      </c>
    </row>
    <row r="6222" ht="12" customHeight="1">
      <c r="A6222" s="30" t="inlineStr">
        <is>
          <t>ITG</t>
        </is>
      </c>
      <c r="B6222" s="30" t="inlineStr">
        <is>
          <t>Itaguai</t>
        </is>
      </c>
      <c r="C6222" s="30" t="n">
        <v>79500178</v>
      </c>
      <c r="D6222" s="30">
        <f>"91382000882"</f>
        <v/>
      </c>
      <c r="E6222" s="30" t="inlineStr">
        <is>
          <t>OPCAO JCA TURISMO E FRETAMENTO LTDA</t>
        </is>
      </c>
      <c r="F6222" s="30" t="inlineStr">
        <is>
          <t>2017</t>
        </is>
      </c>
      <c r="G6222" s="40" t="n">
        <v>9990</v>
      </c>
    </row>
    <row r="6223" ht="12" customHeight="1">
      <c r="A6223" s="30" t="inlineStr">
        <is>
          <t>ITG</t>
        </is>
      </c>
      <c r="B6223" s="30" t="inlineStr">
        <is>
          <t>Itaguai</t>
        </is>
      </c>
      <c r="C6223" s="30" t="n">
        <v>79500178</v>
      </c>
      <c r="D6223" s="30">
        <f>"91382000882"</f>
        <v/>
      </c>
      <c r="E6223" s="30" t="inlineStr">
        <is>
          <t>OPCAO JCA TURISMO E FRETAMENTO LTDA</t>
        </is>
      </c>
      <c r="F6223" s="30" t="inlineStr">
        <is>
          <t>2018</t>
        </is>
      </c>
      <c r="G6223" s="40" t="n">
        <v>0</v>
      </c>
    </row>
    <row r="6224" ht="12" customHeight="1">
      <c r="A6224" s="30" t="inlineStr">
        <is>
          <t>ITG</t>
        </is>
      </c>
      <c r="B6224" s="30" t="inlineStr">
        <is>
          <t>Itaguai</t>
        </is>
      </c>
      <c r="C6224" s="30" t="n">
        <v>79500178</v>
      </c>
      <c r="D6224" s="30">
        <f>"91382000882"</f>
        <v/>
      </c>
      <c r="E6224" s="30" t="inlineStr">
        <is>
          <t>OPCAO JCA TURISMO E FRETAMENTO LTDA</t>
        </is>
      </c>
      <c r="F6224" s="30" t="inlineStr">
        <is>
          <t>2019</t>
        </is>
      </c>
      <c r="G6224" s="40" t="n">
        <v>0</v>
      </c>
    </row>
    <row r="6225" ht="12" customHeight="1">
      <c r="A6225" s="30" t="inlineStr">
        <is>
          <t>ITG</t>
        </is>
      </c>
      <c r="B6225" s="30" t="inlineStr">
        <is>
          <t>Itaguai</t>
        </is>
      </c>
      <c r="C6225" s="30" t="n">
        <v>79500208</v>
      </c>
      <c r="D6225" s="30">
        <f>"33220880000837"</f>
        <v/>
      </c>
      <c r="E6225" s="30" t="inlineStr">
        <is>
          <t>EBSE ENGENHARIA DE SOLU??ES S.A</t>
        </is>
      </c>
      <c r="F6225" s="30" t="inlineStr">
        <is>
          <t>2017</t>
        </is>
      </c>
      <c r="G6225" s="40" t="n">
        <v>0</v>
      </c>
    </row>
    <row r="6226" ht="12" customHeight="1">
      <c r="A6226" s="30" t="inlineStr">
        <is>
          <t>ITG</t>
        </is>
      </c>
      <c r="B6226" s="30" t="inlineStr">
        <is>
          <t>Itaguai</t>
        </is>
      </c>
      <c r="C6226" s="30" t="n">
        <v>79500208</v>
      </c>
      <c r="D6226" s="30">
        <f>"33220880000837"</f>
        <v/>
      </c>
      <c r="E6226" s="30" t="inlineStr">
        <is>
          <t>EBSE ENGENHARIA DE SOLU??ES S.A</t>
        </is>
      </c>
      <c r="F6226" s="30" t="inlineStr">
        <is>
          <t>2018</t>
        </is>
      </c>
      <c r="G6226" s="40" t="n">
        <v>0</v>
      </c>
    </row>
    <row r="6227" ht="12" customHeight="1">
      <c r="A6227" s="30" t="inlineStr">
        <is>
          <t>ITG</t>
        </is>
      </c>
      <c r="B6227" s="30" t="inlineStr">
        <is>
          <t>Itaguai</t>
        </is>
      </c>
      <c r="C6227" s="30" t="n">
        <v>79500208</v>
      </c>
      <c r="D6227" s="30">
        <f>"33220880000837"</f>
        <v/>
      </c>
      <c r="E6227" s="30" t="inlineStr">
        <is>
          <t>EBSE ENGENHARIA DE SOLU??ES S.A</t>
        </is>
      </c>
      <c r="F6227" s="30" t="inlineStr">
        <is>
          <t>2019</t>
        </is>
      </c>
      <c r="G6227" s="40" t="n">
        <v>0</v>
      </c>
    </row>
    <row r="6228" ht="12" customHeight="1">
      <c r="A6228" s="30" t="inlineStr">
        <is>
          <t>ITG</t>
        </is>
      </c>
      <c r="B6228" s="30" t="inlineStr">
        <is>
          <t>Itaguai</t>
        </is>
      </c>
      <c r="C6228" s="30" t="n">
        <v>79500208</v>
      </c>
      <c r="D6228" s="30">
        <f>"33220880000837"</f>
        <v/>
      </c>
      <c r="E6228" s="30" t="inlineStr">
        <is>
          <t>EBSE ENGENHARIA DE SOLU??ES S.A</t>
        </is>
      </c>
      <c r="F6228" s="30" t="inlineStr">
        <is>
          <t>2020</t>
        </is>
      </c>
      <c r="G6228" s="40" t="n">
        <v>0</v>
      </c>
    </row>
    <row r="6229" ht="12" customHeight="1">
      <c r="A6229" s="30" t="inlineStr">
        <is>
          <t>ITG</t>
        </is>
      </c>
      <c r="B6229" s="30" t="inlineStr">
        <is>
          <t>Itaguai</t>
        </is>
      </c>
      <c r="C6229" s="30" t="n">
        <v>79500208</v>
      </c>
      <c r="D6229" s="30">
        <f>"33220880000837"</f>
        <v/>
      </c>
      <c r="E6229" s="30" t="inlineStr">
        <is>
          <t>EBSE ENGENHARIA DE SOLU??ES S.A</t>
        </is>
      </c>
      <c r="F6229" s="30" t="inlineStr">
        <is>
          <t>2021</t>
        </is>
      </c>
      <c r="G6229" s="40" t="n">
        <v>0</v>
      </c>
    </row>
    <row r="6230" ht="12" customHeight="1">
      <c r="A6230" s="30" t="inlineStr">
        <is>
          <t>ITG</t>
        </is>
      </c>
      <c r="B6230" s="30" t="inlineStr">
        <is>
          <t>Itaguai</t>
        </is>
      </c>
      <c r="C6230" s="30" t="n">
        <v>79500208</v>
      </c>
      <c r="D6230" s="30">
        <f>"33220880000837"</f>
        <v/>
      </c>
      <c r="E6230" s="30" t="inlineStr">
        <is>
          <t>EBSE ENGENHARIA DE SOLU??ES S.A</t>
        </is>
      </c>
      <c r="F6230" s="30" t="inlineStr">
        <is>
          <t>2022</t>
        </is>
      </c>
      <c r="G6230" s="40" t="n">
        <v>0</v>
      </c>
    </row>
    <row r="6231" ht="12" customHeight="1">
      <c r="A6231" s="30" t="inlineStr">
        <is>
          <t>ITG</t>
        </is>
      </c>
      <c r="B6231" s="30" t="inlineStr">
        <is>
          <t>Itaguai</t>
        </is>
      </c>
      <c r="C6231" s="30" t="n">
        <v>79500208</v>
      </c>
      <c r="D6231" s="30">
        <f>"33220880000837"</f>
        <v/>
      </c>
      <c r="E6231" s="30" t="inlineStr">
        <is>
          <t>EBSE ENGENHARIA DE SOLU??ES S.A</t>
        </is>
      </c>
      <c r="F6231" s="30" t="inlineStr">
        <is>
          <t>2023</t>
        </is>
      </c>
      <c r="G6231" s="40" t="n">
        <v>0</v>
      </c>
    </row>
    <row r="6232" ht="12" customHeight="1">
      <c r="A6232" s="30" t="inlineStr">
        <is>
          <t>ITG</t>
        </is>
      </c>
      <c r="B6232" s="30" t="inlineStr">
        <is>
          <t>Itaguai</t>
        </is>
      </c>
      <c r="C6232" s="30" t="n">
        <v>79508284</v>
      </c>
      <c r="D6232" s="30">
        <f>"42278291002763"</f>
        <v/>
      </c>
      <c r="E6232" s="30" t="inlineStr">
        <is>
          <t>LOG IN LOGISTICA INTERMODAL S/A</t>
        </is>
      </c>
      <c r="F6232" s="30" t="inlineStr">
        <is>
          <t>2017</t>
        </is>
      </c>
      <c r="G6232" s="40" t="n">
        <v>8597708.779999999</v>
      </c>
    </row>
    <row r="6233" ht="12" customHeight="1">
      <c r="A6233" s="30" t="inlineStr">
        <is>
          <t>ITG</t>
        </is>
      </c>
      <c r="B6233" s="30" t="inlineStr">
        <is>
          <t>Itaguai</t>
        </is>
      </c>
      <c r="C6233" s="30" t="n">
        <v>79508284</v>
      </c>
      <c r="D6233" s="30">
        <f>"42278291002763"</f>
        <v/>
      </c>
      <c r="E6233" s="30" t="inlineStr">
        <is>
          <t>LOG IN LOGISTICA INTERMODAL S/A</t>
        </is>
      </c>
      <c r="F6233" s="30" t="inlineStr">
        <is>
          <t>2018</t>
        </is>
      </c>
      <c r="G6233" s="40" t="n">
        <v>10821498.8</v>
      </c>
    </row>
    <row r="6234" ht="12" customHeight="1">
      <c r="A6234" s="30" t="inlineStr">
        <is>
          <t>ITG</t>
        </is>
      </c>
      <c r="B6234" s="30" t="inlineStr">
        <is>
          <t>Itaguai</t>
        </is>
      </c>
      <c r="C6234" s="30" t="n">
        <v>79508284</v>
      </c>
      <c r="D6234" s="30">
        <f>"42278291002763"</f>
        <v/>
      </c>
      <c r="E6234" s="30" t="inlineStr">
        <is>
          <t>LOG IN LOGISTICA INTERMODAL S/A</t>
        </is>
      </c>
      <c r="F6234" s="30" t="inlineStr">
        <is>
          <t>2019</t>
        </is>
      </c>
      <c r="G6234" s="40" t="n">
        <v>11535352.1</v>
      </c>
    </row>
    <row r="6235" ht="12" customHeight="1">
      <c r="A6235" s="30" t="inlineStr">
        <is>
          <t>ITG</t>
        </is>
      </c>
      <c r="B6235" s="30" t="inlineStr">
        <is>
          <t>Itaguai</t>
        </is>
      </c>
      <c r="C6235" s="30" t="n">
        <v>79508284</v>
      </c>
      <c r="D6235" s="30">
        <f>"42278291002763"</f>
        <v/>
      </c>
      <c r="E6235" s="30" t="inlineStr">
        <is>
          <t>LOG IN LOGISTICA INTERMODAL S/A</t>
        </is>
      </c>
      <c r="F6235" s="30" t="inlineStr">
        <is>
          <t>2020</t>
        </is>
      </c>
      <c r="G6235" s="40" t="n">
        <v>11472651.09</v>
      </c>
    </row>
    <row r="6236" ht="12" customHeight="1">
      <c r="A6236" s="30" t="inlineStr">
        <is>
          <t>ITG</t>
        </is>
      </c>
      <c r="B6236" s="30" t="inlineStr">
        <is>
          <t>Itaguai</t>
        </is>
      </c>
      <c r="C6236" s="30" t="n">
        <v>79508284</v>
      </c>
      <c r="D6236" s="30">
        <f>"42278291002763"</f>
        <v/>
      </c>
      <c r="E6236" s="30" t="inlineStr">
        <is>
          <t>LOG IN LOGISTICA INTERMODAL S/A</t>
        </is>
      </c>
      <c r="F6236" s="30" t="inlineStr">
        <is>
          <t>2021</t>
        </is>
      </c>
      <c r="G6236" s="40" t="n">
        <v>7892794.71</v>
      </c>
    </row>
    <row r="6237" ht="12" customHeight="1">
      <c r="A6237" s="30" t="inlineStr">
        <is>
          <t>ITG</t>
        </is>
      </c>
      <c r="B6237" s="30" t="inlineStr">
        <is>
          <t>Itaguai</t>
        </is>
      </c>
      <c r="C6237" s="30" t="n">
        <v>79508284</v>
      </c>
      <c r="D6237" s="30">
        <f>"42278291002763"</f>
        <v/>
      </c>
      <c r="E6237" s="30" t="inlineStr">
        <is>
          <t>LOG IN LOGISTICA INTERMODAL S/A</t>
        </is>
      </c>
      <c r="F6237" s="30" t="inlineStr">
        <is>
          <t>2022</t>
        </is>
      </c>
      <c r="G6237" s="40" t="n">
        <v>5648298.42</v>
      </c>
    </row>
    <row r="6238" ht="12" customHeight="1">
      <c r="A6238" s="30" t="inlineStr">
        <is>
          <t>ITG</t>
        </is>
      </c>
      <c r="B6238" s="30" t="inlineStr">
        <is>
          <t>Itaguai</t>
        </is>
      </c>
      <c r="C6238" s="30" t="n">
        <v>79508284</v>
      </c>
      <c r="D6238" s="30">
        <f>"42278291002763"</f>
        <v/>
      </c>
      <c r="E6238" s="30" t="inlineStr">
        <is>
          <t>LOG IN LOGISTICA INTERMODAL S/A</t>
        </is>
      </c>
      <c r="F6238" s="30" t="inlineStr">
        <is>
          <t>2023</t>
        </is>
      </c>
      <c r="G6238" s="40" t="n">
        <v>50926.84</v>
      </c>
    </row>
    <row r="6239" ht="12" customHeight="1">
      <c r="A6239" s="30" t="inlineStr">
        <is>
          <t>ITG</t>
        </is>
      </c>
      <c r="B6239" s="30" t="inlineStr">
        <is>
          <t>Itaguai</t>
        </is>
      </c>
      <c r="C6239" s="30" t="n">
        <v>79510688</v>
      </c>
      <c r="D6239" s="30">
        <f>"10839911000322"</f>
        <v/>
      </c>
      <c r="E6239" s="30" t="inlineStr">
        <is>
          <t>TG LOGISTICA E TRANSPORTES LTDA</t>
        </is>
      </c>
      <c r="F6239" s="30" t="inlineStr">
        <is>
          <t>2020</t>
        </is>
      </c>
      <c r="G6239" s="40" t="n">
        <v>0</v>
      </c>
    </row>
    <row r="6240" ht="12" customHeight="1">
      <c r="A6240" s="30" t="inlineStr">
        <is>
          <t>ITG</t>
        </is>
      </c>
      <c r="B6240" s="30" t="inlineStr">
        <is>
          <t>Itaguai</t>
        </is>
      </c>
      <c r="C6240" s="30" t="n">
        <v>79510688</v>
      </c>
      <c r="D6240" s="30">
        <f>"10839911000322"</f>
        <v/>
      </c>
      <c r="E6240" s="30" t="inlineStr">
        <is>
          <t>TG LOGISTICA E TRANSPORTES LTDA</t>
        </is>
      </c>
      <c r="F6240" s="30" t="inlineStr">
        <is>
          <t>2021</t>
        </is>
      </c>
      <c r="G6240" s="40" t="n">
        <v>0</v>
      </c>
    </row>
    <row r="6241" ht="12" customHeight="1">
      <c r="A6241" s="30" t="inlineStr">
        <is>
          <t>ITG</t>
        </is>
      </c>
      <c r="B6241" s="30" t="inlineStr">
        <is>
          <t>Itaguai</t>
        </is>
      </c>
      <c r="C6241" s="30" t="n">
        <v>79510688</v>
      </c>
      <c r="D6241" s="30">
        <f>"10839911000322"</f>
        <v/>
      </c>
      <c r="E6241" s="30" t="inlineStr">
        <is>
          <t>TG LOGISTICA E TRANSPORTES LTDA</t>
        </is>
      </c>
      <c r="F6241" s="30" t="inlineStr">
        <is>
          <t>2022</t>
        </is>
      </c>
      <c r="G6241" s="40" t="n">
        <v>19356.09</v>
      </c>
    </row>
    <row r="6242" ht="12" customHeight="1">
      <c r="A6242" s="30" t="inlineStr">
        <is>
          <t>ITG</t>
        </is>
      </c>
      <c r="B6242" s="30" t="inlineStr">
        <is>
          <t>Itaguai</t>
        </is>
      </c>
      <c r="C6242" s="30" t="n">
        <v>79510688</v>
      </c>
      <c r="D6242" s="30">
        <f>"10839911000322"</f>
        <v/>
      </c>
      <c r="E6242" s="30" t="inlineStr">
        <is>
          <t>TG LOGISTICA E TRANSPORTES LTDA</t>
        </is>
      </c>
      <c r="F6242" s="30" t="inlineStr">
        <is>
          <t>2023</t>
        </is>
      </c>
      <c r="G6242" s="40" t="n">
        <v>5864.56</v>
      </c>
    </row>
    <row r="6243" ht="12" customHeight="1">
      <c r="A6243" s="30" t="inlineStr">
        <is>
          <t>ITG</t>
        </is>
      </c>
      <c r="B6243" s="30" t="inlineStr">
        <is>
          <t>Itaguai</t>
        </is>
      </c>
      <c r="C6243" s="30" t="n">
        <v>79514420</v>
      </c>
      <c r="D6243" s="30">
        <f>"14424528000100"</f>
        <v/>
      </c>
      <c r="E6243" s="30" t="inlineStr">
        <is>
          <t>BAR DO ANDRE COMERCIO DE BEBIDAS LTDA ME</t>
        </is>
      </c>
      <c r="F6243" s="30" t="inlineStr">
        <is>
          <t>2017</t>
        </is>
      </c>
      <c r="G6243" s="40" t="n">
        <v>0</v>
      </c>
    </row>
    <row r="6244" ht="12" customHeight="1">
      <c r="A6244" s="30" t="inlineStr">
        <is>
          <t>ITG</t>
        </is>
      </c>
      <c r="B6244" s="30" t="inlineStr">
        <is>
          <t>Itaguai</t>
        </is>
      </c>
      <c r="C6244" s="30" t="n">
        <v>79514420</v>
      </c>
      <c r="D6244" s="30">
        <f>"14424528000100"</f>
        <v/>
      </c>
      <c r="E6244" s="30" t="inlineStr">
        <is>
          <t>BAR DO ANDRE COMERCIO DE BEBIDAS LTDA ME</t>
        </is>
      </c>
      <c r="F6244" s="30" t="inlineStr">
        <is>
          <t>2018</t>
        </is>
      </c>
      <c r="G6244" s="40" t="n">
        <v>0</v>
      </c>
    </row>
    <row r="6245" ht="12" customHeight="1">
      <c r="A6245" s="30" t="inlineStr">
        <is>
          <t>ITG</t>
        </is>
      </c>
      <c r="B6245" s="30" t="inlineStr">
        <is>
          <t>Itaguai</t>
        </is>
      </c>
      <c r="C6245" s="30" t="n">
        <v>79514420</v>
      </c>
      <c r="D6245" s="30">
        <f>"14424528000100"</f>
        <v/>
      </c>
      <c r="E6245" s="30" t="inlineStr">
        <is>
          <t>BAR DO ANDRE COMERCIO DE BEBIDAS LTDA ME</t>
        </is>
      </c>
      <c r="F6245" s="30" t="inlineStr">
        <is>
          <t>2019</t>
        </is>
      </c>
      <c r="G6245" s="40" t="n">
        <v>0</v>
      </c>
    </row>
    <row r="6246" ht="12" customHeight="1">
      <c r="A6246" s="30" t="inlineStr">
        <is>
          <t>ITG</t>
        </is>
      </c>
      <c r="B6246" s="30" t="inlineStr">
        <is>
          <t>Itaguai</t>
        </is>
      </c>
      <c r="C6246" s="30" t="n">
        <v>79514420</v>
      </c>
      <c r="D6246" s="30">
        <f>"14424528000100"</f>
        <v/>
      </c>
      <c r="E6246" s="30" t="inlineStr">
        <is>
          <t>BAR DO ANDRE COMERCIO DE BEBIDAS LTDA ME</t>
        </is>
      </c>
      <c r="F6246" s="30" t="inlineStr">
        <is>
          <t>2020</t>
        </is>
      </c>
      <c r="G6246" s="40" t="n">
        <v>0</v>
      </c>
    </row>
    <row r="6247" ht="12" customHeight="1">
      <c r="A6247" s="30" t="inlineStr">
        <is>
          <t>ITG</t>
        </is>
      </c>
      <c r="B6247" s="30" t="inlineStr">
        <is>
          <t>Itaguai</t>
        </is>
      </c>
      <c r="C6247" s="30" t="n">
        <v>79514420</v>
      </c>
      <c r="D6247" s="30">
        <f>"14424528000100"</f>
        <v/>
      </c>
      <c r="E6247" s="30" t="inlineStr">
        <is>
          <t>BAR DO ANDRE COMERCIO DE BEBIDAS LTDA ME</t>
        </is>
      </c>
      <c r="F6247" s="30" t="inlineStr">
        <is>
          <t>2021</t>
        </is>
      </c>
      <c r="G6247" s="40" t="n">
        <v>0</v>
      </c>
    </row>
    <row r="6248" ht="12" customHeight="1">
      <c r="A6248" s="30" t="inlineStr">
        <is>
          <t>ITG</t>
        </is>
      </c>
      <c r="B6248" s="30" t="inlineStr">
        <is>
          <t>Itaguai</t>
        </is>
      </c>
      <c r="C6248" s="30" t="n">
        <v>79514420</v>
      </c>
      <c r="D6248" s="30">
        <f>"14424528000100"</f>
        <v/>
      </c>
      <c r="E6248" s="30" t="inlineStr">
        <is>
          <t>BAR DO ANDRE COMERCIO DE BEBIDAS LTDA ME</t>
        </is>
      </c>
      <c r="F6248" s="30" t="inlineStr">
        <is>
          <t>2022</t>
        </is>
      </c>
      <c r="G6248" s="40" t="n">
        <v>0</v>
      </c>
    </row>
    <row r="6249" ht="12" customHeight="1">
      <c r="A6249" s="30" t="inlineStr">
        <is>
          <t>ITG</t>
        </is>
      </c>
      <c r="B6249" s="30" t="inlineStr">
        <is>
          <t>Itaguai</t>
        </is>
      </c>
      <c r="C6249" s="30" t="n">
        <v>79514420</v>
      </c>
      <c r="D6249" s="30">
        <f>"14424528000100"</f>
        <v/>
      </c>
      <c r="E6249" s="30" t="inlineStr">
        <is>
          <t>BAR DO ANDRE COMERCIO DE BEBIDAS LTDA ME</t>
        </is>
      </c>
      <c r="F6249" s="30" t="inlineStr">
        <is>
          <t>2023</t>
        </is>
      </c>
      <c r="G6249" s="40" t="n">
        <v>0</v>
      </c>
    </row>
    <row r="6250" ht="12" customHeight="1">
      <c r="A6250" s="30" t="inlineStr">
        <is>
          <t>ITG</t>
        </is>
      </c>
      <c r="B6250" s="30" t="inlineStr">
        <is>
          <t>Itaguai</t>
        </is>
      </c>
      <c r="C6250" s="30" t="n">
        <v>79522554</v>
      </c>
      <c r="D6250" s="30">
        <f>"14493773000161"</f>
        <v/>
      </c>
      <c r="E6250" s="30" t="inlineStr">
        <is>
          <t>SOLUÇÃO LOCAÇÃO E TRANSPORTES EIRELI</t>
        </is>
      </c>
      <c r="F6250" s="30" t="inlineStr">
        <is>
          <t>2017</t>
        </is>
      </c>
      <c r="G6250" s="40" t="n">
        <v>967.1799999999999</v>
      </c>
    </row>
    <row r="6251" ht="12" customHeight="1">
      <c r="A6251" s="30" t="inlineStr">
        <is>
          <t>ITG</t>
        </is>
      </c>
      <c r="B6251" s="30" t="inlineStr">
        <is>
          <t>Itaguai</t>
        </is>
      </c>
      <c r="C6251" s="30" t="n">
        <v>79522554</v>
      </c>
      <c r="D6251" s="30">
        <f>"14493773000161"</f>
        <v/>
      </c>
      <c r="E6251" s="30" t="inlineStr">
        <is>
          <t>SOLUÇÃO LOCAÇÃO E TRANSPORTES EIRELI</t>
        </is>
      </c>
      <c r="F6251" s="30" t="inlineStr">
        <is>
          <t>2018</t>
        </is>
      </c>
      <c r="G6251" s="40" t="n">
        <v>2245.43</v>
      </c>
    </row>
    <row r="6252" ht="12" customHeight="1">
      <c r="A6252" s="30" t="inlineStr">
        <is>
          <t>ITG</t>
        </is>
      </c>
      <c r="B6252" s="30" t="inlineStr">
        <is>
          <t>Itaguai</t>
        </is>
      </c>
      <c r="C6252" s="30" t="n">
        <v>79522554</v>
      </c>
      <c r="D6252" s="30">
        <f>"14493773000161"</f>
        <v/>
      </c>
      <c r="E6252" s="30" t="inlineStr">
        <is>
          <t>SOLUÇÃO LOCAÇÃO E TRANSPORTES EIRELI</t>
        </is>
      </c>
      <c r="F6252" s="30" t="inlineStr">
        <is>
          <t>2019</t>
        </is>
      </c>
      <c r="G6252" s="40" t="n">
        <v>39.86</v>
      </c>
    </row>
    <row r="6253" ht="12" customHeight="1">
      <c r="A6253" s="30" t="inlineStr">
        <is>
          <t>ITG</t>
        </is>
      </c>
      <c r="B6253" s="30" t="inlineStr">
        <is>
          <t>Itaguai</t>
        </is>
      </c>
      <c r="C6253" s="30" t="n">
        <v>79522554</v>
      </c>
      <c r="D6253" s="30">
        <f>"14493773000161"</f>
        <v/>
      </c>
      <c r="E6253" s="30" t="inlineStr">
        <is>
          <t>SOLUÇÃO LOCAÇÃO E TRANSPORTES EIRELI</t>
        </is>
      </c>
      <c r="F6253" s="30" t="inlineStr">
        <is>
          <t>2020</t>
        </is>
      </c>
      <c r="G6253" s="40" t="n">
        <v>144.05</v>
      </c>
    </row>
    <row r="6254" ht="12" customHeight="1">
      <c r="A6254" s="30" t="inlineStr">
        <is>
          <t>ITG</t>
        </is>
      </c>
      <c r="B6254" s="30" t="inlineStr">
        <is>
          <t>Itaguai</t>
        </is>
      </c>
      <c r="C6254" s="30" t="n">
        <v>79522554</v>
      </c>
      <c r="D6254" s="30">
        <f>"14493773000161"</f>
        <v/>
      </c>
      <c r="E6254" s="30" t="inlineStr">
        <is>
          <t>SOLUÇÃO LOCAÇÃO E TRANSPORTES EIRELI</t>
        </is>
      </c>
      <c r="F6254" s="30" t="inlineStr">
        <is>
          <t>2021</t>
        </is>
      </c>
      <c r="G6254" s="40" t="n">
        <v>0</v>
      </c>
    </row>
    <row r="6255" ht="12" customHeight="1">
      <c r="A6255" s="30" t="inlineStr">
        <is>
          <t>ITG</t>
        </is>
      </c>
      <c r="B6255" s="30" t="inlineStr">
        <is>
          <t>Itaguai</t>
        </is>
      </c>
      <c r="C6255" s="30" t="n">
        <v>79522554</v>
      </c>
      <c r="D6255" s="30">
        <f>"14493773000161"</f>
        <v/>
      </c>
      <c r="E6255" s="30" t="inlineStr">
        <is>
          <t>SOLUÇÃO LOCAÇÃO E TRANSPORTES EIRELI</t>
        </is>
      </c>
      <c r="F6255" s="30" t="inlineStr">
        <is>
          <t>2022</t>
        </is>
      </c>
      <c r="G6255" s="40" t="n">
        <v>10</v>
      </c>
    </row>
    <row r="6256" ht="12" customHeight="1">
      <c r="A6256" s="30" t="inlineStr">
        <is>
          <t>ITG</t>
        </is>
      </c>
      <c r="B6256" s="30" t="inlineStr">
        <is>
          <t>Itaguai</t>
        </is>
      </c>
      <c r="C6256" s="30" t="n">
        <v>79522554</v>
      </c>
      <c r="D6256" s="30">
        <f>"14493773000161"</f>
        <v/>
      </c>
      <c r="E6256" s="30" t="inlineStr">
        <is>
          <t>SOLUÇÃO LOCAÇÃO E TRANSPORTES EIRELI</t>
        </is>
      </c>
      <c r="F6256" s="30" t="inlineStr">
        <is>
          <t>2023</t>
        </is>
      </c>
      <c r="G6256" s="40" t="n">
        <v>716.16</v>
      </c>
    </row>
    <row r="6257" ht="12" customHeight="1">
      <c r="A6257" s="30" t="inlineStr">
        <is>
          <t>ITG</t>
        </is>
      </c>
      <c r="B6257" s="30" t="inlineStr">
        <is>
          <t>Itaguai</t>
        </is>
      </c>
      <c r="C6257" s="30" t="n">
        <v>79523500</v>
      </c>
      <c r="D6257" s="30">
        <f>"10375294000270"</f>
        <v/>
      </c>
      <c r="E6257" s="30" t="inlineStr">
        <is>
          <t>TRANS LOGISTIC TRANSPORTES LTDA-EPP</t>
        </is>
      </c>
      <c r="F6257" s="30" t="inlineStr">
        <is>
          <t>2017</t>
        </is>
      </c>
      <c r="G6257" s="40" t="n">
        <v>3949.51</v>
      </c>
    </row>
    <row r="6258" ht="12" customHeight="1">
      <c r="A6258" s="30" t="inlineStr">
        <is>
          <t>ITG</t>
        </is>
      </c>
      <c r="B6258" s="30" t="inlineStr">
        <is>
          <t>Itaguai</t>
        </is>
      </c>
      <c r="C6258" s="30" t="n">
        <v>79523500</v>
      </c>
      <c r="D6258" s="30">
        <f>"10375294000270"</f>
        <v/>
      </c>
      <c r="E6258" s="30" t="inlineStr">
        <is>
          <t>TRANS LOGISTIC TRANSPORTES LTDA-EPP</t>
        </is>
      </c>
      <c r="F6258" s="30" t="inlineStr">
        <is>
          <t>2018</t>
        </is>
      </c>
      <c r="G6258" s="40" t="n">
        <v>28640.3</v>
      </c>
    </row>
    <row r="6259" ht="12" customHeight="1">
      <c r="A6259" s="30" t="inlineStr">
        <is>
          <t>ITG</t>
        </is>
      </c>
      <c r="B6259" s="30" t="inlineStr">
        <is>
          <t>Itaguai</t>
        </is>
      </c>
      <c r="C6259" s="30" t="n">
        <v>79523500</v>
      </c>
      <c r="D6259" s="30">
        <f>"10375294000270"</f>
        <v/>
      </c>
      <c r="E6259" s="30" t="inlineStr">
        <is>
          <t>TRANS LOGISTIC TRANSPORTES LTDA-EPP</t>
        </is>
      </c>
      <c r="F6259" s="30" t="inlineStr">
        <is>
          <t>2019</t>
        </is>
      </c>
      <c r="G6259" s="40" t="n">
        <v>0</v>
      </c>
    </row>
    <row r="6260" ht="12" customHeight="1">
      <c r="A6260" s="30" t="inlineStr">
        <is>
          <t>ITG</t>
        </is>
      </c>
      <c r="B6260" s="30" t="inlineStr">
        <is>
          <t>Itaguai</t>
        </is>
      </c>
      <c r="C6260" s="30" t="n">
        <v>79523500</v>
      </c>
      <c r="D6260" s="30">
        <f>"10375294000270"</f>
        <v/>
      </c>
      <c r="E6260" s="30" t="inlineStr">
        <is>
          <t>TRANS LOGISTIC TRANSPORTES LTDA-EPP</t>
        </is>
      </c>
      <c r="F6260" s="30" t="inlineStr">
        <is>
          <t>2020</t>
        </is>
      </c>
      <c r="G6260" s="40" t="n">
        <v>0</v>
      </c>
    </row>
    <row r="6261" ht="12" customHeight="1">
      <c r="A6261" s="30" t="inlineStr">
        <is>
          <t>ITG</t>
        </is>
      </c>
      <c r="B6261" s="30" t="inlineStr">
        <is>
          <t>Itaguai</t>
        </is>
      </c>
      <c r="C6261" s="30" t="n">
        <v>79525596</v>
      </c>
      <c r="D6261" s="30">
        <f>"14395944000110"</f>
        <v/>
      </c>
      <c r="E6261" s="30" t="inlineStr">
        <is>
          <t>BA LOG LOGISTICA E LOCACAO LTDA ME</t>
        </is>
      </c>
      <c r="F6261" s="30" t="inlineStr">
        <is>
          <t>2017</t>
        </is>
      </c>
      <c r="G6261" s="40" t="n">
        <v>1315.86</v>
      </c>
    </row>
    <row r="6262" ht="12" customHeight="1">
      <c r="A6262" s="30" t="inlineStr">
        <is>
          <t>ITG</t>
        </is>
      </c>
      <c r="B6262" s="30" t="inlineStr">
        <is>
          <t>Itaguai</t>
        </is>
      </c>
      <c r="C6262" s="30" t="n">
        <v>79525596</v>
      </c>
      <c r="D6262" s="30">
        <f>"14395944000110"</f>
        <v/>
      </c>
      <c r="E6262" s="30" t="inlineStr">
        <is>
          <t>BA LOG LOGISTICA E LOCACAO LTDA ME</t>
        </is>
      </c>
      <c r="F6262" s="30" t="inlineStr">
        <is>
          <t>2018</t>
        </is>
      </c>
      <c r="G6262" s="40" t="n">
        <v>0</v>
      </c>
    </row>
    <row r="6263" ht="12" customHeight="1">
      <c r="A6263" s="30" t="inlineStr">
        <is>
          <t>ITG</t>
        </is>
      </c>
      <c r="B6263" s="30" t="inlineStr">
        <is>
          <t>Itaguai</t>
        </is>
      </c>
      <c r="C6263" s="30" t="n">
        <v>79525596</v>
      </c>
      <c r="D6263" s="30">
        <f>"14395944000110"</f>
        <v/>
      </c>
      <c r="E6263" s="30" t="inlineStr">
        <is>
          <t>BA LOG LOGISTICA E LOCACAO LTDA ME</t>
        </is>
      </c>
      <c r="F6263" s="30" t="inlineStr">
        <is>
          <t>2019</t>
        </is>
      </c>
      <c r="G6263" s="40" t="n">
        <v>0</v>
      </c>
    </row>
    <row r="6264" ht="12" customHeight="1">
      <c r="A6264" s="30" t="inlineStr">
        <is>
          <t>ITG</t>
        </is>
      </c>
      <c r="B6264" s="30" t="inlineStr">
        <is>
          <t>Itaguai</t>
        </is>
      </c>
      <c r="C6264" s="30" t="n">
        <v>79525596</v>
      </c>
      <c r="D6264" s="30">
        <f>"14395944000110"</f>
        <v/>
      </c>
      <c r="E6264" s="30" t="inlineStr">
        <is>
          <t>BA LOG LOGISTICA E LOCACAO LTDA ME</t>
        </is>
      </c>
      <c r="F6264" s="30" t="inlineStr">
        <is>
          <t>2020</t>
        </is>
      </c>
      <c r="G6264" s="40" t="n">
        <v>12444.83</v>
      </c>
    </row>
    <row r="6265" ht="12" customHeight="1">
      <c r="A6265" s="30" t="inlineStr">
        <is>
          <t>ITG</t>
        </is>
      </c>
      <c r="B6265" s="30" t="inlineStr">
        <is>
          <t>Itaguai</t>
        </is>
      </c>
      <c r="C6265" s="30" t="n">
        <v>79525596</v>
      </c>
      <c r="D6265" s="30">
        <f>"14395944000110"</f>
        <v/>
      </c>
      <c r="E6265" s="30" t="inlineStr">
        <is>
          <t>BA LOG LOGISTICA E LOCACAO LTDA ME</t>
        </is>
      </c>
      <c r="F6265" s="30" t="inlineStr">
        <is>
          <t>2021</t>
        </is>
      </c>
      <c r="G6265" s="40" t="n">
        <v>0</v>
      </c>
    </row>
    <row r="6266" ht="12" customHeight="1">
      <c r="A6266" s="30" t="inlineStr">
        <is>
          <t>ITG</t>
        </is>
      </c>
      <c r="B6266" s="30" t="inlineStr">
        <is>
          <t>Itaguai</t>
        </is>
      </c>
      <c r="C6266" s="30" t="n">
        <v>79525596</v>
      </c>
      <c r="D6266" s="30">
        <f>"14395944000110"</f>
        <v/>
      </c>
      <c r="E6266" s="30" t="inlineStr">
        <is>
          <t>BA LOG LOGISTICA E LOCACAO LTDA ME</t>
        </is>
      </c>
      <c r="F6266" s="30" t="inlineStr">
        <is>
          <t>2022</t>
        </is>
      </c>
      <c r="G6266" s="40" t="n">
        <v>14325.89</v>
      </c>
    </row>
    <row r="6267" ht="12" customHeight="1">
      <c r="A6267" s="30" t="inlineStr">
        <is>
          <t>ITG</t>
        </is>
      </c>
      <c r="B6267" s="30" t="inlineStr">
        <is>
          <t>Itaguai</t>
        </is>
      </c>
      <c r="C6267" s="30" t="n">
        <v>79525596</v>
      </c>
      <c r="D6267" s="30">
        <f>"14395944000110"</f>
        <v/>
      </c>
      <c r="E6267" s="30" t="inlineStr">
        <is>
          <t>BA LOG LOGISTICA E LOCACAO LTDA ME</t>
        </is>
      </c>
      <c r="F6267" s="30" t="inlineStr">
        <is>
          <t>2023</t>
        </is>
      </c>
      <c r="G6267" s="40" t="n">
        <v>26219.48</v>
      </c>
    </row>
    <row r="6268" ht="12" customHeight="1">
      <c r="A6268" s="30" t="inlineStr">
        <is>
          <t>ITG</t>
        </is>
      </c>
      <c r="B6268" s="30" t="inlineStr">
        <is>
          <t>Itaguai</t>
        </is>
      </c>
      <c r="C6268" s="30" t="n">
        <v>79529095</v>
      </c>
      <c r="D6268" s="30">
        <f>"02564963000224"</f>
        <v/>
      </c>
      <c r="E6268" s="30" t="inlineStr">
        <is>
          <t>HEBER TRANSPORTADORA LTDA</t>
        </is>
      </c>
      <c r="F6268" s="30" t="inlineStr">
        <is>
          <t>2017</t>
        </is>
      </c>
      <c r="G6268" s="40" t="n">
        <v>15.03</v>
      </c>
    </row>
    <row r="6269" ht="12" customHeight="1">
      <c r="A6269" s="30" t="inlineStr">
        <is>
          <t>ITG</t>
        </is>
      </c>
      <c r="B6269" s="30" t="inlineStr">
        <is>
          <t>Itaguai</t>
        </is>
      </c>
      <c r="C6269" s="30" t="n">
        <v>79529095</v>
      </c>
      <c r="D6269" s="30">
        <f>"02564963000224"</f>
        <v/>
      </c>
      <c r="E6269" s="30" t="inlineStr">
        <is>
          <t>HEBER TRANSPORTADORA LTDA</t>
        </is>
      </c>
      <c r="F6269" s="30" t="inlineStr">
        <is>
          <t>2018</t>
        </is>
      </c>
      <c r="G6269" s="40" t="n">
        <v>0</v>
      </c>
    </row>
    <row r="6270" ht="12" customHeight="1">
      <c r="A6270" s="30" t="inlineStr">
        <is>
          <t>ITG</t>
        </is>
      </c>
      <c r="B6270" s="30" t="inlineStr">
        <is>
          <t>Itaguai</t>
        </is>
      </c>
      <c r="C6270" s="30" t="n">
        <v>79529095</v>
      </c>
      <c r="D6270" s="30">
        <f>"02564963000224"</f>
        <v/>
      </c>
      <c r="E6270" s="30" t="inlineStr">
        <is>
          <t>HEBER TRANSPORTADORA LTDA</t>
        </is>
      </c>
      <c r="F6270" s="30" t="inlineStr">
        <is>
          <t>2019</t>
        </is>
      </c>
      <c r="G6270" s="40" t="n">
        <v>0</v>
      </c>
    </row>
    <row r="6271" ht="12" customHeight="1">
      <c r="A6271" s="30" t="inlineStr">
        <is>
          <t>ITG</t>
        </is>
      </c>
      <c r="B6271" s="30" t="inlineStr">
        <is>
          <t>Itaguai</t>
        </is>
      </c>
      <c r="C6271" s="30" t="n">
        <v>79535400</v>
      </c>
      <c r="D6271" s="30">
        <f>"07406991000318"</f>
        <v/>
      </c>
      <c r="E6271" s="30" t="inlineStr">
        <is>
          <t>DROGARIAS ATUAL DA COSTA VERDE LTDA</t>
        </is>
      </c>
      <c r="F6271" s="30" t="inlineStr">
        <is>
          <t>2017</t>
        </is>
      </c>
      <c r="G6271" s="40" t="n">
        <v>1303489.7</v>
      </c>
    </row>
    <row r="6272" ht="12" customHeight="1">
      <c r="A6272" s="30" t="inlineStr">
        <is>
          <t>ITG</t>
        </is>
      </c>
      <c r="B6272" s="30" t="inlineStr">
        <is>
          <t>Itaguai</t>
        </is>
      </c>
      <c r="C6272" s="30" t="n">
        <v>79535400</v>
      </c>
      <c r="D6272" s="30">
        <f>"07406991000318"</f>
        <v/>
      </c>
      <c r="E6272" s="30" t="inlineStr">
        <is>
          <t>DROGARIAS ATUAL DA COSTA VERDE LTDA</t>
        </is>
      </c>
      <c r="F6272" s="30" t="inlineStr">
        <is>
          <t>2018</t>
        </is>
      </c>
      <c r="G6272" s="40" t="n">
        <v>2966913.14</v>
      </c>
    </row>
    <row r="6273" ht="12" customHeight="1">
      <c r="A6273" s="30" t="inlineStr">
        <is>
          <t>ITG</t>
        </is>
      </c>
      <c r="B6273" s="30" t="inlineStr">
        <is>
          <t>Itaguai</t>
        </is>
      </c>
      <c r="C6273" s="30" t="n">
        <v>79535400</v>
      </c>
      <c r="D6273" s="30">
        <f>"07406991000318"</f>
        <v/>
      </c>
      <c r="E6273" s="30" t="inlineStr">
        <is>
          <t>DROGARIAS ATUAL DA COSTA VERDE LTDA</t>
        </is>
      </c>
      <c r="F6273" s="30" t="inlineStr">
        <is>
          <t>2019</t>
        </is>
      </c>
      <c r="G6273" s="40" t="n">
        <v>1308415.88</v>
      </c>
    </row>
    <row r="6274" ht="12" customHeight="1">
      <c r="A6274" s="30" t="inlineStr">
        <is>
          <t>ITG</t>
        </is>
      </c>
      <c r="B6274" s="30" t="inlineStr">
        <is>
          <t>Itaguai</t>
        </is>
      </c>
      <c r="C6274" s="30" t="n">
        <v>79535400</v>
      </c>
      <c r="D6274" s="30">
        <f>"07406991000318"</f>
        <v/>
      </c>
      <c r="E6274" s="30" t="inlineStr">
        <is>
          <t>DROGARIAS ATUAL DA COSTA VERDE LTDA</t>
        </is>
      </c>
      <c r="F6274" s="30" t="inlineStr">
        <is>
          <t>2020</t>
        </is>
      </c>
      <c r="G6274" s="40" t="n">
        <v>1058495.62</v>
      </c>
    </row>
    <row r="6275" ht="12" customHeight="1">
      <c r="A6275" s="30" t="inlineStr">
        <is>
          <t>ITG</t>
        </is>
      </c>
      <c r="B6275" s="30" t="inlineStr">
        <is>
          <t>Itaguai</t>
        </is>
      </c>
      <c r="C6275" s="30" t="n">
        <v>79535400</v>
      </c>
      <c r="D6275" s="30">
        <f>"07406991000318"</f>
        <v/>
      </c>
      <c r="E6275" s="30" t="inlineStr">
        <is>
          <t>DROGARIAS ATUAL DA COSTA VERDE LTDA</t>
        </is>
      </c>
      <c r="F6275" s="30" t="inlineStr">
        <is>
          <t>2021</t>
        </is>
      </c>
      <c r="G6275" s="40" t="n">
        <v>2208174.56</v>
      </c>
    </row>
    <row r="6276" ht="12" customHeight="1">
      <c r="A6276" s="30" t="inlineStr">
        <is>
          <t>ITG</t>
        </is>
      </c>
      <c r="B6276" s="30" t="inlineStr">
        <is>
          <t>Itaguai</t>
        </is>
      </c>
      <c r="C6276" s="30" t="n">
        <v>79535400</v>
      </c>
      <c r="D6276" s="30">
        <f>"07406991000318"</f>
        <v/>
      </c>
      <c r="E6276" s="30" t="inlineStr">
        <is>
          <t>DROGARIAS ATUAL DA COSTA VERDE LTDA</t>
        </is>
      </c>
      <c r="F6276" s="30" t="inlineStr">
        <is>
          <t>2022</t>
        </is>
      </c>
      <c r="G6276" s="40" t="n">
        <v>4485580.33</v>
      </c>
    </row>
    <row r="6277" ht="12" customHeight="1">
      <c r="A6277" s="30" t="inlineStr">
        <is>
          <t>ITG</t>
        </is>
      </c>
      <c r="B6277" s="30" t="inlineStr">
        <is>
          <t>Itaguai</t>
        </is>
      </c>
      <c r="C6277" s="30" t="n">
        <v>79535400</v>
      </c>
      <c r="D6277" s="30">
        <f>"07406991000318"</f>
        <v/>
      </c>
      <c r="E6277" s="30" t="inlineStr">
        <is>
          <t>DROGARIAS ATUAL DA COSTA VERDE LTDA</t>
        </is>
      </c>
      <c r="F6277" s="30" t="inlineStr">
        <is>
          <t>2023</t>
        </is>
      </c>
      <c r="G6277" s="40" t="n">
        <v>0</v>
      </c>
    </row>
    <row r="6278" ht="12" customHeight="1">
      <c r="A6278" s="30" t="inlineStr">
        <is>
          <t>ITG</t>
        </is>
      </c>
      <c r="B6278" s="30" t="inlineStr">
        <is>
          <t>Itaguai</t>
        </is>
      </c>
      <c r="C6278" s="30" t="n">
        <v>79536644</v>
      </c>
      <c r="D6278" s="30">
        <f>"50935436003751"</f>
        <v/>
      </c>
      <c r="E6278" s="30" t="inlineStr">
        <is>
          <t>EXPRESSO JUNDIAI LOGISTICA E TRANSPORTE LTDA</t>
        </is>
      </c>
      <c r="F6278" s="30" t="inlineStr">
        <is>
          <t>2017</t>
        </is>
      </c>
      <c r="G6278" s="40" t="n">
        <v>2269.56</v>
      </c>
    </row>
    <row r="6279" ht="12" customHeight="1">
      <c r="A6279" s="30" t="inlineStr">
        <is>
          <t>ITG</t>
        </is>
      </c>
      <c r="B6279" s="30" t="inlineStr">
        <is>
          <t>Itaguai</t>
        </is>
      </c>
      <c r="C6279" s="30" t="n">
        <v>79536644</v>
      </c>
      <c r="D6279" s="30">
        <f>"50935436003751"</f>
        <v/>
      </c>
      <c r="E6279" s="30" t="inlineStr">
        <is>
          <t>EXPRESSO JUNDIAI LOGISTICA E TRANSPORTE LTDA</t>
        </is>
      </c>
      <c r="F6279" s="30" t="inlineStr">
        <is>
          <t>2018</t>
        </is>
      </c>
      <c r="G6279" s="40" t="n">
        <v>0</v>
      </c>
    </row>
    <row r="6280" ht="12" customHeight="1">
      <c r="A6280" s="30" t="inlineStr">
        <is>
          <t>ITG</t>
        </is>
      </c>
      <c r="B6280" s="30" t="inlineStr">
        <is>
          <t>Itaguai</t>
        </is>
      </c>
      <c r="C6280" s="30" t="n">
        <v>79536644</v>
      </c>
      <c r="D6280" s="30">
        <f>"50935436003751"</f>
        <v/>
      </c>
      <c r="E6280" s="30" t="inlineStr">
        <is>
          <t>EXPRESSO JUNDIAI LOGISTICA E TRANSPORTE LTDA</t>
        </is>
      </c>
      <c r="F6280" s="30" t="inlineStr">
        <is>
          <t>2019</t>
        </is>
      </c>
      <c r="G6280" s="40" t="n">
        <v>0</v>
      </c>
    </row>
    <row r="6281" ht="12" customHeight="1">
      <c r="A6281" s="30" t="inlineStr">
        <is>
          <t>ITG</t>
        </is>
      </c>
      <c r="B6281" s="30" t="inlineStr">
        <is>
          <t>Itaguai</t>
        </is>
      </c>
      <c r="C6281" s="30" t="n">
        <v>79541575</v>
      </c>
      <c r="D6281" s="30">
        <f>"04915315001434"</f>
        <v/>
      </c>
      <c r="E6281" s="30" t="inlineStr">
        <is>
          <t>VENTANA SERRA DO BRASIL AGENCIAMENTO DE CARGAS LTDA</t>
        </is>
      </c>
      <c r="F6281" s="30" t="inlineStr">
        <is>
          <t>2017</t>
        </is>
      </c>
      <c r="G6281" s="40" t="n">
        <v>121597.08</v>
      </c>
    </row>
    <row r="6282" ht="12" customHeight="1">
      <c r="A6282" s="30" t="inlineStr">
        <is>
          <t>ITG</t>
        </is>
      </c>
      <c r="B6282" s="30" t="inlineStr">
        <is>
          <t>Itaguai</t>
        </is>
      </c>
      <c r="C6282" s="30" t="n">
        <v>79541575</v>
      </c>
      <c r="D6282" s="30">
        <f>"04915315001434"</f>
        <v/>
      </c>
      <c r="E6282" s="30" t="inlineStr">
        <is>
          <t>VENTANA SERRA DO BRASIL AGENCIAMENTO DE CARGAS LTDA</t>
        </is>
      </c>
      <c r="F6282" s="30" t="inlineStr">
        <is>
          <t>2018</t>
        </is>
      </c>
      <c r="G6282" s="40" t="n">
        <v>0</v>
      </c>
    </row>
    <row r="6283" ht="12" customHeight="1">
      <c r="A6283" s="30" t="inlineStr">
        <is>
          <t>ITG</t>
        </is>
      </c>
      <c r="B6283" s="30" t="inlineStr">
        <is>
          <t>Itaguai</t>
        </is>
      </c>
      <c r="C6283" s="30" t="n">
        <v>79541575</v>
      </c>
      <c r="D6283" s="30">
        <f>"04915315001434"</f>
        <v/>
      </c>
      <c r="E6283" s="30" t="inlineStr">
        <is>
          <t>VENTANA SERRA DO BRASIL AGENCIAMENTO DE CARGAS LTDA</t>
        </is>
      </c>
      <c r="F6283" s="30" t="inlineStr">
        <is>
          <t>2019</t>
        </is>
      </c>
      <c r="G6283" s="40" t="n">
        <v>0</v>
      </c>
    </row>
    <row r="6284" ht="12" customHeight="1">
      <c r="A6284" s="30" t="inlineStr">
        <is>
          <t>ITG</t>
        </is>
      </c>
      <c r="B6284" s="30" t="inlineStr">
        <is>
          <t>Itaguai</t>
        </is>
      </c>
      <c r="C6284" s="30" t="n">
        <v>79541575</v>
      </c>
      <c r="D6284" s="30">
        <f>"04915315001434"</f>
        <v/>
      </c>
      <c r="E6284" s="30" t="inlineStr">
        <is>
          <t>VENTANA SERRA DO BRASIL AGENCIAMENTO DE CARGAS LTDA</t>
        </is>
      </c>
      <c r="F6284" s="30" t="inlineStr">
        <is>
          <t>2020</t>
        </is>
      </c>
      <c r="G6284" s="40" t="n">
        <v>0</v>
      </c>
    </row>
    <row r="6285" ht="12" customHeight="1">
      <c r="A6285" s="30" t="inlineStr">
        <is>
          <t>ITG</t>
        </is>
      </c>
      <c r="B6285" s="30" t="inlineStr">
        <is>
          <t>Itaguai</t>
        </is>
      </c>
      <c r="C6285" s="30" t="n">
        <v>79541575</v>
      </c>
      <c r="D6285" s="30">
        <f>"04915315001434"</f>
        <v/>
      </c>
      <c r="E6285" s="30" t="inlineStr">
        <is>
          <t>VENTANA SERRA DO BRASIL AGENCIAMENTO DE CARGAS LTDA</t>
        </is>
      </c>
      <c r="F6285" s="30" t="inlineStr">
        <is>
          <t>2021</t>
        </is>
      </c>
      <c r="G6285" s="40" t="n">
        <v>0</v>
      </c>
    </row>
    <row r="6286" ht="12" customHeight="1">
      <c r="A6286" s="30" t="inlineStr">
        <is>
          <t>ITG</t>
        </is>
      </c>
      <c r="B6286" s="30" t="inlineStr">
        <is>
          <t>Itaguai</t>
        </is>
      </c>
      <c r="C6286" s="30" t="n">
        <v>79541575</v>
      </c>
      <c r="D6286" s="30">
        <f>"04915315001434"</f>
        <v/>
      </c>
      <c r="E6286" s="30" t="inlineStr">
        <is>
          <t>VENTANA SERRA DO BRASIL AGENCIAMENTO DE CARGAS LTDA</t>
        </is>
      </c>
      <c r="F6286" s="30" t="inlineStr">
        <is>
          <t>2022</t>
        </is>
      </c>
      <c r="G6286" s="40" t="n">
        <v>6854.65</v>
      </c>
    </row>
    <row r="6287" ht="12" customHeight="1">
      <c r="A6287" s="30" t="inlineStr">
        <is>
          <t>ITG</t>
        </is>
      </c>
      <c r="B6287" s="30" t="inlineStr">
        <is>
          <t>Itaguai</t>
        </is>
      </c>
      <c r="C6287" s="30" t="n">
        <v>79541575</v>
      </c>
      <c r="D6287" s="30">
        <f>"04915315001434"</f>
        <v/>
      </c>
      <c r="E6287" s="30" t="inlineStr">
        <is>
          <t>VENTANA SERRA DO BRASIL AGENCIAMENTO DE CARGAS LTDA</t>
        </is>
      </c>
      <c r="F6287" s="30" t="inlineStr">
        <is>
          <t>2023</t>
        </is>
      </c>
      <c r="G6287" s="40" t="n">
        <v>7539.77</v>
      </c>
    </row>
    <row r="6288" ht="12" customHeight="1">
      <c r="A6288" s="30" t="inlineStr">
        <is>
          <t>ITG</t>
        </is>
      </c>
      <c r="B6288" s="30" t="inlineStr">
        <is>
          <t>Itaguai</t>
        </is>
      </c>
      <c r="C6288" s="30" t="n">
        <v>79543411</v>
      </c>
      <c r="D6288" s="30">
        <f>"68639251001550"</f>
        <v/>
      </c>
      <c r="E6288" s="30" t="inlineStr">
        <is>
          <t>PREMIUM RIO VEICULOS LTDA</t>
        </is>
      </c>
      <c r="F6288" s="30" t="inlineStr">
        <is>
          <t>2017</t>
        </is>
      </c>
      <c r="G6288" s="40" t="n">
        <v>0</v>
      </c>
    </row>
    <row r="6289" ht="12" customHeight="1">
      <c r="A6289" s="30" t="inlineStr">
        <is>
          <t>ITG</t>
        </is>
      </c>
      <c r="B6289" s="30" t="inlineStr">
        <is>
          <t>Itaguai</t>
        </is>
      </c>
      <c r="C6289" s="30" t="n">
        <v>79543411</v>
      </c>
      <c r="D6289" s="30">
        <f>"68639251001550"</f>
        <v/>
      </c>
      <c r="E6289" s="30" t="inlineStr">
        <is>
          <t>PREMIUM RIO VEICULOS LTDA</t>
        </is>
      </c>
      <c r="F6289" s="30" t="inlineStr">
        <is>
          <t>2018</t>
        </is>
      </c>
      <c r="G6289" s="40" t="n">
        <v>0</v>
      </c>
    </row>
    <row r="6290" ht="12" customHeight="1">
      <c r="A6290" s="30" t="inlineStr">
        <is>
          <t>ITG</t>
        </is>
      </c>
      <c r="B6290" s="30" t="inlineStr">
        <is>
          <t>Itaguai</t>
        </is>
      </c>
      <c r="C6290" s="30" t="n">
        <v>79543411</v>
      </c>
      <c r="D6290" s="30">
        <f>"68639251001550"</f>
        <v/>
      </c>
      <c r="E6290" s="30" t="inlineStr">
        <is>
          <t>PREMIUM RIO VEICULOS LTDA</t>
        </is>
      </c>
      <c r="F6290" s="30" t="inlineStr">
        <is>
          <t>2019</t>
        </is>
      </c>
      <c r="G6290" s="40" t="n">
        <v>0</v>
      </c>
    </row>
    <row r="6291" ht="12" customHeight="1">
      <c r="A6291" s="30" t="inlineStr">
        <is>
          <t>ITG</t>
        </is>
      </c>
      <c r="B6291" s="30" t="inlineStr">
        <is>
          <t>Itaguai</t>
        </is>
      </c>
      <c r="C6291" s="30" t="n">
        <v>79543411</v>
      </c>
      <c r="D6291" s="30">
        <f>"68639251001550"</f>
        <v/>
      </c>
      <c r="E6291" s="30" t="inlineStr">
        <is>
          <t>PREMIUM RIO VEICULOS LTDA</t>
        </is>
      </c>
      <c r="F6291" s="30" t="inlineStr">
        <is>
          <t>2020</t>
        </is>
      </c>
      <c r="G6291" s="40" t="n">
        <v>0</v>
      </c>
    </row>
    <row r="6292" ht="12" customHeight="1">
      <c r="A6292" s="30" t="inlineStr">
        <is>
          <t>ITG</t>
        </is>
      </c>
      <c r="B6292" s="30" t="inlineStr">
        <is>
          <t>Itaguai</t>
        </is>
      </c>
      <c r="C6292" s="30" t="n">
        <v>79543411</v>
      </c>
      <c r="D6292" s="30">
        <f>"68639251001550"</f>
        <v/>
      </c>
      <c r="E6292" s="30" t="inlineStr">
        <is>
          <t>PREMIUM RIO VEICULOS LTDA</t>
        </is>
      </c>
      <c r="F6292" s="30" t="inlineStr">
        <is>
          <t>2021</t>
        </is>
      </c>
      <c r="G6292" s="40" t="n">
        <v>0</v>
      </c>
    </row>
    <row r="6293" ht="12" customHeight="1">
      <c r="A6293" s="30" t="inlineStr">
        <is>
          <t>ITG</t>
        </is>
      </c>
      <c r="B6293" s="30" t="inlineStr">
        <is>
          <t>Itaguai</t>
        </is>
      </c>
      <c r="C6293" s="30" t="n">
        <v>79543411</v>
      </c>
      <c r="D6293" s="30">
        <f>"68639251001550"</f>
        <v/>
      </c>
      <c r="E6293" s="30" t="inlineStr">
        <is>
          <t>PREMIUM RIO VEICULOS LTDA</t>
        </is>
      </c>
      <c r="F6293" s="30" t="inlineStr">
        <is>
          <t>2022</t>
        </is>
      </c>
      <c r="G6293" s="40" t="n">
        <v>0</v>
      </c>
    </row>
    <row r="6294" ht="12" customHeight="1">
      <c r="A6294" s="30" t="inlineStr">
        <is>
          <t>ITG</t>
        </is>
      </c>
      <c r="B6294" s="30" t="inlineStr">
        <is>
          <t>Itaguai</t>
        </is>
      </c>
      <c r="C6294" s="30" t="n">
        <v>79545660</v>
      </c>
      <c r="D6294" s="30">
        <f>"05294609000304"</f>
        <v/>
      </c>
      <c r="E6294" s="30" t="inlineStr">
        <is>
          <t>ZIRANLOG ARMAZENS GERAIS E TRANSPORTES EIRELI</t>
        </is>
      </c>
      <c r="F6294" s="30" t="inlineStr">
        <is>
          <t>2017</t>
        </is>
      </c>
      <c r="G6294" s="40" t="n">
        <v>0</v>
      </c>
    </row>
    <row r="6295" ht="12" customHeight="1">
      <c r="A6295" s="30" t="inlineStr">
        <is>
          <t>ITG</t>
        </is>
      </c>
      <c r="B6295" s="30" t="inlineStr">
        <is>
          <t>Itaguai</t>
        </is>
      </c>
      <c r="C6295" s="30" t="n">
        <v>79545660</v>
      </c>
      <c r="D6295" s="30">
        <f>"05294609000304"</f>
        <v/>
      </c>
      <c r="E6295" s="30" t="inlineStr">
        <is>
          <t>ZIRANLOG ARMAZENS GERAIS E TRANSPORTES EIRELI</t>
        </is>
      </c>
      <c r="F6295" s="30" t="inlineStr">
        <is>
          <t>2018</t>
        </is>
      </c>
      <c r="G6295" s="40" t="n">
        <v>0</v>
      </c>
    </row>
    <row r="6296" ht="12" customHeight="1">
      <c r="A6296" s="30" t="inlineStr">
        <is>
          <t>ITG</t>
        </is>
      </c>
      <c r="B6296" s="30" t="inlineStr">
        <is>
          <t>Itaguai</t>
        </is>
      </c>
      <c r="C6296" s="30" t="n">
        <v>79545660</v>
      </c>
      <c r="D6296" s="30">
        <f>"05294609000304"</f>
        <v/>
      </c>
      <c r="E6296" s="30" t="inlineStr">
        <is>
          <t>ZIRANLOG ARMAZENS GERAIS E TRANSPORTES EIRELI</t>
        </is>
      </c>
      <c r="F6296" s="30" t="inlineStr">
        <is>
          <t>2019</t>
        </is>
      </c>
      <c r="G6296" s="40" t="n">
        <v>0</v>
      </c>
    </row>
    <row r="6297" ht="12" customHeight="1">
      <c r="A6297" s="30" t="inlineStr">
        <is>
          <t>ITG</t>
        </is>
      </c>
      <c r="B6297" s="30" t="inlineStr">
        <is>
          <t>Itaguai</t>
        </is>
      </c>
      <c r="C6297" s="30" t="n">
        <v>79545660</v>
      </c>
      <c r="D6297" s="30">
        <f>"05294609000304"</f>
        <v/>
      </c>
      <c r="E6297" s="30" t="inlineStr">
        <is>
          <t>ZIRANLOG ARMAZENS GERAIS E TRANSPORTES EIRELI</t>
        </is>
      </c>
      <c r="F6297" s="30" t="inlineStr">
        <is>
          <t>2020</t>
        </is>
      </c>
      <c r="G6297" s="40" t="n">
        <v>0</v>
      </c>
    </row>
    <row r="6298" ht="12" customHeight="1">
      <c r="A6298" s="30" t="inlineStr">
        <is>
          <t>ITG</t>
        </is>
      </c>
      <c r="B6298" s="30" t="inlineStr">
        <is>
          <t>Itaguai</t>
        </is>
      </c>
      <c r="C6298" s="30" t="n">
        <v>79545660</v>
      </c>
      <c r="D6298" s="30">
        <f>"05294609000304"</f>
        <v/>
      </c>
      <c r="E6298" s="30" t="inlineStr">
        <is>
          <t>ZIRANLOG ARMAZENS GERAIS E TRANSPORTES EIRELI</t>
        </is>
      </c>
      <c r="F6298" s="30" t="inlineStr">
        <is>
          <t>2021</t>
        </is>
      </c>
      <c r="G6298" s="40" t="n">
        <v>0</v>
      </c>
    </row>
    <row r="6299" ht="12" customHeight="1">
      <c r="A6299" s="30" t="inlineStr">
        <is>
          <t>ITG</t>
        </is>
      </c>
      <c r="B6299" s="30" t="inlineStr">
        <is>
          <t>Itaguai</t>
        </is>
      </c>
      <c r="C6299" s="30" t="n">
        <v>79554332</v>
      </c>
      <c r="D6299" s="30">
        <f>"14744388000140"</f>
        <v/>
      </c>
      <c r="E6299" s="30" t="inlineStr">
        <is>
          <t>RICAL COMERCIO DE VEICULOS - EIRELI</t>
        </is>
      </c>
      <c r="F6299" s="30" t="inlineStr">
        <is>
          <t>2017</t>
        </is>
      </c>
      <c r="G6299" s="40" t="n">
        <v>64134.3</v>
      </c>
    </row>
    <row r="6300" ht="12" customHeight="1">
      <c r="A6300" s="30" t="inlineStr">
        <is>
          <t>ITG</t>
        </is>
      </c>
      <c r="B6300" s="30" t="inlineStr">
        <is>
          <t>Itaguai</t>
        </is>
      </c>
      <c r="C6300" s="30" t="n">
        <v>79554332</v>
      </c>
      <c r="D6300" s="30">
        <f>"14744388000140"</f>
        <v/>
      </c>
      <c r="E6300" s="30" t="inlineStr">
        <is>
          <t>RICAL COMERCIO DE VEICULOS - EIRELI</t>
        </is>
      </c>
      <c r="F6300" s="30" t="inlineStr">
        <is>
          <t>2018</t>
        </is>
      </c>
      <c r="G6300" s="40" t="n">
        <v>8220</v>
      </c>
    </row>
    <row r="6301" ht="12" customHeight="1">
      <c r="A6301" s="30" t="inlineStr">
        <is>
          <t>ITG</t>
        </is>
      </c>
      <c r="B6301" s="30" t="inlineStr">
        <is>
          <t>Itaguai</t>
        </is>
      </c>
      <c r="C6301" s="30" t="n">
        <v>79554332</v>
      </c>
      <c r="D6301" s="30">
        <f>"14744388000140"</f>
        <v/>
      </c>
      <c r="E6301" s="30" t="inlineStr">
        <is>
          <t>RICAL COMERCIO DE VEICULOS - EIRELI</t>
        </is>
      </c>
      <c r="F6301" s="30" t="inlineStr">
        <is>
          <t>2019</t>
        </is>
      </c>
      <c r="G6301" s="40" t="n">
        <v>0</v>
      </c>
    </row>
    <row r="6302" ht="12" customHeight="1">
      <c r="A6302" s="30" t="inlineStr">
        <is>
          <t>ITG</t>
        </is>
      </c>
      <c r="B6302" s="30" t="inlineStr">
        <is>
          <t>Itaguai</t>
        </is>
      </c>
      <c r="C6302" s="30" t="n">
        <v>79554332</v>
      </c>
      <c r="D6302" s="30">
        <f>"14744388000140"</f>
        <v/>
      </c>
      <c r="E6302" s="30" t="inlineStr">
        <is>
          <t>RICAL COMERCIO DE VEICULOS - EIRELI</t>
        </is>
      </c>
      <c r="F6302" s="30" t="inlineStr">
        <is>
          <t>2020</t>
        </is>
      </c>
      <c r="G6302" s="40" t="n">
        <v>0</v>
      </c>
    </row>
    <row r="6303" ht="12" customHeight="1">
      <c r="A6303" s="30" t="inlineStr">
        <is>
          <t>ITG</t>
        </is>
      </c>
      <c r="B6303" s="30" t="inlineStr">
        <is>
          <t>Itaguai</t>
        </is>
      </c>
      <c r="C6303" s="30" t="n">
        <v>79556637</v>
      </c>
      <c r="D6303" s="30">
        <f>"14758652000102"</f>
        <v/>
      </c>
      <c r="E6303" s="30" t="inlineStr">
        <is>
          <t>POSTO DE SERVICOS GIGANTE DE CAXIAS LTDA</t>
        </is>
      </c>
      <c r="F6303" s="30" t="inlineStr">
        <is>
          <t>2017</t>
        </is>
      </c>
      <c r="G6303" s="40" t="n">
        <v>1267670.53</v>
      </c>
    </row>
    <row r="6304" ht="12" customHeight="1">
      <c r="A6304" s="30" t="inlineStr">
        <is>
          <t>ITG</t>
        </is>
      </c>
      <c r="B6304" s="30" t="inlineStr">
        <is>
          <t>Itaguai</t>
        </is>
      </c>
      <c r="C6304" s="30" t="n">
        <v>79556637</v>
      </c>
      <c r="D6304" s="30">
        <f>"14758652000102"</f>
        <v/>
      </c>
      <c r="E6304" s="30" t="inlineStr">
        <is>
          <t>POSTO DE SERVICOS GIGANTE DE CAXIAS LTDA</t>
        </is>
      </c>
      <c r="F6304" s="30" t="inlineStr">
        <is>
          <t>2018</t>
        </is>
      </c>
      <c r="G6304" s="40" t="n">
        <v>632017.62</v>
      </c>
    </row>
    <row r="6305" ht="12" customHeight="1">
      <c r="A6305" s="30" t="inlineStr">
        <is>
          <t>ITG</t>
        </is>
      </c>
      <c r="B6305" s="30" t="inlineStr">
        <is>
          <t>Itaguai</t>
        </is>
      </c>
      <c r="C6305" s="30" t="n">
        <v>79556637</v>
      </c>
      <c r="D6305" s="30">
        <f>"14758652000102"</f>
        <v/>
      </c>
      <c r="E6305" s="30" t="inlineStr">
        <is>
          <t>POSTO DE SERVICOS GIGANTE DE CAXIAS LTDA</t>
        </is>
      </c>
      <c r="F6305" s="30" t="inlineStr">
        <is>
          <t>2019</t>
        </is>
      </c>
      <c r="G6305" s="40" t="n">
        <v>544618.12</v>
      </c>
    </row>
    <row r="6306" ht="12" customHeight="1">
      <c r="A6306" s="30" t="inlineStr">
        <is>
          <t>ITG</t>
        </is>
      </c>
      <c r="B6306" s="30" t="inlineStr">
        <is>
          <t>Itaguai</t>
        </is>
      </c>
      <c r="C6306" s="30" t="n">
        <v>79556637</v>
      </c>
      <c r="D6306" s="30">
        <f>"14758652000102"</f>
        <v/>
      </c>
      <c r="E6306" s="30" t="inlineStr">
        <is>
          <t>POSTO DE SERVICOS GIGANTE DE CAXIAS LTDA</t>
        </is>
      </c>
      <c r="F6306" s="30" t="inlineStr">
        <is>
          <t>2020</t>
        </is>
      </c>
      <c r="G6306" s="40" t="n">
        <v>441902.88</v>
      </c>
    </row>
    <row r="6307" ht="12" customHeight="1">
      <c r="A6307" s="30" t="inlineStr">
        <is>
          <t>ITG</t>
        </is>
      </c>
      <c r="B6307" s="30" t="inlineStr">
        <is>
          <t>Itaguai</t>
        </is>
      </c>
      <c r="C6307" s="30" t="n">
        <v>79556637</v>
      </c>
      <c r="D6307" s="30">
        <f>"14758652000102"</f>
        <v/>
      </c>
      <c r="E6307" s="30" t="inlineStr">
        <is>
          <t>POSTO DE SERVICOS GIGANTE DE CAXIAS LTDA</t>
        </is>
      </c>
      <c r="F6307" s="30" t="inlineStr">
        <is>
          <t>2021</t>
        </is>
      </c>
      <c r="G6307" s="40" t="n">
        <v>407239.26</v>
      </c>
    </row>
    <row r="6308" ht="12" customHeight="1">
      <c r="A6308" s="30" t="inlineStr">
        <is>
          <t>ITG</t>
        </is>
      </c>
      <c r="B6308" s="30" t="inlineStr">
        <is>
          <t>Itaguai</t>
        </is>
      </c>
      <c r="C6308" s="30" t="n">
        <v>79556637</v>
      </c>
      <c r="D6308" s="30">
        <f>"14758652000102"</f>
        <v/>
      </c>
      <c r="E6308" s="30" t="inlineStr">
        <is>
          <t>POSTO DE SERVICOS GIGANTE DE CAXIAS LTDA</t>
        </is>
      </c>
      <c r="F6308" s="30" t="inlineStr">
        <is>
          <t>2022</t>
        </is>
      </c>
      <c r="G6308" s="40" t="n">
        <v>0</v>
      </c>
    </row>
    <row r="6309" ht="12" customHeight="1">
      <c r="A6309" s="30" t="inlineStr">
        <is>
          <t>ITG</t>
        </is>
      </c>
      <c r="B6309" s="30" t="inlineStr">
        <is>
          <t>Itaguai</t>
        </is>
      </c>
      <c r="C6309" s="30" t="n">
        <v>79556637</v>
      </c>
      <c r="D6309" s="30">
        <f>"14758652000102"</f>
        <v/>
      </c>
      <c r="E6309" s="30" t="inlineStr">
        <is>
          <t>POSTO DE SERVICOS GIGANTE DE CAXIAS LTDA</t>
        </is>
      </c>
      <c r="F6309" s="30" t="inlineStr">
        <is>
          <t>2023</t>
        </is>
      </c>
      <c r="G6309" s="40" t="n">
        <v>730692.47</v>
      </c>
    </row>
    <row r="6310" ht="12" customHeight="1">
      <c r="A6310" s="30" t="inlineStr">
        <is>
          <t>ITG</t>
        </is>
      </c>
      <c r="B6310" s="30" t="inlineStr">
        <is>
          <t>Itaguai</t>
        </is>
      </c>
      <c r="C6310" s="30" t="n">
        <v>79558630</v>
      </c>
      <c r="D6310" s="30">
        <f>"00991619000105"</f>
        <v/>
      </c>
      <c r="E6310" s="30" t="inlineStr">
        <is>
          <t>FRANCISCO C FREITAS RESTAURANTE E BAR ME</t>
        </is>
      </c>
      <c r="F6310" s="30" t="inlineStr">
        <is>
          <t>2017</t>
        </is>
      </c>
      <c r="G6310" s="40" t="n">
        <v>0</v>
      </c>
    </row>
    <row r="6311" ht="12" customHeight="1">
      <c r="A6311" s="30" t="inlineStr">
        <is>
          <t>ITG</t>
        </is>
      </c>
      <c r="B6311" s="30" t="inlineStr">
        <is>
          <t>Itaguai</t>
        </is>
      </c>
      <c r="C6311" s="30" t="n">
        <v>79558630</v>
      </c>
      <c r="D6311" s="30">
        <f>"00991619000105"</f>
        <v/>
      </c>
      <c r="E6311" s="30" t="inlineStr">
        <is>
          <t>FRANCISCO C FREITAS RESTAURANTE E BAR ME</t>
        </is>
      </c>
      <c r="F6311" s="30" t="inlineStr">
        <is>
          <t>2018</t>
        </is>
      </c>
      <c r="G6311" s="40" t="n">
        <v>0</v>
      </c>
    </row>
    <row r="6312" ht="12" customHeight="1">
      <c r="A6312" s="30" t="inlineStr">
        <is>
          <t>ITG</t>
        </is>
      </c>
      <c r="B6312" s="30" t="inlineStr">
        <is>
          <t>Itaguai</t>
        </is>
      </c>
      <c r="C6312" s="30" t="n">
        <v>79558630</v>
      </c>
      <c r="D6312" s="30">
        <f>"00991619000105"</f>
        <v/>
      </c>
      <c r="E6312" s="30" t="inlineStr">
        <is>
          <t>FRANCISCO C FREITAS RESTAURANTE E BAR ME</t>
        </is>
      </c>
      <c r="F6312" s="30" t="inlineStr">
        <is>
          <t>2019</t>
        </is>
      </c>
      <c r="G6312" s="40" t="n">
        <v>0</v>
      </c>
    </row>
    <row r="6313" ht="12" customHeight="1">
      <c r="A6313" s="30" t="inlineStr">
        <is>
          <t>ITG</t>
        </is>
      </c>
      <c r="B6313" s="30" t="inlineStr">
        <is>
          <t>Itaguai</t>
        </is>
      </c>
      <c r="C6313" s="30" t="n">
        <v>79558630</v>
      </c>
      <c r="D6313" s="30">
        <f>"00991619000105"</f>
        <v/>
      </c>
      <c r="E6313" s="30" t="inlineStr">
        <is>
          <t>FRANCISCO C FREITAS RESTAURANTE E BAR ME</t>
        </is>
      </c>
      <c r="F6313" s="30" t="inlineStr">
        <is>
          <t>2020</t>
        </is>
      </c>
      <c r="G6313" s="40" t="n">
        <v>0</v>
      </c>
    </row>
    <row r="6314" ht="12" customHeight="1">
      <c r="A6314" s="30" t="inlineStr">
        <is>
          <t>ITG</t>
        </is>
      </c>
      <c r="B6314" s="30" t="inlineStr">
        <is>
          <t>Itaguai</t>
        </is>
      </c>
      <c r="C6314" s="30" t="n">
        <v>79558630</v>
      </c>
      <c r="D6314" s="30">
        <f>"00991619000105"</f>
        <v/>
      </c>
      <c r="E6314" s="30" t="inlineStr">
        <is>
          <t>FRANCISCO C FREITAS RESTAURANTE E BAR ME</t>
        </is>
      </c>
      <c r="F6314" s="30" t="inlineStr">
        <is>
          <t>2021</t>
        </is>
      </c>
      <c r="G6314" s="40" t="n">
        <v>0</v>
      </c>
    </row>
    <row r="6315" ht="12" customHeight="1">
      <c r="A6315" s="30" t="inlineStr">
        <is>
          <t>ITG</t>
        </is>
      </c>
      <c r="B6315" s="30" t="inlineStr">
        <is>
          <t>Itaguai</t>
        </is>
      </c>
      <c r="C6315" s="30" t="n">
        <v>79558630</v>
      </c>
      <c r="D6315" s="30">
        <f>"00991619000105"</f>
        <v/>
      </c>
      <c r="E6315" s="30" t="inlineStr">
        <is>
          <t>FRANCISCO C FREITAS RESTAURANTE E BAR ME</t>
        </is>
      </c>
      <c r="F6315" s="30" t="inlineStr">
        <is>
          <t>2022</t>
        </is>
      </c>
      <c r="G6315" s="40" t="n">
        <v>0</v>
      </c>
    </row>
    <row r="6316" ht="12" customHeight="1">
      <c r="A6316" s="30" t="inlineStr">
        <is>
          <t>ITG</t>
        </is>
      </c>
      <c r="B6316" s="30" t="inlineStr">
        <is>
          <t>Itaguai</t>
        </is>
      </c>
      <c r="C6316" s="30" t="n">
        <v>79558630</v>
      </c>
      <c r="D6316" s="30">
        <f>"00991619000105"</f>
        <v/>
      </c>
      <c r="E6316" s="30" t="inlineStr">
        <is>
          <t>FRANCISCO C FREITAS RESTAURANTE E BAR ME</t>
        </is>
      </c>
      <c r="F6316" s="30" t="inlineStr">
        <is>
          <t>2023</t>
        </is>
      </c>
      <c r="G6316" s="40" t="n">
        <v>0</v>
      </c>
    </row>
    <row r="6317" ht="12" customHeight="1">
      <c r="A6317" s="30" t="inlineStr">
        <is>
          <t>ITG</t>
        </is>
      </c>
      <c r="B6317" s="30" t="inlineStr">
        <is>
          <t>Itaguai</t>
        </is>
      </c>
      <c r="C6317" s="30" t="n">
        <v>79559938</v>
      </c>
      <c r="D6317" s="30">
        <f>"13106255000185"</f>
        <v/>
      </c>
      <c r="E6317" s="30" t="inlineStr">
        <is>
          <t>JULIA TRANSPORTE SERVICOS DE TRANSPORTE DE CARGAS LTDA ME</t>
        </is>
      </c>
      <c r="F6317" s="30" t="inlineStr">
        <is>
          <t>2019</t>
        </is>
      </c>
      <c r="G6317" s="40" t="n">
        <v>0</v>
      </c>
    </row>
    <row r="6318" ht="12" customHeight="1">
      <c r="A6318" s="30" t="inlineStr">
        <is>
          <t>ITG</t>
        </is>
      </c>
      <c r="B6318" s="30" t="inlineStr">
        <is>
          <t>Itaguai</t>
        </is>
      </c>
      <c r="C6318" s="30" t="n">
        <v>79559938</v>
      </c>
      <c r="D6318" s="30">
        <f>"13106255000185"</f>
        <v/>
      </c>
      <c r="E6318" s="30" t="inlineStr">
        <is>
          <t>JULIA TRANSPORTE SERVICOS DE TRANSPORTE DE CARGAS LTDA ME</t>
        </is>
      </c>
      <c r="F6318" s="30" t="inlineStr">
        <is>
          <t>2020</t>
        </is>
      </c>
      <c r="G6318" s="40" t="n">
        <v>0</v>
      </c>
    </row>
    <row r="6319" ht="12" customHeight="1">
      <c r="A6319" s="30" t="inlineStr">
        <is>
          <t>ITG</t>
        </is>
      </c>
      <c r="B6319" s="30" t="inlineStr">
        <is>
          <t>Itaguai</t>
        </is>
      </c>
      <c r="C6319" s="30" t="n">
        <v>79559938</v>
      </c>
      <c r="D6319" s="30">
        <f>"13106255000185"</f>
        <v/>
      </c>
      <c r="E6319" s="30" t="inlineStr">
        <is>
          <t>JULIA TRANSPORTE SERVICOS DE TRANSPORTE DE CARGAS LTDA ME</t>
        </is>
      </c>
      <c r="F6319" s="30" t="inlineStr">
        <is>
          <t>2021</t>
        </is>
      </c>
      <c r="G6319" s="40" t="n">
        <v>9307.41</v>
      </c>
    </row>
    <row r="6320" ht="12" customHeight="1">
      <c r="A6320" s="30" t="inlineStr">
        <is>
          <t>ITG</t>
        </is>
      </c>
      <c r="B6320" s="30" t="inlineStr">
        <is>
          <t>Itaguai</t>
        </is>
      </c>
      <c r="C6320" s="30" t="n">
        <v>79559938</v>
      </c>
      <c r="D6320" s="30">
        <f>"13106255000185"</f>
        <v/>
      </c>
      <c r="E6320" s="30" t="inlineStr">
        <is>
          <t>JULIA TRANSPORTE SERVICOS DE TRANSPORTE DE CARGAS LTDA ME</t>
        </is>
      </c>
      <c r="F6320" s="30" t="inlineStr">
        <is>
          <t>2022</t>
        </is>
      </c>
      <c r="G6320" s="40" t="n">
        <v>0</v>
      </c>
    </row>
    <row r="6321" ht="12" customHeight="1">
      <c r="A6321" s="30" t="inlineStr">
        <is>
          <t>ITG</t>
        </is>
      </c>
      <c r="B6321" s="30" t="inlineStr">
        <is>
          <t>Itaguai</t>
        </is>
      </c>
      <c r="C6321" s="30" t="n">
        <v>79559938</v>
      </c>
      <c r="D6321" s="30">
        <f>"13106255000185"</f>
        <v/>
      </c>
      <c r="E6321" s="30" t="inlineStr">
        <is>
          <t>JULIA TRANSPORTE SERVICOS DE TRANSPORTE DE CARGAS LTDA ME</t>
        </is>
      </c>
      <c r="F6321" s="30" t="inlineStr">
        <is>
          <t>2023</t>
        </is>
      </c>
      <c r="G6321" s="40" t="n">
        <v>0</v>
      </c>
    </row>
    <row r="6322" ht="12" customHeight="1">
      <c r="A6322" s="30" t="inlineStr">
        <is>
          <t>ITG</t>
        </is>
      </c>
      <c r="B6322" s="30" t="inlineStr">
        <is>
          <t>Itaguai</t>
        </is>
      </c>
      <c r="C6322" s="30" t="n">
        <v>79561126</v>
      </c>
      <c r="D6322" s="30">
        <f>"21483615000862"</f>
        <v/>
      </c>
      <c r="E6322" s="30" t="inlineStr">
        <is>
          <t>ORLY VEICULOS E PECAS S/A</t>
        </is>
      </c>
      <c r="F6322" s="30" t="inlineStr">
        <is>
          <t>2017</t>
        </is>
      </c>
      <c r="G6322" s="40" t="n">
        <v>968589.65</v>
      </c>
    </row>
    <row r="6323" ht="12" customHeight="1">
      <c r="A6323" s="30" t="inlineStr">
        <is>
          <t>ITG</t>
        </is>
      </c>
      <c r="B6323" s="30" t="inlineStr">
        <is>
          <t>Itaguai</t>
        </is>
      </c>
      <c r="C6323" s="30" t="n">
        <v>79561126</v>
      </c>
      <c r="D6323" s="30">
        <f>"21483615000862"</f>
        <v/>
      </c>
      <c r="E6323" s="30" t="inlineStr">
        <is>
          <t>ORLY VEICULOS E PECAS S/A</t>
        </is>
      </c>
      <c r="F6323" s="30" t="inlineStr">
        <is>
          <t>2018</t>
        </is>
      </c>
      <c r="G6323" s="40" t="n">
        <v>788994.3199999999</v>
      </c>
    </row>
    <row r="6324" ht="12" customHeight="1">
      <c r="A6324" s="30" t="inlineStr">
        <is>
          <t>ITG</t>
        </is>
      </c>
      <c r="B6324" s="30" t="inlineStr">
        <is>
          <t>Itaguai</t>
        </is>
      </c>
      <c r="C6324" s="30" t="n">
        <v>79561126</v>
      </c>
      <c r="D6324" s="30">
        <f>"21483615000862"</f>
        <v/>
      </c>
      <c r="E6324" s="30" t="inlineStr">
        <is>
          <t>ORLY VEICULOS E PECAS S/A</t>
        </is>
      </c>
      <c r="F6324" s="30" t="inlineStr">
        <is>
          <t>2019</t>
        </is>
      </c>
      <c r="G6324" s="40" t="n">
        <v>328830.28</v>
      </c>
    </row>
    <row r="6325" ht="12" customHeight="1">
      <c r="A6325" s="30" t="inlineStr">
        <is>
          <t>ITG</t>
        </is>
      </c>
      <c r="B6325" s="30" t="inlineStr">
        <is>
          <t>Itaguai</t>
        </is>
      </c>
      <c r="C6325" s="30" t="n">
        <v>79561126</v>
      </c>
      <c r="D6325" s="30">
        <f>"21483615000862"</f>
        <v/>
      </c>
      <c r="E6325" s="30" t="inlineStr">
        <is>
          <t>ORLY VEICULOS E PECAS S/A</t>
        </is>
      </c>
      <c r="F6325" s="30" t="inlineStr">
        <is>
          <t>2020</t>
        </is>
      </c>
      <c r="G6325" s="40" t="n">
        <v>866281.4300000001</v>
      </c>
    </row>
    <row r="6326" ht="12" customHeight="1">
      <c r="A6326" s="30" t="inlineStr">
        <is>
          <t>ITG</t>
        </is>
      </c>
      <c r="B6326" s="30" t="inlineStr">
        <is>
          <t>Itaguai</t>
        </is>
      </c>
      <c r="C6326" s="30" t="n">
        <v>79561126</v>
      </c>
      <c r="D6326" s="30">
        <f>"21483615000862"</f>
        <v/>
      </c>
      <c r="E6326" s="30" t="inlineStr">
        <is>
          <t>ORLY VEICULOS E PECAS S/A</t>
        </is>
      </c>
      <c r="F6326" s="30" t="inlineStr">
        <is>
          <t>2021</t>
        </is>
      </c>
      <c r="G6326" s="40" t="n">
        <v>1508330.57</v>
      </c>
    </row>
    <row r="6327" ht="12" customHeight="1">
      <c r="A6327" s="30" t="inlineStr">
        <is>
          <t>ITG</t>
        </is>
      </c>
      <c r="B6327" s="30" t="inlineStr">
        <is>
          <t>Itaguai</t>
        </is>
      </c>
      <c r="C6327" s="30" t="n">
        <v>79561126</v>
      </c>
      <c r="D6327" s="30">
        <f>"21483615000862"</f>
        <v/>
      </c>
      <c r="E6327" s="30" t="inlineStr">
        <is>
          <t>ORLY VEICULOS E PECAS S/A</t>
        </is>
      </c>
      <c r="F6327" s="30" t="inlineStr">
        <is>
          <t>2022</t>
        </is>
      </c>
      <c r="G6327" s="40" t="n">
        <v>1878897.33</v>
      </c>
    </row>
    <row r="6328" ht="12" customHeight="1">
      <c r="A6328" s="30" t="inlineStr">
        <is>
          <t>ITG</t>
        </is>
      </c>
      <c r="B6328" s="30" t="inlineStr">
        <is>
          <t>Itaguai</t>
        </is>
      </c>
      <c r="C6328" s="30" t="n">
        <v>79561126</v>
      </c>
      <c r="D6328" s="30">
        <f>"21483615000862"</f>
        <v/>
      </c>
      <c r="E6328" s="30" t="inlineStr">
        <is>
          <t>ORLY VEICULOS E PECAS S/A</t>
        </is>
      </c>
      <c r="F6328" s="30" t="inlineStr">
        <is>
          <t>2023</t>
        </is>
      </c>
      <c r="G6328" s="40" t="n">
        <v>1706857.9</v>
      </c>
    </row>
    <row r="6329" ht="12" customHeight="1">
      <c r="A6329" s="30" t="inlineStr">
        <is>
          <t>ITG</t>
        </is>
      </c>
      <c r="B6329" s="30" t="inlineStr">
        <is>
          <t>Itaguai</t>
        </is>
      </c>
      <c r="C6329" s="30" t="n">
        <v>79568228</v>
      </c>
      <c r="D6329" s="30">
        <f>"14752255000115"</f>
        <v/>
      </c>
      <c r="E6329" s="30" t="inlineStr">
        <is>
          <t>TRANZIRAN LOGISTICS PROJECTS LTDA</t>
        </is>
      </c>
      <c r="F6329" s="30" t="inlineStr">
        <is>
          <t>2017</t>
        </is>
      </c>
      <c r="G6329" s="40" t="n">
        <v>0</v>
      </c>
    </row>
    <row r="6330" ht="12" customHeight="1">
      <c r="A6330" s="30" t="inlineStr">
        <is>
          <t>ITG</t>
        </is>
      </c>
      <c r="B6330" s="30" t="inlineStr">
        <is>
          <t>Itaguai</t>
        </is>
      </c>
      <c r="C6330" s="30" t="n">
        <v>79568228</v>
      </c>
      <c r="D6330" s="30">
        <f>"14752255000115"</f>
        <v/>
      </c>
      <c r="E6330" s="30" t="inlineStr">
        <is>
          <t>TRANZIRAN LOGISTICS PROJECTS LTDA</t>
        </is>
      </c>
      <c r="F6330" s="30" t="inlineStr">
        <is>
          <t>2018</t>
        </is>
      </c>
      <c r="G6330" s="40" t="n">
        <v>0</v>
      </c>
    </row>
    <row r="6331" ht="12" customHeight="1">
      <c r="A6331" s="30" t="inlineStr">
        <is>
          <t>ITG</t>
        </is>
      </c>
      <c r="B6331" s="30" t="inlineStr">
        <is>
          <t>Itaguai</t>
        </is>
      </c>
      <c r="C6331" s="30" t="n">
        <v>79568228</v>
      </c>
      <c r="D6331" s="30">
        <f>"14752255000115"</f>
        <v/>
      </c>
      <c r="E6331" s="30" t="inlineStr">
        <is>
          <t>TRANZIRAN LOGISTICS PROJECTS LTDA</t>
        </is>
      </c>
      <c r="F6331" s="30" t="inlineStr">
        <is>
          <t>2019</t>
        </is>
      </c>
      <c r="G6331" s="40" t="n">
        <v>7179.36</v>
      </c>
    </row>
    <row r="6332" ht="12" customHeight="1">
      <c r="A6332" s="30" t="inlineStr">
        <is>
          <t>ITG</t>
        </is>
      </c>
      <c r="B6332" s="30" t="inlineStr">
        <is>
          <t>Itaguai</t>
        </is>
      </c>
      <c r="C6332" s="30" t="n">
        <v>79568228</v>
      </c>
      <c r="D6332" s="30">
        <f>"14752255000115"</f>
        <v/>
      </c>
      <c r="E6332" s="30" t="inlineStr">
        <is>
          <t>TRANZIRAN LOGISTICS PROJECTS LTDA</t>
        </is>
      </c>
      <c r="F6332" s="30" t="inlineStr">
        <is>
          <t>2020</t>
        </is>
      </c>
      <c r="G6332" s="40" t="n">
        <v>0</v>
      </c>
    </row>
    <row r="6333" ht="12" customHeight="1">
      <c r="A6333" s="30" t="inlineStr">
        <is>
          <t>ITG</t>
        </is>
      </c>
      <c r="B6333" s="30" t="inlineStr">
        <is>
          <t>Itaguai</t>
        </is>
      </c>
      <c r="C6333" s="30" t="n">
        <v>79568228</v>
      </c>
      <c r="D6333" s="30">
        <f>"14752255000115"</f>
        <v/>
      </c>
      <c r="E6333" s="30" t="inlineStr">
        <is>
          <t>TRANZIRAN LOGISTICS PROJECTS LTDA</t>
        </is>
      </c>
      <c r="F6333" s="30" t="inlineStr">
        <is>
          <t>2021</t>
        </is>
      </c>
      <c r="G6333" s="40" t="n">
        <v>0</v>
      </c>
    </row>
    <row r="6334" ht="12" customHeight="1">
      <c r="A6334" s="30" t="inlineStr">
        <is>
          <t>ITG</t>
        </is>
      </c>
      <c r="B6334" s="30" t="inlineStr">
        <is>
          <t>Itaguai</t>
        </is>
      </c>
      <c r="C6334" s="30" t="n">
        <v>79568287</v>
      </c>
      <c r="D6334" s="30">
        <f>"77024644000225"</f>
        <v/>
      </c>
      <c r="E6334" s="30" t="inlineStr">
        <is>
          <t>JORGE MANCHUR &amp; CIA LTDA</t>
        </is>
      </c>
      <c r="F6334" s="30" t="inlineStr">
        <is>
          <t>2017</t>
        </is>
      </c>
      <c r="G6334" s="40" t="n">
        <v>0</v>
      </c>
    </row>
    <row r="6335" ht="12" customHeight="1">
      <c r="A6335" s="30" t="inlineStr">
        <is>
          <t>ITG</t>
        </is>
      </c>
      <c r="B6335" s="30" t="inlineStr">
        <is>
          <t>Itaguai</t>
        </is>
      </c>
      <c r="C6335" s="30" t="n">
        <v>79568287</v>
      </c>
      <c r="D6335" s="30">
        <f>"77024644000225"</f>
        <v/>
      </c>
      <c r="E6335" s="30" t="inlineStr">
        <is>
          <t>JORGE MANCHUR &amp; CIA LTDA</t>
        </is>
      </c>
      <c r="F6335" s="30" t="inlineStr">
        <is>
          <t>2018</t>
        </is>
      </c>
      <c r="G6335" s="40" t="n">
        <v>10370.33</v>
      </c>
    </row>
    <row r="6336" ht="12" customHeight="1">
      <c r="A6336" s="30" t="inlineStr">
        <is>
          <t>ITG</t>
        </is>
      </c>
      <c r="B6336" s="30" t="inlineStr">
        <is>
          <t>Itaguai</t>
        </is>
      </c>
      <c r="C6336" s="30" t="n">
        <v>79568287</v>
      </c>
      <c r="D6336" s="30">
        <f>"77024644000225"</f>
        <v/>
      </c>
      <c r="E6336" s="30" t="inlineStr">
        <is>
          <t>JORGE MANCHUR &amp; CIA LTDA</t>
        </is>
      </c>
      <c r="F6336" s="30" t="inlineStr">
        <is>
          <t>2019</t>
        </is>
      </c>
      <c r="G6336" s="40" t="n">
        <v>807.47</v>
      </c>
    </row>
    <row r="6337" ht="12" customHeight="1">
      <c r="A6337" s="30" t="inlineStr">
        <is>
          <t>ITG</t>
        </is>
      </c>
      <c r="B6337" s="30" t="inlineStr">
        <is>
          <t>Itaguai</t>
        </is>
      </c>
      <c r="C6337" s="30" t="n">
        <v>79568287</v>
      </c>
      <c r="D6337" s="30">
        <f>"77024644000225"</f>
        <v/>
      </c>
      <c r="E6337" s="30" t="inlineStr">
        <is>
          <t>JORGE MANCHUR &amp; CIA LTDA</t>
        </is>
      </c>
      <c r="F6337" s="30" t="inlineStr">
        <is>
          <t>2020</t>
        </is>
      </c>
      <c r="G6337" s="40" t="n">
        <v>7672.5</v>
      </c>
    </row>
    <row r="6338" ht="12" customHeight="1">
      <c r="A6338" s="30" t="inlineStr">
        <is>
          <t>ITG</t>
        </is>
      </c>
      <c r="B6338" s="30" t="inlineStr">
        <is>
          <t>Itaguai</t>
        </is>
      </c>
      <c r="C6338" s="30" t="n">
        <v>79568287</v>
      </c>
      <c r="D6338" s="30">
        <f>"77024644000225"</f>
        <v/>
      </c>
      <c r="E6338" s="30" t="inlineStr">
        <is>
          <t>JORGE MANCHUR &amp; CIA LTDA</t>
        </is>
      </c>
      <c r="F6338" s="30" t="inlineStr">
        <is>
          <t>2021</t>
        </is>
      </c>
      <c r="G6338" s="40" t="n">
        <v>2636.26</v>
      </c>
    </row>
    <row r="6339" ht="12" customHeight="1">
      <c r="A6339" s="30" t="inlineStr">
        <is>
          <t>ITG</t>
        </is>
      </c>
      <c r="B6339" s="30" t="inlineStr">
        <is>
          <t>Itaguai</t>
        </is>
      </c>
      <c r="C6339" s="30" t="n">
        <v>79568287</v>
      </c>
      <c r="D6339" s="30">
        <f>"77024644000225"</f>
        <v/>
      </c>
      <c r="E6339" s="30" t="inlineStr">
        <is>
          <t>JORGE MANCHUR &amp; CIA LTDA</t>
        </is>
      </c>
      <c r="F6339" s="30" t="inlineStr">
        <is>
          <t>2022</t>
        </is>
      </c>
      <c r="G6339" s="40" t="n">
        <v>11884.79</v>
      </c>
    </row>
    <row r="6340" ht="12" customHeight="1">
      <c r="A6340" s="30" t="inlineStr">
        <is>
          <t>ITG</t>
        </is>
      </c>
      <c r="B6340" s="30" t="inlineStr">
        <is>
          <t>Itaguai</t>
        </is>
      </c>
      <c r="C6340" s="30" t="n">
        <v>79568287</v>
      </c>
      <c r="D6340" s="30">
        <f>"77024644000225"</f>
        <v/>
      </c>
      <c r="E6340" s="30" t="inlineStr">
        <is>
          <t>JORGE MANCHUR &amp; CIA LTDA</t>
        </is>
      </c>
      <c r="F6340" s="30" t="inlineStr">
        <is>
          <t>2023</t>
        </is>
      </c>
      <c r="G6340" s="40" t="n">
        <v>17588.89</v>
      </c>
    </row>
    <row r="6341" ht="12" customHeight="1">
      <c r="A6341" s="30" t="inlineStr">
        <is>
          <t>ITG</t>
        </is>
      </c>
      <c r="B6341" s="30" t="inlineStr">
        <is>
          <t>Itaguai</t>
        </is>
      </c>
      <c r="C6341" s="30" t="n">
        <v>79571806</v>
      </c>
      <c r="D6341" s="30">
        <f>"14801701000134"</f>
        <v/>
      </c>
      <c r="E6341" s="30" t="inlineStr">
        <is>
          <t>PREDES BAZAR LTDA ME</t>
        </is>
      </c>
      <c r="F6341" s="30" t="inlineStr">
        <is>
          <t>2017</t>
        </is>
      </c>
      <c r="G6341" s="40" t="n">
        <v>0</v>
      </c>
    </row>
    <row r="6342" ht="12" customHeight="1">
      <c r="A6342" s="30" t="inlineStr">
        <is>
          <t>ITG</t>
        </is>
      </c>
      <c r="B6342" s="30" t="inlineStr">
        <is>
          <t>Itaguai</t>
        </is>
      </c>
      <c r="C6342" s="30" t="n">
        <v>79571806</v>
      </c>
      <c r="D6342" s="30">
        <f>"14801701000134"</f>
        <v/>
      </c>
      <c r="E6342" s="30" t="inlineStr">
        <is>
          <t>PREDES BAZAR LTDA ME</t>
        </is>
      </c>
      <c r="F6342" s="30" t="inlineStr">
        <is>
          <t>2018</t>
        </is>
      </c>
      <c r="G6342" s="40" t="n">
        <v>0</v>
      </c>
    </row>
    <row r="6343" ht="12" customHeight="1">
      <c r="A6343" s="30" t="inlineStr">
        <is>
          <t>ITG</t>
        </is>
      </c>
      <c r="B6343" s="30" t="inlineStr">
        <is>
          <t>Itaguai</t>
        </is>
      </c>
      <c r="C6343" s="30" t="n">
        <v>79571806</v>
      </c>
      <c r="D6343" s="30">
        <f>"14801701000134"</f>
        <v/>
      </c>
      <c r="E6343" s="30" t="inlineStr">
        <is>
          <t>PREDES BAZAR LTDA ME</t>
        </is>
      </c>
      <c r="F6343" s="30" t="inlineStr">
        <is>
          <t>2019</t>
        </is>
      </c>
      <c r="G6343" s="40" t="n">
        <v>0</v>
      </c>
    </row>
    <row r="6344" ht="12" customHeight="1">
      <c r="A6344" s="30" t="inlineStr">
        <is>
          <t>ITG</t>
        </is>
      </c>
      <c r="B6344" s="30" t="inlineStr">
        <is>
          <t>Itaguai</t>
        </is>
      </c>
      <c r="C6344" s="30" t="n">
        <v>79577936</v>
      </c>
      <c r="D6344" s="30">
        <f>"08809288000313"</f>
        <v/>
      </c>
      <c r="E6344" s="30" t="inlineStr">
        <is>
          <t>LIBRA TERMINAL VALONGO S A</t>
        </is>
      </c>
      <c r="F6344" s="30" t="inlineStr">
        <is>
          <t>2017</t>
        </is>
      </c>
      <c r="G6344" s="40" t="n">
        <v>6859.76</v>
      </c>
    </row>
    <row r="6345" ht="12" customHeight="1">
      <c r="A6345" s="30" t="inlineStr">
        <is>
          <t>ITG</t>
        </is>
      </c>
      <c r="B6345" s="30" t="inlineStr">
        <is>
          <t>Itaguai</t>
        </is>
      </c>
      <c r="C6345" s="30" t="n">
        <v>79577936</v>
      </c>
      <c r="D6345" s="30">
        <f>"08809288000313"</f>
        <v/>
      </c>
      <c r="E6345" s="30" t="inlineStr">
        <is>
          <t>LIBRA TERMINAL VALONGO S A</t>
        </is>
      </c>
      <c r="F6345" s="30" t="inlineStr">
        <is>
          <t>2018</t>
        </is>
      </c>
      <c r="G6345" s="40" t="n">
        <v>0</v>
      </c>
    </row>
    <row r="6346" ht="12" customHeight="1">
      <c r="A6346" s="30" t="inlineStr">
        <is>
          <t>ITG</t>
        </is>
      </c>
      <c r="B6346" s="30" t="inlineStr">
        <is>
          <t>Itaguai</t>
        </is>
      </c>
      <c r="C6346" s="30" t="n">
        <v>79577936</v>
      </c>
      <c r="D6346" s="30">
        <f>"08809288000313"</f>
        <v/>
      </c>
      <c r="E6346" s="30" t="inlineStr">
        <is>
          <t>LIBRA TERMINAL VALONGO S A</t>
        </is>
      </c>
      <c r="F6346" s="30" t="inlineStr">
        <is>
          <t>2019</t>
        </is>
      </c>
      <c r="G6346" s="40" t="n">
        <v>0</v>
      </c>
    </row>
    <row r="6347" ht="12" customHeight="1">
      <c r="A6347" s="30" t="inlineStr">
        <is>
          <t>ITG</t>
        </is>
      </c>
      <c r="B6347" s="30" t="inlineStr">
        <is>
          <t>Itaguai</t>
        </is>
      </c>
      <c r="C6347" s="30" t="n">
        <v>79582980</v>
      </c>
      <c r="D6347" s="30">
        <f>"78815958001280"</f>
        <v/>
      </c>
      <c r="E6347" s="30" t="inlineStr">
        <is>
          <t>JOSE OSVALDO DE OLIVEIRA EIRELI</t>
        </is>
      </c>
      <c r="F6347" s="30" t="inlineStr">
        <is>
          <t>2017</t>
        </is>
      </c>
      <c r="G6347" s="40" t="n">
        <v>1881.18</v>
      </c>
    </row>
    <row r="6348" ht="12" customHeight="1">
      <c r="A6348" s="30" t="inlineStr">
        <is>
          <t>ITG</t>
        </is>
      </c>
      <c r="B6348" s="30" t="inlineStr">
        <is>
          <t>Itaguai</t>
        </is>
      </c>
      <c r="C6348" s="30" t="n">
        <v>79582980</v>
      </c>
      <c r="D6348" s="30">
        <f>"78815958001280"</f>
        <v/>
      </c>
      <c r="E6348" s="30" t="inlineStr">
        <is>
          <t>JOSE OSVALDO DE OLIVEIRA EIRELI</t>
        </is>
      </c>
      <c r="F6348" s="30" t="inlineStr">
        <is>
          <t>2018</t>
        </is>
      </c>
      <c r="G6348" s="40" t="n">
        <v>2446.15</v>
      </c>
    </row>
    <row r="6349" ht="12" customHeight="1">
      <c r="A6349" s="30" t="inlineStr">
        <is>
          <t>ITG</t>
        </is>
      </c>
      <c r="B6349" s="30" t="inlineStr">
        <is>
          <t>Itaguai</t>
        </is>
      </c>
      <c r="C6349" s="30" t="n">
        <v>79582980</v>
      </c>
      <c r="D6349" s="30">
        <f>"78815958001280"</f>
        <v/>
      </c>
      <c r="E6349" s="30" t="inlineStr">
        <is>
          <t>JOSE OSVALDO DE OLIVEIRA EIRELI</t>
        </is>
      </c>
      <c r="F6349" s="30" t="inlineStr">
        <is>
          <t>2019</t>
        </is>
      </c>
      <c r="G6349" s="40" t="n">
        <v>5231.03</v>
      </c>
    </row>
    <row r="6350" ht="12" customHeight="1">
      <c r="A6350" s="30" t="inlineStr">
        <is>
          <t>ITG</t>
        </is>
      </c>
      <c r="B6350" s="30" t="inlineStr">
        <is>
          <t>Itaguai</t>
        </is>
      </c>
      <c r="C6350" s="30" t="n">
        <v>79582980</v>
      </c>
      <c r="D6350" s="30">
        <f>"78815958001280"</f>
        <v/>
      </c>
      <c r="E6350" s="30" t="inlineStr">
        <is>
          <t>JOSE OSVALDO DE OLIVEIRA EIRELI</t>
        </is>
      </c>
      <c r="F6350" s="30" t="inlineStr">
        <is>
          <t>2020</t>
        </is>
      </c>
      <c r="G6350" s="40" t="n">
        <v>3457.68</v>
      </c>
    </row>
    <row r="6351" ht="12" customHeight="1">
      <c r="A6351" s="30" t="inlineStr">
        <is>
          <t>ITG</t>
        </is>
      </c>
      <c r="B6351" s="30" t="inlineStr">
        <is>
          <t>Itaguai</t>
        </is>
      </c>
      <c r="C6351" s="30" t="n">
        <v>79582980</v>
      </c>
      <c r="D6351" s="30">
        <f>"78815958001280"</f>
        <v/>
      </c>
      <c r="E6351" s="30" t="inlineStr">
        <is>
          <t>JOSE OSVALDO DE OLIVEIRA EIRELI</t>
        </is>
      </c>
      <c r="F6351" s="30" t="inlineStr">
        <is>
          <t>2021</t>
        </is>
      </c>
      <c r="G6351" s="40" t="n">
        <v>4605.44</v>
      </c>
    </row>
    <row r="6352" ht="12" customHeight="1">
      <c r="A6352" s="30" t="inlineStr">
        <is>
          <t>ITG</t>
        </is>
      </c>
      <c r="B6352" s="30" t="inlineStr">
        <is>
          <t>Itaguai</t>
        </is>
      </c>
      <c r="C6352" s="30" t="n">
        <v>79582980</v>
      </c>
      <c r="D6352" s="30">
        <f>"78815958001280"</f>
        <v/>
      </c>
      <c r="E6352" s="30" t="inlineStr">
        <is>
          <t>JOSE OSVALDO DE OLIVEIRA EIRELI</t>
        </is>
      </c>
      <c r="F6352" s="30" t="inlineStr">
        <is>
          <t>2022</t>
        </is>
      </c>
      <c r="G6352" s="40" t="n">
        <v>5386.46</v>
      </c>
    </row>
    <row r="6353" ht="12" customHeight="1">
      <c r="A6353" s="30" t="inlineStr">
        <is>
          <t>ITG</t>
        </is>
      </c>
      <c r="B6353" s="30" t="inlineStr">
        <is>
          <t>Itaguai</t>
        </is>
      </c>
      <c r="C6353" s="30" t="n">
        <v>79582980</v>
      </c>
      <c r="D6353" s="30">
        <f>"78815958001280"</f>
        <v/>
      </c>
      <c r="E6353" s="30" t="inlineStr">
        <is>
          <t>JOSE OSVALDO DE OLIVEIRA EIRELI</t>
        </is>
      </c>
      <c r="F6353" s="30" t="inlineStr">
        <is>
          <t>2023</t>
        </is>
      </c>
      <c r="G6353" s="40" t="n">
        <v>3570.71</v>
      </c>
    </row>
    <row r="6354" ht="12" customHeight="1">
      <c r="A6354" s="30" t="inlineStr">
        <is>
          <t>ITG</t>
        </is>
      </c>
      <c r="B6354" s="30" t="inlineStr">
        <is>
          <t>Itaguai</t>
        </is>
      </c>
      <c r="C6354" s="30" t="n">
        <v>79594571</v>
      </c>
      <c r="D6354" s="30">
        <f>"08628629001750"</f>
        <v/>
      </c>
      <c r="E6354" s="30" t="inlineStr">
        <is>
          <t>CONCORDIA LOGISTICA S A</t>
        </is>
      </c>
      <c r="F6354" s="30" t="inlineStr">
        <is>
          <t>2017</t>
        </is>
      </c>
      <c r="G6354" s="40" t="n">
        <v>0</v>
      </c>
    </row>
    <row r="6355" ht="12" customHeight="1">
      <c r="A6355" s="30" t="inlineStr">
        <is>
          <t>ITG</t>
        </is>
      </c>
      <c r="B6355" s="30" t="inlineStr">
        <is>
          <t>Itaguai</t>
        </is>
      </c>
      <c r="C6355" s="30" t="n">
        <v>79594571</v>
      </c>
      <c r="D6355" s="30">
        <f>"08628629001750"</f>
        <v/>
      </c>
      <c r="E6355" s="30" t="inlineStr">
        <is>
          <t>CONCORDIA LOGISTICA S A</t>
        </is>
      </c>
      <c r="F6355" s="30" t="inlineStr">
        <is>
          <t>2018</t>
        </is>
      </c>
      <c r="G6355" s="40" t="n">
        <v>0</v>
      </c>
    </row>
    <row r="6356" ht="12" customHeight="1">
      <c r="A6356" s="30" t="inlineStr">
        <is>
          <t>ITG</t>
        </is>
      </c>
      <c r="B6356" s="30" t="inlineStr">
        <is>
          <t>Itaguai</t>
        </is>
      </c>
      <c r="C6356" s="30" t="n">
        <v>79594571</v>
      </c>
      <c r="D6356" s="30">
        <f>"08628629001750"</f>
        <v/>
      </c>
      <c r="E6356" s="30" t="inlineStr">
        <is>
          <t>CONCORDIA LOGISTICA S A</t>
        </is>
      </c>
      <c r="F6356" s="30" t="inlineStr">
        <is>
          <t>2019</t>
        </is>
      </c>
      <c r="G6356" s="40" t="n">
        <v>0</v>
      </c>
    </row>
    <row r="6357" ht="12" customHeight="1">
      <c r="A6357" s="30" t="inlineStr">
        <is>
          <t>ITG</t>
        </is>
      </c>
      <c r="B6357" s="30" t="inlineStr">
        <is>
          <t>Itaguai</t>
        </is>
      </c>
      <c r="C6357" s="30" t="n">
        <v>79594571</v>
      </c>
      <c r="D6357" s="30">
        <f>"08628629001750"</f>
        <v/>
      </c>
      <c r="E6357" s="30" t="inlineStr">
        <is>
          <t>CONCORDIA LOGISTICA S A</t>
        </is>
      </c>
      <c r="F6357" s="30" t="inlineStr">
        <is>
          <t>2020</t>
        </is>
      </c>
      <c r="G6357" s="40" t="n">
        <v>0</v>
      </c>
    </row>
    <row r="6358" ht="12" customHeight="1">
      <c r="A6358" s="30" t="inlineStr">
        <is>
          <t>ITG</t>
        </is>
      </c>
      <c r="B6358" s="30" t="inlineStr">
        <is>
          <t>Itaguai</t>
        </is>
      </c>
      <c r="C6358" s="30" t="n">
        <v>79594571</v>
      </c>
      <c r="D6358" s="30">
        <f>"08628629001750"</f>
        <v/>
      </c>
      <c r="E6358" s="30" t="inlineStr">
        <is>
          <t>CONCORDIA LOGISTICA S A</t>
        </is>
      </c>
      <c r="F6358" s="30" t="inlineStr">
        <is>
          <t>2021</t>
        </is>
      </c>
      <c r="G6358" s="40" t="n">
        <v>0</v>
      </c>
    </row>
    <row r="6359" ht="12" customHeight="1">
      <c r="A6359" s="30" t="inlineStr">
        <is>
          <t>ITG</t>
        </is>
      </c>
      <c r="B6359" s="30" t="inlineStr">
        <is>
          <t>Itaguai</t>
        </is>
      </c>
      <c r="C6359" s="30" t="n">
        <v>79594571</v>
      </c>
      <c r="D6359" s="30">
        <f>"08628629001750"</f>
        <v/>
      </c>
      <c r="E6359" s="30" t="inlineStr">
        <is>
          <t>CONCORDIA LOGISTICA S A</t>
        </is>
      </c>
      <c r="F6359" s="30" t="inlineStr">
        <is>
          <t>2022</t>
        </is>
      </c>
      <c r="G6359" s="40" t="n">
        <v>0</v>
      </c>
    </row>
    <row r="6360" ht="12" customHeight="1">
      <c r="A6360" s="30" t="inlineStr">
        <is>
          <t>ITG</t>
        </is>
      </c>
      <c r="B6360" s="30" t="inlineStr">
        <is>
          <t>Itaguai</t>
        </is>
      </c>
      <c r="C6360" s="30" t="n">
        <v>79594571</v>
      </c>
      <c r="D6360" s="30">
        <f>"08628629001750"</f>
        <v/>
      </c>
      <c r="E6360" s="30" t="inlineStr">
        <is>
          <t>CONCORDIA LOGISTICA S A</t>
        </is>
      </c>
      <c r="F6360" s="30" t="inlineStr">
        <is>
          <t>2023</t>
        </is>
      </c>
      <c r="G6360" s="40" t="n">
        <v>0</v>
      </c>
    </row>
    <row r="6361" ht="12" customHeight="1">
      <c r="A6361" s="30" t="inlineStr">
        <is>
          <t>ITG</t>
        </is>
      </c>
      <c r="B6361" s="30" t="inlineStr">
        <is>
          <t>Itaguai</t>
        </is>
      </c>
      <c r="C6361" s="30" t="n">
        <v>79602604</v>
      </c>
      <c r="D6361" s="30">
        <f>"15025071000116"</f>
        <v/>
      </c>
      <c r="E6361" s="30" t="inlineStr">
        <is>
          <t>TRACKER SERVICO DE ARMAZENAGEM EIRELI</t>
        </is>
      </c>
      <c r="F6361" s="30" t="inlineStr">
        <is>
          <t>2019</t>
        </is>
      </c>
      <c r="G6361" s="40" t="n">
        <v>0</v>
      </c>
    </row>
    <row r="6362" ht="12" customHeight="1">
      <c r="A6362" s="30" t="inlineStr">
        <is>
          <t>ITG</t>
        </is>
      </c>
      <c r="B6362" s="30" t="inlineStr">
        <is>
          <t>Itaguai</t>
        </is>
      </c>
      <c r="C6362" s="30" t="n">
        <v>79602604</v>
      </c>
      <c r="D6362" s="30">
        <f>"15025071000116"</f>
        <v/>
      </c>
      <c r="E6362" s="30" t="inlineStr">
        <is>
          <t>TRACKER SERVICO DE ARMAZENAGEM EIRELI</t>
        </is>
      </c>
      <c r="F6362" s="30" t="inlineStr">
        <is>
          <t>2020</t>
        </is>
      </c>
      <c r="G6362" s="40" t="n">
        <v>0</v>
      </c>
    </row>
    <row r="6363" ht="12" customHeight="1">
      <c r="A6363" s="30" t="inlineStr">
        <is>
          <t>ITG</t>
        </is>
      </c>
      <c r="B6363" s="30" t="inlineStr">
        <is>
          <t>Itaguai</t>
        </is>
      </c>
      <c r="C6363" s="30" t="n">
        <v>79602604</v>
      </c>
      <c r="D6363" s="30">
        <f>"15025071000116"</f>
        <v/>
      </c>
      <c r="E6363" s="30" t="inlineStr">
        <is>
          <t>TRACKER SERVICO DE ARMAZENAGEM EIRELI</t>
        </is>
      </c>
      <c r="F6363" s="30" t="inlineStr">
        <is>
          <t>2021</t>
        </is>
      </c>
      <c r="G6363" s="40" t="n">
        <v>186343.83</v>
      </c>
    </row>
    <row r="6364" ht="12" customHeight="1">
      <c r="A6364" s="30" t="inlineStr">
        <is>
          <t>ITG</t>
        </is>
      </c>
      <c r="B6364" s="30" t="inlineStr">
        <is>
          <t>Itaguai</t>
        </is>
      </c>
      <c r="C6364" s="30" t="n">
        <v>79602604</v>
      </c>
      <c r="D6364" s="30">
        <f>"15025071000116"</f>
        <v/>
      </c>
      <c r="E6364" s="30" t="inlineStr">
        <is>
          <t>TRACKER SERVICO DE ARMAZENAGEM EIRELI</t>
        </is>
      </c>
      <c r="F6364" s="30" t="inlineStr">
        <is>
          <t>2022</t>
        </is>
      </c>
      <c r="G6364" s="40" t="n">
        <v>0</v>
      </c>
    </row>
    <row r="6365" ht="12" customHeight="1">
      <c r="A6365" s="30" t="inlineStr">
        <is>
          <t>ITG</t>
        </is>
      </c>
      <c r="B6365" s="30" t="inlineStr">
        <is>
          <t>Itaguai</t>
        </is>
      </c>
      <c r="C6365" s="30" t="n">
        <v>79602604</v>
      </c>
      <c r="D6365" s="30">
        <f>"15025071000116"</f>
        <v/>
      </c>
      <c r="E6365" s="30" t="inlineStr">
        <is>
          <t>TRACKER SERVICO DE ARMAZENAGEM EIRELI</t>
        </is>
      </c>
      <c r="F6365" s="30" t="inlineStr">
        <is>
          <t>2023</t>
        </is>
      </c>
      <c r="G6365" s="40" t="n">
        <v>0</v>
      </c>
    </row>
    <row r="6366" ht="12" customHeight="1">
      <c r="A6366" s="30" t="inlineStr">
        <is>
          <t>ITG</t>
        </is>
      </c>
      <c r="B6366" s="30" t="inlineStr">
        <is>
          <t>Itaguai</t>
        </is>
      </c>
      <c r="C6366" s="30" t="n">
        <v>79602922</v>
      </c>
      <c r="D6366" s="30">
        <f>"11069547000240"</f>
        <v/>
      </c>
      <c r="E6366" s="30" t="inlineStr">
        <is>
          <t>LOGMAM TRANSPORTES LTDA</t>
        </is>
      </c>
      <c r="F6366" s="30" t="inlineStr">
        <is>
          <t>2017</t>
        </is>
      </c>
      <c r="G6366" s="40" t="n">
        <v>0</v>
      </c>
    </row>
    <row r="6367" ht="12" customHeight="1">
      <c r="A6367" s="30" t="inlineStr">
        <is>
          <t>ITG</t>
        </is>
      </c>
      <c r="B6367" s="30" t="inlineStr">
        <is>
          <t>Itaguai</t>
        </is>
      </c>
      <c r="C6367" s="30" t="n">
        <v>79602922</v>
      </c>
      <c r="D6367" s="30">
        <f>"11069547000240"</f>
        <v/>
      </c>
      <c r="E6367" s="30" t="inlineStr">
        <is>
          <t>LOGMAM TRANSPORTES LTDA</t>
        </is>
      </c>
      <c r="F6367" s="30" t="inlineStr">
        <is>
          <t>2018</t>
        </is>
      </c>
      <c r="G6367" s="40" t="n">
        <v>0</v>
      </c>
    </row>
    <row r="6368" ht="12" customHeight="1">
      <c r="A6368" s="30" t="inlineStr">
        <is>
          <t>ITG</t>
        </is>
      </c>
      <c r="B6368" s="30" t="inlineStr">
        <is>
          <t>Itaguai</t>
        </is>
      </c>
      <c r="C6368" s="30" t="n">
        <v>79602922</v>
      </c>
      <c r="D6368" s="30">
        <f>"11069547000240"</f>
        <v/>
      </c>
      <c r="E6368" s="30" t="inlineStr">
        <is>
          <t>LOGMAM TRANSPORTES LTDA</t>
        </is>
      </c>
      <c r="F6368" s="30" t="inlineStr">
        <is>
          <t>2019</t>
        </is>
      </c>
      <c r="G6368" s="40" t="n">
        <v>2612.84</v>
      </c>
    </row>
    <row r="6369" ht="12" customHeight="1">
      <c r="A6369" s="30" t="inlineStr">
        <is>
          <t>ITG</t>
        </is>
      </c>
      <c r="B6369" s="30" t="inlineStr">
        <is>
          <t>Itaguai</t>
        </is>
      </c>
      <c r="C6369" s="30" t="n">
        <v>79602922</v>
      </c>
      <c r="D6369" s="30">
        <f>"11069547000240"</f>
        <v/>
      </c>
      <c r="E6369" s="30" t="inlineStr">
        <is>
          <t>LOGMAM TRANSPORTES LTDA</t>
        </is>
      </c>
      <c r="F6369" s="30" t="inlineStr">
        <is>
          <t>2020</t>
        </is>
      </c>
      <c r="G6369" s="40" t="n">
        <v>432</v>
      </c>
    </row>
    <row r="6370" ht="12" customHeight="1">
      <c r="A6370" s="30" t="inlineStr">
        <is>
          <t>ITG</t>
        </is>
      </c>
      <c r="B6370" s="30" t="inlineStr">
        <is>
          <t>Itaguai</t>
        </is>
      </c>
      <c r="C6370" s="30" t="n">
        <v>79602922</v>
      </c>
      <c r="D6370" s="30">
        <f>"11069547000240"</f>
        <v/>
      </c>
      <c r="E6370" s="30" t="inlineStr">
        <is>
          <t>LOGMAM TRANSPORTES LTDA</t>
        </is>
      </c>
      <c r="F6370" s="30" t="inlineStr">
        <is>
          <t>2021</t>
        </is>
      </c>
      <c r="G6370" s="40" t="n">
        <v>0</v>
      </c>
    </row>
    <row r="6371" ht="12" customHeight="1">
      <c r="A6371" s="30" t="inlineStr">
        <is>
          <t>ITG</t>
        </is>
      </c>
      <c r="B6371" s="30" t="inlineStr">
        <is>
          <t>Itaguai</t>
        </is>
      </c>
      <c r="C6371" s="30" t="n">
        <v>79602922</v>
      </c>
      <c r="D6371" s="30">
        <f>"11069547000240"</f>
        <v/>
      </c>
      <c r="E6371" s="30" t="inlineStr">
        <is>
          <t>LOGMAM TRANSPORTES LTDA</t>
        </is>
      </c>
      <c r="F6371" s="30" t="inlineStr">
        <is>
          <t>2022</t>
        </is>
      </c>
      <c r="G6371" s="40" t="n">
        <v>0</v>
      </c>
    </row>
    <row r="6372" ht="12" customHeight="1">
      <c r="A6372" s="30" t="inlineStr">
        <is>
          <t>ITG</t>
        </is>
      </c>
      <c r="B6372" s="30" t="inlineStr">
        <is>
          <t>Itaguai</t>
        </is>
      </c>
      <c r="C6372" s="30" t="n">
        <v>79607975</v>
      </c>
      <c r="D6372" s="30">
        <f>"52548435019783"</f>
        <v/>
      </c>
      <c r="E6372" s="30" t="inlineStr">
        <is>
          <t>JSL S/A</t>
        </is>
      </c>
      <c r="F6372" s="30" t="inlineStr">
        <is>
          <t>2017</t>
        </is>
      </c>
      <c r="G6372" s="40" t="n">
        <v>0</v>
      </c>
    </row>
    <row r="6373" ht="12" customHeight="1">
      <c r="A6373" s="30" t="inlineStr">
        <is>
          <t>ITG</t>
        </is>
      </c>
      <c r="B6373" s="30" t="inlineStr">
        <is>
          <t>Itaguai</t>
        </is>
      </c>
      <c r="C6373" s="30" t="n">
        <v>79607975</v>
      </c>
      <c r="D6373" s="30">
        <f>"52548435019783"</f>
        <v/>
      </c>
      <c r="E6373" s="30" t="inlineStr">
        <is>
          <t>JSL S/A</t>
        </is>
      </c>
      <c r="F6373" s="30" t="inlineStr">
        <is>
          <t>2018</t>
        </is>
      </c>
      <c r="G6373" s="40" t="n">
        <v>927.35</v>
      </c>
    </row>
    <row r="6374" ht="12" customHeight="1">
      <c r="A6374" s="30" t="inlineStr">
        <is>
          <t>ITG</t>
        </is>
      </c>
      <c r="B6374" s="30" t="inlineStr">
        <is>
          <t>Itaguai</t>
        </is>
      </c>
      <c r="C6374" s="30" t="n">
        <v>79607975</v>
      </c>
      <c r="D6374" s="30">
        <f>"52548435019783"</f>
        <v/>
      </c>
      <c r="E6374" s="30" t="inlineStr">
        <is>
          <t>JSL S/A</t>
        </is>
      </c>
      <c r="F6374" s="30" t="inlineStr">
        <is>
          <t>2019</t>
        </is>
      </c>
      <c r="G6374" s="40" t="n">
        <v>0</v>
      </c>
    </row>
    <row r="6375" ht="12" customHeight="1">
      <c r="A6375" s="30" t="inlineStr">
        <is>
          <t>ITG</t>
        </is>
      </c>
      <c r="B6375" s="30" t="inlineStr">
        <is>
          <t>Itaguai</t>
        </is>
      </c>
      <c r="C6375" s="30" t="n">
        <v>79607975</v>
      </c>
      <c r="D6375" s="30">
        <f>"52548435019783"</f>
        <v/>
      </c>
      <c r="E6375" s="30" t="inlineStr">
        <is>
          <t>JSL S/A</t>
        </is>
      </c>
      <c r="F6375" s="30" t="inlineStr">
        <is>
          <t>2020</t>
        </is>
      </c>
      <c r="G6375" s="40" t="n">
        <v>2141.91</v>
      </c>
    </row>
    <row r="6376" ht="12" customHeight="1">
      <c r="A6376" s="30" t="inlineStr">
        <is>
          <t>ITG</t>
        </is>
      </c>
      <c r="B6376" s="30" t="inlineStr">
        <is>
          <t>Itaguai</t>
        </is>
      </c>
      <c r="C6376" s="30" t="n">
        <v>79607975</v>
      </c>
      <c r="D6376" s="30">
        <f>"52548435019783"</f>
        <v/>
      </c>
      <c r="E6376" s="30" t="inlineStr">
        <is>
          <t>JSL S/A</t>
        </is>
      </c>
      <c r="F6376" s="30" t="inlineStr">
        <is>
          <t>2021</t>
        </is>
      </c>
      <c r="G6376" s="40" t="n">
        <v>1755.58</v>
      </c>
    </row>
    <row r="6377" ht="12" customHeight="1">
      <c r="A6377" s="30" t="inlineStr">
        <is>
          <t>ITG</t>
        </is>
      </c>
      <c r="B6377" s="30" t="inlineStr">
        <is>
          <t>Itaguai</t>
        </is>
      </c>
      <c r="C6377" s="30" t="n">
        <v>79607975</v>
      </c>
      <c r="D6377" s="30">
        <f>"52548435019783"</f>
        <v/>
      </c>
      <c r="E6377" s="30" t="inlineStr">
        <is>
          <t>JSL S/A</t>
        </is>
      </c>
      <c r="F6377" s="30" t="inlineStr">
        <is>
          <t>2022</t>
        </is>
      </c>
      <c r="G6377" s="40" t="n">
        <v>2644.8</v>
      </c>
    </row>
    <row r="6378" ht="12" customHeight="1">
      <c r="A6378" s="30" t="inlineStr">
        <is>
          <t>ITG</t>
        </is>
      </c>
      <c r="B6378" s="30" t="inlineStr">
        <is>
          <t>Itaguai</t>
        </is>
      </c>
      <c r="C6378" s="30" t="n">
        <v>79607975</v>
      </c>
      <c r="D6378" s="30">
        <f>"52548435019783"</f>
        <v/>
      </c>
      <c r="E6378" s="30" t="inlineStr">
        <is>
          <t>JSL S/A</t>
        </is>
      </c>
      <c r="F6378" s="30" t="inlineStr">
        <is>
          <t>2023</t>
        </is>
      </c>
      <c r="G6378" s="40" t="n">
        <v>0</v>
      </c>
    </row>
    <row r="6379" ht="12" customHeight="1">
      <c r="A6379" s="30" t="inlineStr">
        <is>
          <t>ITG</t>
        </is>
      </c>
      <c r="B6379" s="30" t="inlineStr">
        <is>
          <t>Itaguai</t>
        </is>
      </c>
      <c r="C6379" s="30" t="n">
        <v>79609323</v>
      </c>
      <c r="D6379" s="30">
        <f>"15143710000148"</f>
        <v/>
      </c>
      <c r="E6379" s="30" t="inlineStr">
        <is>
          <t>J A CRUZ BAR E LANCHONETE - ME</t>
        </is>
      </c>
      <c r="F6379" s="30" t="inlineStr">
        <is>
          <t>2017</t>
        </is>
      </c>
      <c r="G6379" s="40" t="n">
        <v>0</v>
      </c>
    </row>
    <row r="6380" ht="12" customHeight="1">
      <c r="A6380" s="30" t="inlineStr">
        <is>
          <t>ITG</t>
        </is>
      </c>
      <c r="B6380" s="30" t="inlineStr">
        <is>
          <t>Itaguai</t>
        </is>
      </c>
      <c r="C6380" s="30" t="n">
        <v>79609323</v>
      </c>
      <c r="D6380" s="30">
        <f>"15143710000148"</f>
        <v/>
      </c>
      <c r="E6380" s="30" t="inlineStr">
        <is>
          <t>J A CRUZ BAR E LANCHONETE - ME</t>
        </is>
      </c>
      <c r="F6380" s="30" t="inlineStr">
        <is>
          <t>2018</t>
        </is>
      </c>
      <c r="G6380" s="40" t="n">
        <v>0</v>
      </c>
    </row>
    <row r="6381" ht="12" customHeight="1">
      <c r="A6381" s="30" t="inlineStr">
        <is>
          <t>ITG</t>
        </is>
      </c>
      <c r="B6381" s="30" t="inlineStr">
        <is>
          <t>Itaguai</t>
        </is>
      </c>
      <c r="C6381" s="30" t="n">
        <v>79609323</v>
      </c>
      <c r="D6381" s="30">
        <f>"15143710000148"</f>
        <v/>
      </c>
      <c r="E6381" s="30" t="inlineStr">
        <is>
          <t>J A CRUZ BAR E LANCHONETE - ME</t>
        </is>
      </c>
      <c r="F6381" s="30" t="inlineStr">
        <is>
          <t>2019</t>
        </is>
      </c>
      <c r="G6381" s="40" t="n">
        <v>0</v>
      </c>
    </row>
    <row r="6382" ht="12" customHeight="1">
      <c r="A6382" s="30" t="inlineStr">
        <is>
          <t>ITG</t>
        </is>
      </c>
      <c r="B6382" s="30" t="inlineStr">
        <is>
          <t>Itaguai</t>
        </is>
      </c>
      <c r="C6382" s="30" t="n">
        <v>79609323</v>
      </c>
      <c r="D6382" s="30">
        <f>"15143710000148"</f>
        <v/>
      </c>
      <c r="E6382" s="30" t="inlineStr">
        <is>
          <t>J A CRUZ BAR E LANCHONETE - ME</t>
        </is>
      </c>
      <c r="F6382" s="30" t="inlineStr">
        <is>
          <t>2020</t>
        </is>
      </c>
      <c r="G6382" s="40" t="n">
        <v>0</v>
      </c>
    </row>
    <row r="6383" ht="12" customHeight="1">
      <c r="A6383" s="30" t="inlineStr">
        <is>
          <t>ITG</t>
        </is>
      </c>
      <c r="B6383" s="30" t="inlineStr">
        <is>
          <t>Itaguai</t>
        </is>
      </c>
      <c r="C6383" s="30" t="n">
        <v>79609323</v>
      </c>
      <c r="D6383" s="30">
        <f>"15143710000148"</f>
        <v/>
      </c>
      <c r="E6383" s="30" t="inlineStr">
        <is>
          <t>J A CRUZ BAR E LANCHONETE - ME</t>
        </is>
      </c>
      <c r="F6383" s="30" t="inlineStr">
        <is>
          <t>2021</t>
        </is>
      </c>
      <c r="G6383" s="40" t="n">
        <v>0</v>
      </c>
    </row>
    <row r="6384" ht="12" customHeight="1">
      <c r="A6384" s="30" t="inlineStr">
        <is>
          <t>ITG</t>
        </is>
      </c>
      <c r="B6384" s="30" t="inlineStr">
        <is>
          <t>Itaguai</t>
        </is>
      </c>
      <c r="C6384" s="30" t="n">
        <v>79609323</v>
      </c>
      <c r="D6384" s="30">
        <f>"15143710000148"</f>
        <v/>
      </c>
      <c r="E6384" s="30" t="inlineStr">
        <is>
          <t>J A CRUZ BAR E LANCHONETE - ME</t>
        </is>
      </c>
      <c r="F6384" s="30" t="inlineStr">
        <is>
          <t>2022</t>
        </is>
      </c>
      <c r="G6384" s="40" t="n">
        <v>0</v>
      </c>
    </row>
    <row r="6385" ht="12" customHeight="1">
      <c r="A6385" s="30" t="inlineStr">
        <is>
          <t>ITG</t>
        </is>
      </c>
      <c r="B6385" s="30" t="inlineStr">
        <is>
          <t>Itaguai</t>
        </is>
      </c>
      <c r="C6385" s="30" t="n">
        <v>79611395</v>
      </c>
      <c r="D6385" s="30">
        <f>"13747117000185"</f>
        <v/>
      </c>
      <c r="E6385" s="30" t="inlineStr">
        <is>
          <t>CLADTEK DO BRASIL INDUSTRIA E COMERCIO DE TUBOS E REVESTIMENTOS LTDA</t>
        </is>
      </c>
      <c r="F6385" s="30" t="inlineStr">
        <is>
          <t>2017</t>
        </is>
      </c>
      <c r="G6385" s="40" t="n">
        <v>0</v>
      </c>
    </row>
    <row r="6386" ht="12" customHeight="1">
      <c r="A6386" s="30" t="inlineStr">
        <is>
          <t>ITG</t>
        </is>
      </c>
      <c r="B6386" s="30" t="inlineStr">
        <is>
          <t>Itaguai</t>
        </is>
      </c>
      <c r="C6386" s="30" t="n">
        <v>79611395</v>
      </c>
      <c r="D6386" s="30">
        <f>"13747117000185"</f>
        <v/>
      </c>
      <c r="E6386" s="30" t="inlineStr">
        <is>
          <t>CLADTEK DO BRASIL INDUSTRIA E COMERCIO DE TUBOS E REVESTIMENTOS LTDA</t>
        </is>
      </c>
      <c r="F6386" s="30" t="inlineStr">
        <is>
          <t>2018</t>
        </is>
      </c>
      <c r="G6386" s="40" t="n">
        <v>0</v>
      </c>
    </row>
    <row r="6387" ht="12" customHeight="1">
      <c r="A6387" s="30" t="inlineStr">
        <is>
          <t>ITG</t>
        </is>
      </c>
      <c r="B6387" s="30" t="inlineStr">
        <is>
          <t>Itaguai</t>
        </is>
      </c>
      <c r="C6387" s="30" t="n">
        <v>79611395</v>
      </c>
      <c r="D6387" s="30">
        <f>"13747117000185"</f>
        <v/>
      </c>
      <c r="E6387" s="30" t="inlineStr">
        <is>
          <t>CLADTEK DO BRASIL INDUSTRIA E COMERCIO DE TUBOS E REVESTIMENTOS LTDA</t>
        </is>
      </c>
      <c r="F6387" s="30" t="inlineStr">
        <is>
          <t>2019</t>
        </is>
      </c>
      <c r="G6387" s="40" t="n">
        <v>0</v>
      </c>
    </row>
    <row r="6388" ht="12" customHeight="1">
      <c r="A6388" s="30" t="inlineStr">
        <is>
          <t>ITG</t>
        </is>
      </c>
      <c r="B6388" s="30" t="inlineStr">
        <is>
          <t>Itaguai</t>
        </is>
      </c>
      <c r="C6388" s="30" t="n">
        <v>79611395</v>
      </c>
      <c r="D6388" s="30">
        <f>"13747117000185"</f>
        <v/>
      </c>
      <c r="E6388" s="30" t="inlineStr">
        <is>
          <t>CLADTEK DO BRASIL INDUSTRIA E COMERCIO DE TUBOS E REVESTIMENTOS LTDA</t>
        </is>
      </c>
      <c r="F6388" s="30" t="inlineStr">
        <is>
          <t>2020</t>
        </is>
      </c>
      <c r="G6388" s="40" t="n">
        <v>0</v>
      </c>
    </row>
    <row r="6389" ht="12" customHeight="1">
      <c r="A6389" s="30" t="inlineStr">
        <is>
          <t>ITG</t>
        </is>
      </c>
      <c r="B6389" s="30" t="inlineStr">
        <is>
          <t>Itaguai</t>
        </is>
      </c>
      <c r="C6389" s="30" t="n">
        <v>79611395</v>
      </c>
      <c r="D6389" s="30">
        <f>"13747117000185"</f>
        <v/>
      </c>
      <c r="E6389" s="30" t="inlineStr">
        <is>
          <t>CLADTEK DO BRASIL INDUSTRIA E COMERCIO DE TUBOS E REVESTIMENTOS LTDA</t>
        </is>
      </c>
      <c r="F6389" s="30" t="inlineStr">
        <is>
          <t>2021</t>
        </is>
      </c>
      <c r="G6389" s="40" t="n">
        <v>0</v>
      </c>
    </row>
    <row r="6390" ht="12" customHeight="1">
      <c r="A6390" s="30" t="inlineStr">
        <is>
          <t>ITG</t>
        </is>
      </c>
      <c r="B6390" s="30" t="inlineStr">
        <is>
          <t>Itaguai</t>
        </is>
      </c>
      <c r="C6390" s="30" t="n">
        <v>79612391</v>
      </c>
      <c r="D6390" s="30">
        <f>"15089282000112"</f>
        <v/>
      </c>
      <c r="E6390" s="30" t="inlineStr">
        <is>
          <t>FIBERGIL FABRICACAO COMERCIO E REPAROS DE CARROCERIAS LTDA ME</t>
        </is>
      </c>
      <c r="F6390" s="30" t="inlineStr">
        <is>
          <t>2017</t>
        </is>
      </c>
      <c r="G6390" s="40" t="n">
        <v>0</v>
      </c>
    </row>
    <row r="6391" ht="12" customHeight="1">
      <c r="A6391" s="30" t="inlineStr">
        <is>
          <t>ITG</t>
        </is>
      </c>
      <c r="B6391" s="30" t="inlineStr">
        <is>
          <t>Itaguai</t>
        </is>
      </c>
      <c r="C6391" s="30" t="n">
        <v>79612391</v>
      </c>
      <c r="D6391" s="30">
        <f>"15089282000112"</f>
        <v/>
      </c>
      <c r="E6391" s="30" t="inlineStr">
        <is>
          <t>FIBERGIL FABRICACAO COMERCIO E REPAROS DE CARROCERIAS LTDA ME</t>
        </is>
      </c>
      <c r="F6391" s="30" t="inlineStr">
        <is>
          <t>2018</t>
        </is>
      </c>
      <c r="G6391" s="40" t="n">
        <v>0</v>
      </c>
    </row>
    <row r="6392" ht="12" customHeight="1">
      <c r="A6392" s="30" t="inlineStr">
        <is>
          <t>ITG</t>
        </is>
      </c>
      <c r="B6392" s="30" t="inlineStr">
        <is>
          <t>Itaguai</t>
        </is>
      </c>
      <c r="C6392" s="30" t="n">
        <v>79612391</v>
      </c>
      <c r="D6392" s="30">
        <f>"15089282000112"</f>
        <v/>
      </c>
      <c r="E6392" s="30" t="inlineStr">
        <is>
          <t>FIBERGIL FABRICACAO COMERCIO E REPAROS DE CARROCERIAS LTDA ME</t>
        </is>
      </c>
      <c r="F6392" s="30" t="inlineStr">
        <is>
          <t>2019</t>
        </is>
      </c>
      <c r="G6392" s="40" t="n">
        <v>0</v>
      </c>
    </row>
    <row r="6393" ht="12" customHeight="1">
      <c r="A6393" s="30" t="inlineStr">
        <is>
          <t>ITG</t>
        </is>
      </c>
      <c r="B6393" s="30" t="inlineStr">
        <is>
          <t>Itaguai</t>
        </is>
      </c>
      <c r="C6393" s="30" t="n">
        <v>79612391</v>
      </c>
      <c r="D6393" s="30">
        <f>"15089282000112"</f>
        <v/>
      </c>
      <c r="E6393" s="30" t="inlineStr">
        <is>
          <t>FIBERGIL FABRICACAO COMERCIO E REPAROS DE CARROCERIAS LTDA ME</t>
        </is>
      </c>
      <c r="F6393" s="30" t="inlineStr">
        <is>
          <t>2020</t>
        </is>
      </c>
      <c r="G6393" s="40" t="n">
        <v>0</v>
      </c>
    </row>
    <row r="6394" ht="12" customHeight="1">
      <c r="A6394" s="30" t="inlineStr">
        <is>
          <t>ITG</t>
        </is>
      </c>
      <c r="B6394" s="30" t="inlineStr">
        <is>
          <t>Itaguai</t>
        </is>
      </c>
      <c r="C6394" s="30" t="n">
        <v>79612391</v>
      </c>
      <c r="D6394" s="30">
        <f>"15089282000112"</f>
        <v/>
      </c>
      <c r="E6394" s="30" t="inlineStr">
        <is>
          <t>FIBERGIL FABRICACAO COMERCIO E REPAROS DE CARROCERIAS LTDA ME</t>
        </is>
      </c>
      <c r="F6394" s="30" t="inlineStr">
        <is>
          <t>2021</t>
        </is>
      </c>
      <c r="G6394" s="40" t="n">
        <v>0</v>
      </c>
    </row>
    <row r="6395" ht="12" customHeight="1">
      <c r="A6395" s="30" t="inlineStr">
        <is>
          <t>ITG</t>
        </is>
      </c>
      <c r="B6395" s="30" t="inlineStr">
        <is>
          <t>Itaguai</t>
        </is>
      </c>
      <c r="C6395" s="30" t="n">
        <v>79612391</v>
      </c>
      <c r="D6395" s="30">
        <f>"15089282000112"</f>
        <v/>
      </c>
      <c r="E6395" s="30" t="inlineStr">
        <is>
          <t>FIBERGIL FABRICACAO COMERCIO E REPAROS DE CARROCERIAS LTDA ME</t>
        </is>
      </c>
      <c r="F6395" s="30" t="inlineStr">
        <is>
          <t>2022</t>
        </is>
      </c>
      <c r="G6395" s="40" t="n">
        <v>0</v>
      </c>
    </row>
    <row r="6396" ht="12" customHeight="1">
      <c r="A6396" s="30" t="inlineStr">
        <is>
          <t>ITG</t>
        </is>
      </c>
      <c r="B6396" s="30" t="inlineStr">
        <is>
          <t>Itaguai</t>
        </is>
      </c>
      <c r="C6396" s="30" t="n">
        <v>79619159</v>
      </c>
      <c r="D6396" s="30">
        <f>"11426289001527"</f>
        <v/>
      </c>
      <c r="E6396" s="30" t="inlineStr">
        <is>
          <t>ITVA RIO MOTOS LTDA</t>
        </is>
      </c>
      <c r="F6396" s="30" t="inlineStr">
        <is>
          <t>2017</t>
        </is>
      </c>
      <c r="G6396" s="40" t="n">
        <v>0</v>
      </c>
    </row>
    <row r="6397" ht="12" customHeight="1">
      <c r="A6397" s="30" t="inlineStr">
        <is>
          <t>ITG</t>
        </is>
      </c>
      <c r="B6397" s="30" t="inlineStr">
        <is>
          <t>Itaguai</t>
        </is>
      </c>
      <c r="C6397" s="30" t="n">
        <v>79619159</v>
      </c>
      <c r="D6397" s="30">
        <f>"11426289001527"</f>
        <v/>
      </c>
      <c r="E6397" s="30" t="inlineStr">
        <is>
          <t>ITVA RIO MOTOS LTDA</t>
        </is>
      </c>
      <c r="F6397" s="30" t="inlineStr">
        <is>
          <t>2018</t>
        </is>
      </c>
      <c r="G6397" s="40" t="n">
        <v>0</v>
      </c>
    </row>
    <row r="6398" ht="12" customHeight="1">
      <c r="A6398" s="30" t="inlineStr">
        <is>
          <t>ITG</t>
        </is>
      </c>
      <c r="B6398" s="30" t="inlineStr">
        <is>
          <t>Itaguai</t>
        </is>
      </c>
      <c r="C6398" s="30" t="n">
        <v>79619159</v>
      </c>
      <c r="D6398" s="30">
        <f>"11426289001527"</f>
        <v/>
      </c>
      <c r="E6398" s="30" t="inlineStr">
        <is>
          <t>ITVA RIO MOTOS LTDA</t>
        </is>
      </c>
      <c r="F6398" s="30" t="inlineStr">
        <is>
          <t>2019</t>
        </is>
      </c>
      <c r="G6398" s="40" t="n">
        <v>0</v>
      </c>
    </row>
    <row r="6399" ht="12" customHeight="1">
      <c r="A6399" s="30" t="inlineStr">
        <is>
          <t>ITG</t>
        </is>
      </c>
      <c r="B6399" s="30" t="inlineStr">
        <is>
          <t>Itaguai</t>
        </is>
      </c>
      <c r="C6399" s="30" t="n">
        <v>79635219</v>
      </c>
      <c r="D6399" s="30">
        <f>"52502507001895"</f>
        <v/>
      </c>
      <c r="E6399" s="30" t="inlineStr">
        <is>
          <t>MOCOCA S/A PRODUTOS ALIMENTICIOS</t>
        </is>
      </c>
      <c r="F6399" s="30" t="inlineStr">
        <is>
          <t>2017</t>
        </is>
      </c>
      <c r="G6399" s="40" t="n">
        <v>0</v>
      </c>
    </row>
    <row r="6400" ht="12" customHeight="1">
      <c r="A6400" s="30" t="inlineStr">
        <is>
          <t>ITG</t>
        </is>
      </c>
      <c r="B6400" s="30" t="inlineStr">
        <is>
          <t>Itaguai</t>
        </is>
      </c>
      <c r="C6400" s="30" t="n">
        <v>79635219</v>
      </c>
      <c r="D6400" s="30">
        <f>"52502507001895"</f>
        <v/>
      </c>
      <c r="E6400" s="30" t="inlineStr">
        <is>
          <t>MOCOCA S/A PRODUTOS ALIMENTICIOS</t>
        </is>
      </c>
      <c r="F6400" s="30" t="inlineStr">
        <is>
          <t>2018</t>
        </is>
      </c>
      <c r="G6400" s="40" t="n">
        <v>793595.8</v>
      </c>
    </row>
    <row r="6401" ht="12" customHeight="1">
      <c r="A6401" s="30" t="inlineStr">
        <is>
          <t>ITG</t>
        </is>
      </c>
      <c r="B6401" s="30" t="inlineStr">
        <is>
          <t>Itaguai</t>
        </is>
      </c>
      <c r="C6401" s="30" t="n">
        <v>79635219</v>
      </c>
      <c r="D6401" s="30">
        <f>"52502507001895"</f>
        <v/>
      </c>
      <c r="E6401" s="30" t="inlineStr">
        <is>
          <t>MOCOCA S/A PRODUTOS ALIMENTICIOS</t>
        </is>
      </c>
      <c r="F6401" s="30" t="inlineStr">
        <is>
          <t>2019</t>
        </is>
      </c>
      <c r="G6401" s="40" t="n">
        <v>0</v>
      </c>
    </row>
    <row r="6402" ht="12" customHeight="1">
      <c r="A6402" s="30" t="inlineStr">
        <is>
          <t>ITG</t>
        </is>
      </c>
      <c r="B6402" s="30" t="inlineStr">
        <is>
          <t>Itaguai</t>
        </is>
      </c>
      <c r="C6402" s="30" t="n">
        <v>79635219</v>
      </c>
      <c r="D6402" s="30">
        <f>"52502507001895"</f>
        <v/>
      </c>
      <c r="E6402" s="30" t="inlineStr">
        <is>
          <t>MOCOCA S/A PRODUTOS ALIMENTICIOS</t>
        </is>
      </c>
      <c r="F6402" s="30" t="inlineStr">
        <is>
          <t>2020</t>
        </is>
      </c>
      <c r="G6402" s="40" t="n">
        <v>0</v>
      </c>
    </row>
    <row r="6403" ht="12" customHeight="1">
      <c r="A6403" s="30" t="inlineStr">
        <is>
          <t>ITG</t>
        </is>
      </c>
      <c r="B6403" s="30" t="inlineStr">
        <is>
          <t>Itaguai</t>
        </is>
      </c>
      <c r="C6403" s="30" t="n">
        <v>79639990</v>
      </c>
      <c r="D6403" s="30">
        <f>"04605519000235"</f>
        <v/>
      </c>
      <c r="E6403" s="30" t="inlineStr">
        <is>
          <t>TRANS TRUCK LOGISTICA E TRANSPORTES LTDA</t>
        </is>
      </c>
      <c r="F6403" s="30" t="inlineStr">
        <is>
          <t>2017</t>
        </is>
      </c>
      <c r="G6403" s="40" t="n">
        <v>67.67</v>
      </c>
    </row>
    <row r="6404" ht="12" customHeight="1">
      <c r="A6404" s="30" t="inlineStr">
        <is>
          <t>ITG</t>
        </is>
      </c>
      <c r="B6404" s="30" t="inlineStr">
        <is>
          <t>Itaguai</t>
        </is>
      </c>
      <c r="C6404" s="30" t="n">
        <v>79639990</v>
      </c>
      <c r="D6404" s="30">
        <f>"04605519000235"</f>
        <v/>
      </c>
      <c r="E6404" s="30" t="inlineStr">
        <is>
          <t>TRANS TRUCK LOGISTICA E TRANSPORTES LTDA</t>
        </is>
      </c>
      <c r="F6404" s="30" t="inlineStr">
        <is>
          <t>2018</t>
        </is>
      </c>
      <c r="G6404" s="40" t="n">
        <v>0.5600000000000001</v>
      </c>
    </row>
    <row r="6405" ht="12" customHeight="1">
      <c r="A6405" s="30" t="inlineStr">
        <is>
          <t>ITG</t>
        </is>
      </c>
      <c r="B6405" s="30" t="inlineStr">
        <is>
          <t>Itaguai</t>
        </is>
      </c>
      <c r="C6405" s="30" t="n">
        <v>79639990</v>
      </c>
      <c r="D6405" s="30">
        <f>"04605519000235"</f>
        <v/>
      </c>
      <c r="E6405" s="30" t="inlineStr">
        <is>
          <t>TRANS TRUCK LOGISTICA E TRANSPORTES LTDA</t>
        </is>
      </c>
      <c r="F6405" s="30" t="inlineStr">
        <is>
          <t>2019</t>
        </is>
      </c>
      <c r="G6405" s="40" t="n">
        <v>42.14</v>
      </c>
    </row>
    <row r="6406" ht="12" customHeight="1">
      <c r="A6406" s="30" t="inlineStr">
        <is>
          <t>ITG</t>
        </is>
      </c>
      <c r="B6406" s="30" t="inlineStr">
        <is>
          <t>Itaguai</t>
        </is>
      </c>
      <c r="C6406" s="30" t="n">
        <v>79639990</v>
      </c>
      <c r="D6406" s="30">
        <f>"04605519000235"</f>
        <v/>
      </c>
      <c r="E6406" s="30" t="inlineStr">
        <is>
          <t>TRANS TRUCK LOGISTICA E TRANSPORTES LTDA</t>
        </is>
      </c>
      <c r="F6406" s="30" t="inlineStr">
        <is>
          <t>2020</t>
        </is>
      </c>
      <c r="G6406" s="40" t="n">
        <v>0</v>
      </c>
    </row>
    <row r="6407" ht="12" customHeight="1">
      <c r="A6407" s="30" t="inlineStr">
        <is>
          <t>ITG</t>
        </is>
      </c>
      <c r="B6407" s="30" t="inlineStr">
        <is>
          <t>Itaguai</t>
        </is>
      </c>
      <c r="C6407" s="30" t="n">
        <v>79639990</v>
      </c>
      <c r="D6407" s="30">
        <f>"04605519000235"</f>
        <v/>
      </c>
      <c r="E6407" s="30" t="inlineStr">
        <is>
          <t>TRANS TRUCK LOGISTICA E TRANSPORTES LTDA</t>
        </is>
      </c>
      <c r="F6407" s="30" t="inlineStr">
        <is>
          <t>2021</t>
        </is>
      </c>
      <c r="G6407" s="40" t="n">
        <v>44.6</v>
      </c>
    </row>
    <row r="6408" ht="12" customHeight="1">
      <c r="A6408" s="30" t="inlineStr">
        <is>
          <t>ITG</t>
        </is>
      </c>
      <c r="B6408" s="30" t="inlineStr">
        <is>
          <t>Itaguai</t>
        </is>
      </c>
      <c r="C6408" s="30" t="n">
        <v>79639990</v>
      </c>
      <c r="D6408" s="30">
        <f>"04605519000235"</f>
        <v/>
      </c>
      <c r="E6408" s="30" t="inlineStr">
        <is>
          <t>TRANS TRUCK LOGISTICA E TRANSPORTES LTDA</t>
        </is>
      </c>
      <c r="F6408" s="30" t="inlineStr">
        <is>
          <t>2022</t>
        </is>
      </c>
      <c r="G6408" s="40" t="n">
        <v>0</v>
      </c>
    </row>
    <row r="6409" ht="12" customHeight="1">
      <c r="A6409" s="30" t="inlineStr">
        <is>
          <t>ITG</t>
        </is>
      </c>
      <c r="B6409" s="30" t="inlineStr">
        <is>
          <t>Itaguai</t>
        </is>
      </c>
      <c r="C6409" s="30" t="n">
        <v>79639990</v>
      </c>
      <c r="D6409" s="30">
        <f>"04605519000235"</f>
        <v/>
      </c>
      <c r="E6409" s="30" t="inlineStr">
        <is>
          <t>TRANS TRUCK LOGISTICA E TRANSPORTES LTDA</t>
        </is>
      </c>
      <c r="F6409" s="30" t="inlineStr">
        <is>
          <t>2023</t>
        </is>
      </c>
      <c r="G6409" s="40" t="n">
        <v>0</v>
      </c>
    </row>
    <row r="6410" ht="12" customHeight="1">
      <c r="A6410" s="30" t="inlineStr">
        <is>
          <t>ITG</t>
        </is>
      </c>
      <c r="B6410" s="30" t="inlineStr">
        <is>
          <t>Itaguai</t>
        </is>
      </c>
      <c r="C6410" s="30" t="n">
        <v>79658910</v>
      </c>
      <c r="D6410" s="30">
        <f>"10397711000448"</f>
        <v/>
      </c>
      <c r="E6410" s="30" t="inlineStr">
        <is>
          <t>GTX COMERCIO DE TINTAS LTDA</t>
        </is>
      </c>
      <c r="F6410" s="30" t="inlineStr">
        <is>
          <t>2017</t>
        </is>
      </c>
      <c r="G6410" s="40" t="n">
        <v>275148.14</v>
      </c>
    </row>
    <row r="6411" ht="12" customHeight="1">
      <c r="A6411" s="30" t="inlineStr">
        <is>
          <t>ITG</t>
        </is>
      </c>
      <c r="B6411" s="30" t="inlineStr">
        <is>
          <t>Itaguai</t>
        </is>
      </c>
      <c r="C6411" s="30" t="n">
        <v>79658910</v>
      </c>
      <c r="D6411" s="30">
        <f>"10397711000448"</f>
        <v/>
      </c>
      <c r="E6411" s="30" t="inlineStr">
        <is>
          <t>GTX COMERCIO DE TINTAS LTDA</t>
        </is>
      </c>
      <c r="F6411" s="30" t="inlineStr">
        <is>
          <t>2018</t>
        </is>
      </c>
      <c r="G6411" s="40" t="n">
        <v>0</v>
      </c>
    </row>
    <row r="6412" ht="12" customHeight="1">
      <c r="A6412" s="30" t="inlineStr">
        <is>
          <t>ITG</t>
        </is>
      </c>
      <c r="B6412" s="30" t="inlineStr">
        <is>
          <t>Itaguai</t>
        </is>
      </c>
      <c r="C6412" s="30" t="n">
        <v>79658910</v>
      </c>
      <c r="D6412" s="30">
        <f>"10397711000448"</f>
        <v/>
      </c>
      <c r="E6412" s="30" t="inlineStr">
        <is>
          <t>GTX COMERCIO DE TINTAS LTDA</t>
        </is>
      </c>
      <c r="F6412" s="30" t="inlineStr">
        <is>
          <t>2019</t>
        </is>
      </c>
      <c r="G6412" s="40" t="n">
        <v>0</v>
      </c>
    </row>
    <row r="6413" ht="12" customHeight="1">
      <c r="A6413" s="30" t="inlineStr">
        <is>
          <t>ITG</t>
        </is>
      </c>
      <c r="B6413" s="30" t="inlineStr">
        <is>
          <t>Itaguai</t>
        </is>
      </c>
      <c r="C6413" s="30" t="n">
        <v>79665479</v>
      </c>
      <c r="D6413" s="30">
        <f>"09354773000221"</f>
        <v/>
      </c>
      <c r="E6413" s="30" t="inlineStr">
        <is>
          <t>PREMAX ENGENHARIA E COMERCIO LTDA</t>
        </is>
      </c>
      <c r="F6413" s="30" t="inlineStr">
        <is>
          <t>2019</t>
        </is>
      </c>
      <c r="G6413" s="40" t="n">
        <v>0</v>
      </c>
    </row>
    <row r="6414" ht="12" customHeight="1">
      <c r="A6414" s="30" t="inlineStr">
        <is>
          <t>ITG</t>
        </is>
      </c>
      <c r="B6414" s="30" t="inlineStr">
        <is>
          <t>Itaguai</t>
        </is>
      </c>
      <c r="C6414" s="30" t="n">
        <v>79665479</v>
      </c>
      <c r="D6414" s="30">
        <f>"09354773000221"</f>
        <v/>
      </c>
      <c r="E6414" s="30" t="inlineStr">
        <is>
          <t>PREMAX ENGENHARIA E COMERCIO LTDA</t>
        </is>
      </c>
      <c r="F6414" s="30" t="inlineStr">
        <is>
          <t>2020</t>
        </is>
      </c>
      <c r="G6414" s="40" t="n">
        <v>0</v>
      </c>
    </row>
    <row r="6415" ht="12" customHeight="1">
      <c r="A6415" s="30" t="inlineStr">
        <is>
          <t>ITG</t>
        </is>
      </c>
      <c r="B6415" s="30" t="inlineStr">
        <is>
          <t>Itaguai</t>
        </is>
      </c>
      <c r="C6415" s="30" t="n">
        <v>79665479</v>
      </c>
      <c r="D6415" s="30">
        <f>"09354773000221"</f>
        <v/>
      </c>
      <c r="E6415" s="30" t="inlineStr">
        <is>
          <t>PREMAX ENGENHARIA E COMERCIO LTDA</t>
        </is>
      </c>
      <c r="F6415" s="30" t="inlineStr">
        <is>
          <t>2021</t>
        </is>
      </c>
      <c r="G6415" s="40" t="n">
        <v>8228</v>
      </c>
    </row>
    <row r="6416" ht="12" customHeight="1">
      <c r="A6416" s="30" t="inlineStr">
        <is>
          <t>ITG</t>
        </is>
      </c>
      <c r="B6416" s="30" t="inlineStr">
        <is>
          <t>Itaguai</t>
        </is>
      </c>
      <c r="C6416" s="30" t="n">
        <v>79665479</v>
      </c>
      <c r="D6416" s="30">
        <f>"09354773000221"</f>
        <v/>
      </c>
      <c r="E6416" s="30" t="inlineStr">
        <is>
          <t>PREMAX ENGENHARIA E COMERCIO LTDA</t>
        </is>
      </c>
      <c r="F6416" s="30" t="inlineStr">
        <is>
          <t>2022</t>
        </is>
      </c>
      <c r="G6416" s="40" t="n">
        <v>0</v>
      </c>
    </row>
    <row r="6417" ht="12" customHeight="1">
      <c r="A6417" s="30" t="inlineStr">
        <is>
          <t>ITG</t>
        </is>
      </c>
      <c r="B6417" s="30" t="inlineStr">
        <is>
          <t>Itaguai</t>
        </is>
      </c>
      <c r="C6417" s="30" t="n">
        <v>79665479</v>
      </c>
      <c r="D6417" s="30">
        <f>"09354773000221"</f>
        <v/>
      </c>
      <c r="E6417" s="30" t="inlineStr">
        <is>
          <t>PREMAX ENGENHARIA E COMERCIO LTDA</t>
        </is>
      </c>
      <c r="F6417" s="30" t="inlineStr">
        <is>
          <t>2023</t>
        </is>
      </c>
      <c r="G6417" s="40" t="n">
        <v>5100</v>
      </c>
    </row>
    <row r="6418" ht="12" customHeight="1">
      <c r="A6418" s="30" t="inlineStr">
        <is>
          <t>ITG</t>
        </is>
      </c>
      <c r="B6418" s="30" t="inlineStr">
        <is>
          <t>Itaguai</t>
        </is>
      </c>
      <c r="C6418" s="30" t="n">
        <v>79667277</v>
      </c>
      <c r="D6418" s="30">
        <f>"03176142000445"</f>
        <v/>
      </c>
      <c r="E6418" s="30" t="inlineStr">
        <is>
          <t>PLAMONT PLANEJAMENTO MONTAGEM E ENGENHARIA LTDA</t>
        </is>
      </c>
      <c r="F6418" s="30" t="inlineStr">
        <is>
          <t>2017</t>
        </is>
      </c>
      <c r="G6418" s="40" t="n">
        <v>221268.91</v>
      </c>
    </row>
    <row r="6419" ht="12" customHeight="1">
      <c r="A6419" s="30" t="inlineStr">
        <is>
          <t>ITG</t>
        </is>
      </c>
      <c r="B6419" s="30" t="inlineStr">
        <is>
          <t>Itaguai</t>
        </is>
      </c>
      <c r="C6419" s="30" t="n">
        <v>79667277</v>
      </c>
      <c r="D6419" s="30">
        <f>"03176142000445"</f>
        <v/>
      </c>
      <c r="E6419" s="30" t="inlineStr">
        <is>
          <t>PLAMONT PLANEJAMENTO MONTAGEM E ENGENHARIA LTDA</t>
        </is>
      </c>
      <c r="F6419" s="30" t="inlineStr">
        <is>
          <t>2018</t>
        </is>
      </c>
      <c r="G6419" s="40" t="n">
        <v>0</v>
      </c>
    </row>
    <row r="6420" ht="12" customHeight="1">
      <c r="A6420" s="30" t="inlineStr">
        <is>
          <t>ITG</t>
        </is>
      </c>
      <c r="B6420" s="30" t="inlineStr">
        <is>
          <t>Itaguai</t>
        </is>
      </c>
      <c r="C6420" s="30" t="n">
        <v>79667277</v>
      </c>
      <c r="D6420" s="30">
        <f>"03176142000445"</f>
        <v/>
      </c>
      <c r="E6420" s="30" t="inlineStr">
        <is>
          <t>PLAMONT PLANEJAMENTO MONTAGEM E ENGENHARIA LTDA</t>
        </is>
      </c>
      <c r="F6420" s="30" t="inlineStr">
        <is>
          <t>2019</t>
        </is>
      </c>
      <c r="G6420" s="40" t="n">
        <v>0</v>
      </c>
    </row>
    <row r="6421" ht="12" customHeight="1">
      <c r="A6421" s="30" t="inlineStr">
        <is>
          <t>ITG</t>
        </is>
      </c>
      <c r="B6421" s="30" t="inlineStr">
        <is>
          <t>Itaguai</t>
        </is>
      </c>
      <c r="C6421" s="30" t="n">
        <v>79667277</v>
      </c>
      <c r="D6421" s="30">
        <f>"03176142000445"</f>
        <v/>
      </c>
      <c r="E6421" s="30" t="inlineStr">
        <is>
          <t>PLAMONT PLANEJAMENTO MONTAGEM E ENGENHARIA LTDA</t>
        </is>
      </c>
      <c r="F6421" s="30" t="inlineStr">
        <is>
          <t>2020</t>
        </is>
      </c>
      <c r="G6421" s="40" t="n">
        <v>0</v>
      </c>
    </row>
    <row r="6422" ht="12" customHeight="1">
      <c r="A6422" s="30" t="inlineStr">
        <is>
          <t>ITG</t>
        </is>
      </c>
      <c r="B6422" s="30" t="inlineStr">
        <is>
          <t>Itaguai</t>
        </is>
      </c>
      <c r="C6422" s="30" t="n">
        <v>79667277</v>
      </c>
      <c r="D6422" s="30">
        <f>"03176142000445"</f>
        <v/>
      </c>
      <c r="E6422" s="30" t="inlineStr">
        <is>
          <t>PLAMONT PLANEJAMENTO MONTAGEM E ENGENHARIA LTDA</t>
        </is>
      </c>
      <c r="F6422" s="30" t="inlineStr">
        <is>
          <t>2021</t>
        </is>
      </c>
      <c r="G6422" s="40" t="n">
        <v>0</v>
      </c>
    </row>
    <row r="6423" ht="12" customHeight="1">
      <c r="A6423" s="30" t="inlineStr">
        <is>
          <t>ITG</t>
        </is>
      </c>
      <c r="B6423" s="30" t="inlineStr">
        <is>
          <t>Itaguai</t>
        </is>
      </c>
      <c r="C6423" s="30" t="n">
        <v>79667277</v>
      </c>
      <c r="D6423" s="30">
        <f>"03176142000445"</f>
        <v/>
      </c>
      <c r="E6423" s="30" t="inlineStr">
        <is>
          <t>PLAMONT PLANEJAMENTO MONTAGEM E ENGENHARIA LTDA</t>
        </is>
      </c>
      <c r="F6423" s="30" t="inlineStr">
        <is>
          <t>2022</t>
        </is>
      </c>
      <c r="G6423" s="40" t="n">
        <v>0</v>
      </c>
    </row>
    <row r="6424" ht="12" customHeight="1">
      <c r="A6424" s="30" t="inlineStr">
        <is>
          <t>ITG</t>
        </is>
      </c>
      <c r="B6424" s="30" t="inlineStr">
        <is>
          <t>Itaguai</t>
        </is>
      </c>
      <c r="C6424" s="30" t="n">
        <v>79667277</v>
      </c>
      <c r="D6424" s="30">
        <f>"03176142000445"</f>
        <v/>
      </c>
      <c r="E6424" s="30" t="inlineStr">
        <is>
          <t>PLAMONT PLANEJAMENTO MONTAGEM E ENGENHARIA LTDA</t>
        </is>
      </c>
      <c r="F6424" s="30" t="inlineStr">
        <is>
          <t>2023</t>
        </is>
      </c>
      <c r="G6424" s="40" t="n">
        <v>0</v>
      </c>
    </row>
    <row r="6425" ht="12" customHeight="1">
      <c r="A6425" s="30" t="inlineStr">
        <is>
          <t>ITG</t>
        </is>
      </c>
      <c r="B6425" s="30" t="inlineStr">
        <is>
          <t>Itaguai</t>
        </is>
      </c>
      <c r="C6425" s="30" t="n">
        <v>79668630</v>
      </c>
      <c r="D6425" s="30">
        <f>"15401022000130"</f>
        <v/>
      </c>
      <c r="E6425" s="30" t="inlineStr">
        <is>
          <t>DLR LOGÍSTICA E TRANSPORTES LTDA</t>
        </is>
      </c>
      <c r="F6425" s="30" t="inlineStr">
        <is>
          <t>2017</t>
        </is>
      </c>
      <c r="G6425" s="40" t="n">
        <v>7530.59</v>
      </c>
    </row>
    <row r="6426" ht="12" customHeight="1">
      <c r="A6426" s="30" t="inlineStr">
        <is>
          <t>ITG</t>
        </is>
      </c>
      <c r="B6426" s="30" t="inlineStr">
        <is>
          <t>Itaguai</t>
        </is>
      </c>
      <c r="C6426" s="30" t="n">
        <v>79668630</v>
      </c>
      <c r="D6426" s="30">
        <f>"15401022000130"</f>
        <v/>
      </c>
      <c r="E6426" s="30" t="inlineStr">
        <is>
          <t>DLR LOGÍSTICA E TRANSPORTES LTDA</t>
        </is>
      </c>
      <c r="F6426" s="30" t="inlineStr">
        <is>
          <t>2018</t>
        </is>
      </c>
      <c r="G6426" s="40" t="n">
        <v>0</v>
      </c>
    </row>
    <row r="6427" ht="12" customHeight="1">
      <c r="A6427" s="30" t="inlineStr">
        <is>
          <t>ITG</t>
        </is>
      </c>
      <c r="B6427" s="30" t="inlineStr">
        <is>
          <t>Itaguai</t>
        </is>
      </c>
      <c r="C6427" s="30" t="n">
        <v>79668630</v>
      </c>
      <c r="D6427" s="30">
        <f>"15401022000130"</f>
        <v/>
      </c>
      <c r="E6427" s="30" t="inlineStr">
        <is>
          <t>DLR LOGÍSTICA E TRANSPORTES LTDA</t>
        </is>
      </c>
      <c r="F6427" s="30" t="inlineStr">
        <is>
          <t>2019</t>
        </is>
      </c>
      <c r="G6427" s="40" t="n">
        <v>0</v>
      </c>
    </row>
    <row r="6428" ht="12" customHeight="1">
      <c r="A6428" s="30" t="inlineStr">
        <is>
          <t>ITG</t>
        </is>
      </c>
      <c r="B6428" s="30" t="inlineStr">
        <is>
          <t>Itaguai</t>
        </is>
      </c>
      <c r="C6428" s="30" t="n">
        <v>79670847</v>
      </c>
      <c r="D6428" s="30">
        <f>"27975648000130"</f>
        <v/>
      </c>
      <c r="E6428" s="30" t="inlineStr">
        <is>
          <t>FM LOCACAO, COMERCIO E ENTRETENIMENTO EIRELI ME</t>
        </is>
      </c>
      <c r="F6428" s="30" t="inlineStr">
        <is>
          <t>2018</t>
        </is>
      </c>
      <c r="G6428" s="40" t="n">
        <v>0</v>
      </c>
    </row>
    <row r="6429" ht="12" customHeight="1">
      <c r="A6429" s="30" t="inlineStr">
        <is>
          <t>ITG</t>
        </is>
      </c>
      <c r="B6429" s="30" t="inlineStr">
        <is>
          <t>Itaguai</t>
        </is>
      </c>
      <c r="C6429" s="30" t="n">
        <v>79670847</v>
      </c>
      <c r="D6429" s="30">
        <f>"27975648000130"</f>
        <v/>
      </c>
      <c r="E6429" s="30" t="inlineStr">
        <is>
          <t>FM LOCACAO, COMERCIO E ENTRETENIMENTO EIRELI ME</t>
        </is>
      </c>
      <c r="F6429" s="30" t="inlineStr">
        <is>
          <t>2019</t>
        </is>
      </c>
      <c r="G6429" s="40" t="n">
        <v>0</v>
      </c>
    </row>
    <row r="6430" ht="12" customHeight="1">
      <c r="A6430" s="30" t="inlineStr">
        <is>
          <t>ITG</t>
        </is>
      </c>
      <c r="B6430" s="30" t="inlineStr">
        <is>
          <t>Itaguai</t>
        </is>
      </c>
      <c r="C6430" s="30" t="n">
        <v>79670847</v>
      </c>
      <c r="D6430" s="30">
        <f>"27975648000130"</f>
        <v/>
      </c>
      <c r="E6430" s="30" t="inlineStr">
        <is>
          <t>FM LOCACAO, COMERCIO E ENTRETENIMENTO EIRELI ME</t>
        </is>
      </c>
      <c r="F6430" s="30" t="inlineStr">
        <is>
          <t>2020</t>
        </is>
      </c>
      <c r="G6430" s="40" t="n">
        <v>0</v>
      </c>
    </row>
    <row r="6431" ht="12" customHeight="1">
      <c r="A6431" s="30" t="inlineStr">
        <is>
          <t>ITG</t>
        </is>
      </c>
      <c r="B6431" s="30" t="inlineStr">
        <is>
          <t>Itaguai</t>
        </is>
      </c>
      <c r="C6431" s="30" t="n">
        <v>79670847</v>
      </c>
      <c r="D6431" s="30">
        <f>"27975648000130"</f>
        <v/>
      </c>
      <c r="E6431" s="30" t="inlineStr">
        <is>
          <t>FM LOCACAO, COMERCIO E ENTRETENIMENTO EIRELI ME</t>
        </is>
      </c>
      <c r="F6431" s="30" t="inlineStr">
        <is>
          <t>2021</t>
        </is>
      </c>
      <c r="G6431" s="40" t="n">
        <v>0</v>
      </c>
    </row>
    <row r="6432" ht="12" customHeight="1">
      <c r="A6432" s="30" t="inlineStr">
        <is>
          <t>ITG</t>
        </is>
      </c>
      <c r="B6432" s="30" t="inlineStr">
        <is>
          <t>Itaguai</t>
        </is>
      </c>
      <c r="C6432" s="30" t="n">
        <v>79670847</v>
      </c>
      <c r="D6432" s="30">
        <f>"27975648000130"</f>
        <v/>
      </c>
      <c r="E6432" s="30" t="inlineStr">
        <is>
          <t>FM LOCACAO, COMERCIO E ENTRETENIMENTO EIRELI ME</t>
        </is>
      </c>
      <c r="F6432" s="30" t="inlineStr">
        <is>
          <t>2022</t>
        </is>
      </c>
      <c r="G6432" s="40" t="n">
        <v>0</v>
      </c>
    </row>
    <row r="6433" ht="12" customHeight="1">
      <c r="A6433" s="30" t="inlineStr">
        <is>
          <t>ITG</t>
        </is>
      </c>
      <c r="B6433" s="30" t="inlineStr">
        <is>
          <t>Itaguai</t>
        </is>
      </c>
      <c r="C6433" s="30" t="n">
        <v>79670847</v>
      </c>
      <c r="D6433" s="30">
        <f>"27975648000130"</f>
        <v/>
      </c>
      <c r="E6433" s="30" t="inlineStr">
        <is>
          <t>FM LOCACAO, COMERCIO E ENTRETENIMENTO EIRELI ME</t>
        </is>
      </c>
      <c r="F6433" s="30" t="inlineStr">
        <is>
          <t>2023</t>
        </is>
      </c>
      <c r="G6433" s="40" t="n">
        <v>0</v>
      </c>
    </row>
    <row r="6434" ht="12" customHeight="1">
      <c r="A6434" s="30" t="inlineStr">
        <is>
          <t>ITG</t>
        </is>
      </c>
      <c r="B6434" s="30" t="inlineStr">
        <is>
          <t>Itaguai</t>
        </is>
      </c>
      <c r="C6434" s="30" t="n">
        <v>79671029</v>
      </c>
      <c r="D6434" s="30">
        <f>"13574594005074"</f>
        <v/>
      </c>
      <c r="E6434" s="30" t="inlineStr">
        <is>
          <t>BK BRASIL OPERACAO E ASSESSORIA A RESTAURANTES S.A.</t>
        </is>
      </c>
      <c r="F6434" s="30" t="inlineStr">
        <is>
          <t>2017</t>
        </is>
      </c>
      <c r="G6434" s="40" t="n">
        <v>1518810.25</v>
      </c>
    </row>
    <row r="6435" ht="12" customHeight="1">
      <c r="A6435" s="30" t="inlineStr">
        <is>
          <t>ITG</t>
        </is>
      </c>
      <c r="B6435" s="30" t="inlineStr">
        <is>
          <t>Itaguai</t>
        </is>
      </c>
      <c r="C6435" s="30" t="n">
        <v>79671029</v>
      </c>
      <c r="D6435" s="30">
        <f>"13574594005074"</f>
        <v/>
      </c>
      <c r="E6435" s="30" t="inlineStr">
        <is>
          <t>BK BRASIL OPERACAO E ASSESSORIA A RESTAURANTES S.A.</t>
        </is>
      </c>
      <c r="F6435" s="30" t="inlineStr">
        <is>
          <t>2018</t>
        </is>
      </c>
      <c r="G6435" s="40" t="n">
        <v>1825122.13</v>
      </c>
    </row>
    <row r="6436" ht="12" customHeight="1">
      <c r="A6436" s="30" t="inlineStr">
        <is>
          <t>ITG</t>
        </is>
      </c>
      <c r="B6436" s="30" t="inlineStr">
        <is>
          <t>Itaguai</t>
        </is>
      </c>
      <c r="C6436" s="30" t="n">
        <v>79671029</v>
      </c>
      <c r="D6436" s="30">
        <f>"13574594005074"</f>
        <v/>
      </c>
      <c r="E6436" s="30" t="inlineStr">
        <is>
          <t>BK BRASIL OPERACAO E ASSESSORIA A RESTAURANTES S.A.</t>
        </is>
      </c>
      <c r="F6436" s="30" t="inlineStr">
        <is>
          <t>2019</t>
        </is>
      </c>
      <c r="G6436" s="40" t="n">
        <v>1920286.88</v>
      </c>
    </row>
    <row r="6437" ht="12" customHeight="1">
      <c r="A6437" s="30" t="inlineStr">
        <is>
          <t>ITG</t>
        </is>
      </c>
      <c r="B6437" s="30" t="inlineStr">
        <is>
          <t>Itaguai</t>
        </is>
      </c>
      <c r="C6437" s="30" t="n">
        <v>79671029</v>
      </c>
      <c r="D6437" s="30">
        <f>"13574594005074"</f>
        <v/>
      </c>
      <c r="E6437" s="30" t="inlineStr">
        <is>
          <t>BK BRASIL OPERACAO E ASSESSORIA A RESTAURANTES S.A.</t>
        </is>
      </c>
      <c r="F6437" s="30" t="inlineStr">
        <is>
          <t>2020</t>
        </is>
      </c>
      <c r="G6437" s="40" t="n">
        <v>1206701.16</v>
      </c>
    </row>
    <row r="6438" ht="12" customHeight="1">
      <c r="A6438" s="30" t="inlineStr">
        <is>
          <t>ITG</t>
        </is>
      </c>
      <c r="B6438" s="30" t="inlineStr">
        <is>
          <t>Itaguai</t>
        </is>
      </c>
      <c r="C6438" s="30" t="n">
        <v>79671029</v>
      </c>
      <c r="D6438" s="30">
        <f>"13574594005074"</f>
        <v/>
      </c>
      <c r="E6438" s="30" t="inlineStr">
        <is>
          <t>BK BRASIL OPERACAO E ASSESSORIA A RESTAURANTES S.A.</t>
        </is>
      </c>
      <c r="F6438" s="30" t="inlineStr">
        <is>
          <t>2021</t>
        </is>
      </c>
      <c r="G6438" s="40" t="n">
        <v>1453680.85</v>
      </c>
    </row>
    <row r="6439" ht="12" customHeight="1">
      <c r="A6439" s="30" t="inlineStr">
        <is>
          <t>ITG</t>
        </is>
      </c>
      <c r="B6439" s="30" t="inlineStr">
        <is>
          <t>Itaguai</t>
        </is>
      </c>
      <c r="C6439" s="30" t="n">
        <v>79671029</v>
      </c>
      <c r="D6439" s="30">
        <f>"13574594005074"</f>
        <v/>
      </c>
      <c r="E6439" s="30" t="inlineStr">
        <is>
          <t>BK BRASIL OPERACAO E ASSESSORIA A RESTAURANTES S.A.</t>
        </is>
      </c>
      <c r="F6439" s="30" t="inlineStr">
        <is>
          <t>2022</t>
        </is>
      </c>
      <c r="G6439" s="40" t="n">
        <v>2013338.06</v>
      </c>
    </row>
    <row r="6440" ht="12" customHeight="1">
      <c r="A6440" s="30" t="inlineStr">
        <is>
          <t>ITG</t>
        </is>
      </c>
      <c r="B6440" s="30" t="inlineStr">
        <is>
          <t>Itaguai</t>
        </is>
      </c>
      <c r="C6440" s="30" t="n">
        <v>79671029</v>
      </c>
      <c r="D6440" s="30">
        <f>"13574594005074"</f>
        <v/>
      </c>
      <c r="E6440" s="30" t="inlineStr">
        <is>
          <t>BK BRASIL OPERACAO E ASSESSORIA A RESTAURANTES S.A.</t>
        </is>
      </c>
      <c r="F6440" s="30" t="inlineStr">
        <is>
          <t>2023</t>
        </is>
      </c>
      <c r="G6440" s="40" t="n">
        <v>2375744.19</v>
      </c>
    </row>
    <row r="6441" ht="12" customHeight="1">
      <c r="A6441" s="30" t="inlineStr">
        <is>
          <t>ITG</t>
        </is>
      </c>
      <c r="B6441" s="30" t="inlineStr">
        <is>
          <t>Itaguai</t>
        </is>
      </c>
      <c r="C6441" s="30" t="n">
        <v>79671100</v>
      </c>
      <c r="D6441" s="30">
        <f>"13574594005740"</f>
        <v/>
      </c>
      <c r="E6441" s="30" t="inlineStr">
        <is>
          <t>BK BRASIL OPERACAO E ASSESSORIA A RESTAURANTES S.A.</t>
        </is>
      </c>
      <c r="F6441" s="30" t="inlineStr">
        <is>
          <t>2017</t>
        </is>
      </c>
      <c r="G6441" s="40" t="n">
        <v>851587.7</v>
      </c>
    </row>
    <row r="6442" ht="12" customHeight="1">
      <c r="A6442" s="30" t="inlineStr">
        <is>
          <t>ITG</t>
        </is>
      </c>
      <c r="B6442" s="30" t="inlineStr">
        <is>
          <t>Itaguai</t>
        </is>
      </c>
      <c r="C6442" s="30" t="n">
        <v>79671100</v>
      </c>
      <c r="D6442" s="30">
        <f>"13574594005740"</f>
        <v/>
      </c>
      <c r="E6442" s="30" t="inlineStr">
        <is>
          <t>BK BRASIL OPERACAO E ASSESSORIA A RESTAURANTES S.A.</t>
        </is>
      </c>
      <c r="F6442" s="30" t="inlineStr">
        <is>
          <t>2018</t>
        </is>
      </c>
      <c r="G6442" s="40" t="n">
        <v>245839.37</v>
      </c>
    </row>
    <row r="6443" ht="12" customHeight="1">
      <c r="A6443" s="30" t="inlineStr">
        <is>
          <t>ITG</t>
        </is>
      </c>
      <c r="B6443" s="30" t="inlineStr">
        <is>
          <t>Itaguai</t>
        </is>
      </c>
      <c r="C6443" s="30" t="n">
        <v>79671100</v>
      </c>
      <c r="D6443" s="30">
        <f>"13574594005740"</f>
        <v/>
      </c>
      <c r="E6443" s="30" t="inlineStr">
        <is>
          <t>BK BRASIL OPERACAO E ASSESSORIA A RESTAURANTES S.A.</t>
        </is>
      </c>
      <c r="F6443" s="30" t="inlineStr">
        <is>
          <t>2019</t>
        </is>
      </c>
      <c r="G6443" s="40" t="n">
        <v>363802.07</v>
      </c>
    </row>
    <row r="6444" ht="12" customHeight="1">
      <c r="A6444" s="30" t="inlineStr">
        <is>
          <t>ITG</t>
        </is>
      </c>
      <c r="B6444" s="30" t="inlineStr">
        <is>
          <t>Itaguai</t>
        </is>
      </c>
      <c r="C6444" s="30" t="n">
        <v>79671100</v>
      </c>
      <c r="D6444" s="30">
        <f>"13574594005740"</f>
        <v/>
      </c>
      <c r="E6444" s="30" t="inlineStr">
        <is>
          <t>BK BRASIL OPERACAO E ASSESSORIA A RESTAURANTES S.A.</t>
        </is>
      </c>
      <c r="F6444" s="30" t="inlineStr">
        <is>
          <t>2020</t>
        </is>
      </c>
      <c r="G6444" s="40" t="n">
        <v>243385.06</v>
      </c>
    </row>
    <row r="6445" ht="12" customHeight="1">
      <c r="A6445" s="30" t="inlineStr">
        <is>
          <t>ITG</t>
        </is>
      </c>
      <c r="B6445" s="30" t="inlineStr">
        <is>
          <t>Itaguai</t>
        </is>
      </c>
      <c r="C6445" s="30" t="n">
        <v>79671100</v>
      </c>
      <c r="D6445" s="30">
        <f>"13574594005740"</f>
        <v/>
      </c>
      <c r="E6445" s="30" t="inlineStr">
        <is>
          <t>BK BRASIL OPERACAO E ASSESSORIA A RESTAURANTES S.A.</t>
        </is>
      </c>
      <c r="F6445" s="30" t="inlineStr">
        <is>
          <t>2021</t>
        </is>
      </c>
      <c r="G6445" s="40" t="n">
        <v>254328.56</v>
      </c>
    </row>
    <row r="6446" ht="12" customHeight="1">
      <c r="A6446" s="30" t="inlineStr">
        <is>
          <t>ITG</t>
        </is>
      </c>
      <c r="B6446" s="30" t="inlineStr">
        <is>
          <t>Itaguai</t>
        </is>
      </c>
      <c r="C6446" s="30" t="n">
        <v>79671100</v>
      </c>
      <c r="D6446" s="30">
        <f>"13574594005740"</f>
        <v/>
      </c>
      <c r="E6446" s="30" t="inlineStr">
        <is>
          <t>BK BRASIL OPERACAO E ASSESSORIA A RESTAURANTES S.A.</t>
        </is>
      </c>
      <c r="F6446" s="30" t="inlineStr">
        <is>
          <t>2022</t>
        </is>
      </c>
      <c r="G6446" s="40" t="n">
        <v>445156.57</v>
      </c>
    </row>
    <row r="6447" ht="12" customHeight="1">
      <c r="A6447" s="30" t="inlineStr">
        <is>
          <t>ITG</t>
        </is>
      </c>
      <c r="B6447" s="30" t="inlineStr">
        <is>
          <t>Itaguai</t>
        </is>
      </c>
      <c r="C6447" s="30" t="n">
        <v>79671100</v>
      </c>
      <c r="D6447" s="30">
        <f>"13574594005740"</f>
        <v/>
      </c>
      <c r="E6447" s="30" t="inlineStr">
        <is>
          <t>BK BRASIL OPERACAO E ASSESSORIA A RESTAURANTES S.A.</t>
        </is>
      </c>
      <c r="F6447" s="30" t="inlineStr">
        <is>
          <t>2023</t>
        </is>
      </c>
      <c r="G6447" s="40" t="n">
        <v>515926.5</v>
      </c>
    </row>
    <row r="6448" ht="12" customHeight="1">
      <c r="A6448" s="30" t="inlineStr">
        <is>
          <t>ITG</t>
        </is>
      </c>
      <c r="B6448" s="30" t="inlineStr">
        <is>
          <t>Itaguai</t>
        </is>
      </c>
      <c r="C6448" s="30" t="n">
        <v>79681059</v>
      </c>
      <c r="D6448" s="30">
        <f>"97523000000299"</f>
        <v/>
      </c>
      <c r="E6448" s="30" t="inlineStr">
        <is>
          <t>TOP FLA ARTIGOS DO VESTUARIO E ACESSORIOS ESPORTIVOS EIRELI EPP</t>
        </is>
      </c>
      <c r="F6448" s="30" t="inlineStr">
        <is>
          <t>2017</t>
        </is>
      </c>
      <c r="G6448" s="40" t="n">
        <v>0</v>
      </c>
    </row>
    <row r="6449" ht="12" customHeight="1">
      <c r="A6449" s="30" t="inlineStr">
        <is>
          <t>ITG</t>
        </is>
      </c>
      <c r="B6449" s="30" t="inlineStr">
        <is>
          <t>Itaguai</t>
        </is>
      </c>
      <c r="C6449" s="30" t="n">
        <v>79681059</v>
      </c>
      <c r="D6449" s="30">
        <f>"97523000000299"</f>
        <v/>
      </c>
      <c r="E6449" s="30" t="inlineStr">
        <is>
          <t>TOP FLA ARTIGOS DO VESTUARIO E ACESSORIOS ESPORTIVOS EIRELI EPP</t>
        </is>
      </c>
      <c r="F6449" s="30" t="inlineStr">
        <is>
          <t>2018</t>
        </is>
      </c>
      <c r="G6449" s="40" t="n">
        <v>0</v>
      </c>
    </row>
    <row r="6450" ht="12" customHeight="1">
      <c r="A6450" s="30" t="inlineStr">
        <is>
          <t>ITG</t>
        </is>
      </c>
      <c r="B6450" s="30" t="inlineStr">
        <is>
          <t>Itaguai</t>
        </is>
      </c>
      <c r="C6450" s="30" t="n">
        <v>79681059</v>
      </c>
      <c r="D6450" s="30">
        <f>"97523000000299"</f>
        <v/>
      </c>
      <c r="E6450" s="30" t="inlineStr">
        <is>
          <t>TOP FLA ARTIGOS DO VESTUARIO E ACESSORIOS ESPORTIVOS EIRELI EPP</t>
        </is>
      </c>
      <c r="F6450" s="30" t="inlineStr">
        <is>
          <t>2019</t>
        </is>
      </c>
      <c r="G6450" s="40" t="n">
        <v>0</v>
      </c>
    </row>
    <row r="6451" ht="12" customHeight="1">
      <c r="A6451" s="30" t="inlineStr">
        <is>
          <t>ITG</t>
        </is>
      </c>
      <c r="B6451" s="30" t="inlineStr">
        <is>
          <t>Itaguai</t>
        </is>
      </c>
      <c r="C6451" s="30" t="n">
        <v>79691011</v>
      </c>
      <c r="D6451" s="30">
        <f>"15916439000136"</f>
        <v/>
      </c>
      <c r="E6451" s="30" t="inlineStr">
        <is>
          <t>O S ARAGÃO CALÇADOS LTDA</t>
        </is>
      </c>
      <c r="F6451" s="30" t="inlineStr">
        <is>
          <t>2018</t>
        </is>
      </c>
      <c r="G6451" s="40" t="n">
        <v>0</v>
      </c>
    </row>
    <row r="6452" ht="12" customHeight="1">
      <c r="A6452" s="30" t="inlineStr">
        <is>
          <t>ITG</t>
        </is>
      </c>
      <c r="B6452" s="30" t="inlineStr">
        <is>
          <t>Itaguai</t>
        </is>
      </c>
      <c r="C6452" s="30" t="n">
        <v>79691011</v>
      </c>
      <c r="D6452" s="30">
        <f>"15916439000136"</f>
        <v/>
      </c>
      <c r="E6452" s="30" t="inlineStr">
        <is>
          <t>O S ARAGÃO CALÇADOS LTDA</t>
        </is>
      </c>
      <c r="F6452" s="30" t="inlineStr">
        <is>
          <t>2019</t>
        </is>
      </c>
      <c r="G6452" s="40" t="n">
        <v>0</v>
      </c>
    </row>
    <row r="6453" ht="12" customHeight="1">
      <c r="A6453" s="30" t="inlineStr">
        <is>
          <t>ITG</t>
        </is>
      </c>
      <c r="B6453" s="30" t="inlineStr">
        <is>
          <t>Itaguai</t>
        </is>
      </c>
      <c r="C6453" s="30" t="n">
        <v>79691011</v>
      </c>
      <c r="D6453" s="30">
        <f>"15916439000136"</f>
        <v/>
      </c>
      <c r="E6453" s="30" t="inlineStr">
        <is>
          <t>O S ARAGÃO CALÇADOS LTDA</t>
        </is>
      </c>
      <c r="F6453" s="30" t="inlineStr">
        <is>
          <t>2020</t>
        </is>
      </c>
      <c r="G6453" s="40" t="n">
        <v>0</v>
      </c>
    </row>
    <row r="6454" ht="12" customHeight="1">
      <c r="A6454" s="30" t="inlineStr">
        <is>
          <t>ITG</t>
        </is>
      </c>
      <c r="B6454" s="30" t="inlineStr">
        <is>
          <t>Itaguai</t>
        </is>
      </c>
      <c r="C6454" s="30" t="n">
        <v>79691011</v>
      </c>
      <c r="D6454" s="30">
        <f>"15916439000136"</f>
        <v/>
      </c>
      <c r="E6454" s="30" t="inlineStr">
        <is>
          <t>O S ARAGÃO CALÇADOS LTDA</t>
        </is>
      </c>
      <c r="F6454" s="30" t="inlineStr">
        <is>
          <t>2021</t>
        </is>
      </c>
      <c r="G6454" s="40" t="n">
        <v>0</v>
      </c>
    </row>
    <row r="6455" ht="12" customHeight="1">
      <c r="A6455" s="30" t="inlineStr">
        <is>
          <t>ITG</t>
        </is>
      </c>
      <c r="B6455" s="30" t="inlineStr">
        <is>
          <t>Itaguai</t>
        </is>
      </c>
      <c r="C6455" s="30" t="n">
        <v>79691011</v>
      </c>
      <c r="D6455" s="30">
        <f>"15916439000136"</f>
        <v/>
      </c>
      <c r="E6455" s="30" t="inlineStr">
        <is>
          <t>O S ARAGÃO CALÇADOS LTDA</t>
        </is>
      </c>
      <c r="F6455" s="30" t="inlineStr">
        <is>
          <t>2022</t>
        </is>
      </c>
      <c r="G6455" s="40" t="n">
        <v>0</v>
      </c>
    </row>
    <row r="6456" ht="12" customHeight="1">
      <c r="A6456" s="30" t="inlineStr">
        <is>
          <t>ITG</t>
        </is>
      </c>
      <c r="B6456" s="30" t="inlineStr">
        <is>
          <t>Itaguai</t>
        </is>
      </c>
      <c r="C6456" s="30" t="n">
        <v>79691631</v>
      </c>
      <c r="D6456" s="30">
        <f>"15701591000100"</f>
        <v/>
      </c>
      <c r="E6456" s="30" t="inlineStr">
        <is>
          <t>ZANATA DISTRIBUIDORA EIRELI EPP</t>
        </is>
      </c>
      <c r="F6456" s="30" t="inlineStr">
        <is>
          <t>2021</t>
        </is>
      </c>
      <c r="G6456" s="40" t="n">
        <v>0</v>
      </c>
    </row>
    <row r="6457" ht="12" customHeight="1">
      <c r="A6457" s="30" t="inlineStr">
        <is>
          <t>ITG</t>
        </is>
      </c>
      <c r="B6457" s="30" t="inlineStr">
        <is>
          <t>Itaguai</t>
        </is>
      </c>
      <c r="C6457" s="30" t="n">
        <v>79691631</v>
      </c>
      <c r="D6457" s="30">
        <f>"15701591000100"</f>
        <v/>
      </c>
      <c r="E6457" s="30" t="inlineStr">
        <is>
          <t>ZANATA DISTRIBUIDORA EIRELI EPP</t>
        </is>
      </c>
      <c r="F6457" s="30" t="inlineStr">
        <is>
          <t>2022</t>
        </is>
      </c>
      <c r="G6457" s="40" t="n">
        <v>0</v>
      </c>
    </row>
    <row r="6458" ht="12" customHeight="1">
      <c r="A6458" s="30" t="inlineStr">
        <is>
          <t>ITG</t>
        </is>
      </c>
      <c r="B6458" s="30" t="inlineStr">
        <is>
          <t>Itaguai</t>
        </is>
      </c>
      <c r="C6458" s="30" t="n">
        <v>79691631</v>
      </c>
      <c r="D6458" s="30">
        <f>"15701591000100"</f>
        <v/>
      </c>
      <c r="E6458" s="30" t="inlineStr">
        <is>
          <t>ZANATA DISTRIBUIDORA EIRELI EPP</t>
        </is>
      </c>
      <c r="F6458" s="30" t="inlineStr">
        <is>
          <t>2023</t>
        </is>
      </c>
      <c r="G6458" s="40" t="n">
        <v>0</v>
      </c>
    </row>
    <row r="6459" ht="12" customHeight="1">
      <c r="A6459" s="30" t="inlineStr">
        <is>
          <t>ITG</t>
        </is>
      </c>
      <c r="B6459" s="30" t="inlineStr">
        <is>
          <t>Itaguai</t>
        </is>
      </c>
      <c r="C6459" s="30" t="n">
        <v>79693197</v>
      </c>
      <c r="D6459" s="30">
        <f>"00436042016505"</f>
        <v/>
      </c>
      <c r="E6459" s="30" t="inlineStr">
        <is>
          <t>POLIMPORT - COMERCIO E EXPORTACAO LTDA</t>
        </is>
      </c>
      <c r="F6459" s="30" t="inlineStr">
        <is>
          <t>2017</t>
        </is>
      </c>
      <c r="G6459" s="40" t="n">
        <v>487851.71</v>
      </c>
    </row>
    <row r="6460" ht="12" customHeight="1">
      <c r="A6460" s="30" t="inlineStr">
        <is>
          <t>ITG</t>
        </is>
      </c>
      <c r="B6460" s="30" t="inlineStr">
        <is>
          <t>Itaguai</t>
        </is>
      </c>
      <c r="C6460" s="30" t="n">
        <v>79693197</v>
      </c>
      <c r="D6460" s="30">
        <f>"00436042016505"</f>
        <v/>
      </c>
      <c r="E6460" s="30" t="inlineStr">
        <is>
          <t>POLIMPORT - COMERCIO E EXPORTACAO LTDA</t>
        </is>
      </c>
      <c r="F6460" s="30" t="inlineStr">
        <is>
          <t>2018</t>
        </is>
      </c>
      <c r="G6460" s="40" t="n">
        <v>562196.79</v>
      </c>
    </row>
    <row r="6461" ht="12" customHeight="1">
      <c r="A6461" s="30" t="inlineStr">
        <is>
          <t>ITG</t>
        </is>
      </c>
      <c r="B6461" s="30" t="inlineStr">
        <is>
          <t>Itaguai</t>
        </is>
      </c>
      <c r="C6461" s="30" t="n">
        <v>79693197</v>
      </c>
      <c r="D6461" s="30">
        <f>"00436042016505"</f>
        <v/>
      </c>
      <c r="E6461" s="30" t="inlineStr">
        <is>
          <t>POLIMPORT - COMERCIO E EXPORTACAO LTDA</t>
        </is>
      </c>
      <c r="F6461" s="30" t="inlineStr">
        <is>
          <t>2019</t>
        </is>
      </c>
      <c r="G6461" s="40" t="n">
        <v>106722.88</v>
      </c>
    </row>
    <row r="6462" ht="12" customHeight="1">
      <c r="A6462" s="30" t="inlineStr">
        <is>
          <t>ITG</t>
        </is>
      </c>
      <c r="B6462" s="30" t="inlineStr">
        <is>
          <t>Itaguai</t>
        </is>
      </c>
      <c r="C6462" s="30" t="n">
        <v>79693197</v>
      </c>
      <c r="D6462" s="30">
        <f>"00436042016505"</f>
        <v/>
      </c>
      <c r="E6462" s="30" t="inlineStr">
        <is>
          <t>POLIMPORT - COMERCIO E EXPORTACAO LTDA</t>
        </is>
      </c>
      <c r="F6462" s="30" t="inlineStr">
        <is>
          <t>2020</t>
        </is>
      </c>
      <c r="G6462" s="40" t="n">
        <v>0</v>
      </c>
    </row>
    <row r="6463" ht="12" customHeight="1">
      <c r="A6463" s="30" t="inlineStr">
        <is>
          <t>ITG</t>
        </is>
      </c>
      <c r="B6463" s="30" t="inlineStr">
        <is>
          <t>Itaguai</t>
        </is>
      </c>
      <c r="C6463" s="30" t="n">
        <v>79693197</v>
      </c>
      <c r="D6463" s="30">
        <f>"00436042016505"</f>
        <v/>
      </c>
      <c r="E6463" s="30" t="inlineStr">
        <is>
          <t>POLIMPORT - COMERCIO E EXPORTACAO LTDA</t>
        </is>
      </c>
      <c r="F6463" s="30" t="inlineStr">
        <is>
          <t>2021</t>
        </is>
      </c>
      <c r="G6463" s="40" t="n">
        <v>0</v>
      </c>
    </row>
    <row r="6464" ht="12" customHeight="1">
      <c r="A6464" s="30" t="inlineStr">
        <is>
          <t>ITG</t>
        </is>
      </c>
      <c r="B6464" s="30" t="inlineStr">
        <is>
          <t>Itaguai</t>
        </is>
      </c>
      <c r="C6464" s="30" t="n">
        <v>79693197</v>
      </c>
      <c r="D6464" s="30">
        <f>"00436042016505"</f>
        <v/>
      </c>
      <c r="E6464" s="30" t="inlineStr">
        <is>
          <t>POLIMPORT - COMERCIO E EXPORTACAO LTDA</t>
        </is>
      </c>
      <c r="F6464" s="30" t="inlineStr">
        <is>
          <t>2022</t>
        </is>
      </c>
      <c r="G6464" s="40" t="n">
        <v>0</v>
      </c>
    </row>
    <row r="6465" ht="12" customHeight="1">
      <c r="A6465" s="30" t="inlineStr">
        <is>
          <t>ITG</t>
        </is>
      </c>
      <c r="B6465" s="30" t="inlineStr">
        <is>
          <t>Itaguai</t>
        </is>
      </c>
      <c r="C6465" s="30" t="n">
        <v>79693197</v>
      </c>
      <c r="D6465" s="30">
        <f>"00436042016505"</f>
        <v/>
      </c>
      <c r="E6465" s="30" t="inlineStr">
        <is>
          <t>POLIMPORT - COMERCIO E EXPORTACAO LTDA</t>
        </is>
      </c>
      <c r="F6465" s="30" t="inlineStr">
        <is>
          <t>2023</t>
        </is>
      </c>
      <c r="G6465" s="40" t="n">
        <v>0</v>
      </c>
    </row>
    <row r="6466" ht="12" customHeight="1">
      <c r="A6466" s="30" t="inlineStr">
        <is>
          <t>ITG</t>
        </is>
      </c>
      <c r="B6466" s="30" t="inlineStr">
        <is>
          <t>Itaguai</t>
        </is>
      </c>
      <c r="C6466" s="30" t="n">
        <v>79698253</v>
      </c>
      <c r="D6466" s="30">
        <f>"15803249000102"</f>
        <v/>
      </c>
      <c r="E6466" s="30" t="inlineStr">
        <is>
          <t>LEONCIO E CELIA COMERCIO E SERVICOS LTDA ME</t>
        </is>
      </c>
      <c r="F6466" s="30" t="inlineStr">
        <is>
          <t>2017</t>
        </is>
      </c>
      <c r="G6466" s="40" t="n">
        <v>0</v>
      </c>
    </row>
    <row r="6467" ht="12" customHeight="1">
      <c r="A6467" s="30" t="inlineStr">
        <is>
          <t>ITG</t>
        </is>
      </c>
      <c r="B6467" s="30" t="inlineStr">
        <is>
          <t>Itaguai</t>
        </is>
      </c>
      <c r="C6467" s="30" t="n">
        <v>79698253</v>
      </c>
      <c r="D6467" s="30">
        <f>"15803249000102"</f>
        <v/>
      </c>
      <c r="E6467" s="30" t="inlineStr">
        <is>
          <t>LEONCIO E CELIA COMERCIO E SERVICOS LTDA ME</t>
        </is>
      </c>
      <c r="F6467" s="30" t="inlineStr">
        <is>
          <t>2018</t>
        </is>
      </c>
      <c r="G6467" s="40" t="n">
        <v>0</v>
      </c>
    </row>
    <row r="6468" ht="12" customHeight="1">
      <c r="A6468" s="30" t="inlineStr">
        <is>
          <t>ITG</t>
        </is>
      </c>
      <c r="B6468" s="30" t="inlineStr">
        <is>
          <t>Itaguai</t>
        </is>
      </c>
      <c r="C6468" s="30" t="n">
        <v>79698253</v>
      </c>
      <c r="D6468" s="30">
        <f>"15803249000102"</f>
        <v/>
      </c>
      <c r="E6468" s="30" t="inlineStr">
        <is>
          <t>LEONCIO E CELIA COMERCIO E SERVICOS LTDA ME</t>
        </is>
      </c>
      <c r="F6468" s="30" t="inlineStr">
        <is>
          <t>2019</t>
        </is>
      </c>
      <c r="G6468" s="40" t="n">
        <v>0</v>
      </c>
    </row>
    <row r="6469" ht="12" customHeight="1">
      <c r="A6469" s="30" t="inlineStr">
        <is>
          <t>ITG</t>
        </is>
      </c>
      <c r="B6469" s="30" t="inlineStr">
        <is>
          <t>Itaguai</t>
        </is>
      </c>
      <c r="C6469" s="30" t="n">
        <v>79698253</v>
      </c>
      <c r="D6469" s="30">
        <f>"15803249000102"</f>
        <v/>
      </c>
      <c r="E6469" s="30" t="inlineStr">
        <is>
          <t>LEONCIO E CELIA COMERCIO E SERVICOS LTDA ME</t>
        </is>
      </c>
      <c r="F6469" s="30" t="inlineStr">
        <is>
          <t>2020</t>
        </is>
      </c>
      <c r="G6469" s="40" t="n">
        <v>0</v>
      </c>
    </row>
    <row r="6470" ht="12" customHeight="1">
      <c r="A6470" s="30" t="inlineStr">
        <is>
          <t>ITG</t>
        </is>
      </c>
      <c r="B6470" s="30" t="inlineStr">
        <is>
          <t>Itaguai</t>
        </is>
      </c>
      <c r="C6470" s="30" t="n">
        <v>79698253</v>
      </c>
      <c r="D6470" s="30">
        <f>"15803249000102"</f>
        <v/>
      </c>
      <c r="E6470" s="30" t="inlineStr">
        <is>
          <t>LEONCIO E CELIA COMERCIO E SERVICOS LTDA ME</t>
        </is>
      </c>
      <c r="F6470" s="30" t="inlineStr">
        <is>
          <t>2021</t>
        </is>
      </c>
      <c r="G6470" s="40" t="n">
        <v>0</v>
      </c>
    </row>
    <row r="6471" ht="12" customHeight="1">
      <c r="A6471" s="30" t="inlineStr">
        <is>
          <t>ITG</t>
        </is>
      </c>
      <c r="B6471" s="30" t="inlineStr">
        <is>
          <t>Itaguai</t>
        </is>
      </c>
      <c r="C6471" s="30" t="n">
        <v>79698253</v>
      </c>
      <c r="D6471" s="30">
        <f>"15803249000102"</f>
        <v/>
      </c>
      <c r="E6471" s="30" t="inlineStr">
        <is>
          <t>LEONCIO E CELIA COMERCIO E SERVICOS LTDA ME</t>
        </is>
      </c>
      <c r="F6471" s="30" t="inlineStr">
        <is>
          <t>2022</t>
        </is>
      </c>
      <c r="G6471" s="40" t="n">
        <v>0</v>
      </c>
    </row>
    <row r="6472" ht="12" customHeight="1">
      <c r="A6472" s="30" t="inlineStr">
        <is>
          <t>ITG</t>
        </is>
      </c>
      <c r="B6472" s="30" t="inlineStr">
        <is>
          <t>Itaguai</t>
        </is>
      </c>
      <c r="C6472" s="30" t="n">
        <v>79699039</v>
      </c>
      <c r="D6472" s="30">
        <f>"15805459000130"</f>
        <v/>
      </c>
      <c r="E6472" s="30" t="inlineStr">
        <is>
          <t>RIO SOFT ICE DO BRASIL TRANSPORTES E COMERCIO DE ALIMENTOS CONGELADOS LTDA</t>
        </is>
      </c>
      <c r="F6472" s="30" t="inlineStr">
        <is>
          <t>2017</t>
        </is>
      </c>
      <c r="G6472" s="40" t="n">
        <v>12975</v>
      </c>
    </row>
    <row r="6473" ht="12" customHeight="1">
      <c r="A6473" s="30" t="inlineStr">
        <is>
          <t>ITG</t>
        </is>
      </c>
      <c r="B6473" s="30" t="inlineStr">
        <is>
          <t>Itaguai</t>
        </is>
      </c>
      <c r="C6473" s="30" t="n">
        <v>79699039</v>
      </c>
      <c r="D6473" s="30">
        <f>"15805459000130"</f>
        <v/>
      </c>
      <c r="E6473" s="30" t="inlineStr">
        <is>
          <t>RIO SOFT ICE DO BRASIL TRANSPORTES E COMERCIO DE ALIMENTOS CONGELADOS LTDA</t>
        </is>
      </c>
      <c r="F6473" s="30" t="inlineStr">
        <is>
          <t>2018</t>
        </is>
      </c>
      <c r="G6473" s="40" t="n">
        <v>0</v>
      </c>
    </row>
    <row r="6474" ht="12" customHeight="1">
      <c r="A6474" s="30" t="inlineStr">
        <is>
          <t>ITG</t>
        </is>
      </c>
      <c r="B6474" s="30" t="inlineStr">
        <is>
          <t>Itaguai</t>
        </is>
      </c>
      <c r="C6474" s="30" t="n">
        <v>79699039</v>
      </c>
      <c r="D6474" s="30">
        <f>"15805459000130"</f>
        <v/>
      </c>
      <c r="E6474" s="30" t="inlineStr">
        <is>
          <t>RIO SOFT ICE DO BRASIL TRANSPORTES E COMERCIO DE ALIMENTOS CONGELADOS LTDA</t>
        </is>
      </c>
      <c r="F6474" s="30" t="inlineStr">
        <is>
          <t>2019</t>
        </is>
      </c>
      <c r="G6474" s="40" t="n">
        <v>0</v>
      </c>
    </row>
    <row r="6475" ht="12" customHeight="1">
      <c r="A6475" s="30" t="inlineStr">
        <is>
          <t>ITG</t>
        </is>
      </c>
      <c r="B6475" s="30" t="inlineStr">
        <is>
          <t>Itaguai</t>
        </is>
      </c>
      <c r="C6475" s="30" t="n">
        <v>79701777</v>
      </c>
      <c r="D6475" s="30">
        <f>"16506823000123"</f>
        <v/>
      </c>
      <c r="E6475" s="30" t="inlineStr">
        <is>
          <t>EXPRESSO COMERCIO ATACADISTA DE ROUPAS PROFISSIONAIS E SERVIÇOS DE ENTREGA RÁPIDA EIRELI</t>
        </is>
      </c>
      <c r="F6475" s="30" t="inlineStr">
        <is>
          <t>2017</t>
        </is>
      </c>
      <c r="G6475" s="40" t="n">
        <v>22976.2</v>
      </c>
    </row>
    <row r="6476" ht="12" customHeight="1">
      <c r="A6476" s="30" t="inlineStr">
        <is>
          <t>ITG</t>
        </is>
      </c>
      <c r="B6476" s="30" t="inlineStr">
        <is>
          <t>Itaguai</t>
        </is>
      </c>
      <c r="C6476" s="30" t="n">
        <v>79701777</v>
      </c>
      <c r="D6476" s="30">
        <f>"16506823000123"</f>
        <v/>
      </c>
      <c r="E6476" s="30" t="inlineStr">
        <is>
          <t>EXPRESSO COMERCIO ATACADISTA DE ROUPAS PROFISSIONAIS E SERVIÇOS DE ENTREGA RÁPIDA EIRELI</t>
        </is>
      </c>
      <c r="F6476" s="30" t="inlineStr">
        <is>
          <t>2018</t>
        </is>
      </c>
      <c r="G6476" s="40" t="n">
        <v>0</v>
      </c>
    </row>
    <row r="6477" ht="12" customHeight="1">
      <c r="A6477" s="30" t="inlineStr">
        <is>
          <t>ITG</t>
        </is>
      </c>
      <c r="B6477" s="30" t="inlineStr">
        <is>
          <t>Itaguai</t>
        </is>
      </c>
      <c r="C6477" s="30" t="n">
        <v>79701777</v>
      </c>
      <c r="D6477" s="30">
        <f>"16506823000123"</f>
        <v/>
      </c>
      <c r="E6477" s="30" t="inlineStr">
        <is>
          <t>EXPRESSO COMERCIO ATACADISTA DE ROUPAS PROFISSIONAIS E SERVIÇOS DE ENTREGA RÁPIDA EIRELI</t>
        </is>
      </c>
      <c r="F6477" s="30" t="inlineStr">
        <is>
          <t>2019</t>
        </is>
      </c>
      <c r="G6477" s="40" t="n">
        <v>0</v>
      </c>
    </row>
    <row r="6478" ht="12" customHeight="1">
      <c r="A6478" s="30" t="inlineStr">
        <is>
          <t>ITG</t>
        </is>
      </c>
      <c r="B6478" s="30" t="inlineStr">
        <is>
          <t>Itaguai</t>
        </is>
      </c>
      <c r="C6478" s="30" t="n">
        <v>79701777</v>
      </c>
      <c r="D6478" s="30">
        <f>"16506823000123"</f>
        <v/>
      </c>
      <c r="E6478" s="30" t="inlineStr">
        <is>
          <t>EXPRESSO COMERCIO ATACADISTA DE ROUPAS PROFISSIONAIS E SERVIÇOS DE ENTREGA RÁPIDA EIRELI</t>
        </is>
      </c>
      <c r="F6478" s="30" t="inlineStr">
        <is>
          <t>2020</t>
        </is>
      </c>
      <c r="G6478" s="40" t="n">
        <v>0</v>
      </c>
    </row>
    <row r="6479" ht="12" customHeight="1">
      <c r="A6479" s="30" t="inlineStr">
        <is>
          <t>ITG</t>
        </is>
      </c>
      <c r="B6479" s="30" t="inlineStr">
        <is>
          <t>Itaguai</t>
        </is>
      </c>
      <c r="C6479" s="30" t="n">
        <v>79702722</v>
      </c>
      <c r="D6479" s="30">
        <f>"16101133000194"</f>
        <v/>
      </c>
      <c r="E6479" s="30" t="inlineStr">
        <is>
          <t>MERCEARIA SUPERANGRA LTDA</t>
        </is>
      </c>
      <c r="F6479" s="30" t="inlineStr">
        <is>
          <t>2017</t>
        </is>
      </c>
      <c r="G6479" s="40" t="n">
        <v>4199774.62</v>
      </c>
    </row>
    <row r="6480" ht="12" customHeight="1">
      <c r="A6480" s="30" t="inlineStr">
        <is>
          <t>ITG</t>
        </is>
      </c>
      <c r="B6480" s="30" t="inlineStr">
        <is>
          <t>Itaguai</t>
        </is>
      </c>
      <c r="C6480" s="30" t="n">
        <v>79702722</v>
      </c>
      <c r="D6480" s="30">
        <f>"16101133000194"</f>
        <v/>
      </c>
      <c r="E6480" s="30" t="inlineStr">
        <is>
          <t>MERCEARIA SUPERANGRA LTDA</t>
        </is>
      </c>
      <c r="F6480" s="30" t="inlineStr">
        <is>
          <t>2018</t>
        </is>
      </c>
      <c r="G6480" s="40" t="n">
        <v>0</v>
      </c>
    </row>
    <row r="6481" ht="12" customHeight="1">
      <c r="A6481" s="30" t="inlineStr">
        <is>
          <t>ITG</t>
        </is>
      </c>
      <c r="B6481" s="30" t="inlineStr">
        <is>
          <t>Itaguai</t>
        </is>
      </c>
      <c r="C6481" s="30" t="n">
        <v>79702722</v>
      </c>
      <c r="D6481" s="30">
        <f>"16101133000194"</f>
        <v/>
      </c>
      <c r="E6481" s="30" t="inlineStr">
        <is>
          <t>MERCEARIA SUPERANGRA LTDA</t>
        </is>
      </c>
      <c r="F6481" s="30" t="inlineStr">
        <is>
          <t>2019</t>
        </is>
      </c>
      <c r="G6481" s="40" t="n">
        <v>0</v>
      </c>
    </row>
    <row r="6482" ht="12" customHeight="1">
      <c r="A6482" s="30" t="inlineStr">
        <is>
          <t>ITG</t>
        </is>
      </c>
      <c r="B6482" s="30" t="inlineStr">
        <is>
          <t>Itaguai</t>
        </is>
      </c>
      <c r="C6482" s="30" t="n">
        <v>79708798</v>
      </c>
      <c r="D6482" s="30">
        <f>"16566597000176"</f>
        <v/>
      </c>
      <c r="E6482" s="30" t="inlineStr">
        <is>
          <t>RESTAURANTE ALEVAN LTDA ME</t>
        </is>
      </c>
      <c r="F6482" s="30" t="inlineStr">
        <is>
          <t>2017</t>
        </is>
      </c>
      <c r="G6482" s="40" t="n">
        <v>0</v>
      </c>
    </row>
    <row r="6483" ht="12" customHeight="1">
      <c r="A6483" s="30" t="inlineStr">
        <is>
          <t>ITG</t>
        </is>
      </c>
      <c r="B6483" s="30" t="inlineStr">
        <is>
          <t>Itaguai</t>
        </is>
      </c>
      <c r="C6483" s="30" t="n">
        <v>79708798</v>
      </c>
      <c r="D6483" s="30">
        <f>"16566597000176"</f>
        <v/>
      </c>
      <c r="E6483" s="30" t="inlineStr">
        <is>
          <t>RESTAURANTE ALEVAN LTDA ME</t>
        </is>
      </c>
      <c r="F6483" s="30" t="inlineStr">
        <is>
          <t>2018</t>
        </is>
      </c>
      <c r="G6483" s="40" t="n">
        <v>0</v>
      </c>
    </row>
    <row r="6484" ht="12" customHeight="1">
      <c r="A6484" s="30" t="inlineStr">
        <is>
          <t>ITG</t>
        </is>
      </c>
      <c r="B6484" s="30" t="inlineStr">
        <is>
          <t>Itaguai</t>
        </is>
      </c>
      <c r="C6484" s="30" t="n">
        <v>79708798</v>
      </c>
      <c r="D6484" s="30">
        <f>"16566597000176"</f>
        <v/>
      </c>
      <c r="E6484" s="30" t="inlineStr">
        <is>
          <t>RESTAURANTE ALEVAN LTDA ME</t>
        </is>
      </c>
      <c r="F6484" s="30" t="inlineStr">
        <is>
          <t>2019</t>
        </is>
      </c>
      <c r="G6484" s="40" t="n">
        <v>0</v>
      </c>
    </row>
    <row r="6485" ht="12" customHeight="1">
      <c r="A6485" s="30" t="inlineStr">
        <is>
          <t>ITG</t>
        </is>
      </c>
      <c r="B6485" s="30" t="inlineStr">
        <is>
          <t>Itaguai</t>
        </is>
      </c>
      <c r="C6485" s="30" t="n">
        <v>79708798</v>
      </c>
      <c r="D6485" s="30">
        <f>"16566597000176"</f>
        <v/>
      </c>
      <c r="E6485" s="30" t="inlineStr">
        <is>
          <t>RESTAURANTE ALEVAN LTDA ME</t>
        </is>
      </c>
      <c r="F6485" s="30" t="inlineStr">
        <is>
          <t>2020</t>
        </is>
      </c>
      <c r="G6485" s="40" t="n">
        <v>0</v>
      </c>
    </row>
    <row r="6486" ht="12" customHeight="1">
      <c r="A6486" s="30" t="inlineStr">
        <is>
          <t>ITG</t>
        </is>
      </c>
      <c r="B6486" s="30" t="inlineStr">
        <is>
          <t>Itaguai</t>
        </is>
      </c>
      <c r="C6486" s="30" t="n">
        <v>79708798</v>
      </c>
      <c r="D6486" s="30">
        <f>"16566597000176"</f>
        <v/>
      </c>
      <c r="E6486" s="30" t="inlineStr">
        <is>
          <t>RESTAURANTE ALEVAN LTDA ME</t>
        </is>
      </c>
      <c r="F6486" s="30" t="inlineStr">
        <is>
          <t>2021</t>
        </is>
      </c>
      <c r="G6486" s="40" t="n">
        <v>0</v>
      </c>
    </row>
    <row r="6487" ht="12" customHeight="1">
      <c r="A6487" s="30" t="inlineStr">
        <is>
          <t>ITG</t>
        </is>
      </c>
      <c r="B6487" s="30" t="inlineStr">
        <is>
          <t>Itaguai</t>
        </is>
      </c>
      <c r="C6487" s="30" t="n">
        <v>79708798</v>
      </c>
      <c r="D6487" s="30">
        <f>"16566597000176"</f>
        <v/>
      </c>
      <c r="E6487" s="30" t="inlineStr">
        <is>
          <t>RESTAURANTE ALEVAN LTDA ME</t>
        </is>
      </c>
      <c r="F6487" s="30" t="inlineStr">
        <is>
          <t>2022</t>
        </is>
      </c>
      <c r="G6487" s="40" t="n">
        <v>0</v>
      </c>
    </row>
    <row r="6488" ht="12" customHeight="1">
      <c r="A6488" s="30" t="inlineStr">
        <is>
          <t>ITG</t>
        </is>
      </c>
      <c r="B6488" s="30" t="inlineStr">
        <is>
          <t>Itaguai</t>
        </is>
      </c>
      <c r="C6488" s="30" t="n">
        <v>79708798</v>
      </c>
      <c r="D6488" s="30">
        <f>"16566597000176"</f>
        <v/>
      </c>
      <c r="E6488" s="30" t="inlineStr">
        <is>
          <t>RESTAURANTE ALEVAN LTDA ME</t>
        </is>
      </c>
      <c r="F6488" s="30" t="inlineStr">
        <is>
          <t>2023</t>
        </is>
      </c>
      <c r="G6488" s="40" t="n">
        <v>0</v>
      </c>
    </row>
    <row r="6489" ht="12" customHeight="1">
      <c r="A6489" s="30" t="inlineStr">
        <is>
          <t>ITG</t>
        </is>
      </c>
      <c r="B6489" s="30" t="inlineStr">
        <is>
          <t>Itaguai</t>
        </is>
      </c>
      <c r="C6489" s="30" t="n">
        <v>79710555</v>
      </c>
      <c r="D6489" s="30">
        <f>"16457523000100"</f>
        <v/>
      </c>
      <c r="E6489" s="30" t="inlineStr">
        <is>
          <t>TRANSPORTADORA HERMINIO DE CARGAS E PRODUTOS PERIGOSOS LTDA - ME</t>
        </is>
      </c>
      <c r="F6489" s="30" t="inlineStr">
        <is>
          <t>2017</t>
        </is>
      </c>
      <c r="G6489" s="40" t="n">
        <v>0</v>
      </c>
    </row>
    <row r="6490" ht="12" customHeight="1">
      <c r="A6490" s="30" t="inlineStr">
        <is>
          <t>ITG</t>
        </is>
      </c>
      <c r="B6490" s="30" t="inlineStr">
        <is>
          <t>Itaguai</t>
        </is>
      </c>
      <c r="C6490" s="30" t="n">
        <v>79710555</v>
      </c>
      <c r="D6490" s="30">
        <f>"16457523000100"</f>
        <v/>
      </c>
      <c r="E6490" s="30" t="inlineStr">
        <is>
          <t>TRANSPORTADORA HERMINIO DE CARGAS E PRODUTOS PERIGOSOS LTDA - ME</t>
        </is>
      </c>
      <c r="F6490" s="30" t="inlineStr">
        <is>
          <t>2018</t>
        </is>
      </c>
      <c r="G6490" s="40" t="n">
        <v>0</v>
      </c>
    </row>
    <row r="6491" ht="12" customHeight="1">
      <c r="A6491" s="30" t="inlineStr">
        <is>
          <t>ITG</t>
        </is>
      </c>
      <c r="B6491" s="30" t="inlineStr">
        <is>
          <t>Itaguai</t>
        </is>
      </c>
      <c r="C6491" s="30" t="n">
        <v>79710555</v>
      </c>
      <c r="D6491" s="30">
        <f>"16457523000100"</f>
        <v/>
      </c>
      <c r="E6491" s="30" t="inlineStr">
        <is>
          <t>TRANSPORTADORA HERMINIO DE CARGAS E PRODUTOS PERIGOSOS LTDA - ME</t>
        </is>
      </c>
      <c r="F6491" s="30" t="inlineStr">
        <is>
          <t>2019</t>
        </is>
      </c>
      <c r="G6491" s="40" t="n">
        <v>0</v>
      </c>
    </row>
    <row r="6492" ht="12" customHeight="1">
      <c r="A6492" s="30" t="inlineStr">
        <is>
          <t>ITG</t>
        </is>
      </c>
      <c r="B6492" s="30" t="inlineStr">
        <is>
          <t>Itaguai</t>
        </is>
      </c>
      <c r="C6492" s="30" t="n">
        <v>79710555</v>
      </c>
      <c r="D6492" s="30">
        <f>"16457523000100"</f>
        <v/>
      </c>
      <c r="E6492" s="30" t="inlineStr">
        <is>
          <t>TRANSPORTADORA HERMINIO DE CARGAS E PRODUTOS PERIGOSOS LTDA - ME</t>
        </is>
      </c>
      <c r="F6492" s="30" t="inlineStr">
        <is>
          <t>2020</t>
        </is>
      </c>
      <c r="G6492" s="40" t="n">
        <v>0</v>
      </c>
    </row>
    <row r="6493" ht="12" customHeight="1">
      <c r="A6493" s="30" t="inlineStr">
        <is>
          <t>ITG</t>
        </is>
      </c>
      <c r="B6493" s="30" t="inlineStr">
        <is>
          <t>Itaguai</t>
        </is>
      </c>
      <c r="C6493" s="30" t="n">
        <v>79710555</v>
      </c>
      <c r="D6493" s="30">
        <f>"16457523000100"</f>
        <v/>
      </c>
      <c r="E6493" s="30" t="inlineStr">
        <is>
          <t>TRANSPORTADORA HERMINIO DE CARGAS E PRODUTOS PERIGOSOS LTDA - ME</t>
        </is>
      </c>
      <c r="F6493" s="30" t="inlineStr">
        <is>
          <t>2021</t>
        </is>
      </c>
      <c r="G6493" s="40" t="n">
        <v>0</v>
      </c>
    </row>
    <row r="6494" ht="12" customHeight="1">
      <c r="A6494" s="30" t="inlineStr">
        <is>
          <t>ITG</t>
        </is>
      </c>
      <c r="B6494" s="30" t="inlineStr">
        <is>
          <t>Itaguai</t>
        </is>
      </c>
      <c r="C6494" s="30" t="n">
        <v>79714429</v>
      </c>
      <c r="D6494" s="30">
        <f>"16559240000160"</f>
        <v/>
      </c>
      <c r="E6494" s="30" t="inlineStr">
        <is>
          <t>MC SERVICOS AUTOMOTIVOS LTDA ME</t>
        </is>
      </c>
      <c r="F6494" s="30" t="inlineStr">
        <is>
          <t>2017</t>
        </is>
      </c>
      <c r="G6494" s="40" t="n">
        <v>0</v>
      </c>
    </row>
    <row r="6495" ht="12" customHeight="1">
      <c r="A6495" s="30" t="inlineStr">
        <is>
          <t>ITG</t>
        </is>
      </c>
      <c r="B6495" s="30" t="inlineStr">
        <is>
          <t>Itaguai</t>
        </is>
      </c>
      <c r="C6495" s="30" t="n">
        <v>79714429</v>
      </c>
      <c r="D6495" s="30">
        <f>"16559240000160"</f>
        <v/>
      </c>
      <c r="E6495" s="30" t="inlineStr">
        <is>
          <t>MC SERVICOS AUTOMOTIVOS LTDA ME</t>
        </is>
      </c>
      <c r="F6495" s="30" t="inlineStr">
        <is>
          <t>2018</t>
        </is>
      </c>
      <c r="G6495" s="40" t="n">
        <v>0</v>
      </c>
    </row>
    <row r="6496" ht="12" customHeight="1">
      <c r="A6496" s="30" t="inlineStr">
        <is>
          <t>ITG</t>
        </is>
      </c>
      <c r="B6496" s="30" t="inlineStr">
        <is>
          <t>Itaguai</t>
        </is>
      </c>
      <c r="C6496" s="30" t="n">
        <v>79714429</v>
      </c>
      <c r="D6496" s="30">
        <f>"16559240000160"</f>
        <v/>
      </c>
      <c r="E6496" s="30" t="inlineStr">
        <is>
          <t>MC SERVICOS AUTOMOTIVOS LTDA ME</t>
        </is>
      </c>
      <c r="F6496" s="30" t="inlineStr">
        <is>
          <t>2019</t>
        </is>
      </c>
      <c r="G6496" s="40" t="n">
        <v>0</v>
      </c>
    </row>
    <row r="6497" ht="12" customHeight="1">
      <c r="A6497" s="30" t="inlineStr">
        <is>
          <t>ITG</t>
        </is>
      </c>
      <c r="B6497" s="30" t="inlineStr">
        <is>
          <t>Itaguai</t>
        </is>
      </c>
      <c r="C6497" s="30" t="n">
        <v>79714429</v>
      </c>
      <c r="D6497" s="30">
        <f>"16559240000160"</f>
        <v/>
      </c>
      <c r="E6497" s="30" t="inlineStr">
        <is>
          <t>MC SERVICOS AUTOMOTIVOS LTDA ME</t>
        </is>
      </c>
      <c r="F6497" s="30" t="inlineStr">
        <is>
          <t>2020</t>
        </is>
      </c>
      <c r="G6497" s="40" t="n">
        <v>0</v>
      </c>
    </row>
    <row r="6498" ht="12" customHeight="1">
      <c r="A6498" s="30" t="inlineStr">
        <is>
          <t>ITG</t>
        </is>
      </c>
      <c r="B6498" s="30" t="inlineStr">
        <is>
          <t>Itaguai</t>
        </is>
      </c>
      <c r="C6498" s="30" t="n">
        <v>79714429</v>
      </c>
      <c r="D6498" s="30">
        <f>"16559240000160"</f>
        <v/>
      </c>
      <c r="E6498" s="30" t="inlineStr">
        <is>
          <t>MC SERVICOS AUTOMOTIVOS LTDA ME</t>
        </is>
      </c>
      <c r="F6498" s="30" t="inlineStr">
        <is>
          <t>2021</t>
        </is>
      </c>
      <c r="G6498" s="40" t="n">
        <v>0</v>
      </c>
    </row>
    <row r="6499" ht="12" customHeight="1">
      <c r="A6499" s="30" t="inlineStr">
        <is>
          <t>ITG</t>
        </is>
      </c>
      <c r="B6499" s="30" t="inlineStr">
        <is>
          <t>Itaguai</t>
        </is>
      </c>
      <c r="C6499" s="30" t="n">
        <v>79720631</v>
      </c>
      <c r="D6499" s="30">
        <f>"13172241000160"</f>
        <v/>
      </c>
      <c r="E6499" s="30" t="inlineStr">
        <is>
          <t>TULIP ITAGUAI HOTELARIA SPE S A</t>
        </is>
      </c>
      <c r="F6499" s="30" t="inlineStr">
        <is>
          <t>2017</t>
        </is>
      </c>
      <c r="G6499" s="40" t="n">
        <v>0</v>
      </c>
    </row>
    <row r="6500" ht="12" customHeight="1">
      <c r="A6500" s="30" t="inlineStr">
        <is>
          <t>ITG</t>
        </is>
      </c>
      <c r="B6500" s="30" t="inlineStr">
        <is>
          <t>Itaguai</t>
        </is>
      </c>
      <c r="C6500" s="30" t="n">
        <v>79720631</v>
      </c>
      <c r="D6500" s="30">
        <f>"13172241000160"</f>
        <v/>
      </c>
      <c r="E6500" s="30" t="inlineStr">
        <is>
          <t>TULIP ITAGUAI HOTELARIA SPE S A</t>
        </is>
      </c>
      <c r="F6500" s="30" t="inlineStr">
        <is>
          <t>2018</t>
        </is>
      </c>
      <c r="G6500" s="40" t="n">
        <v>0</v>
      </c>
    </row>
    <row r="6501" ht="12" customHeight="1">
      <c r="A6501" s="30" t="inlineStr">
        <is>
          <t>ITG</t>
        </is>
      </c>
      <c r="B6501" s="30" t="inlineStr">
        <is>
          <t>Itaguai</t>
        </is>
      </c>
      <c r="C6501" s="30" t="n">
        <v>79720631</v>
      </c>
      <c r="D6501" s="30">
        <f>"13172241000160"</f>
        <v/>
      </c>
      <c r="E6501" s="30" t="inlineStr">
        <is>
          <t>TULIP ITAGUAI HOTELARIA SPE S A</t>
        </is>
      </c>
      <c r="F6501" s="30" t="inlineStr">
        <is>
          <t>2019</t>
        </is>
      </c>
      <c r="G6501" s="40" t="n">
        <v>46828.81</v>
      </c>
    </row>
    <row r="6502" ht="12" customHeight="1">
      <c r="A6502" s="30" t="inlineStr">
        <is>
          <t>ITG</t>
        </is>
      </c>
      <c r="B6502" s="30" t="inlineStr">
        <is>
          <t>Itaguai</t>
        </is>
      </c>
      <c r="C6502" s="30" t="n">
        <v>79720631</v>
      </c>
      <c r="D6502" s="30">
        <f>"13172241000160"</f>
        <v/>
      </c>
      <c r="E6502" s="30" t="inlineStr">
        <is>
          <t>TULIP ITAGUAI HOTELARIA SPE S A</t>
        </is>
      </c>
      <c r="F6502" s="30" t="inlineStr">
        <is>
          <t>2020</t>
        </is>
      </c>
      <c r="G6502" s="40" t="n">
        <v>0</v>
      </c>
    </row>
    <row r="6503" ht="12" customHeight="1">
      <c r="A6503" s="30" t="inlineStr">
        <is>
          <t>ITG</t>
        </is>
      </c>
      <c r="B6503" s="30" t="inlineStr">
        <is>
          <t>Itaguai</t>
        </is>
      </c>
      <c r="C6503" s="30" t="n">
        <v>79720631</v>
      </c>
      <c r="D6503" s="30">
        <f>"13172241000160"</f>
        <v/>
      </c>
      <c r="E6503" s="30" t="inlineStr">
        <is>
          <t>TULIP ITAGUAI HOTELARIA SPE S A</t>
        </is>
      </c>
      <c r="F6503" s="30" t="inlineStr">
        <is>
          <t>2021</t>
        </is>
      </c>
      <c r="G6503" s="40" t="n">
        <v>0</v>
      </c>
    </row>
    <row r="6504" ht="12" customHeight="1">
      <c r="A6504" s="30" t="inlineStr">
        <is>
          <t>ITG</t>
        </is>
      </c>
      <c r="B6504" s="30" t="inlineStr">
        <is>
          <t>Itaguai</t>
        </is>
      </c>
      <c r="C6504" s="30" t="n">
        <v>79720631</v>
      </c>
      <c r="D6504" s="30">
        <f>"13172241000160"</f>
        <v/>
      </c>
      <c r="E6504" s="30" t="inlineStr">
        <is>
          <t>TULIP ITAGUAI HOTELARIA SPE S A</t>
        </is>
      </c>
      <c r="F6504" s="30" t="inlineStr">
        <is>
          <t>2022</t>
        </is>
      </c>
      <c r="G6504" s="40" t="n">
        <v>0</v>
      </c>
    </row>
    <row r="6505" ht="12" customHeight="1">
      <c r="A6505" s="30" t="inlineStr">
        <is>
          <t>ITG</t>
        </is>
      </c>
      <c r="B6505" s="30" t="inlineStr">
        <is>
          <t>Itaguai</t>
        </is>
      </c>
      <c r="C6505" s="30" t="n">
        <v>79720631</v>
      </c>
      <c r="D6505" s="30">
        <f>"13172241000160"</f>
        <v/>
      </c>
      <c r="E6505" s="30" t="inlineStr">
        <is>
          <t>TULIP ITAGUAI HOTELARIA SPE S A</t>
        </is>
      </c>
      <c r="F6505" s="30" t="inlineStr">
        <is>
          <t>2023</t>
        </is>
      </c>
      <c r="G6505" s="40" t="n">
        <v>0</v>
      </c>
    </row>
    <row r="6506" ht="12" customHeight="1">
      <c r="A6506" s="30" t="inlineStr">
        <is>
          <t>ITG</t>
        </is>
      </c>
      <c r="B6506" s="30" t="inlineStr">
        <is>
          <t>Itaguai</t>
        </is>
      </c>
      <c r="C6506" s="30" t="n">
        <v>79730980</v>
      </c>
      <c r="D6506" s="30">
        <f>"02905424006676"</f>
        <v/>
      </c>
      <c r="E6506" s="30" t="inlineStr">
        <is>
          <t>AGV LOGISTICA S A</t>
        </is>
      </c>
      <c r="F6506" s="30" t="inlineStr">
        <is>
          <t>2019</t>
        </is>
      </c>
      <c r="G6506" s="40" t="n">
        <v>0</v>
      </c>
    </row>
    <row r="6507" ht="12" customHeight="1">
      <c r="A6507" s="30" t="inlineStr">
        <is>
          <t>ITG</t>
        </is>
      </c>
      <c r="B6507" s="30" t="inlineStr">
        <is>
          <t>Itaguai</t>
        </is>
      </c>
      <c r="C6507" s="30" t="n">
        <v>79730980</v>
      </c>
      <c r="D6507" s="30">
        <f>"02905424006676"</f>
        <v/>
      </c>
      <c r="E6507" s="30" t="inlineStr">
        <is>
          <t>AGV LOGISTICA S A</t>
        </is>
      </c>
      <c r="F6507" s="30" t="inlineStr">
        <is>
          <t>2020</t>
        </is>
      </c>
      <c r="G6507" s="40" t="n">
        <v>0</v>
      </c>
    </row>
    <row r="6508" ht="12" customHeight="1">
      <c r="A6508" s="30" t="inlineStr">
        <is>
          <t>ITG</t>
        </is>
      </c>
      <c r="B6508" s="30" t="inlineStr">
        <is>
          <t>Itaguai</t>
        </is>
      </c>
      <c r="C6508" s="30" t="n">
        <v>79730980</v>
      </c>
      <c r="D6508" s="30">
        <f>"02905424006676"</f>
        <v/>
      </c>
      <c r="E6508" s="30" t="inlineStr">
        <is>
          <t>AGV LOGISTICA S A</t>
        </is>
      </c>
      <c r="F6508" s="30" t="inlineStr">
        <is>
          <t>2021</t>
        </is>
      </c>
      <c r="G6508" s="40" t="n">
        <v>50.4</v>
      </c>
    </row>
    <row r="6509" ht="12" customHeight="1">
      <c r="A6509" s="30" t="inlineStr">
        <is>
          <t>ITG</t>
        </is>
      </c>
      <c r="B6509" s="30" t="inlineStr">
        <is>
          <t>Itaguai</t>
        </is>
      </c>
      <c r="C6509" s="30" t="n">
        <v>79730980</v>
      </c>
      <c r="D6509" s="30">
        <f>"02905424006676"</f>
        <v/>
      </c>
      <c r="E6509" s="30" t="inlineStr">
        <is>
          <t>AGV LOGISTICA S A</t>
        </is>
      </c>
      <c r="F6509" s="30" t="inlineStr">
        <is>
          <t>2022</t>
        </is>
      </c>
      <c r="G6509" s="40" t="n">
        <v>0</v>
      </c>
    </row>
    <row r="6510" ht="12" customHeight="1">
      <c r="A6510" s="30" t="inlineStr">
        <is>
          <t>ITG</t>
        </is>
      </c>
      <c r="B6510" s="30" t="inlineStr">
        <is>
          <t>Itaguai</t>
        </is>
      </c>
      <c r="C6510" s="30" t="n">
        <v>79730980</v>
      </c>
      <c r="D6510" s="30">
        <f>"02905424006676"</f>
        <v/>
      </c>
      <c r="E6510" s="30" t="inlineStr">
        <is>
          <t>AGV LOGISTICA S A</t>
        </is>
      </c>
      <c r="F6510" s="30" t="inlineStr">
        <is>
          <t>2023</t>
        </is>
      </c>
      <c r="G6510" s="40" t="n">
        <v>0</v>
      </c>
    </row>
    <row r="6511" ht="12" customHeight="1">
      <c r="A6511" s="30" t="inlineStr">
        <is>
          <t>ITG</t>
        </is>
      </c>
      <c r="B6511" s="30" t="inlineStr">
        <is>
          <t>Itaguai</t>
        </is>
      </c>
      <c r="C6511" s="30" t="n">
        <v>79734438</v>
      </c>
      <c r="D6511" s="30">
        <f>"09216022000168"</f>
        <v/>
      </c>
      <c r="E6511" s="30" t="inlineStr">
        <is>
          <t>AGS LOCACAO DE MAQUINAS E EQUIPAMENTOS EIRELI</t>
        </is>
      </c>
      <c r="F6511" s="30" t="inlineStr">
        <is>
          <t>2017</t>
        </is>
      </c>
      <c r="G6511" s="40" t="n">
        <v>0</v>
      </c>
    </row>
    <row r="6512" ht="12" customHeight="1">
      <c r="A6512" s="30" t="inlineStr">
        <is>
          <t>ITG</t>
        </is>
      </c>
      <c r="B6512" s="30" t="inlineStr">
        <is>
          <t>Itaguai</t>
        </is>
      </c>
      <c r="C6512" s="30" t="n">
        <v>79734438</v>
      </c>
      <c r="D6512" s="30">
        <f>"09216022000168"</f>
        <v/>
      </c>
      <c r="E6512" s="30" t="inlineStr">
        <is>
          <t>AGS LOCACAO DE MAQUINAS E EQUIPAMENTOS EIRELI</t>
        </is>
      </c>
      <c r="F6512" s="30" t="inlineStr">
        <is>
          <t>2018</t>
        </is>
      </c>
      <c r="G6512" s="40" t="n">
        <v>0</v>
      </c>
    </row>
    <row r="6513" ht="12" customHeight="1">
      <c r="A6513" s="30" t="inlineStr">
        <is>
          <t>ITG</t>
        </is>
      </c>
      <c r="B6513" s="30" t="inlineStr">
        <is>
          <t>Itaguai</t>
        </is>
      </c>
      <c r="C6513" s="30" t="n">
        <v>79734438</v>
      </c>
      <c r="D6513" s="30">
        <f>"09216022000168"</f>
        <v/>
      </c>
      <c r="E6513" s="30" t="inlineStr">
        <is>
          <t>AGS LOCACAO DE MAQUINAS E EQUIPAMENTOS EIRELI</t>
        </is>
      </c>
      <c r="F6513" s="30" t="inlineStr">
        <is>
          <t>2019</t>
        </is>
      </c>
      <c r="G6513" s="40" t="n">
        <v>0</v>
      </c>
    </row>
    <row r="6514" ht="12" customHeight="1">
      <c r="A6514" s="30" t="inlineStr">
        <is>
          <t>ITG</t>
        </is>
      </c>
      <c r="B6514" s="30" t="inlineStr">
        <is>
          <t>Itaguai</t>
        </is>
      </c>
      <c r="C6514" s="30" t="n">
        <v>79734438</v>
      </c>
      <c r="D6514" s="30">
        <f>"09216022000168"</f>
        <v/>
      </c>
      <c r="E6514" s="30" t="inlineStr">
        <is>
          <t>AGS LOCACAO DE MAQUINAS E EQUIPAMENTOS EIRELI</t>
        </is>
      </c>
      <c r="F6514" s="30" t="inlineStr">
        <is>
          <t>2020</t>
        </is>
      </c>
      <c r="G6514" s="40" t="n">
        <v>0</v>
      </c>
    </row>
    <row r="6515" ht="12" customHeight="1">
      <c r="A6515" s="30" t="inlineStr">
        <is>
          <t>ITG</t>
        </is>
      </c>
      <c r="B6515" s="30" t="inlineStr">
        <is>
          <t>Itaguai</t>
        </is>
      </c>
      <c r="C6515" s="30" t="n">
        <v>79734438</v>
      </c>
      <c r="D6515" s="30">
        <f>"09216022000168"</f>
        <v/>
      </c>
      <c r="E6515" s="30" t="inlineStr">
        <is>
          <t>AGS LOCACAO DE MAQUINAS E EQUIPAMENTOS EIRELI</t>
        </is>
      </c>
      <c r="F6515" s="30" t="inlineStr">
        <is>
          <t>2021</t>
        </is>
      </c>
      <c r="G6515" s="40" t="n">
        <v>0</v>
      </c>
    </row>
    <row r="6516" ht="12" customHeight="1">
      <c r="A6516" s="30" t="inlineStr">
        <is>
          <t>ITG</t>
        </is>
      </c>
      <c r="B6516" s="30" t="inlineStr">
        <is>
          <t>Itaguai</t>
        </is>
      </c>
      <c r="C6516" s="30" t="n">
        <v>79734438</v>
      </c>
      <c r="D6516" s="30">
        <f>"09216022000168"</f>
        <v/>
      </c>
      <c r="E6516" s="30" t="inlineStr">
        <is>
          <t>AGS LOCACAO DE MAQUINAS E EQUIPAMENTOS EIRELI</t>
        </is>
      </c>
      <c r="F6516" s="30" t="inlineStr">
        <is>
          <t>2022</t>
        </is>
      </c>
      <c r="G6516" s="40" t="n">
        <v>0</v>
      </c>
    </row>
    <row r="6517" ht="12" customHeight="1">
      <c r="A6517" s="30" t="inlineStr">
        <is>
          <t>ITG</t>
        </is>
      </c>
      <c r="B6517" s="30" t="inlineStr">
        <is>
          <t>Itaguai</t>
        </is>
      </c>
      <c r="C6517" s="30" t="n">
        <v>79734438</v>
      </c>
      <c r="D6517" s="30">
        <f>"09216022000168"</f>
        <v/>
      </c>
      <c r="E6517" s="30" t="inlineStr">
        <is>
          <t>AGS LOCACAO DE MAQUINAS E EQUIPAMENTOS EIRELI</t>
        </is>
      </c>
      <c r="F6517" s="30" t="inlineStr">
        <is>
          <t>2023</t>
        </is>
      </c>
      <c r="G6517" s="40" t="n">
        <v>0</v>
      </c>
    </row>
    <row r="6518" ht="12" customHeight="1">
      <c r="A6518" s="30" t="inlineStr">
        <is>
          <t>ITG</t>
        </is>
      </c>
      <c r="B6518" s="30" t="inlineStr">
        <is>
          <t>Itaguai</t>
        </is>
      </c>
      <c r="C6518" s="30" t="n">
        <v>79735230</v>
      </c>
      <c r="D6518" s="30">
        <f>"02737654004700"</f>
        <v/>
      </c>
      <c r="E6518" s="30" t="inlineStr">
        <is>
          <t>TAC FRANQUIA INDUSTRIA E COMERCIO LTDA</t>
        </is>
      </c>
      <c r="F6518" s="30" t="inlineStr">
        <is>
          <t>2017</t>
        </is>
      </c>
      <c r="G6518" s="40" t="n">
        <v>616851.36</v>
      </c>
    </row>
    <row r="6519" ht="12" customHeight="1">
      <c r="A6519" s="30" t="inlineStr">
        <is>
          <t>ITG</t>
        </is>
      </c>
      <c r="B6519" s="30" t="inlineStr">
        <is>
          <t>Itaguai</t>
        </is>
      </c>
      <c r="C6519" s="30" t="n">
        <v>79735230</v>
      </c>
      <c r="D6519" s="30">
        <f>"02737654004700"</f>
        <v/>
      </c>
      <c r="E6519" s="30" t="inlineStr">
        <is>
          <t>TAC FRANQUIA INDUSTRIA E COMERCIO LTDA</t>
        </is>
      </c>
      <c r="F6519" s="30" t="inlineStr">
        <is>
          <t>2018</t>
        </is>
      </c>
      <c r="G6519" s="40" t="n">
        <v>163974.91</v>
      </c>
    </row>
    <row r="6520" ht="12" customHeight="1">
      <c r="A6520" s="30" t="inlineStr">
        <is>
          <t>ITG</t>
        </is>
      </c>
      <c r="B6520" s="30" t="inlineStr">
        <is>
          <t>Itaguai</t>
        </is>
      </c>
      <c r="C6520" s="30" t="n">
        <v>79735230</v>
      </c>
      <c r="D6520" s="30">
        <f>"02737654004700"</f>
        <v/>
      </c>
      <c r="E6520" s="30" t="inlineStr">
        <is>
          <t>TAC FRANQUIA INDUSTRIA E COMERCIO LTDA</t>
        </is>
      </c>
      <c r="F6520" s="30" t="inlineStr">
        <is>
          <t>2019</t>
        </is>
      </c>
      <c r="G6520" s="40" t="n">
        <v>0</v>
      </c>
    </row>
    <row r="6521" ht="12" customHeight="1">
      <c r="A6521" s="30" t="inlineStr">
        <is>
          <t>ITG</t>
        </is>
      </c>
      <c r="B6521" s="30" t="inlineStr">
        <is>
          <t>Itaguai</t>
        </is>
      </c>
      <c r="C6521" s="30" t="n">
        <v>79735230</v>
      </c>
      <c r="D6521" s="30">
        <f>"02737654004700"</f>
        <v/>
      </c>
      <c r="E6521" s="30" t="inlineStr">
        <is>
          <t>TAC FRANQUIA INDUSTRIA E COMERCIO LTDA</t>
        </is>
      </c>
      <c r="F6521" s="30" t="inlineStr">
        <is>
          <t>2020</t>
        </is>
      </c>
      <c r="G6521" s="40" t="n">
        <v>0</v>
      </c>
    </row>
    <row r="6522" ht="12" customHeight="1">
      <c r="A6522" s="30" t="inlineStr">
        <is>
          <t>ITG</t>
        </is>
      </c>
      <c r="B6522" s="30" t="inlineStr">
        <is>
          <t>Itaguai</t>
        </is>
      </c>
      <c r="C6522" s="30" t="n">
        <v>79735230</v>
      </c>
      <c r="D6522" s="30">
        <f>"02737654004700"</f>
        <v/>
      </c>
      <c r="E6522" s="30" t="inlineStr">
        <is>
          <t>TAC FRANQUIA INDUSTRIA E COMERCIO LTDA</t>
        </is>
      </c>
      <c r="F6522" s="30" t="inlineStr">
        <is>
          <t>2021</t>
        </is>
      </c>
      <c r="G6522" s="40" t="n">
        <v>0</v>
      </c>
    </row>
    <row r="6523" ht="12" customHeight="1">
      <c r="A6523" s="30" t="inlineStr">
        <is>
          <t>ITG</t>
        </is>
      </c>
      <c r="B6523" s="30" t="inlineStr">
        <is>
          <t>Itaguai</t>
        </is>
      </c>
      <c r="C6523" s="30" t="n">
        <v>79735230</v>
      </c>
      <c r="D6523" s="30">
        <f>"02737654004700"</f>
        <v/>
      </c>
      <c r="E6523" s="30" t="inlineStr">
        <is>
          <t>TAC FRANQUIA INDUSTRIA E COMERCIO LTDA</t>
        </is>
      </c>
      <c r="F6523" s="30" t="inlineStr">
        <is>
          <t>2022</t>
        </is>
      </c>
      <c r="G6523" s="40" t="n">
        <v>0</v>
      </c>
    </row>
    <row r="6524" ht="12" customHeight="1">
      <c r="A6524" s="30" t="inlineStr">
        <is>
          <t>ITG</t>
        </is>
      </c>
      <c r="B6524" s="30" t="inlineStr">
        <is>
          <t>Itaguai</t>
        </is>
      </c>
      <c r="C6524" s="30" t="n">
        <v>79735230</v>
      </c>
      <c r="D6524" s="30">
        <f>"02737654004700"</f>
        <v/>
      </c>
      <c r="E6524" s="30" t="inlineStr">
        <is>
          <t>TAC FRANQUIA INDUSTRIA E COMERCIO LTDA</t>
        </is>
      </c>
      <c r="F6524" s="30" t="inlineStr">
        <is>
          <t>2023</t>
        </is>
      </c>
      <c r="G6524" s="40" t="n">
        <v>0</v>
      </c>
    </row>
    <row r="6525" ht="12" customHeight="1">
      <c r="A6525" s="30" t="inlineStr">
        <is>
          <t>ITG</t>
        </is>
      </c>
      <c r="B6525" s="30" t="inlineStr">
        <is>
          <t>Itaguai</t>
        </is>
      </c>
      <c r="C6525" s="30" t="n">
        <v>79738050</v>
      </c>
      <c r="D6525" s="30">
        <f>"15291437000107"</f>
        <v/>
      </c>
      <c r="E6525" s="30" t="inlineStr">
        <is>
          <t>IDEAL SOLUCOES E SERVICOS EIRELI ME</t>
        </is>
      </c>
      <c r="F6525" s="30" t="inlineStr">
        <is>
          <t>2018</t>
        </is>
      </c>
      <c r="G6525" s="40" t="n">
        <v>0</v>
      </c>
    </row>
    <row r="6526" ht="12" customHeight="1">
      <c r="A6526" s="30" t="inlineStr">
        <is>
          <t>ITG</t>
        </is>
      </c>
      <c r="B6526" s="30" t="inlineStr">
        <is>
          <t>Itaguai</t>
        </is>
      </c>
      <c r="C6526" s="30" t="n">
        <v>79738050</v>
      </c>
      <c r="D6526" s="30">
        <f>"15291437000107"</f>
        <v/>
      </c>
      <c r="E6526" s="30" t="inlineStr">
        <is>
          <t>IDEAL SOLUCOES E SERVICOS EIRELI ME</t>
        </is>
      </c>
      <c r="F6526" s="30" t="inlineStr">
        <is>
          <t>2019</t>
        </is>
      </c>
      <c r="G6526" s="40" t="n">
        <v>0</v>
      </c>
    </row>
    <row r="6527" ht="12" customHeight="1">
      <c r="A6527" s="30" t="inlineStr">
        <is>
          <t>ITG</t>
        </is>
      </c>
      <c r="B6527" s="30" t="inlineStr">
        <is>
          <t>Itaguai</t>
        </is>
      </c>
      <c r="C6527" s="30" t="n">
        <v>79738050</v>
      </c>
      <c r="D6527" s="30">
        <f>"15291437000107"</f>
        <v/>
      </c>
      <c r="E6527" s="30" t="inlineStr">
        <is>
          <t>IDEAL SOLUCOES E SERVICOS EIRELI ME</t>
        </is>
      </c>
      <c r="F6527" s="30" t="inlineStr">
        <is>
          <t>2020</t>
        </is>
      </c>
      <c r="G6527" s="40" t="n">
        <v>0</v>
      </c>
    </row>
    <row r="6528" ht="12" customHeight="1">
      <c r="A6528" s="30" t="inlineStr">
        <is>
          <t>ITG</t>
        </is>
      </c>
      <c r="B6528" s="30" t="inlineStr">
        <is>
          <t>Itaguai</t>
        </is>
      </c>
      <c r="C6528" s="30" t="n">
        <v>79738050</v>
      </c>
      <c r="D6528" s="30">
        <f>"15291437000107"</f>
        <v/>
      </c>
      <c r="E6528" s="30" t="inlineStr">
        <is>
          <t>IDEAL SOLUCOES E SERVICOS EIRELI ME</t>
        </is>
      </c>
      <c r="F6528" s="30" t="inlineStr">
        <is>
          <t>2021</t>
        </is>
      </c>
      <c r="G6528" s="40" t="n">
        <v>0</v>
      </c>
    </row>
    <row r="6529" ht="12" customHeight="1">
      <c r="A6529" s="30" t="inlineStr">
        <is>
          <t>ITG</t>
        </is>
      </c>
      <c r="B6529" s="30" t="inlineStr">
        <is>
          <t>Itaguai</t>
        </is>
      </c>
      <c r="C6529" s="30" t="n">
        <v>79738050</v>
      </c>
      <c r="D6529" s="30">
        <f>"15291437000107"</f>
        <v/>
      </c>
      <c r="E6529" s="30" t="inlineStr">
        <is>
          <t>IDEAL SOLUCOES E SERVICOS EIRELI ME</t>
        </is>
      </c>
      <c r="F6529" s="30" t="inlineStr">
        <is>
          <t>2022</t>
        </is>
      </c>
      <c r="G6529" s="40" t="n">
        <v>0</v>
      </c>
    </row>
    <row r="6530" ht="12" customHeight="1">
      <c r="A6530" s="30" t="inlineStr">
        <is>
          <t>ITG</t>
        </is>
      </c>
      <c r="B6530" s="30" t="inlineStr">
        <is>
          <t>Itaguai</t>
        </is>
      </c>
      <c r="C6530" s="30" t="n">
        <v>79741582</v>
      </c>
      <c r="D6530" s="30">
        <f>"16672790000191"</f>
        <v/>
      </c>
      <c r="E6530" s="30" t="inlineStr">
        <is>
          <t>A D AZAMOR EDITORA E COMERCIO DE JORNAIS ME</t>
        </is>
      </c>
      <c r="F6530" s="30" t="inlineStr">
        <is>
          <t>2017</t>
        </is>
      </c>
      <c r="G6530" s="40" t="n">
        <v>0</v>
      </c>
    </row>
    <row r="6531" ht="12" customHeight="1">
      <c r="A6531" s="30" t="inlineStr">
        <is>
          <t>ITG</t>
        </is>
      </c>
      <c r="B6531" s="30" t="inlineStr">
        <is>
          <t>Itaguai</t>
        </is>
      </c>
      <c r="C6531" s="30" t="n">
        <v>79741582</v>
      </c>
      <c r="D6531" s="30">
        <f>"16672790000191"</f>
        <v/>
      </c>
      <c r="E6531" s="30" t="inlineStr">
        <is>
          <t>A D AZAMOR EDITORA E COMERCIO DE JORNAIS ME</t>
        </is>
      </c>
      <c r="F6531" s="30" t="inlineStr">
        <is>
          <t>2018</t>
        </is>
      </c>
      <c r="G6531" s="40" t="n">
        <v>0</v>
      </c>
    </row>
    <row r="6532" ht="12" customHeight="1">
      <c r="A6532" s="30" t="inlineStr">
        <is>
          <t>ITG</t>
        </is>
      </c>
      <c r="B6532" s="30" t="inlineStr">
        <is>
          <t>Itaguai</t>
        </is>
      </c>
      <c r="C6532" s="30" t="n">
        <v>79741582</v>
      </c>
      <c r="D6532" s="30">
        <f>"16672790000191"</f>
        <v/>
      </c>
      <c r="E6532" s="30" t="inlineStr">
        <is>
          <t>A D AZAMOR EDITORA E COMERCIO DE JORNAIS ME</t>
        </is>
      </c>
      <c r="F6532" s="30" t="inlineStr">
        <is>
          <t>2019</t>
        </is>
      </c>
      <c r="G6532" s="40" t="n">
        <v>280</v>
      </c>
    </row>
    <row r="6533" ht="12" customHeight="1">
      <c r="A6533" s="30" t="inlineStr">
        <is>
          <t>ITG</t>
        </is>
      </c>
      <c r="B6533" s="30" t="inlineStr">
        <is>
          <t>Itaguai</t>
        </is>
      </c>
      <c r="C6533" s="30" t="n">
        <v>79741582</v>
      </c>
      <c r="D6533" s="30">
        <f>"16672790000191"</f>
        <v/>
      </c>
      <c r="E6533" s="30" t="inlineStr">
        <is>
          <t>A D AZAMOR EDITORA E COMERCIO DE JORNAIS ME</t>
        </is>
      </c>
      <c r="F6533" s="30" t="inlineStr">
        <is>
          <t>2020</t>
        </is>
      </c>
      <c r="G6533" s="40" t="n">
        <v>0</v>
      </c>
    </row>
    <row r="6534" ht="12" customHeight="1">
      <c r="A6534" s="30" t="inlineStr">
        <is>
          <t>ITG</t>
        </is>
      </c>
      <c r="B6534" s="30" t="inlineStr">
        <is>
          <t>Itaguai</t>
        </is>
      </c>
      <c r="C6534" s="30" t="n">
        <v>79741582</v>
      </c>
      <c r="D6534" s="30">
        <f>"16672790000191"</f>
        <v/>
      </c>
      <c r="E6534" s="30" t="inlineStr">
        <is>
          <t>A D AZAMOR EDITORA E COMERCIO DE JORNAIS ME</t>
        </is>
      </c>
      <c r="F6534" s="30" t="inlineStr">
        <is>
          <t>2021</t>
        </is>
      </c>
      <c r="G6534" s="40" t="n">
        <v>0</v>
      </c>
    </row>
    <row r="6535" ht="12" customHeight="1">
      <c r="A6535" s="30" t="inlineStr">
        <is>
          <t>ITG</t>
        </is>
      </c>
      <c r="B6535" s="30" t="inlineStr">
        <is>
          <t>Itaguai</t>
        </is>
      </c>
      <c r="C6535" s="30" t="n">
        <v>79743828</v>
      </c>
      <c r="D6535" s="30">
        <f>"10827182000203"</f>
        <v/>
      </c>
      <c r="E6535" s="30" t="inlineStr">
        <is>
          <t>ITAGUAI CONSTRUCOES NAVAIS S/A</t>
        </is>
      </c>
      <c r="F6535" s="30" t="inlineStr">
        <is>
          <t>2017</t>
        </is>
      </c>
      <c r="G6535" s="40" t="n">
        <v>0</v>
      </c>
    </row>
    <row r="6536" ht="12" customHeight="1">
      <c r="A6536" s="30" t="inlineStr">
        <is>
          <t>ITG</t>
        </is>
      </c>
      <c r="B6536" s="30" t="inlineStr">
        <is>
          <t>Itaguai</t>
        </is>
      </c>
      <c r="C6536" s="30" t="n">
        <v>79743828</v>
      </c>
      <c r="D6536" s="30">
        <f>"10827182000203"</f>
        <v/>
      </c>
      <c r="E6536" s="30" t="inlineStr">
        <is>
          <t>ITAGUAI CONSTRUCOES NAVAIS S/A</t>
        </is>
      </c>
      <c r="F6536" s="30" t="inlineStr">
        <is>
          <t>2018</t>
        </is>
      </c>
      <c r="G6536" s="40" t="n">
        <v>0</v>
      </c>
    </row>
    <row r="6537" ht="12" customHeight="1">
      <c r="A6537" s="30" t="inlineStr">
        <is>
          <t>ITG</t>
        </is>
      </c>
      <c r="B6537" s="30" t="inlineStr">
        <is>
          <t>Itaguai</t>
        </is>
      </c>
      <c r="C6537" s="30" t="n">
        <v>79743828</v>
      </c>
      <c r="D6537" s="30">
        <f>"10827182000203"</f>
        <v/>
      </c>
      <c r="E6537" s="30" t="inlineStr">
        <is>
          <t>ITAGUAI CONSTRUCOES NAVAIS S/A</t>
        </is>
      </c>
      <c r="F6537" s="30" t="inlineStr">
        <is>
          <t>2019</t>
        </is>
      </c>
      <c r="G6537" s="40" t="n">
        <v>0</v>
      </c>
    </row>
    <row r="6538" ht="12" customHeight="1">
      <c r="A6538" s="30" t="inlineStr">
        <is>
          <t>ITG</t>
        </is>
      </c>
      <c r="B6538" s="30" t="inlineStr">
        <is>
          <t>Itaguai</t>
        </is>
      </c>
      <c r="C6538" s="30" t="n">
        <v>79743828</v>
      </c>
      <c r="D6538" s="30">
        <f>"10827182000203"</f>
        <v/>
      </c>
      <c r="E6538" s="30" t="inlineStr">
        <is>
          <t>ITAGUAI CONSTRUCOES NAVAIS S/A</t>
        </is>
      </c>
      <c r="F6538" s="30" t="inlineStr">
        <is>
          <t>2020</t>
        </is>
      </c>
      <c r="G6538" s="40" t="n">
        <v>0</v>
      </c>
    </row>
    <row r="6539" ht="12" customHeight="1">
      <c r="A6539" s="30" t="inlineStr">
        <is>
          <t>ITG</t>
        </is>
      </c>
      <c r="B6539" s="30" t="inlineStr">
        <is>
          <t>Itaguai</t>
        </is>
      </c>
      <c r="C6539" s="30" t="n">
        <v>79743828</v>
      </c>
      <c r="D6539" s="30">
        <f>"10827182000203"</f>
        <v/>
      </c>
      <c r="E6539" s="30" t="inlineStr">
        <is>
          <t>ITAGUAI CONSTRUCOES NAVAIS S/A</t>
        </is>
      </c>
      <c r="F6539" s="30" t="inlineStr">
        <is>
          <t>2021</t>
        </is>
      </c>
      <c r="G6539" s="40" t="n">
        <v>0</v>
      </c>
    </row>
    <row r="6540" ht="12" customHeight="1">
      <c r="A6540" s="30" t="inlineStr">
        <is>
          <t>ITG</t>
        </is>
      </c>
      <c r="B6540" s="30" t="inlineStr">
        <is>
          <t>Itaguai</t>
        </is>
      </c>
      <c r="C6540" s="30" t="n">
        <v>79743828</v>
      </c>
      <c r="D6540" s="30">
        <f>"10827182000203"</f>
        <v/>
      </c>
      <c r="E6540" s="30" t="inlineStr">
        <is>
          <t>ITAGUAI CONSTRUCOES NAVAIS S/A</t>
        </is>
      </c>
      <c r="F6540" s="30" t="inlineStr">
        <is>
          <t>2022</t>
        </is>
      </c>
      <c r="G6540" s="40" t="n">
        <v>0</v>
      </c>
    </row>
    <row r="6541" ht="12" customHeight="1">
      <c r="A6541" s="30" t="inlineStr">
        <is>
          <t>ITG</t>
        </is>
      </c>
      <c r="B6541" s="30" t="inlineStr">
        <is>
          <t>Itaguai</t>
        </is>
      </c>
      <c r="C6541" s="30" t="n">
        <v>79743828</v>
      </c>
      <c r="D6541" s="30">
        <f>"10827182000203"</f>
        <v/>
      </c>
      <c r="E6541" s="30" t="inlineStr">
        <is>
          <t>ITAGUAI CONSTRUCOES NAVAIS S/A</t>
        </is>
      </c>
      <c r="F6541" s="30" t="inlineStr">
        <is>
          <t>2023</t>
        </is>
      </c>
      <c r="G6541" s="40" t="n">
        <v>0</v>
      </c>
    </row>
    <row r="6542" ht="12" customHeight="1">
      <c r="A6542" s="30" t="inlineStr">
        <is>
          <t>ITG</t>
        </is>
      </c>
      <c r="B6542" s="30" t="inlineStr">
        <is>
          <t>Itaguai</t>
        </is>
      </c>
      <c r="C6542" s="30" t="n">
        <v>79748277</v>
      </c>
      <c r="D6542" s="30">
        <f>"78391612004137"</f>
        <v/>
      </c>
      <c r="E6542" s="30" t="inlineStr">
        <is>
          <t>IBQ - INDUSTRIAS QUIMICAS S/A</t>
        </is>
      </c>
      <c r="F6542" s="30" t="inlineStr">
        <is>
          <t>2017</t>
        </is>
      </c>
      <c r="G6542" s="40" t="n">
        <v>2103.51</v>
      </c>
    </row>
    <row r="6543" ht="12" customHeight="1">
      <c r="A6543" s="30" t="inlineStr">
        <is>
          <t>ITG</t>
        </is>
      </c>
      <c r="B6543" s="30" t="inlineStr">
        <is>
          <t>Itaguai</t>
        </is>
      </c>
      <c r="C6543" s="30" t="n">
        <v>79748277</v>
      </c>
      <c r="D6543" s="30">
        <f>"78391612004137"</f>
        <v/>
      </c>
      <c r="E6543" s="30" t="inlineStr">
        <is>
          <t>IBQ - INDUSTRIAS QUIMICAS S/A</t>
        </is>
      </c>
      <c r="F6543" s="30" t="inlineStr">
        <is>
          <t>2018</t>
        </is>
      </c>
      <c r="G6543" s="40" t="n">
        <v>0</v>
      </c>
    </row>
    <row r="6544" ht="12" customHeight="1">
      <c r="A6544" s="30" t="inlineStr">
        <is>
          <t>ITG</t>
        </is>
      </c>
      <c r="B6544" s="30" t="inlineStr">
        <is>
          <t>Itaguai</t>
        </is>
      </c>
      <c r="C6544" s="30" t="n">
        <v>79748277</v>
      </c>
      <c r="D6544" s="30">
        <f>"78391612004137"</f>
        <v/>
      </c>
      <c r="E6544" s="30" t="inlineStr">
        <is>
          <t>IBQ - INDUSTRIAS QUIMICAS S/A</t>
        </is>
      </c>
      <c r="F6544" s="30" t="inlineStr">
        <is>
          <t>2019</t>
        </is>
      </c>
      <c r="G6544" s="40" t="n">
        <v>0</v>
      </c>
    </row>
    <row r="6545" ht="12" customHeight="1">
      <c r="A6545" s="30" t="inlineStr">
        <is>
          <t>ITG</t>
        </is>
      </c>
      <c r="B6545" s="30" t="inlineStr">
        <is>
          <t>Itaguai</t>
        </is>
      </c>
      <c r="C6545" s="30" t="n">
        <v>79748277</v>
      </c>
      <c r="D6545" s="30">
        <f>"78391612004137"</f>
        <v/>
      </c>
      <c r="E6545" s="30" t="inlineStr">
        <is>
          <t>IBQ - INDUSTRIAS QUIMICAS S/A</t>
        </is>
      </c>
      <c r="F6545" s="30" t="inlineStr">
        <is>
          <t>2020</t>
        </is>
      </c>
      <c r="G6545" s="40" t="n">
        <v>0</v>
      </c>
    </row>
    <row r="6546" ht="12" customHeight="1">
      <c r="A6546" s="30" t="inlineStr">
        <is>
          <t>ITG</t>
        </is>
      </c>
      <c r="B6546" s="30" t="inlineStr">
        <is>
          <t>Itaguai</t>
        </is>
      </c>
      <c r="C6546" s="30" t="n">
        <v>79757055</v>
      </c>
      <c r="D6546" s="30">
        <f>"20468310010024"</f>
        <v/>
      </c>
      <c r="E6546" s="30" t="inlineStr">
        <is>
          <t>TORA TRANSPORTES INDUSTRIAIS LTDA</t>
        </is>
      </c>
      <c r="F6546" s="30" t="inlineStr">
        <is>
          <t>2017</t>
        </is>
      </c>
      <c r="G6546" s="40" t="n">
        <v>216340.35</v>
      </c>
    </row>
    <row r="6547" ht="12" customHeight="1">
      <c r="A6547" s="30" t="inlineStr">
        <is>
          <t>ITG</t>
        </is>
      </c>
      <c r="B6547" s="30" t="inlineStr">
        <is>
          <t>Itaguai</t>
        </is>
      </c>
      <c r="C6547" s="30" t="n">
        <v>79757055</v>
      </c>
      <c r="D6547" s="30">
        <f>"20468310010024"</f>
        <v/>
      </c>
      <c r="E6547" s="30" t="inlineStr">
        <is>
          <t>TORA TRANSPORTES INDUSTRIAIS LTDA</t>
        </is>
      </c>
      <c r="F6547" s="30" t="inlineStr">
        <is>
          <t>2018</t>
        </is>
      </c>
      <c r="G6547" s="40" t="n">
        <v>174517.09</v>
      </c>
    </row>
    <row r="6548" ht="12" customHeight="1">
      <c r="A6548" s="30" t="inlineStr">
        <is>
          <t>ITG</t>
        </is>
      </c>
      <c r="B6548" s="30" t="inlineStr">
        <is>
          <t>Itaguai</t>
        </is>
      </c>
      <c r="C6548" s="30" t="n">
        <v>79757055</v>
      </c>
      <c r="D6548" s="30">
        <f>"20468310010024"</f>
        <v/>
      </c>
      <c r="E6548" s="30" t="inlineStr">
        <is>
          <t>TORA TRANSPORTES INDUSTRIAIS LTDA</t>
        </is>
      </c>
      <c r="F6548" s="30" t="inlineStr">
        <is>
          <t>2019</t>
        </is>
      </c>
      <c r="G6548" s="40" t="n">
        <v>78773.60000000001</v>
      </c>
    </row>
    <row r="6549" ht="12" customHeight="1">
      <c r="A6549" s="30" t="inlineStr">
        <is>
          <t>ITG</t>
        </is>
      </c>
      <c r="B6549" s="30" t="inlineStr">
        <is>
          <t>Itaguai</t>
        </is>
      </c>
      <c r="C6549" s="30" t="n">
        <v>79757055</v>
      </c>
      <c r="D6549" s="30">
        <f>"20468310010024"</f>
        <v/>
      </c>
      <c r="E6549" s="30" t="inlineStr">
        <is>
          <t>TORA TRANSPORTES INDUSTRIAIS LTDA</t>
        </is>
      </c>
      <c r="F6549" s="30" t="inlineStr">
        <is>
          <t>2020</t>
        </is>
      </c>
      <c r="G6549" s="40" t="n">
        <v>132631.06</v>
      </c>
    </row>
    <row r="6550" ht="12" customHeight="1">
      <c r="A6550" s="30" t="inlineStr">
        <is>
          <t>ITG</t>
        </is>
      </c>
      <c r="B6550" s="30" t="inlineStr">
        <is>
          <t>Itaguai</t>
        </is>
      </c>
      <c r="C6550" s="30" t="n">
        <v>79757055</v>
      </c>
      <c r="D6550" s="30">
        <f>"20468310010024"</f>
        <v/>
      </c>
      <c r="E6550" s="30" t="inlineStr">
        <is>
          <t>TORA TRANSPORTES INDUSTRIAIS LTDA</t>
        </is>
      </c>
      <c r="F6550" s="30" t="inlineStr">
        <is>
          <t>2021</t>
        </is>
      </c>
      <c r="G6550" s="40" t="n">
        <v>125532.85</v>
      </c>
    </row>
    <row r="6551" ht="12" customHeight="1">
      <c r="A6551" s="30" t="inlineStr">
        <is>
          <t>ITG</t>
        </is>
      </c>
      <c r="B6551" s="30" t="inlineStr">
        <is>
          <t>Itaguai</t>
        </is>
      </c>
      <c r="C6551" s="30" t="n">
        <v>79757055</v>
      </c>
      <c r="D6551" s="30">
        <f>"20468310010024"</f>
        <v/>
      </c>
      <c r="E6551" s="30" t="inlineStr">
        <is>
          <t>TORA TRANSPORTES INDUSTRIAIS LTDA</t>
        </is>
      </c>
      <c r="F6551" s="30" t="inlineStr">
        <is>
          <t>2022</t>
        </is>
      </c>
      <c r="G6551" s="40" t="n">
        <v>27091.12</v>
      </c>
    </row>
    <row r="6552" ht="12" customHeight="1">
      <c r="A6552" s="30" t="inlineStr">
        <is>
          <t>ITG</t>
        </is>
      </c>
      <c r="B6552" s="30" t="inlineStr">
        <is>
          <t>Itaguai</t>
        </is>
      </c>
      <c r="C6552" s="30" t="n">
        <v>79757055</v>
      </c>
      <c r="D6552" s="30">
        <f>"20468310010024"</f>
        <v/>
      </c>
      <c r="E6552" s="30" t="inlineStr">
        <is>
          <t>TORA TRANSPORTES INDUSTRIAIS LTDA</t>
        </is>
      </c>
      <c r="F6552" s="30" t="inlineStr">
        <is>
          <t>2023</t>
        </is>
      </c>
      <c r="G6552" s="40" t="n">
        <v>101641.77</v>
      </c>
    </row>
    <row r="6553" ht="12" customHeight="1">
      <c r="A6553" s="30" t="inlineStr">
        <is>
          <t>ITG</t>
        </is>
      </c>
      <c r="B6553" s="30" t="inlineStr">
        <is>
          <t>Itaguai</t>
        </is>
      </c>
      <c r="C6553" s="30" t="n">
        <v>79757357</v>
      </c>
      <c r="D6553" s="30">
        <f>"16865493000162"</f>
        <v/>
      </c>
      <c r="E6553" s="30" t="inlineStr">
        <is>
          <t>AGRO VERDE COOPERATIVA DE PRODUTORES RURAIS LTDA</t>
        </is>
      </c>
      <c r="F6553" s="30" t="inlineStr">
        <is>
          <t>2017</t>
        </is>
      </c>
      <c r="G6553" s="40" t="n">
        <v>2004496.98</v>
      </c>
    </row>
    <row r="6554" ht="12" customHeight="1">
      <c r="A6554" s="30" t="inlineStr">
        <is>
          <t>ITG</t>
        </is>
      </c>
      <c r="B6554" s="30" t="inlineStr">
        <is>
          <t>Itaguai</t>
        </is>
      </c>
      <c r="C6554" s="30" t="n">
        <v>79757357</v>
      </c>
      <c r="D6554" s="30">
        <f>"16865493000162"</f>
        <v/>
      </c>
      <c r="E6554" s="30" t="inlineStr">
        <is>
          <t>AGRO VERDE COOPERATIVA DE PRODUTORES RURAIS LTDA</t>
        </is>
      </c>
      <c r="F6554" s="30" t="inlineStr">
        <is>
          <t>2018</t>
        </is>
      </c>
      <c r="G6554" s="40" t="n">
        <v>0</v>
      </c>
    </row>
    <row r="6555" ht="12" customHeight="1">
      <c r="A6555" s="30" t="inlineStr">
        <is>
          <t>ITG</t>
        </is>
      </c>
      <c r="B6555" s="30" t="inlineStr">
        <is>
          <t>Itaguai</t>
        </is>
      </c>
      <c r="C6555" s="30" t="n">
        <v>79757357</v>
      </c>
      <c r="D6555" s="30">
        <f>"16865493000162"</f>
        <v/>
      </c>
      <c r="E6555" s="30" t="inlineStr">
        <is>
          <t>AGRO VERDE COOPERATIVA DE PRODUTORES RURAIS LTDA</t>
        </is>
      </c>
      <c r="F6555" s="30" t="inlineStr">
        <is>
          <t>2019</t>
        </is>
      </c>
      <c r="G6555" s="40" t="n">
        <v>0</v>
      </c>
    </row>
    <row r="6556" ht="12" customHeight="1">
      <c r="A6556" s="30" t="inlineStr">
        <is>
          <t>ITG</t>
        </is>
      </c>
      <c r="B6556" s="30" t="inlineStr">
        <is>
          <t>Itaguai</t>
        </is>
      </c>
      <c r="C6556" s="30" t="n">
        <v>79769029</v>
      </c>
      <c r="D6556" s="30">
        <f>"00419947000131"</f>
        <v/>
      </c>
      <c r="E6556" s="30" t="inlineStr">
        <is>
          <t>AC NA ROCHA VEICULOS EIRELI</t>
        </is>
      </c>
      <c r="F6556" s="30" t="inlineStr">
        <is>
          <t>2017</t>
        </is>
      </c>
      <c r="G6556" s="40" t="n">
        <v>0</v>
      </c>
    </row>
    <row r="6557" ht="12" customHeight="1">
      <c r="A6557" s="30" t="inlineStr">
        <is>
          <t>ITG</t>
        </is>
      </c>
      <c r="B6557" s="30" t="inlineStr">
        <is>
          <t>Itaguai</t>
        </is>
      </c>
      <c r="C6557" s="30" t="n">
        <v>79769029</v>
      </c>
      <c r="D6557" s="30">
        <f>"00419947000131"</f>
        <v/>
      </c>
      <c r="E6557" s="30" t="inlineStr">
        <is>
          <t>AC NA ROCHA VEICULOS EIRELI</t>
        </is>
      </c>
      <c r="F6557" s="30" t="inlineStr">
        <is>
          <t>2018</t>
        </is>
      </c>
      <c r="G6557" s="40" t="n">
        <v>0</v>
      </c>
    </row>
    <row r="6558" ht="12" customHeight="1">
      <c r="A6558" s="30" t="inlineStr">
        <is>
          <t>ITG</t>
        </is>
      </c>
      <c r="B6558" s="30" t="inlineStr">
        <is>
          <t>Itaguai</t>
        </is>
      </c>
      <c r="C6558" s="30" t="n">
        <v>79769029</v>
      </c>
      <c r="D6558" s="30">
        <f>"00419947000131"</f>
        <v/>
      </c>
      <c r="E6558" s="30" t="inlineStr">
        <is>
          <t>AC NA ROCHA VEICULOS EIRELI</t>
        </is>
      </c>
      <c r="F6558" s="30" t="inlineStr">
        <is>
          <t>2019</t>
        </is>
      </c>
      <c r="G6558" s="40" t="n">
        <v>0</v>
      </c>
    </row>
    <row r="6559" ht="12" customHeight="1">
      <c r="A6559" s="30" t="inlineStr">
        <is>
          <t>ITG</t>
        </is>
      </c>
      <c r="B6559" s="30" t="inlineStr">
        <is>
          <t>Itaguai</t>
        </is>
      </c>
      <c r="C6559" s="30" t="n">
        <v>79769029</v>
      </c>
      <c r="D6559" s="30">
        <f>"00419947000131"</f>
        <v/>
      </c>
      <c r="E6559" s="30" t="inlineStr">
        <is>
          <t>AC NA ROCHA VEICULOS EIRELI</t>
        </is>
      </c>
      <c r="F6559" s="30" t="inlineStr">
        <is>
          <t>2020</t>
        </is>
      </c>
      <c r="G6559" s="40" t="n">
        <v>0</v>
      </c>
    </row>
    <row r="6560" ht="12" customHeight="1">
      <c r="A6560" s="30" t="inlineStr">
        <is>
          <t>ITG</t>
        </is>
      </c>
      <c r="B6560" s="30" t="inlineStr">
        <is>
          <t>Itaguai</t>
        </is>
      </c>
      <c r="C6560" s="30" t="n">
        <v>79769029</v>
      </c>
      <c r="D6560" s="30">
        <f>"00419947000131"</f>
        <v/>
      </c>
      <c r="E6560" s="30" t="inlineStr">
        <is>
          <t>AC NA ROCHA VEICULOS EIRELI</t>
        </is>
      </c>
      <c r="F6560" s="30" t="inlineStr">
        <is>
          <t>2021</t>
        </is>
      </c>
      <c r="G6560" s="40" t="n">
        <v>0</v>
      </c>
    </row>
    <row r="6561" ht="12" customHeight="1">
      <c r="A6561" s="30" t="inlineStr">
        <is>
          <t>ITG</t>
        </is>
      </c>
      <c r="B6561" s="30" t="inlineStr">
        <is>
          <t>Itaguai</t>
        </is>
      </c>
      <c r="C6561" s="30" t="n">
        <v>79769029</v>
      </c>
      <c r="D6561" s="30">
        <f>"00419947000131"</f>
        <v/>
      </c>
      <c r="E6561" s="30" t="inlineStr">
        <is>
          <t>AC NA ROCHA VEICULOS EIRELI</t>
        </is>
      </c>
      <c r="F6561" s="30" t="inlineStr">
        <is>
          <t>2022</t>
        </is>
      </c>
      <c r="G6561" s="40" t="n">
        <v>0</v>
      </c>
    </row>
    <row r="6562" ht="12" customHeight="1">
      <c r="A6562" s="30" t="inlineStr">
        <is>
          <t>ITG</t>
        </is>
      </c>
      <c r="B6562" s="30" t="inlineStr">
        <is>
          <t>Itaguai</t>
        </is>
      </c>
      <c r="C6562" s="30" t="n">
        <v>79769029</v>
      </c>
      <c r="D6562" s="30">
        <f>"00419947000131"</f>
        <v/>
      </c>
      <c r="E6562" s="30" t="inlineStr">
        <is>
          <t>AC NA ROCHA VEICULOS EIRELI</t>
        </is>
      </c>
      <c r="F6562" s="30" t="inlineStr">
        <is>
          <t>2023</t>
        </is>
      </c>
      <c r="G6562" s="40" t="n">
        <v>0</v>
      </c>
    </row>
    <row r="6563" ht="12" customHeight="1">
      <c r="A6563" s="30" t="inlineStr">
        <is>
          <t>ITG</t>
        </is>
      </c>
      <c r="B6563" s="30" t="inlineStr">
        <is>
          <t>Itaguai</t>
        </is>
      </c>
      <c r="C6563" s="30" t="n">
        <v>79774820</v>
      </c>
      <c r="D6563" s="30">
        <f>"16971064000170"</f>
        <v/>
      </c>
      <c r="E6563" s="30" t="inlineStr">
        <is>
          <t>M C DOS SANTOS MAQUINA E TERRAPLANAGEM EIRELI</t>
        </is>
      </c>
      <c r="F6563" s="30" t="inlineStr">
        <is>
          <t>2017</t>
        </is>
      </c>
      <c r="G6563" s="40" t="n">
        <v>0</v>
      </c>
    </row>
    <row r="6564" ht="12" customHeight="1">
      <c r="A6564" s="30" t="inlineStr">
        <is>
          <t>ITG</t>
        </is>
      </c>
      <c r="B6564" s="30" t="inlineStr">
        <is>
          <t>Itaguai</t>
        </is>
      </c>
      <c r="C6564" s="30" t="n">
        <v>79774820</v>
      </c>
      <c r="D6564" s="30">
        <f>"16971064000170"</f>
        <v/>
      </c>
      <c r="E6564" s="30" t="inlineStr">
        <is>
          <t>M C DOS SANTOS MAQUINA E TERRAPLANAGEM EIRELI</t>
        </is>
      </c>
      <c r="F6564" s="30" t="inlineStr">
        <is>
          <t>2018</t>
        </is>
      </c>
      <c r="G6564" s="40" t="n">
        <v>0</v>
      </c>
    </row>
    <row r="6565" ht="12" customHeight="1">
      <c r="A6565" s="30" t="inlineStr">
        <is>
          <t>ITG</t>
        </is>
      </c>
      <c r="B6565" s="30" t="inlineStr">
        <is>
          <t>Itaguai</t>
        </is>
      </c>
      <c r="C6565" s="30" t="n">
        <v>79774820</v>
      </c>
      <c r="D6565" s="30">
        <f>"16971064000170"</f>
        <v/>
      </c>
      <c r="E6565" s="30" t="inlineStr">
        <is>
          <t>M C DOS SANTOS MAQUINA E TERRAPLANAGEM EIRELI</t>
        </is>
      </c>
      <c r="F6565" s="30" t="inlineStr">
        <is>
          <t>2019</t>
        </is>
      </c>
      <c r="G6565" s="40" t="n">
        <v>0</v>
      </c>
    </row>
    <row r="6566" ht="12" customHeight="1">
      <c r="A6566" s="30" t="inlineStr">
        <is>
          <t>ITG</t>
        </is>
      </c>
      <c r="B6566" s="30" t="inlineStr">
        <is>
          <t>Itaguai</t>
        </is>
      </c>
      <c r="C6566" s="30" t="n">
        <v>79774820</v>
      </c>
      <c r="D6566" s="30">
        <f>"16971064000170"</f>
        <v/>
      </c>
      <c r="E6566" s="30" t="inlineStr">
        <is>
          <t>M C DOS SANTOS MAQUINA E TERRAPLANAGEM EIRELI</t>
        </is>
      </c>
      <c r="F6566" s="30" t="inlineStr">
        <is>
          <t>2020</t>
        </is>
      </c>
      <c r="G6566" s="40" t="n">
        <v>0</v>
      </c>
    </row>
    <row r="6567" ht="12" customHeight="1">
      <c r="A6567" s="30" t="inlineStr">
        <is>
          <t>ITG</t>
        </is>
      </c>
      <c r="B6567" s="30" t="inlineStr">
        <is>
          <t>Itaguai</t>
        </is>
      </c>
      <c r="C6567" s="30" t="n">
        <v>79774820</v>
      </c>
      <c r="D6567" s="30">
        <f>"16971064000170"</f>
        <v/>
      </c>
      <c r="E6567" s="30" t="inlineStr">
        <is>
          <t>M C DOS SANTOS MAQUINA E TERRAPLANAGEM EIRELI</t>
        </is>
      </c>
      <c r="F6567" s="30" t="inlineStr">
        <is>
          <t>2021</t>
        </is>
      </c>
      <c r="G6567" s="40" t="n">
        <v>0</v>
      </c>
    </row>
    <row r="6568" ht="12" customHeight="1">
      <c r="A6568" s="30" t="inlineStr">
        <is>
          <t>ITG</t>
        </is>
      </c>
      <c r="B6568" s="30" t="inlineStr">
        <is>
          <t>Itaguai</t>
        </is>
      </c>
      <c r="C6568" s="30" t="n">
        <v>79774820</v>
      </c>
      <c r="D6568" s="30">
        <f>"16971064000170"</f>
        <v/>
      </c>
      <c r="E6568" s="30" t="inlineStr">
        <is>
          <t>M C DOS SANTOS MAQUINA E TERRAPLANAGEM EIRELI</t>
        </is>
      </c>
      <c r="F6568" s="30" t="inlineStr">
        <is>
          <t>2022</t>
        </is>
      </c>
      <c r="G6568" s="40" t="n">
        <v>0</v>
      </c>
    </row>
    <row r="6569" ht="12" customHeight="1">
      <c r="A6569" s="30" t="inlineStr">
        <is>
          <t>ITG</t>
        </is>
      </c>
      <c r="B6569" s="30" t="inlineStr">
        <is>
          <t>Itaguai</t>
        </is>
      </c>
      <c r="C6569" s="30" t="n">
        <v>79781754</v>
      </c>
      <c r="D6569" s="30">
        <f>"17056562000150"</f>
        <v/>
      </c>
      <c r="E6569" s="30" t="inlineStr">
        <is>
          <t>TRANSCOMB TRANSPORTADORA LTDA</t>
        </is>
      </c>
      <c r="F6569" s="30" t="inlineStr">
        <is>
          <t>2017</t>
        </is>
      </c>
      <c r="G6569" s="40" t="n">
        <v>0</v>
      </c>
    </row>
    <row r="6570" ht="12" customHeight="1">
      <c r="A6570" s="30" t="inlineStr">
        <is>
          <t>ITG</t>
        </is>
      </c>
      <c r="B6570" s="30" t="inlineStr">
        <is>
          <t>Itaguai</t>
        </is>
      </c>
      <c r="C6570" s="30" t="n">
        <v>79781754</v>
      </c>
      <c r="D6570" s="30">
        <f>"17056562000150"</f>
        <v/>
      </c>
      <c r="E6570" s="30" t="inlineStr">
        <is>
          <t>TRANSCOMB TRANSPORTADORA LTDA</t>
        </is>
      </c>
      <c r="F6570" s="30" t="inlineStr">
        <is>
          <t>2018</t>
        </is>
      </c>
      <c r="G6570" s="40" t="n">
        <v>0</v>
      </c>
    </row>
    <row r="6571" ht="12" customHeight="1">
      <c r="A6571" s="30" t="inlineStr">
        <is>
          <t>ITG</t>
        </is>
      </c>
      <c r="B6571" s="30" t="inlineStr">
        <is>
          <t>Itaguai</t>
        </is>
      </c>
      <c r="C6571" s="30" t="n">
        <v>79781754</v>
      </c>
      <c r="D6571" s="30">
        <f>"17056562000150"</f>
        <v/>
      </c>
      <c r="E6571" s="30" t="inlineStr">
        <is>
          <t>TRANSCOMB TRANSPORTADORA LTDA</t>
        </is>
      </c>
      <c r="F6571" s="30" t="inlineStr">
        <is>
          <t>2019</t>
        </is>
      </c>
      <c r="G6571" s="40" t="n">
        <v>0</v>
      </c>
    </row>
    <row r="6572" ht="12" customHeight="1">
      <c r="A6572" s="30" t="inlineStr">
        <is>
          <t>ITG</t>
        </is>
      </c>
      <c r="B6572" s="30" t="inlineStr">
        <is>
          <t>Itaguai</t>
        </is>
      </c>
      <c r="C6572" s="30" t="n">
        <v>79781754</v>
      </c>
      <c r="D6572" s="30">
        <f>"17056562000150"</f>
        <v/>
      </c>
      <c r="E6572" s="30" t="inlineStr">
        <is>
          <t>TRANSCOMB TRANSPORTADORA LTDA</t>
        </is>
      </c>
      <c r="F6572" s="30" t="inlineStr">
        <is>
          <t>2020</t>
        </is>
      </c>
      <c r="G6572" s="40" t="n">
        <v>0</v>
      </c>
    </row>
    <row r="6573" ht="12" customHeight="1">
      <c r="A6573" s="30" t="inlineStr">
        <is>
          <t>ITG</t>
        </is>
      </c>
      <c r="B6573" s="30" t="inlineStr">
        <is>
          <t>Itaguai</t>
        </is>
      </c>
      <c r="C6573" s="30" t="n">
        <v>79781754</v>
      </c>
      <c r="D6573" s="30">
        <f>"17056562000150"</f>
        <v/>
      </c>
      <c r="E6573" s="30" t="inlineStr">
        <is>
          <t>TRANSCOMB TRANSPORTADORA LTDA</t>
        </is>
      </c>
      <c r="F6573" s="30" t="inlineStr">
        <is>
          <t>2021</t>
        </is>
      </c>
      <c r="G6573" s="40" t="n">
        <v>0</v>
      </c>
    </row>
    <row r="6574" ht="12" customHeight="1">
      <c r="A6574" s="30" t="inlineStr">
        <is>
          <t>ITG</t>
        </is>
      </c>
      <c r="B6574" s="30" t="inlineStr">
        <is>
          <t>Itaguai</t>
        </is>
      </c>
      <c r="C6574" s="30" t="n">
        <v>79781754</v>
      </c>
      <c r="D6574" s="30">
        <f>"17056562000150"</f>
        <v/>
      </c>
      <c r="E6574" s="30" t="inlineStr">
        <is>
          <t>TRANSCOMB TRANSPORTADORA LTDA</t>
        </is>
      </c>
      <c r="F6574" s="30" t="inlineStr">
        <is>
          <t>2022</t>
        </is>
      </c>
      <c r="G6574" s="40" t="n">
        <v>0</v>
      </c>
    </row>
    <row r="6575" ht="12" customHeight="1">
      <c r="A6575" s="30" t="inlineStr">
        <is>
          <t>ITG</t>
        </is>
      </c>
      <c r="B6575" s="30" t="inlineStr">
        <is>
          <t>Itaguai</t>
        </is>
      </c>
      <c r="C6575" s="30" t="n">
        <v>79781754</v>
      </c>
      <c r="D6575" s="30">
        <f>"17056562000150"</f>
        <v/>
      </c>
      <c r="E6575" s="30" t="inlineStr">
        <is>
          <t>TRANSCOMB TRANSPORTADORA LTDA</t>
        </is>
      </c>
      <c r="F6575" s="30" t="inlineStr">
        <is>
          <t>2023</t>
        </is>
      </c>
      <c r="G6575" s="40" t="n">
        <v>0</v>
      </c>
    </row>
    <row r="6576" ht="12" customHeight="1">
      <c r="A6576" s="30" t="inlineStr">
        <is>
          <t>ITG</t>
        </is>
      </c>
      <c r="B6576" s="30" t="inlineStr">
        <is>
          <t>Itaguai</t>
        </is>
      </c>
      <c r="C6576" s="30" t="n">
        <v>79789240</v>
      </c>
      <c r="D6576" s="30">
        <f>"17095502000146"</f>
        <v/>
      </c>
      <c r="E6576" s="30" t="inlineStr">
        <is>
          <t>A ALPHA MANUTENCAO E MONTAGEM LTDA ME</t>
        </is>
      </c>
      <c r="F6576" s="30" t="inlineStr">
        <is>
          <t>2018</t>
        </is>
      </c>
      <c r="G6576" s="40" t="n">
        <v>0</v>
      </c>
    </row>
    <row r="6577" ht="12" customHeight="1">
      <c r="A6577" s="30" t="inlineStr">
        <is>
          <t>ITG</t>
        </is>
      </c>
      <c r="B6577" s="30" t="inlineStr">
        <is>
          <t>Itaguai</t>
        </is>
      </c>
      <c r="C6577" s="30" t="n">
        <v>79789240</v>
      </c>
      <c r="D6577" s="30">
        <f>"17095502000146"</f>
        <v/>
      </c>
      <c r="E6577" s="30" t="inlineStr">
        <is>
          <t>A ALPHA MANUTENCAO E MONTAGEM LTDA ME</t>
        </is>
      </c>
      <c r="F6577" s="30" t="inlineStr">
        <is>
          <t>2019</t>
        </is>
      </c>
      <c r="G6577" s="40" t="n">
        <v>0</v>
      </c>
    </row>
    <row r="6578" ht="12" customHeight="1">
      <c r="A6578" s="30" t="inlineStr">
        <is>
          <t>ITG</t>
        </is>
      </c>
      <c r="B6578" s="30" t="inlineStr">
        <is>
          <t>Itaguai</t>
        </is>
      </c>
      <c r="C6578" s="30" t="n">
        <v>79789240</v>
      </c>
      <c r="D6578" s="30">
        <f>"17095502000146"</f>
        <v/>
      </c>
      <c r="E6578" s="30" t="inlineStr">
        <is>
          <t>A ALPHA MANUTENCAO E MONTAGEM LTDA ME</t>
        </is>
      </c>
      <c r="F6578" s="30" t="inlineStr">
        <is>
          <t>2020</t>
        </is>
      </c>
      <c r="G6578" s="40" t="n">
        <v>0</v>
      </c>
    </row>
    <row r="6579" ht="12" customHeight="1">
      <c r="A6579" s="30" t="inlineStr">
        <is>
          <t>ITG</t>
        </is>
      </c>
      <c r="B6579" s="30" t="inlineStr">
        <is>
          <t>Itaguai</t>
        </is>
      </c>
      <c r="C6579" s="30" t="n">
        <v>79789240</v>
      </c>
      <c r="D6579" s="30">
        <f>"17095502000146"</f>
        <v/>
      </c>
      <c r="E6579" s="30" t="inlineStr">
        <is>
          <t>A ALPHA MANUTENCAO E MONTAGEM LTDA ME</t>
        </is>
      </c>
      <c r="F6579" s="30" t="inlineStr">
        <is>
          <t>2021</t>
        </is>
      </c>
      <c r="G6579" s="40" t="n">
        <v>0</v>
      </c>
    </row>
    <row r="6580" ht="12" customHeight="1">
      <c r="A6580" s="30" t="inlineStr">
        <is>
          <t>ITG</t>
        </is>
      </c>
      <c r="B6580" s="30" t="inlineStr">
        <is>
          <t>Itaguai</t>
        </is>
      </c>
      <c r="C6580" s="30" t="n">
        <v>79789240</v>
      </c>
      <c r="D6580" s="30">
        <f>"17095502000146"</f>
        <v/>
      </c>
      <c r="E6580" s="30" t="inlineStr">
        <is>
          <t>A ALPHA MANUTENCAO E MONTAGEM LTDA ME</t>
        </is>
      </c>
      <c r="F6580" s="30" t="inlineStr">
        <is>
          <t>2022</t>
        </is>
      </c>
      <c r="G6580" s="40" t="n">
        <v>0</v>
      </c>
    </row>
    <row r="6581" ht="12" customHeight="1">
      <c r="A6581" s="30" t="inlineStr">
        <is>
          <t>ITG</t>
        </is>
      </c>
      <c r="B6581" s="30" t="inlineStr">
        <is>
          <t>Itaguai</t>
        </is>
      </c>
      <c r="C6581" s="30" t="n">
        <v>79789240</v>
      </c>
      <c r="D6581" s="30">
        <f>"17095502000146"</f>
        <v/>
      </c>
      <c r="E6581" s="30" t="inlineStr">
        <is>
          <t>A ALPHA MANUTENCAO E MONTAGEM LTDA ME</t>
        </is>
      </c>
      <c r="F6581" s="30" t="inlineStr">
        <is>
          <t>2023</t>
        </is>
      </c>
      <c r="G6581" s="40" t="n">
        <v>0</v>
      </c>
    </row>
    <row r="6582" ht="12" customHeight="1">
      <c r="A6582" s="30" t="inlineStr">
        <is>
          <t>ITG</t>
        </is>
      </c>
      <c r="B6582" s="30" t="inlineStr">
        <is>
          <t>Itaguai</t>
        </is>
      </c>
      <c r="C6582" s="30" t="n">
        <v>79789410</v>
      </c>
      <c r="D6582" s="30">
        <f>"13725103000241"</f>
        <v/>
      </c>
      <c r="E6582" s="30" t="inlineStr">
        <is>
          <t>INTALOG LOGISTICA TRANSPORTES LTDA</t>
        </is>
      </c>
      <c r="F6582" s="30" t="inlineStr">
        <is>
          <t>2017</t>
        </is>
      </c>
      <c r="G6582" s="40" t="n">
        <v>0</v>
      </c>
    </row>
    <row r="6583" ht="12" customHeight="1">
      <c r="A6583" s="30" t="inlineStr">
        <is>
          <t>ITG</t>
        </is>
      </c>
      <c r="B6583" s="30" t="inlineStr">
        <is>
          <t>Itaguai</t>
        </is>
      </c>
      <c r="C6583" s="30" t="n">
        <v>79789410</v>
      </c>
      <c r="D6583" s="30">
        <f>"13725103000241"</f>
        <v/>
      </c>
      <c r="E6583" s="30" t="inlineStr">
        <is>
          <t>INTALOG LOGISTICA TRANSPORTES LTDA</t>
        </is>
      </c>
      <c r="F6583" s="30" t="inlineStr">
        <is>
          <t>2018</t>
        </is>
      </c>
      <c r="G6583" s="40" t="n">
        <v>0</v>
      </c>
    </row>
    <row r="6584" ht="12" customHeight="1">
      <c r="A6584" s="30" t="inlineStr">
        <is>
          <t>ITG</t>
        </is>
      </c>
      <c r="B6584" s="30" t="inlineStr">
        <is>
          <t>Itaguai</t>
        </is>
      </c>
      <c r="C6584" s="30" t="n">
        <v>79789410</v>
      </c>
      <c r="D6584" s="30">
        <f>"13725103000241"</f>
        <v/>
      </c>
      <c r="E6584" s="30" t="inlineStr">
        <is>
          <t>INTALOG LOGISTICA TRANSPORTES LTDA</t>
        </is>
      </c>
      <c r="F6584" s="30" t="inlineStr">
        <is>
          <t>2019</t>
        </is>
      </c>
      <c r="G6584" s="40" t="n">
        <v>0</v>
      </c>
    </row>
    <row r="6585" ht="12" customHeight="1">
      <c r="A6585" s="30" t="inlineStr">
        <is>
          <t>ITG</t>
        </is>
      </c>
      <c r="B6585" s="30" t="inlineStr">
        <is>
          <t>Itaguai</t>
        </is>
      </c>
      <c r="C6585" s="30" t="n">
        <v>79789410</v>
      </c>
      <c r="D6585" s="30">
        <f>"13725103000241"</f>
        <v/>
      </c>
      <c r="E6585" s="30" t="inlineStr">
        <is>
          <t>INTALOG LOGISTICA TRANSPORTES LTDA</t>
        </is>
      </c>
      <c r="F6585" s="30" t="inlineStr">
        <is>
          <t>2020</t>
        </is>
      </c>
      <c r="G6585" s="40" t="n">
        <v>0</v>
      </c>
    </row>
    <row r="6586" ht="12" customHeight="1">
      <c r="A6586" s="30" t="inlineStr">
        <is>
          <t>ITG</t>
        </is>
      </c>
      <c r="B6586" s="30" t="inlineStr">
        <is>
          <t>Itaguai</t>
        </is>
      </c>
      <c r="C6586" s="30" t="n">
        <v>79792349</v>
      </c>
      <c r="D6586" s="30">
        <f>"11875065000440"</f>
        <v/>
      </c>
      <c r="E6586" s="30" t="inlineStr">
        <is>
          <t>COMERCIAL ESTRELA SANTA CRUZ LTDA</t>
        </is>
      </c>
      <c r="F6586" s="30" t="inlineStr">
        <is>
          <t>2017</t>
        </is>
      </c>
      <c r="G6586" s="40" t="n">
        <v>2023910.91</v>
      </c>
    </row>
    <row r="6587" ht="12" customHeight="1">
      <c r="A6587" s="30" t="inlineStr">
        <is>
          <t>ITG</t>
        </is>
      </c>
      <c r="B6587" s="30" t="inlineStr">
        <is>
          <t>Itaguai</t>
        </is>
      </c>
      <c r="C6587" s="30" t="n">
        <v>79792349</v>
      </c>
      <c r="D6587" s="30">
        <f>"11875065000440"</f>
        <v/>
      </c>
      <c r="E6587" s="30" t="inlineStr">
        <is>
          <t>COMERCIAL ESTRELA SANTA CRUZ LTDA</t>
        </is>
      </c>
      <c r="F6587" s="30" t="inlineStr">
        <is>
          <t>2018</t>
        </is>
      </c>
      <c r="G6587" s="40" t="n">
        <v>1322256.01</v>
      </c>
    </row>
    <row r="6588" ht="12" customHeight="1">
      <c r="A6588" s="30" t="inlineStr">
        <is>
          <t>ITG</t>
        </is>
      </c>
      <c r="B6588" s="30" t="inlineStr">
        <is>
          <t>Itaguai</t>
        </is>
      </c>
      <c r="C6588" s="30" t="n">
        <v>79792349</v>
      </c>
      <c r="D6588" s="30">
        <f>"11875065000440"</f>
        <v/>
      </c>
      <c r="E6588" s="30" t="inlineStr">
        <is>
          <t>COMERCIAL ESTRELA SANTA CRUZ LTDA</t>
        </is>
      </c>
      <c r="F6588" s="30" t="inlineStr">
        <is>
          <t>2019</t>
        </is>
      </c>
      <c r="G6588" s="40" t="n">
        <v>1489473.51</v>
      </c>
    </row>
    <row r="6589" ht="12" customHeight="1">
      <c r="A6589" s="30" t="inlineStr">
        <is>
          <t>ITG</t>
        </is>
      </c>
      <c r="B6589" s="30" t="inlineStr">
        <is>
          <t>Itaguai</t>
        </is>
      </c>
      <c r="C6589" s="30" t="n">
        <v>79792349</v>
      </c>
      <c r="D6589" s="30">
        <f>"11875065000440"</f>
        <v/>
      </c>
      <c r="E6589" s="30" t="inlineStr">
        <is>
          <t>COMERCIAL ESTRELA SANTA CRUZ LTDA</t>
        </is>
      </c>
      <c r="F6589" s="30" t="inlineStr">
        <is>
          <t>2020</t>
        </is>
      </c>
      <c r="G6589" s="40" t="n">
        <v>1186723.45</v>
      </c>
    </row>
    <row r="6590" ht="12" customHeight="1">
      <c r="A6590" s="30" t="inlineStr">
        <is>
          <t>ITG</t>
        </is>
      </c>
      <c r="B6590" s="30" t="inlineStr">
        <is>
          <t>Itaguai</t>
        </is>
      </c>
      <c r="C6590" s="30" t="n">
        <v>79792349</v>
      </c>
      <c r="D6590" s="30">
        <f>"11875065000440"</f>
        <v/>
      </c>
      <c r="E6590" s="30" t="inlineStr">
        <is>
          <t>COMERCIAL ESTRELA SANTA CRUZ LTDA</t>
        </is>
      </c>
      <c r="F6590" s="30" t="inlineStr">
        <is>
          <t>2021</t>
        </is>
      </c>
      <c r="G6590" s="40" t="n">
        <v>1431669.7</v>
      </c>
    </row>
    <row r="6591" ht="12" customHeight="1">
      <c r="A6591" s="30" t="inlineStr">
        <is>
          <t>ITG</t>
        </is>
      </c>
      <c r="B6591" s="30" t="inlineStr">
        <is>
          <t>Itaguai</t>
        </is>
      </c>
      <c r="C6591" s="30" t="n">
        <v>79792349</v>
      </c>
      <c r="D6591" s="30">
        <f>"11875065000440"</f>
        <v/>
      </c>
      <c r="E6591" s="30" t="inlineStr">
        <is>
          <t>COMERCIAL ESTRELA SANTA CRUZ LTDA</t>
        </is>
      </c>
      <c r="F6591" s="30" t="inlineStr">
        <is>
          <t>2022</t>
        </is>
      </c>
      <c r="G6591" s="40" t="n">
        <v>567552.75</v>
      </c>
    </row>
    <row r="6592" ht="12" customHeight="1">
      <c r="A6592" s="30" t="inlineStr">
        <is>
          <t>ITG</t>
        </is>
      </c>
      <c r="B6592" s="30" t="inlineStr">
        <is>
          <t>Itaguai</t>
        </is>
      </c>
      <c r="C6592" s="30" t="n">
        <v>79792349</v>
      </c>
      <c r="D6592" s="30">
        <f>"11875065000440"</f>
        <v/>
      </c>
      <c r="E6592" s="30" t="inlineStr">
        <is>
          <t>COMERCIAL ESTRELA SANTA CRUZ LTDA</t>
        </is>
      </c>
      <c r="F6592" s="30" t="inlineStr">
        <is>
          <t>2023</t>
        </is>
      </c>
      <c r="G6592" s="40" t="n">
        <v>0</v>
      </c>
    </row>
    <row r="6593" ht="12" customHeight="1">
      <c r="A6593" s="30" t="inlineStr">
        <is>
          <t>ITG</t>
        </is>
      </c>
      <c r="B6593" s="30" t="inlineStr">
        <is>
          <t>Itaguai</t>
        </is>
      </c>
      <c r="C6593" s="30" t="n">
        <v>79798177</v>
      </c>
      <c r="D6593" s="30">
        <f>"14474037000166"</f>
        <v/>
      </c>
      <c r="E6593" s="30" t="inlineStr">
        <is>
          <t>D R BARBOSA SUPLEMENTOS ME</t>
        </is>
      </c>
      <c r="F6593" s="30" t="inlineStr">
        <is>
          <t>2017</t>
        </is>
      </c>
      <c r="G6593" s="40" t="n">
        <v>0</v>
      </c>
    </row>
    <row r="6594" ht="12" customHeight="1">
      <c r="A6594" s="30" t="inlineStr">
        <is>
          <t>ITG</t>
        </is>
      </c>
      <c r="B6594" s="30" t="inlineStr">
        <is>
          <t>Itaguai</t>
        </is>
      </c>
      <c r="C6594" s="30" t="n">
        <v>79798177</v>
      </c>
      <c r="D6594" s="30">
        <f>"14474037000166"</f>
        <v/>
      </c>
      <c r="E6594" s="30" t="inlineStr">
        <is>
          <t>D R BARBOSA SUPLEMENTOS ME</t>
        </is>
      </c>
      <c r="F6594" s="30" t="inlineStr">
        <is>
          <t>2018</t>
        </is>
      </c>
      <c r="G6594" s="40" t="n">
        <v>0</v>
      </c>
    </row>
    <row r="6595" ht="12" customHeight="1">
      <c r="A6595" s="30" t="inlineStr">
        <is>
          <t>ITG</t>
        </is>
      </c>
      <c r="B6595" s="30" t="inlineStr">
        <is>
          <t>Itaguai</t>
        </is>
      </c>
      <c r="C6595" s="30" t="n">
        <v>79798177</v>
      </c>
      <c r="D6595" s="30">
        <f>"14474037000166"</f>
        <v/>
      </c>
      <c r="E6595" s="30" t="inlineStr">
        <is>
          <t>D R BARBOSA SUPLEMENTOS ME</t>
        </is>
      </c>
      <c r="F6595" s="30" t="inlineStr">
        <is>
          <t>2019</t>
        </is>
      </c>
      <c r="G6595" s="40" t="n">
        <v>0</v>
      </c>
    </row>
    <row r="6596" ht="12" customHeight="1">
      <c r="A6596" s="30" t="inlineStr">
        <is>
          <t>ITG</t>
        </is>
      </c>
      <c r="B6596" s="30" t="inlineStr">
        <is>
          <t>Itaguai</t>
        </is>
      </c>
      <c r="C6596" s="30" t="n">
        <v>79798177</v>
      </c>
      <c r="D6596" s="30">
        <f>"14474037000166"</f>
        <v/>
      </c>
      <c r="E6596" s="30" t="inlineStr">
        <is>
          <t>D R BARBOSA SUPLEMENTOS ME</t>
        </is>
      </c>
      <c r="F6596" s="30" t="inlineStr">
        <is>
          <t>2020</t>
        </is>
      </c>
      <c r="G6596" s="40" t="n">
        <v>0</v>
      </c>
    </row>
    <row r="6597" ht="12" customHeight="1">
      <c r="A6597" s="30" t="inlineStr">
        <is>
          <t>ITG</t>
        </is>
      </c>
      <c r="B6597" s="30" t="inlineStr">
        <is>
          <t>Itaguai</t>
        </is>
      </c>
      <c r="C6597" s="30" t="n">
        <v>79798460</v>
      </c>
      <c r="D6597" s="30">
        <f>"05597965000470"</f>
        <v/>
      </c>
      <c r="E6597" s="30" t="inlineStr">
        <is>
          <t>KR TRANSPORTES E LOGISTICA LTDA</t>
        </is>
      </c>
      <c r="F6597" s="30" t="inlineStr">
        <is>
          <t>2020</t>
        </is>
      </c>
      <c r="G6597" s="40" t="n">
        <v>0</v>
      </c>
    </row>
    <row r="6598" ht="12" customHeight="1">
      <c r="A6598" s="30" t="inlineStr">
        <is>
          <t>ITG</t>
        </is>
      </c>
      <c r="B6598" s="30" t="inlineStr">
        <is>
          <t>Itaguai</t>
        </is>
      </c>
      <c r="C6598" s="30" t="n">
        <v>79798460</v>
      </c>
      <c r="D6598" s="30">
        <f>"05597965000470"</f>
        <v/>
      </c>
      <c r="E6598" s="30" t="inlineStr">
        <is>
          <t>KR TRANSPORTES E LOGISTICA LTDA</t>
        </is>
      </c>
      <c r="F6598" s="30" t="inlineStr">
        <is>
          <t>2021</t>
        </is>
      </c>
      <c r="G6598" s="40" t="n">
        <v>0</v>
      </c>
    </row>
    <row r="6599" ht="12" customHeight="1">
      <c r="A6599" s="30" t="inlineStr">
        <is>
          <t>ITG</t>
        </is>
      </c>
      <c r="B6599" s="30" t="inlineStr">
        <is>
          <t>Itaguai</t>
        </is>
      </c>
      <c r="C6599" s="30" t="n">
        <v>79798460</v>
      </c>
      <c r="D6599" s="30">
        <f>"05597965000470"</f>
        <v/>
      </c>
      <c r="E6599" s="30" t="inlineStr">
        <is>
          <t>KR TRANSPORTES E LOGISTICA LTDA</t>
        </is>
      </c>
      <c r="F6599" s="30" t="inlineStr">
        <is>
          <t>2022</t>
        </is>
      </c>
      <c r="G6599" s="40" t="n">
        <v>90.14</v>
      </c>
    </row>
    <row r="6600" ht="12" customHeight="1">
      <c r="A6600" s="30" t="inlineStr">
        <is>
          <t>ITG</t>
        </is>
      </c>
      <c r="B6600" s="30" t="inlineStr">
        <is>
          <t>Itaguai</t>
        </is>
      </c>
      <c r="C6600" s="30" t="n">
        <v>79798460</v>
      </c>
      <c r="D6600" s="30">
        <f>"05597965000470"</f>
        <v/>
      </c>
      <c r="E6600" s="30" t="inlineStr">
        <is>
          <t>KR TRANSPORTES E LOGISTICA LTDA</t>
        </is>
      </c>
      <c r="F6600" s="30" t="inlineStr">
        <is>
          <t>2023</t>
        </is>
      </c>
      <c r="G6600" s="40" t="n">
        <v>374.37</v>
      </c>
    </row>
    <row r="6601" ht="12" customHeight="1">
      <c r="A6601" s="30" t="inlineStr">
        <is>
          <t>ITG</t>
        </is>
      </c>
      <c r="B6601" s="30" t="inlineStr">
        <is>
          <t>Itaguai</t>
        </is>
      </c>
      <c r="C6601" s="30" t="n">
        <v>79807486</v>
      </c>
      <c r="D6601" s="30">
        <f>"16883862000140"</f>
        <v/>
      </c>
      <c r="E6601" s="30" t="inlineStr">
        <is>
          <t>L C M ROMANO PERFUMARIA - EIRELI - EPP</t>
        </is>
      </c>
      <c r="F6601" s="30" t="inlineStr">
        <is>
          <t>2017</t>
        </is>
      </c>
      <c r="G6601" s="40" t="n">
        <v>963380.24</v>
      </c>
    </row>
    <row r="6602" ht="12" customHeight="1">
      <c r="A6602" s="30" t="inlineStr">
        <is>
          <t>ITG</t>
        </is>
      </c>
      <c r="B6602" s="30" t="inlineStr">
        <is>
          <t>Itaguai</t>
        </is>
      </c>
      <c r="C6602" s="30" t="n">
        <v>79807486</v>
      </c>
      <c r="D6602" s="30">
        <f>"16883862000140"</f>
        <v/>
      </c>
      <c r="E6602" s="30" t="inlineStr">
        <is>
          <t>L C M ROMANO PERFUMARIA - EIRELI - EPP</t>
        </is>
      </c>
      <c r="F6602" s="30" t="inlineStr">
        <is>
          <t>2018</t>
        </is>
      </c>
      <c r="G6602" s="40" t="n">
        <v>971374.35</v>
      </c>
    </row>
    <row r="6603" ht="12" customHeight="1">
      <c r="A6603" s="30" t="inlineStr">
        <is>
          <t>ITG</t>
        </is>
      </c>
      <c r="B6603" s="30" t="inlineStr">
        <is>
          <t>Itaguai</t>
        </is>
      </c>
      <c r="C6603" s="30" t="n">
        <v>79807486</v>
      </c>
      <c r="D6603" s="30">
        <f>"16883862000140"</f>
        <v/>
      </c>
      <c r="E6603" s="30" t="inlineStr">
        <is>
          <t>L C M ROMANO PERFUMARIA - EIRELI - EPP</t>
        </is>
      </c>
      <c r="F6603" s="30" t="inlineStr">
        <is>
          <t>2019</t>
        </is>
      </c>
      <c r="G6603" s="40" t="n">
        <v>1120732.82</v>
      </c>
    </row>
    <row r="6604" ht="12" customHeight="1">
      <c r="A6604" s="30" t="inlineStr">
        <is>
          <t>ITG</t>
        </is>
      </c>
      <c r="B6604" s="30" t="inlineStr">
        <is>
          <t>Itaguai</t>
        </is>
      </c>
      <c r="C6604" s="30" t="n">
        <v>79807486</v>
      </c>
      <c r="D6604" s="30">
        <f>"16883862000140"</f>
        <v/>
      </c>
      <c r="E6604" s="30" t="inlineStr">
        <is>
          <t>L C M ROMANO PERFUMARIA - EIRELI - EPP</t>
        </is>
      </c>
      <c r="F6604" s="30" t="inlineStr">
        <is>
          <t>2020</t>
        </is>
      </c>
      <c r="G6604" s="40" t="n">
        <v>1484337.66</v>
      </c>
    </row>
    <row r="6605" ht="12" customHeight="1">
      <c r="A6605" s="30" t="inlineStr">
        <is>
          <t>ITG</t>
        </is>
      </c>
      <c r="B6605" s="30" t="inlineStr">
        <is>
          <t>Itaguai</t>
        </is>
      </c>
      <c r="C6605" s="30" t="n">
        <v>79807486</v>
      </c>
      <c r="D6605" s="30">
        <f>"16883862000140"</f>
        <v/>
      </c>
      <c r="E6605" s="30" t="inlineStr">
        <is>
          <t>L C M ROMANO PERFUMARIA - EIRELI - EPP</t>
        </is>
      </c>
      <c r="F6605" s="30" t="inlineStr">
        <is>
          <t>2021</t>
        </is>
      </c>
      <c r="G6605" s="40" t="n">
        <v>1892174.49</v>
      </c>
    </row>
    <row r="6606" ht="12" customHeight="1">
      <c r="A6606" s="30" t="inlineStr">
        <is>
          <t>ITG</t>
        </is>
      </c>
      <c r="B6606" s="30" t="inlineStr">
        <is>
          <t>Itaguai</t>
        </is>
      </c>
      <c r="C6606" s="30" t="n">
        <v>79807486</v>
      </c>
      <c r="D6606" s="30">
        <f>"16883862000140"</f>
        <v/>
      </c>
      <c r="E6606" s="30" t="inlineStr">
        <is>
          <t>L C M ROMANO PERFUMARIA - EIRELI - EPP</t>
        </is>
      </c>
      <c r="F6606" s="30" t="inlineStr">
        <is>
          <t>2022</t>
        </is>
      </c>
      <c r="G6606" s="40" t="n">
        <v>2800852.29</v>
      </c>
    </row>
    <row r="6607" ht="12" customHeight="1">
      <c r="A6607" s="30" t="inlineStr">
        <is>
          <t>ITG</t>
        </is>
      </c>
      <c r="B6607" s="30" t="inlineStr">
        <is>
          <t>Itaguai</t>
        </is>
      </c>
      <c r="C6607" s="30" t="n">
        <v>79807486</v>
      </c>
      <c r="D6607" s="30">
        <f>"16883862000140"</f>
        <v/>
      </c>
      <c r="E6607" s="30" t="inlineStr">
        <is>
          <t>L C M ROMANO PERFUMARIA - EIRELI - EPP</t>
        </is>
      </c>
      <c r="F6607" s="30" t="inlineStr">
        <is>
          <t>2023</t>
        </is>
      </c>
      <c r="G6607" s="40" t="n">
        <v>3698050.54</v>
      </c>
    </row>
    <row r="6608" ht="12" customHeight="1">
      <c r="A6608" s="30" t="inlineStr">
        <is>
          <t>ITG</t>
        </is>
      </c>
      <c r="B6608" s="30" t="inlineStr">
        <is>
          <t>Itaguai</t>
        </is>
      </c>
      <c r="C6608" s="30" t="n">
        <v>79810169</v>
      </c>
      <c r="D6608" s="30">
        <f>"01838723041311"</f>
        <v/>
      </c>
      <c r="E6608" s="30" t="inlineStr">
        <is>
          <t>BRF S A</t>
        </is>
      </c>
      <c r="F6608" s="30" t="inlineStr">
        <is>
          <t>2020</t>
        </is>
      </c>
      <c r="G6608" s="40" t="n">
        <v>0</v>
      </c>
    </row>
    <row r="6609" ht="12" customHeight="1">
      <c r="A6609" s="30" t="inlineStr">
        <is>
          <t>ITG</t>
        </is>
      </c>
      <c r="B6609" s="30" t="inlineStr">
        <is>
          <t>Itaguai</t>
        </is>
      </c>
      <c r="C6609" s="30" t="n">
        <v>79810169</v>
      </c>
      <c r="D6609" s="30">
        <f>"01838723041311"</f>
        <v/>
      </c>
      <c r="E6609" s="30" t="inlineStr">
        <is>
          <t>BRF S A</t>
        </is>
      </c>
      <c r="F6609" s="30" t="inlineStr">
        <is>
          <t>2021</t>
        </is>
      </c>
      <c r="G6609" s="40" t="n">
        <v>0</v>
      </c>
    </row>
    <row r="6610" ht="12" customHeight="1">
      <c r="A6610" s="30" t="inlineStr">
        <is>
          <t>ITG</t>
        </is>
      </c>
      <c r="B6610" s="30" t="inlineStr">
        <is>
          <t>Itaguai</t>
        </is>
      </c>
      <c r="C6610" s="30" t="n">
        <v>79810169</v>
      </c>
      <c r="D6610" s="30">
        <f>"01838723041311"</f>
        <v/>
      </c>
      <c r="E6610" s="30" t="inlineStr">
        <is>
          <t>BRF S A</t>
        </is>
      </c>
      <c r="F6610" s="30" t="inlineStr">
        <is>
          <t>2022</t>
        </is>
      </c>
      <c r="G6610" s="40" t="n">
        <v>705109.42</v>
      </c>
    </row>
    <row r="6611" ht="12" customHeight="1">
      <c r="A6611" s="30" t="inlineStr">
        <is>
          <t>ITG</t>
        </is>
      </c>
      <c r="B6611" s="30" t="inlineStr">
        <is>
          <t>Itaguai</t>
        </is>
      </c>
      <c r="C6611" s="30" t="n">
        <v>79810169</v>
      </c>
      <c r="D6611" s="30">
        <f>"01838723041311"</f>
        <v/>
      </c>
      <c r="E6611" s="30" t="inlineStr">
        <is>
          <t>BRF S A</t>
        </is>
      </c>
      <c r="F6611" s="30" t="inlineStr">
        <is>
          <t>2023</t>
        </is>
      </c>
      <c r="G6611" s="40" t="n">
        <v>1678082.3</v>
      </c>
    </row>
    <row r="6612" ht="12" customHeight="1">
      <c r="A6612" s="30" t="inlineStr">
        <is>
          <t>ITG</t>
        </is>
      </c>
      <c r="B6612" s="30" t="inlineStr">
        <is>
          <t>Itaguai</t>
        </is>
      </c>
      <c r="C6612" s="30" t="n">
        <v>79812927</v>
      </c>
      <c r="D6612" s="30">
        <f>"12591548000213"</f>
        <v/>
      </c>
      <c r="E6612" s="30" t="inlineStr">
        <is>
          <t>EFX TRANSPORTES E LOGISTICA LTDA</t>
        </is>
      </c>
      <c r="F6612" s="30" t="inlineStr">
        <is>
          <t>2017</t>
        </is>
      </c>
      <c r="G6612" s="40" t="n">
        <v>173.68</v>
      </c>
    </row>
    <row r="6613" ht="12" customHeight="1">
      <c r="A6613" s="30" t="inlineStr">
        <is>
          <t>ITG</t>
        </is>
      </c>
      <c r="B6613" s="30" t="inlineStr">
        <is>
          <t>Itaguai</t>
        </is>
      </c>
      <c r="C6613" s="30" t="n">
        <v>79812927</v>
      </c>
      <c r="D6613" s="30">
        <f>"12591548000213"</f>
        <v/>
      </c>
      <c r="E6613" s="30" t="inlineStr">
        <is>
          <t>EFX TRANSPORTES E LOGISTICA LTDA</t>
        </is>
      </c>
      <c r="F6613" s="30" t="inlineStr">
        <is>
          <t>2018</t>
        </is>
      </c>
      <c r="G6613" s="40" t="n">
        <v>13678.07</v>
      </c>
    </row>
    <row r="6614" ht="12" customHeight="1">
      <c r="A6614" s="30" t="inlineStr">
        <is>
          <t>ITG</t>
        </is>
      </c>
      <c r="B6614" s="30" t="inlineStr">
        <is>
          <t>Itaguai</t>
        </is>
      </c>
      <c r="C6614" s="30" t="n">
        <v>79812927</v>
      </c>
      <c r="D6614" s="30">
        <f>"12591548000213"</f>
        <v/>
      </c>
      <c r="E6614" s="30" t="inlineStr">
        <is>
          <t>EFX TRANSPORTES E LOGISTICA LTDA</t>
        </is>
      </c>
      <c r="F6614" s="30" t="inlineStr">
        <is>
          <t>2019</t>
        </is>
      </c>
      <c r="G6614" s="40" t="n">
        <v>0</v>
      </c>
    </row>
    <row r="6615" ht="12" customHeight="1">
      <c r="A6615" s="30" t="inlineStr">
        <is>
          <t>ITG</t>
        </is>
      </c>
      <c r="B6615" s="30" t="inlineStr">
        <is>
          <t>Itaguai</t>
        </is>
      </c>
      <c r="C6615" s="30" t="n">
        <v>79812927</v>
      </c>
      <c r="D6615" s="30">
        <f>"12591548000213"</f>
        <v/>
      </c>
      <c r="E6615" s="30" t="inlineStr">
        <is>
          <t>EFX TRANSPORTES E LOGISTICA LTDA</t>
        </is>
      </c>
      <c r="F6615" s="30" t="inlineStr">
        <is>
          <t>2020</t>
        </is>
      </c>
      <c r="G6615" s="40" t="n">
        <v>0</v>
      </c>
    </row>
    <row r="6616" ht="12" customHeight="1">
      <c r="A6616" s="30" t="inlineStr">
        <is>
          <t>ITG</t>
        </is>
      </c>
      <c r="B6616" s="30" t="inlineStr">
        <is>
          <t>Itaguai</t>
        </is>
      </c>
      <c r="C6616" s="30" t="n">
        <v>79812927</v>
      </c>
      <c r="D6616" s="30">
        <f>"12591548000213"</f>
        <v/>
      </c>
      <c r="E6616" s="30" t="inlineStr">
        <is>
          <t>EFX TRANSPORTES E LOGISTICA LTDA</t>
        </is>
      </c>
      <c r="F6616" s="30" t="inlineStr">
        <is>
          <t>2021</t>
        </is>
      </c>
      <c r="G6616" s="40" t="n">
        <v>988.5700000000001</v>
      </c>
    </row>
    <row r="6617" ht="12" customHeight="1">
      <c r="A6617" s="30" t="inlineStr">
        <is>
          <t>ITG</t>
        </is>
      </c>
      <c r="B6617" s="30" t="inlineStr">
        <is>
          <t>Itaguai</t>
        </is>
      </c>
      <c r="C6617" s="30" t="n">
        <v>79812927</v>
      </c>
      <c r="D6617" s="30">
        <f>"12591548000213"</f>
        <v/>
      </c>
      <c r="E6617" s="30" t="inlineStr">
        <is>
          <t>EFX TRANSPORTES E LOGISTICA LTDA</t>
        </is>
      </c>
      <c r="F6617" s="30" t="inlineStr">
        <is>
          <t>2022</t>
        </is>
      </c>
      <c r="G6617" s="40" t="n">
        <v>110.98</v>
      </c>
    </row>
    <row r="6618" ht="12" customHeight="1">
      <c r="A6618" s="30" t="inlineStr">
        <is>
          <t>ITG</t>
        </is>
      </c>
      <c r="B6618" s="30" t="inlineStr">
        <is>
          <t>Itaguai</t>
        </is>
      </c>
      <c r="C6618" s="30" t="n">
        <v>79812927</v>
      </c>
      <c r="D6618" s="30">
        <f>"12591548000213"</f>
        <v/>
      </c>
      <c r="E6618" s="30" t="inlineStr">
        <is>
          <t>EFX TRANSPORTES E LOGISTICA LTDA</t>
        </is>
      </c>
      <c r="F6618" s="30" t="inlineStr">
        <is>
          <t>2023</t>
        </is>
      </c>
      <c r="G6618" s="40" t="n">
        <v>0</v>
      </c>
    </row>
    <row r="6619" ht="12" customHeight="1">
      <c r="A6619" s="30" t="inlineStr">
        <is>
          <t>ITG</t>
        </is>
      </c>
      <c r="B6619" s="30" t="inlineStr">
        <is>
          <t>Itaguai</t>
        </is>
      </c>
      <c r="C6619" s="30" t="n">
        <v>79813630</v>
      </c>
      <c r="D6619" s="30">
        <f>"14475692000139"</f>
        <v/>
      </c>
      <c r="E6619" s="30" t="inlineStr">
        <is>
          <t>LX INSTALAÇÕES E MONTAGEM EIRELI</t>
        </is>
      </c>
      <c r="F6619" s="30" t="inlineStr">
        <is>
          <t>2018</t>
        </is>
      </c>
      <c r="G6619" s="40" t="n">
        <v>0</v>
      </c>
    </row>
    <row r="6620" ht="12" customHeight="1">
      <c r="A6620" s="30" t="inlineStr">
        <is>
          <t>ITG</t>
        </is>
      </c>
      <c r="B6620" s="30" t="inlineStr">
        <is>
          <t>Itaguai</t>
        </is>
      </c>
      <c r="C6620" s="30" t="n">
        <v>79813630</v>
      </c>
      <c r="D6620" s="30">
        <f>"14475692000139"</f>
        <v/>
      </c>
      <c r="E6620" s="30" t="inlineStr">
        <is>
          <t>LX INSTALAÇÕES E MONTAGEM EIRELI</t>
        </is>
      </c>
      <c r="F6620" s="30" t="inlineStr">
        <is>
          <t>2019</t>
        </is>
      </c>
      <c r="G6620" s="40" t="n">
        <v>0</v>
      </c>
    </row>
    <row r="6621" ht="12" customHeight="1">
      <c r="A6621" s="30" t="inlineStr">
        <is>
          <t>ITG</t>
        </is>
      </c>
      <c r="B6621" s="30" t="inlineStr">
        <is>
          <t>Itaguai</t>
        </is>
      </c>
      <c r="C6621" s="30" t="n">
        <v>79813630</v>
      </c>
      <c r="D6621" s="30">
        <f>"14475692000139"</f>
        <v/>
      </c>
      <c r="E6621" s="30" t="inlineStr">
        <is>
          <t>LX INSTALAÇÕES E MONTAGEM EIRELI</t>
        </is>
      </c>
      <c r="F6621" s="30" t="inlineStr">
        <is>
          <t>2020</t>
        </is>
      </c>
      <c r="G6621" s="40" t="n">
        <v>0</v>
      </c>
    </row>
    <row r="6622" ht="12" customHeight="1">
      <c r="A6622" s="30" t="inlineStr">
        <is>
          <t>ITG</t>
        </is>
      </c>
      <c r="B6622" s="30" t="inlineStr">
        <is>
          <t>Itaguai</t>
        </is>
      </c>
      <c r="C6622" s="30" t="n">
        <v>79813630</v>
      </c>
      <c r="D6622" s="30">
        <f>"14475692000139"</f>
        <v/>
      </c>
      <c r="E6622" s="30" t="inlineStr">
        <is>
          <t>LX INSTALAÇÕES E MONTAGEM EIRELI</t>
        </is>
      </c>
      <c r="F6622" s="30" t="inlineStr">
        <is>
          <t>2021</t>
        </is>
      </c>
      <c r="G6622" s="40" t="n">
        <v>0</v>
      </c>
    </row>
    <row r="6623" ht="12" customHeight="1">
      <c r="A6623" s="30" t="inlineStr">
        <is>
          <t>ITG</t>
        </is>
      </c>
      <c r="B6623" s="30" t="inlineStr">
        <is>
          <t>Itaguai</t>
        </is>
      </c>
      <c r="C6623" s="30" t="n">
        <v>79813630</v>
      </c>
      <c r="D6623" s="30">
        <f>"14475692000139"</f>
        <v/>
      </c>
      <c r="E6623" s="30" t="inlineStr">
        <is>
          <t>LX INSTALAÇÕES E MONTAGEM EIRELI</t>
        </is>
      </c>
      <c r="F6623" s="30" t="inlineStr">
        <is>
          <t>2022</t>
        </is>
      </c>
      <c r="G6623" s="40" t="n">
        <v>0</v>
      </c>
    </row>
    <row r="6624" ht="12" customHeight="1">
      <c r="A6624" s="30" t="inlineStr">
        <is>
          <t>ITG</t>
        </is>
      </c>
      <c r="B6624" s="30" t="inlineStr">
        <is>
          <t>Itaguai</t>
        </is>
      </c>
      <c r="C6624" s="30" t="n">
        <v>79813826</v>
      </c>
      <c r="D6624" s="30">
        <f>"13872808000100"</f>
        <v/>
      </c>
      <c r="E6624" s="30" t="inlineStr">
        <is>
          <t>G R V RESTAURANTES</t>
        </is>
      </c>
      <c r="F6624" s="30" t="inlineStr">
        <is>
          <t>2021</t>
        </is>
      </c>
      <c r="G6624" s="40" t="n">
        <v>0</v>
      </c>
    </row>
    <row r="6625" ht="12" customHeight="1">
      <c r="A6625" s="30" t="inlineStr">
        <is>
          <t>ITG</t>
        </is>
      </c>
      <c r="B6625" s="30" t="inlineStr">
        <is>
          <t>Itaguai</t>
        </is>
      </c>
      <c r="C6625" s="30" t="n">
        <v>79813826</v>
      </c>
      <c r="D6625" s="30">
        <f>"13872808000100"</f>
        <v/>
      </c>
      <c r="E6625" s="30" t="inlineStr">
        <is>
          <t>G R V RESTAURANTES</t>
        </is>
      </c>
      <c r="F6625" s="30" t="inlineStr">
        <is>
          <t>2022</t>
        </is>
      </c>
      <c r="G6625" s="40" t="n">
        <v>0</v>
      </c>
    </row>
    <row r="6626" ht="12" customHeight="1">
      <c r="A6626" s="30" t="inlineStr">
        <is>
          <t>ITG</t>
        </is>
      </c>
      <c r="B6626" s="30" t="inlineStr">
        <is>
          <t>Itaguai</t>
        </is>
      </c>
      <c r="C6626" s="30" t="n">
        <v>79813826</v>
      </c>
      <c r="D6626" s="30">
        <f>"13872808000100"</f>
        <v/>
      </c>
      <c r="E6626" s="30" t="inlineStr">
        <is>
          <t>G R V RESTAURANTES</t>
        </is>
      </c>
      <c r="F6626" s="30" t="inlineStr">
        <is>
          <t>2023</t>
        </is>
      </c>
      <c r="G6626" s="40" t="n">
        <v>0</v>
      </c>
    </row>
    <row r="6627" ht="12" customHeight="1">
      <c r="A6627" s="30" t="inlineStr">
        <is>
          <t>ITG</t>
        </is>
      </c>
      <c r="B6627" s="30" t="inlineStr">
        <is>
          <t>Itaguai</t>
        </is>
      </c>
      <c r="C6627" s="30" t="n">
        <v>79814024</v>
      </c>
      <c r="D6627" s="30">
        <f>"12500309000200"</f>
        <v/>
      </c>
      <c r="E6627" s="30" t="inlineStr">
        <is>
          <t>FLAVIA DA SILVA ZAMBONI CABELEIREIRA</t>
        </is>
      </c>
      <c r="F6627" s="30" t="inlineStr">
        <is>
          <t>2017</t>
        </is>
      </c>
      <c r="G6627" s="40" t="n">
        <v>0</v>
      </c>
    </row>
    <row r="6628" ht="12" customHeight="1">
      <c r="A6628" s="30" t="inlineStr">
        <is>
          <t>ITG</t>
        </is>
      </c>
      <c r="B6628" s="30" t="inlineStr">
        <is>
          <t>Itaguai</t>
        </is>
      </c>
      <c r="C6628" s="30" t="n">
        <v>79814024</v>
      </c>
      <c r="D6628" s="30">
        <f>"12500309000200"</f>
        <v/>
      </c>
      <c r="E6628" s="30" t="inlineStr">
        <is>
          <t>FLAVIA DA SILVA ZAMBONI CABELEIREIRA</t>
        </is>
      </c>
      <c r="F6628" s="30" t="inlineStr">
        <is>
          <t>2018</t>
        </is>
      </c>
      <c r="G6628" s="40" t="n">
        <v>0</v>
      </c>
    </row>
    <row r="6629" ht="12" customHeight="1">
      <c r="A6629" s="30" t="inlineStr">
        <is>
          <t>ITG</t>
        </is>
      </c>
      <c r="B6629" s="30" t="inlineStr">
        <is>
          <t>Itaguai</t>
        </is>
      </c>
      <c r="C6629" s="30" t="n">
        <v>79814024</v>
      </c>
      <c r="D6629" s="30">
        <f>"12500309000200"</f>
        <v/>
      </c>
      <c r="E6629" s="30" t="inlineStr">
        <is>
          <t>FLAVIA DA SILVA ZAMBONI CABELEIREIRA</t>
        </is>
      </c>
      <c r="F6629" s="30" t="inlineStr">
        <is>
          <t>2019</t>
        </is>
      </c>
      <c r="G6629" s="40" t="n">
        <v>0</v>
      </c>
    </row>
    <row r="6630" ht="12" customHeight="1">
      <c r="A6630" s="30" t="inlineStr">
        <is>
          <t>ITG</t>
        </is>
      </c>
      <c r="B6630" s="30" t="inlineStr">
        <is>
          <t>Itaguai</t>
        </is>
      </c>
      <c r="C6630" s="30" t="n">
        <v>79816930</v>
      </c>
      <c r="D6630" s="30">
        <f>"05423963013361"</f>
        <v/>
      </c>
      <c r="E6630" s="30" t="inlineStr">
        <is>
          <t>OI MOVEL S.A. - EM RECUPERACAO JUDICIAL</t>
        </is>
      </c>
      <c r="F6630" s="30" t="inlineStr">
        <is>
          <t>2017</t>
        </is>
      </c>
      <c r="G6630" s="40" t="n">
        <v>5558106.57</v>
      </c>
    </row>
    <row r="6631" ht="12" customHeight="1">
      <c r="A6631" s="30" t="inlineStr">
        <is>
          <t>ITG</t>
        </is>
      </c>
      <c r="B6631" s="30" t="inlineStr">
        <is>
          <t>Itaguai</t>
        </is>
      </c>
      <c r="C6631" s="30" t="n">
        <v>79816930</v>
      </c>
      <c r="D6631" s="30">
        <f>"05423963013361"</f>
        <v/>
      </c>
      <c r="E6631" s="30" t="inlineStr">
        <is>
          <t>OI MOVEL S.A. - EM RECUPERACAO JUDICIAL</t>
        </is>
      </c>
      <c r="F6631" s="30" t="inlineStr">
        <is>
          <t>2018</t>
        </is>
      </c>
      <c r="G6631" s="40" t="n">
        <v>5070760.44</v>
      </c>
    </row>
    <row r="6632" ht="12" customHeight="1">
      <c r="A6632" s="30" t="inlineStr">
        <is>
          <t>ITG</t>
        </is>
      </c>
      <c r="B6632" s="30" t="inlineStr">
        <is>
          <t>Itaguai</t>
        </is>
      </c>
      <c r="C6632" s="30" t="n">
        <v>79816930</v>
      </c>
      <c r="D6632" s="30">
        <f>"05423963013361"</f>
        <v/>
      </c>
      <c r="E6632" s="30" t="inlineStr">
        <is>
          <t>OI MOVEL S.A. - EM RECUPERACAO JUDICIAL</t>
        </is>
      </c>
      <c r="F6632" s="30" t="inlineStr">
        <is>
          <t>2019</t>
        </is>
      </c>
      <c r="G6632" s="40" t="n">
        <v>4597446.71</v>
      </c>
    </row>
    <row r="6633" ht="12" customHeight="1">
      <c r="A6633" s="30" t="inlineStr">
        <is>
          <t>ITG</t>
        </is>
      </c>
      <c r="B6633" s="30" t="inlineStr">
        <is>
          <t>Itaguai</t>
        </is>
      </c>
      <c r="C6633" s="30" t="n">
        <v>79816930</v>
      </c>
      <c r="D6633" s="30">
        <f>"05423963013361"</f>
        <v/>
      </c>
      <c r="E6633" s="30" t="inlineStr">
        <is>
          <t>OI MOVEL S.A. - EM RECUPERACAO JUDICIAL</t>
        </is>
      </c>
      <c r="F6633" s="30" t="inlineStr">
        <is>
          <t>2020</t>
        </is>
      </c>
      <c r="G6633" s="40" t="n">
        <v>4666436.38</v>
      </c>
    </row>
    <row r="6634" ht="12" customHeight="1">
      <c r="A6634" s="30" t="inlineStr">
        <is>
          <t>ITG</t>
        </is>
      </c>
      <c r="B6634" s="30" t="inlineStr">
        <is>
          <t>Itaguai</t>
        </is>
      </c>
      <c r="C6634" s="30" t="n">
        <v>79816930</v>
      </c>
      <c r="D6634" s="30">
        <f>"05423963013361"</f>
        <v/>
      </c>
      <c r="E6634" s="30" t="inlineStr">
        <is>
          <t>OI MOVEL S.A. - EM RECUPERACAO JUDICIAL</t>
        </is>
      </c>
      <c r="F6634" s="30" t="inlineStr">
        <is>
          <t>2021</t>
        </is>
      </c>
      <c r="G6634" s="40" t="n">
        <v>4872480.4</v>
      </c>
    </row>
    <row r="6635" ht="12" customHeight="1">
      <c r="A6635" s="30" t="inlineStr">
        <is>
          <t>ITG</t>
        </is>
      </c>
      <c r="B6635" s="30" t="inlineStr">
        <is>
          <t>Itaguai</t>
        </is>
      </c>
      <c r="C6635" s="30" t="n">
        <v>79816930</v>
      </c>
      <c r="D6635" s="30">
        <f>"05423963013361"</f>
        <v/>
      </c>
      <c r="E6635" s="30" t="inlineStr">
        <is>
          <t>OI MOVEL S.A. - EM RECUPERACAO JUDICIAL</t>
        </is>
      </c>
      <c r="F6635" s="30" t="inlineStr">
        <is>
          <t>2022</t>
        </is>
      </c>
      <c r="G6635" s="40" t="n">
        <v>394639.95</v>
      </c>
    </row>
    <row r="6636" ht="12" customHeight="1">
      <c r="A6636" s="30" t="inlineStr">
        <is>
          <t>ITG</t>
        </is>
      </c>
      <c r="B6636" s="30" t="inlineStr">
        <is>
          <t>Itaguai</t>
        </is>
      </c>
      <c r="C6636" s="30" t="n">
        <v>79816930</v>
      </c>
      <c r="D6636" s="30">
        <f>"05423963013361"</f>
        <v/>
      </c>
      <c r="E6636" s="30" t="inlineStr">
        <is>
          <t>OI MOVEL S.A. - EM RECUPERACAO JUDICIAL</t>
        </is>
      </c>
      <c r="F6636" s="30" t="inlineStr">
        <is>
          <t>2023</t>
        </is>
      </c>
      <c r="G6636" s="40" t="n">
        <v>0</v>
      </c>
    </row>
    <row r="6637" ht="12" customHeight="1">
      <c r="A6637" s="30" t="inlineStr">
        <is>
          <t>ITG</t>
        </is>
      </c>
      <c r="B6637" s="30" t="inlineStr">
        <is>
          <t>Itaguai</t>
        </is>
      </c>
      <c r="C6637" s="30" t="n">
        <v>79817988</v>
      </c>
      <c r="D6637" s="30">
        <f>"11146466007129"</f>
        <v/>
      </c>
      <c r="E6637" s="30" t="inlineStr">
        <is>
          <t>FLORIPA INDUSTRIA E COMERCIO DE ROUPAS LTDA</t>
        </is>
      </c>
      <c r="F6637" s="30" t="inlineStr">
        <is>
          <t>2017</t>
        </is>
      </c>
      <c r="G6637" s="40" t="n">
        <v>313550.79</v>
      </c>
    </row>
    <row r="6638" ht="12" customHeight="1">
      <c r="A6638" s="30" t="inlineStr">
        <is>
          <t>ITG</t>
        </is>
      </c>
      <c r="B6638" s="30" t="inlineStr">
        <is>
          <t>Itaguai</t>
        </is>
      </c>
      <c r="C6638" s="30" t="n">
        <v>79817988</v>
      </c>
      <c r="D6638" s="30">
        <f>"11146466007129"</f>
        <v/>
      </c>
      <c r="E6638" s="30" t="inlineStr">
        <is>
          <t>FLORIPA INDUSTRIA E COMERCIO DE ROUPAS LTDA</t>
        </is>
      </c>
      <c r="F6638" s="30" t="inlineStr">
        <is>
          <t>2018</t>
        </is>
      </c>
      <c r="G6638" s="40" t="n">
        <v>0</v>
      </c>
    </row>
    <row r="6639" ht="12" customHeight="1">
      <c r="A6639" s="30" t="inlineStr">
        <is>
          <t>ITG</t>
        </is>
      </c>
      <c r="B6639" s="30" t="inlineStr">
        <is>
          <t>Itaguai</t>
        </is>
      </c>
      <c r="C6639" s="30" t="n">
        <v>79817988</v>
      </c>
      <c r="D6639" s="30">
        <f>"11146466007129"</f>
        <v/>
      </c>
      <c r="E6639" s="30" t="inlineStr">
        <is>
          <t>FLORIPA INDUSTRIA E COMERCIO DE ROUPAS LTDA</t>
        </is>
      </c>
      <c r="F6639" s="30" t="inlineStr">
        <is>
          <t>2019</t>
        </is>
      </c>
      <c r="G6639" s="40" t="n">
        <v>0</v>
      </c>
    </row>
    <row r="6640" ht="12" customHeight="1">
      <c r="A6640" s="30" t="inlineStr">
        <is>
          <t>ITG</t>
        </is>
      </c>
      <c r="B6640" s="30" t="inlineStr">
        <is>
          <t>Itaguai</t>
        </is>
      </c>
      <c r="C6640" s="30" t="n">
        <v>79817988</v>
      </c>
      <c r="D6640" s="30">
        <f>"11146466007129"</f>
        <v/>
      </c>
      <c r="E6640" s="30" t="inlineStr">
        <is>
          <t>FLORIPA INDUSTRIA E COMERCIO DE ROUPAS LTDA</t>
        </is>
      </c>
      <c r="F6640" s="30" t="inlineStr">
        <is>
          <t>2020</t>
        </is>
      </c>
      <c r="G6640" s="40" t="n">
        <v>0</v>
      </c>
    </row>
    <row r="6641" ht="12" customHeight="1">
      <c r="A6641" s="30" t="inlineStr">
        <is>
          <t>ITG</t>
        </is>
      </c>
      <c r="B6641" s="30" t="inlineStr">
        <is>
          <t>Itaguai</t>
        </is>
      </c>
      <c r="C6641" s="30" t="n">
        <v>79817988</v>
      </c>
      <c r="D6641" s="30">
        <f>"11146466007129"</f>
        <v/>
      </c>
      <c r="E6641" s="30" t="inlineStr">
        <is>
          <t>FLORIPA INDUSTRIA E COMERCIO DE ROUPAS LTDA</t>
        </is>
      </c>
      <c r="F6641" s="30" t="inlineStr">
        <is>
          <t>2021</t>
        </is>
      </c>
      <c r="G6641" s="40" t="n">
        <v>1345713.81</v>
      </c>
    </row>
    <row r="6642" ht="12" customHeight="1">
      <c r="A6642" s="30" t="inlineStr">
        <is>
          <t>ITG</t>
        </is>
      </c>
      <c r="B6642" s="30" t="inlineStr">
        <is>
          <t>Itaguai</t>
        </is>
      </c>
      <c r="C6642" s="30" t="n">
        <v>79817988</v>
      </c>
      <c r="D6642" s="30">
        <f>"11146466007129"</f>
        <v/>
      </c>
      <c r="E6642" s="30" t="inlineStr">
        <is>
          <t>FLORIPA INDUSTRIA E COMERCIO DE ROUPAS LTDA</t>
        </is>
      </c>
      <c r="F6642" s="30" t="inlineStr">
        <is>
          <t>2022</t>
        </is>
      </c>
      <c r="G6642" s="40" t="n">
        <v>281629.82</v>
      </c>
    </row>
    <row r="6643" ht="12" customHeight="1">
      <c r="A6643" s="30" t="inlineStr">
        <is>
          <t>ITG</t>
        </is>
      </c>
      <c r="B6643" s="30" t="inlineStr">
        <is>
          <t>Itaguai</t>
        </is>
      </c>
      <c r="C6643" s="30" t="n">
        <v>79817988</v>
      </c>
      <c r="D6643" s="30">
        <f>"11146466007129"</f>
        <v/>
      </c>
      <c r="E6643" s="30" t="inlineStr">
        <is>
          <t>FLORIPA INDUSTRIA E COMERCIO DE ROUPAS LTDA</t>
        </is>
      </c>
      <c r="F6643" s="30" t="inlineStr">
        <is>
          <t>2023</t>
        </is>
      </c>
      <c r="G6643" s="40" t="n">
        <v>1551091.26</v>
      </c>
    </row>
    <row r="6644" ht="12" customHeight="1">
      <c r="A6644" s="30" t="inlineStr">
        <is>
          <t>ITG</t>
        </is>
      </c>
      <c r="B6644" s="30" t="inlineStr">
        <is>
          <t>Itaguai</t>
        </is>
      </c>
      <c r="C6644" s="30" t="n">
        <v>79822523</v>
      </c>
      <c r="D6644" s="30">
        <f>"17134890000127"</f>
        <v/>
      </c>
      <c r="E6644" s="30" t="inlineStr">
        <is>
          <t>ACOFERRO COMERCIO DE METAIS LTDA - ME</t>
        </is>
      </c>
      <c r="F6644" s="30" t="inlineStr">
        <is>
          <t>2019</t>
        </is>
      </c>
      <c r="G6644" s="40" t="n">
        <v>0</v>
      </c>
    </row>
    <row r="6645" ht="12" customHeight="1">
      <c r="A6645" s="30" t="inlineStr">
        <is>
          <t>ITG</t>
        </is>
      </c>
      <c r="B6645" s="30" t="inlineStr">
        <is>
          <t>Itaguai</t>
        </is>
      </c>
      <c r="C6645" s="30" t="n">
        <v>79822523</v>
      </c>
      <c r="D6645" s="30">
        <f>"17134890000127"</f>
        <v/>
      </c>
      <c r="E6645" s="30" t="inlineStr">
        <is>
          <t>ACOFERRO COMERCIO DE METAIS LTDA - ME</t>
        </is>
      </c>
      <c r="F6645" s="30" t="inlineStr">
        <is>
          <t>2020</t>
        </is>
      </c>
      <c r="G6645" s="40" t="n">
        <v>0</v>
      </c>
    </row>
    <row r="6646" ht="12" customHeight="1">
      <c r="A6646" s="30" t="inlineStr">
        <is>
          <t>ITG</t>
        </is>
      </c>
      <c r="B6646" s="30" t="inlineStr">
        <is>
          <t>Itaguai</t>
        </is>
      </c>
      <c r="C6646" s="30" t="n">
        <v>79822523</v>
      </c>
      <c r="D6646" s="30">
        <f>"17134890000127"</f>
        <v/>
      </c>
      <c r="E6646" s="30" t="inlineStr">
        <is>
          <t>ACOFERRO COMERCIO DE METAIS LTDA - ME</t>
        </is>
      </c>
      <c r="F6646" s="30" t="inlineStr">
        <is>
          <t>2021</t>
        </is>
      </c>
      <c r="G6646" s="40" t="n">
        <v>958274.05</v>
      </c>
    </row>
    <row r="6647" ht="12" customHeight="1">
      <c r="A6647" s="30" t="inlineStr">
        <is>
          <t>ITG</t>
        </is>
      </c>
      <c r="B6647" s="30" t="inlineStr">
        <is>
          <t>Itaguai</t>
        </is>
      </c>
      <c r="C6647" s="30" t="n">
        <v>79822523</v>
      </c>
      <c r="D6647" s="30">
        <f>"17134890000127"</f>
        <v/>
      </c>
      <c r="E6647" s="30" t="inlineStr">
        <is>
          <t>ACOFERRO COMERCIO DE METAIS LTDA - ME</t>
        </is>
      </c>
      <c r="F6647" s="30" t="inlineStr">
        <is>
          <t>2022</t>
        </is>
      </c>
      <c r="G6647" s="40" t="n">
        <v>1092614.95</v>
      </c>
    </row>
    <row r="6648" ht="12" customHeight="1">
      <c r="A6648" s="30" t="inlineStr">
        <is>
          <t>ITG</t>
        </is>
      </c>
      <c r="B6648" s="30" t="inlineStr">
        <is>
          <t>Itaguai</t>
        </is>
      </c>
      <c r="C6648" s="30" t="n">
        <v>79822523</v>
      </c>
      <c r="D6648" s="30">
        <f>"17134890000127"</f>
        <v/>
      </c>
      <c r="E6648" s="30" t="inlineStr">
        <is>
          <t>ACOFERRO COMERCIO DE METAIS LTDA - ME</t>
        </is>
      </c>
      <c r="F6648" s="30" t="inlineStr">
        <is>
          <t>2023</t>
        </is>
      </c>
      <c r="G6648" s="40" t="n">
        <v>898447.98</v>
      </c>
    </row>
    <row r="6649" ht="12" customHeight="1">
      <c r="A6649" s="30" t="inlineStr">
        <is>
          <t>ITG</t>
        </is>
      </c>
      <c r="B6649" s="30" t="inlineStr">
        <is>
          <t>Itaguai</t>
        </is>
      </c>
      <c r="C6649" s="30" t="n">
        <v>79823058</v>
      </c>
      <c r="D6649" s="30">
        <f>"17245072000100"</f>
        <v/>
      </c>
      <c r="E6649" s="30" t="inlineStr">
        <is>
          <t>J.S TRANSPORTE E SERVIÇO LTDA</t>
        </is>
      </c>
      <c r="F6649" s="30" t="inlineStr">
        <is>
          <t>2021</t>
        </is>
      </c>
      <c r="G6649" s="40" t="n">
        <v>0</v>
      </c>
    </row>
    <row r="6650" ht="12" customHeight="1">
      <c r="A6650" s="30" t="inlineStr">
        <is>
          <t>ITG</t>
        </is>
      </c>
      <c r="B6650" s="30" t="inlineStr">
        <is>
          <t>Itaguai</t>
        </is>
      </c>
      <c r="C6650" s="30" t="n">
        <v>79823058</v>
      </c>
      <c r="D6650" s="30">
        <f>"17245072000100"</f>
        <v/>
      </c>
      <c r="E6650" s="30" t="inlineStr">
        <is>
          <t>J.S TRANSPORTE E SERVIÇO LTDA</t>
        </is>
      </c>
      <c r="F6650" s="30" t="inlineStr">
        <is>
          <t>2022</t>
        </is>
      </c>
      <c r="G6650" s="40" t="n">
        <v>0</v>
      </c>
    </row>
    <row r="6651" ht="12" customHeight="1">
      <c r="A6651" s="30" t="inlineStr">
        <is>
          <t>ITG</t>
        </is>
      </c>
      <c r="B6651" s="30" t="inlineStr">
        <is>
          <t>Itaguai</t>
        </is>
      </c>
      <c r="C6651" s="30" t="n">
        <v>79823058</v>
      </c>
      <c r="D6651" s="30">
        <f>"17245072000100"</f>
        <v/>
      </c>
      <c r="E6651" s="30" t="inlineStr">
        <is>
          <t>J.S TRANSPORTE E SERVIÇO LTDA</t>
        </is>
      </c>
      <c r="F6651" s="30" t="inlineStr">
        <is>
          <t>2023</t>
        </is>
      </c>
      <c r="G6651" s="40" t="n">
        <v>5200</v>
      </c>
    </row>
    <row r="6652" ht="12" customHeight="1">
      <c r="A6652" s="30" t="inlineStr">
        <is>
          <t>ITG</t>
        </is>
      </c>
      <c r="B6652" s="30" t="inlineStr">
        <is>
          <t>Itaguai</t>
        </is>
      </c>
      <c r="C6652" s="30" t="n">
        <v>79825026</v>
      </c>
      <c r="D6652" s="30">
        <f>"17317345000176"</f>
        <v/>
      </c>
      <c r="E6652" s="30" t="inlineStr">
        <is>
          <t>BRASIL DIGITAL SAT COMERCIO E SERVICOS LTDA ME</t>
        </is>
      </c>
      <c r="F6652" s="30" t="inlineStr">
        <is>
          <t>2017</t>
        </is>
      </c>
      <c r="G6652" s="40" t="n">
        <v>0</v>
      </c>
    </row>
    <row r="6653" ht="12" customHeight="1">
      <c r="A6653" s="30" t="inlineStr">
        <is>
          <t>ITG</t>
        </is>
      </c>
      <c r="B6653" s="30" t="inlineStr">
        <is>
          <t>Itaguai</t>
        </is>
      </c>
      <c r="C6653" s="30" t="n">
        <v>79825026</v>
      </c>
      <c r="D6653" s="30">
        <f>"17317345000176"</f>
        <v/>
      </c>
      <c r="E6653" s="30" t="inlineStr">
        <is>
          <t>BRASIL DIGITAL SAT COMERCIO E SERVICOS LTDA ME</t>
        </is>
      </c>
      <c r="F6653" s="30" t="inlineStr">
        <is>
          <t>2018</t>
        </is>
      </c>
      <c r="G6653" s="40" t="n">
        <v>0</v>
      </c>
    </row>
    <row r="6654" ht="12" customHeight="1">
      <c r="A6654" s="30" t="inlineStr">
        <is>
          <t>ITG</t>
        </is>
      </c>
      <c r="B6654" s="30" t="inlineStr">
        <is>
          <t>Itaguai</t>
        </is>
      </c>
      <c r="C6654" s="30" t="n">
        <v>79825026</v>
      </c>
      <c r="D6654" s="30">
        <f>"17317345000176"</f>
        <v/>
      </c>
      <c r="E6654" s="30" t="inlineStr">
        <is>
          <t>BRASIL DIGITAL SAT COMERCIO E SERVICOS LTDA ME</t>
        </is>
      </c>
      <c r="F6654" s="30" t="inlineStr">
        <is>
          <t>2019</t>
        </is>
      </c>
      <c r="G6654" s="40" t="n">
        <v>0</v>
      </c>
    </row>
    <row r="6655" ht="12" customHeight="1">
      <c r="A6655" s="30" t="inlineStr">
        <is>
          <t>ITG</t>
        </is>
      </c>
      <c r="B6655" s="30" t="inlineStr">
        <is>
          <t>Itaguai</t>
        </is>
      </c>
      <c r="C6655" s="30" t="n">
        <v>79825719</v>
      </c>
      <c r="D6655" s="30">
        <f>"11040609000100"</f>
        <v/>
      </c>
      <c r="E6655" s="30" t="inlineStr">
        <is>
          <t>H D LOG TRANSPORTES LTDA ME</t>
        </is>
      </c>
      <c r="F6655" s="30" t="inlineStr">
        <is>
          <t>2017</t>
        </is>
      </c>
      <c r="G6655" s="40" t="n">
        <v>230.99</v>
      </c>
    </row>
    <row r="6656" ht="12" customHeight="1">
      <c r="A6656" s="30" t="inlineStr">
        <is>
          <t>ITG</t>
        </is>
      </c>
      <c r="B6656" s="30" t="inlineStr">
        <is>
          <t>Itaguai</t>
        </is>
      </c>
      <c r="C6656" s="30" t="n">
        <v>79825719</v>
      </c>
      <c r="D6656" s="30">
        <f>"11040609000100"</f>
        <v/>
      </c>
      <c r="E6656" s="30" t="inlineStr">
        <is>
          <t>H D LOG TRANSPORTES LTDA ME</t>
        </is>
      </c>
      <c r="F6656" s="30" t="inlineStr">
        <is>
          <t>2018</t>
        </is>
      </c>
      <c r="G6656" s="40" t="n">
        <v>33.14</v>
      </c>
    </row>
    <row r="6657" ht="12" customHeight="1">
      <c r="A6657" s="30" t="inlineStr">
        <is>
          <t>ITG</t>
        </is>
      </c>
      <c r="B6657" s="30" t="inlineStr">
        <is>
          <t>Itaguai</t>
        </is>
      </c>
      <c r="C6657" s="30" t="n">
        <v>79825719</v>
      </c>
      <c r="D6657" s="30">
        <f>"11040609000100"</f>
        <v/>
      </c>
      <c r="E6657" s="30" t="inlineStr">
        <is>
          <t>H D LOG TRANSPORTES LTDA ME</t>
        </is>
      </c>
      <c r="F6657" s="30" t="inlineStr">
        <is>
          <t>2019</t>
        </is>
      </c>
      <c r="G6657" s="40" t="n">
        <v>0</v>
      </c>
    </row>
    <row r="6658" ht="12" customHeight="1">
      <c r="A6658" s="30" t="inlineStr">
        <is>
          <t>ITG</t>
        </is>
      </c>
      <c r="B6658" s="30" t="inlineStr">
        <is>
          <t>Itaguai</t>
        </is>
      </c>
      <c r="C6658" s="30" t="n">
        <v>79825719</v>
      </c>
      <c r="D6658" s="30">
        <f>"11040609000100"</f>
        <v/>
      </c>
      <c r="E6658" s="30" t="inlineStr">
        <is>
          <t>H D LOG TRANSPORTES LTDA ME</t>
        </is>
      </c>
      <c r="F6658" s="30" t="inlineStr">
        <is>
          <t>2020</t>
        </is>
      </c>
      <c r="G6658" s="40" t="n">
        <v>0</v>
      </c>
    </row>
    <row r="6659" ht="12" customHeight="1">
      <c r="A6659" s="30" t="inlineStr">
        <is>
          <t>ITG</t>
        </is>
      </c>
      <c r="B6659" s="30" t="inlineStr">
        <is>
          <t>Itaguai</t>
        </is>
      </c>
      <c r="C6659" s="30" t="n">
        <v>79825719</v>
      </c>
      <c r="D6659" s="30">
        <f>"11040609000100"</f>
        <v/>
      </c>
      <c r="E6659" s="30" t="inlineStr">
        <is>
          <t>H D LOG TRANSPORTES LTDA ME</t>
        </is>
      </c>
      <c r="F6659" s="30" t="inlineStr">
        <is>
          <t>2021</t>
        </is>
      </c>
      <c r="G6659" s="40" t="n">
        <v>0</v>
      </c>
    </row>
    <row r="6660" ht="12" customHeight="1">
      <c r="A6660" s="30" t="inlineStr">
        <is>
          <t>ITG</t>
        </is>
      </c>
      <c r="B6660" s="30" t="inlineStr">
        <is>
          <t>Itaguai</t>
        </is>
      </c>
      <c r="C6660" s="30" t="n">
        <v>79825719</v>
      </c>
      <c r="D6660" s="30">
        <f>"11040609000100"</f>
        <v/>
      </c>
      <c r="E6660" s="30" t="inlineStr">
        <is>
          <t>H D LOG TRANSPORTES LTDA ME</t>
        </is>
      </c>
      <c r="F6660" s="30" t="inlineStr">
        <is>
          <t>2022</t>
        </is>
      </c>
      <c r="G6660" s="40" t="n">
        <v>10909.88</v>
      </c>
    </row>
    <row r="6661" ht="12" customHeight="1">
      <c r="A6661" s="30" t="inlineStr">
        <is>
          <t>ITG</t>
        </is>
      </c>
      <c r="B6661" s="30" t="inlineStr">
        <is>
          <t>Itaguai</t>
        </is>
      </c>
      <c r="C6661" s="30" t="n">
        <v>79825719</v>
      </c>
      <c r="D6661" s="30">
        <f>"11040609000100"</f>
        <v/>
      </c>
      <c r="E6661" s="30" t="inlineStr">
        <is>
          <t>H D LOG TRANSPORTES LTDA ME</t>
        </is>
      </c>
      <c r="F6661" s="30" t="inlineStr">
        <is>
          <t>2023</t>
        </is>
      </c>
      <c r="G6661" s="40" t="n">
        <v>12625.95</v>
      </c>
    </row>
    <row r="6662" ht="12" customHeight="1">
      <c r="A6662" s="30" t="inlineStr">
        <is>
          <t>ITG</t>
        </is>
      </c>
      <c r="B6662" s="30" t="inlineStr">
        <is>
          <t>Itaguai</t>
        </is>
      </c>
      <c r="C6662" s="30" t="n">
        <v>79829110</v>
      </c>
      <c r="D6662" s="30">
        <f>"17332857000101"</f>
        <v/>
      </c>
      <c r="E6662" s="30" t="inlineStr">
        <is>
          <t>ESGO JET AMBIENTAL LTDA EPP</t>
        </is>
      </c>
      <c r="F6662" s="30" t="inlineStr">
        <is>
          <t>2017</t>
        </is>
      </c>
      <c r="G6662" s="40" t="n">
        <v>0</v>
      </c>
    </row>
    <row r="6663" ht="12" customHeight="1">
      <c r="A6663" s="30" t="inlineStr">
        <is>
          <t>ITG</t>
        </is>
      </c>
      <c r="B6663" s="30" t="inlineStr">
        <is>
          <t>Itaguai</t>
        </is>
      </c>
      <c r="C6663" s="30" t="n">
        <v>79829110</v>
      </c>
      <c r="D6663" s="30">
        <f>"17332857000101"</f>
        <v/>
      </c>
      <c r="E6663" s="30" t="inlineStr">
        <is>
          <t>ESGO JET AMBIENTAL LTDA EPP</t>
        </is>
      </c>
      <c r="F6663" s="30" t="inlineStr">
        <is>
          <t>2018</t>
        </is>
      </c>
      <c r="G6663" s="40" t="n">
        <v>100700.9</v>
      </c>
    </row>
    <row r="6664" ht="12" customHeight="1">
      <c r="A6664" s="30" t="inlineStr">
        <is>
          <t>ITG</t>
        </is>
      </c>
      <c r="B6664" s="30" t="inlineStr">
        <is>
          <t>Itaguai</t>
        </is>
      </c>
      <c r="C6664" s="30" t="n">
        <v>79829110</v>
      </c>
      <c r="D6664" s="30">
        <f>"17332857000101"</f>
        <v/>
      </c>
      <c r="E6664" s="30" t="inlineStr">
        <is>
          <t>ESGO JET AMBIENTAL LTDA EPP</t>
        </is>
      </c>
      <c r="F6664" s="30" t="inlineStr">
        <is>
          <t>2019</t>
        </is>
      </c>
      <c r="G6664" s="40" t="n">
        <v>0</v>
      </c>
    </row>
    <row r="6665" ht="12" customHeight="1">
      <c r="A6665" s="30" t="inlineStr">
        <is>
          <t>ITG</t>
        </is>
      </c>
      <c r="B6665" s="30" t="inlineStr">
        <is>
          <t>Itaguai</t>
        </is>
      </c>
      <c r="C6665" s="30" t="n">
        <v>79829110</v>
      </c>
      <c r="D6665" s="30">
        <f>"17332857000101"</f>
        <v/>
      </c>
      <c r="E6665" s="30" t="inlineStr">
        <is>
          <t>ESGO JET AMBIENTAL LTDA EPP</t>
        </is>
      </c>
      <c r="F6665" s="30" t="inlineStr">
        <is>
          <t>2020</t>
        </is>
      </c>
      <c r="G6665" s="40" t="n">
        <v>0</v>
      </c>
    </row>
    <row r="6666" ht="12" customHeight="1">
      <c r="A6666" s="30" t="inlineStr">
        <is>
          <t>ITG</t>
        </is>
      </c>
      <c r="B6666" s="30" t="inlineStr">
        <is>
          <t>Itaguai</t>
        </is>
      </c>
      <c r="C6666" s="30" t="n">
        <v>79829110</v>
      </c>
      <c r="D6666" s="30">
        <f>"17332857000101"</f>
        <v/>
      </c>
      <c r="E6666" s="30" t="inlineStr">
        <is>
          <t>ESGO JET AMBIENTAL LTDA EPP</t>
        </is>
      </c>
      <c r="F6666" s="30" t="inlineStr">
        <is>
          <t>2021</t>
        </is>
      </c>
      <c r="G6666" s="40" t="n">
        <v>0</v>
      </c>
    </row>
    <row r="6667" ht="12" customHeight="1">
      <c r="A6667" s="30" t="inlineStr">
        <is>
          <t>ITG</t>
        </is>
      </c>
      <c r="B6667" s="30" t="inlineStr">
        <is>
          <t>Itaguai</t>
        </is>
      </c>
      <c r="C6667" s="30" t="n">
        <v>79829110</v>
      </c>
      <c r="D6667" s="30">
        <f>"17332857000101"</f>
        <v/>
      </c>
      <c r="E6667" s="30" t="inlineStr">
        <is>
          <t>ESGO JET AMBIENTAL LTDA EPP</t>
        </is>
      </c>
      <c r="F6667" s="30" t="inlineStr">
        <is>
          <t>2022</t>
        </is>
      </c>
      <c r="G6667" s="40" t="n">
        <v>0</v>
      </c>
    </row>
    <row r="6668" ht="12" customHeight="1">
      <c r="A6668" s="30" t="inlineStr">
        <is>
          <t>ITG</t>
        </is>
      </c>
      <c r="B6668" s="30" t="inlineStr">
        <is>
          <t>Itaguai</t>
        </is>
      </c>
      <c r="C6668" s="30" t="n">
        <v>79829110</v>
      </c>
      <c r="D6668" s="30">
        <f>"17332857000101"</f>
        <v/>
      </c>
      <c r="E6668" s="30" t="inlineStr">
        <is>
          <t>ESGO JET AMBIENTAL LTDA EPP</t>
        </is>
      </c>
      <c r="F6668" s="30" t="inlineStr">
        <is>
          <t>2023</t>
        </is>
      </c>
      <c r="G6668" s="40" t="n">
        <v>216888.22</v>
      </c>
    </row>
    <row r="6669" ht="12" customHeight="1">
      <c r="A6669" s="30" t="inlineStr">
        <is>
          <t>ITG</t>
        </is>
      </c>
      <c r="B6669" s="30" t="inlineStr">
        <is>
          <t>Itaguai</t>
        </is>
      </c>
      <c r="C6669" s="30" t="n">
        <v>79835099</v>
      </c>
      <c r="D6669" s="30">
        <f>"33041260080508"</f>
        <v/>
      </c>
      <c r="E6669" s="30" t="inlineStr">
        <is>
          <t>VIA VAREJO S/A</t>
        </is>
      </c>
      <c r="F6669" s="30" t="inlineStr">
        <is>
          <t>2017</t>
        </is>
      </c>
      <c r="G6669" s="40" t="n">
        <v>4220308.67</v>
      </c>
    </row>
    <row r="6670" ht="12" customHeight="1">
      <c r="A6670" s="30" t="inlineStr">
        <is>
          <t>ITG</t>
        </is>
      </c>
      <c r="B6670" s="30" t="inlineStr">
        <is>
          <t>Itaguai</t>
        </is>
      </c>
      <c r="C6670" s="30" t="n">
        <v>79835099</v>
      </c>
      <c r="D6670" s="30">
        <f>"33041260080508"</f>
        <v/>
      </c>
      <c r="E6670" s="30" t="inlineStr">
        <is>
          <t>VIA VAREJO S/A</t>
        </is>
      </c>
      <c r="F6670" s="30" t="inlineStr">
        <is>
          <t>2018</t>
        </is>
      </c>
      <c r="G6670" s="40" t="n">
        <v>4065098.22</v>
      </c>
    </row>
    <row r="6671" ht="12" customHeight="1">
      <c r="A6671" s="30" t="inlineStr">
        <is>
          <t>ITG</t>
        </is>
      </c>
      <c r="B6671" s="30" t="inlineStr">
        <is>
          <t>Itaguai</t>
        </is>
      </c>
      <c r="C6671" s="30" t="n">
        <v>79835099</v>
      </c>
      <c r="D6671" s="30">
        <f>"33041260080508"</f>
        <v/>
      </c>
      <c r="E6671" s="30" t="inlineStr">
        <is>
          <t>VIA VAREJO S/A</t>
        </is>
      </c>
      <c r="F6671" s="30" t="inlineStr">
        <is>
          <t>2019</t>
        </is>
      </c>
      <c r="G6671" s="40" t="n">
        <v>4078759.99</v>
      </c>
    </row>
    <row r="6672" ht="12" customHeight="1">
      <c r="A6672" s="30" t="inlineStr">
        <is>
          <t>ITG</t>
        </is>
      </c>
      <c r="B6672" s="30" t="inlineStr">
        <is>
          <t>Itaguai</t>
        </is>
      </c>
      <c r="C6672" s="30" t="n">
        <v>79835099</v>
      </c>
      <c r="D6672" s="30">
        <f>"33041260080508"</f>
        <v/>
      </c>
      <c r="E6672" s="30" t="inlineStr">
        <is>
          <t>VIA VAREJO S/A</t>
        </is>
      </c>
      <c r="F6672" s="30" t="inlineStr">
        <is>
          <t>2020</t>
        </is>
      </c>
      <c r="G6672" s="40" t="n">
        <v>4492367.12</v>
      </c>
    </row>
    <row r="6673" ht="12" customHeight="1">
      <c r="A6673" s="30" t="inlineStr">
        <is>
          <t>ITG</t>
        </is>
      </c>
      <c r="B6673" s="30" t="inlineStr">
        <is>
          <t>Itaguai</t>
        </is>
      </c>
      <c r="C6673" s="30" t="n">
        <v>79835099</v>
      </c>
      <c r="D6673" s="30">
        <f>"33041260080508"</f>
        <v/>
      </c>
      <c r="E6673" s="30" t="inlineStr">
        <is>
          <t>VIA VAREJO S/A</t>
        </is>
      </c>
      <c r="F6673" s="30" t="inlineStr">
        <is>
          <t>2021</t>
        </is>
      </c>
      <c r="G6673" s="40" t="n">
        <v>2143462.11</v>
      </c>
    </row>
    <row r="6674" ht="12" customHeight="1">
      <c r="A6674" s="30" t="inlineStr">
        <is>
          <t>ITG</t>
        </is>
      </c>
      <c r="B6674" s="30" t="inlineStr">
        <is>
          <t>Itaguai</t>
        </is>
      </c>
      <c r="C6674" s="30" t="n">
        <v>79835099</v>
      </c>
      <c r="D6674" s="30">
        <f>"33041260080508"</f>
        <v/>
      </c>
      <c r="E6674" s="30" t="inlineStr">
        <is>
          <t>VIA VAREJO S/A</t>
        </is>
      </c>
      <c r="F6674" s="30" t="inlineStr">
        <is>
          <t>2022</t>
        </is>
      </c>
      <c r="G6674" s="40" t="n">
        <v>1721695.47</v>
      </c>
    </row>
    <row r="6675" ht="12" customHeight="1">
      <c r="A6675" s="30" t="inlineStr">
        <is>
          <t>ITG</t>
        </is>
      </c>
      <c r="B6675" s="30" t="inlineStr">
        <is>
          <t>Itaguai</t>
        </is>
      </c>
      <c r="C6675" s="30" t="n">
        <v>79835099</v>
      </c>
      <c r="D6675" s="30">
        <f>"33041260080508"</f>
        <v/>
      </c>
      <c r="E6675" s="30" t="inlineStr">
        <is>
          <t>VIA VAREJO S/A</t>
        </is>
      </c>
      <c r="F6675" s="30" t="inlineStr">
        <is>
          <t>2023</t>
        </is>
      </c>
      <c r="G6675" s="40" t="n">
        <v>1834609.25</v>
      </c>
    </row>
    <row r="6676" ht="12" customHeight="1">
      <c r="A6676" s="30" t="inlineStr">
        <is>
          <t>ITG</t>
        </is>
      </c>
      <c r="B6676" s="30" t="inlineStr">
        <is>
          <t>Itaguai</t>
        </is>
      </c>
      <c r="C6676" s="30" t="n">
        <v>79835668</v>
      </c>
      <c r="D6676" s="30">
        <f>"17364748000176"</f>
        <v/>
      </c>
      <c r="E6676" s="30" t="inlineStr">
        <is>
          <t>FRANCISCO DE ASSIS FIDELIS OLIVEIRA ME</t>
        </is>
      </c>
      <c r="F6676" s="30" t="inlineStr">
        <is>
          <t>2017</t>
        </is>
      </c>
      <c r="G6676" s="40" t="n">
        <v>0</v>
      </c>
    </row>
    <row r="6677" ht="12" customHeight="1">
      <c r="A6677" s="30" t="inlineStr">
        <is>
          <t>ITG</t>
        </is>
      </c>
      <c r="B6677" s="30" t="inlineStr">
        <is>
          <t>Itaguai</t>
        </is>
      </c>
      <c r="C6677" s="30" t="n">
        <v>79835668</v>
      </c>
      <c r="D6677" s="30">
        <f>"17364748000176"</f>
        <v/>
      </c>
      <c r="E6677" s="30" t="inlineStr">
        <is>
          <t>FRANCISCO DE ASSIS FIDELIS OLIVEIRA ME</t>
        </is>
      </c>
      <c r="F6677" s="30" t="inlineStr">
        <is>
          <t>2018</t>
        </is>
      </c>
      <c r="G6677" s="40" t="n">
        <v>0</v>
      </c>
    </row>
    <row r="6678" ht="12" customHeight="1">
      <c r="A6678" s="30" t="inlineStr">
        <is>
          <t>ITG</t>
        </is>
      </c>
      <c r="B6678" s="30" t="inlineStr">
        <is>
          <t>Itaguai</t>
        </is>
      </c>
      <c r="C6678" s="30" t="n">
        <v>79835668</v>
      </c>
      <c r="D6678" s="30">
        <f>"17364748000176"</f>
        <v/>
      </c>
      <c r="E6678" s="30" t="inlineStr">
        <is>
          <t>FRANCISCO DE ASSIS FIDELIS OLIVEIRA ME</t>
        </is>
      </c>
      <c r="F6678" s="30" t="inlineStr">
        <is>
          <t>2019</t>
        </is>
      </c>
      <c r="G6678" s="40" t="n">
        <v>0</v>
      </c>
    </row>
    <row r="6679" ht="12" customHeight="1">
      <c r="A6679" s="30" t="inlineStr">
        <is>
          <t>ITG</t>
        </is>
      </c>
      <c r="B6679" s="30" t="inlineStr">
        <is>
          <t>Itaguai</t>
        </is>
      </c>
      <c r="C6679" s="30" t="n">
        <v>79835668</v>
      </c>
      <c r="D6679" s="30">
        <f>"17364748000176"</f>
        <v/>
      </c>
      <c r="E6679" s="30" t="inlineStr">
        <is>
          <t>FRANCISCO DE ASSIS FIDELIS OLIVEIRA ME</t>
        </is>
      </c>
      <c r="F6679" s="30" t="inlineStr">
        <is>
          <t>2020</t>
        </is>
      </c>
      <c r="G6679" s="40" t="n">
        <v>0</v>
      </c>
    </row>
    <row r="6680" ht="12" customHeight="1">
      <c r="A6680" s="30" t="inlineStr">
        <is>
          <t>ITG</t>
        </is>
      </c>
      <c r="B6680" s="30" t="inlineStr">
        <is>
          <t>Itaguai</t>
        </is>
      </c>
      <c r="C6680" s="30" t="n">
        <v>79835668</v>
      </c>
      <c r="D6680" s="30">
        <f>"17364748000176"</f>
        <v/>
      </c>
      <c r="E6680" s="30" t="inlineStr">
        <is>
          <t>FRANCISCO DE ASSIS FIDELIS OLIVEIRA ME</t>
        </is>
      </c>
      <c r="F6680" s="30" t="inlineStr">
        <is>
          <t>2021</t>
        </is>
      </c>
      <c r="G6680" s="40" t="n">
        <v>0</v>
      </c>
    </row>
    <row r="6681" ht="12" customHeight="1">
      <c r="A6681" s="30" t="inlineStr">
        <is>
          <t>ITG</t>
        </is>
      </c>
      <c r="B6681" s="30" t="inlineStr">
        <is>
          <t>Itaguai</t>
        </is>
      </c>
      <c r="C6681" s="30" t="n">
        <v>79835668</v>
      </c>
      <c r="D6681" s="30">
        <f>"17364748000176"</f>
        <v/>
      </c>
      <c r="E6681" s="30" t="inlineStr">
        <is>
          <t>FRANCISCO DE ASSIS FIDELIS OLIVEIRA ME</t>
        </is>
      </c>
      <c r="F6681" s="30" t="inlineStr">
        <is>
          <t>2022</t>
        </is>
      </c>
      <c r="G6681" s="40" t="n">
        <v>0</v>
      </c>
    </row>
    <row r="6682" ht="12" customHeight="1">
      <c r="A6682" s="30" t="inlineStr">
        <is>
          <t>ITG</t>
        </is>
      </c>
      <c r="B6682" s="30" t="inlineStr">
        <is>
          <t>Itaguai</t>
        </is>
      </c>
      <c r="C6682" s="30" t="n">
        <v>79835862</v>
      </c>
      <c r="D6682" s="30">
        <f>"02351144003648"</f>
        <v/>
      </c>
      <c r="E6682" s="30" t="inlineStr">
        <is>
          <t>TEGMA GESTAO LOGISTICA S/A</t>
        </is>
      </c>
      <c r="F6682" s="30" t="inlineStr">
        <is>
          <t>2017</t>
        </is>
      </c>
      <c r="G6682" s="40" t="n">
        <v>0</v>
      </c>
    </row>
    <row r="6683" ht="12" customHeight="1">
      <c r="A6683" s="30" t="inlineStr">
        <is>
          <t>ITG</t>
        </is>
      </c>
      <c r="B6683" s="30" t="inlineStr">
        <is>
          <t>Itaguai</t>
        </is>
      </c>
      <c r="C6683" s="30" t="n">
        <v>79835862</v>
      </c>
      <c r="D6683" s="30">
        <f>"02351144003648"</f>
        <v/>
      </c>
      <c r="E6683" s="30" t="inlineStr">
        <is>
          <t>TEGMA GESTAO LOGISTICA S/A</t>
        </is>
      </c>
      <c r="F6683" s="30" t="inlineStr">
        <is>
          <t>2018</t>
        </is>
      </c>
      <c r="G6683" s="40" t="n">
        <v>0</v>
      </c>
    </row>
    <row r="6684" ht="12" customHeight="1">
      <c r="A6684" s="30" t="inlineStr">
        <is>
          <t>ITG</t>
        </is>
      </c>
      <c r="B6684" s="30" t="inlineStr">
        <is>
          <t>Itaguai</t>
        </is>
      </c>
      <c r="C6684" s="30" t="n">
        <v>79835862</v>
      </c>
      <c r="D6684" s="30">
        <f>"02351144003648"</f>
        <v/>
      </c>
      <c r="E6684" s="30" t="inlineStr">
        <is>
          <t>TEGMA GESTAO LOGISTICA S/A</t>
        </is>
      </c>
      <c r="F6684" s="30" t="inlineStr">
        <is>
          <t>2019</t>
        </is>
      </c>
      <c r="G6684" s="40" t="n">
        <v>60348.24</v>
      </c>
    </row>
    <row r="6685" ht="12" customHeight="1">
      <c r="A6685" s="30" t="inlineStr">
        <is>
          <t>ITG</t>
        </is>
      </c>
      <c r="B6685" s="30" t="inlineStr">
        <is>
          <t>Itaguai</t>
        </is>
      </c>
      <c r="C6685" s="30" t="n">
        <v>79835862</v>
      </c>
      <c r="D6685" s="30">
        <f>"02351144003648"</f>
        <v/>
      </c>
      <c r="E6685" s="30" t="inlineStr">
        <is>
          <t>TEGMA GESTAO LOGISTICA S/A</t>
        </is>
      </c>
      <c r="F6685" s="30" t="inlineStr">
        <is>
          <t>2020</t>
        </is>
      </c>
      <c r="G6685" s="40" t="n">
        <v>7465.95</v>
      </c>
    </row>
    <row r="6686" ht="12" customHeight="1">
      <c r="A6686" s="30" t="inlineStr">
        <is>
          <t>ITG</t>
        </is>
      </c>
      <c r="B6686" s="30" t="inlineStr">
        <is>
          <t>Itaguai</t>
        </is>
      </c>
      <c r="C6686" s="30" t="n">
        <v>79835862</v>
      </c>
      <c r="D6686" s="30">
        <f>"02351144003648"</f>
        <v/>
      </c>
      <c r="E6686" s="30" t="inlineStr">
        <is>
          <t>TEGMA GESTAO LOGISTICA S/A</t>
        </is>
      </c>
      <c r="F6686" s="30" t="inlineStr">
        <is>
          <t>2021</t>
        </is>
      </c>
      <c r="G6686" s="40" t="n">
        <v>0</v>
      </c>
    </row>
    <row r="6687" ht="12" customHeight="1">
      <c r="A6687" s="30" t="inlineStr">
        <is>
          <t>ITG</t>
        </is>
      </c>
      <c r="B6687" s="30" t="inlineStr">
        <is>
          <t>Itaguai</t>
        </is>
      </c>
      <c r="C6687" s="30" t="n">
        <v>79835862</v>
      </c>
      <c r="D6687" s="30">
        <f>"02351144003648"</f>
        <v/>
      </c>
      <c r="E6687" s="30" t="inlineStr">
        <is>
          <t>TEGMA GESTAO LOGISTICA S/A</t>
        </is>
      </c>
      <c r="F6687" s="30" t="inlineStr">
        <is>
          <t>2022</t>
        </is>
      </c>
      <c r="G6687" s="40" t="n">
        <v>0</v>
      </c>
    </row>
    <row r="6688" ht="12" customHeight="1">
      <c r="A6688" s="30" t="inlineStr">
        <is>
          <t>ITG</t>
        </is>
      </c>
      <c r="B6688" s="30" t="inlineStr">
        <is>
          <t>Itaguai</t>
        </is>
      </c>
      <c r="C6688" s="30" t="n">
        <v>79843555</v>
      </c>
      <c r="D6688" s="30">
        <f>"17431450000131"</f>
        <v/>
      </c>
      <c r="E6688" s="30" t="inlineStr">
        <is>
          <t>MERCADO COSTA DO SOL EIRELI</t>
        </is>
      </c>
      <c r="F6688" s="30" t="inlineStr">
        <is>
          <t>2017</t>
        </is>
      </c>
      <c r="G6688" s="40" t="n">
        <v>78561.14</v>
      </c>
    </row>
    <row r="6689" ht="12" customHeight="1">
      <c r="A6689" s="30" t="inlineStr">
        <is>
          <t>ITG</t>
        </is>
      </c>
      <c r="B6689" s="30" t="inlineStr">
        <is>
          <t>Itaguai</t>
        </is>
      </c>
      <c r="C6689" s="30" t="n">
        <v>79843555</v>
      </c>
      <c r="D6689" s="30">
        <f>"17431450000131"</f>
        <v/>
      </c>
      <c r="E6689" s="30" t="inlineStr">
        <is>
          <t>MERCADO COSTA DO SOL EIRELI</t>
        </is>
      </c>
      <c r="F6689" s="30" t="inlineStr">
        <is>
          <t>2018</t>
        </is>
      </c>
      <c r="G6689" s="40" t="n">
        <v>44912.88</v>
      </c>
    </row>
    <row r="6690" ht="12" customHeight="1">
      <c r="A6690" s="30" t="inlineStr">
        <is>
          <t>ITG</t>
        </is>
      </c>
      <c r="B6690" s="30" t="inlineStr">
        <is>
          <t>Itaguai</t>
        </is>
      </c>
      <c r="C6690" s="30" t="n">
        <v>79843555</v>
      </c>
      <c r="D6690" s="30">
        <f>"17431450000131"</f>
        <v/>
      </c>
      <c r="E6690" s="30" t="inlineStr">
        <is>
          <t>MERCADO COSTA DO SOL EIRELI</t>
        </is>
      </c>
      <c r="F6690" s="30" t="inlineStr">
        <is>
          <t>2019</t>
        </is>
      </c>
      <c r="G6690" s="40" t="n">
        <v>125373.64</v>
      </c>
    </row>
    <row r="6691" ht="12" customHeight="1">
      <c r="A6691" s="30" t="inlineStr">
        <is>
          <t>ITG</t>
        </is>
      </c>
      <c r="B6691" s="30" t="inlineStr">
        <is>
          <t>Itaguai</t>
        </is>
      </c>
      <c r="C6691" s="30" t="n">
        <v>79843555</v>
      </c>
      <c r="D6691" s="30">
        <f>"17431450000131"</f>
        <v/>
      </c>
      <c r="E6691" s="30" t="inlineStr">
        <is>
          <t>MERCADO COSTA DO SOL EIRELI</t>
        </is>
      </c>
      <c r="F6691" s="30" t="inlineStr">
        <is>
          <t>2020</t>
        </is>
      </c>
      <c r="G6691" s="40" t="n">
        <v>117518.71</v>
      </c>
    </row>
    <row r="6692" ht="12" customHeight="1">
      <c r="A6692" s="30" t="inlineStr">
        <is>
          <t>ITG</t>
        </is>
      </c>
      <c r="B6692" s="30" t="inlineStr">
        <is>
          <t>Itaguai</t>
        </is>
      </c>
      <c r="C6692" s="30" t="n">
        <v>79843555</v>
      </c>
      <c r="D6692" s="30">
        <f>"17431450000131"</f>
        <v/>
      </c>
      <c r="E6692" s="30" t="inlineStr">
        <is>
          <t>MERCADO COSTA DO SOL EIRELI</t>
        </is>
      </c>
      <c r="F6692" s="30" t="inlineStr">
        <is>
          <t>2021</t>
        </is>
      </c>
      <c r="G6692" s="40" t="n">
        <v>33553.72</v>
      </c>
    </row>
    <row r="6693" ht="12" customHeight="1">
      <c r="A6693" s="30" t="inlineStr">
        <is>
          <t>ITG</t>
        </is>
      </c>
      <c r="B6693" s="30" t="inlineStr">
        <is>
          <t>Itaguai</t>
        </is>
      </c>
      <c r="C6693" s="30" t="n">
        <v>79843555</v>
      </c>
      <c r="D6693" s="30">
        <f>"17431450000131"</f>
        <v/>
      </c>
      <c r="E6693" s="30" t="inlineStr">
        <is>
          <t>MERCADO COSTA DO SOL EIRELI</t>
        </is>
      </c>
      <c r="F6693" s="30" t="inlineStr">
        <is>
          <t>2022</t>
        </is>
      </c>
      <c r="G6693" s="40" t="n">
        <v>0</v>
      </c>
    </row>
    <row r="6694" ht="12" customHeight="1">
      <c r="A6694" s="30" t="inlineStr">
        <is>
          <t>ITG</t>
        </is>
      </c>
      <c r="B6694" s="30" t="inlineStr">
        <is>
          <t>Itaguai</t>
        </is>
      </c>
      <c r="C6694" s="30" t="n">
        <v>79843555</v>
      </c>
      <c r="D6694" s="30">
        <f>"17431450000131"</f>
        <v/>
      </c>
      <c r="E6694" s="30" t="inlineStr">
        <is>
          <t>MERCADO COSTA DO SOL EIRELI</t>
        </is>
      </c>
      <c r="F6694" s="30" t="inlineStr">
        <is>
          <t>2023</t>
        </is>
      </c>
      <c r="G6694" s="40" t="n">
        <v>0</v>
      </c>
    </row>
    <row r="6695" ht="12" customHeight="1">
      <c r="A6695" s="30" t="inlineStr">
        <is>
          <t>ITG</t>
        </is>
      </c>
      <c r="B6695" s="30" t="inlineStr">
        <is>
          <t>Itaguai</t>
        </is>
      </c>
      <c r="C6695" s="30" t="n">
        <v>79851604</v>
      </c>
      <c r="D6695" s="30">
        <f>"17466692000160"</f>
        <v/>
      </c>
      <c r="E6695" s="30" t="inlineStr">
        <is>
          <t>SANIBAN - LOCA??O DE SANIT?RIOS QUIMICOS - LTDA</t>
        </is>
      </c>
      <c r="F6695" s="30" t="inlineStr">
        <is>
          <t>2017</t>
        </is>
      </c>
      <c r="G6695" s="40" t="n">
        <v>0</v>
      </c>
    </row>
    <row r="6696" ht="12" customHeight="1">
      <c r="A6696" s="30" t="inlineStr">
        <is>
          <t>ITG</t>
        </is>
      </c>
      <c r="B6696" s="30" t="inlineStr">
        <is>
          <t>Itaguai</t>
        </is>
      </c>
      <c r="C6696" s="30" t="n">
        <v>79851604</v>
      </c>
      <c r="D6696" s="30">
        <f>"17466692000160"</f>
        <v/>
      </c>
      <c r="E6696" s="30" t="inlineStr">
        <is>
          <t>SANIBAN - LOCA??O DE SANIT?RIOS QUIMICOS - LTDA</t>
        </is>
      </c>
      <c r="F6696" s="30" t="inlineStr">
        <is>
          <t>2018</t>
        </is>
      </c>
      <c r="G6696" s="40" t="n">
        <v>0</v>
      </c>
    </row>
    <row r="6697" ht="12" customHeight="1">
      <c r="A6697" s="30" t="inlineStr">
        <is>
          <t>ITG</t>
        </is>
      </c>
      <c r="B6697" s="30" t="inlineStr">
        <is>
          <t>Itaguai</t>
        </is>
      </c>
      <c r="C6697" s="30" t="n">
        <v>79851604</v>
      </c>
      <c r="D6697" s="30">
        <f>"17466692000160"</f>
        <v/>
      </c>
      <c r="E6697" s="30" t="inlineStr">
        <is>
          <t>SANIBAN - LOCA??O DE SANIT?RIOS QUIMICOS - LTDA</t>
        </is>
      </c>
      <c r="F6697" s="30" t="inlineStr">
        <is>
          <t>2019</t>
        </is>
      </c>
      <c r="G6697" s="40" t="n">
        <v>0</v>
      </c>
    </row>
    <row r="6698" ht="12" customHeight="1">
      <c r="A6698" s="30" t="inlineStr">
        <is>
          <t>ITG</t>
        </is>
      </c>
      <c r="B6698" s="30" t="inlineStr">
        <is>
          <t>Itaguai</t>
        </is>
      </c>
      <c r="C6698" s="30" t="n">
        <v>79851604</v>
      </c>
      <c r="D6698" s="30">
        <f>"17466692000160"</f>
        <v/>
      </c>
      <c r="E6698" s="30" t="inlineStr">
        <is>
          <t>SANIBAN - LOCA??O DE SANIT?RIOS QUIMICOS - LTDA</t>
        </is>
      </c>
      <c r="F6698" s="30" t="inlineStr">
        <is>
          <t>2020</t>
        </is>
      </c>
      <c r="G6698" s="40" t="n">
        <v>0</v>
      </c>
    </row>
    <row r="6699" ht="12" customHeight="1">
      <c r="A6699" s="30" t="inlineStr">
        <is>
          <t>ITG</t>
        </is>
      </c>
      <c r="B6699" s="30" t="inlineStr">
        <is>
          <t>Itaguai</t>
        </is>
      </c>
      <c r="C6699" s="30" t="n">
        <v>79851604</v>
      </c>
      <c r="D6699" s="30">
        <f>"17466692000160"</f>
        <v/>
      </c>
      <c r="E6699" s="30" t="inlineStr">
        <is>
          <t>SANIBAN - LOCA??O DE SANIT?RIOS QUIMICOS - LTDA</t>
        </is>
      </c>
      <c r="F6699" s="30" t="inlineStr">
        <is>
          <t>2021</t>
        </is>
      </c>
      <c r="G6699" s="40" t="n">
        <v>8442</v>
      </c>
    </row>
    <row r="6700" ht="12" customHeight="1">
      <c r="A6700" s="30" t="inlineStr">
        <is>
          <t>ITG</t>
        </is>
      </c>
      <c r="B6700" s="30" t="inlineStr">
        <is>
          <t>Itaguai</t>
        </is>
      </c>
      <c r="C6700" s="30" t="n">
        <v>79851604</v>
      </c>
      <c r="D6700" s="30">
        <f>"17466692000160"</f>
        <v/>
      </c>
      <c r="E6700" s="30" t="inlineStr">
        <is>
          <t>SANIBAN - LOCA??O DE SANIT?RIOS QUIMICOS - LTDA</t>
        </is>
      </c>
      <c r="F6700" s="30" t="inlineStr">
        <is>
          <t>2022</t>
        </is>
      </c>
      <c r="G6700" s="40" t="n">
        <v>0</v>
      </c>
    </row>
    <row r="6701" ht="12" customHeight="1">
      <c r="A6701" s="30" t="inlineStr">
        <is>
          <t>ITG</t>
        </is>
      </c>
      <c r="B6701" s="30" t="inlineStr">
        <is>
          <t>Itaguai</t>
        </is>
      </c>
      <c r="C6701" s="30" t="n">
        <v>79851604</v>
      </c>
      <c r="D6701" s="30">
        <f>"17466692000160"</f>
        <v/>
      </c>
      <c r="E6701" s="30" t="inlineStr">
        <is>
          <t>SANIBAN - LOCA??O DE SANIT?RIOS QUIMICOS - LTDA</t>
        </is>
      </c>
      <c r="F6701" s="30" t="inlineStr">
        <is>
          <t>2023</t>
        </is>
      </c>
      <c r="G6701" s="40" t="n">
        <v>0</v>
      </c>
    </row>
    <row r="6702" ht="12" customHeight="1">
      <c r="A6702" s="30" t="inlineStr">
        <is>
          <t>ITG</t>
        </is>
      </c>
      <c r="B6702" s="30" t="inlineStr">
        <is>
          <t>Itaguai</t>
        </is>
      </c>
      <c r="C6702" s="30" t="n">
        <v>79852120</v>
      </c>
      <c r="D6702" s="30">
        <f>"09174577000780"</f>
        <v/>
      </c>
      <c r="E6702" s="30" t="inlineStr">
        <is>
          <t>BCUBE LOGISTIC LTDA</t>
        </is>
      </c>
      <c r="F6702" s="30" t="inlineStr">
        <is>
          <t>2017</t>
        </is>
      </c>
      <c r="G6702" s="40" t="n">
        <v>129365.84</v>
      </c>
    </row>
    <row r="6703" ht="12" customHeight="1">
      <c r="A6703" s="30" t="inlineStr">
        <is>
          <t>ITG</t>
        </is>
      </c>
      <c r="B6703" s="30" t="inlineStr">
        <is>
          <t>Itaguai</t>
        </is>
      </c>
      <c r="C6703" s="30" t="n">
        <v>79852120</v>
      </c>
      <c r="D6703" s="30">
        <f>"09174577000780"</f>
        <v/>
      </c>
      <c r="E6703" s="30" t="inlineStr">
        <is>
          <t>BCUBE LOGISTIC LTDA</t>
        </is>
      </c>
      <c r="F6703" s="30" t="inlineStr">
        <is>
          <t>2018</t>
        </is>
      </c>
      <c r="G6703" s="40" t="n">
        <v>17290.35</v>
      </c>
    </row>
    <row r="6704" ht="12" customHeight="1">
      <c r="A6704" s="30" t="inlineStr">
        <is>
          <t>ITG</t>
        </is>
      </c>
      <c r="B6704" s="30" t="inlineStr">
        <is>
          <t>Itaguai</t>
        </is>
      </c>
      <c r="C6704" s="30" t="n">
        <v>79852120</v>
      </c>
      <c r="D6704" s="30">
        <f>"09174577000780"</f>
        <v/>
      </c>
      <c r="E6704" s="30" t="inlineStr">
        <is>
          <t>BCUBE LOGISTIC LTDA</t>
        </is>
      </c>
      <c r="F6704" s="30" t="inlineStr">
        <is>
          <t>2019</t>
        </is>
      </c>
      <c r="G6704" s="40" t="n">
        <v>0</v>
      </c>
    </row>
    <row r="6705" ht="12" customHeight="1">
      <c r="A6705" s="30" t="inlineStr">
        <is>
          <t>ITG</t>
        </is>
      </c>
      <c r="B6705" s="30" t="inlineStr">
        <is>
          <t>Itaguai</t>
        </is>
      </c>
      <c r="C6705" s="30" t="n">
        <v>79852120</v>
      </c>
      <c r="D6705" s="30">
        <f>"09174577000780"</f>
        <v/>
      </c>
      <c r="E6705" s="30" t="inlineStr">
        <is>
          <t>BCUBE LOGISTIC LTDA</t>
        </is>
      </c>
      <c r="F6705" s="30" t="inlineStr">
        <is>
          <t>2020</t>
        </is>
      </c>
      <c r="G6705" s="40" t="n">
        <v>0</v>
      </c>
    </row>
    <row r="6706" ht="12" customHeight="1">
      <c r="A6706" s="30" t="inlineStr">
        <is>
          <t>ITG</t>
        </is>
      </c>
      <c r="B6706" s="30" t="inlineStr">
        <is>
          <t>Itaguai</t>
        </is>
      </c>
      <c r="C6706" s="30" t="n">
        <v>79855049</v>
      </c>
      <c r="D6706" s="30">
        <f>"17483170000177"</f>
        <v/>
      </c>
      <c r="E6706" s="30" t="inlineStr">
        <is>
          <t>PROMAR NAUTICA FIBRAS LTDA ME</t>
        </is>
      </c>
      <c r="F6706" s="30" t="inlineStr">
        <is>
          <t>2017</t>
        </is>
      </c>
      <c r="G6706" s="40" t="n">
        <v>0</v>
      </c>
    </row>
    <row r="6707" ht="12" customHeight="1">
      <c r="A6707" s="30" t="inlineStr">
        <is>
          <t>ITG</t>
        </is>
      </c>
      <c r="B6707" s="30" t="inlineStr">
        <is>
          <t>Itaguai</t>
        </is>
      </c>
      <c r="C6707" s="30" t="n">
        <v>79855049</v>
      </c>
      <c r="D6707" s="30">
        <f>"17483170000177"</f>
        <v/>
      </c>
      <c r="E6707" s="30" t="inlineStr">
        <is>
          <t>PROMAR NAUTICA FIBRAS LTDA ME</t>
        </is>
      </c>
      <c r="F6707" s="30" t="inlineStr">
        <is>
          <t>2018</t>
        </is>
      </c>
      <c r="G6707" s="40" t="n">
        <v>0</v>
      </c>
    </row>
    <row r="6708" ht="12" customHeight="1">
      <c r="A6708" s="30" t="inlineStr">
        <is>
          <t>ITG</t>
        </is>
      </c>
      <c r="B6708" s="30" t="inlineStr">
        <is>
          <t>Itaguai</t>
        </is>
      </c>
      <c r="C6708" s="30" t="n">
        <v>79855049</v>
      </c>
      <c r="D6708" s="30">
        <f>"17483170000177"</f>
        <v/>
      </c>
      <c r="E6708" s="30" t="inlineStr">
        <is>
          <t>PROMAR NAUTICA FIBRAS LTDA ME</t>
        </is>
      </c>
      <c r="F6708" s="30" t="inlineStr">
        <is>
          <t>2019</t>
        </is>
      </c>
      <c r="G6708" s="40" t="n">
        <v>0</v>
      </c>
    </row>
    <row r="6709" ht="12" customHeight="1">
      <c r="A6709" s="30" t="inlineStr">
        <is>
          <t>ITG</t>
        </is>
      </c>
      <c r="B6709" s="30" t="inlineStr">
        <is>
          <t>Itaguai</t>
        </is>
      </c>
      <c r="C6709" s="30" t="n">
        <v>79857548</v>
      </c>
      <c r="D6709" s="30">
        <f>"17573902000110"</f>
        <v/>
      </c>
      <c r="E6709" s="30" t="inlineStr">
        <is>
          <t>TOP 1000 AUTOPECAS LTDA</t>
        </is>
      </c>
      <c r="F6709" s="30" t="inlineStr">
        <is>
          <t>2017</t>
        </is>
      </c>
      <c r="G6709" s="40" t="n">
        <v>888182.16</v>
      </c>
    </row>
    <row r="6710" ht="12" customHeight="1">
      <c r="A6710" s="30" t="inlineStr">
        <is>
          <t>ITG</t>
        </is>
      </c>
      <c r="B6710" s="30" t="inlineStr">
        <is>
          <t>Itaguai</t>
        </is>
      </c>
      <c r="C6710" s="30" t="n">
        <v>79857548</v>
      </c>
      <c r="D6710" s="30">
        <f>"17573902000110"</f>
        <v/>
      </c>
      <c r="E6710" s="30" t="inlineStr">
        <is>
          <t>TOP 1000 AUTOPECAS LTDA</t>
        </is>
      </c>
      <c r="F6710" s="30" t="inlineStr">
        <is>
          <t>2018</t>
        </is>
      </c>
      <c r="G6710" s="40" t="n">
        <v>0</v>
      </c>
    </row>
    <row r="6711" ht="12" customHeight="1">
      <c r="A6711" s="30" t="inlineStr">
        <is>
          <t>ITG</t>
        </is>
      </c>
      <c r="B6711" s="30" t="inlineStr">
        <is>
          <t>Itaguai</t>
        </is>
      </c>
      <c r="C6711" s="30" t="n">
        <v>79857548</v>
      </c>
      <c r="D6711" s="30">
        <f>"17573902000110"</f>
        <v/>
      </c>
      <c r="E6711" s="30" t="inlineStr">
        <is>
          <t>TOP 1000 AUTOPECAS LTDA</t>
        </is>
      </c>
      <c r="F6711" s="30" t="inlineStr">
        <is>
          <t>2019</t>
        </is>
      </c>
      <c r="G6711" s="40" t="n">
        <v>0</v>
      </c>
    </row>
    <row r="6712" ht="12" customHeight="1">
      <c r="A6712" s="30" t="inlineStr">
        <is>
          <t>ITG</t>
        </is>
      </c>
      <c r="B6712" s="30" t="inlineStr">
        <is>
          <t>Itaguai</t>
        </is>
      </c>
      <c r="C6712" s="30" t="n">
        <v>79857548</v>
      </c>
      <c r="D6712" s="30">
        <f>"17573902000110"</f>
        <v/>
      </c>
      <c r="E6712" s="30" t="inlineStr">
        <is>
          <t>TOP 1000 AUTOPECAS LTDA</t>
        </is>
      </c>
      <c r="F6712" s="30" t="inlineStr">
        <is>
          <t>2020</t>
        </is>
      </c>
      <c r="G6712" s="40" t="n">
        <v>0</v>
      </c>
    </row>
    <row r="6713" ht="12" customHeight="1">
      <c r="A6713" s="30" t="inlineStr">
        <is>
          <t>ITG</t>
        </is>
      </c>
      <c r="B6713" s="30" t="inlineStr">
        <is>
          <t>Itaguai</t>
        </is>
      </c>
      <c r="C6713" s="30" t="n">
        <v>79858161</v>
      </c>
      <c r="D6713" s="30">
        <f>"17577262000116"</f>
        <v/>
      </c>
      <c r="E6713" s="30" t="inlineStr">
        <is>
          <t>DUARTE - COMERCIO DE PISCINAS LTDA</t>
        </is>
      </c>
      <c r="F6713" s="30" t="inlineStr">
        <is>
          <t>2017</t>
        </is>
      </c>
      <c r="G6713" s="40" t="n">
        <v>0</v>
      </c>
    </row>
    <row r="6714" ht="12" customHeight="1">
      <c r="A6714" s="30" t="inlineStr">
        <is>
          <t>ITG</t>
        </is>
      </c>
      <c r="B6714" s="30" t="inlineStr">
        <is>
          <t>Itaguai</t>
        </is>
      </c>
      <c r="C6714" s="30" t="n">
        <v>79858161</v>
      </c>
      <c r="D6714" s="30">
        <f>"17577262000116"</f>
        <v/>
      </c>
      <c r="E6714" s="30" t="inlineStr">
        <is>
          <t>DUARTE - COMERCIO DE PISCINAS LTDA</t>
        </is>
      </c>
      <c r="F6714" s="30" t="inlineStr">
        <is>
          <t>2018</t>
        </is>
      </c>
      <c r="G6714" s="40" t="n">
        <v>0</v>
      </c>
    </row>
    <row r="6715" ht="12" customHeight="1">
      <c r="A6715" s="30" t="inlineStr">
        <is>
          <t>ITG</t>
        </is>
      </c>
      <c r="B6715" s="30" t="inlineStr">
        <is>
          <t>Itaguai</t>
        </is>
      </c>
      <c r="C6715" s="30" t="n">
        <v>79858161</v>
      </c>
      <c r="D6715" s="30">
        <f>"17577262000116"</f>
        <v/>
      </c>
      <c r="E6715" s="30" t="inlineStr">
        <is>
          <t>DUARTE - COMERCIO DE PISCINAS LTDA</t>
        </is>
      </c>
      <c r="F6715" s="30" t="inlineStr">
        <is>
          <t>2019</t>
        </is>
      </c>
      <c r="G6715" s="40" t="n">
        <v>0</v>
      </c>
    </row>
    <row r="6716" ht="12" customHeight="1">
      <c r="A6716" s="30" t="inlineStr">
        <is>
          <t>ITG</t>
        </is>
      </c>
      <c r="B6716" s="30" t="inlineStr">
        <is>
          <t>Itaguai</t>
        </is>
      </c>
      <c r="C6716" s="30" t="n">
        <v>79858161</v>
      </c>
      <c r="D6716" s="30">
        <f>"17577262000116"</f>
        <v/>
      </c>
      <c r="E6716" s="30" t="inlineStr">
        <is>
          <t>DUARTE - COMERCIO DE PISCINAS LTDA</t>
        </is>
      </c>
      <c r="F6716" s="30" t="inlineStr">
        <is>
          <t>2020</t>
        </is>
      </c>
      <c r="G6716" s="40" t="n">
        <v>0</v>
      </c>
    </row>
    <row r="6717" ht="12" customHeight="1">
      <c r="A6717" s="30" t="inlineStr">
        <is>
          <t>ITG</t>
        </is>
      </c>
      <c r="B6717" s="30" t="inlineStr">
        <is>
          <t>Itaguai</t>
        </is>
      </c>
      <c r="C6717" s="30" t="n">
        <v>79858161</v>
      </c>
      <c r="D6717" s="30">
        <f>"17577262000116"</f>
        <v/>
      </c>
      <c r="E6717" s="30" t="inlineStr">
        <is>
          <t>DUARTE - COMERCIO DE PISCINAS LTDA</t>
        </is>
      </c>
      <c r="F6717" s="30" t="inlineStr">
        <is>
          <t>2021</t>
        </is>
      </c>
      <c r="G6717" s="40" t="n">
        <v>0</v>
      </c>
    </row>
    <row r="6718" ht="12" customHeight="1">
      <c r="A6718" s="30" t="inlineStr">
        <is>
          <t>ITG</t>
        </is>
      </c>
      <c r="B6718" s="30" t="inlineStr">
        <is>
          <t>Itaguai</t>
        </is>
      </c>
      <c r="C6718" s="30" t="n">
        <v>79869295</v>
      </c>
      <c r="D6718" s="30">
        <f>"14553384000184"</f>
        <v/>
      </c>
      <c r="E6718" s="30" t="inlineStr">
        <is>
          <t>CLOCK SHOW BRASIL LTDA ME</t>
        </is>
      </c>
      <c r="F6718" s="30" t="inlineStr">
        <is>
          <t>2017</t>
        </is>
      </c>
      <c r="G6718" s="40" t="n">
        <v>0</v>
      </c>
    </row>
    <row r="6719" ht="12" customHeight="1">
      <c r="A6719" s="30" t="inlineStr">
        <is>
          <t>ITG</t>
        </is>
      </c>
      <c r="B6719" s="30" t="inlineStr">
        <is>
          <t>Itaguai</t>
        </is>
      </c>
      <c r="C6719" s="30" t="n">
        <v>79869295</v>
      </c>
      <c r="D6719" s="30">
        <f>"14553384000184"</f>
        <v/>
      </c>
      <c r="E6719" s="30" t="inlineStr">
        <is>
          <t>CLOCK SHOW BRASIL LTDA ME</t>
        </is>
      </c>
      <c r="F6719" s="30" t="inlineStr">
        <is>
          <t>2018</t>
        </is>
      </c>
      <c r="G6719" s="40" t="n">
        <v>0</v>
      </c>
    </row>
    <row r="6720" ht="12" customHeight="1">
      <c r="A6720" s="30" t="inlineStr">
        <is>
          <t>ITG</t>
        </is>
      </c>
      <c r="B6720" s="30" t="inlineStr">
        <is>
          <t>Itaguai</t>
        </is>
      </c>
      <c r="C6720" s="30" t="n">
        <v>79869295</v>
      </c>
      <c r="D6720" s="30">
        <f>"14553384000184"</f>
        <v/>
      </c>
      <c r="E6720" s="30" t="inlineStr">
        <is>
          <t>CLOCK SHOW BRASIL LTDA ME</t>
        </is>
      </c>
      <c r="F6720" s="30" t="inlineStr">
        <is>
          <t>2019</t>
        </is>
      </c>
      <c r="G6720" s="40" t="n">
        <v>0</v>
      </c>
    </row>
    <row r="6721" ht="12" customHeight="1">
      <c r="A6721" s="30" t="inlineStr">
        <is>
          <t>ITG</t>
        </is>
      </c>
      <c r="B6721" s="30" t="inlineStr">
        <is>
          <t>Itaguai</t>
        </is>
      </c>
      <c r="C6721" s="30" t="n">
        <v>79869295</v>
      </c>
      <c r="D6721" s="30">
        <f>"14553384000184"</f>
        <v/>
      </c>
      <c r="E6721" s="30" t="inlineStr">
        <is>
          <t>CLOCK SHOW BRASIL LTDA ME</t>
        </is>
      </c>
      <c r="F6721" s="30" t="inlineStr">
        <is>
          <t>2020</t>
        </is>
      </c>
      <c r="G6721" s="40" t="n">
        <v>0</v>
      </c>
    </row>
    <row r="6722" ht="12" customHeight="1">
      <c r="A6722" s="30" t="inlineStr">
        <is>
          <t>ITG</t>
        </is>
      </c>
      <c r="B6722" s="30" t="inlineStr">
        <is>
          <t>Itaguai</t>
        </is>
      </c>
      <c r="C6722" s="30" t="n">
        <v>79869295</v>
      </c>
      <c r="D6722" s="30">
        <f>"14553384000184"</f>
        <v/>
      </c>
      <c r="E6722" s="30" t="inlineStr">
        <is>
          <t>CLOCK SHOW BRASIL LTDA ME</t>
        </is>
      </c>
      <c r="F6722" s="30" t="inlineStr">
        <is>
          <t>2021</t>
        </is>
      </c>
      <c r="G6722" s="40" t="n">
        <v>0</v>
      </c>
    </row>
    <row r="6723" ht="12" customHeight="1">
      <c r="A6723" s="30" t="inlineStr">
        <is>
          <t>ITG</t>
        </is>
      </c>
      <c r="B6723" s="30" t="inlineStr">
        <is>
          <t>Itaguai</t>
        </is>
      </c>
      <c r="C6723" s="30" t="n">
        <v>79869295</v>
      </c>
      <c r="D6723" s="30">
        <f>"14553384000184"</f>
        <v/>
      </c>
      <c r="E6723" s="30" t="inlineStr">
        <is>
          <t>CLOCK SHOW BRASIL LTDA ME</t>
        </is>
      </c>
      <c r="F6723" s="30" t="inlineStr">
        <is>
          <t>2022</t>
        </is>
      </c>
      <c r="G6723" s="40" t="n">
        <v>0</v>
      </c>
    </row>
    <row r="6724" ht="12" customHeight="1">
      <c r="A6724" s="30" t="inlineStr">
        <is>
          <t>ITG</t>
        </is>
      </c>
      <c r="B6724" s="30" t="inlineStr">
        <is>
          <t>Itaguai</t>
        </is>
      </c>
      <c r="C6724" s="30" t="n">
        <v>79869988</v>
      </c>
      <c r="D6724" s="30">
        <f>"60541240000710"</f>
        <v/>
      </c>
      <c r="E6724" s="30" t="inlineStr">
        <is>
          <t>TECNOLOG TRANSPORTES RODO AEREO E LOGISTICA LTDA</t>
        </is>
      </c>
      <c r="F6724" s="30" t="inlineStr">
        <is>
          <t>2017</t>
        </is>
      </c>
      <c r="G6724" s="40" t="n">
        <v>0</v>
      </c>
    </row>
    <row r="6725" ht="12" customHeight="1">
      <c r="A6725" s="30" t="inlineStr">
        <is>
          <t>ITG</t>
        </is>
      </c>
      <c r="B6725" s="30" t="inlineStr">
        <is>
          <t>Itaguai</t>
        </is>
      </c>
      <c r="C6725" s="30" t="n">
        <v>79869988</v>
      </c>
      <c r="D6725" s="30">
        <f>"60541240000710"</f>
        <v/>
      </c>
      <c r="E6725" s="30" t="inlineStr">
        <is>
          <t>TECNOLOG TRANSPORTES RODO AEREO E LOGISTICA LTDA</t>
        </is>
      </c>
      <c r="F6725" s="30" t="inlineStr">
        <is>
          <t>2018</t>
        </is>
      </c>
      <c r="G6725" s="40" t="n">
        <v>0</v>
      </c>
    </row>
    <row r="6726" ht="12" customHeight="1">
      <c r="A6726" s="30" t="inlineStr">
        <is>
          <t>ITG</t>
        </is>
      </c>
      <c r="B6726" s="30" t="inlineStr">
        <is>
          <t>Itaguai</t>
        </is>
      </c>
      <c r="C6726" s="30" t="n">
        <v>79869988</v>
      </c>
      <c r="D6726" s="30">
        <f>"60541240000710"</f>
        <v/>
      </c>
      <c r="E6726" s="30" t="inlineStr">
        <is>
          <t>TECNOLOG TRANSPORTES RODO AEREO E LOGISTICA LTDA</t>
        </is>
      </c>
      <c r="F6726" s="30" t="inlineStr">
        <is>
          <t>2019</t>
        </is>
      </c>
      <c r="G6726" s="40" t="n">
        <v>5449.55</v>
      </c>
    </row>
    <row r="6727" ht="12" customHeight="1">
      <c r="A6727" s="30" t="inlineStr">
        <is>
          <t>ITG</t>
        </is>
      </c>
      <c r="B6727" s="30" t="inlineStr">
        <is>
          <t>Itaguai</t>
        </is>
      </c>
      <c r="C6727" s="30" t="n">
        <v>79869988</v>
      </c>
      <c r="D6727" s="30">
        <f>"60541240000710"</f>
        <v/>
      </c>
      <c r="E6727" s="30" t="inlineStr">
        <is>
          <t>TECNOLOG TRANSPORTES RODO AEREO E LOGISTICA LTDA</t>
        </is>
      </c>
      <c r="F6727" s="30" t="inlineStr">
        <is>
          <t>2020</t>
        </is>
      </c>
      <c r="G6727" s="40" t="n">
        <v>93583.92</v>
      </c>
    </row>
    <row r="6728" ht="12" customHeight="1">
      <c r="A6728" s="30" t="inlineStr">
        <is>
          <t>ITG</t>
        </is>
      </c>
      <c r="B6728" s="30" t="inlineStr">
        <is>
          <t>Itaguai</t>
        </is>
      </c>
      <c r="C6728" s="30" t="n">
        <v>79869988</v>
      </c>
      <c r="D6728" s="30">
        <f>"60541240000710"</f>
        <v/>
      </c>
      <c r="E6728" s="30" t="inlineStr">
        <is>
          <t>TECNOLOG TRANSPORTES RODO AEREO E LOGISTICA LTDA</t>
        </is>
      </c>
      <c r="F6728" s="30" t="inlineStr">
        <is>
          <t>2021</t>
        </is>
      </c>
      <c r="G6728" s="40" t="n">
        <v>71311.92</v>
      </c>
    </row>
    <row r="6729" ht="12" customHeight="1">
      <c r="A6729" s="30" t="inlineStr">
        <is>
          <t>ITG</t>
        </is>
      </c>
      <c r="B6729" s="30" t="inlineStr">
        <is>
          <t>Itaguai</t>
        </is>
      </c>
      <c r="C6729" s="30" t="n">
        <v>79869988</v>
      </c>
      <c r="D6729" s="30">
        <f>"60541240000710"</f>
        <v/>
      </c>
      <c r="E6729" s="30" t="inlineStr">
        <is>
          <t>TECNOLOG TRANSPORTES RODO AEREO E LOGISTICA LTDA</t>
        </is>
      </c>
      <c r="F6729" s="30" t="inlineStr">
        <is>
          <t>2022</t>
        </is>
      </c>
      <c r="G6729" s="40" t="n">
        <v>78678.2</v>
      </c>
    </row>
    <row r="6730" ht="12" customHeight="1">
      <c r="A6730" s="30" t="inlineStr">
        <is>
          <t>ITG</t>
        </is>
      </c>
      <c r="B6730" s="30" t="inlineStr">
        <is>
          <t>Itaguai</t>
        </is>
      </c>
      <c r="C6730" s="30" t="n">
        <v>79869988</v>
      </c>
      <c r="D6730" s="30">
        <f>"60541240000710"</f>
        <v/>
      </c>
      <c r="E6730" s="30" t="inlineStr">
        <is>
          <t>TECNOLOG TRANSPORTES RODO AEREO E LOGISTICA LTDA</t>
        </is>
      </c>
      <c r="F6730" s="30" t="inlineStr">
        <is>
          <t>2023</t>
        </is>
      </c>
      <c r="G6730" s="40" t="n">
        <v>18773.91</v>
      </c>
    </row>
    <row r="6731" ht="12" customHeight="1">
      <c r="A6731" s="30" t="inlineStr">
        <is>
          <t>ITG</t>
        </is>
      </c>
      <c r="B6731" s="30" t="inlineStr">
        <is>
          <t>Itaguai</t>
        </is>
      </c>
      <c r="C6731" s="30" t="n">
        <v>79874000</v>
      </c>
      <c r="D6731" s="30">
        <f>"17712960000187"</f>
        <v/>
      </c>
      <c r="E6731" s="30" t="inlineStr">
        <is>
          <t>JULIANO MADEIRAS E TELHAS COMERCIO LTDA EPP</t>
        </is>
      </c>
      <c r="F6731" s="30" t="inlineStr">
        <is>
          <t>2019</t>
        </is>
      </c>
      <c r="G6731" s="40" t="n">
        <v>0</v>
      </c>
    </row>
    <row r="6732" ht="12" customHeight="1">
      <c r="A6732" s="30" t="inlineStr">
        <is>
          <t>ITG</t>
        </is>
      </c>
      <c r="B6732" s="30" t="inlineStr">
        <is>
          <t>Itaguai</t>
        </is>
      </c>
      <c r="C6732" s="30" t="n">
        <v>79874000</v>
      </c>
      <c r="D6732" s="30">
        <f>"17712960000187"</f>
        <v/>
      </c>
      <c r="E6732" s="30" t="inlineStr">
        <is>
          <t>JULIANO MADEIRAS E TELHAS COMERCIO LTDA EPP</t>
        </is>
      </c>
      <c r="F6732" s="30" t="inlineStr">
        <is>
          <t>2020</t>
        </is>
      </c>
      <c r="G6732" s="40" t="n">
        <v>0</v>
      </c>
    </row>
    <row r="6733" ht="12" customHeight="1">
      <c r="A6733" s="30" t="inlineStr">
        <is>
          <t>ITG</t>
        </is>
      </c>
      <c r="B6733" s="30" t="inlineStr">
        <is>
          <t>Itaguai</t>
        </is>
      </c>
      <c r="C6733" s="30" t="n">
        <v>79874000</v>
      </c>
      <c r="D6733" s="30">
        <f>"17712960000187"</f>
        <v/>
      </c>
      <c r="E6733" s="30" t="inlineStr">
        <is>
          <t>JULIANO MADEIRAS E TELHAS COMERCIO LTDA EPP</t>
        </is>
      </c>
      <c r="F6733" s="30" t="inlineStr">
        <is>
          <t>2021</t>
        </is>
      </c>
      <c r="G6733" s="40" t="n">
        <v>403922.64</v>
      </c>
    </row>
    <row r="6734" ht="12" customHeight="1">
      <c r="A6734" s="30" t="inlineStr">
        <is>
          <t>ITG</t>
        </is>
      </c>
      <c r="B6734" s="30" t="inlineStr">
        <is>
          <t>Itaguai</t>
        </is>
      </c>
      <c r="C6734" s="30" t="n">
        <v>79874000</v>
      </c>
      <c r="D6734" s="30">
        <f>"17712960000187"</f>
        <v/>
      </c>
      <c r="E6734" s="30" t="inlineStr">
        <is>
          <t>JULIANO MADEIRAS E TELHAS COMERCIO LTDA EPP</t>
        </is>
      </c>
      <c r="F6734" s="30" t="inlineStr">
        <is>
          <t>2022</t>
        </is>
      </c>
      <c r="G6734" s="40" t="n">
        <v>8040055</v>
      </c>
    </row>
    <row r="6735" ht="12" customHeight="1">
      <c r="A6735" s="30" t="inlineStr">
        <is>
          <t>ITG</t>
        </is>
      </c>
      <c r="B6735" s="30" t="inlineStr">
        <is>
          <t>Itaguai</t>
        </is>
      </c>
      <c r="C6735" s="30" t="n">
        <v>79874000</v>
      </c>
      <c r="D6735" s="30">
        <f>"17712960000187"</f>
        <v/>
      </c>
      <c r="E6735" s="30" t="inlineStr">
        <is>
          <t>JULIANO MADEIRAS E TELHAS COMERCIO LTDA EPP</t>
        </is>
      </c>
      <c r="F6735" s="30" t="inlineStr">
        <is>
          <t>2023</t>
        </is>
      </c>
      <c r="G6735" s="40" t="n">
        <v>9788701.68</v>
      </c>
    </row>
    <row r="6736" ht="12" customHeight="1">
      <c r="A6736" s="30" t="inlineStr">
        <is>
          <t>ITG</t>
        </is>
      </c>
      <c r="B6736" s="30" t="inlineStr">
        <is>
          <t>Itaguai</t>
        </is>
      </c>
      <c r="C6736" s="30" t="n">
        <v>79886602</v>
      </c>
      <c r="D6736" s="30">
        <f>"16734288000168"</f>
        <v/>
      </c>
      <c r="E6736" s="30" t="inlineStr">
        <is>
          <t>RT MULTI SERVICE LTDA ME</t>
        </is>
      </c>
      <c r="F6736" s="30" t="inlineStr">
        <is>
          <t>2021</t>
        </is>
      </c>
      <c r="G6736" s="40" t="n">
        <v>0</v>
      </c>
    </row>
    <row r="6737" ht="12" customHeight="1">
      <c r="A6737" s="30" t="inlineStr">
        <is>
          <t>ITG</t>
        </is>
      </c>
      <c r="B6737" s="30" t="inlineStr">
        <is>
          <t>Itaguai</t>
        </is>
      </c>
      <c r="C6737" s="30" t="n">
        <v>79886602</v>
      </c>
      <c r="D6737" s="30">
        <f>"16734288000168"</f>
        <v/>
      </c>
      <c r="E6737" s="30" t="inlineStr">
        <is>
          <t>RT MULTI SERVICE LTDA ME</t>
        </is>
      </c>
      <c r="F6737" s="30" t="inlineStr">
        <is>
          <t>2022</t>
        </is>
      </c>
      <c r="G6737" s="40" t="n">
        <v>0</v>
      </c>
    </row>
    <row r="6738" ht="12" customHeight="1">
      <c r="A6738" s="30" t="inlineStr">
        <is>
          <t>ITG</t>
        </is>
      </c>
      <c r="B6738" s="30" t="inlineStr">
        <is>
          <t>Itaguai</t>
        </is>
      </c>
      <c r="C6738" s="30" t="n">
        <v>79886602</v>
      </c>
      <c r="D6738" s="30">
        <f>"16734288000168"</f>
        <v/>
      </c>
      <c r="E6738" s="30" t="inlineStr">
        <is>
          <t>RT MULTI SERVICE LTDA ME</t>
        </is>
      </c>
      <c r="F6738" s="30" t="inlineStr">
        <is>
          <t>2023</t>
        </is>
      </c>
      <c r="G6738" s="40" t="n">
        <v>11291.28</v>
      </c>
    </row>
    <row r="6739" ht="12" customHeight="1">
      <c r="A6739" s="30" t="inlineStr">
        <is>
          <t>ITG</t>
        </is>
      </c>
      <c r="B6739" s="30" t="inlineStr">
        <is>
          <t>Itaguai</t>
        </is>
      </c>
      <c r="C6739" s="30" t="n">
        <v>79889180</v>
      </c>
      <c r="D6739" s="30">
        <f>"33355207001614"</f>
        <v/>
      </c>
      <c r="E6739" s="30" t="inlineStr">
        <is>
          <t>DROGARIA SANTO AGOSTINHO LTDA</t>
        </is>
      </c>
      <c r="F6739" s="30" t="inlineStr">
        <is>
          <t>2017</t>
        </is>
      </c>
      <c r="G6739" s="40" t="n">
        <v>869546.5</v>
      </c>
    </row>
    <row r="6740" ht="12" customHeight="1">
      <c r="A6740" s="30" t="inlineStr">
        <is>
          <t>ITG</t>
        </is>
      </c>
      <c r="B6740" s="30" t="inlineStr">
        <is>
          <t>Itaguai</t>
        </is>
      </c>
      <c r="C6740" s="30" t="n">
        <v>79889180</v>
      </c>
      <c r="D6740" s="30">
        <f>"33355207001614"</f>
        <v/>
      </c>
      <c r="E6740" s="30" t="inlineStr">
        <is>
          <t>DROGARIA SANTO AGOSTINHO LTDA</t>
        </is>
      </c>
      <c r="F6740" s="30" t="inlineStr">
        <is>
          <t>2018</t>
        </is>
      </c>
      <c r="G6740" s="40" t="n">
        <v>816276.84</v>
      </c>
    </row>
    <row r="6741" ht="12" customHeight="1">
      <c r="A6741" s="30" t="inlineStr">
        <is>
          <t>ITG</t>
        </is>
      </c>
      <c r="B6741" s="30" t="inlineStr">
        <is>
          <t>Itaguai</t>
        </is>
      </c>
      <c r="C6741" s="30" t="n">
        <v>79889180</v>
      </c>
      <c r="D6741" s="30">
        <f>"33355207001614"</f>
        <v/>
      </c>
      <c r="E6741" s="30" t="inlineStr">
        <is>
          <t>DROGARIA SANTO AGOSTINHO LTDA</t>
        </is>
      </c>
      <c r="F6741" s="30" t="inlineStr">
        <is>
          <t>2019</t>
        </is>
      </c>
      <c r="G6741" s="40" t="n">
        <v>1034397.3</v>
      </c>
    </row>
    <row r="6742" ht="12" customHeight="1">
      <c r="A6742" s="30" t="inlineStr">
        <is>
          <t>ITG</t>
        </is>
      </c>
      <c r="B6742" s="30" t="inlineStr">
        <is>
          <t>Itaguai</t>
        </is>
      </c>
      <c r="C6742" s="30" t="n">
        <v>79889180</v>
      </c>
      <c r="D6742" s="30">
        <f>"33355207001614"</f>
        <v/>
      </c>
      <c r="E6742" s="30" t="inlineStr">
        <is>
          <t>DROGARIA SANTO AGOSTINHO LTDA</t>
        </is>
      </c>
      <c r="F6742" s="30" t="inlineStr">
        <is>
          <t>2020</t>
        </is>
      </c>
      <c r="G6742" s="40" t="n">
        <v>1941775.61</v>
      </c>
    </row>
    <row r="6743" ht="12" customHeight="1">
      <c r="A6743" s="30" t="inlineStr">
        <is>
          <t>ITG</t>
        </is>
      </c>
      <c r="B6743" s="30" t="inlineStr">
        <is>
          <t>Itaguai</t>
        </is>
      </c>
      <c r="C6743" s="30" t="n">
        <v>79889180</v>
      </c>
      <c r="D6743" s="30">
        <f>"33355207001614"</f>
        <v/>
      </c>
      <c r="E6743" s="30" t="inlineStr">
        <is>
          <t>DROGARIA SANTO AGOSTINHO LTDA</t>
        </is>
      </c>
      <c r="F6743" s="30" t="inlineStr">
        <is>
          <t>2021</t>
        </is>
      </c>
      <c r="G6743" s="40" t="n">
        <v>2275820.01</v>
      </c>
    </row>
    <row r="6744" ht="12" customHeight="1">
      <c r="A6744" s="30" t="inlineStr">
        <is>
          <t>ITG</t>
        </is>
      </c>
      <c r="B6744" s="30" t="inlineStr">
        <is>
          <t>Itaguai</t>
        </is>
      </c>
      <c r="C6744" s="30" t="n">
        <v>79889180</v>
      </c>
      <c r="D6744" s="30">
        <f>"33355207001614"</f>
        <v/>
      </c>
      <c r="E6744" s="30" t="inlineStr">
        <is>
          <t>DROGARIA SANTO AGOSTINHO LTDA</t>
        </is>
      </c>
      <c r="F6744" s="30" t="inlineStr">
        <is>
          <t>2022</t>
        </is>
      </c>
      <c r="G6744" s="40" t="n">
        <v>1809665.91</v>
      </c>
    </row>
    <row r="6745" ht="12" customHeight="1">
      <c r="A6745" s="30" t="inlineStr">
        <is>
          <t>ITG</t>
        </is>
      </c>
      <c r="B6745" s="30" t="inlineStr">
        <is>
          <t>Itaguai</t>
        </is>
      </c>
      <c r="C6745" s="30" t="n">
        <v>79889180</v>
      </c>
      <c r="D6745" s="30">
        <f>"33355207001614"</f>
        <v/>
      </c>
      <c r="E6745" s="30" t="inlineStr">
        <is>
          <t>DROGARIA SANTO AGOSTINHO LTDA</t>
        </is>
      </c>
      <c r="F6745" s="30" t="inlineStr">
        <is>
          <t>2023</t>
        </is>
      </c>
      <c r="G6745" s="40" t="n">
        <v>1868253.3</v>
      </c>
    </row>
    <row r="6746" ht="12" customHeight="1">
      <c r="A6746" s="30" t="inlineStr">
        <is>
          <t>ITG</t>
        </is>
      </c>
      <c r="B6746" s="30" t="inlineStr">
        <is>
          <t>Itaguai</t>
        </is>
      </c>
      <c r="C6746" s="30" t="n">
        <v>79897876</v>
      </c>
      <c r="D6746" s="30">
        <f>"17913685000160"</f>
        <v/>
      </c>
      <c r="E6746" s="30" t="inlineStr">
        <is>
          <t>JOVINTER RIO TRANSPORTE DE CARGAS LTDA</t>
        </is>
      </c>
      <c r="F6746" s="30" t="inlineStr">
        <is>
          <t>2017</t>
        </is>
      </c>
      <c r="G6746" s="40" t="n">
        <v>1567134.41</v>
      </c>
    </row>
    <row r="6747" ht="12" customHeight="1">
      <c r="A6747" s="30" t="inlineStr">
        <is>
          <t>ITG</t>
        </is>
      </c>
      <c r="B6747" s="30" t="inlineStr">
        <is>
          <t>Itaguai</t>
        </is>
      </c>
      <c r="C6747" s="30" t="n">
        <v>79897876</v>
      </c>
      <c r="D6747" s="30">
        <f>"17913685000160"</f>
        <v/>
      </c>
      <c r="E6747" s="30" t="inlineStr">
        <is>
          <t>JOVINTER RIO TRANSPORTE DE CARGAS LTDA</t>
        </is>
      </c>
      <c r="F6747" s="30" t="inlineStr">
        <is>
          <t>2018</t>
        </is>
      </c>
      <c r="G6747" s="40" t="n">
        <v>0</v>
      </c>
    </row>
    <row r="6748" ht="12" customHeight="1">
      <c r="A6748" s="30" t="inlineStr">
        <is>
          <t>ITG</t>
        </is>
      </c>
      <c r="B6748" s="30" t="inlineStr">
        <is>
          <t>Itaguai</t>
        </is>
      </c>
      <c r="C6748" s="30" t="n">
        <v>79897876</v>
      </c>
      <c r="D6748" s="30">
        <f>"17913685000160"</f>
        <v/>
      </c>
      <c r="E6748" s="30" t="inlineStr">
        <is>
          <t>JOVINTER RIO TRANSPORTE DE CARGAS LTDA</t>
        </is>
      </c>
      <c r="F6748" s="30" t="inlineStr">
        <is>
          <t>2019</t>
        </is>
      </c>
      <c r="G6748" s="40" t="n">
        <v>0</v>
      </c>
    </row>
    <row r="6749" ht="12" customHeight="1">
      <c r="A6749" s="30" t="inlineStr">
        <is>
          <t>ITG</t>
        </is>
      </c>
      <c r="B6749" s="30" t="inlineStr">
        <is>
          <t>Itaguai</t>
        </is>
      </c>
      <c r="C6749" s="30" t="n">
        <v>79897957</v>
      </c>
      <c r="D6749" s="30">
        <f>"32466732001210"</f>
        <v/>
      </c>
      <c r="E6749" s="30" t="inlineStr">
        <is>
          <t>TRANSUICA LOCACAO E PRESTACAO DE SERVICOS LTDA</t>
        </is>
      </c>
      <c r="F6749" s="30" t="inlineStr">
        <is>
          <t>2017</t>
        </is>
      </c>
      <c r="G6749" s="40" t="n">
        <v>60894.48</v>
      </c>
    </row>
    <row r="6750" ht="12" customHeight="1">
      <c r="A6750" s="30" t="inlineStr">
        <is>
          <t>ITG</t>
        </is>
      </c>
      <c r="B6750" s="30" t="inlineStr">
        <is>
          <t>Itaguai</t>
        </is>
      </c>
      <c r="C6750" s="30" t="n">
        <v>79897957</v>
      </c>
      <c r="D6750" s="30">
        <f>"32466732001210"</f>
        <v/>
      </c>
      <c r="E6750" s="30" t="inlineStr">
        <is>
          <t>TRANSUICA LOCACAO E PRESTACAO DE SERVICOS LTDA</t>
        </is>
      </c>
      <c r="F6750" s="30" t="inlineStr">
        <is>
          <t>2018</t>
        </is>
      </c>
      <c r="G6750" s="40" t="n">
        <v>0</v>
      </c>
    </row>
    <row r="6751" ht="12" customHeight="1">
      <c r="A6751" s="30" t="inlineStr">
        <is>
          <t>ITG</t>
        </is>
      </c>
      <c r="B6751" s="30" t="inlineStr">
        <is>
          <t>Itaguai</t>
        </is>
      </c>
      <c r="C6751" s="30" t="n">
        <v>79897957</v>
      </c>
      <c r="D6751" s="30">
        <f>"32466732001210"</f>
        <v/>
      </c>
      <c r="E6751" s="30" t="inlineStr">
        <is>
          <t>TRANSUICA LOCACAO E PRESTACAO DE SERVICOS LTDA</t>
        </is>
      </c>
      <c r="F6751" s="30" t="inlineStr">
        <is>
          <t>2019</t>
        </is>
      </c>
      <c r="G6751" s="40" t="n">
        <v>0</v>
      </c>
    </row>
    <row r="6752" ht="12" customHeight="1">
      <c r="A6752" s="30" t="inlineStr">
        <is>
          <t>ITG</t>
        </is>
      </c>
      <c r="B6752" s="30" t="inlineStr">
        <is>
          <t>Itaguai</t>
        </is>
      </c>
      <c r="C6752" s="30" t="n">
        <v>79900168</v>
      </c>
      <c r="D6752" s="30">
        <f>"08286565000270"</f>
        <v/>
      </c>
      <c r="E6752" s="30" t="inlineStr">
        <is>
          <t>MOV CARGO LOCACAO DE EQUIPAMENTOS  LTDA</t>
        </is>
      </c>
      <c r="F6752" s="30" t="inlineStr">
        <is>
          <t>2017</t>
        </is>
      </c>
      <c r="G6752" s="40" t="n">
        <v>0</v>
      </c>
    </row>
    <row r="6753" ht="12" customHeight="1">
      <c r="A6753" s="30" t="inlineStr">
        <is>
          <t>ITG</t>
        </is>
      </c>
      <c r="B6753" s="30" t="inlineStr">
        <is>
          <t>Itaguai</t>
        </is>
      </c>
      <c r="C6753" s="30" t="n">
        <v>79900168</v>
      </c>
      <c r="D6753" s="30">
        <f>"08286565000270"</f>
        <v/>
      </c>
      <c r="E6753" s="30" t="inlineStr">
        <is>
          <t>MOV CARGO LOCACAO DE EQUIPAMENTOS  LTDA</t>
        </is>
      </c>
      <c r="F6753" s="30" t="inlineStr">
        <is>
          <t>2018</t>
        </is>
      </c>
      <c r="G6753" s="40" t="n">
        <v>0</v>
      </c>
    </row>
    <row r="6754" ht="12" customHeight="1">
      <c r="A6754" s="30" t="inlineStr">
        <is>
          <t>ITG</t>
        </is>
      </c>
      <c r="B6754" s="30" t="inlineStr">
        <is>
          <t>Itaguai</t>
        </is>
      </c>
      <c r="C6754" s="30" t="n">
        <v>79900168</v>
      </c>
      <c r="D6754" s="30">
        <f>"08286565000270"</f>
        <v/>
      </c>
      <c r="E6754" s="30" t="inlineStr">
        <is>
          <t>MOV CARGO LOCACAO DE EQUIPAMENTOS  LTDA</t>
        </is>
      </c>
      <c r="F6754" s="30" t="inlineStr">
        <is>
          <t>2019</t>
        </is>
      </c>
      <c r="G6754" s="40" t="n">
        <v>0</v>
      </c>
    </row>
    <row r="6755" ht="12" customHeight="1">
      <c r="A6755" s="30" t="inlineStr">
        <is>
          <t>ITG</t>
        </is>
      </c>
      <c r="B6755" s="30" t="inlineStr">
        <is>
          <t>Itaguai</t>
        </is>
      </c>
      <c r="C6755" s="30" t="n">
        <v>79900168</v>
      </c>
      <c r="D6755" s="30">
        <f>"08286565000270"</f>
        <v/>
      </c>
      <c r="E6755" s="30" t="inlineStr">
        <is>
          <t>MOV CARGO LOCACAO DE EQUIPAMENTOS  LTDA</t>
        </is>
      </c>
      <c r="F6755" s="30" t="inlineStr">
        <is>
          <t>2020</t>
        </is>
      </c>
      <c r="G6755" s="40" t="n">
        <v>0</v>
      </c>
    </row>
    <row r="6756" ht="12" customHeight="1">
      <c r="A6756" s="30" t="inlineStr">
        <is>
          <t>ITG</t>
        </is>
      </c>
      <c r="B6756" s="30" t="inlineStr">
        <is>
          <t>Itaguai</t>
        </is>
      </c>
      <c r="C6756" s="30" t="n">
        <v>79900168</v>
      </c>
      <c r="D6756" s="30">
        <f>"08286565000270"</f>
        <v/>
      </c>
      <c r="E6756" s="30" t="inlineStr">
        <is>
          <t>MOV CARGO LOCACAO DE EQUIPAMENTOS  LTDA</t>
        </is>
      </c>
      <c r="F6756" s="30" t="inlineStr">
        <is>
          <t>2021</t>
        </is>
      </c>
      <c r="G6756" s="40" t="n">
        <v>0</v>
      </c>
    </row>
    <row r="6757" ht="12" customHeight="1">
      <c r="A6757" s="30" t="inlineStr">
        <is>
          <t>ITG</t>
        </is>
      </c>
      <c r="B6757" s="30" t="inlineStr">
        <is>
          <t>Itaguai</t>
        </is>
      </c>
      <c r="C6757" s="30" t="n">
        <v>79900168</v>
      </c>
      <c r="D6757" s="30">
        <f>"08286565000270"</f>
        <v/>
      </c>
      <c r="E6757" s="30" t="inlineStr">
        <is>
          <t>MOV CARGO LOCACAO DE EQUIPAMENTOS  LTDA</t>
        </is>
      </c>
      <c r="F6757" s="30" t="inlineStr">
        <is>
          <t>2022</t>
        </is>
      </c>
      <c r="G6757" s="40" t="n">
        <v>0</v>
      </c>
    </row>
    <row r="6758" ht="12" customHeight="1">
      <c r="A6758" s="30" t="inlineStr">
        <is>
          <t>ITG</t>
        </is>
      </c>
      <c r="B6758" s="30" t="inlineStr">
        <is>
          <t>Itaguai</t>
        </is>
      </c>
      <c r="C6758" s="30" t="n">
        <v>79900168</v>
      </c>
      <c r="D6758" s="30">
        <f>"08286565000270"</f>
        <v/>
      </c>
      <c r="E6758" s="30" t="inlineStr">
        <is>
          <t>MOV CARGO LOCACAO DE EQUIPAMENTOS  LTDA</t>
        </is>
      </c>
      <c r="F6758" s="30" t="inlineStr">
        <is>
          <t>2023</t>
        </is>
      </c>
      <c r="G6758" s="40" t="n">
        <v>0</v>
      </c>
    </row>
    <row r="6759" ht="12" customHeight="1">
      <c r="A6759" s="30" t="inlineStr">
        <is>
          <t>ITG</t>
        </is>
      </c>
      <c r="B6759" s="30" t="inlineStr">
        <is>
          <t>Itaguai</t>
        </is>
      </c>
      <c r="C6759" s="30" t="n">
        <v>79900575</v>
      </c>
      <c r="D6759" s="30">
        <f>"31954621000138"</f>
        <v/>
      </c>
      <c r="E6759" s="30" t="inlineStr">
        <is>
          <t>LOCTECH LOCACAO DE MAQUINAS E EQUIPAMENTOS LTDA - EPP</t>
        </is>
      </c>
      <c r="F6759" s="30" t="inlineStr">
        <is>
          <t>2017</t>
        </is>
      </c>
      <c r="G6759" s="40" t="n">
        <v>0</v>
      </c>
    </row>
    <row r="6760" ht="12" customHeight="1">
      <c r="A6760" s="30" t="inlineStr">
        <is>
          <t>ITG</t>
        </is>
      </c>
      <c r="B6760" s="30" t="inlineStr">
        <is>
          <t>Itaguai</t>
        </is>
      </c>
      <c r="C6760" s="30" t="n">
        <v>79900575</v>
      </c>
      <c r="D6760" s="30">
        <f>"31954621000138"</f>
        <v/>
      </c>
      <c r="E6760" s="30" t="inlineStr">
        <is>
          <t>LOCTECH LOCACAO DE MAQUINAS E EQUIPAMENTOS LTDA - EPP</t>
        </is>
      </c>
      <c r="F6760" s="30" t="inlineStr">
        <is>
          <t>2018</t>
        </is>
      </c>
      <c r="G6760" s="40" t="n">
        <v>0</v>
      </c>
    </row>
    <row r="6761" ht="12" customHeight="1">
      <c r="A6761" s="30" t="inlineStr">
        <is>
          <t>ITG</t>
        </is>
      </c>
      <c r="B6761" s="30" t="inlineStr">
        <is>
          <t>Itaguai</t>
        </is>
      </c>
      <c r="C6761" s="30" t="n">
        <v>79900575</v>
      </c>
      <c r="D6761" s="30">
        <f>"31954621000138"</f>
        <v/>
      </c>
      <c r="E6761" s="30" t="inlineStr">
        <is>
          <t>LOCTECH LOCACAO DE MAQUINAS E EQUIPAMENTOS LTDA - EPP</t>
        </is>
      </c>
      <c r="F6761" s="30" t="inlineStr">
        <is>
          <t>2019</t>
        </is>
      </c>
      <c r="G6761" s="40" t="n">
        <v>0</v>
      </c>
    </row>
    <row r="6762" ht="12" customHeight="1">
      <c r="A6762" s="30" t="inlineStr">
        <is>
          <t>ITG</t>
        </is>
      </c>
      <c r="B6762" s="30" t="inlineStr">
        <is>
          <t>Itaguai</t>
        </is>
      </c>
      <c r="C6762" s="30" t="n">
        <v>79900575</v>
      </c>
      <c r="D6762" s="30">
        <f>"31954621000138"</f>
        <v/>
      </c>
      <c r="E6762" s="30" t="inlineStr">
        <is>
          <t>LOCTECH LOCACAO DE MAQUINAS E EQUIPAMENTOS LTDA - EPP</t>
        </is>
      </c>
      <c r="F6762" s="30" t="inlineStr">
        <is>
          <t>2020</t>
        </is>
      </c>
      <c r="G6762" s="40" t="n">
        <v>0</v>
      </c>
    </row>
    <row r="6763" ht="12" customHeight="1">
      <c r="A6763" s="30" t="inlineStr">
        <is>
          <t>ITG</t>
        </is>
      </c>
      <c r="B6763" s="30" t="inlineStr">
        <is>
          <t>Itaguai</t>
        </is>
      </c>
      <c r="C6763" s="30" t="n">
        <v>79900575</v>
      </c>
      <c r="D6763" s="30">
        <f>"31954621000138"</f>
        <v/>
      </c>
      <c r="E6763" s="30" t="inlineStr">
        <is>
          <t>LOCTECH LOCACAO DE MAQUINAS E EQUIPAMENTOS LTDA - EPP</t>
        </is>
      </c>
      <c r="F6763" s="30" t="inlineStr">
        <is>
          <t>2021</t>
        </is>
      </c>
      <c r="G6763" s="40" t="n">
        <v>0</v>
      </c>
    </row>
    <row r="6764" ht="12" customHeight="1">
      <c r="A6764" s="30" t="inlineStr">
        <is>
          <t>ITG</t>
        </is>
      </c>
      <c r="B6764" s="30" t="inlineStr">
        <is>
          <t>Itaguai</t>
        </is>
      </c>
      <c r="C6764" s="30" t="n">
        <v>79900575</v>
      </c>
      <c r="D6764" s="30">
        <f>"31954621000138"</f>
        <v/>
      </c>
      <c r="E6764" s="30" t="inlineStr">
        <is>
          <t>LOCTECH LOCACAO DE MAQUINAS E EQUIPAMENTOS LTDA - EPP</t>
        </is>
      </c>
      <c r="F6764" s="30" t="inlineStr">
        <is>
          <t>2022</t>
        </is>
      </c>
      <c r="G6764" s="40" t="n">
        <v>0</v>
      </c>
    </row>
    <row r="6765" ht="12" customHeight="1">
      <c r="A6765" s="30" t="inlineStr">
        <is>
          <t>ITG</t>
        </is>
      </c>
      <c r="B6765" s="30" t="inlineStr">
        <is>
          <t>Itaguai</t>
        </is>
      </c>
      <c r="C6765" s="30" t="n">
        <v>79900575</v>
      </c>
      <c r="D6765" s="30">
        <f>"31954621000138"</f>
        <v/>
      </c>
      <c r="E6765" s="30" t="inlineStr">
        <is>
          <t>LOCTECH LOCACAO DE MAQUINAS E EQUIPAMENTOS LTDA - EPP</t>
        </is>
      </c>
      <c r="F6765" s="30" t="inlineStr">
        <is>
          <t>2023</t>
        </is>
      </c>
      <c r="G6765" s="40" t="n">
        <v>0</v>
      </c>
    </row>
    <row r="6766" ht="12" customHeight="1">
      <c r="A6766" s="30" t="inlineStr">
        <is>
          <t>ITG</t>
        </is>
      </c>
      <c r="B6766" s="30" t="inlineStr">
        <is>
          <t>Itaguai</t>
        </is>
      </c>
      <c r="C6766" s="30" t="n">
        <v>79907758</v>
      </c>
      <c r="D6766" s="30">
        <f>"68814532000104"</f>
        <v/>
      </c>
      <c r="E6766" s="30" t="inlineStr">
        <is>
          <t>CONCORDE EXPRESS DO BRASIL TRANSPORTE E LOGISTICA LTDA-ME</t>
        </is>
      </c>
      <c r="F6766" s="30" t="inlineStr">
        <is>
          <t>2017</t>
        </is>
      </c>
      <c r="G6766" s="40" t="n">
        <v>0</v>
      </c>
    </row>
    <row r="6767" ht="12" customHeight="1">
      <c r="A6767" s="30" t="inlineStr">
        <is>
          <t>ITG</t>
        </is>
      </c>
      <c r="B6767" s="30" t="inlineStr">
        <is>
          <t>Itaguai</t>
        </is>
      </c>
      <c r="C6767" s="30" t="n">
        <v>79907758</v>
      </c>
      <c r="D6767" s="30">
        <f>"68814532000104"</f>
        <v/>
      </c>
      <c r="E6767" s="30" t="inlineStr">
        <is>
          <t>CONCORDE EXPRESS DO BRASIL TRANSPORTE E LOGISTICA LTDA-ME</t>
        </is>
      </c>
      <c r="F6767" s="30" t="inlineStr">
        <is>
          <t>2018</t>
        </is>
      </c>
      <c r="G6767" s="40" t="n">
        <v>306527.62</v>
      </c>
    </row>
    <row r="6768" ht="12" customHeight="1">
      <c r="A6768" s="30" t="inlineStr">
        <is>
          <t>ITG</t>
        </is>
      </c>
      <c r="B6768" s="30" t="inlineStr">
        <is>
          <t>Itaguai</t>
        </is>
      </c>
      <c r="C6768" s="30" t="n">
        <v>79907758</v>
      </c>
      <c r="D6768" s="30">
        <f>"68814532000104"</f>
        <v/>
      </c>
      <c r="E6768" s="30" t="inlineStr">
        <is>
          <t>CONCORDE EXPRESS DO BRASIL TRANSPORTE E LOGISTICA LTDA-ME</t>
        </is>
      </c>
      <c r="F6768" s="30" t="inlineStr">
        <is>
          <t>2019</t>
        </is>
      </c>
      <c r="G6768" s="40" t="n">
        <v>0</v>
      </c>
    </row>
    <row r="6769" ht="12" customHeight="1">
      <c r="A6769" s="30" t="inlineStr">
        <is>
          <t>ITG</t>
        </is>
      </c>
      <c r="B6769" s="30" t="inlineStr">
        <is>
          <t>Itaguai</t>
        </is>
      </c>
      <c r="C6769" s="30" t="n">
        <v>79907758</v>
      </c>
      <c r="D6769" s="30">
        <f>"68814532000104"</f>
        <v/>
      </c>
      <c r="E6769" s="30" t="inlineStr">
        <is>
          <t>CONCORDE EXPRESS DO BRASIL TRANSPORTE E LOGISTICA LTDA-ME</t>
        </is>
      </c>
      <c r="F6769" s="30" t="inlineStr">
        <is>
          <t>2020</t>
        </is>
      </c>
      <c r="G6769" s="40" t="n">
        <v>0</v>
      </c>
    </row>
    <row r="6770" ht="12" customHeight="1">
      <c r="A6770" s="30" t="inlineStr">
        <is>
          <t>ITG</t>
        </is>
      </c>
      <c r="B6770" s="30" t="inlineStr">
        <is>
          <t>Itaguai</t>
        </is>
      </c>
      <c r="C6770" s="30" t="n">
        <v>79910520</v>
      </c>
      <c r="D6770" s="30">
        <f>"11676676000116"</f>
        <v/>
      </c>
      <c r="E6770" s="30" t="inlineStr">
        <is>
          <t>ENGE SERVICE ENGENHARIA E SERVICOS LTDA EPP</t>
        </is>
      </c>
      <c r="F6770" s="30" t="inlineStr">
        <is>
          <t>2017</t>
        </is>
      </c>
      <c r="G6770" s="40" t="n">
        <v>0</v>
      </c>
    </row>
    <row r="6771" ht="12" customHeight="1">
      <c r="A6771" s="30" t="inlineStr">
        <is>
          <t>ITG</t>
        </is>
      </c>
      <c r="B6771" s="30" t="inlineStr">
        <is>
          <t>Itaguai</t>
        </is>
      </c>
      <c r="C6771" s="30" t="n">
        <v>79910520</v>
      </c>
      <c r="D6771" s="30">
        <f>"11676676000116"</f>
        <v/>
      </c>
      <c r="E6771" s="30" t="inlineStr">
        <is>
          <t>ENGE SERVICE ENGENHARIA E SERVICOS LTDA EPP</t>
        </is>
      </c>
      <c r="F6771" s="30" t="inlineStr">
        <is>
          <t>2018</t>
        </is>
      </c>
      <c r="G6771" s="40" t="n">
        <v>0</v>
      </c>
    </row>
    <row r="6772" ht="12" customHeight="1">
      <c r="A6772" s="30" t="inlineStr">
        <is>
          <t>ITG</t>
        </is>
      </c>
      <c r="B6772" s="30" t="inlineStr">
        <is>
          <t>Itaguai</t>
        </is>
      </c>
      <c r="C6772" s="30" t="n">
        <v>79910520</v>
      </c>
      <c r="D6772" s="30">
        <f>"11676676000116"</f>
        <v/>
      </c>
      <c r="E6772" s="30" t="inlineStr">
        <is>
          <t>ENGE SERVICE ENGENHARIA E SERVICOS LTDA EPP</t>
        </is>
      </c>
      <c r="F6772" s="30" t="inlineStr">
        <is>
          <t>2019</t>
        </is>
      </c>
      <c r="G6772" s="40" t="n">
        <v>0</v>
      </c>
    </row>
    <row r="6773" ht="12" customHeight="1">
      <c r="A6773" s="30" t="inlineStr">
        <is>
          <t>ITG</t>
        </is>
      </c>
      <c r="B6773" s="30" t="inlineStr">
        <is>
          <t>Itaguai</t>
        </is>
      </c>
      <c r="C6773" s="30" t="n">
        <v>79910520</v>
      </c>
      <c r="D6773" s="30">
        <f>"11676676000116"</f>
        <v/>
      </c>
      <c r="E6773" s="30" t="inlineStr">
        <is>
          <t>ENGE SERVICE ENGENHARIA E SERVICOS LTDA EPP</t>
        </is>
      </c>
      <c r="F6773" s="30" t="inlineStr">
        <is>
          <t>2020</t>
        </is>
      </c>
      <c r="G6773" s="40" t="n">
        <v>0</v>
      </c>
    </row>
    <row r="6774" ht="12" customHeight="1">
      <c r="A6774" s="30" t="inlineStr">
        <is>
          <t>ITG</t>
        </is>
      </c>
      <c r="B6774" s="30" t="inlineStr">
        <is>
          <t>Itaguai</t>
        </is>
      </c>
      <c r="C6774" s="30" t="n">
        <v>79910520</v>
      </c>
      <c r="D6774" s="30">
        <f>"11676676000116"</f>
        <v/>
      </c>
      <c r="E6774" s="30" t="inlineStr">
        <is>
          <t>ENGE SERVICE ENGENHARIA E SERVICOS LTDA EPP</t>
        </is>
      </c>
      <c r="F6774" s="30" t="inlineStr">
        <is>
          <t>2021</t>
        </is>
      </c>
      <c r="G6774" s="40" t="n">
        <v>0</v>
      </c>
    </row>
    <row r="6775" ht="12" customHeight="1">
      <c r="A6775" s="30" t="inlineStr">
        <is>
          <t>ITG</t>
        </is>
      </c>
      <c r="B6775" s="30" t="inlineStr">
        <is>
          <t>Itaguai</t>
        </is>
      </c>
      <c r="C6775" s="30" t="n">
        <v>79910520</v>
      </c>
      <c r="D6775" s="30">
        <f>"11676676000116"</f>
        <v/>
      </c>
      <c r="E6775" s="30" t="inlineStr">
        <is>
          <t>ENGE SERVICE ENGENHARIA E SERVICOS LTDA EPP</t>
        </is>
      </c>
      <c r="F6775" s="30" t="inlineStr">
        <is>
          <t>2022</t>
        </is>
      </c>
      <c r="G6775" s="40" t="n">
        <v>0</v>
      </c>
    </row>
    <row r="6776" ht="12" customHeight="1">
      <c r="A6776" s="30" t="inlineStr">
        <is>
          <t>ITG</t>
        </is>
      </c>
      <c r="B6776" s="30" t="inlineStr">
        <is>
          <t>Itaguai</t>
        </is>
      </c>
      <c r="C6776" s="30" t="n">
        <v>79910520</v>
      </c>
      <c r="D6776" s="30">
        <f>"11676676000116"</f>
        <v/>
      </c>
      <c r="E6776" s="30" t="inlineStr">
        <is>
          <t>ENGE SERVICE ENGENHARIA E SERVICOS LTDA EPP</t>
        </is>
      </c>
      <c r="F6776" s="30" t="inlineStr">
        <is>
          <t>2023</t>
        </is>
      </c>
      <c r="G6776" s="40" t="n">
        <v>873.12</v>
      </c>
    </row>
    <row r="6777" ht="12" customHeight="1">
      <c r="A6777" s="30" t="inlineStr">
        <is>
          <t>ITG</t>
        </is>
      </c>
      <c r="B6777" s="30" t="inlineStr">
        <is>
          <t>Itaguai</t>
        </is>
      </c>
      <c r="C6777" s="30" t="n">
        <v>79914231</v>
      </c>
      <c r="D6777" s="30">
        <f>"17488619000190"</f>
        <v/>
      </c>
      <c r="E6777" s="30" t="inlineStr">
        <is>
          <t>ALDA CRISTINE DE ARAUJO DROGARIA EIRELI ME</t>
        </is>
      </c>
      <c r="F6777" s="30" t="inlineStr">
        <is>
          <t>2018</t>
        </is>
      </c>
      <c r="G6777" s="40" t="n">
        <v>0</v>
      </c>
    </row>
    <row r="6778" ht="12" customHeight="1">
      <c r="A6778" s="30" t="inlineStr">
        <is>
          <t>ITG</t>
        </is>
      </c>
      <c r="B6778" s="30" t="inlineStr">
        <is>
          <t>Itaguai</t>
        </is>
      </c>
      <c r="C6778" s="30" t="n">
        <v>79914231</v>
      </c>
      <c r="D6778" s="30">
        <f>"17488619000190"</f>
        <v/>
      </c>
      <c r="E6778" s="30" t="inlineStr">
        <is>
          <t>ALDA CRISTINE DE ARAUJO DROGARIA EIRELI ME</t>
        </is>
      </c>
      <c r="F6778" s="30" t="inlineStr">
        <is>
          <t>2019</t>
        </is>
      </c>
      <c r="G6778" s="40" t="n">
        <v>0</v>
      </c>
    </row>
    <row r="6779" ht="12" customHeight="1">
      <c r="A6779" s="30" t="inlineStr">
        <is>
          <t>ITG</t>
        </is>
      </c>
      <c r="B6779" s="30" t="inlineStr">
        <is>
          <t>Itaguai</t>
        </is>
      </c>
      <c r="C6779" s="30" t="n">
        <v>79914231</v>
      </c>
      <c r="D6779" s="30">
        <f>"17488619000190"</f>
        <v/>
      </c>
      <c r="E6779" s="30" t="inlineStr">
        <is>
          <t>ALDA CRISTINE DE ARAUJO DROGARIA EIRELI ME</t>
        </is>
      </c>
      <c r="F6779" s="30" t="inlineStr">
        <is>
          <t>2020</t>
        </is>
      </c>
      <c r="G6779" s="40" t="n">
        <v>0</v>
      </c>
    </row>
    <row r="6780" ht="12" customHeight="1">
      <c r="A6780" s="30" t="inlineStr">
        <is>
          <t>ITG</t>
        </is>
      </c>
      <c r="B6780" s="30" t="inlineStr">
        <is>
          <t>Itaguai</t>
        </is>
      </c>
      <c r="C6780" s="30" t="n">
        <v>79914231</v>
      </c>
      <c r="D6780" s="30">
        <f>"17488619000190"</f>
        <v/>
      </c>
      <c r="E6780" s="30" t="inlineStr">
        <is>
          <t>ALDA CRISTINE DE ARAUJO DROGARIA EIRELI ME</t>
        </is>
      </c>
      <c r="F6780" s="30" t="inlineStr">
        <is>
          <t>2021</t>
        </is>
      </c>
      <c r="G6780" s="40" t="n">
        <v>0</v>
      </c>
    </row>
    <row r="6781" ht="12" customHeight="1">
      <c r="A6781" s="30" t="inlineStr">
        <is>
          <t>ITG</t>
        </is>
      </c>
      <c r="B6781" s="30" t="inlineStr">
        <is>
          <t>Itaguai</t>
        </is>
      </c>
      <c r="C6781" s="30" t="n">
        <v>79914231</v>
      </c>
      <c r="D6781" s="30">
        <f>"17488619000190"</f>
        <v/>
      </c>
      <c r="E6781" s="30" t="inlineStr">
        <is>
          <t>ALDA CRISTINE DE ARAUJO DROGARIA EIRELI ME</t>
        </is>
      </c>
      <c r="F6781" s="30" t="inlineStr">
        <is>
          <t>2022</t>
        </is>
      </c>
      <c r="G6781" s="40" t="n">
        <v>0</v>
      </c>
    </row>
    <row r="6782" ht="12" customHeight="1">
      <c r="A6782" s="30" t="inlineStr">
        <is>
          <t>ITG</t>
        </is>
      </c>
      <c r="B6782" s="30" t="inlineStr">
        <is>
          <t>Itaguai</t>
        </is>
      </c>
      <c r="C6782" s="30" t="n">
        <v>79916447</v>
      </c>
      <c r="D6782" s="30">
        <f>"10675555000863"</f>
        <v/>
      </c>
      <c r="E6782" s="30" t="inlineStr">
        <is>
          <t>TECNOMONT MONTAGENS INDUSTRIAIS LTDA</t>
        </is>
      </c>
      <c r="F6782" s="30" t="inlineStr">
        <is>
          <t>2017</t>
        </is>
      </c>
      <c r="G6782" s="40" t="n">
        <v>0</v>
      </c>
    </row>
    <row r="6783" ht="12" customHeight="1">
      <c r="A6783" s="30" t="inlineStr">
        <is>
          <t>ITG</t>
        </is>
      </c>
      <c r="B6783" s="30" t="inlineStr">
        <is>
          <t>Itaguai</t>
        </is>
      </c>
      <c r="C6783" s="30" t="n">
        <v>79916447</v>
      </c>
      <c r="D6783" s="30">
        <f>"10675555000863"</f>
        <v/>
      </c>
      <c r="E6783" s="30" t="inlineStr">
        <is>
          <t>TECNOMONT MONTAGENS INDUSTRIAIS LTDA</t>
        </is>
      </c>
      <c r="F6783" s="30" t="inlineStr">
        <is>
          <t>2018</t>
        </is>
      </c>
      <c r="G6783" s="40" t="n">
        <v>0</v>
      </c>
    </row>
    <row r="6784" ht="12" customHeight="1">
      <c r="A6784" s="30" t="inlineStr">
        <is>
          <t>ITG</t>
        </is>
      </c>
      <c r="B6784" s="30" t="inlineStr">
        <is>
          <t>Itaguai</t>
        </is>
      </c>
      <c r="C6784" s="30" t="n">
        <v>79916447</v>
      </c>
      <c r="D6784" s="30">
        <f>"10675555000863"</f>
        <v/>
      </c>
      <c r="E6784" s="30" t="inlineStr">
        <is>
          <t>TECNOMONT MONTAGENS INDUSTRIAIS LTDA</t>
        </is>
      </c>
      <c r="F6784" s="30" t="inlineStr">
        <is>
          <t>2019</t>
        </is>
      </c>
      <c r="G6784" s="40" t="n">
        <v>0</v>
      </c>
    </row>
    <row r="6785" ht="12" customHeight="1">
      <c r="A6785" s="30" t="inlineStr">
        <is>
          <t>ITG</t>
        </is>
      </c>
      <c r="B6785" s="30" t="inlineStr">
        <is>
          <t>Itaguai</t>
        </is>
      </c>
      <c r="C6785" s="30" t="n">
        <v>79918768</v>
      </c>
      <c r="D6785" s="30">
        <f>"17636490000110"</f>
        <v/>
      </c>
      <c r="E6785" s="30" t="inlineStr">
        <is>
          <t>TMA TRANSPORTE LOTACAO E LOGISTICA LTDA</t>
        </is>
      </c>
      <c r="F6785" s="30" t="inlineStr">
        <is>
          <t>2017</t>
        </is>
      </c>
      <c r="G6785" s="40" t="n">
        <v>0</v>
      </c>
    </row>
    <row r="6786" ht="12" customHeight="1">
      <c r="A6786" s="30" t="inlineStr">
        <is>
          <t>ITG</t>
        </is>
      </c>
      <c r="B6786" s="30" t="inlineStr">
        <is>
          <t>Itaguai</t>
        </is>
      </c>
      <c r="C6786" s="30" t="n">
        <v>79918768</v>
      </c>
      <c r="D6786" s="30">
        <f>"17636490000110"</f>
        <v/>
      </c>
      <c r="E6786" s="30" t="inlineStr">
        <is>
          <t>TMA TRANSPORTE LOTACAO E LOGISTICA LTDA</t>
        </is>
      </c>
      <c r="F6786" s="30" t="inlineStr">
        <is>
          <t>2018</t>
        </is>
      </c>
      <c r="G6786" s="40" t="n">
        <v>1619.26</v>
      </c>
    </row>
    <row r="6787" ht="12" customHeight="1">
      <c r="A6787" s="30" t="inlineStr">
        <is>
          <t>ITG</t>
        </is>
      </c>
      <c r="B6787" s="30" t="inlineStr">
        <is>
          <t>Itaguai</t>
        </is>
      </c>
      <c r="C6787" s="30" t="n">
        <v>79918768</v>
      </c>
      <c r="D6787" s="30">
        <f>"17636490000110"</f>
        <v/>
      </c>
      <c r="E6787" s="30" t="inlineStr">
        <is>
          <t>TMA TRANSPORTE LOTACAO E LOGISTICA LTDA</t>
        </is>
      </c>
      <c r="F6787" s="30" t="inlineStr">
        <is>
          <t>2019</t>
        </is>
      </c>
      <c r="G6787" s="40" t="n">
        <v>4567.56</v>
      </c>
    </row>
    <row r="6788" ht="12" customHeight="1">
      <c r="A6788" s="30" t="inlineStr">
        <is>
          <t>ITG</t>
        </is>
      </c>
      <c r="B6788" s="30" t="inlineStr">
        <is>
          <t>Itaguai</t>
        </is>
      </c>
      <c r="C6788" s="30" t="n">
        <v>79918768</v>
      </c>
      <c r="D6788" s="30">
        <f>"17636490000110"</f>
        <v/>
      </c>
      <c r="E6788" s="30" t="inlineStr">
        <is>
          <t>TMA TRANSPORTE LOTACAO E LOGISTICA LTDA</t>
        </is>
      </c>
      <c r="F6788" s="30" t="inlineStr">
        <is>
          <t>2020</t>
        </is>
      </c>
      <c r="G6788" s="40" t="n">
        <v>1596.96</v>
      </c>
    </row>
    <row r="6789" ht="12" customHeight="1">
      <c r="A6789" s="30" t="inlineStr">
        <is>
          <t>ITG</t>
        </is>
      </c>
      <c r="B6789" s="30" t="inlineStr">
        <is>
          <t>Itaguai</t>
        </is>
      </c>
      <c r="C6789" s="30" t="n">
        <v>79918768</v>
      </c>
      <c r="D6789" s="30">
        <f>"17636490000110"</f>
        <v/>
      </c>
      <c r="E6789" s="30" t="inlineStr">
        <is>
          <t>TMA TRANSPORTE LOTACAO E LOGISTICA LTDA</t>
        </is>
      </c>
      <c r="F6789" s="30" t="inlineStr">
        <is>
          <t>2021</t>
        </is>
      </c>
      <c r="G6789" s="40" t="n">
        <v>128.4</v>
      </c>
    </row>
    <row r="6790" ht="12" customHeight="1">
      <c r="A6790" s="30" t="inlineStr">
        <is>
          <t>ITG</t>
        </is>
      </c>
      <c r="B6790" s="30" t="inlineStr">
        <is>
          <t>Itaguai</t>
        </is>
      </c>
      <c r="C6790" s="30" t="n">
        <v>79918768</v>
      </c>
      <c r="D6790" s="30">
        <f>"17636490000110"</f>
        <v/>
      </c>
      <c r="E6790" s="30" t="inlineStr">
        <is>
          <t>TMA TRANSPORTE LOTACAO E LOGISTICA LTDA</t>
        </is>
      </c>
      <c r="F6790" s="30" t="inlineStr">
        <is>
          <t>2022</t>
        </is>
      </c>
      <c r="G6790" s="40" t="n">
        <v>0</v>
      </c>
    </row>
    <row r="6791" ht="12" customHeight="1">
      <c r="A6791" s="30" t="inlineStr">
        <is>
          <t>ITG</t>
        </is>
      </c>
      <c r="B6791" s="30" t="inlineStr">
        <is>
          <t>Itaguai</t>
        </is>
      </c>
      <c r="C6791" s="30" t="n">
        <v>79918768</v>
      </c>
      <c r="D6791" s="30">
        <f>"17636490000110"</f>
        <v/>
      </c>
      <c r="E6791" s="30" t="inlineStr">
        <is>
          <t>TMA TRANSPORTE LOTACAO E LOGISTICA LTDA</t>
        </is>
      </c>
      <c r="F6791" s="30" t="inlineStr">
        <is>
          <t>2023</t>
        </is>
      </c>
      <c r="G6791" s="40" t="n">
        <v>0</v>
      </c>
    </row>
    <row r="6792" ht="12" customHeight="1">
      <c r="A6792" s="30" t="inlineStr">
        <is>
          <t>ITG</t>
        </is>
      </c>
      <c r="B6792" s="30" t="inlineStr">
        <is>
          <t>Itaguai</t>
        </is>
      </c>
      <c r="C6792" s="30" t="n">
        <v>79923532</v>
      </c>
      <c r="D6792" s="30">
        <f>"08147623000101"</f>
        <v/>
      </c>
      <c r="E6792" s="30" t="inlineStr">
        <is>
          <t>S R DE ITAGUAI SERVICOS DE LOCACAO LTDA</t>
        </is>
      </c>
      <c r="F6792" s="30" t="inlineStr">
        <is>
          <t>2017</t>
        </is>
      </c>
      <c r="G6792" s="40" t="n">
        <v>3000</v>
      </c>
    </row>
    <row r="6793" ht="12" customHeight="1">
      <c r="A6793" s="30" t="inlineStr">
        <is>
          <t>ITG</t>
        </is>
      </c>
      <c r="B6793" s="30" t="inlineStr">
        <is>
          <t>Itaguai</t>
        </is>
      </c>
      <c r="C6793" s="30" t="n">
        <v>79923532</v>
      </c>
      <c r="D6793" s="30">
        <f>"08147623000101"</f>
        <v/>
      </c>
      <c r="E6793" s="30" t="inlineStr">
        <is>
          <t>S R DE ITAGUAI SERVICOS DE LOCACAO LTDA</t>
        </is>
      </c>
      <c r="F6793" s="30" t="inlineStr">
        <is>
          <t>2018</t>
        </is>
      </c>
      <c r="G6793" s="40" t="n">
        <v>0</v>
      </c>
    </row>
    <row r="6794" ht="12" customHeight="1">
      <c r="A6794" s="30" t="inlineStr">
        <is>
          <t>ITG</t>
        </is>
      </c>
      <c r="B6794" s="30" t="inlineStr">
        <is>
          <t>Itaguai</t>
        </is>
      </c>
      <c r="C6794" s="30" t="n">
        <v>79923532</v>
      </c>
      <c r="D6794" s="30">
        <f>"08147623000101"</f>
        <v/>
      </c>
      <c r="E6794" s="30" t="inlineStr">
        <is>
          <t>S R DE ITAGUAI SERVICOS DE LOCACAO LTDA</t>
        </is>
      </c>
      <c r="F6794" s="30" t="inlineStr">
        <is>
          <t>2019</t>
        </is>
      </c>
      <c r="G6794" s="40" t="n">
        <v>1400</v>
      </c>
    </row>
    <row r="6795" ht="12" customHeight="1">
      <c r="A6795" s="30" t="inlineStr">
        <is>
          <t>ITG</t>
        </is>
      </c>
      <c r="B6795" s="30" t="inlineStr">
        <is>
          <t>Itaguai</t>
        </is>
      </c>
      <c r="C6795" s="30" t="n">
        <v>79923532</v>
      </c>
      <c r="D6795" s="30">
        <f>"08147623000101"</f>
        <v/>
      </c>
      <c r="E6795" s="30" t="inlineStr">
        <is>
          <t>S R DE ITAGUAI SERVICOS DE LOCACAO LTDA</t>
        </is>
      </c>
      <c r="F6795" s="30" t="inlineStr">
        <is>
          <t>2020</t>
        </is>
      </c>
      <c r="G6795" s="40" t="n">
        <v>0</v>
      </c>
    </row>
    <row r="6796" ht="12" customHeight="1">
      <c r="A6796" s="30" t="inlineStr">
        <is>
          <t>ITG</t>
        </is>
      </c>
      <c r="B6796" s="30" t="inlineStr">
        <is>
          <t>Itaguai</t>
        </is>
      </c>
      <c r="C6796" s="30" t="n">
        <v>79923532</v>
      </c>
      <c r="D6796" s="30">
        <f>"08147623000101"</f>
        <v/>
      </c>
      <c r="E6796" s="30" t="inlineStr">
        <is>
          <t>S R DE ITAGUAI SERVICOS DE LOCACAO LTDA</t>
        </is>
      </c>
      <c r="F6796" s="30" t="inlineStr">
        <is>
          <t>2021</t>
        </is>
      </c>
      <c r="G6796" s="40" t="n">
        <v>0</v>
      </c>
    </row>
    <row r="6797" ht="12" customHeight="1">
      <c r="A6797" s="30" t="inlineStr">
        <is>
          <t>ITG</t>
        </is>
      </c>
      <c r="B6797" s="30" t="inlineStr">
        <is>
          <t>Itaguai</t>
        </is>
      </c>
      <c r="C6797" s="30" t="n">
        <v>79923532</v>
      </c>
      <c r="D6797" s="30">
        <f>"08147623000101"</f>
        <v/>
      </c>
      <c r="E6797" s="30" t="inlineStr">
        <is>
          <t>S R DE ITAGUAI SERVICOS DE LOCACAO LTDA</t>
        </is>
      </c>
      <c r="F6797" s="30" t="inlineStr">
        <is>
          <t>2022</t>
        </is>
      </c>
      <c r="G6797" s="40" t="n">
        <v>0</v>
      </c>
    </row>
    <row r="6798" ht="12" customHeight="1">
      <c r="A6798" s="30" t="inlineStr">
        <is>
          <t>ITG</t>
        </is>
      </c>
      <c r="B6798" s="30" t="inlineStr">
        <is>
          <t>Itaguai</t>
        </is>
      </c>
      <c r="C6798" s="30" t="n">
        <v>79923532</v>
      </c>
      <c r="D6798" s="30">
        <f>"08147623000101"</f>
        <v/>
      </c>
      <c r="E6798" s="30" t="inlineStr">
        <is>
          <t>S R DE ITAGUAI SERVICOS DE LOCACAO LTDA</t>
        </is>
      </c>
      <c r="F6798" s="30" t="inlineStr">
        <is>
          <t>2023</t>
        </is>
      </c>
      <c r="G6798" s="40" t="n">
        <v>0</v>
      </c>
    </row>
    <row r="6799" ht="12" customHeight="1">
      <c r="A6799" s="30" t="inlineStr">
        <is>
          <t>ITG</t>
        </is>
      </c>
      <c r="B6799" s="30" t="inlineStr">
        <is>
          <t>Itaguai</t>
        </is>
      </c>
      <c r="C6799" s="30" t="n">
        <v>79926477</v>
      </c>
      <c r="D6799" s="30">
        <f>"07792269000288"</f>
        <v/>
      </c>
      <c r="E6799" s="30" t="inlineStr">
        <is>
          <t>CONSTRUTORA LYTORANEA S A</t>
        </is>
      </c>
      <c r="F6799" s="30" t="inlineStr">
        <is>
          <t>2017</t>
        </is>
      </c>
      <c r="G6799" s="40" t="n">
        <v>0</v>
      </c>
    </row>
    <row r="6800" ht="12" customHeight="1">
      <c r="A6800" s="30" t="inlineStr">
        <is>
          <t>ITG</t>
        </is>
      </c>
      <c r="B6800" s="30" t="inlineStr">
        <is>
          <t>Itaguai</t>
        </is>
      </c>
      <c r="C6800" s="30" t="n">
        <v>79926477</v>
      </c>
      <c r="D6800" s="30">
        <f>"07792269000288"</f>
        <v/>
      </c>
      <c r="E6800" s="30" t="inlineStr">
        <is>
          <t>CONSTRUTORA LYTORANEA S A</t>
        </is>
      </c>
      <c r="F6800" s="30" t="inlineStr">
        <is>
          <t>2018</t>
        </is>
      </c>
      <c r="G6800" s="40" t="n">
        <v>0</v>
      </c>
    </row>
    <row r="6801" ht="12" customHeight="1">
      <c r="A6801" s="30" t="inlineStr">
        <is>
          <t>ITG</t>
        </is>
      </c>
      <c r="B6801" s="30" t="inlineStr">
        <is>
          <t>Itaguai</t>
        </is>
      </c>
      <c r="C6801" s="30" t="n">
        <v>79926477</v>
      </c>
      <c r="D6801" s="30">
        <f>"07792269000288"</f>
        <v/>
      </c>
      <c r="E6801" s="30" t="inlineStr">
        <is>
          <t>CONSTRUTORA LYTORANEA S A</t>
        </is>
      </c>
      <c r="F6801" s="30" t="inlineStr">
        <is>
          <t>2019</t>
        </is>
      </c>
      <c r="G6801" s="40" t="n">
        <v>0</v>
      </c>
    </row>
    <row r="6802" ht="12" customHeight="1">
      <c r="A6802" s="30" t="inlineStr">
        <is>
          <t>ITG</t>
        </is>
      </c>
      <c r="B6802" s="30" t="inlineStr">
        <is>
          <t>Itaguai</t>
        </is>
      </c>
      <c r="C6802" s="30" t="n">
        <v>79926477</v>
      </c>
      <c r="D6802" s="30">
        <f>"07792269000288"</f>
        <v/>
      </c>
      <c r="E6802" s="30" t="inlineStr">
        <is>
          <t>CONSTRUTORA LYTORANEA S A</t>
        </is>
      </c>
      <c r="F6802" s="30" t="inlineStr">
        <is>
          <t>2020</t>
        </is>
      </c>
      <c r="G6802" s="40" t="n">
        <v>0</v>
      </c>
    </row>
    <row r="6803" ht="12" customHeight="1">
      <c r="A6803" s="30" t="inlineStr">
        <is>
          <t>ITG</t>
        </is>
      </c>
      <c r="B6803" s="30" t="inlineStr">
        <is>
          <t>Itaguai</t>
        </is>
      </c>
      <c r="C6803" s="30" t="n">
        <v>79926477</v>
      </c>
      <c r="D6803" s="30">
        <f>"07792269000288"</f>
        <v/>
      </c>
      <c r="E6803" s="30" t="inlineStr">
        <is>
          <t>CONSTRUTORA LYTORANEA S A</t>
        </is>
      </c>
      <c r="F6803" s="30" t="inlineStr">
        <is>
          <t>2021</t>
        </is>
      </c>
      <c r="G6803" s="40" t="n">
        <v>0</v>
      </c>
    </row>
    <row r="6804" ht="12" customHeight="1">
      <c r="A6804" s="30" t="inlineStr">
        <is>
          <t>ITG</t>
        </is>
      </c>
      <c r="B6804" s="30" t="inlineStr">
        <is>
          <t>Itaguai</t>
        </is>
      </c>
      <c r="C6804" s="30" t="n">
        <v>79926477</v>
      </c>
      <c r="D6804" s="30">
        <f>"07792269000288"</f>
        <v/>
      </c>
      <c r="E6804" s="30" t="inlineStr">
        <is>
          <t>CONSTRUTORA LYTORANEA S A</t>
        </is>
      </c>
      <c r="F6804" s="30" t="inlineStr">
        <is>
          <t>2022</t>
        </is>
      </c>
      <c r="G6804" s="40" t="n">
        <v>0</v>
      </c>
    </row>
    <row r="6805" ht="12" customHeight="1">
      <c r="A6805" s="30" t="inlineStr">
        <is>
          <t>ITG</t>
        </is>
      </c>
      <c r="B6805" s="30" t="inlineStr">
        <is>
          <t>Itaguai</t>
        </is>
      </c>
      <c r="C6805" s="30" t="n">
        <v>79926477</v>
      </c>
      <c r="D6805" s="30">
        <f>"07792269000288"</f>
        <v/>
      </c>
      <c r="E6805" s="30" t="inlineStr">
        <is>
          <t>CONSTRUTORA LYTORANEA S A</t>
        </is>
      </c>
      <c r="F6805" s="30" t="inlineStr">
        <is>
          <t>2023</t>
        </is>
      </c>
      <c r="G6805" s="40" t="n">
        <v>0</v>
      </c>
    </row>
    <row r="6806" ht="12" customHeight="1">
      <c r="A6806" s="30" t="inlineStr">
        <is>
          <t>ITG</t>
        </is>
      </c>
      <c r="B6806" s="30" t="inlineStr">
        <is>
          <t>Itaguai</t>
        </is>
      </c>
      <c r="C6806" s="30" t="n">
        <v>79935964</v>
      </c>
      <c r="D6806" s="30">
        <f>"18189900000194"</f>
        <v/>
      </c>
      <c r="E6806" s="30" t="inlineStr">
        <is>
          <t>DEPP MODA ITAGUAI LTDA EPP</t>
        </is>
      </c>
      <c r="F6806" s="30" t="inlineStr">
        <is>
          <t>2017</t>
        </is>
      </c>
      <c r="G6806" s="40" t="n">
        <v>0</v>
      </c>
    </row>
    <row r="6807" ht="12" customHeight="1">
      <c r="A6807" s="30" t="inlineStr">
        <is>
          <t>ITG</t>
        </is>
      </c>
      <c r="B6807" s="30" t="inlineStr">
        <is>
          <t>Itaguai</t>
        </is>
      </c>
      <c r="C6807" s="30" t="n">
        <v>79935964</v>
      </c>
      <c r="D6807" s="30">
        <f>"18189900000194"</f>
        <v/>
      </c>
      <c r="E6807" s="30" t="inlineStr">
        <is>
          <t>DEPP MODA ITAGUAI LTDA EPP</t>
        </is>
      </c>
      <c r="F6807" s="30" t="inlineStr">
        <is>
          <t>2018</t>
        </is>
      </c>
      <c r="G6807" s="40" t="n">
        <v>0</v>
      </c>
    </row>
    <row r="6808" ht="12" customHeight="1">
      <c r="A6808" s="30" t="inlineStr">
        <is>
          <t>ITG</t>
        </is>
      </c>
      <c r="B6808" s="30" t="inlineStr">
        <is>
          <t>Itaguai</t>
        </is>
      </c>
      <c r="C6808" s="30" t="n">
        <v>79935964</v>
      </c>
      <c r="D6808" s="30">
        <f>"18189900000194"</f>
        <v/>
      </c>
      <c r="E6808" s="30" t="inlineStr">
        <is>
          <t>DEPP MODA ITAGUAI LTDA EPP</t>
        </is>
      </c>
      <c r="F6808" s="30" t="inlineStr">
        <is>
          <t>2019</t>
        </is>
      </c>
      <c r="G6808" s="40" t="n">
        <v>0</v>
      </c>
    </row>
    <row r="6809" ht="12" customHeight="1">
      <c r="A6809" s="30" t="inlineStr">
        <is>
          <t>ITG</t>
        </is>
      </c>
      <c r="B6809" s="30" t="inlineStr">
        <is>
          <t>Itaguai</t>
        </is>
      </c>
      <c r="C6809" s="30" t="n">
        <v>79940020</v>
      </c>
      <c r="D6809" s="30">
        <f>"18316740000105"</f>
        <v/>
      </c>
      <c r="E6809" s="30" t="inlineStr">
        <is>
          <t>SS FIGUEIREDO ALIMENTOS EIRELI</t>
        </is>
      </c>
      <c r="F6809" s="30" t="inlineStr">
        <is>
          <t>2017</t>
        </is>
      </c>
      <c r="G6809" s="40" t="n">
        <v>0</v>
      </c>
    </row>
    <row r="6810" ht="12" customHeight="1">
      <c r="A6810" s="30" t="inlineStr">
        <is>
          <t>ITG</t>
        </is>
      </c>
      <c r="B6810" s="30" t="inlineStr">
        <is>
          <t>Itaguai</t>
        </is>
      </c>
      <c r="C6810" s="30" t="n">
        <v>79940020</v>
      </c>
      <c r="D6810" s="30">
        <f>"18316740000105"</f>
        <v/>
      </c>
      <c r="E6810" s="30" t="inlineStr">
        <is>
          <t>SS FIGUEIREDO ALIMENTOS EIRELI</t>
        </is>
      </c>
      <c r="F6810" s="30" t="inlineStr">
        <is>
          <t>2018</t>
        </is>
      </c>
      <c r="G6810" s="40" t="n">
        <v>0</v>
      </c>
    </row>
    <row r="6811" ht="12" customHeight="1">
      <c r="A6811" s="30" t="inlineStr">
        <is>
          <t>ITG</t>
        </is>
      </c>
      <c r="B6811" s="30" t="inlineStr">
        <is>
          <t>Itaguai</t>
        </is>
      </c>
      <c r="C6811" s="30" t="n">
        <v>79940020</v>
      </c>
      <c r="D6811" s="30">
        <f>"18316740000105"</f>
        <v/>
      </c>
      <c r="E6811" s="30" t="inlineStr">
        <is>
          <t>SS FIGUEIREDO ALIMENTOS EIRELI</t>
        </is>
      </c>
      <c r="F6811" s="30" t="inlineStr">
        <is>
          <t>2019</t>
        </is>
      </c>
      <c r="G6811" s="40" t="n">
        <v>0</v>
      </c>
    </row>
    <row r="6812" ht="12" customHeight="1">
      <c r="A6812" s="30" t="inlineStr">
        <is>
          <t>ITG</t>
        </is>
      </c>
      <c r="B6812" s="30" t="inlineStr">
        <is>
          <t>Itaguai</t>
        </is>
      </c>
      <c r="C6812" s="30" t="n">
        <v>79940020</v>
      </c>
      <c r="D6812" s="30">
        <f>"18316740000105"</f>
        <v/>
      </c>
      <c r="E6812" s="30" t="inlineStr">
        <is>
          <t>SS FIGUEIREDO ALIMENTOS EIRELI</t>
        </is>
      </c>
      <c r="F6812" s="30" t="inlineStr">
        <is>
          <t>2020</t>
        </is>
      </c>
      <c r="G6812" s="40" t="n">
        <v>0</v>
      </c>
    </row>
    <row r="6813" ht="12" customHeight="1">
      <c r="A6813" s="30" t="inlineStr">
        <is>
          <t>ITG</t>
        </is>
      </c>
      <c r="B6813" s="30" t="inlineStr">
        <is>
          <t>Itaguai</t>
        </is>
      </c>
      <c r="C6813" s="30" t="n">
        <v>79940020</v>
      </c>
      <c r="D6813" s="30">
        <f>"18316740000105"</f>
        <v/>
      </c>
      <c r="E6813" s="30" t="inlineStr">
        <is>
          <t>SS FIGUEIREDO ALIMENTOS EIRELI</t>
        </is>
      </c>
      <c r="F6813" s="30" t="inlineStr">
        <is>
          <t>2021</t>
        </is>
      </c>
      <c r="G6813" s="40" t="n">
        <v>0</v>
      </c>
    </row>
    <row r="6814" ht="12" customHeight="1">
      <c r="A6814" s="30" t="inlineStr">
        <is>
          <t>ITG</t>
        </is>
      </c>
      <c r="B6814" s="30" t="inlineStr">
        <is>
          <t>Itaguai</t>
        </is>
      </c>
      <c r="C6814" s="30" t="n">
        <v>79940020</v>
      </c>
      <c r="D6814" s="30">
        <f>"18316740000105"</f>
        <v/>
      </c>
      <c r="E6814" s="30" t="inlineStr">
        <is>
          <t>SS FIGUEIREDO ALIMENTOS EIRELI</t>
        </is>
      </c>
      <c r="F6814" s="30" t="inlineStr">
        <is>
          <t>2022</t>
        </is>
      </c>
      <c r="G6814" s="40" t="n">
        <v>0</v>
      </c>
    </row>
    <row r="6815" ht="12" customHeight="1">
      <c r="A6815" s="30" t="inlineStr">
        <is>
          <t>ITG</t>
        </is>
      </c>
      <c r="B6815" s="30" t="inlineStr">
        <is>
          <t>Itaguai</t>
        </is>
      </c>
      <c r="C6815" s="30" t="n">
        <v>79942642</v>
      </c>
      <c r="D6815" s="30">
        <f>"18210737000102"</f>
        <v/>
      </c>
      <c r="E6815" s="30" t="inlineStr">
        <is>
          <t>ST SANTOS LOCACOES E EQUIPAMENTOS EIRELI</t>
        </is>
      </c>
      <c r="F6815" s="30" t="inlineStr">
        <is>
          <t>2018</t>
        </is>
      </c>
      <c r="G6815" s="40" t="n">
        <v>0</v>
      </c>
    </row>
    <row r="6816" ht="12" customHeight="1">
      <c r="A6816" s="30" t="inlineStr">
        <is>
          <t>ITG</t>
        </is>
      </c>
      <c r="B6816" s="30" t="inlineStr">
        <is>
          <t>Itaguai</t>
        </is>
      </c>
      <c r="C6816" s="30" t="n">
        <v>79942642</v>
      </c>
      <c r="D6816" s="30">
        <f>"18210737000102"</f>
        <v/>
      </c>
      <c r="E6816" s="30" t="inlineStr">
        <is>
          <t>ST SANTOS LOCACOES E EQUIPAMENTOS EIRELI</t>
        </is>
      </c>
      <c r="F6816" s="30" t="inlineStr">
        <is>
          <t>2019</t>
        </is>
      </c>
      <c r="G6816" s="40" t="n">
        <v>0</v>
      </c>
    </row>
    <row r="6817" ht="12" customHeight="1">
      <c r="A6817" s="30" t="inlineStr">
        <is>
          <t>ITG</t>
        </is>
      </c>
      <c r="B6817" s="30" t="inlineStr">
        <is>
          <t>Itaguai</t>
        </is>
      </c>
      <c r="C6817" s="30" t="n">
        <v>79942642</v>
      </c>
      <c r="D6817" s="30">
        <f>"18210737000102"</f>
        <v/>
      </c>
      <c r="E6817" s="30" t="inlineStr">
        <is>
          <t>ST SANTOS LOCACOES E EQUIPAMENTOS EIRELI</t>
        </is>
      </c>
      <c r="F6817" s="30" t="inlineStr">
        <is>
          <t>2020</t>
        </is>
      </c>
      <c r="G6817" s="40" t="n">
        <v>0</v>
      </c>
    </row>
    <row r="6818" ht="12" customHeight="1">
      <c r="A6818" s="30" t="inlineStr">
        <is>
          <t>ITG</t>
        </is>
      </c>
      <c r="B6818" s="30" t="inlineStr">
        <is>
          <t>Itaguai</t>
        </is>
      </c>
      <c r="C6818" s="30" t="n">
        <v>79942642</v>
      </c>
      <c r="D6818" s="30">
        <f>"18210737000102"</f>
        <v/>
      </c>
      <c r="E6818" s="30" t="inlineStr">
        <is>
          <t>ST SANTOS LOCACOES E EQUIPAMENTOS EIRELI</t>
        </is>
      </c>
      <c r="F6818" s="30" t="inlineStr">
        <is>
          <t>2021</t>
        </is>
      </c>
      <c r="G6818" s="40" t="n">
        <v>0</v>
      </c>
    </row>
    <row r="6819" ht="12" customHeight="1">
      <c r="A6819" s="30" t="inlineStr">
        <is>
          <t>ITG</t>
        </is>
      </c>
      <c r="B6819" s="30" t="inlineStr">
        <is>
          <t>Itaguai</t>
        </is>
      </c>
      <c r="C6819" s="30" t="n">
        <v>79942642</v>
      </c>
      <c r="D6819" s="30">
        <f>"18210737000102"</f>
        <v/>
      </c>
      <c r="E6819" s="30" t="inlineStr">
        <is>
          <t>ST SANTOS LOCACOES E EQUIPAMENTOS EIRELI</t>
        </is>
      </c>
      <c r="F6819" s="30" t="inlineStr">
        <is>
          <t>2022</t>
        </is>
      </c>
      <c r="G6819" s="40" t="n">
        <v>0</v>
      </c>
    </row>
    <row r="6820" ht="12" customHeight="1">
      <c r="A6820" s="30" t="inlineStr">
        <is>
          <t>ITG</t>
        </is>
      </c>
      <c r="B6820" s="30" t="inlineStr">
        <is>
          <t>Itaguai</t>
        </is>
      </c>
      <c r="C6820" s="30" t="n">
        <v>79942642</v>
      </c>
      <c r="D6820" s="30">
        <f>"18210737000102"</f>
        <v/>
      </c>
      <c r="E6820" s="30" t="inlineStr">
        <is>
          <t>ST SANTOS LOCACOES E EQUIPAMENTOS EIRELI</t>
        </is>
      </c>
      <c r="F6820" s="30" t="inlineStr">
        <is>
          <t>2023</t>
        </is>
      </c>
      <c r="G6820" s="40" t="n">
        <v>0</v>
      </c>
    </row>
    <row r="6821" ht="12" customHeight="1">
      <c r="A6821" s="30" t="inlineStr">
        <is>
          <t>ITG</t>
        </is>
      </c>
      <c r="B6821" s="30" t="inlineStr">
        <is>
          <t>Itaguai</t>
        </is>
      </c>
      <c r="C6821" s="30" t="n">
        <v>79952737</v>
      </c>
      <c r="D6821" s="30">
        <f>"18413598000106"</f>
        <v/>
      </c>
      <c r="E6821" s="30" t="inlineStr">
        <is>
          <t>M &amp; C CONSTRU??ES IMOBILI?RIAS LTDA</t>
        </is>
      </c>
      <c r="F6821" s="30" t="inlineStr">
        <is>
          <t>2017</t>
        </is>
      </c>
      <c r="G6821" s="40" t="n">
        <v>0</v>
      </c>
    </row>
    <row r="6822" ht="12" customHeight="1">
      <c r="A6822" s="30" t="inlineStr">
        <is>
          <t>ITG</t>
        </is>
      </c>
      <c r="B6822" s="30" t="inlineStr">
        <is>
          <t>Itaguai</t>
        </is>
      </c>
      <c r="C6822" s="30" t="n">
        <v>79952737</v>
      </c>
      <c r="D6822" s="30">
        <f>"18413598000106"</f>
        <v/>
      </c>
      <c r="E6822" s="30" t="inlineStr">
        <is>
          <t>M &amp; C CONSTRU??ES IMOBILI?RIAS LTDA</t>
        </is>
      </c>
      <c r="F6822" s="30" t="inlineStr">
        <is>
          <t>2018</t>
        </is>
      </c>
      <c r="G6822" s="40" t="n">
        <v>0</v>
      </c>
    </row>
    <row r="6823" ht="12" customHeight="1">
      <c r="A6823" s="30" t="inlineStr">
        <is>
          <t>ITG</t>
        </is>
      </c>
      <c r="B6823" s="30" t="inlineStr">
        <is>
          <t>Itaguai</t>
        </is>
      </c>
      <c r="C6823" s="30" t="n">
        <v>79952737</v>
      </c>
      <c r="D6823" s="30">
        <f>"18413598000106"</f>
        <v/>
      </c>
      <c r="E6823" s="30" t="inlineStr">
        <is>
          <t>M &amp; C CONSTRU??ES IMOBILI?RIAS LTDA</t>
        </is>
      </c>
      <c r="F6823" s="30" t="inlineStr">
        <is>
          <t>2019</t>
        </is>
      </c>
      <c r="G6823" s="40" t="n">
        <v>0</v>
      </c>
    </row>
    <row r="6824" ht="12" customHeight="1">
      <c r="A6824" s="30" t="inlineStr">
        <is>
          <t>ITG</t>
        </is>
      </c>
      <c r="B6824" s="30" t="inlineStr">
        <is>
          <t>Itaguai</t>
        </is>
      </c>
      <c r="C6824" s="30" t="n">
        <v>79952737</v>
      </c>
      <c r="D6824" s="30">
        <f>"18413598000106"</f>
        <v/>
      </c>
      <c r="E6824" s="30" t="inlineStr">
        <is>
          <t>M &amp; C CONSTRU??ES IMOBILI?RIAS LTDA</t>
        </is>
      </c>
      <c r="F6824" s="30" t="inlineStr">
        <is>
          <t>2020</t>
        </is>
      </c>
      <c r="G6824" s="40" t="n">
        <v>0</v>
      </c>
    </row>
    <row r="6825" ht="12" customHeight="1">
      <c r="A6825" s="30" t="inlineStr">
        <is>
          <t>ITG</t>
        </is>
      </c>
      <c r="B6825" s="30" t="inlineStr">
        <is>
          <t>Itaguai</t>
        </is>
      </c>
      <c r="C6825" s="30" t="n">
        <v>79952737</v>
      </c>
      <c r="D6825" s="30">
        <f>"18413598000106"</f>
        <v/>
      </c>
      <c r="E6825" s="30" t="inlineStr">
        <is>
          <t>M &amp; C CONSTRU??ES IMOBILI?RIAS LTDA</t>
        </is>
      </c>
      <c r="F6825" s="30" t="inlineStr">
        <is>
          <t>2021</t>
        </is>
      </c>
      <c r="G6825" s="40" t="n">
        <v>0</v>
      </c>
    </row>
    <row r="6826" ht="12" customHeight="1">
      <c r="A6826" s="30" t="inlineStr">
        <is>
          <t>ITG</t>
        </is>
      </c>
      <c r="B6826" s="30" t="inlineStr">
        <is>
          <t>Itaguai</t>
        </is>
      </c>
      <c r="C6826" s="30" t="n">
        <v>79952737</v>
      </c>
      <c r="D6826" s="30">
        <f>"18413598000106"</f>
        <v/>
      </c>
      <c r="E6826" s="30" t="inlineStr">
        <is>
          <t>M &amp; C CONSTRU??ES IMOBILI?RIAS LTDA</t>
        </is>
      </c>
      <c r="F6826" s="30" t="inlineStr">
        <is>
          <t>2022</t>
        </is>
      </c>
      <c r="G6826" s="40" t="n">
        <v>0</v>
      </c>
    </row>
    <row r="6827" ht="12" customHeight="1">
      <c r="A6827" s="30" t="inlineStr">
        <is>
          <t>ITG</t>
        </is>
      </c>
      <c r="B6827" s="30" t="inlineStr">
        <is>
          <t>Itaguai</t>
        </is>
      </c>
      <c r="C6827" s="30" t="n">
        <v>79952737</v>
      </c>
      <c r="D6827" s="30">
        <f>"18413598000106"</f>
        <v/>
      </c>
      <c r="E6827" s="30" t="inlineStr">
        <is>
          <t>M &amp; C CONSTRU??ES IMOBILI?RIAS LTDA</t>
        </is>
      </c>
      <c r="F6827" s="30" t="inlineStr">
        <is>
          <t>2023</t>
        </is>
      </c>
      <c r="G6827" s="40" t="n">
        <v>0</v>
      </c>
    </row>
    <row r="6828" ht="12" customHeight="1">
      <c r="A6828" s="30" t="inlineStr">
        <is>
          <t>ITG</t>
        </is>
      </c>
      <c r="B6828" s="30" t="inlineStr">
        <is>
          <t>Itaguai</t>
        </is>
      </c>
      <c r="C6828" s="30" t="n">
        <v>79953911</v>
      </c>
      <c r="D6828" s="30">
        <f>"18410271000180"</f>
        <v/>
      </c>
      <c r="E6828" s="30" t="inlineStr">
        <is>
          <t>EXPRESSO GIBB TRANSPORTES EIRELI</t>
        </is>
      </c>
      <c r="F6828" s="30" t="inlineStr">
        <is>
          <t>2017</t>
        </is>
      </c>
      <c r="G6828" s="40" t="n">
        <v>0</v>
      </c>
    </row>
    <row r="6829" ht="12" customHeight="1">
      <c r="A6829" s="30" t="inlineStr">
        <is>
          <t>ITG</t>
        </is>
      </c>
      <c r="B6829" s="30" t="inlineStr">
        <is>
          <t>Itaguai</t>
        </is>
      </c>
      <c r="C6829" s="30" t="n">
        <v>79953911</v>
      </c>
      <c r="D6829" s="30">
        <f>"18410271000180"</f>
        <v/>
      </c>
      <c r="E6829" s="30" t="inlineStr">
        <is>
          <t>EXPRESSO GIBB TRANSPORTES EIRELI</t>
        </is>
      </c>
      <c r="F6829" s="30" t="inlineStr">
        <is>
          <t>2018</t>
        </is>
      </c>
      <c r="G6829" s="40" t="n">
        <v>1211.4</v>
      </c>
    </row>
    <row r="6830" ht="12" customHeight="1">
      <c r="A6830" s="30" t="inlineStr">
        <is>
          <t>ITG</t>
        </is>
      </c>
      <c r="B6830" s="30" t="inlineStr">
        <is>
          <t>Itaguai</t>
        </is>
      </c>
      <c r="C6830" s="30" t="n">
        <v>79953911</v>
      </c>
      <c r="D6830" s="30">
        <f>"18410271000180"</f>
        <v/>
      </c>
      <c r="E6830" s="30" t="inlineStr">
        <is>
          <t>EXPRESSO GIBB TRANSPORTES EIRELI</t>
        </is>
      </c>
      <c r="F6830" s="30" t="inlineStr">
        <is>
          <t>2019</t>
        </is>
      </c>
      <c r="G6830" s="40" t="n">
        <v>0</v>
      </c>
    </row>
    <row r="6831" ht="12" customHeight="1">
      <c r="A6831" s="30" t="inlineStr">
        <is>
          <t>ITG</t>
        </is>
      </c>
      <c r="B6831" s="30" t="inlineStr">
        <is>
          <t>Itaguai</t>
        </is>
      </c>
      <c r="C6831" s="30" t="n">
        <v>79953911</v>
      </c>
      <c r="D6831" s="30">
        <f>"18410271000180"</f>
        <v/>
      </c>
      <c r="E6831" s="30" t="inlineStr">
        <is>
          <t>EXPRESSO GIBB TRANSPORTES EIRELI</t>
        </is>
      </c>
      <c r="F6831" s="30" t="inlineStr">
        <is>
          <t>2020</t>
        </is>
      </c>
      <c r="G6831" s="40" t="n">
        <v>0</v>
      </c>
    </row>
    <row r="6832" ht="12" customHeight="1">
      <c r="A6832" s="30" t="inlineStr">
        <is>
          <t>ITG</t>
        </is>
      </c>
      <c r="B6832" s="30" t="inlineStr">
        <is>
          <t>Itaguai</t>
        </is>
      </c>
      <c r="C6832" s="30" t="n">
        <v>79967688</v>
      </c>
      <c r="D6832" s="30">
        <f>"18517849000100"</f>
        <v/>
      </c>
      <c r="E6832" s="30" t="inlineStr">
        <is>
          <t>N L C CORREA</t>
        </is>
      </c>
      <c r="F6832" s="30" t="inlineStr">
        <is>
          <t>2018</t>
        </is>
      </c>
      <c r="G6832" s="40" t="n">
        <v>0</v>
      </c>
    </row>
    <row r="6833" ht="12" customHeight="1">
      <c r="A6833" s="30" t="inlineStr">
        <is>
          <t>ITG</t>
        </is>
      </c>
      <c r="B6833" s="30" t="inlineStr">
        <is>
          <t>Itaguai</t>
        </is>
      </c>
      <c r="C6833" s="30" t="n">
        <v>79967688</v>
      </c>
      <c r="D6833" s="30">
        <f>"18517849000100"</f>
        <v/>
      </c>
      <c r="E6833" s="30" t="inlineStr">
        <is>
          <t>N L C CORREA</t>
        </is>
      </c>
      <c r="F6833" s="30" t="inlineStr">
        <is>
          <t>2019</t>
        </is>
      </c>
      <c r="G6833" s="40" t="n">
        <v>0</v>
      </c>
    </row>
    <row r="6834" ht="12" customHeight="1">
      <c r="A6834" s="30" t="inlineStr">
        <is>
          <t>ITG</t>
        </is>
      </c>
      <c r="B6834" s="30" t="inlineStr">
        <is>
          <t>Itaguai</t>
        </is>
      </c>
      <c r="C6834" s="30" t="n">
        <v>79967688</v>
      </c>
      <c r="D6834" s="30">
        <f>"18517849000100"</f>
        <v/>
      </c>
      <c r="E6834" s="30" t="inlineStr">
        <is>
          <t>N L C CORREA</t>
        </is>
      </c>
      <c r="F6834" s="30" t="inlineStr">
        <is>
          <t>2020</t>
        </is>
      </c>
      <c r="G6834" s="40" t="n">
        <v>0</v>
      </c>
    </row>
    <row r="6835" ht="12" customHeight="1">
      <c r="A6835" s="30" t="inlineStr">
        <is>
          <t>ITG</t>
        </is>
      </c>
      <c r="B6835" s="30" t="inlineStr">
        <is>
          <t>Itaguai</t>
        </is>
      </c>
      <c r="C6835" s="30" t="n">
        <v>79967688</v>
      </c>
      <c r="D6835" s="30">
        <f>"18517849000100"</f>
        <v/>
      </c>
      <c r="E6835" s="30" t="inlineStr">
        <is>
          <t>N L C CORREA</t>
        </is>
      </c>
      <c r="F6835" s="30" t="inlineStr">
        <is>
          <t>2021</t>
        </is>
      </c>
      <c r="G6835" s="40" t="n">
        <v>0</v>
      </c>
    </row>
    <row r="6836" ht="12" customHeight="1">
      <c r="A6836" s="30" t="inlineStr">
        <is>
          <t>ITG</t>
        </is>
      </c>
      <c r="B6836" s="30" t="inlineStr">
        <is>
          <t>Itaguai</t>
        </is>
      </c>
      <c r="C6836" s="30" t="n">
        <v>79967688</v>
      </c>
      <c r="D6836" s="30">
        <f>"18517849000100"</f>
        <v/>
      </c>
      <c r="E6836" s="30" t="inlineStr">
        <is>
          <t>N L C CORREA</t>
        </is>
      </c>
      <c r="F6836" s="30" t="inlineStr">
        <is>
          <t>2022</t>
        </is>
      </c>
      <c r="G6836" s="40" t="n">
        <v>0</v>
      </c>
    </row>
    <row r="6837" ht="12" customHeight="1">
      <c r="A6837" s="30" t="inlineStr">
        <is>
          <t>ITG</t>
        </is>
      </c>
      <c r="B6837" s="30" t="inlineStr">
        <is>
          <t>Itaguai</t>
        </is>
      </c>
      <c r="C6837" s="30" t="n">
        <v>79967688</v>
      </c>
      <c r="D6837" s="30">
        <f>"18517849000100"</f>
        <v/>
      </c>
      <c r="E6837" s="30" t="inlineStr">
        <is>
          <t>N L C CORREA</t>
        </is>
      </c>
      <c r="F6837" s="30" t="inlineStr">
        <is>
          <t>2023</t>
        </is>
      </c>
      <c r="G6837" s="40" t="n">
        <v>0</v>
      </c>
    </row>
    <row r="6838" ht="12" customHeight="1">
      <c r="A6838" s="30" t="inlineStr">
        <is>
          <t>ITG</t>
        </is>
      </c>
      <c r="B6838" s="30" t="inlineStr">
        <is>
          <t>Itaguai</t>
        </is>
      </c>
      <c r="C6838" s="30" t="n">
        <v>79972436</v>
      </c>
      <c r="D6838" s="30">
        <f>"12621274000934"</f>
        <v/>
      </c>
      <c r="E6838" s="30" t="inlineStr">
        <is>
          <t>PACER TRANSPORTE E LOGISTICA LTDA</t>
        </is>
      </c>
      <c r="F6838" s="30" t="inlineStr">
        <is>
          <t>2019</t>
        </is>
      </c>
      <c r="G6838" s="40" t="n">
        <v>0</v>
      </c>
    </row>
    <row r="6839" ht="12" customHeight="1">
      <c r="A6839" s="30" t="inlineStr">
        <is>
          <t>ITG</t>
        </is>
      </c>
      <c r="B6839" s="30" t="inlineStr">
        <is>
          <t>Itaguai</t>
        </is>
      </c>
      <c r="C6839" s="30" t="n">
        <v>79972436</v>
      </c>
      <c r="D6839" s="30">
        <f>"12621274000934"</f>
        <v/>
      </c>
      <c r="E6839" s="30" t="inlineStr">
        <is>
          <t>PACER TRANSPORTE E LOGISTICA LTDA</t>
        </is>
      </c>
      <c r="F6839" s="30" t="inlineStr">
        <is>
          <t>2020</t>
        </is>
      </c>
      <c r="G6839" s="40" t="n">
        <v>0</v>
      </c>
    </row>
    <row r="6840" ht="12" customHeight="1">
      <c r="A6840" s="30" t="inlineStr">
        <is>
          <t>ITG</t>
        </is>
      </c>
      <c r="B6840" s="30" t="inlineStr">
        <is>
          <t>Itaguai</t>
        </is>
      </c>
      <c r="C6840" s="30" t="n">
        <v>79972436</v>
      </c>
      <c r="D6840" s="30">
        <f>"12621274000934"</f>
        <v/>
      </c>
      <c r="E6840" s="30" t="inlineStr">
        <is>
          <t>PACER TRANSPORTE E LOGISTICA LTDA</t>
        </is>
      </c>
      <c r="F6840" s="30" t="inlineStr">
        <is>
          <t>2021</t>
        </is>
      </c>
      <c r="G6840" s="40" t="n">
        <v>177.91</v>
      </c>
    </row>
    <row r="6841" ht="12" customHeight="1">
      <c r="A6841" s="30" t="inlineStr">
        <is>
          <t>ITG</t>
        </is>
      </c>
      <c r="B6841" s="30" t="inlineStr">
        <is>
          <t>Itaguai</t>
        </is>
      </c>
      <c r="C6841" s="30" t="n">
        <v>79972436</v>
      </c>
      <c r="D6841" s="30">
        <f>"12621274000934"</f>
        <v/>
      </c>
      <c r="E6841" s="30" t="inlineStr">
        <is>
          <t>PACER TRANSPORTE E LOGISTICA LTDA</t>
        </is>
      </c>
      <c r="F6841" s="30" t="inlineStr">
        <is>
          <t>2022</t>
        </is>
      </c>
      <c r="G6841" s="40" t="n">
        <v>1869.09</v>
      </c>
    </row>
    <row r="6842" ht="12" customHeight="1">
      <c r="A6842" s="30" t="inlineStr">
        <is>
          <t>ITG</t>
        </is>
      </c>
      <c r="B6842" s="30" t="inlineStr">
        <is>
          <t>Itaguai</t>
        </is>
      </c>
      <c r="C6842" s="30" t="n">
        <v>79972436</v>
      </c>
      <c r="D6842" s="30">
        <f>"12621274000934"</f>
        <v/>
      </c>
      <c r="E6842" s="30" t="inlineStr">
        <is>
          <t>PACER TRANSPORTE E LOGISTICA LTDA</t>
        </is>
      </c>
      <c r="F6842" s="30" t="inlineStr">
        <is>
          <t>2023</t>
        </is>
      </c>
      <c r="G6842" s="40" t="n">
        <v>0</v>
      </c>
    </row>
    <row r="6843" ht="12" customHeight="1">
      <c r="A6843" s="30" t="inlineStr">
        <is>
          <t>ITG</t>
        </is>
      </c>
      <c r="B6843" s="30" t="inlineStr">
        <is>
          <t>Itaguai</t>
        </is>
      </c>
      <c r="C6843" s="30" t="n">
        <v>79973661</v>
      </c>
      <c r="D6843" s="30">
        <f>"17771646001490"</f>
        <v/>
      </c>
      <c r="E6843" s="30" t="inlineStr">
        <is>
          <t>QUEBRA VENTO INDUSTRIA E COMERCIO DE ROUPAS LTDA</t>
        </is>
      </c>
      <c r="F6843" s="30" t="inlineStr">
        <is>
          <t>2017</t>
        </is>
      </c>
      <c r="G6843" s="40" t="n">
        <v>43415.72</v>
      </c>
    </row>
    <row r="6844" ht="12" customHeight="1">
      <c r="A6844" s="30" t="inlineStr">
        <is>
          <t>ITG</t>
        </is>
      </c>
      <c r="B6844" s="30" t="inlineStr">
        <is>
          <t>Itaguai</t>
        </is>
      </c>
      <c r="C6844" s="30" t="n">
        <v>79973661</v>
      </c>
      <c r="D6844" s="30">
        <f>"17771646001490"</f>
        <v/>
      </c>
      <c r="E6844" s="30" t="inlineStr">
        <is>
          <t>QUEBRA VENTO INDUSTRIA E COMERCIO DE ROUPAS LTDA</t>
        </is>
      </c>
      <c r="F6844" s="30" t="inlineStr">
        <is>
          <t>2018</t>
        </is>
      </c>
      <c r="G6844" s="40" t="n">
        <v>0</v>
      </c>
    </row>
    <row r="6845" ht="12" customHeight="1">
      <c r="A6845" s="30" t="inlineStr">
        <is>
          <t>ITG</t>
        </is>
      </c>
      <c r="B6845" s="30" t="inlineStr">
        <is>
          <t>Itaguai</t>
        </is>
      </c>
      <c r="C6845" s="30" t="n">
        <v>79973661</v>
      </c>
      <c r="D6845" s="30">
        <f>"17771646001490"</f>
        <v/>
      </c>
      <c r="E6845" s="30" t="inlineStr">
        <is>
          <t>QUEBRA VENTO INDUSTRIA E COMERCIO DE ROUPAS LTDA</t>
        </is>
      </c>
      <c r="F6845" s="30" t="inlineStr">
        <is>
          <t>2019</t>
        </is>
      </c>
      <c r="G6845" s="40" t="n">
        <v>0</v>
      </c>
    </row>
    <row r="6846" ht="12" customHeight="1">
      <c r="A6846" s="30" t="inlineStr">
        <is>
          <t>ITG</t>
        </is>
      </c>
      <c r="B6846" s="30" t="inlineStr">
        <is>
          <t>Itaguai</t>
        </is>
      </c>
      <c r="C6846" s="30" t="n">
        <v>79973661</v>
      </c>
      <c r="D6846" s="30">
        <f>"17771646001490"</f>
        <v/>
      </c>
      <c r="E6846" s="30" t="inlineStr">
        <is>
          <t>QUEBRA VENTO INDUSTRIA E COMERCIO DE ROUPAS LTDA</t>
        </is>
      </c>
      <c r="F6846" s="30" t="inlineStr">
        <is>
          <t>2020</t>
        </is>
      </c>
      <c r="G6846" s="40" t="n">
        <v>0</v>
      </c>
    </row>
    <row r="6847" ht="12" customHeight="1">
      <c r="A6847" s="30" t="inlineStr">
        <is>
          <t>ITG</t>
        </is>
      </c>
      <c r="B6847" s="30" t="inlineStr">
        <is>
          <t>Itaguai</t>
        </is>
      </c>
      <c r="C6847" s="30" t="n">
        <v>79973661</v>
      </c>
      <c r="D6847" s="30">
        <f>"17771646001490"</f>
        <v/>
      </c>
      <c r="E6847" s="30" t="inlineStr">
        <is>
          <t>QUEBRA VENTO INDUSTRIA E COMERCIO DE ROUPAS LTDA</t>
        </is>
      </c>
      <c r="F6847" s="30" t="inlineStr">
        <is>
          <t>2021</t>
        </is>
      </c>
      <c r="G6847" s="40" t="n">
        <v>0</v>
      </c>
    </row>
    <row r="6848" ht="12" customHeight="1">
      <c r="A6848" s="30" t="inlineStr">
        <is>
          <t>ITG</t>
        </is>
      </c>
      <c r="B6848" s="30" t="inlineStr">
        <is>
          <t>Itaguai</t>
        </is>
      </c>
      <c r="C6848" s="30" t="n">
        <v>79980447</v>
      </c>
      <c r="D6848" s="30">
        <f>"09637385000258"</f>
        <v/>
      </c>
      <c r="E6848" s="30" t="inlineStr">
        <is>
          <t>MULTIMARCAS PECAS DIESEL LTDA</t>
        </is>
      </c>
      <c r="F6848" s="30" t="inlineStr">
        <is>
          <t>2017</t>
        </is>
      </c>
      <c r="G6848" s="40" t="n">
        <v>0</v>
      </c>
    </row>
    <row r="6849" ht="12" customHeight="1">
      <c r="A6849" s="30" t="inlineStr">
        <is>
          <t>ITG</t>
        </is>
      </c>
      <c r="B6849" s="30" t="inlineStr">
        <is>
          <t>Itaguai</t>
        </is>
      </c>
      <c r="C6849" s="30" t="n">
        <v>79980447</v>
      </c>
      <c r="D6849" s="30">
        <f>"09637385000258"</f>
        <v/>
      </c>
      <c r="E6849" s="30" t="inlineStr">
        <is>
          <t>MULTIMARCAS PECAS DIESEL LTDA</t>
        </is>
      </c>
      <c r="F6849" s="30" t="inlineStr">
        <is>
          <t>2018</t>
        </is>
      </c>
      <c r="G6849" s="40" t="n">
        <v>0</v>
      </c>
    </row>
    <row r="6850" ht="12" customHeight="1">
      <c r="A6850" s="30" t="inlineStr">
        <is>
          <t>ITG</t>
        </is>
      </c>
      <c r="B6850" s="30" t="inlineStr">
        <is>
          <t>Itaguai</t>
        </is>
      </c>
      <c r="C6850" s="30" t="n">
        <v>79980447</v>
      </c>
      <c r="D6850" s="30">
        <f>"09637385000258"</f>
        <v/>
      </c>
      <c r="E6850" s="30" t="inlineStr">
        <is>
          <t>MULTIMARCAS PECAS DIESEL LTDA</t>
        </is>
      </c>
      <c r="F6850" s="30" t="inlineStr">
        <is>
          <t>2019</t>
        </is>
      </c>
      <c r="G6850" s="40" t="n">
        <v>0</v>
      </c>
    </row>
    <row r="6851" ht="12" customHeight="1">
      <c r="A6851" s="30" t="inlineStr">
        <is>
          <t>ITG</t>
        </is>
      </c>
      <c r="B6851" s="30" t="inlineStr">
        <is>
          <t>Itaguai</t>
        </is>
      </c>
      <c r="C6851" s="30" t="n">
        <v>79985279</v>
      </c>
      <c r="D6851" s="30">
        <f>"35899111000166"</f>
        <v/>
      </c>
      <c r="E6851" s="30" t="inlineStr">
        <is>
          <t>LANCHONETE EXPRESSO ITAGUAI LTDA ME</t>
        </is>
      </c>
      <c r="F6851" s="30" t="inlineStr">
        <is>
          <t>2017</t>
        </is>
      </c>
      <c r="G6851" s="40" t="n">
        <v>0</v>
      </c>
    </row>
    <row r="6852" ht="12" customHeight="1">
      <c r="A6852" s="30" t="inlineStr">
        <is>
          <t>ITG</t>
        </is>
      </c>
      <c r="B6852" s="30" t="inlineStr">
        <is>
          <t>Itaguai</t>
        </is>
      </c>
      <c r="C6852" s="30" t="n">
        <v>79985279</v>
      </c>
      <c r="D6852" s="30">
        <f>"35899111000166"</f>
        <v/>
      </c>
      <c r="E6852" s="30" t="inlineStr">
        <is>
          <t>LANCHONETE EXPRESSO ITAGUAI LTDA ME</t>
        </is>
      </c>
      <c r="F6852" s="30" t="inlineStr">
        <is>
          <t>2018</t>
        </is>
      </c>
      <c r="G6852" s="40" t="n">
        <v>0</v>
      </c>
    </row>
    <row r="6853" ht="12" customHeight="1">
      <c r="A6853" s="30" t="inlineStr">
        <is>
          <t>ITG</t>
        </is>
      </c>
      <c r="B6853" s="30" t="inlineStr">
        <is>
          <t>Itaguai</t>
        </is>
      </c>
      <c r="C6853" s="30" t="n">
        <v>79985279</v>
      </c>
      <c r="D6853" s="30">
        <f>"35899111000166"</f>
        <v/>
      </c>
      <c r="E6853" s="30" t="inlineStr">
        <is>
          <t>LANCHONETE EXPRESSO ITAGUAI LTDA ME</t>
        </is>
      </c>
      <c r="F6853" s="30" t="inlineStr">
        <is>
          <t>2019</t>
        </is>
      </c>
      <c r="G6853" s="40" t="n">
        <v>0</v>
      </c>
    </row>
    <row r="6854" ht="12" customHeight="1">
      <c r="A6854" s="30" t="inlineStr">
        <is>
          <t>ITG</t>
        </is>
      </c>
      <c r="B6854" s="30" t="inlineStr">
        <is>
          <t>Itaguai</t>
        </is>
      </c>
      <c r="C6854" s="30" t="n">
        <v>79985279</v>
      </c>
      <c r="D6854" s="30">
        <f>"35899111000166"</f>
        <v/>
      </c>
      <c r="E6854" s="30" t="inlineStr">
        <is>
          <t>LANCHONETE EXPRESSO ITAGUAI LTDA ME</t>
        </is>
      </c>
      <c r="F6854" s="30" t="inlineStr">
        <is>
          <t>2020</t>
        </is>
      </c>
      <c r="G6854" s="40" t="n">
        <v>0</v>
      </c>
    </row>
    <row r="6855" ht="12" customHeight="1">
      <c r="A6855" s="30" t="inlineStr">
        <is>
          <t>ITG</t>
        </is>
      </c>
      <c r="B6855" s="30" t="inlineStr">
        <is>
          <t>Itaguai</t>
        </is>
      </c>
      <c r="C6855" s="30" t="n">
        <v>79987921</v>
      </c>
      <c r="D6855" s="30">
        <f>"00474075000104"</f>
        <v/>
      </c>
      <c r="E6855" s="30" t="inlineStr">
        <is>
          <t>RHAVIJU FIXAÇÃO SERVIÇOS DE COSTURA E FACÇÃO LTDA</t>
        </is>
      </c>
      <c r="F6855" s="30" t="inlineStr">
        <is>
          <t>2017</t>
        </is>
      </c>
      <c r="G6855" s="40" t="n">
        <v>0</v>
      </c>
    </row>
    <row r="6856" ht="12" customHeight="1">
      <c r="A6856" s="30" t="inlineStr">
        <is>
          <t>ITG</t>
        </is>
      </c>
      <c r="B6856" s="30" t="inlineStr">
        <is>
          <t>Itaguai</t>
        </is>
      </c>
      <c r="C6856" s="30" t="n">
        <v>79987921</v>
      </c>
      <c r="D6856" s="30">
        <f>"00474075000104"</f>
        <v/>
      </c>
      <c r="E6856" s="30" t="inlineStr">
        <is>
          <t>RHAVIJU FIXAÇÃO SERVIÇOS DE COSTURA E FACÇÃO LTDA</t>
        </is>
      </c>
      <c r="F6856" s="30" t="inlineStr">
        <is>
          <t>2018</t>
        </is>
      </c>
      <c r="G6856" s="40" t="n">
        <v>0</v>
      </c>
    </row>
    <row r="6857" ht="12" customHeight="1">
      <c r="A6857" s="30" t="inlineStr">
        <is>
          <t>ITG</t>
        </is>
      </c>
      <c r="B6857" s="30" t="inlineStr">
        <is>
          <t>Itaguai</t>
        </is>
      </c>
      <c r="C6857" s="30" t="n">
        <v>79987921</v>
      </c>
      <c r="D6857" s="30">
        <f>"00474075000104"</f>
        <v/>
      </c>
      <c r="E6857" s="30" t="inlineStr">
        <is>
          <t>RHAVIJU FIXAÇÃO SERVIÇOS DE COSTURA E FACÇÃO LTDA</t>
        </is>
      </c>
      <c r="F6857" s="30" t="inlineStr">
        <is>
          <t>2019</t>
        </is>
      </c>
      <c r="G6857" s="40" t="n">
        <v>0</v>
      </c>
    </row>
    <row r="6858" ht="12" customHeight="1">
      <c r="A6858" s="30" t="inlineStr">
        <is>
          <t>ITG</t>
        </is>
      </c>
      <c r="B6858" s="30" t="inlineStr">
        <is>
          <t>Itaguai</t>
        </is>
      </c>
      <c r="C6858" s="30" t="n">
        <v>79987921</v>
      </c>
      <c r="D6858" s="30">
        <f>"00474075000104"</f>
        <v/>
      </c>
      <c r="E6858" s="30" t="inlineStr">
        <is>
          <t>RHAVIJU FIXAÇÃO SERVIÇOS DE COSTURA E FACÇÃO LTDA</t>
        </is>
      </c>
      <c r="F6858" s="30" t="inlineStr">
        <is>
          <t>2020</t>
        </is>
      </c>
      <c r="G6858" s="40" t="n">
        <v>0</v>
      </c>
    </row>
    <row r="6859" ht="12" customHeight="1">
      <c r="A6859" s="30" t="inlineStr">
        <is>
          <t>ITG</t>
        </is>
      </c>
      <c r="B6859" s="30" t="inlineStr">
        <is>
          <t>Itaguai</t>
        </is>
      </c>
      <c r="C6859" s="30" t="n">
        <v>79990159</v>
      </c>
      <c r="D6859" s="30">
        <f>"18465808000100"</f>
        <v/>
      </c>
      <c r="E6859" s="30" t="inlineStr">
        <is>
          <t>OLIVEIRAS SSDR MATERIAL DE CONSTRUCAO LTDA - ME</t>
        </is>
      </c>
      <c r="F6859" s="30" t="inlineStr">
        <is>
          <t>2017</t>
        </is>
      </c>
      <c r="G6859" s="40" t="n">
        <v>0</v>
      </c>
    </row>
    <row r="6860" ht="12" customHeight="1">
      <c r="A6860" s="30" t="inlineStr">
        <is>
          <t>ITG</t>
        </is>
      </c>
      <c r="B6860" s="30" t="inlineStr">
        <is>
          <t>Itaguai</t>
        </is>
      </c>
      <c r="C6860" s="30" t="n">
        <v>79990159</v>
      </c>
      <c r="D6860" s="30">
        <f>"18465808000100"</f>
        <v/>
      </c>
      <c r="E6860" s="30" t="inlineStr">
        <is>
          <t>OLIVEIRAS SSDR MATERIAL DE CONSTRUCAO LTDA - ME</t>
        </is>
      </c>
      <c r="F6860" s="30" t="inlineStr">
        <is>
          <t>2018</t>
        </is>
      </c>
      <c r="G6860" s="40" t="n">
        <v>0</v>
      </c>
    </row>
    <row r="6861" ht="12" customHeight="1">
      <c r="A6861" s="30" t="inlineStr">
        <is>
          <t>ITG</t>
        </is>
      </c>
      <c r="B6861" s="30" t="inlineStr">
        <is>
          <t>Itaguai</t>
        </is>
      </c>
      <c r="C6861" s="30" t="n">
        <v>79990159</v>
      </c>
      <c r="D6861" s="30">
        <f>"18465808000100"</f>
        <v/>
      </c>
      <c r="E6861" s="30" t="inlineStr">
        <is>
          <t>OLIVEIRAS SSDR MATERIAL DE CONSTRUCAO LTDA - ME</t>
        </is>
      </c>
      <c r="F6861" s="30" t="inlineStr">
        <is>
          <t>2019</t>
        </is>
      </c>
      <c r="G6861" s="40" t="n">
        <v>0</v>
      </c>
    </row>
    <row r="6862" ht="12" customHeight="1">
      <c r="A6862" s="30" t="inlineStr">
        <is>
          <t>ITG</t>
        </is>
      </c>
      <c r="B6862" s="30" t="inlineStr">
        <is>
          <t>Itaguai</t>
        </is>
      </c>
      <c r="C6862" s="30" t="n">
        <v>79990159</v>
      </c>
      <c r="D6862" s="30">
        <f>"18465808000100"</f>
        <v/>
      </c>
      <c r="E6862" s="30" t="inlineStr">
        <is>
          <t>OLIVEIRAS SSDR MATERIAL DE CONSTRUCAO LTDA - ME</t>
        </is>
      </c>
      <c r="F6862" s="30" t="inlineStr">
        <is>
          <t>2020</t>
        </is>
      </c>
      <c r="G6862" s="40" t="n">
        <v>0</v>
      </c>
    </row>
    <row r="6863" ht="12" customHeight="1">
      <c r="A6863" s="30" t="inlineStr">
        <is>
          <t>ITG</t>
        </is>
      </c>
      <c r="B6863" s="30" t="inlineStr">
        <is>
          <t>Itaguai</t>
        </is>
      </c>
      <c r="C6863" s="30" t="n">
        <v>79990159</v>
      </c>
      <c r="D6863" s="30">
        <f>"18465808000100"</f>
        <v/>
      </c>
      <c r="E6863" s="30" t="inlineStr">
        <is>
          <t>OLIVEIRAS SSDR MATERIAL DE CONSTRUCAO LTDA - ME</t>
        </is>
      </c>
      <c r="F6863" s="30" t="inlineStr">
        <is>
          <t>2021</t>
        </is>
      </c>
      <c r="G6863" s="40" t="n">
        <v>0</v>
      </c>
    </row>
    <row r="6864" ht="12" customHeight="1">
      <c r="A6864" s="30" t="inlineStr">
        <is>
          <t>ITG</t>
        </is>
      </c>
      <c r="B6864" s="30" t="inlineStr">
        <is>
          <t>Itaguai</t>
        </is>
      </c>
      <c r="C6864" s="30" t="n">
        <v>79994650</v>
      </c>
      <c r="D6864" s="30">
        <f>"51718724000459"</f>
        <v/>
      </c>
      <c r="E6864" s="30" t="inlineStr">
        <is>
          <t>GUINDASTEC GUINDASTES E SERVICOS TECNICOS LTDA</t>
        </is>
      </c>
      <c r="F6864" s="30" t="inlineStr">
        <is>
          <t>2017</t>
        </is>
      </c>
      <c r="G6864" s="40" t="n">
        <v>0</v>
      </c>
    </row>
    <row r="6865" ht="12" customHeight="1">
      <c r="A6865" s="30" t="inlineStr">
        <is>
          <t>ITG</t>
        </is>
      </c>
      <c r="B6865" s="30" t="inlineStr">
        <is>
          <t>Itaguai</t>
        </is>
      </c>
      <c r="C6865" s="30" t="n">
        <v>79994650</v>
      </c>
      <c r="D6865" s="30">
        <f>"51718724000459"</f>
        <v/>
      </c>
      <c r="E6865" s="30" t="inlineStr">
        <is>
          <t>GUINDASTEC GUINDASTES E SERVICOS TECNICOS LTDA</t>
        </is>
      </c>
      <c r="F6865" s="30" t="inlineStr">
        <is>
          <t>2018</t>
        </is>
      </c>
      <c r="G6865" s="40" t="n">
        <v>0</v>
      </c>
    </row>
    <row r="6866" ht="12" customHeight="1">
      <c r="A6866" s="30" t="inlineStr">
        <is>
          <t>ITG</t>
        </is>
      </c>
      <c r="B6866" s="30" t="inlineStr">
        <is>
          <t>Itaguai</t>
        </is>
      </c>
      <c r="C6866" s="30" t="n">
        <v>79994650</v>
      </c>
      <c r="D6866" s="30">
        <f>"51718724000459"</f>
        <v/>
      </c>
      <c r="E6866" s="30" t="inlineStr">
        <is>
          <t>GUINDASTEC GUINDASTES E SERVICOS TECNICOS LTDA</t>
        </is>
      </c>
      <c r="F6866" s="30" t="inlineStr">
        <is>
          <t>2019</t>
        </is>
      </c>
      <c r="G6866" s="40" t="n">
        <v>0</v>
      </c>
    </row>
    <row r="6867" ht="12" customHeight="1">
      <c r="A6867" s="30" t="inlineStr">
        <is>
          <t>ITG</t>
        </is>
      </c>
      <c r="B6867" s="30" t="inlineStr">
        <is>
          <t>Itaguai</t>
        </is>
      </c>
      <c r="C6867" s="30" t="n">
        <v>79994650</v>
      </c>
      <c r="D6867" s="30">
        <f>"51718724000459"</f>
        <v/>
      </c>
      <c r="E6867" s="30" t="inlineStr">
        <is>
          <t>GUINDASTEC GUINDASTES E SERVICOS TECNICOS LTDA</t>
        </is>
      </c>
      <c r="F6867" s="30" t="inlineStr">
        <is>
          <t>2020</t>
        </is>
      </c>
      <c r="G6867" s="40" t="n">
        <v>0</v>
      </c>
    </row>
    <row r="6868" ht="12" customHeight="1">
      <c r="A6868" s="30" t="inlineStr">
        <is>
          <t>ITG</t>
        </is>
      </c>
      <c r="B6868" s="30" t="inlineStr">
        <is>
          <t>Itaguai</t>
        </is>
      </c>
      <c r="C6868" s="30" t="n">
        <v>79999989</v>
      </c>
      <c r="D6868" s="30">
        <f>"05296590001480"</f>
        <v/>
      </c>
      <c r="E6868" s="30" t="inlineStr">
        <is>
          <t>UNILOG UNIVERSO LOGISTICA LTDA</t>
        </is>
      </c>
      <c r="F6868" s="30" t="inlineStr">
        <is>
          <t>2017</t>
        </is>
      </c>
      <c r="G6868" s="40" t="n">
        <v>0</v>
      </c>
    </row>
    <row r="6869" ht="12" customHeight="1">
      <c r="A6869" s="30" t="inlineStr">
        <is>
          <t>ITG</t>
        </is>
      </c>
      <c r="B6869" s="30" t="inlineStr">
        <is>
          <t>Itaguai</t>
        </is>
      </c>
      <c r="C6869" s="30" t="n">
        <v>79999989</v>
      </c>
      <c r="D6869" s="30">
        <f>"05296590001480"</f>
        <v/>
      </c>
      <c r="E6869" s="30" t="inlineStr">
        <is>
          <t>UNILOG UNIVERSO LOGISTICA LTDA</t>
        </is>
      </c>
      <c r="F6869" s="30" t="inlineStr">
        <is>
          <t>2018</t>
        </is>
      </c>
      <c r="G6869" s="40" t="n">
        <v>0</v>
      </c>
    </row>
    <row r="6870" ht="12" customHeight="1">
      <c r="A6870" s="30" t="inlineStr">
        <is>
          <t>ITG</t>
        </is>
      </c>
      <c r="B6870" s="30" t="inlineStr">
        <is>
          <t>Itaguai</t>
        </is>
      </c>
      <c r="C6870" s="30" t="n">
        <v>79999989</v>
      </c>
      <c r="D6870" s="30">
        <f>"05296590001480"</f>
        <v/>
      </c>
      <c r="E6870" s="30" t="inlineStr">
        <is>
          <t>UNILOG UNIVERSO LOGISTICA LTDA</t>
        </is>
      </c>
      <c r="F6870" s="30" t="inlineStr">
        <is>
          <t>2019</t>
        </is>
      </c>
      <c r="G6870" s="40" t="n">
        <v>24.23</v>
      </c>
    </row>
    <row r="6871" ht="12" customHeight="1">
      <c r="A6871" s="30" t="inlineStr">
        <is>
          <t>ITG</t>
        </is>
      </c>
      <c r="B6871" s="30" t="inlineStr">
        <is>
          <t>Itaguai</t>
        </is>
      </c>
      <c r="C6871" s="30" t="n">
        <v>79999989</v>
      </c>
      <c r="D6871" s="30">
        <f>"05296590001480"</f>
        <v/>
      </c>
      <c r="E6871" s="30" t="inlineStr">
        <is>
          <t>UNILOG UNIVERSO LOGISTICA LTDA</t>
        </is>
      </c>
      <c r="F6871" s="30" t="inlineStr">
        <is>
          <t>2020</t>
        </is>
      </c>
      <c r="G6871" s="40" t="n">
        <v>129.4</v>
      </c>
    </row>
    <row r="6872" ht="12" customHeight="1">
      <c r="A6872" s="30" t="inlineStr">
        <is>
          <t>ITG</t>
        </is>
      </c>
      <c r="B6872" s="30" t="inlineStr">
        <is>
          <t>Itaguai</t>
        </is>
      </c>
      <c r="C6872" s="30" t="n">
        <v>79999989</v>
      </c>
      <c r="D6872" s="30">
        <f>"05296590001480"</f>
        <v/>
      </c>
      <c r="E6872" s="30" t="inlineStr">
        <is>
          <t>UNILOG UNIVERSO LOGISTICA LTDA</t>
        </is>
      </c>
      <c r="F6872" s="30" t="inlineStr">
        <is>
          <t>2021</t>
        </is>
      </c>
      <c r="G6872" s="40" t="n">
        <v>0</v>
      </c>
    </row>
    <row r="6873" ht="12" customHeight="1">
      <c r="A6873" s="30" t="inlineStr">
        <is>
          <t>ITG</t>
        </is>
      </c>
      <c r="B6873" s="30" t="inlineStr">
        <is>
          <t>Itaguai</t>
        </is>
      </c>
      <c r="C6873" s="30" t="n">
        <v>79999989</v>
      </c>
      <c r="D6873" s="30">
        <f>"05296590001480"</f>
        <v/>
      </c>
      <c r="E6873" s="30" t="inlineStr">
        <is>
          <t>UNILOG UNIVERSO LOGISTICA LTDA</t>
        </is>
      </c>
      <c r="F6873" s="30" t="inlineStr">
        <is>
          <t>2022</t>
        </is>
      </c>
      <c r="G6873" s="40" t="n">
        <v>0</v>
      </c>
    </row>
    <row r="6874" ht="12" customHeight="1">
      <c r="A6874" s="30" t="inlineStr">
        <is>
          <t>ITG</t>
        </is>
      </c>
      <c r="B6874" s="30" t="inlineStr">
        <is>
          <t>Itaguai</t>
        </is>
      </c>
      <c r="C6874" s="30" t="n">
        <v>80048068</v>
      </c>
      <c r="D6874" s="30">
        <f>"30069314000101"</f>
        <v/>
      </c>
      <c r="E6874" s="30" t="inlineStr">
        <is>
          <t>AUTO VIACAO 1001 LTDA</t>
        </is>
      </c>
      <c r="F6874" s="30" t="inlineStr">
        <is>
          <t>2017</t>
        </is>
      </c>
      <c r="G6874" s="40" t="n">
        <v>0</v>
      </c>
    </row>
    <row r="6875" ht="12" customHeight="1">
      <c r="A6875" s="30" t="inlineStr">
        <is>
          <t>ITG</t>
        </is>
      </c>
      <c r="B6875" s="30" t="inlineStr">
        <is>
          <t>Itaguai</t>
        </is>
      </c>
      <c r="C6875" s="30" t="n">
        <v>80048068</v>
      </c>
      <c r="D6875" s="30">
        <f>"30069314000101"</f>
        <v/>
      </c>
      <c r="E6875" s="30" t="inlineStr">
        <is>
          <t>AUTO VIACAO 1001 LTDA</t>
        </is>
      </c>
      <c r="F6875" s="30" t="inlineStr">
        <is>
          <t>2018</t>
        </is>
      </c>
      <c r="G6875" s="40" t="n">
        <v>0</v>
      </c>
    </row>
    <row r="6876" ht="12" customHeight="1">
      <c r="A6876" s="30" t="inlineStr">
        <is>
          <t>ITG</t>
        </is>
      </c>
      <c r="B6876" s="30" t="inlineStr">
        <is>
          <t>Itaguai</t>
        </is>
      </c>
      <c r="C6876" s="30" t="n">
        <v>80048068</v>
      </c>
      <c r="D6876" s="30">
        <f>"30069314000101"</f>
        <v/>
      </c>
      <c r="E6876" s="30" t="inlineStr">
        <is>
          <t>AUTO VIACAO 1001 LTDA</t>
        </is>
      </c>
      <c r="F6876" s="30" t="inlineStr">
        <is>
          <t>2019</t>
        </is>
      </c>
      <c r="G6876" s="40" t="n">
        <v>5450</v>
      </c>
    </row>
    <row r="6877" ht="12" customHeight="1">
      <c r="A6877" s="30" t="inlineStr">
        <is>
          <t>ITG</t>
        </is>
      </c>
      <c r="B6877" s="30" t="inlineStr">
        <is>
          <t>Itaguai</t>
        </is>
      </c>
      <c r="C6877" s="30" t="n">
        <v>80048068</v>
      </c>
      <c r="D6877" s="30">
        <f>"30069314000101"</f>
        <v/>
      </c>
      <c r="E6877" s="30" t="inlineStr">
        <is>
          <t>AUTO VIACAO 1001 LTDA</t>
        </is>
      </c>
      <c r="F6877" s="30" t="inlineStr">
        <is>
          <t>2020</t>
        </is>
      </c>
      <c r="G6877" s="40" t="n">
        <v>0</v>
      </c>
    </row>
    <row r="6878" ht="12" customHeight="1">
      <c r="A6878" s="30" t="inlineStr">
        <is>
          <t>ITG</t>
        </is>
      </c>
      <c r="B6878" s="30" t="inlineStr">
        <is>
          <t>Itaguai</t>
        </is>
      </c>
      <c r="C6878" s="30" t="n">
        <v>80048068</v>
      </c>
      <c r="D6878" s="30">
        <f>"30069314000101"</f>
        <v/>
      </c>
      <c r="E6878" s="30" t="inlineStr">
        <is>
          <t>AUTO VIACAO 1001 LTDA</t>
        </is>
      </c>
      <c r="F6878" s="30" t="inlineStr">
        <is>
          <t>2021</t>
        </is>
      </c>
      <c r="G6878" s="40" t="n">
        <v>0</v>
      </c>
    </row>
    <row r="6879" ht="12" customHeight="1">
      <c r="A6879" s="30" t="inlineStr">
        <is>
          <t>ITG</t>
        </is>
      </c>
      <c r="B6879" s="30" t="inlineStr">
        <is>
          <t>Itaguai</t>
        </is>
      </c>
      <c r="C6879" s="30" t="n">
        <v>80048068</v>
      </c>
      <c r="D6879" s="30">
        <f>"30069314000101"</f>
        <v/>
      </c>
      <c r="E6879" s="30" t="inlineStr">
        <is>
          <t>AUTO VIACAO 1001 LTDA</t>
        </is>
      </c>
      <c r="F6879" s="30" t="inlineStr">
        <is>
          <t>2022</t>
        </is>
      </c>
      <c r="G6879" s="40" t="n">
        <v>13200</v>
      </c>
    </row>
    <row r="6880" ht="12" customHeight="1">
      <c r="A6880" s="30" t="inlineStr">
        <is>
          <t>ITG</t>
        </is>
      </c>
      <c r="B6880" s="30" t="inlineStr">
        <is>
          <t>Itaguai</t>
        </is>
      </c>
      <c r="C6880" s="30" t="n">
        <v>80048068</v>
      </c>
      <c r="D6880" s="30">
        <f>"30069314000101"</f>
        <v/>
      </c>
      <c r="E6880" s="30" t="inlineStr">
        <is>
          <t>AUTO VIACAO 1001 LTDA</t>
        </is>
      </c>
      <c r="F6880" s="30" t="inlineStr">
        <is>
          <t>2023</t>
        </is>
      </c>
      <c r="G6880" s="40" t="n">
        <v>2240</v>
      </c>
    </row>
    <row r="6881" ht="12" customHeight="1">
      <c r="A6881" s="30" t="inlineStr">
        <is>
          <t>ITG</t>
        </is>
      </c>
      <c r="B6881" s="30" t="inlineStr">
        <is>
          <t>Itaguai</t>
        </is>
      </c>
      <c r="C6881" s="30" t="n">
        <v>80150636</v>
      </c>
      <c r="D6881" s="30">
        <f>"29853942000102"</f>
        <v/>
      </c>
      <c r="E6881" s="30" t="inlineStr">
        <is>
          <t>RIO ITA LTDA</t>
        </is>
      </c>
      <c r="F6881" s="30" t="inlineStr">
        <is>
          <t>2017</t>
        </is>
      </c>
      <c r="G6881" s="40" t="n">
        <v>5295</v>
      </c>
    </row>
    <row r="6882" ht="12" customHeight="1">
      <c r="A6882" s="30" t="inlineStr">
        <is>
          <t>ITG</t>
        </is>
      </c>
      <c r="B6882" s="30" t="inlineStr">
        <is>
          <t>Itaguai</t>
        </is>
      </c>
      <c r="C6882" s="30" t="n">
        <v>80150636</v>
      </c>
      <c r="D6882" s="30">
        <f>"29853942000102"</f>
        <v/>
      </c>
      <c r="E6882" s="30" t="inlineStr">
        <is>
          <t>RIO ITA LTDA</t>
        </is>
      </c>
      <c r="F6882" s="30" t="inlineStr">
        <is>
          <t>2018</t>
        </is>
      </c>
      <c r="G6882" s="40" t="n">
        <v>0</v>
      </c>
    </row>
    <row r="6883" ht="12" customHeight="1">
      <c r="A6883" s="30" t="inlineStr">
        <is>
          <t>ITG</t>
        </is>
      </c>
      <c r="B6883" s="30" t="inlineStr">
        <is>
          <t>Itaguai</t>
        </is>
      </c>
      <c r="C6883" s="30" t="n">
        <v>80150636</v>
      </c>
      <c r="D6883" s="30">
        <f>"29853942000102"</f>
        <v/>
      </c>
      <c r="E6883" s="30" t="inlineStr">
        <is>
          <t>RIO ITA LTDA</t>
        </is>
      </c>
      <c r="F6883" s="30" t="inlineStr">
        <is>
          <t>2019</t>
        </is>
      </c>
      <c r="G6883" s="40" t="n">
        <v>1260</v>
      </c>
    </row>
    <row r="6884" ht="12" customHeight="1">
      <c r="A6884" s="30" t="inlineStr">
        <is>
          <t>ITG</t>
        </is>
      </c>
      <c r="B6884" s="30" t="inlineStr">
        <is>
          <t>Itaguai</t>
        </is>
      </c>
      <c r="C6884" s="30" t="n">
        <v>80150636</v>
      </c>
      <c r="D6884" s="30">
        <f>"29853942000102"</f>
        <v/>
      </c>
      <c r="E6884" s="30" t="inlineStr">
        <is>
          <t>RIO ITA LTDA</t>
        </is>
      </c>
      <c r="F6884" s="30" t="inlineStr">
        <is>
          <t>2020</t>
        </is>
      </c>
      <c r="G6884" s="40" t="n">
        <v>0</v>
      </c>
    </row>
    <row r="6885" ht="12" customHeight="1">
      <c r="A6885" s="30" t="inlineStr">
        <is>
          <t>ITG</t>
        </is>
      </c>
      <c r="B6885" s="30" t="inlineStr">
        <is>
          <t>Itaguai</t>
        </is>
      </c>
      <c r="C6885" s="30" t="n">
        <v>80150636</v>
      </c>
      <c r="D6885" s="30">
        <f>"29853942000102"</f>
        <v/>
      </c>
      <c r="E6885" s="30" t="inlineStr">
        <is>
          <t>RIO ITA LTDA</t>
        </is>
      </c>
      <c r="F6885" s="30" t="inlineStr">
        <is>
          <t>2021</t>
        </is>
      </c>
      <c r="G6885" s="40" t="n">
        <v>3490</v>
      </c>
    </row>
    <row r="6886" ht="12" customHeight="1">
      <c r="A6886" s="30" t="inlineStr">
        <is>
          <t>ITG</t>
        </is>
      </c>
      <c r="B6886" s="30" t="inlineStr">
        <is>
          <t>Itaguai</t>
        </is>
      </c>
      <c r="C6886" s="30" t="n">
        <v>80150636</v>
      </c>
      <c r="D6886" s="30">
        <f>"29853942000102"</f>
        <v/>
      </c>
      <c r="E6886" s="30" t="inlineStr">
        <is>
          <t>RIO ITA LTDA</t>
        </is>
      </c>
      <c r="F6886" s="30" t="inlineStr">
        <is>
          <t>2022</t>
        </is>
      </c>
      <c r="G6886" s="40" t="n">
        <v>6650</v>
      </c>
    </row>
    <row r="6887" ht="12" customHeight="1">
      <c r="A6887" s="30" t="inlineStr">
        <is>
          <t>ITG</t>
        </is>
      </c>
      <c r="B6887" s="30" t="inlineStr">
        <is>
          <t>Itaguai</t>
        </is>
      </c>
      <c r="C6887" s="30" t="n">
        <v>80150636</v>
      </c>
      <c r="D6887" s="30">
        <f>"29853942000102"</f>
        <v/>
      </c>
      <c r="E6887" s="30" t="inlineStr">
        <is>
          <t>RIO ITA LTDA</t>
        </is>
      </c>
      <c r="F6887" s="30" t="inlineStr">
        <is>
          <t>2023</t>
        </is>
      </c>
      <c r="G6887" s="40" t="n">
        <v>2880</v>
      </c>
    </row>
    <row r="6888" ht="12" customHeight="1">
      <c r="A6888" s="30" t="inlineStr">
        <is>
          <t>ITG</t>
        </is>
      </c>
      <c r="B6888" s="30" t="inlineStr">
        <is>
          <t>Itaguai</t>
        </is>
      </c>
      <c r="C6888" s="30" t="n">
        <v>80219431</v>
      </c>
      <c r="D6888" s="30">
        <f>"29336278000116"</f>
        <v/>
      </c>
      <c r="E6888" s="30" t="inlineStr">
        <is>
          <t>AUTO VIACAO REGINAS LTDA</t>
        </is>
      </c>
      <c r="F6888" s="30" t="inlineStr">
        <is>
          <t>2017</t>
        </is>
      </c>
      <c r="G6888" s="40" t="n">
        <v>0</v>
      </c>
    </row>
    <row r="6889" ht="12" customHeight="1">
      <c r="A6889" s="30" t="inlineStr">
        <is>
          <t>ITG</t>
        </is>
      </c>
      <c r="B6889" s="30" t="inlineStr">
        <is>
          <t>Itaguai</t>
        </is>
      </c>
      <c r="C6889" s="30" t="n">
        <v>80219431</v>
      </c>
      <c r="D6889" s="30">
        <f>"29336278000116"</f>
        <v/>
      </c>
      <c r="E6889" s="30" t="inlineStr">
        <is>
          <t>AUTO VIACAO REGINAS LTDA</t>
        </is>
      </c>
      <c r="F6889" s="30" t="inlineStr">
        <is>
          <t>2018</t>
        </is>
      </c>
      <c r="G6889" s="40" t="n">
        <v>2532349.69</v>
      </c>
    </row>
    <row r="6890" ht="12" customHeight="1">
      <c r="A6890" s="30" t="inlineStr">
        <is>
          <t>ITG</t>
        </is>
      </c>
      <c r="B6890" s="30" t="inlineStr">
        <is>
          <t>Itaguai</t>
        </is>
      </c>
      <c r="C6890" s="30" t="n">
        <v>80219431</v>
      </c>
      <c r="D6890" s="30">
        <f>"29336278000116"</f>
        <v/>
      </c>
      <c r="E6890" s="30" t="inlineStr">
        <is>
          <t>AUTO VIACAO REGINAS LTDA</t>
        </is>
      </c>
      <c r="F6890" s="30" t="inlineStr">
        <is>
          <t>2019</t>
        </is>
      </c>
      <c r="G6890" s="40" t="n">
        <v>3497201.49</v>
      </c>
    </row>
    <row r="6891" ht="12" customHeight="1">
      <c r="A6891" s="30" t="inlineStr">
        <is>
          <t>ITG</t>
        </is>
      </c>
      <c r="B6891" s="30" t="inlineStr">
        <is>
          <t>Itaguai</t>
        </is>
      </c>
      <c r="C6891" s="30" t="n">
        <v>80219431</v>
      </c>
      <c r="D6891" s="30">
        <f>"29336278000116"</f>
        <v/>
      </c>
      <c r="E6891" s="30" t="inlineStr">
        <is>
          <t>AUTO VIACAO REGINAS LTDA</t>
        </is>
      </c>
      <c r="F6891" s="30" t="inlineStr">
        <is>
          <t>2020</t>
        </is>
      </c>
      <c r="G6891" s="40" t="n">
        <v>3798376.9</v>
      </c>
    </row>
    <row r="6892" ht="12" customHeight="1">
      <c r="A6892" s="30" t="inlineStr">
        <is>
          <t>ITG</t>
        </is>
      </c>
      <c r="B6892" s="30" t="inlineStr">
        <is>
          <t>Itaguai</t>
        </is>
      </c>
      <c r="C6892" s="30" t="n">
        <v>80219431</v>
      </c>
      <c r="D6892" s="30">
        <f>"29336278000116"</f>
        <v/>
      </c>
      <c r="E6892" s="30" t="inlineStr">
        <is>
          <t>AUTO VIACAO REGINAS LTDA</t>
        </is>
      </c>
      <c r="F6892" s="30" t="inlineStr">
        <is>
          <t>2021</t>
        </is>
      </c>
      <c r="G6892" s="40" t="n">
        <v>6975937.31</v>
      </c>
    </row>
    <row r="6893" ht="12" customHeight="1">
      <c r="A6893" s="30" t="inlineStr">
        <is>
          <t>ITG</t>
        </is>
      </c>
      <c r="B6893" s="30" t="inlineStr">
        <is>
          <t>Itaguai</t>
        </is>
      </c>
      <c r="C6893" s="30" t="n">
        <v>80219431</v>
      </c>
      <c r="D6893" s="30">
        <f>"29336278000116"</f>
        <v/>
      </c>
      <c r="E6893" s="30" t="inlineStr">
        <is>
          <t>AUTO VIACAO REGINAS LTDA</t>
        </is>
      </c>
      <c r="F6893" s="30" t="inlineStr">
        <is>
          <t>2022</t>
        </is>
      </c>
      <c r="G6893" s="40" t="n">
        <v>8782701.77</v>
      </c>
    </row>
    <row r="6894" ht="12" customHeight="1">
      <c r="A6894" s="30" t="inlineStr">
        <is>
          <t>ITG</t>
        </is>
      </c>
      <c r="B6894" s="30" t="inlineStr">
        <is>
          <t>Itaguai</t>
        </is>
      </c>
      <c r="C6894" s="30" t="n">
        <v>80219431</v>
      </c>
      <c r="D6894" s="30">
        <f>"29336278000116"</f>
        <v/>
      </c>
      <c r="E6894" s="30" t="inlineStr">
        <is>
          <t>AUTO VIACAO REGINAS LTDA</t>
        </is>
      </c>
      <c r="F6894" s="30" t="inlineStr">
        <is>
          <t>2023</t>
        </is>
      </c>
      <c r="G6894" s="40" t="n">
        <v>9071563.699999999</v>
      </c>
    </row>
    <row r="6895" ht="12" customHeight="1">
      <c r="A6895" s="30" t="inlineStr">
        <is>
          <t>ITG</t>
        </is>
      </c>
      <c r="B6895" s="30" t="inlineStr">
        <is>
          <t>Itaguai</t>
        </is>
      </c>
      <c r="C6895" s="30" t="n">
        <v>80284446</v>
      </c>
      <c r="D6895" s="30">
        <f>"31918535000170"</f>
        <v/>
      </c>
      <c r="E6895" s="30" t="inlineStr">
        <is>
          <t>TRANSTURISMO TRANSPORTADORA ORIENTAL LTDA</t>
        </is>
      </c>
      <c r="F6895" s="30" t="inlineStr">
        <is>
          <t>2017</t>
        </is>
      </c>
      <c r="G6895" s="40" t="n">
        <v>3187973.26</v>
      </c>
    </row>
    <row r="6896" ht="12" customHeight="1">
      <c r="A6896" s="30" t="inlineStr">
        <is>
          <t>ITG</t>
        </is>
      </c>
      <c r="B6896" s="30" t="inlineStr">
        <is>
          <t>Itaguai</t>
        </is>
      </c>
      <c r="C6896" s="30" t="n">
        <v>80284446</v>
      </c>
      <c r="D6896" s="30">
        <f>"31918535000170"</f>
        <v/>
      </c>
      <c r="E6896" s="30" t="inlineStr">
        <is>
          <t>TRANSTURISMO TRANSPORTADORA ORIENTAL LTDA</t>
        </is>
      </c>
      <c r="F6896" s="30" t="inlineStr">
        <is>
          <t>2018</t>
        </is>
      </c>
      <c r="G6896" s="40" t="n">
        <v>3466507.18</v>
      </c>
    </row>
    <row r="6897" ht="12" customHeight="1">
      <c r="A6897" s="30" t="inlineStr">
        <is>
          <t>ITG</t>
        </is>
      </c>
      <c r="B6897" s="30" t="inlineStr">
        <is>
          <t>Itaguai</t>
        </is>
      </c>
      <c r="C6897" s="30" t="n">
        <v>80284446</v>
      </c>
      <c r="D6897" s="30">
        <f>"31918535000170"</f>
        <v/>
      </c>
      <c r="E6897" s="30" t="inlineStr">
        <is>
          <t>TRANSTURISMO TRANSPORTADORA ORIENTAL LTDA</t>
        </is>
      </c>
      <c r="F6897" s="30" t="inlineStr">
        <is>
          <t>2019</t>
        </is>
      </c>
      <c r="G6897" s="40" t="n">
        <v>0</v>
      </c>
    </row>
    <row r="6898" ht="12" customHeight="1">
      <c r="A6898" s="30" t="inlineStr">
        <is>
          <t>ITG</t>
        </is>
      </c>
      <c r="B6898" s="30" t="inlineStr">
        <is>
          <t>Itaguai</t>
        </is>
      </c>
      <c r="C6898" s="30" t="n">
        <v>80284446</v>
      </c>
      <c r="D6898" s="30">
        <f>"31918535000170"</f>
        <v/>
      </c>
      <c r="E6898" s="30" t="inlineStr">
        <is>
          <t>TRANSTURISMO TRANSPORTADORA ORIENTAL LTDA</t>
        </is>
      </c>
      <c r="F6898" s="30" t="inlineStr">
        <is>
          <t>2020</t>
        </is>
      </c>
      <c r="G6898" s="40" t="n">
        <v>0</v>
      </c>
    </row>
    <row r="6899" ht="12" customHeight="1">
      <c r="A6899" s="30" t="inlineStr">
        <is>
          <t>ITG</t>
        </is>
      </c>
      <c r="B6899" s="30" t="inlineStr">
        <is>
          <t>Itaguai</t>
        </is>
      </c>
      <c r="C6899" s="30" t="n">
        <v>80394012</v>
      </c>
      <c r="D6899" s="30">
        <f>"29663762000150"</f>
        <v/>
      </c>
      <c r="E6899" s="30" t="inlineStr">
        <is>
          <t>LANCHONETE E RESTAURANTE COSTA VERDE LTDA</t>
        </is>
      </c>
      <c r="F6899" s="30" t="inlineStr">
        <is>
          <t>2019</t>
        </is>
      </c>
      <c r="G6899" s="40" t="n">
        <v>0</v>
      </c>
    </row>
    <row r="6900" ht="12" customHeight="1">
      <c r="A6900" s="30" t="inlineStr">
        <is>
          <t>ITG</t>
        </is>
      </c>
      <c r="B6900" s="30" t="inlineStr">
        <is>
          <t>Itaguai</t>
        </is>
      </c>
      <c r="C6900" s="30" t="n">
        <v>80394012</v>
      </c>
      <c r="D6900" s="30">
        <f>"29663762000150"</f>
        <v/>
      </c>
      <c r="E6900" s="30" t="inlineStr">
        <is>
          <t>LANCHONETE E RESTAURANTE COSTA VERDE LTDA</t>
        </is>
      </c>
      <c r="F6900" s="30" t="inlineStr">
        <is>
          <t>2020</t>
        </is>
      </c>
      <c r="G6900" s="40" t="n">
        <v>0</v>
      </c>
    </row>
    <row r="6901" ht="12" customHeight="1">
      <c r="A6901" s="30" t="inlineStr">
        <is>
          <t>ITG</t>
        </is>
      </c>
      <c r="B6901" s="30" t="inlineStr">
        <is>
          <t>Itaguai</t>
        </is>
      </c>
      <c r="C6901" s="30" t="n">
        <v>80394012</v>
      </c>
      <c r="D6901" s="30">
        <f>"29663762000150"</f>
        <v/>
      </c>
      <c r="E6901" s="30" t="inlineStr">
        <is>
          <t>LANCHONETE E RESTAURANTE COSTA VERDE LTDA</t>
        </is>
      </c>
      <c r="F6901" s="30" t="inlineStr">
        <is>
          <t>2021</t>
        </is>
      </c>
      <c r="G6901" s="40" t="n">
        <v>1961478.63</v>
      </c>
    </row>
    <row r="6902" ht="12" customHeight="1">
      <c r="A6902" s="30" t="inlineStr">
        <is>
          <t>ITG</t>
        </is>
      </c>
      <c r="B6902" s="30" t="inlineStr">
        <is>
          <t>Itaguai</t>
        </is>
      </c>
      <c r="C6902" s="30" t="n">
        <v>80394012</v>
      </c>
      <c r="D6902" s="30">
        <f>"29663762000150"</f>
        <v/>
      </c>
      <c r="E6902" s="30" t="inlineStr">
        <is>
          <t>LANCHONETE E RESTAURANTE COSTA VERDE LTDA</t>
        </is>
      </c>
      <c r="F6902" s="30" t="inlineStr">
        <is>
          <t>2022</t>
        </is>
      </c>
      <c r="G6902" s="40" t="n">
        <v>816078.47</v>
      </c>
    </row>
    <row r="6903" ht="12" customHeight="1">
      <c r="A6903" s="30" t="inlineStr">
        <is>
          <t>ITG</t>
        </is>
      </c>
      <c r="B6903" s="30" t="inlineStr">
        <is>
          <t>Itaguai</t>
        </is>
      </c>
      <c r="C6903" s="30" t="n">
        <v>80394012</v>
      </c>
      <c r="D6903" s="30">
        <f>"29663762000150"</f>
        <v/>
      </c>
      <c r="E6903" s="30" t="inlineStr">
        <is>
          <t>LANCHONETE E RESTAURANTE COSTA VERDE LTDA</t>
        </is>
      </c>
      <c r="F6903" s="30" t="inlineStr">
        <is>
          <t>2023</t>
        </is>
      </c>
      <c r="G6903" s="40" t="n">
        <v>0</v>
      </c>
    </row>
    <row r="6904" ht="12" customHeight="1">
      <c r="A6904" s="30" t="inlineStr">
        <is>
          <t>ITG</t>
        </is>
      </c>
      <c r="B6904" s="30" t="inlineStr">
        <is>
          <t>Itaguai</t>
        </is>
      </c>
      <c r="C6904" s="30" t="n">
        <v>80394780</v>
      </c>
      <c r="D6904" s="30">
        <f>"29085206000143"</f>
        <v/>
      </c>
      <c r="E6904" s="30" t="inlineStr">
        <is>
          <t>CANNES MOTEL LTDA ME</t>
        </is>
      </c>
      <c r="F6904" s="30" t="inlineStr">
        <is>
          <t>2018</t>
        </is>
      </c>
      <c r="G6904" s="40" t="n">
        <v>0</v>
      </c>
    </row>
    <row r="6905" ht="12" customHeight="1">
      <c r="A6905" s="30" t="inlineStr">
        <is>
          <t>ITG</t>
        </is>
      </c>
      <c r="B6905" s="30" t="inlineStr">
        <is>
          <t>Itaguai</t>
        </is>
      </c>
      <c r="C6905" s="30" t="n">
        <v>80394780</v>
      </c>
      <c r="D6905" s="30">
        <f>"29085206000143"</f>
        <v/>
      </c>
      <c r="E6905" s="30" t="inlineStr">
        <is>
          <t>CANNES MOTEL LTDA ME</t>
        </is>
      </c>
      <c r="F6905" s="30" t="inlineStr">
        <is>
          <t>2019</t>
        </is>
      </c>
      <c r="G6905" s="40" t="n">
        <v>0</v>
      </c>
    </row>
    <row r="6906" ht="12" customHeight="1">
      <c r="A6906" s="30" t="inlineStr">
        <is>
          <t>ITG</t>
        </is>
      </c>
      <c r="B6906" s="30" t="inlineStr">
        <is>
          <t>Itaguai</t>
        </is>
      </c>
      <c r="C6906" s="30" t="n">
        <v>80394780</v>
      </c>
      <c r="D6906" s="30">
        <f>"29085206000143"</f>
        <v/>
      </c>
      <c r="E6906" s="30" t="inlineStr">
        <is>
          <t>CANNES MOTEL LTDA ME</t>
        </is>
      </c>
      <c r="F6906" s="30" t="inlineStr">
        <is>
          <t>2020</t>
        </is>
      </c>
      <c r="G6906" s="40" t="n">
        <v>0</v>
      </c>
    </row>
    <row r="6907" ht="12" customHeight="1">
      <c r="A6907" s="30" t="inlineStr">
        <is>
          <t>ITG</t>
        </is>
      </c>
      <c r="B6907" s="30" t="inlineStr">
        <is>
          <t>Itaguai</t>
        </is>
      </c>
      <c r="C6907" s="30" t="n">
        <v>80394780</v>
      </c>
      <c r="D6907" s="30">
        <f>"29085206000143"</f>
        <v/>
      </c>
      <c r="E6907" s="30" t="inlineStr">
        <is>
          <t>CANNES MOTEL LTDA ME</t>
        </is>
      </c>
      <c r="F6907" s="30" t="inlineStr">
        <is>
          <t>2021</t>
        </is>
      </c>
      <c r="G6907" s="40" t="n">
        <v>0</v>
      </c>
    </row>
    <row r="6908" ht="12" customHeight="1">
      <c r="A6908" s="30" t="inlineStr">
        <is>
          <t>ITG</t>
        </is>
      </c>
      <c r="B6908" s="30" t="inlineStr">
        <is>
          <t>Itaguai</t>
        </is>
      </c>
      <c r="C6908" s="30" t="n">
        <v>80394780</v>
      </c>
      <c r="D6908" s="30">
        <f>"29085206000143"</f>
        <v/>
      </c>
      <c r="E6908" s="30" t="inlineStr">
        <is>
          <t>CANNES MOTEL LTDA ME</t>
        </is>
      </c>
      <c r="F6908" s="30" t="inlineStr">
        <is>
          <t>2022</t>
        </is>
      </c>
      <c r="G6908" s="40" t="n">
        <v>0</v>
      </c>
    </row>
    <row r="6909" ht="12" customHeight="1">
      <c r="A6909" s="30" t="inlineStr">
        <is>
          <t>ITG</t>
        </is>
      </c>
      <c r="B6909" s="30" t="inlineStr">
        <is>
          <t>Itaguai</t>
        </is>
      </c>
      <c r="C6909" s="30" t="n">
        <v>80394780</v>
      </c>
      <c r="D6909" s="30">
        <f>"29085206000143"</f>
        <v/>
      </c>
      <c r="E6909" s="30" t="inlineStr">
        <is>
          <t>CANNES MOTEL LTDA ME</t>
        </is>
      </c>
      <c r="F6909" s="30" t="inlineStr">
        <is>
          <t>2023</t>
        </is>
      </c>
      <c r="G6909" s="40" t="n">
        <v>0</v>
      </c>
    </row>
    <row r="6910" ht="12" customHeight="1">
      <c r="A6910" s="30" t="inlineStr">
        <is>
          <t>ITG</t>
        </is>
      </c>
      <c r="B6910" s="30" t="inlineStr">
        <is>
          <t>Itaguai</t>
        </is>
      </c>
      <c r="C6910" s="30" t="n">
        <v>80398239</v>
      </c>
      <c r="D6910" s="30">
        <f>"30225668000106"</f>
        <v/>
      </c>
      <c r="E6910" s="30" t="inlineStr">
        <is>
          <t>N A DA SILVA DROGARIAS LTDA EPP</t>
        </is>
      </c>
      <c r="F6910" s="30" t="inlineStr">
        <is>
          <t>2017</t>
        </is>
      </c>
      <c r="G6910" s="40" t="n">
        <v>0</v>
      </c>
    </row>
    <row r="6911" ht="12" customHeight="1">
      <c r="A6911" s="30" t="inlineStr">
        <is>
          <t>ITG</t>
        </is>
      </c>
      <c r="B6911" s="30" t="inlineStr">
        <is>
          <t>Itaguai</t>
        </is>
      </c>
      <c r="C6911" s="30" t="n">
        <v>80398239</v>
      </c>
      <c r="D6911" s="30">
        <f>"30225668000106"</f>
        <v/>
      </c>
      <c r="E6911" s="30" t="inlineStr">
        <is>
          <t>N A DA SILVA DROGARIAS LTDA EPP</t>
        </is>
      </c>
      <c r="F6911" s="30" t="inlineStr">
        <is>
          <t>2018</t>
        </is>
      </c>
      <c r="G6911" s="40" t="n">
        <v>3709815.25</v>
      </c>
    </row>
    <row r="6912" ht="12" customHeight="1">
      <c r="A6912" s="30" t="inlineStr">
        <is>
          <t>ITG</t>
        </is>
      </c>
      <c r="B6912" s="30" t="inlineStr">
        <is>
          <t>Itaguai</t>
        </is>
      </c>
      <c r="C6912" s="30" t="n">
        <v>80398239</v>
      </c>
      <c r="D6912" s="30">
        <f>"30225668000106"</f>
        <v/>
      </c>
      <c r="E6912" s="30" t="inlineStr">
        <is>
          <t>N A DA SILVA DROGARIAS LTDA EPP</t>
        </is>
      </c>
      <c r="F6912" s="30" t="inlineStr">
        <is>
          <t>2019</t>
        </is>
      </c>
      <c r="G6912" s="40" t="n">
        <v>880575.03</v>
      </c>
    </row>
    <row r="6913" ht="12" customHeight="1">
      <c r="A6913" s="30" t="inlineStr">
        <is>
          <t>ITG</t>
        </is>
      </c>
      <c r="B6913" s="30" t="inlineStr">
        <is>
          <t>Itaguai</t>
        </is>
      </c>
      <c r="C6913" s="30" t="n">
        <v>80398239</v>
      </c>
      <c r="D6913" s="30">
        <f>"30225668000106"</f>
        <v/>
      </c>
      <c r="E6913" s="30" t="inlineStr">
        <is>
          <t>N A DA SILVA DROGARIAS LTDA EPP</t>
        </is>
      </c>
      <c r="F6913" s="30" t="inlineStr">
        <is>
          <t>2020</t>
        </is>
      </c>
      <c r="G6913" s="40" t="n">
        <v>246921.08</v>
      </c>
    </row>
    <row r="6914" ht="12" customHeight="1">
      <c r="A6914" s="30" t="inlineStr">
        <is>
          <t>ITG</t>
        </is>
      </c>
      <c r="B6914" s="30" t="inlineStr">
        <is>
          <t>Itaguai</t>
        </is>
      </c>
      <c r="C6914" s="30" t="n">
        <v>80398239</v>
      </c>
      <c r="D6914" s="30">
        <f>"30225668000106"</f>
        <v/>
      </c>
      <c r="E6914" s="30" t="inlineStr">
        <is>
          <t>N A DA SILVA DROGARIAS LTDA EPP</t>
        </is>
      </c>
      <c r="F6914" s="30" t="inlineStr">
        <is>
          <t>2021</t>
        </is>
      </c>
      <c r="G6914" s="40" t="n">
        <v>1071570.68</v>
      </c>
    </row>
    <row r="6915" ht="12" customHeight="1">
      <c r="A6915" s="30" t="inlineStr">
        <is>
          <t>ITG</t>
        </is>
      </c>
      <c r="B6915" s="30" t="inlineStr">
        <is>
          <t>Itaguai</t>
        </is>
      </c>
      <c r="C6915" s="30" t="n">
        <v>80398239</v>
      </c>
      <c r="D6915" s="30">
        <f>"30225668000106"</f>
        <v/>
      </c>
      <c r="E6915" s="30" t="inlineStr">
        <is>
          <t>N A DA SILVA DROGARIAS LTDA EPP</t>
        </is>
      </c>
      <c r="F6915" s="30" t="inlineStr">
        <is>
          <t>2022</t>
        </is>
      </c>
      <c r="G6915" s="40" t="n">
        <v>1596885.9</v>
      </c>
    </row>
    <row r="6916" ht="12" customHeight="1">
      <c r="A6916" s="30" t="inlineStr">
        <is>
          <t>ITG</t>
        </is>
      </c>
      <c r="B6916" s="30" t="inlineStr">
        <is>
          <t>Itaguai</t>
        </is>
      </c>
      <c r="C6916" s="30" t="n">
        <v>80398239</v>
      </c>
      <c r="D6916" s="30">
        <f>"30225668000106"</f>
        <v/>
      </c>
      <c r="E6916" s="30" t="inlineStr">
        <is>
          <t>N A DA SILVA DROGARIAS LTDA EPP</t>
        </is>
      </c>
      <c r="F6916" s="30" t="inlineStr">
        <is>
          <t>2023</t>
        </is>
      </c>
      <c r="G6916" s="40" t="n">
        <v>0</v>
      </c>
    </row>
    <row r="6917" ht="12" customHeight="1">
      <c r="A6917" s="30" t="inlineStr">
        <is>
          <t>ITG</t>
        </is>
      </c>
      <c r="B6917" s="30" t="inlineStr">
        <is>
          <t>Itaguai</t>
        </is>
      </c>
      <c r="C6917" s="30" t="n">
        <v>80400462</v>
      </c>
      <c r="D6917" s="30">
        <f>"42515882000330"</f>
        <v/>
      </c>
      <c r="E6917" s="30" t="inlineStr">
        <is>
          <t>NUCLEBRAS EQUIPAMENTOS PESADOS S/A NUCLEP</t>
        </is>
      </c>
      <c r="F6917" s="30" t="inlineStr">
        <is>
          <t>2017</t>
        </is>
      </c>
      <c r="G6917" s="40" t="n">
        <v>340429.43</v>
      </c>
    </row>
    <row r="6918" ht="12" customHeight="1">
      <c r="A6918" s="30" t="inlineStr">
        <is>
          <t>ITG</t>
        </is>
      </c>
      <c r="B6918" s="30" t="inlineStr">
        <is>
          <t>Itaguai</t>
        </is>
      </c>
      <c r="C6918" s="30" t="n">
        <v>80400462</v>
      </c>
      <c r="D6918" s="30">
        <f>"42515882000330"</f>
        <v/>
      </c>
      <c r="E6918" s="30" t="inlineStr">
        <is>
          <t>NUCLEBRAS EQUIPAMENTOS PESADOS S/A NUCLEP</t>
        </is>
      </c>
      <c r="F6918" s="30" t="inlineStr">
        <is>
          <t>2018</t>
        </is>
      </c>
      <c r="G6918" s="40" t="n">
        <v>49359170.44</v>
      </c>
    </row>
    <row r="6919" ht="12" customHeight="1">
      <c r="A6919" s="30" t="inlineStr">
        <is>
          <t>ITG</t>
        </is>
      </c>
      <c r="B6919" s="30" t="inlineStr">
        <is>
          <t>Itaguai</t>
        </is>
      </c>
      <c r="C6919" s="30" t="n">
        <v>80400462</v>
      </c>
      <c r="D6919" s="30">
        <f>"42515882000330"</f>
        <v/>
      </c>
      <c r="E6919" s="30" t="inlineStr">
        <is>
          <t>NUCLEBRAS EQUIPAMENTOS PESADOS S/A NUCLEP</t>
        </is>
      </c>
      <c r="F6919" s="30" t="inlineStr">
        <is>
          <t>2019</t>
        </is>
      </c>
      <c r="G6919" s="40" t="n">
        <v>115320249.12</v>
      </c>
    </row>
    <row r="6920" ht="12" customHeight="1">
      <c r="A6920" s="30" t="inlineStr">
        <is>
          <t>ITG</t>
        </is>
      </c>
      <c r="B6920" s="30" t="inlineStr">
        <is>
          <t>Itaguai</t>
        </is>
      </c>
      <c r="C6920" s="30" t="n">
        <v>80400462</v>
      </c>
      <c r="D6920" s="30">
        <f>"42515882000330"</f>
        <v/>
      </c>
      <c r="E6920" s="30" t="inlineStr">
        <is>
          <t>NUCLEBRAS EQUIPAMENTOS PESADOS S/A NUCLEP</t>
        </is>
      </c>
      <c r="F6920" s="30" t="inlineStr">
        <is>
          <t>2020</t>
        </is>
      </c>
      <c r="G6920" s="40" t="n">
        <v>65012276.03</v>
      </c>
    </row>
    <row r="6921" ht="12" customHeight="1">
      <c r="A6921" s="30" t="inlineStr">
        <is>
          <t>ITG</t>
        </is>
      </c>
      <c r="B6921" s="30" t="inlineStr">
        <is>
          <t>Itaguai</t>
        </is>
      </c>
      <c r="C6921" s="30" t="n">
        <v>80400462</v>
      </c>
      <c r="D6921" s="30">
        <f>"42515882000330"</f>
        <v/>
      </c>
      <c r="E6921" s="30" t="inlineStr">
        <is>
          <t>NUCLEBRAS EQUIPAMENTOS PESADOS S/A NUCLEP</t>
        </is>
      </c>
      <c r="F6921" s="30" t="inlineStr">
        <is>
          <t>2021</t>
        </is>
      </c>
      <c r="G6921" s="40" t="n">
        <v>85434.92999999999</v>
      </c>
    </row>
    <row r="6922" ht="12" customHeight="1">
      <c r="A6922" s="30" t="inlineStr">
        <is>
          <t>ITG</t>
        </is>
      </c>
      <c r="B6922" s="30" t="inlineStr">
        <is>
          <t>Itaguai</t>
        </is>
      </c>
      <c r="C6922" s="30" t="n">
        <v>80400462</v>
      </c>
      <c r="D6922" s="30">
        <f>"42515882000330"</f>
        <v/>
      </c>
      <c r="E6922" s="30" t="inlineStr">
        <is>
          <t>NUCLEBRAS EQUIPAMENTOS PESADOS S/A NUCLEP</t>
        </is>
      </c>
      <c r="F6922" s="30" t="inlineStr">
        <is>
          <t>2022</t>
        </is>
      </c>
      <c r="G6922" s="40" t="n">
        <v>0</v>
      </c>
    </row>
    <row r="6923" ht="12" customHeight="1">
      <c r="A6923" s="30" t="inlineStr">
        <is>
          <t>ITG</t>
        </is>
      </c>
      <c r="B6923" s="30" t="inlineStr">
        <is>
          <t>Itaguai</t>
        </is>
      </c>
      <c r="C6923" s="30" t="n">
        <v>80400462</v>
      </c>
      <c r="D6923" s="30">
        <f>"42515882000330"</f>
        <v/>
      </c>
      <c r="E6923" s="30" t="inlineStr">
        <is>
          <t>NUCLEBRAS EQUIPAMENTOS PESADOS S/A NUCLEP</t>
        </is>
      </c>
      <c r="F6923" s="30" t="inlineStr">
        <is>
          <t>2023</t>
        </is>
      </c>
      <c r="G6923" s="40" t="n">
        <v>662251.1</v>
      </c>
    </row>
    <row r="6924" ht="12" customHeight="1">
      <c r="A6924" s="30" t="inlineStr">
        <is>
          <t>ITG</t>
        </is>
      </c>
      <c r="B6924" s="30" t="inlineStr">
        <is>
          <t>Itaguai</t>
        </is>
      </c>
      <c r="C6924" s="30" t="n">
        <v>80400489</v>
      </c>
      <c r="D6924" s="30">
        <f>"30245542000195"</f>
        <v/>
      </c>
      <c r="E6924" s="30" t="inlineStr">
        <is>
          <t>FRIGORIFICO BEIJA FLOR COM ATAC E VAR DE PROD ALIM LTDA EPP</t>
        </is>
      </c>
      <c r="F6924" s="30" t="inlineStr">
        <is>
          <t>2017</t>
        </is>
      </c>
      <c r="G6924" s="40" t="n">
        <v>511976.77</v>
      </c>
    </row>
    <row r="6925" ht="12" customHeight="1">
      <c r="A6925" s="30" t="inlineStr">
        <is>
          <t>ITG</t>
        </is>
      </c>
      <c r="B6925" s="30" t="inlineStr">
        <is>
          <t>Itaguai</t>
        </is>
      </c>
      <c r="C6925" s="30" t="n">
        <v>80400489</v>
      </c>
      <c r="D6925" s="30">
        <f>"30245542000195"</f>
        <v/>
      </c>
      <c r="E6925" s="30" t="inlineStr">
        <is>
          <t>FRIGORIFICO BEIJA FLOR COM ATAC E VAR DE PROD ALIM LTDA EPP</t>
        </is>
      </c>
      <c r="F6925" s="30" t="inlineStr">
        <is>
          <t>2018</t>
        </is>
      </c>
      <c r="G6925" s="40" t="n">
        <v>1276879.77</v>
      </c>
    </row>
    <row r="6926" ht="12" customHeight="1">
      <c r="A6926" s="30" t="inlineStr">
        <is>
          <t>ITG</t>
        </is>
      </c>
      <c r="B6926" s="30" t="inlineStr">
        <is>
          <t>Itaguai</t>
        </is>
      </c>
      <c r="C6926" s="30" t="n">
        <v>80400489</v>
      </c>
      <c r="D6926" s="30">
        <f>"30245542000195"</f>
        <v/>
      </c>
      <c r="E6926" s="30" t="inlineStr">
        <is>
          <t>FRIGORIFICO BEIJA FLOR COM ATAC E VAR DE PROD ALIM LTDA EPP</t>
        </is>
      </c>
      <c r="F6926" s="30" t="inlineStr">
        <is>
          <t>2019</t>
        </is>
      </c>
      <c r="G6926" s="40" t="n">
        <v>1097104.87</v>
      </c>
    </row>
    <row r="6927" ht="12" customHeight="1">
      <c r="A6927" s="30" t="inlineStr">
        <is>
          <t>ITG</t>
        </is>
      </c>
      <c r="B6927" s="30" t="inlineStr">
        <is>
          <t>Itaguai</t>
        </is>
      </c>
      <c r="C6927" s="30" t="n">
        <v>80400489</v>
      </c>
      <c r="D6927" s="30">
        <f>"30245542000195"</f>
        <v/>
      </c>
      <c r="E6927" s="30" t="inlineStr">
        <is>
          <t>FRIGORIFICO BEIJA FLOR COM ATAC E VAR DE PROD ALIM LTDA EPP</t>
        </is>
      </c>
      <c r="F6927" s="30" t="inlineStr">
        <is>
          <t>2020</t>
        </is>
      </c>
      <c r="G6927" s="40" t="n">
        <v>0</v>
      </c>
    </row>
    <row r="6928" ht="12" customHeight="1">
      <c r="A6928" s="30" t="inlineStr">
        <is>
          <t>ITG</t>
        </is>
      </c>
      <c r="B6928" s="30" t="inlineStr">
        <is>
          <t>Itaguai</t>
        </is>
      </c>
      <c r="C6928" s="30" t="n">
        <v>80400489</v>
      </c>
      <c r="D6928" s="30">
        <f>"30245542000195"</f>
        <v/>
      </c>
      <c r="E6928" s="30" t="inlineStr">
        <is>
          <t>FRIGORIFICO BEIJA FLOR COM ATAC E VAR DE PROD ALIM LTDA EPP</t>
        </is>
      </c>
      <c r="F6928" s="30" t="inlineStr">
        <is>
          <t>2021</t>
        </is>
      </c>
      <c r="G6928" s="40" t="n">
        <v>550679.92</v>
      </c>
    </row>
    <row r="6929" ht="12" customHeight="1">
      <c r="A6929" s="30" t="inlineStr">
        <is>
          <t>ITG</t>
        </is>
      </c>
      <c r="B6929" s="30" t="inlineStr">
        <is>
          <t>Itaguai</t>
        </is>
      </c>
      <c r="C6929" s="30" t="n">
        <v>80400489</v>
      </c>
      <c r="D6929" s="30">
        <f>"30245542000195"</f>
        <v/>
      </c>
      <c r="E6929" s="30" t="inlineStr">
        <is>
          <t>FRIGORIFICO BEIJA FLOR COM ATAC E VAR DE PROD ALIM LTDA EPP</t>
        </is>
      </c>
      <c r="F6929" s="30" t="inlineStr">
        <is>
          <t>2022</t>
        </is>
      </c>
      <c r="G6929" s="40" t="n">
        <v>1045528.37</v>
      </c>
    </row>
    <row r="6930" ht="12" customHeight="1">
      <c r="A6930" s="30" t="inlineStr">
        <is>
          <t>ITG</t>
        </is>
      </c>
      <c r="B6930" s="30" t="inlineStr">
        <is>
          <t>Itaguai</t>
        </is>
      </c>
      <c r="C6930" s="30" t="n">
        <v>80400489</v>
      </c>
      <c r="D6930" s="30">
        <f>"30245542000195"</f>
        <v/>
      </c>
      <c r="E6930" s="30" t="inlineStr">
        <is>
          <t>FRIGORIFICO BEIJA FLOR COM ATAC E VAR DE PROD ALIM LTDA EPP</t>
        </is>
      </c>
      <c r="F6930" s="30" t="inlineStr">
        <is>
          <t>2023</t>
        </is>
      </c>
      <c r="G6930" s="40" t="n">
        <v>326347.82</v>
      </c>
    </row>
    <row r="6931" ht="12" customHeight="1">
      <c r="A6931" s="30" t="inlineStr">
        <is>
          <t>ITG</t>
        </is>
      </c>
      <c r="B6931" s="30" t="inlineStr">
        <is>
          <t>Itaguai</t>
        </is>
      </c>
      <c r="C6931" s="30" t="n">
        <v>80404336</v>
      </c>
      <c r="D6931" s="30">
        <f>"30612030000110"</f>
        <v/>
      </c>
      <c r="E6931" s="30" t="inlineStr">
        <is>
          <t>COMPASSOS BAZAR E DISTRIBUIDORA LTDA</t>
        </is>
      </c>
      <c r="F6931" s="30" t="inlineStr">
        <is>
          <t>2017</t>
        </is>
      </c>
      <c r="G6931" s="40" t="n">
        <v>619155.66</v>
      </c>
    </row>
    <row r="6932" ht="12" customHeight="1">
      <c r="A6932" s="30" t="inlineStr">
        <is>
          <t>ITG</t>
        </is>
      </c>
      <c r="B6932" s="30" t="inlineStr">
        <is>
          <t>Itaguai</t>
        </is>
      </c>
      <c r="C6932" s="30" t="n">
        <v>80404336</v>
      </c>
      <c r="D6932" s="30">
        <f>"30612030000110"</f>
        <v/>
      </c>
      <c r="E6932" s="30" t="inlineStr">
        <is>
          <t>COMPASSOS BAZAR E DISTRIBUIDORA LTDA</t>
        </is>
      </c>
      <c r="F6932" s="30" t="inlineStr">
        <is>
          <t>2018</t>
        </is>
      </c>
      <c r="G6932" s="40" t="n">
        <v>1536990.53</v>
      </c>
    </row>
    <row r="6933" ht="12" customHeight="1">
      <c r="A6933" s="30" t="inlineStr">
        <is>
          <t>ITG</t>
        </is>
      </c>
      <c r="B6933" s="30" t="inlineStr">
        <is>
          <t>Itaguai</t>
        </is>
      </c>
      <c r="C6933" s="30" t="n">
        <v>80404336</v>
      </c>
      <c r="D6933" s="30">
        <f>"30612030000110"</f>
        <v/>
      </c>
      <c r="E6933" s="30" t="inlineStr">
        <is>
          <t>COMPASSOS BAZAR E DISTRIBUIDORA LTDA</t>
        </is>
      </c>
      <c r="F6933" s="30" t="inlineStr">
        <is>
          <t>2019</t>
        </is>
      </c>
      <c r="G6933" s="40" t="n">
        <v>1418807.51</v>
      </c>
    </row>
    <row r="6934" ht="12" customHeight="1">
      <c r="A6934" s="30" t="inlineStr">
        <is>
          <t>ITG</t>
        </is>
      </c>
      <c r="B6934" s="30" t="inlineStr">
        <is>
          <t>Itaguai</t>
        </is>
      </c>
      <c r="C6934" s="30" t="n">
        <v>80404336</v>
      </c>
      <c r="D6934" s="30">
        <f>"30612030000110"</f>
        <v/>
      </c>
      <c r="E6934" s="30" t="inlineStr">
        <is>
          <t>COMPASSOS BAZAR E DISTRIBUIDORA LTDA</t>
        </is>
      </c>
      <c r="F6934" s="30" t="inlineStr">
        <is>
          <t>2020</t>
        </is>
      </c>
      <c r="G6934" s="40" t="n">
        <v>560012.62</v>
      </c>
    </row>
    <row r="6935" ht="12" customHeight="1">
      <c r="A6935" s="30" t="inlineStr">
        <is>
          <t>ITG</t>
        </is>
      </c>
      <c r="B6935" s="30" t="inlineStr">
        <is>
          <t>Itaguai</t>
        </is>
      </c>
      <c r="C6935" s="30" t="n">
        <v>80404336</v>
      </c>
      <c r="D6935" s="30">
        <f>"30612030000110"</f>
        <v/>
      </c>
      <c r="E6935" s="30" t="inlineStr">
        <is>
          <t>COMPASSOS BAZAR E DISTRIBUIDORA LTDA</t>
        </is>
      </c>
      <c r="F6935" s="30" t="inlineStr">
        <is>
          <t>2021</t>
        </is>
      </c>
      <c r="G6935" s="40" t="n">
        <v>1819537.43</v>
      </c>
    </row>
    <row r="6936" ht="12" customHeight="1">
      <c r="A6936" s="30" t="inlineStr">
        <is>
          <t>ITG</t>
        </is>
      </c>
      <c r="B6936" s="30" t="inlineStr">
        <is>
          <t>Itaguai</t>
        </is>
      </c>
      <c r="C6936" s="30" t="n">
        <v>80404336</v>
      </c>
      <c r="D6936" s="30">
        <f>"30612030000110"</f>
        <v/>
      </c>
      <c r="E6936" s="30" t="inlineStr">
        <is>
          <t>COMPASSOS BAZAR E DISTRIBUIDORA LTDA</t>
        </is>
      </c>
      <c r="F6936" s="30" t="inlineStr">
        <is>
          <t>2022</t>
        </is>
      </c>
      <c r="G6936" s="40" t="n">
        <v>1964905</v>
      </c>
    </row>
    <row r="6937" ht="12" customHeight="1">
      <c r="A6937" s="30" t="inlineStr">
        <is>
          <t>ITG</t>
        </is>
      </c>
      <c r="B6937" s="30" t="inlineStr">
        <is>
          <t>Itaguai</t>
        </is>
      </c>
      <c r="C6937" s="30" t="n">
        <v>80404336</v>
      </c>
      <c r="D6937" s="30">
        <f>"30612030000110"</f>
        <v/>
      </c>
      <c r="E6937" s="30" t="inlineStr">
        <is>
          <t>COMPASSOS BAZAR E DISTRIBUIDORA LTDA</t>
        </is>
      </c>
      <c r="F6937" s="30" t="inlineStr">
        <is>
          <t>2023</t>
        </is>
      </c>
      <c r="G6937" s="40" t="n">
        <v>2718223.72</v>
      </c>
    </row>
    <row r="6938" ht="12" customHeight="1">
      <c r="A6938" s="30" t="inlineStr">
        <is>
          <t>ITG</t>
        </is>
      </c>
      <c r="B6938" s="30" t="inlineStr">
        <is>
          <t>Itaguai</t>
        </is>
      </c>
      <c r="C6938" s="30" t="n">
        <v>80404565</v>
      </c>
      <c r="D6938" s="30">
        <f>"30933311000174"</f>
        <v/>
      </c>
      <c r="E6938" s="30" t="inlineStr">
        <is>
          <t>COMERCIO DE DERIVADOS DE PETROLEO VANILDA LTDA</t>
        </is>
      </c>
      <c r="F6938" s="30" t="inlineStr">
        <is>
          <t>2017</t>
        </is>
      </c>
      <c r="G6938" s="40" t="n">
        <v>4941241.12</v>
      </c>
    </row>
    <row r="6939" ht="12" customHeight="1">
      <c r="A6939" s="30" t="inlineStr">
        <is>
          <t>ITG</t>
        </is>
      </c>
      <c r="B6939" s="30" t="inlineStr">
        <is>
          <t>Itaguai</t>
        </is>
      </c>
      <c r="C6939" s="30" t="n">
        <v>80404565</v>
      </c>
      <c r="D6939" s="30">
        <f>"30933311000174"</f>
        <v/>
      </c>
      <c r="E6939" s="30" t="inlineStr">
        <is>
          <t>COMERCIO DE DERIVADOS DE PETROLEO VANILDA LTDA</t>
        </is>
      </c>
      <c r="F6939" s="30" t="inlineStr">
        <is>
          <t>2018</t>
        </is>
      </c>
      <c r="G6939" s="40" t="n">
        <v>4676877.42</v>
      </c>
    </row>
    <row r="6940" ht="12" customHeight="1">
      <c r="A6940" s="30" t="inlineStr">
        <is>
          <t>ITG</t>
        </is>
      </c>
      <c r="B6940" s="30" t="inlineStr">
        <is>
          <t>Itaguai</t>
        </is>
      </c>
      <c r="C6940" s="30" t="n">
        <v>80404565</v>
      </c>
      <c r="D6940" s="30">
        <f>"30933311000174"</f>
        <v/>
      </c>
      <c r="E6940" s="30" t="inlineStr">
        <is>
          <t>COMERCIO DE DERIVADOS DE PETROLEO VANILDA LTDA</t>
        </is>
      </c>
      <c r="F6940" s="30" t="inlineStr">
        <is>
          <t>2019</t>
        </is>
      </c>
      <c r="G6940" s="40" t="n">
        <v>6233339.11</v>
      </c>
    </row>
    <row r="6941" ht="12" customHeight="1">
      <c r="A6941" s="30" t="inlineStr">
        <is>
          <t>ITG</t>
        </is>
      </c>
      <c r="B6941" s="30" t="inlineStr">
        <is>
          <t>Itaguai</t>
        </is>
      </c>
      <c r="C6941" s="30" t="n">
        <v>80404565</v>
      </c>
      <c r="D6941" s="30">
        <f>"30933311000174"</f>
        <v/>
      </c>
      <c r="E6941" s="30" t="inlineStr">
        <is>
          <t>COMERCIO DE DERIVADOS DE PETROLEO VANILDA LTDA</t>
        </is>
      </c>
      <c r="F6941" s="30" t="inlineStr">
        <is>
          <t>2020</t>
        </is>
      </c>
      <c r="G6941" s="40" t="n">
        <v>5205963.62</v>
      </c>
    </row>
    <row r="6942" ht="12" customHeight="1">
      <c r="A6942" s="30" t="inlineStr">
        <is>
          <t>ITG</t>
        </is>
      </c>
      <c r="B6942" s="30" t="inlineStr">
        <is>
          <t>Itaguai</t>
        </is>
      </c>
      <c r="C6942" s="30" t="n">
        <v>80404565</v>
      </c>
      <c r="D6942" s="30">
        <f>"30933311000174"</f>
        <v/>
      </c>
      <c r="E6942" s="30" t="inlineStr">
        <is>
          <t>COMERCIO DE DERIVADOS DE PETROLEO VANILDA LTDA</t>
        </is>
      </c>
      <c r="F6942" s="30" t="inlineStr">
        <is>
          <t>2021</t>
        </is>
      </c>
      <c r="G6942" s="40" t="n">
        <v>6489193.95</v>
      </c>
    </row>
    <row r="6943" ht="12" customHeight="1">
      <c r="A6943" s="30" t="inlineStr">
        <is>
          <t>ITG</t>
        </is>
      </c>
      <c r="B6943" s="30" t="inlineStr">
        <is>
          <t>Itaguai</t>
        </is>
      </c>
      <c r="C6943" s="30" t="n">
        <v>80404565</v>
      </c>
      <c r="D6943" s="30">
        <f>"30933311000174"</f>
        <v/>
      </c>
      <c r="E6943" s="30" t="inlineStr">
        <is>
          <t>COMERCIO DE DERIVADOS DE PETROLEO VANILDA LTDA</t>
        </is>
      </c>
      <c r="F6943" s="30" t="inlineStr">
        <is>
          <t>2022</t>
        </is>
      </c>
      <c r="G6943" s="40" t="n">
        <v>7333982.59</v>
      </c>
    </row>
    <row r="6944" ht="12" customHeight="1">
      <c r="A6944" s="30" t="inlineStr">
        <is>
          <t>ITG</t>
        </is>
      </c>
      <c r="B6944" s="30" t="inlineStr">
        <is>
          <t>Itaguai</t>
        </is>
      </c>
      <c r="C6944" s="30" t="n">
        <v>80404565</v>
      </c>
      <c r="D6944" s="30">
        <f>"30933311000174"</f>
        <v/>
      </c>
      <c r="E6944" s="30" t="inlineStr">
        <is>
          <t>COMERCIO DE DERIVADOS DE PETROLEO VANILDA LTDA</t>
        </is>
      </c>
      <c r="F6944" s="30" t="inlineStr">
        <is>
          <t>2023</t>
        </is>
      </c>
      <c r="G6944" s="40" t="n">
        <v>5444754.18</v>
      </c>
    </row>
    <row r="6945" ht="12" customHeight="1">
      <c r="A6945" s="30" t="inlineStr">
        <is>
          <t>ITG</t>
        </is>
      </c>
      <c r="B6945" s="30" t="inlineStr">
        <is>
          <t>Itaguai</t>
        </is>
      </c>
      <c r="C6945" s="30" t="n">
        <v>80404646</v>
      </c>
      <c r="D6945" s="30">
        <f>"27802222000184"</f>
        <v/>
      </c>
      <c r="E6945" s="30" t="inlineStr">
        <is>
          <t>SAKURA PRESENTES EIRELI</t>
        </is>
      </c>
      <c r="F6945" s="30" t="inlineStr">
        <is>
          <t>2017</t>
        </is>
      </c>
      <c r="G6945" s="40" t="n">
        <v>6955955.62</v>
      </c>
    </row>
    <row r="6946" ht="12" customHeight="1">
      <c r="A6946" s="30" t="inlineStr">
        <is>
          <t>ITG</t>
        </is>
      </c>
      <c r="B6946" s="30" t="inlineStr">
        <is>
          <t>Itaguai</t>
        </is>
      </c>
      <c r="C6946" s="30" t="n">
        <v>80404646</v>
      </c>
      <c r="D6946" s="30">
        <f>"27802222000184"</f>
        <v/>
      </c>
      <c r="E6946" s="30" t="inlineStr">
        <is>
          <t>SAKURA PRESENTES EIRELI</t>
        </is>
      </c>
      <c r="F6946" s="30" t="inlineStr">
        <is>
          <t>2018</t>
        </is>
      </c>
      <c r="G6946" s="40" t="n">
        <v>6426641.22</v>
      </c>
    </row>
    <row r="6947" ht="12" customHeight="1">
      <c r="A6947" s="30" t="inlineStr">
        <is>
          <t>ITG</t>
        </is>
      </c>
      <c r="B6947" s="30" t="inlineStr">
        <is>
          <t>Itaguai</t>
        </is>
      </c>
      <c r="C6947" s="30" t="n">
        <v>80404646</v>
      </c>
      <c r="D6947" s="30">
        <f>"27802222000184"</f>
        <v/>
      </c>
      <c r="E6947" s="30" t="inlineStr">
        <is>
          <t>SAKURA PRESENTES EIRELI</t>
        </is>
      </c>
      <c r="F6947" s="30" t="inlineStr">
        <is>
          <t>2019</t>
        </is>
      </c>
      <c r="G6947" s="40" t="n">
        <v>7533283.29</v>
      </c>
    </row>
    <row r="6948" ht="12" customHeight="1">
      <c r="A6948" s="30" t="inlineStr">
        <is>
          <t>ITG</t>
        </is>
      </c>
      <c r="B6948" s="30" t="inlineStr">
        <is>
          <t>Itaguai</t>
        </is>
      </c>
      <c r="C6948" s="30" t="n">
        <v>80404646</v>
      </c>
      <c r="D6948" s="30">
        <f>"27802222000184"</f>
        <v/>
      </c>
      <c r="E6948" s="30" t="inlineStr">
        <is>
          <t>SAKURA PRESENTES EIRELI</t>
        </is>
      </c>
      <c r="F6948" s="30" t="inlineStr">
        <is>
          <t>2020</t>
        </is>
      </c>
      <c r="G6948" s="40" t="n">
        <v>6982822.45</v>
      </c>
    </row>
    <row r="6949" ht="12" customHeight="1">
      <c r="A6949" s="30" t="inlineStr">
        <is>
          <t>ITG</t>
        </is>
      </c>
      <c r="B6949" s="30" t="inlineStr">
        <is>
          <t>Itaguai</t>
        </is>
      </c>
      <c r="C6949" s="30" t="n">
        <v>80404646</v>
      </c>
      <c r="D6949" s="30">
        <f>"27802222000184"</f>
        <v/>
      </c>
      <c r="E6949" s="30" t="inlineStr">
        <is>
          <t>SAKURA PRESENTES EIRELI</t>
        </is>
      </c>
      <c r="F6949" s="30" t="inlineStr">
        <is>
          <t>2021</t>
        </is>
      </c>
      <c r="G6949" s="40" t="n">
        <v>4320190.63</v>
      </c>
    </row>
    <row r="6950" ht="12" customHeight="1">
      <c r="A6950" s="30" t="inlineStr">
        <is>
          <t>ITG</t>
        </is>
      </c>
      <c r="B6950" s="30" t="inlineStr">
        <is>
          <t>Itaguai</t>
        </is>
      </c>
      <c r="C6950" s="30" t="n">
        <v>80404646</v>
      </c>
      <c r="D6950" s="30">
        <f>"27802222000184"</f>
        <v/>
      </c>
      <c r="E6950" s="30" t="inlineStr">
        <is>
          <t>SAKURA PRESENTES EIRELI</t>
        </is>
      </c>
      <c r="F6950" s="30" t="inlineStr">
        <is>
          <t>2022</t>
        </is>
      </c>
      <c r="G6950" s="40" t="n">
        <v>7292566.66</v>
      </c>
    </row>
    <row r="6951" ht="12" customHeight="1">
      <c r="A6951" s="30" t="inlineStr">
        <is>
          <t>ITG</t>
        </is>
      </c>
      <c r="B6951" s="30" t="inlineStr">
        <is>
          <t>Itaguai</t>
        </is>
      </c>
      <c r="C6951" s="30" t="n">
        <v>80404646</v>
      </c>
      <c r="D6951" s="30">
        <f>"27802222000184"</f>
        <v/>
      </c>
      <c r="E6951" s="30" t="inlineStr">
        <is>
          <t>SAKURA PRESENTES EIRELI</t>
        </is>
      </c>
      <c r="F6951" s="30" t="inlineStr">
        <is>
          <t>2023</t>
        </is>
      </c>
      <c r="G6951" s="40" t="n">
        <v>9653029.130000001</v>
      </c>
    </row>
    <row r="6952" ht="12" customHeight="1">
      <c r="A6952" s="30" t="inlineStr">
        <is>
          <t>ITG</t>
        </is>
      </c>
      <c r="B6952" s="30" t="inlineStr">
        <is>
          <t>Itaguai</t>
        </is>
      </c>
      <c r="C6952" s="30" t="n">
        <v>80405189</v>
      </c>
      <c r="D6952" s="30">
        <f>"27195650000196"</f>
        <v/>
      </c>
      <c r="E6952" s="30" t="inlineStr">
        <is>
          <t>CEFL COMERCIO ELETRO GAS FUKAMATI LTDA</t>
        </is>
      </c>
      <c r="F6952" s="30" t="inlineStr">
        <is>
          <t>2017</t>
        </is>
      </c>
      <c r="G6952" s="40" t="n">
        <v>0</v>
      </c>
    </row>
    <row r="6953" ht="12" customHeight="1">
      <c r="A6953" s="30" t="inlineStr">
        <is>
          <t>ITG</t>
        </is>
      </c>
      <c r="B6953" s="30" t="inlineStr">
        <is>
          <t>Itaguai</t>
        </is>
      </c>
      <c r="C6953" s="30" t="n">
        <v>80405189</v>
      </c>
      <c r="D6953" s="30">
        <f>"27195650000196"</f>
        <v/>
      </c>
      <c r="E6953" s="30" t="inlineStr">
        <is>
          <t>CEFL COMERCIO ELETRO GAS FUKAMATI LTDA</t>
        </is>
      </c>
      <c r="F6953" s="30" t="inlineStr">
        <is>
          <t>2018</t>
        </is>
      </c>
      <c r="G6953" s="40" t="n">
        <v>0</v>
      </c>
    </row>
    <row r="6954" ht="12" customHeight="1">
      <c r="A6954" s="30" t="inlineStr">
        <is>
          <t>ITG</t>
        </is>
      </c>
      <c r="B6954" s="30" t="inlineStr">
        <is>
          <t>Itaguai</t>
        </is>
      </c>
      <c r="C6954" s="30" t="n">
        <v>80405189</v>
      </c>
      <c r="D6954" s="30">
        <f>"27195650000196"</f>
        <v/>
      </c>
      <c r="E6954" s="30" t="inlineStr">
        <is>
          <t>CEFL COMERCIO ELETRO GAS FUKAMATI LTDA</t>
        </is>
      </c>
      <c r="F6954" s="30" t="inlineStr">
        <is>
          <t>2019</t>
        </is>
      </c>
      <c r="G6954" s="40" t="n">
        <v>0</v>
      </c>
    </row>
    <row r="6955" ht="12" customHeight="1">
      <c r="A6955" s="30" t="inlineStr">
        <is>
          <t>ITG</t>
        </is>
      </c>
      <c r="B6955" s="30" t="inlineStr">
        <is>
          <t>Itaguai</t>
        </is>
      </c>
      <c r="C6955" s="30" t="n">
        <v>80405189</v>
      </c>
      <c r="D6955" s="30">
        <f>"27195650000196"</f>
        <v/>
      </c>
      <c r="E6955" s="30" t="inlineStr">
        <is>
          <t>CEFL COMERCIO ELETRO GAS FUKAMATI LTDA</t>
        </is>
      </c>
      <c r="F6955" s="30" t="inlineStr">
        <is>
          <t>2020</t>
        </is>
      </c>
      <c r="G6955" s="40" t="n">
        <v>5026905.1</v>
      </c>
    </row>
    <row r="6956" ht="12" customHeight="1">
      <c r="A6956" s="30" t="inlineStr">
        <is>
          <t>ITG</t>
        </is>
      </c>
      <c r="B6956" s="30" t="inlineStr">
        <is>
          <t>Itaguai</t>
        </is>
      </c>
      <c r="C6956" s="30" t="n">
        <v>80405189</v>
      </c>
      <c r="D6956" s="30">
        <f>"27195650000196"</f>
        <v/>
      </c>
      <c r="E6956" s="30" t="inlineStr">
        <is>
          <t>CEFL COMERCIO ELETRO GAS FUKAMATI LTDA</t>
        </is>
      </c>
      <c r="F6956" s="30" t="inlineStr">
        <is>
          <t>2021</t>
        </is>
      </c>
      <c r="G6956" s="40" t="n">
        <v>4363907.44</v>
      </c>
    </row>
    <row r="6957" ht="12" customHeight="1">
      <c r="A6957" s="30" t="inlineStr">
        <is>
          <t>ITG</t>
        </is>
      </c>
      <c r="B6957" s="30" t="inlineStr">
        <is>
          <t>Itaguai</t>
        </is>
      </c>
      <c r="C6957" s="30" t="n">
        <v>80405189</v>
      </c>
      <c r="D6957" s="30">
        <f>"27195650000196"</f>
        <v/>
      </c>
      <c r="E6957" s="30" t="inlineStr">
        <is>
          <t>CEFL COMERCIO ELETRO GAS FUKAMATI LTDA</t>
        </is>
      </c>
      <c r="F6957" s="30" t="inlineStr">
        <is>
          <t>2022</t>
        </is>
      </c>
      <c r="G6957" s="40" t="n">
        <v>4301161.81</v>
      </c>
    </row>
    <row r="6958" ht="12" customHeight="1">
      <c r="A6958" s="30" t="inlineStr">
        <is>
          <t>ITG</t>
        </is>
      </c>
      <c r="B6958" s="30" t="inlineStr">
        <is>
          <t>Itaguai</t>
        </is>
      </c>
      <c r="C6958" s="30" t="n">
        <v>80405189</v>
      </c>
      <c r="D6958" s="30">
        <f>"27195650000196"</f>
        <v/>
      </c>
      <c r="E6958" s="30" t="inlineStr">
        <is>
          <t>CEFL COMERCIO ELETRO GAS FUKAMATI LTDA</t>
        </is>
      </c>
      <c r="F6958" s="30" t="inlineStr">
        <is>
          <t>2023</t>
        </is>
      </c>
      <c r="G6958" s="40" t="n">
        <v>5551095.89</v>
      </c>
    </row>
    <row r="6959" ht="12" customHeight="1">
      <c r="A6959" s="30" t="inlineStr">
        <is>
          <t>ITG</t>
        </is>
      </c>
      <c r="B6959" s="30" t="inlineStr">
        <is>
          <t>Itaguai</t>
        </is>
      </c>
      <c r="C6959" s="30" t="n">
        <v>80462751</v>
      </c>
      <c r="D6959" s="30">
        <f>"32350746000111"</f>
        <v/>
      </c>
      <c r="E6959" s="30" t="inlineStr">
        <is>
          <t>COOPERATIVA MISTA DE VALENCA DE RESPONSABILIDADE LTDA</t>
        </is>
      </c>
      <c r="F6959" s="30" t="inlineStr">
        <is>
          <t>2017</t>
        </is>
      </c>
      <c r="G6959" s="40" t="n">
        <v>727112.17</v>
      </c>
    </row>
    <row r="6960" ht="12" customHeight="1">
      <c r="A6960" s="30" t="inlineStr">
        <is>
          <t>ITG</t>
        </is>
      </c>
      <c r="B6960" s="30" t="inlineStr">
        <is>
          <t>Itaguai</t>
        </is>
      </c>
      <c r="C6960" s="30" t="n">
        <v>80462751</v>
      </c>
      <c r="D6960" s="30">
        <f>"32350746000111"</f>
        <v/>
      </c>
      <c r="E6960" s="30" t="inlineStr">
        <is>
          <t>COOPERATIVA MISTA DE VALENCA DE RESPONSABILIDADE LTDA</t>
        </is>
      </c>
      <c r="F6960" s="30" t="inlineStr">
        <is>
          <t>2018</t>
        </is>
      </c>
      <c r="G6960" s="40" t="n">
        <v>357700.46</v>
      </c>
    </row>
    <row r="6961" ht="12" customHeight="1">
      <c r="A6961" s="30" t="inlineStr">
        <is>
          <t>ITG</t>
        </is>
      </c>
      <c r="B6961" s="30" t="inlineStr">
        <is>
          <t>Itaguai</t>
        </is>
      </c>
      <c r="C6961" s="30" t="n">
        <v>80462751</v>
      </c>
      <c r="D6961" s="30">
        <f>"32350746000111"</f>
        <v/>
      </c>
      <c r="E6961" s="30" t="inlineStr">
        <is>
          <t>COOPERATIVA MISTA DE VALENCA DE RESPONSABILIDADE LTDA</t>
        </is>
      </c>
      <c r="F6961" s="30" t="inlineStr">
        <is>
          <t>2019</t>
        </is>
      </c>
      <c r="G6961" s="40" t="n">
        <v>81954.5</v>
      </c>
    </row>
    <row r="6962" ht="12" customHeight="1">
      <c r="A6962" s="30" t="inlineStr">
        <is>
          <t>ITG</t>
        </is>
      </c>
      <c r="B6962" s="30" t="inlineStr">
        <is>
          <t>Itaguai</t>
        </is>
      </c>
      <c r="C6962" s="30" t="n">
        <v>80462751</v>
      </c>
      <c r="D6962" s="30">
        <f>"32350746000111"</f>
        <v/>
      </c>
      <c r="E6962" s="30" t="inlineStr">
        <is>
          <t>COOPERATIVA MISTA DE VALENCA DE RESPONSABILIDADE LTDA</t>
        </is>
      </c>
      <c r="F6962" s="30" t="inlineStr">
        <is>
          <t>2020</t>
        </is>
      </c>
      <c r="G6962" s="40" t="n">
        <v>49593.65</v>
      </c>
    </row>
    <row r="6963" ht="12" customHeight="1">
      <c r="A6963" s="30" t="inlineStr">
        <is>
          <t>ITG</t>
        </is>
      </c>
      <c r="B6963" s="30" t="inlineStr">
        <is>
          <t>Itaguai</t>
        </is>
      </c>
      <c r="C6963" s="30" t="n">
        <v>80462751</v>
      </c>
      <c r="D6963" s="30">
        <f>"32350746000111"</f>
        <v/>
      </c>
      <c r="E6963" s="30" t="inlineStr">
        <is>
          <t>COOPERATIVA MISTA DE VALENCA DE RESPONSABILIDADE LTDA</t>
        </is>
      </c>
      <c r="F6963" s="30" t="inlineStr">
        <is>
          <t>2021</t>
        </is>
      </c>
      <c r="G6963" s="40" t="n">
        <v>0</v>
      </c>
    </row>
    <row r="6964" ht="12" customHeight="1">
      <c r="A6964" s="30" t="inlineStr">
        <is>
          <t>ITG</t>
        </is>
      </c>
      <c r="B6964" s="30" t="inlineStr">
        <is>
          <t>Itaguai</t>
        </is>
      </c>
      <c r="C6964" s="30" t="n">
        <v>80462751</v>
      </c>
      <c r="D6964" s="30">
        <f>"32350746000111"</f>
        <v/>
      </c>
      <c r="E6964" s="30" t="inlineStr">
        <is>
          <t>COOPERATIVA MISTA DE VALENCA DE RESPONSABILIDADE LTDA</t>
        </is>
      </c>
      <c r="F6964" s="30" t="inlineStr">
        <is>
          <t>2022</t>
        </is>
      </c>
      <c r="G6964" s="40" t="n">
        <v>0</v>
      </c>
    </row>
    <row r="6965" ht="12" customHeight="1">
      <c r="A6965" s="30" t="inlineStr">
        <is>
          <t>ITG</t>
        </is>
      </c>
      <c r="B6965" s="30" t="inlineStr">
        <is>
          <t>Itaguai</t>
        </is>
      </c>
      <c r="C6965" s="30" t="n">
        <v>80525745</v>
      </c>
      <c r="D6965" s="30">
        <f>"29453826000198"</f>
        <v/>
      </c>
      <c r="E6965" s="30" t="inlineStr">
        <is>
          <t>TRANSPORTE GENEROSO LTDA</t>
        </is>
      </c>
      <c r="F6965" s="30" t="inlineStr">
        <is>
          <t>2019</t>
        </is>
      </c>
      <c r="G6965" s="40" t="n">
        <v>0</v>
      </c>
    </row>
    <row r="6966" ht="12" customHeight="1">
      <c r="A6966" s="30" t="inlineStr">
        <is>
          <t>ITG</t>
        </is>
      </c>
      <c r="B6966" s="30" t="inlineStr">
        <is>
          <t>Itaguai</t>
        </is>
      </c>
      <c r="C6966" s="30" t="n">
        <v>80525745</v>
      </c>
      <c r="D6966" s="30">
        <f>"29453826000198"</f>
        <v/>
      </c>
      <c r="E6966" s="30" t="inlineStr">
        <is>
          <t>TRANSPORTE GENEROSO LTDA</t>
        </is>
      </c>
      <c r="F6966" s="30" t="inlineStr">
        <is>
          <t>2020</t>
        </is>
      </c>
      <c r="G6966" s="40" t="n">
        <v>0</v>
      </c>
    </row>
    <row r="6967" ht="12" customHeight="1">
      <c r="A6967" s="30" t="inlineStr">
        <is>
          <t>ITG</t>
        </is>
      </c>
      <c r="B6967" s="30" t="inlineStr">
        <is>
          <t>Itaguai</t>
        </is>
      </c>
      <c r="C6967" s="30" t="n">
        <v>80525745</v>
      </c>
      <c r="D6967" s="30">
        <f>"29453826000198"</f>
        <v/>
      </c>
      <c r="E6967" s="30" t="inlineStr">
        <is>
          <t>TRANSPORTE GENEROSO LTDA</t>
        </is>
      </c>
      <c r="F6967" s="30" t="inlineStr">
        <is>
          <t>2021</t>
        </is>
      </c>
      <c r="G6967" s="40" t="n">
        <v>289.72</v>
      </c>
    </row>
    <row r="6968" ht="12" customHeight="1">
      <c r="A6968" s="30" t="inlineStr">
        <is>
          <t>ITG</t>
        </is>
      </c>
      <c r="B6968" s="30" t="inlineStr">
        <is>
          <t>Itaguai</t>
        </is>
      </c>
      <c r="C6968" s="30" t="n">
        <v>80525745</v>
      </c>
      <c r="D6968" s="30">
        <f>"29453826000198"</f>
        <v/>
      </c>
      <c r="E6968" s="30" t="inlineStr">
        <is>
          <t>TRANSPORTE GENEROSO LTDA</t>
        </is>
      </c>
      <c r="F6968" s="30" t="inlineStr">
        <is>
          <t>2022</t>
        </is>
      </c>
      <c r="G6968" s="40" t="n">
        <v>0</v>
      </c>
    </row>
    <row r="6969" ht="12" customHeight="1">
      <c r="A6969" s="30" t="inlineStr">
        <is>
          <t>ITG</t>
        </is>
      </c>
      <c r="B6969" s="30" t="inlineStr">
        <is>
          <t>Itaguai</t>
        </is>
      </c>
      <c r="C6969" s="30" t="n">
        <v>80525745</v>
      </c>
      <c r="D6969" s="30">
        <f>"29453826000198"</f>
        <v/>
      </c>
      <c r="E6969" s="30" t="inlineStr">
        <is>
          <t>TRANSPORTE GENEROSO LTDA</t>
        </is>
      </c>
      <c r="F6969" s="30" t="inlineStr">
        <is>
          <t>2023</t>
        </is>
      </c>
      <c r="G6969" s="40" t="n">
        <v>0</v>
      </c>
    </row>
    <row r="6970" ht="12" customHeight="1">
      <c r="A6970" s="30" t="inlineStr">
        <is>
          <t>ITG</t>
        </is>
      </c>
      <c r="B6970" s="30" t="inlineStr">
        <is>
          <t>Itaguai</t>
        </is>
      </c>
      <c r="C6970" s="30" t="n">
        <v>80615132</v>
      </c>
      <c r="D6970" s="30">
        <f>"29832318000110"</f>
        <v/>
      </c>
      <c r="E6970" s="30" t="inlineStr">
        <is>
          <t>HOTEP - HOTEIS E EMPREENDIMENTOS TURISTICOS PEREQUE LTDA</t>
        </is>
      </c>
      <c r="F6970" s="30" t="inlineStr">
        <is>
          <t>2017</t>
        </is>
      </c>
      <c r="G6970" s="40" t="n">
        <v>0</v>
      </c>
    </row>
    <row r="6971" ht="12" customHeight="1">
      <c r="A6971" s="30" t="inlineStr">
        <is>
          <t>ITG</t>
        </is>
      </c>
      <c r="B6971" s="30" t="inlineStr">
        <is>
          <t>Itaguai</t>
        </is>
      </c>
      <c r="C6971" s="30" t="n">
        <v>80615132</v>
      </c>
      <c r="D6971" s="30">
        <f>"29832318000110"</f>
        <v/>
      </c>
      <c r="E6971" s="30" t="inlineStr">
        <is>
          <t>HOTEP - HOTEIS E EMPREENDIMENTOS TURISTICOS PEREQUE LTDA</t>
        </is>
      </c>
      <c r="F6971" s="30" t="inlineStr">
        <is>
          <t>2018</t>
        </is>
      </c>
      <c r="G6971" s="40" t="n">
        <v>2963.02</v>
      </c>
    </row>
    <row r="6972" ht="12" customHeight="1">
      <c r="A6972" s="30" t="inlineStr">
        <is>
          <t>ITG</t>
        </is>
      </c>
      <c r="B6972" s="30" t="inlineStr">
        <is>
          <t>Itaguai</t>
        </is>
      </c>
      <c r="C6972" s="30" t="n">
        <v>80615132</v>
      </c>
      <c r="D6972" s="30">
        <f>"29832318000110"</f>
        <v/>
      </c>
      <c r="E6972" s="30" t="inlineStr">
        <is>
          <t>HOTEP - HOTEIS E EMPREENDIMENTOS TURISTICOS PEREQUE LTDA</t>
        </is>
      </c>
      <c r="F6972" s="30" t="inlineStr">
        <is>
          <t>2019</t>
        </is>
      </c>
      <c r="G6972" s="40" t="n">
        <v>0</v>
      </c>
    </row>
    <row r="6973" ht="12" customHeight="1">
      <c r="A6973" s="30" t="inlineStr">
        <is>
          <t>ITG</t>
        </is>
      </c>
      <c r="B6973" s="30" t="inlineStr">
        <is>
          <t>Itaguai</t>
        </is>
      </c>
      <c r="C6973" s="30" t="n">
        <v>80615132</v>
      </c>
      <c r="D6973" s="30">
        <f>"29832318000110"</f>
        <v/>
      </c>
      <c r="E6973" s="30" t="inlineStr">
        <is>
          <t>HOTEP - HOTEIS E EMPREENDIMENTOS TURISTICOS PEREQUE LTDA</t>
        </is>
      </c>
      <c r="F6973" s="30" t="inlineStr">
        <is>
          <t>2020</t>
        </is>
      </c>
      <c r="G6973" s="40" t="n">
        <v>0</v>
      </c>
    </row>
    <row r="6974" ht="12" customHeight="1">
      <c r="A6974" s="30" t="inlineStr">
        <is>
          <t>ITG</t>
        </is>
      </c>
      <c r="B6974" s="30" t="inlineStr">
        <is>
          <t>Itaguai</t>
        </is>
      </c>
      <c r="C6974" s="30" t="n">
        <v>80735936</v>
      </c>
      <c r="D6974" s="30">
        <f>"49930514002693"</f>
        <v/>
      </c>
      <c r="E6974" s="30" t="inlineStr">
        <is>
          <t>SODEXO DO BRASIL COMERCIAL S A</t>
        </is>
      </c>
      <c r="F6974" s="30" t="inlineStr">
        <is>
          <t>2018</t>
        </is>
      </c>
      <c r="G6974" s="40" t="n">
        <v>0</v>
      </c>
    </row>
    <row r="6975" ht="12" customHeight="1">
      <c r="A6975" s="30" t="inlineStr">
        <is>
          <t>ITG</t>
        </is>
      </c>
      <c r="B6975" s="30" t="inlineStr">
        <is>
          <t>Itaguai</t>
        </is>
      </c>
      <c r="C6975" s="30" t="n">
        <v>80735936</v>
      </c>
      <c r="D6975" s="30">
        <f>"49930514002693"</f>
        <v/>
      </c>
      <c r="E6975" s="30" t="inlineStr">
        <is>
          <t>SODEXO DO BRASIL COMERCIAL S A</t>
        </is>
      </c>
      <c r="F6975" s="30" t="inlineStr">
        <is>
          <t>2019</t>
        </is>
      </c>
      <c r="G6975" s="40" t="n">
        <v>0</v>
      </c>
    </row>
    <row r="6976" ht="12" customHeight="1">
      <c r="A6976" s="30" t="inlineStr">
        <is>
          <t>ITG</t>
        </is>
      </c>
      <c r="B6976" s="30" t="inlineStr">
        <is>
          <t>Itaguai</t>
        </is>
      </c>
      <c r="C6976" s="30" t="n">
        <v>80735936</v>
      </c>
      <c r="D6976" s="30">
        <f>"49930514002693"</f>
        <v/>
      </c>
      <c r="E6976" s="30" t="inlineStr">
        <is>
          <t>SODEXO DO BRASIL COMERCIAL S A</t>
        </is>
      </c>
      <c r="F6976" s="30" t="inlineStr">
        <is>
          <t>2020</t>
        </is>
      </c>
      <c r="G6976" s="40" t="n">
        <v>284600.26</v>
      </c>
    </row>
    <row r="6977" ht="12" customHeight="1">
      <c r="A6977" s="30" t="inlineStr">
        <is>
          <t>ITG</t>
        </is>
      </c>
      <c r="B6977" s="30" t="inlineStr">
        <is>
          <t>Itaguai</t>
        </is>
      </c>
      <c r="C6977" s="30" t="n">
        <v>80735936</v>
      </c>
      <c r="D6977" s="30">
        <f>"49930514002693"</f>
        <v/>
      </c>
      <c r="E6977" s="30" t="inlineStr">
        <is>
          <t>SODEXO DO BRASIL COMERCIAL S A</t>
        </is>
      </c>
      <c r="F6977" s="30" t="inlineStr">
        <is>
          <t>2021</t>
        </is>
      </c>
      <c r="G6977" s="40" t="n">
        <v>2468037.27</v>
      </c>
    </row>
    <row r="6978" ht="12" customHeight="1">
      <c r="A6978" s="30" t="inlineStr">
        <is>
          <t>ITG</t>
        </is>
      </c>
      <c r="B6978" s="30" t="inlineStr">
        <is>
          <t>Itaguai</t>
        </is>
      </c>
      <c r="C6978" s="30" t="n">
        <v>80735936</v>
      </c>
      <c r="D6978" s="30">
        <f>"49930514002693"</f>
        <v/>
      </c>
      <c r="E6978" s="30" t="inlineStr">
        <is>
          <t>SODEXO DO BRASIL COMERCIAL S A</t>
        </is>
      </c>
      <c r="F6978" s="30" t="inlineStr">
        <is>
          <t>2022</t>
        </is>
      </c>
      <c r="G6978" s="40" t="n">
        <v>1189100.12</v>
      </c>
    </row>
    <row r="6979" ht="12" customHeight="1">
      <c r="A6979" s="30" t="inlineStr">
        <is>
          <t>ITG</t>
        </is>
      </c>
      <c r="B6979" s="30" t="inlineStr">
        <is>
          <t>Itaguai</t>
        </is>
      </c>
      <c r="C6979" s="30" t="n">
        <v>80735936</v>
      </c>
      <c r="D6979" s="30">
        <f>"49930514002693"</f>
        <v/>
      </c>
      <c r="E6979" s="30" t="inlineStr">
        <is>
          <t>SODEXO DO BRASIL COMERCIAL S A</t>
        </is>
      </c>
      <c r="F6979" s="30" t="inlineStr">
        <is>
          <t>2023</t>
        </is>
      </c>
      <c r="G6979" s="40" t="n">
        <v>1537265.67</v>
      </c>
    </row>
    <row r="6980" ht="12" customHeight="1">
      <c r="A6980" s="30" t="inlineStr">
        <is>
          <t>ITG</t>
        </is>
      </c>
      <c r="B6980" s="30" t="inlineStr">
        <is>
          <t>Itaguai</t>
        </is>
      </c>
      <c r="C6980" s="30" t="n">
        <v>80752903</v>
      </c>
      <c r="D6980" s="30">
        <f>"29347887000170"</f>
        <v/>
      </c>
      <c r="E6980" s="30" t="inlineStr">
        <is>
          <t>TRANS TURISMO RIO MINHO LTDA</t>
        </is>
      </c>
      <c r="F6980" s="30" t="inlineStr">
        <is>
          <t>2017</t>
        </is>
      </c>
      <c r="G6980" s="40" t="n">
        <v>15325</v>
      </c>
    </row>
    <row r="6981" ht="12" customHeight="1">
      <c r="A6981" s="30" t="inlineStr">
        <is>
          <t>ITG</t>
        </is>
      </c>
      <c r="B6981" s="30" t="inlineStr">
        <is>
          <t>Itaguai</t>
        </is>
      </c>
      <c r="C6981" s="30" t="n">
        <v>80752903</v>
      </c>
      <c r="D6981" s="30">
        <f>"29347887000170"</f>
        <v/>
      </c>
      <c r="E6981" s="30" t="inlineStr">
        <is>
          <t>TRANS TURISMO RIO MINHO LTDA</t>
        </is>
      </c>
      <c r="F6981" s="30" t="inlineStr">
        <is>
          <t>2018</t>
        </is>
      </c>
      <c r="G6981" s="40" t="n">
        <v>0</v>
      </c>
    </row>
    <row r="6982" ht="12" customHeight="1">
      <c r="A6982" s="30" t="inlineStr">
        <is>
          <t>ITG</t>
        </is>
      </c>
      <c r="B6982" s="30" t="inlineStr">
        <is>
          <t>Itaguai</t>
        </is>
      </c>
      <c r="C6982" s="30" t="n">
        <v>80752903</v>
      </c>
      <c r="D6982" s="30">
        <f>"29347887000170"</f>
        <v/>
      </c>
      <c r="E6982" s="30" t="inlineStr">
        <is>
          <t>TRANS TURISMO RIO MINHO LTDA</t>
        </is>
      </c>
      <c r="F6982" s="30" t="inlineStr">
        <is>
          <t>2019</t>
        </is>
      </c>
      <c r="G6982" s="40" t="n">
        <v>4885.04</v>
      </c>
    </row>
    <row r="6983" ht="12" customHeight="1">
      <c r="A6983" s="30" t="inlineStr">
        <is>
          <t>ITG</t>
        </is>
      </c>
      <c r="B6983" s="30" t="inlineStr">
        <is>
          <t>Itaguai</t>
        </is>
      </c>
      <c r="C6983" s="30" t="n">
        <v>80752903</v>
      </c>
      <c r="D6983" s="30">
        <f>"29347887000170"</f>
        <v/>
      </c>
      <c r="E6983" s="30" t="inlineStr">
        <is>
          <t>TRANS TURISMO RIO MINHO LTDA</t>
        </is>
      </c>
      <c r="F6983" s="30" t="inlineStr">
        <is>
          <t>2020</t>
        </is>
      </c>
      <c r="G6983" s="40" t="n">
        <v>4890</v>
      </c>
    </row>
    <row r="6984" ht="12" customHeight="1">
      <c r="A6984" s="30" t="inlineStr">
        <is>
          <t>ITG</t>
        </is>
      </c>
      <c r="B6984" s="30" t="inlineStr">
        <is>
          <t>Itaguai</t>
        </is>
      </c>
      <c r="C6984" s="30" t="n">
        <v>80752903</v>
      </c>
      <c r="D6984" s="30">
        <f>"29347887000170"</f>
        <v/>
      </c>
      <c r="E6984" s="30" t="inlineStr">
        <is>
          <t>TRANS TURISMO RIO MINHO LTDA</t>
        </is>
      </c>
      <c r="F6984" s="30" t="inlineStr">
        <is>
          <t>2021</t>
        </is>
      </c>
      <c r="G6984" s="40" t="n">
        <v>2520</v>
      </c>
    </row>
    <row r="6985" ht="12" customHeight="1">
      <c r="A6985" s="30" t="inlineStr">
        <is>
          <t>ITG</t>
        </is>
      </c>
      <c r="B6985" s="30" t="inlineStr">
        <is>
          <t>Itaguai</t>
        </is>
      </c>
      <c r="C6985" s="30" t="n">
        <v>80752903</v>
      </c>
      <c r="D6985" s="30">
        <f>"29347887000170"</f>
        <v/>
      </c>
      <c r="E6985" s="30" t="inlineStr">
        <is>
          <t>TRANS TURISMO RIO MINHO LTDA</t>
        </is>
      </c>
      <c r="F6985" s="30" t="inlineStr">
        <is>
          <t>2022</t>
        </is>
      </c>
      <c r="G6985" s="40" t="n">
        <v>1250</v>
      </c>
    </row>
    <row r="6986" ht="12" customHeight="1">
      <c r="A6986" s="30" t="inlineStr">
        <is>
          <t>ITG</t>
        </is>
      </c>
      <c r="B6986" s="30" t="inlineStr">
        <is>
          <t>Itaguai</t>
        </is>
      </c>
      <c r="C6986" s="30" t="n">
        <v>80752903</v>
      </c>
      <c r="D6986" s="30">
        <f>"29347887000170"</f>
        <v/>
      </c>
      <c r="E6986" s="30" t="inlineStr">
        <is>
          <t>TRANS TURISMO RIO MINHO LTDA</t>
        </is>
      </c>
      <c r="F6986" s="30" t="inlineStr">
        <is>
          <t>2023</t>
        </is>
      </c>
      <c r="G6986" s="40" t="n">
        <v>0</v>
      </c>
    </row>
    <row r="6987" ht="12" customHeight="1">
      <c r="A6987" s="30" t="inlineStr">
        <is>
          <t>ITG</t>
        </is>
      </c>
      <c r="B6987" s="30" t="inlineStr">
        <is>
          <t>Itaguai</t>
        </is>
      </c>
      <c r="C6987" s="30" t="n">
        <v>80781431</v>
      </c>
      <c r="D6987" s="30">
        <f>"32285454000142"</f>
        <v/>
      </c>
      <c r="E6987" s="30" t="inlineStr">
        <is>
          <t>VIACAO SALUTARIS E TURISMO SA</t>
        </is>
      </c>
      <c r="F6987" s="30" t="inlineStr">
        <is>
          <t>2020</t>
        </is>
      </c>
      <c r="G6987" s="40" t="n">
        <v>0</v>
      </c>
    </row>
    <row r="6988" ht="12" customHeight="1">
      <c r="A6988" s="30" t="inlineStr">
        <is>
          <t>ITG</t>
        </is>
      </c>
      <c r="B6988" s="30" t="inlineStr">
        <is>
          <t>Itaguai</t>
        </is>
      </c>
      <c r="C6988" s="30" t="n">
        <v>80781431</v>
      </c>
      <c r="D6988" s="30">
        <f>"32285454000142"</f>
        <v/>
      </c>
      <c r="E6988" s="30" t="inlineStr">
        <is>
          <t>VIACAO SALUTARIS E TURISMO SA</t>
        </is>
      </c>
      <c r="F6988" s="30" t="inlineStr">
        <is>
          <t>2021</t>
        </is>
      </c>
      <c r="G6988" s="40" t="n">
        <v>0</v>
      </c>
    </row>
    <row r="6989" ht="12" customHeight="1">
      <c r="A6989" s="30" t="inlineStr">
        <is>
          <t>ITG</t>
        </is>
      </c>
      <c r="B6989" s="30" t="inlineStr">
        <is>
          <t>Itaguai</t>
        </is>
      </c>
      <c r="C6989" s="30" t="n">
        <v>80781431</v>
      </c>
      <c r="D6989" s="30">
        <f>"32285454000142"</f>
        <v/>
      </c>
      <c r="E6989" s="30" t="inlineStr">
        <is>
          <t>VIACAO SALUTARIS E TURISMO SA</t>
        </is>
      </c>
      <c r="F6989" s="30" t="inlineStr">
        <is>
          <t>2022</t>
        </is>
      </c>
      <c r="G6989" s="40" t="n">
        <v>4934.72</v>
      </c>
    </row>
    <row r="6990" ht="12" customHeight="1">
      <c r="A6990" s="30" t="inlineStr">
        <is>
          <t>ITG</t>
        </is>
      </c>
      <c r="B6990" s="30" t="inlineStr">
        <is>
          <t>Itaguai</t>
        </is>
      </c>
      <c r="C6990" s="30" t="n">
        <v>80781431</v>
      </c>
      <c r="D6990" s="30">
        <f>"32285454000142"</f>
        <v/>
      </c>
      <c r="E6990" s="30" t="inlineStr">
        <is>
          <t>VIACAO SALUTARIS E TURISMO SA</t>
        </is>
      </c>
      <c r="F6990" s="30" t="inlineStr">
        <is>
          <t>2023</t>
        </is>
      </c>
      <c r="G6990" s="40" t="n">
        <v>0</v>
      </c>
    </row>
    <row r="6991" ht="12" customHeight="1">
      <c r="A6991" s="30" t="inlineStr">
        <is>
          <t>ITG</t>
        </is>
      </c>
      <c r="B6991" s="30" t="inlineStr">
        <is>
          <t>Itaguai</t>
        </is>
      </c>
      <c r="C6991" s="30" t="n">
        <v>80829795</v>
      </c>
      <c r="D6991" s="30">
        <f>"32404063000108"</f>
        <v/>
      </c>
      <c r="E6991" s="30" t="inlineStr">
        <is>
          <t>VIACAO PROGRESSO E TURISMO S/A</t>
        </is>
      </c>
      <c r="F6991" s="30" t="inlineStr">
        <is>
          <t>2017</t>
        </is>
      </c>
      <c r="G6991" s="40" t="n">
        <v>2601.27</v>
      </c>
    </row>
    <row r="6992" ht="12" customHeight="1">
      <c r="A6992" s="30" t="inlineStr">
        <is>
          <t>ITG</t>
        </is>
      </c>
      <c r="B6992" s="30" t="inlineStr">
        <is>
          <t>Itaguai</t>
        </is>
      </c>
      <c r="C6992" s="30" t="n">
        <v>80829795</v>
      </c>
      <c r="D6992" s="30">
        <f>"32404063000108"</f>
        <v/>
      </c>
      <c r="E6992" s="30" t="inlineStr">
        <is>
          <t>VIACAO PROGRESSO E TURISMO S/A</t>
        </is>
      </c>
      <c r="F6992" s="30" t="inlineStr">
        <is>
          <t>2018</t>
        </is>
      </c>
      <c r="G6992" s="40" t="n">
        <v>1787.55</v>
      </c>
    </row>
    <row r="6993" ht="12" customHeight="1">
      <c r="A6993" s="30" t="inlineStr">
        <is>
          <t>ITG</t>
        </is>
      </c>
      <c r="B6993" s="30" t="inlineStr">
        <is>
          <t>Itaguai</t>
        </is>
      </c>
      <c r="C6993" s="30" t="n">
        <v>80829795</v>
      </c>
      <c r="D6993" s="30">
        <f>"32404063000108"</f>
        <v/>
      </c>
      <c r="E6993" s="30" t="inlineStr">
        <is>
          <t>VIACAO PROGRESSO E TURISMO S/A</t>
        </is>
      </c>
      <c r="F6993" s="30" t="inlineStr">
        <is>
          <t>2019</t>
        </is>
      </c>
      <c r="G6993" s="40" t="n">
        <v>3366.29</v>
      </c>
    </row>
    <row r="6994" ht="12" customHeight="1">
      <c r="A6994" s="30" t="inlineStr">
        <is>
          <t>ITG</t>
        </is>
      </c>
      <c r="B6994" s="30" t="inlineStr">
        <is>
          <t>Itaguai</t>
        </is>
      </c>
      <c r="C6994" s="30" t="n">
        <v>80829795</v>
      </c>
      <c r="D6994" s="30">
        <f>"32404063000108"</f>
        <v/>
      </c>
      <c r="E6994" s="30" t="inlineStr">
        <is>
          <t>VIACAO PROGRESSO E TURISMO S/A</t>
        </is>
      </c>
      <c r="F6994" s="30" t="inlineStr">
        <is>
          <t>2020</t>
        </is>
      </c>
      <c r="G6994" s="40" t="n">
        <v>1140.92</v>
      </c>
    </row>
    <row r="6995" ht="12" customHeight="1">
      <c r="A6995" s="30" t="inlineStr">
        <is>
          <t>ITG</t>
        </is>
      </c>
      <c r="B6995" s="30" t="inlineStr">
        <is>
          <t>Itaguai</t>
        </is>
      </c>
      <c r="C6995" s="30" t="n">
        <v>80829795</v>
      </c>
      <c r="D6995" s="30">
        <f>"32404063000108"</f>
        <v/>
      </c>
      <c r="E6995" s="30" t="inlineStr">
        <is>
          <t>VIACAO PROGRESSO E TURISMO S/A</t>
        </is>
      </c>
      <c r="F6995" s="30" t="inlineStr">
        <is>
          <t>2021</t>
        </is>
      </c>
      <c r="G6995" s="40" t="n">
        <v>333.14</v>
      </c>
    </row>
    <row r="6996" ht="12" customHeight="1">
      <c r="A6996" s="30" t="inlineStr">
        <is>
          <t>ITG</t>
        </is>
      </c>
      <c r="B6996" s="30" t="inlineStr">
        <is>
          <t>Itaguai</t>
        </is>
      </c>
      <c r="C6996" s="30" t="n">
        <v>80829795</v>
      </c>
      <c r="D6996" s="30">
        <f>"32404063000108"</f>
        <v/>
      </c>
      <c r="E6996" s="30" t="inlineStr">
        <is>
          <t>VIACAO PROGRESSO E TURISMO S/A</t>
        </is>
      </c>
      <c r="F6996" s="30" t="inlineStr">
        <is>
          <t>2022</t>
        </is>
      </c>
      <c r="G6996" s="40" t="n">
        <v>0</v>
      </c>
    </row>
    <row r="6997" ht="12" customHeight="1">
      <c r="A6997" s="30" t="inlineStr">
        <is>
          <t>ITG</t>
        </is>
      </c>
      <c r="B6997" s="30" t="inlineStr">
        <is>
          <t>Itaguai</t>
        </is>
      </c>
      <c r="C6997" s="30" t="n">
        <v>80829795</v>
      </c>
      <c r="D6997" s="30">
        <f>"32404063000108"</f>
        <v/>
      </c>
      <c r="E6997" s="30" t="inlineStr">
        <is>
          <t>VIACAO PROGRESSO E TURISMO S/A</t>
        </is>
      </c>
      <c r="F6997" s="30" t="inlineStr">
        <is>
          <t>2023</t>
        </is>
      </c>
      <c r="G6997" s="40" t="n">
        <v>0</v>
      </c>
    </row>
    <row r="6998" ht="12" customHeight="1">
      <c r="A6998" s="30" t="inlineStr">
        <is>
          <t>ITG</t>
        </is>
      </c>
      <c r="B6998" s="30" t="inlineStr">
        <is>
          <t>Itaguai</t>
        </is>
      </c>
      <c r="C6998" s="30" t="n">
        <v>80978006</v>
      </c>
      <c r="D6998" s="30">
        <f>"02224206000120"</f>
        <v/>
      </c>
      <c r="E6998" s="30" t="inlineStr">
        <is>
          <t>TRANSPORTADORA MACABU LTDA</t>
        </is>
      </c>
      <c r="F6998" s="30" t="inlineStr">
        <is>
          <t>2017</t>
        </is>
      </c>
      <c r="G6998" s="40" t="n">
        <v>14667.25</v>
      </c>
    </row>
    <row r="6999" ht="12" customHeight="1">
      <c r="A6999" s="30" t="inlineStr">
        <is>
          <t>ITG</t>
        </is>
      </c>
      <c r="B6999" s="30" t="inlineStr">
        <is>
          <t>Itaguai</t>
        </is>
      </c>
      <c r="C6999" s="30" t="n">
        <v>80978006</v>
      </c>
      <c r="D6999" s="30">
        <f>"02224206000120"</f>
        <v/>
      </c>
      <c r="E6999" s="30" t="inlineStr">
        <is>
          <t>TRANSPORTADORA MACABU LTDA</t>
        </is>
      </c>
      <c r="F6999" s="30" t="inlineStr">
        <is>
          <t>2018</t>
        </is>
      </c>
      <c r="G6999" s="40" t="n">
        <v>0</v>
      </c>
    </row>
    <row r="7000" ht="12" customHeight="1">
      <c r="A7000" s="30" t="inlineStr">
        <is>
          <t>ITG</t>
        </is>
      </c>
      <c r="B7000" s="30" t="inlineStr">
        <is>
          <t>Itaguai</t>
        </is>
      </c>
      <c r="C7000" s="30" t="n">
        <v>80978006</v>
      </c>
      <c r="D7000" s="30">
        <f>"02224206000120"</f>
        <v/>
      </c>
      <c r="E7000" s="30" t="inlineStr">
        <is>
          <t>TRANSPORTADORA MACABU LTDA</t>
        </is>
      </c>
      <c r="F7000" s="30" t="inlineStr">
        <is>
          <t>2019</t>
        </is>
      </c>
      <c r="G7000" s="40" t="n">
        <v>0</v>
      </c>
    </row>
    <row r="7001" ht="12" customHeight="1">
      <c r="A7001" s="30" t="inlineStr">
        <is>
          <t>ITG</t>
        </is>
      </c>
      <c r="B7001" s="30" t="inlineStr">
        <is>
          <t>Itaguai</t>
        </is>
      </c>
      <c r="C7001" s="30" t="n">
        <v>81146853</v>
      </c>
      <c r="D7001" s="30">
        <f>"19632116005807"</f>
        <v/>
      </c>
      <c r="E7001" s="30" t="inlineStr">
        <is>
          <t>VIACAO RIODOCE LTDA</t>
        </is>
      </c>
      <c r="F7001" s="30" t="inlineStr">
        <is>
          <t>2017</t>
        </is>
      </c>
      <c r="G7001" s="40" t="n">
        <v>148639.22</v>
      </c>
    </row>
    <row r="7002" ht="12" customHeight="1">
      <c r="A7002" s="30" t="inlineStr">
        <is>
          <t>ITG</t>
        </is>
      </c>
      <c r="B7002" s="30" t="inlineStr">
        <is>
          <t>Itaguai</t>
        </is>
      </c>
      <c r="C7002" s="30" t="n">
        <v>81146853</v>
      </c>
      <c r="D7002" s="30">
        <f>"19632116005807"</f>
        <v/>
      </c>
      <c r="E7002" s="30" t="inlineStr">
        <is>
          <t>VIACAO RIODOCE LTDA</t>
        </is>
      </c>
      <c r="F7002" s="30" t="inlineStr">
        <is>
          <t>2018</t>
        </is>
      </c>
      <c r="G7002" s="40" t="n">
        <v>159795.92</v>
      </c>
    </row>
    <row r="7003" ht="12" customHeight="1">
      <c r="A7003" s="30" t="inlineStr">
        <is>
          <t>ITG</t>
        </is>
      </c>
      <c r="B7003" s="30" t="inlineStr">
        <is>
          <t>Itaguai</t>
        </is>
      </c>
      <c r="C7003" s="30" t="n">
        <v>81146853</v>
      </c>
      <c r="D7003" s="30">
        <f>"19632116005807"</f>
        <v/>
      </c>
      <c r="E7003" s="30" t="inlineStr">
        <is>
          <t>VIACAO RIODOCE LTDA</t>
        </is>
      </c>
      <c r="F7003" s="30" t="inlineStr">
        <is>
          <t>2019</t>
        </is>
      </c>
      <c r="G7003" s="40" t="n">
        <v>155304.39</v>
      </c>
    </row>
    <row r="7004" ht="12" customHeight="1">
      <c r="A7004" s="30" t="inlineStr">
        <is>
          <t>ITG</t>
        </is>
      </c>
      <c r="B7004" s="30" t="inlineStr">
        <is>
          <t>Itaguai</t>
        </is>
      </c>
      <c r="C7004" s="30" t="n">
        <v>81146853</v>
      </c>
      <c r="D7004" s="30">
        <f>"19632116005807"</f>
        <v/>
      </c>
      <c r="E7004" s="30" t="inlineStr">
        <is>
          <t>VIACAO RIODOCE LTDA</t>
        </is>
      </c>
      <c r="F7004" s="30" t="inlineStr">
        <is>
          <t>2020</t>
        </is>
      </c>
      <c r="G7004" s="40" t="n">
        <v>65271.39</v>
      </c>
    </row>
    <row r="7005" ht="12" customHeight="1">
      <c r="A7005" s="30" t="inlineStr">
        <is>
          <t>ITG</t>
        </is>
      </c>
      <c r="B7005" s="30" t="inlineStr">
        <is>
          <t>Itaguai</t>
        </is>
      </c>
      <c r="C7005" s="30" t="n">
        <v>81146853</v>
      </c>
      <c r="D7005" s="30">
        <f>"19632116005807"</f>
        <v/>
      </c>
      <c r="E7005" s="30" t="inlineStr">
        <is>
          <t>VIACAO RIODOCE LTDA</t>
        </is>
      </c>
      <c r="F7005" s="30" t="inlineStr">
        <is>
          <t>2021</t>
        </is>
      </c>
      <c r="G7005" s="40" t="n">
        <v>122866.64</v>
      </c>
    </row>
    <row r="7006" ht="12" customHeight="1">
      <c r="A7006" s="30" t="inlineStr">
        <is>
          <t>ITG</t>
        </is>
      </c>
      <c r="B7006" s="30" t="inlineStr">
        <is>
          <t>Itaguai</t>
        </is>
      </c>
      <c r="C7006" s="30" t="n">
        <v>81146853</v>
      </c>
      <c r="D7006" s="30">
        <f>"19632116005807"</f>
        <v/>
      </c>
      <c r="E7006" s="30" t="inlineStr">
        <is>
          <t>VIACAO RIODOCE LTDA</t>
        </is>
      </c>
      <c r="F7006" s="30" t="inlineStr">
        <is>
          <t>2022</t>
        </is>
      </c>
      <c r="G7006" s="40" t="n">
        <v>137330.11</v>
      </c>
    </row>
    <row r="7007" ht="12" customHeight="1">
      <c r="A7007" s="30" t="inlineStr">
        <is>
          <t>ITG</t>
        </is>
      </c>
      <c r="B7007" s="30" t="inlineStr">
        <is>
          <t>Itaguai</t>
        </is>
      </c>
      <c r="C7007" s="30" t="n">
        <v>81146853</v>
      </c>
      <c r="D7007" s="30">
        <f>"19632116005807"</f>
        <v/>
      </c>
      <c r="E7007" s="30" t="inlineStr">
        <is>
          <t>VIACAO RIODOCE LTDA</t>
        </is>
      </c>
      <c r="F7007" s="30" t="inlineStr">
        <is>
          <t>2023</t>
        </is>
      </c>
      <c r="G7007" s="40" t="n">
        <v>143117.74</v>
      </c>
    </row>
    <row r="7008" ht="12" customHeight="1">
      <c r="A7008" s="30" t="inlineStr">
        <is>
          <t>ITG</t>
        </is>
      </c>
      <c r="B7008" s="30" t="inlineStr">
        <is>
          <t>Itaguai</t>
        </is>
      </c>
      <c r="C7008" s="30" t="n">
        <v>81215006</v>
      </c>
      <c r="D7008" s="30">
        <f>"42182949000108"</f>
        <v/>
      </c>
      <c r="E7008" s="30" t="inlineStr">
        <is>
          <t>TRANSPORTES SANTA PAULA LTDA</t>
        </is>
      </c>
      <c r="F7008" s="30" t="inlineStr">
        <is>
          <t>2017</t>
        </is>
      </c>
      <c r="G7008" s="40" t="n">
        <v>88430.32000000001</v>
      </c>
    </row>
    <row r="7009" ht="12" customHeight="1">
      <c r="A7009" s="30" t="inlineStr">
        <is>
          <t>ITG</t>
        </is>
      </c>
      <c r="B7009" s="30" t="inlineStr">
        <is>
          <t>Itaguai</t>
        </is>
      </c>
      <c r="C7009" s="30" t="n">
        <v>81215006</v>
      </c>
      <c r="D7009" s="30">
        <f>"42182949000108"</f>
        <v/>
      </c>
      <c r="E7009" s="30" t="inlineStr">
        <is>
          <t>TRANSPORTES SANTA PAULA LTDA</t>
        </is>
      </c>
      <c r="F7009" s="30" t="inlineStr">
        <is>
          <t>2018</t>
        </is>
      </c>
      <c r="G7009" s="40" t="n">
        <v>414397.05</v>
      </c>
    </row>
    <row r="7010" ht="12" customHeight="1">
      <c r="A7010" s="30" t="inlineStr">
        <is>
          <t>ITG</t>
        </is>
      </c>
      <c r="B7010" s="30" t="inlineStr">
        <is>
          <t>Itaguai</t>
        </is>
      </c>
      <c r="C7010" s="30" t="n">
        <v>81215006</v>
      </c>
      <c r="D7010" s="30">
        <f>"42182949000108"</f>
        <v/>
      </c>
      <c r="E7010" s="30" t="inlineStr">
        <is>
          <t>TRANSPORTES SANTA PAULA LTDA</t>
        </is>
      </c>
      <c r="F7010" s="30" t="inlineStr">
        <is>
          <t>2019</t>
        </is>
      </c>
      <c r="G7010" s="40" t="n">
        <v>0</v>
      </c>
    </row>
    <row r="7011" ht="12" customHeight="1">
      <c r="A7011" s="30" t="inlineStr">
        <is>
          <t>ITG</t>
        </is>
      </c>
      <c r="B7011" s="30" t="inlineStr">
        <is>
          <t>Itaguai</t>
        </is>
      </c>
      <c r="C7011" s="30" t="n">
        <v>81215006</v>
      </c>
      <c r="D7011" s="30">
        <f>"42182949000108"</f>
        <v/>
      </c>
      <c r="E7011" s="30" t="inlineStr">
        <is>
          <t>TRANSPORTES SANTA PAULA LTDA</t>
        </is>
      </c>
      <c r="F7011" s="30" t="inlineStr">
        <is>
          <t>2020</t>
        </is>
      </c>
      <c r="G7011" s="40" t="n">
        <v>0</v>
      </c>
    </row>
    <row r="7012" ht="12" customHeight="1">
      <c r="A7012" s="30" t="inlineStr">
        <is>
          <t>ITG</t>
        </is>
      </c>
      <c r="B7012" s="30" t="inlineStr">
        <is>
          <t>Itaguai</t>
        </is>
      </c>
      <c r="C7012" s="30" t="n">
        <v>81239592</v>
      </c>
      <c r="D7012" s="30">
        <f>"58890252000202"</f>
        <v/>
      </c>
      <c r="E7012" s="30" t="inlineStr">
        <is>
          <t>DHL EXPRESS BRASIL LTDA</t>
        </is>
      </c>
      <c r="F7012" s="30" t="inlineStr">
        <is>
          <t>2017</t>
        </is>
      </c>
      <c r="G7012" s="40" t="n">
        <v>13255.38</v>
      </c>
    </row>
    <row r="7013" ht="12" customHeight="1">
      <c r="A7013" s="30" t="inlineStr">
        <is>
          <t>ITG</t>
        </is>
      </c>
      <c r="B7013" s="30" t="inlineStr">
        <is>
          <t>Itaguai</t>
        </is>
      </c>
      <c r="C7013" s="30" t="n">
        <v>81239592</v>
      </c>
      <c r="D7013" s="30">
        <f>"58890252000202"</f>
        <v/>
      </c>
      <c r="E7013" s="30" t="inlineStr">
        <is>
          <t>DHL EXPRESS BRASIL LTDA</t>
        </is>
      </c>
      <c r="F7013" s="30" t="inlineStr">
        <is>
          <t>2018</t>
        </is>
      </c>
      <c r="G7013" s="40" t="n">
        <v>50415.32</v>
      </c>
    </row>
    <row r="7014" ht="12" customHeight="1">
      <c r="A7014" s="30" t="inlineStr">
        <is>
          <t>ITG</t>
        </is>
      </c>
      <c r="B7014" s="30" t="inlineStr">
        <is>
          <t>Itaguai</t>
        </is>
      </c>
      <c r="C7014" s="30" t="n">
        <v>81239592</v>
      </c>
      <c r="D7014" s="30">
        <f>"58890252000202"</f>
        <v/>
      </c>
      <c r="E7014" s="30" t="inlineStr">
        <is>
          <t>DHL EXPRESS BRASIL LTDA</t>
        </is>
      </c>
      <c r="F7014" s="30" t="inlineStr">
        <is>
          <t>2019</t>
        </is>
      </c>
      <c r="G7014" s="40" t="n">
        <v>25396.03</v>
      </c>
    </row>
    <row r="7015" ht="12" customHeight="1">
      <c r="A7015" s="30" t="inlineStr">
        <is>
          <t>ITG</t>
        </is>
      </c>
      <c r="B7015" s="30" t="inlineStr">
        <is>
          <t>Itaguai</t>
        </is>
      </c>
      <c r="C7015" s="30" t="n">
        <v>81239592</v>
      </c>
      <c r="D7015" s="30">
        <f>"58890252000202"</f>
        <v/>
      </c>
      <c r="E7015" s="30" t="inlineStr">
        <is>
          <t>DHL EXPRESS BRASIL LTDA</t>
        </is>
      </c>
      <c r="F7015" s="30" t="inlineStr">
        <is>
          <t>2020</t>
        </is>
      </c>
      <c r="G7015" s="40" t="n">
        <v>14106.92</v>
      </c>
    </row>
    <row r="7016" ht="12" customHeight="1">
      <c r="A7016" s="30" t="inlineStr">
        <is>
          <t>ITG</t>
        </is>
      </c>
      <c r="B7016" s="30" t="inlineStr">
        <is>
          <t>Itaguai</t>
        </is>
      </c>
      <c r="C7016" s="30" t="n">
        <v>81239592</v>
      </c>
      <c r="D7016" s="30">
        <f>"58890252000202"</f>
        <v/>
      </c>
      <c r="E7016" s="30" t="inlineStr">
        <is>
          <t>DHL EXPRESS BRASIL LTDA</t>
        </is>
      </c>
      <c r="F7016" s="30" t="inlineStr">
        <is>
          <t>2021</t>
        </is>
      </c>
      <c r="G7016" s="40" t="n">
        <v>22586.58</v>
      </c>
    </row>
    <row r="7017" ht="12" customHeight="1">
      <c r="A7017" s="30" t="inlineStr">
        <is>
          <t>ITG</t>
        </is>
      </c>
      <c r="B7017" s="30" t="inlineStr">
        <is>
          <t>Itaguai</t>
        </is>
      </c>
      <c r="C7017" s="30" t="n">
        <v>81239592</v>
      </c>
      <c r="D7017" s="30">
        <f>"58890252000202"</f>
        <v/>
      </c>
      <c r="E7017" s="30" t="inlineStr">
        <is>
          <t>DHL EXPRESS BRASIL LTDA</t>
        </is>
      </c>
      <c r="F7017" s="30" t="inlineStr">
        <is>
          <t>2022</t>
        </is>
      </c>
      <c r="G7017" s="40" t="n">
        <v>26989.63</v>
      </c>
    </row>
    <row r="7018" ht="12" customHeight="1">
      <c r="A7018" s="30" t="inlineStr">
        <is>
          <t>ITG</t>
        </is>
      </c>
      <c r="B7018" s="30" t="inlineStr">
        <is>
          <t>Itaguai</t>
        </is>
      </c>
      <c r="C7018" s="30" t="n">
        <v>81239592</v>
      </c>
      <c r="D7018" s="30">
        <f>"58890252000202"</f>
        <v/>
      </c>
      <c r="E7018" s="30" t="inlineStr">
        <is>
          <t>DHL EXPRESS BRASIL LTDA</t>
        </is>
      </c>
      <c r="F7018" s="30" t="inlineStr">
        <is>
          <t>2023</t>
        </is>
      </c>
      <c r="G7018" s="40" t="n">
        <v>28129.44</v>
      </c>
    </row>
    <row r="7019" ht="12" customHeight="1">
      <c r="A7019" s="30" t="inlineStr">
        <is>
          <t>ITG</t>
        </is>
      </c>
      <c r="B7019" s="30" t="inlineStr">
        <is>
          <t>Itaguai</t>
        </is>
      </c>
      <c r="C7019" s="30" t="n">
        <v>81258872</v>
      </c>
      <c r="D7019" s="30">
        <f>"87183570000738"</f>
        <v/>
      </c>
      <c r="E7019" s="30" t="inlineStr">
        <is>
          <t>TRANSPORTADORA MINUANO LTDA</t>
        </is>
      </c>
      <c r="F7019" s="30" t="inlineStr">
        <is>
          <t>2017</t>
        </is>
      </c>
      <c r="G7019" s="40" t="n">
        <v>3062.88</v>
      </c>
    </row>
    <row r="7020" ht="12" customHeight="1">
      <c r="A7020" s="30" t="inlineStr">
        <is>
          <t>ITG</t>
        </is>
      </c>
      <c r="B7020" s="30" t="inlineStr">
        <is>
          <t>Itaguai</t>
        </is>
      </c>
      <c r="C7020" s="30" t="n">
        <v>81258872</v>
      </c>
      <c r="D7020" s="30">
        <f>"87183570000738"</f>
        <v/>
      </c>
      <c r="E7020" s="30" t="inlineStr">
        <is>
          <t>TRANSPORTADORA MINUANO LTDA</t>
        </is>
      </c>
      <c r="F7020" s="30" t="inlineStr">
        <is>
          <t>2018</t>
        </is>
      </c>
      <c r="G7020" s="40" t="n">
        <v>4792.76</v>
      </c>
    </row>
    <row r="7021" ht="12" customHeight="1">
      <c r="A7021" s="30" t="inlineStr">
        <is>
          <t>ITG</t>
        </is>
      </c>
      <c r="B7021" s="30" t="inlineStr">
        <is>
          <t>Itaguai</t>
        </is>
      </c>
      <c r="C7021" s="30" t="n">
        <v>81258872</v>
      </c>
      <c r="D7021" s="30">
        <f>"87183570000738"</f>
        <v/>
      </c>
      <c r="E7021" s="30" t="inlineStr">
        <is>
          <t>TRANSPORTADORA MINUANO LTDA</t>
        </is>
      </c>
      <c r="F7021" s="30" t="inlineStr">
        <is>
          <t>2019</t>
        </is>
      </c>
      <c r="G7021" s="40" t="n">
        <v>3853.09</v>
      </c>
    </row>
    <row r="7022" ht="12" customHeight="1">
      <c r="A7022" s="30" t="inlineStr">
        <is>
          <t>ITG</t>
        </is>
      </c>
      <c r="B7022" s="30" t="inlineStr">
        <is>
          <t>Itaguai</t>
        </is>
      </c>
      <c r="C7022" s="30" t="n">
        <v>81258872</v>
      </c>
      <c r="D7022" s="30">
        <f>"87183570000738"</f>
        <v/>
      </c>
      <c r="E7022" s="30" t="inlineStr">
        <is>
          <t>TRANSPORTADORA MINUANO LTDA</t>
        </is>
      </c>
      <c r="F7022" s="30" t="inlineStr">
        <is>
          <t>2020</t>
        </is>
      </c>
      <c r="G7022" s="40" t="n">
        <v>1428.46</v>
      </c>
    </row>
    <row r="7023" ht="12" customHeight="1">
      <c r="A7023" s="30" t="inlineStr">
        <is>
          <t>ITG</t>
        </is>
      </c>
      <c r="B7023" s="30" t="inlineStr">
        <is>
          <t>Itaguai</t>
        </is>
      </c>
      <c r="C7023" s="30" t="n">
        <v>81258872</v>
      </c>
      <c r="D7023" s="30">
        <f>"87183570000738"</f>
        <v/>
      </c>
      <c r="E7023" s="30" t="inlineStr">
        <is>
          <t>TRANSPORTADORA MINUANO LTDA</t>
        </is>
      </c>
      <c r="F7023" s="30" t="inlineStr">
        <is>
          <t>2021</t>
        </is>
      </c>
      <c r="G7023" s="40" t="n">
        <v>2444.27</v>
      </c>
    </row>
    <row r="7024" ht="12" customHeight="1">
      <c r="A7024" s="30" t="inlineStr">
        <is>
          <t>ITG</t>
        </is>
      </c>
      <c r="B7024" s="30" t="inlineStr">
        <is>
          <t>Itaguai</t>
        </is>
      </c>
      <c r="C7024" s="30" t="n">
        <v>81258872</v>
      </c>
      <c r="D7024" s="30">
        <f>"87183570000738"</f>
        <v/>
      </c>
      <c r="E7024" s="30" t="inlineStr">
        <is>
          <t>TRANSPORTADORA MINUANO LTDA</t>
        </is>
      </c>
      <c r="F7024" s="30" t="inlineStr">
        <is>
          <t>2022</t>
        </is>
      </c>
      <c r="G7024" s="40" t="n">
        <v>4501.59</v>
      </c>
    </row>
    <row r="7025" ht="12" customHeight="1">
      <c r="A7025" s="30" t="inlineStr">
        <is>
          <t>ITG</t>
        </is>
      </c>
      <c r="B7025" s="30" t="inlineStr">
        <is>
          <t>Itaguai</t>
        </is>
      </c>
      <c r="C7025" s="30" t="n">
        <v>81258872</v>
      </c>
      <c r="D7025" s="30">
        <f>"87183570000738"</f>
        <v/>
      </c>
      <c r="E7025" s="30" t="inlineStr">
        <is>
          <t>TRANSPORTADORA MINUANO LTDA</t>
        </is>
      </c>
      <c r="F7025" s="30" t="inlineStr">
        <is>
          <t>2023</t>
        </is>
      </c>
      <c r="G7025" s="40" t="n">
        <v>4440.95</v>
      </c>
    </row>
    <row r="7026" ht="12" customHeight="1">
      <c r="A7026" s="30" t="inlineStr">
        <is>
          <t>ITG</t>
        </is>
      </c>
      <c r="B7026" s="30" t="inlineStr">
        <is>
          <t>Itaguai</t>
        </is>
      </c>
      <c r="C7026" s="30" t="n">
        <v>81330174</v>
      </c>
      <c r="D7026" s="30">
        <f>"02905110001957"</f>
        <v/>
      </c>
      <c r="E7026" s="30" t="inlineStr">
        <is>
          <t>GR SERVICOS E ALIMENTACAO LTDA</t>
        </is>
      </c>
      <c r="F7026" s="30" t="inlineStr">
        <is>
          <t>2017</t>
        </is>
      </c>
      <c r="G7026" s="40" t="n">
        <v>3590263.71</v>
      </c>
    </row>
    <row r="7027" ht="12" customHeight="1">
      <c r="A7027" s="30" t="inlineStr">
        <is>
          <t>ITG</t>
        </is>
      </c>
      <c r="B7027" s="30" t="inlineStr">
        <is>
          <t>Itaguai</t>
        </is>
      </c>
      <c r="C7027" s="30" t="n">
        <v>81330174</v>
      </c>
      <c r="D7027" s="30">
        <f>"02905110001957"</f>
        <v/>
      </c>
      <c r="E7027" s="30" t="inlineStr">
        <is>
          <t>GR SERVICOS E ALIMENTACAO LTDA</t>
        </is>
      </c>
      <c r="F7027" s="30" t="inlineStr">
        <is>
          <t>2018</t>
        </is>
      </c>
      <c r="G7027" s="40" t="n">
        <v>3545196.11</v>
      </c>
    </row>
    <row r="7028" ht="12" customHeight="1">
      <c r="A7028" s="30" t="inlineStr">
        <is>
          <t>ITG</t>
        </is>
      </c>
      <c r="B7028" s="30" t="inlineStr">
        <is>
          <t>Itaguai</t>
        </is>
      </c>
      <c r="C7028" s="30" t="n">
        <v>81330174</v>
      </c>
      <c r="D7028" s="30">
        <f>"02905110001957"</f>
        <v/>
      </c>
      <c r="E7028" s="30" t="inlineStr">
        <is>
          <t>GR SERVICOS E ALIMENTACAO LTDA</t>
        </is>
      </c>
      <c r="F7028" s="30" t="inlineStr">
        <is>
          <t>2019</t>
        </is>
      </c>
      <c r="G7028" s="40" t="n">
        <v>3861792.64</v>
      </c>
    </row>
    <row r="7029" ht="12" customHeight="1">
      <c r="A7029" s="30" t="inlineStr">
        <is>
          <t>ITG</t>
        </is>
      </c>
      <c r="B7029" s="30" t="inlineStr">
        <is>
          <t>Itaguai</t>
        </is>
      </c>
      <c r="C7029" s="30" t="n">
        <v>81330174</v>
      </c>
      <c r="D7029" s="30">
        <f>"02905110001957"</f>
        <v/>
      </c>
      <c r="E7029" s="30" t="inlineStr">
        <is>
          <t>GR SERVICOS E ALIMENTACAO LTDA</t>
        </is>
      </c>
      <c r="F7029" s="30" t="inlineStr">
        <is>
          <t>2020</t>
        </is>
      </c>
      <c r="G7029" s="40" t="n">
        <v>3463525.63</v>
      </c>
    </row>
    <row r="7030" ht="12" customHeight="1">
      <c r="A7030" s="30" t="inlineStr">
        <is>
          <t>ITG</t>
        </is>
      </c>
      <c r="B7030" s="30" t="inlineStr">
        <is>
          <t>Itaguai</t>
        </is>
      </c>
      <c r="C7030" s="30" t="n">
        <v>81330174</v>
      </c>
      <c r="D7030" s="30">
        <f>"02905110001957"</f>
        <v/>
      </c>
      <c r="E7030" s="30" t="inlineStr">
        <is>
          <t>GR SERVICOS E ALIMENTACAO LTDA</t>
        </is>
      </c>
      <c r="F7030" s="30" t="inlineStr">
        <is>
          <t>2021</t>
        </is>
      </c>
      <c r="G7030" s="40" t="n">
        <v>0</v>
      </c>
    </row>
    <row r="7031" ht="12" customHeight="1">
      <c r="A7031" s="30" t="inlineStr">
        <is>
          <t>ITG</t>
        </is>
      </c>
      <c r="B7031" s="30" t="inlineStr">
        <is>
          <t>Itaguai</t>
        </is>
      </c>
      <c r="C7031" s="30" t="n">
        <v>81330174</v>
      </c>
      <c r="D7031" s="30">
        <f>"02905110001957"</f>
        <v/>
      </c>
      <c r="E7031" s="30" t="inlineStr">
        <is>
          <t>GR SERVICOS E ALIMENTACAO LTDA</t>
        </is>
      </c>
      <c r="F7031" s="30" t="inlineStr">
        <is>
          <t>2022</t>
        </is>
      </c>
      <c r="G7031" s="40" t="n">
        <v>0</v>
      </c>
    </row>
    <row r="7032" ht="12" customHeight="1">
      <c r="A7032" s="30" t="inlineStr">
        <is>
          <t>ITG</t>
        </is>
      </c>
      <c r="B7032" s="30" t="inlineStr">
        <is>
          <t>Itaguai</t>
        </is>
      </c>
      <c r="C7032" s="30" t="n">
        <v>81380023</v>
      </c>
      <c r="D7032" s="30">
        <f>"60444437000146"</f>
        <v/>
      </c>
      <c r="E7032" s="30" t="inlineStr">
        <is>
          <t>LIGHT SERVICOS DE ELETRICIDADE S A</t>
        </is>
      </c>
      <c r="F7032" s="30" t="inlineStr">
        <is>
          <t>2017</t>
        </is>
      </c>
      <c r="G7032" s="40" t="n">
        <v>162547270.68</v>
      </c>
    </row>
    <row r="7033" ht="12" customHeight="1">
      <c r="A7033" s="30" t="inlineStr">
        <is>
          <t>ITG</t>
        </is>
      </c>
      <c r="B7033" s="30" t="inlineStr">
        <is>
          <t>Itaguai</t>
        </is>
      </c>
      <c r="C7033" s="30" t="n">
        <v>81380023</v>
      </c>
      <c r="D7033" s="30">
        <f>"60444437000146"</f>
        <v/>
      </c>
      <c r="E7033" s="30" t="inlineStr">
        <is>
          <t>LIGHT SERVICOS DE ELETRICIDADE S A</t>
        </is>
      </c>
      <c r="F7033" s="30" t="inlineStr">
        <is>
          <t>2018</t>
        </is>
      </c>
      <c r="G7033" s="40" t="n">
        <v>185690305.16</v>
      </c>
    </row>
    <row r="7034" ht="12" customHeight="1">
      <c r="A7034" s="30" t="inlineStr">
        <is>
          <t>ITG</t>
        </is>
      </c>
      <c r="B7034" s="30" t="inlineStr">
        <is>
          <t>Itaguai</t>
        </is>
      </c>
      <c r="C7034" s="30" t="n">
        <v>81380023</v>
      </c>
      <c r="D7034" s="30">
        <f>"60444437000146"</f>
        <v/>
      </c>
      <c r="E7034" s="30" t="inlineStr">
        <is>
          <t>LIGHT SERVICOS DE ELETRICIDADE S A</t>
        </is>
      </c>
      <c r="F7034" s="30" t="inlineStr">
        <is>
          <t>2019</t>
        </is>
      </c>
      <c r="G7034" s="40" t="n">
        <v>217425131.02</v>
      </c>
    </row>
    <row r="7035" ht="12" customHeight="1">
      <c r="A7035" s="30" t="inlineStr">
        <is>
          <t>ITG</t>
        </is>
      </c>
      <c r="B7035" s="30" t="inlineStr">
        <is>
          <t>Itaguai</t>
        </is>
      </c>
      <c r="C7035" s="30" t="n">
        <v>81380023</v>
      </c>
      <c r="D7035" s="30">
        <f>"60444437000146"</f>
        <v/>
      </c>
      <c r="E7035" s="30" t="inlineStr">
        <is>
          <t>LIGHT SERVICOS DE ELETRICIDADE S A</t>
        </is>
      </c>
      <c r="F7035" s="30" t="inlineStr">
        <is>
          <t>2020</t>
        </is>
      </c>
      <c r="G7035" s="40" t="n">
        <v>202761202.82</v>
      </c>
    </row>
    <row r="7036" ht="12" customHeight="1">
      <c r="A7036" s="30" t="inlineStr">
        <is>
          <t>ITG</t>
        </is>
      </c>
      <c r="B7036" s="30" t="inlineStr">
        <is>
          <t>Itaguai</t>
        </is>
      </c>
      <c r="C7036" s="30" t="n">
        <v>81380023</v>
      </c>
      <c r="D7036" s="30">
        <f>"60444437000146"</f>
        <v/>
      </c>
      <c r="E7036" s="30" t="inlineStr">
        <is>
          <t>LIGHT SERVICOS DE ELETRICIDADE S A</t>
        </is>
      </c>
      <c r="F7036" s="30" t="inlineStr">
        <is>
          <t>2021</t>
        </is>
      </c>
      <c r="G7036" s="40" t="n">
        <v>251530304.51</v>
      </c>
    </row>
    <row r="7037" ht="12" customHeight="1">
      <c r="A7037" s="30" t="inlineStr">
        <is>
          <t>ITG</t>
        </is>
      </c>
      <c r="B7037" s="30" t="inlineStr">
        <is>
          <t>Itaguai</t>
        </is>
      </c>
      <c r="C7037" s="30" t="n">
        <v>81380023</v>
      </c>
      <c r="D7037" s="30">
        <f>"60444437000146"</f>
        <v/>
      </c>
      <c r="E7037" s="30" t="inlineStr">
        <is>
          <t>LIGHT SERVICOS DE ELETRICIDADE S A</t>
        </is>
      </c>
      <c r="F7037" s="30" t="inlineStr">
        <is>
          <t>2022</t>
        </is>
      </c>
      <c r="G7037" s="40" t="n">
        <v>252406486.05</v>
      </c>
    </row>
    <row r="7038" ht="12" customHeight="1">
      <c r="A7038" s="30" t="inlineStr">
        <is>
          <t>ITG</t>
        </is>
      </c>
      <c r="B7038" s="30" t="inlineStr">
        <is>
          <t>Itaguai</t>
        </is>
      </c>
      <c r="C7038" s="30" t="n">
        <v>81380023</v>
      </c>
      <c r="D7038" s="30">
        <f>"60444437000146"</f>
        <v/>
      </c>
      <c r="E7038" s="30" t="inlineStr">
        <is>
          <t>LIGHT SERVICOS DE ELETRICIDADE S A</t>
        </is>
      </c>
      <c r="F7038" s="30" t="inlineStr">
        <is>
          <t>2023</t>
        </is>
      </c>
      <c r="G7038" s="40" t="n">
        <v>249495459.85</v>
      </c>
    </row>
    <row r="7039" ht="12" customHeight="1">
      <c r="A7039" s="30" t="inlineStr">
        <is>
          <t>ITG</t>
        </is>
      </c>
      <c r="B7039" s="30" t="inlineStr">
        <is>
          <t>Itaguai</t>
        </is>
      </c>
      <c r="C7039" s="30" t="n">
        <v>81425906</v>
      </c>
      <c r="D7039" s="30">
        <f>"42278291000124"</f>
        <v/>
      </c>
      <c r="E7039" s="30" t="inlineStr">
        <is>
          <t>LOG IN LOGISTICA INTERMODAL S/A</t>
        </is>
      </c>
      <c r="F7039" s="30" t="inlineStr">
        <is>
          <t>2018</t>
        </is>
      </c>
      <c r="G7039" s="40" t="n">
        <v>0</v>
      </c>
    </row>
    <row r="7040" ht="12" customHeight="1">
      <c r="A7040" s="30" t="inlineStr">
        <is>
          <t>ITG</t>
        </is>
      </c>
      <c r="B7040" s="30" t="inlineStr">
        <is>
          <t>Itaguai</t>
        </is>
      </c>
      <c r="C7040" s="30" t="n">
        <v>81425906</v>
      </c>
      <c r="D7040" s="30">
        <f>"42278291000124"</f>
        <v/>
      </c>
      <c r="E7040" s="30" t="inlineStr">
        <is>
          <t>LOG IN LOGISTICA INTERMODAL S/A</t>
        </is>
      </c>
      <c r="F7040" s="30" t="inlineStr">
        <is>
          <t>2019</t>
        </is>
      </c>
      <c r="G7040" s="40" t="n">
        <v>0</v>
      </c>
    </row>
    <row r="7041" ht="12" customHeight="1">
      <c r="A7041" s="30" t="inlineStr">
        <is>
          <t>ITG</t>
        </is>
      </c>
      <c r="B7041" s="30" t="inlineStr">
        <is>
          <t>Itaguai</t>
        </is>
      </c>
      <c r="C7041" s="30" t="n">
        <v>81425906</v>
      </c>
      <c r="D7041" s="30">
        <f>"42278291000124"</f>
        <v/>
      </c>
      <c r="E7041" s="30" t="inlineStr">
        <is>
          <t>LOG IN LOGISTICA INTERMODAL S/A</t>
        </is>
      </c>
      <c r="F7041" s="30" t="inlineStr">
        <is>
          <t>2020</t>
        </is>
      </c>
      <c r="G7041" s="40" t="n">
        <v>13084.28</v>
      </c>
    </row>
    <row r="7042" ht="12" customHeight="1">
      <c r="A7042" s="30" t="inlineStr">
        <is>
          <t>ITG</t>
        </is>
      </c>
      <c r="B7042" s="30" t="inlineStr">
        <is>
          <t>Itaguai</t>
        </is>
      </c>
      <c r="C7042" s="30" t="n">
        <v>81425906</v>
      </c>
      <c r="D7042" s="30">
        <f>"42278291000124"</f>
        <v/>
      </c>
      <c r="E7042" s="30" t="inlineStr">
        <is>
          <t>LOG IN LOGISTICA INTERMODAL S/A</t>
        </is>
      </c>
      <c r="F7042" s="30" t="inlineStr">
        <is>
          <t>2021</t>
        </is>
      </c>
      <c r="G7042" s="40" t="n">
        <v>1514100.8</v>
      </c>
    </row>
    <row r="7043" ht="12" customHeight="1">
      <c r="A7043" s="30" t="inlineStr">
        <is>
          <t>ITG</t>
        </is>
      </c>
      <c r="B7043" s="30" t="inlineStr">
        <is>
          <t>Itaguai</t>
        </is>
      </c>
      <c r="C7043" s="30" t="n">
        <v>81425906</v>
      </c>
      <c r="D7043" s="30">
        <f>"42278291000124"</f>
        <v/>
      </c>
      <c r="E7043" s="30" t="inlineStr">
        <is>
          <t>LOG IN LOGISTICA INTERMODAL S/A</t>
        </is>
      </c>
      <c r="F7043" s="30" t="inlineStr">
        <is>
          <t>2022</t>
        </is>
      </c>
      <c r="G7043" s="40" t="n">
        <v>0</v>
      </c>
    </row>
    <row r="7044" ht="12" customHeight="1">
      <c r="A7044" s="30" t="inlineStr">
        <is>
          <t>ITG</t>
        </is>
      </c>
      <c r="B7044" s="30" t="inlineStr">
        <is>
          <t>Itaguai</t>
        </is>
      </c>
      <c r="C7044" s="30" t="n">
        <v>81425906</v>
      </c>
      <c r="D7044" s="30">
        <f>"42278291000124"</f>
        <v/>
      </c>
      <c r="E7044" s="30" t="inlineStr">
        <is>
          <t>LOG IN LOGISTICA INTERMODAL S/A</t>
        </is>
      </c>
      <c r="F7044" s="30" t="inlineStr">
        <is>
          <t>2023</t>
        </is>
      </c>
      <c r="G7044" s="40" t="n">
        <v>911422.35</v>
      </c>
    </row>
    <row r="7045" ht="12" customHeight="1">
      <c r="A7045" s="30" t="inlineStr">
        <is>
          <t>ITG</t>
        </is>
      </c>
      <c r="B7045" s="30" t="inlineStr">
        <is>
          <t>Itaguai</t>
        </is>
      </c>
      <c r="C7045" s="30" t="n">
        <v>81432279</v>
      </c>
      <c r="D7045" s="30">
        <f>"33130543003955"</f>
        <v/>
      </c>
      <c r="E7045" s="30" t="inlineStr">
        <is>
          <t>CASAS GUANABARA COMESTIVEIS LTDA</t>
        </is>
      </c>
      <c r="F7045" s="30" t="inlineStr">
        <is>
          <t>2017</t>
        </is>
      </c>
      <c r="G7045" s="40" t="n">
        <v>45874062.63</v>
      </c>
    </row>
    <row r="7046" ht="12" customHeight="1">
      <c r="A7046" s="30" t="inlineStr">
        <is>
          <t>ITG</t>
        </is>
      </c>
      <c r="B7046" s="30" t="inlineStr">
        <is>
          <t>Itaguai</t>
        </is>
      </c>
      <c r="C7046" s="30" t="n">
        <v>81432279</v>
      </c>
      <c r="D7046" s="30">
        <f>"33130543003955"</f>
        <v/>
      </c>
      <c r="E7046" s="30" t="inlineStr">
        <is>
          <t>CASAS GUANABARA COMESTIVEIS LTDA</t>
        </is>
      </c>
      <c r="F7046" s="30" t="inlineStr">
        <is>
          <t>2018</t>
        </is>
      </c>
      <c r="G7046" s="40" t="n">
        <v>43627108.95</v>
      </c>
    </row>
    <row r="7047" ht="12" customHeight="1">
      <c r="A7047" s="30" t="inlineStr">
        <is>
          <t>ITG</t>
        </is>
      </c>
      <c r="B7047" s="30" t="inlineStr">
        <is>
          <t>Itaguai</t>
        </is>
      </c>
      <c r="C7047" s="30" t="n">
        <v>81432279</v>
      </c>
      <c r="D7047" s="30">
        <f>"33130543003955"</f>
        <v/>
      </c>
      <c r="E7047" s="30" t="inlineStr">
        <is>
          <t>CASAS GUANABARA COMESTIVEIS LTDA</t>
        </is>
      </c>
      <c r="F7047" s="30" t="inlineStr">
        <is>
          <t>2019</t>
        </is>
      </c>
      <c r="G7047" s="40" t="n">
        <v>45416564.19</v>
      </c>
    </row>
    <row r="7048" ht="12" customHeight="1">
      <c r="A7048" s="30" t="inlineStr">
        <is>
          <t>ITG</t>
        </is>
      </c>
      <c r="B7048" s="30" t="inlineStr">
        <is>
          <t>Itaguai</t>
        </is>
      </c>
      <c r="C7048" s="30" t="n">
        <v>81432279</v>
      </c>
      <c r="D7048" s="30">
        <f>"33130543003955"</f>
        <v/>
      </c>
      <c r="E7048" s="30" t="inlineStr">
        <is>
          <t>CASAS GUANABARA COMESTIVEIS LTDA</t>
        </is>
      </c>
      <c r="F7048" s="30" t="inlineStr">
        <is>
          <t>2020</t>
        </is>
      </c>
      <c r="G7048" s="40" t="n">
        <v>51483748.86</v>
      </c>
    </row>
    <row r="7049" ht="12" customHeight="1">
      <c r="A7049" s="30" t="inlineStr">
        <is>
          <t>ITG</t>
        </is>
      </c>
      <c r="B7049" s="30" t="inlineStr">
        <is>
          <t>Itaguai</t>
        </is>
      </c>
      <c r="C7049" s="30" t="n">
        <v>81432279</v>
      </c>
      <c r="D7049" s="30">
        <f>"33130543003955"</f>
        <v/>
      </c>
      <c r="E7049" s="30" t="inlineStr">
        <is>
          <t>CASAS GUANABARA COMESTIVEIS LTDA</t>
        </is>
      </c>
      <c r="F7049" s="30" t="inlineStr">
        <is>
          <t>2021</t>
        </is>
      </c>
      <c r="G7049" s="40" t="n">
        <v>48010630.21</v>
      </c>
    </row>
    <row r="7050" ht="12" customHeight="1">
      <c r="A7050" s="30" t="inlineStr">
        <is>
          <t>ITG</t>
        </is>
      </c>
      <c r="B7050" s="30" t="inlineStr">
        <is>
          <t>Itaguai</t>
        </is>
      </c>
      <c r="C7050" s="30" t="n">
        <v>81432279</v>
      </c>
      <c r="D7050" s="30">
        <f>"33130543003955"</f>
        <v/>
      </c>
      <c r="E7050" s="30" t="inlineStr">
        <is>
          <t>CASAS GUANABARA COMESTIVEIS LTDA</t>
        </is>
      </c>
      <c r="F7050" s="30" t="inlineStr">
        <is>
          <t>2022</t>
        </is>
      </c>
      <c r="G7050" s="40" t="n">
        <v>48584171.93</v>
      </c>
    </row>
    <row r="7051" ht="12" customHeight="1">
      <c r="A7051" s="30" t="inlineStr">
        <is>
          <t>ITG</t>
        </is>
      </c>
      <c r="B7051" s="30" t="inlineStr">
        <is>
          <t>Itaguai</t>
        </is>
      </c>
      <c r="C7051" s="30" t="n">
        <v>81432279</v>
      </c>
      <c r="D7051" s="30">
        <f>"33130543003955"</f>
        <v/>
      </c>
      <c r="E7051" s="30" t="inlineStr">
        <is>
          <t>CASAS GUANABARA COMESTIVEIS LTDA</t>
        </is>
      </c>
      <c r="F7051" s="30" t="inlineStr">
        <is>
          <t>2023</t>
        </is>
      </c>
      <c r="G7051" s="40" t="n">
        <v>50825737.34</v>
      </c>
    </row>
    <row r="7052" ht="12" customHeight="1">
      <c r="A7052" s="30" t="inlineStr">
        <is>
          <t>ITG</t>
        </is>
      </c>
      <c r="B7052" s="30" t="inlineStr">
        <is>
          <t>Itaguai</t>
        </is>
      </c>
      <c r="C7052" s="30" t="n">
        <v>81432430</v>
      </c>
      <c r="D7052" s="30">
        <f>"24314862000157"</f>
        <v/>
      </c>
      <c r="E7052" s="30" t="inlineStr">
        <is>
          <t>AUTO POSTO DO TRABALHO ITAGUAI I LTDA</t>
        </is>
      </c>
      <c r="F7052" s="30" t="inlineStr">
        <is>
          <t>2017</t>
        </is>
      </c>
      <c r="G7052" s="40" t="n">
        <v>1447932.58</v>
      </c>
    </row>
    <row r="7053" ht="12" customHeight="1">
      <c r="A7053" s="30" t="inlineStr">
        <is>
          <t>ITG</t>
        </is>
      </c>
      <c r="B7053" s="30" t="inlineStr">
        <is>
          <t>Itaguai</t>
        </is>
      </c>
      <c r="C7053" s="30" t="n">
        <v>81432430</v>
      </c>
      <c r="D7053" s="30">
        <f>"24314862000157"</f>
        <v/>
      </c>
      <c r="E7053" s="30" t="inlineStr">
        <is>
          <t>AUTO POSTO DO TRABALHO ITAGUAI I LTDA</t>
        </is>
      </c>
      <c r="F7053" s="30" t="inlineStr">
        <is>
          <t>2018</t>
        </is>
      </c>
      <c r="G7053" s="40" t="n">
        <v>2209646.43</v>
      </c>
    </row>
    <row r="7054" ht="12" customHeight="1">
      <c r="A7054" s="30" t="inlineStr">
        <is>
          <t>ITG</t>
        </is>
      </c>
      <c r="B7054" s="30" t="inlineStr">
        <is>
          <t>Itaguai</t>
        </is>
      </c>
      <c r="C7054" s="30" t="n">
        <v>81432430</v>
      </c>
      <c r="D7054" s="30">
        <f>"24314862000157"</f>
        <v/>
      </c>
      <c r="E7054" s="30" t="inlineStr">
        <is>
          <t>AUTO POSTO DO TRABALHO ITAGUAI I LTDA</t>
        </is>
      </c>
      <c r="F7054" s="30" t="inlineStr">
        <is>
          <t>2019</t>
        </is>
      </c>
      <c r="G7054" s="40" t="n">
        <v>1637233.4</v>
      </c>
    </row>
    <row r="7055" ht="12" customHeight="1">
      <c r="A7055" s="30" t="inlineStr">
        <is>
          <t>ITG</t>
        </is>
      </c>
      <c r="B7055" s="30" t="inlineStr">
        <is>
          <t>Itaguai</t>
        </is>
      </c>
      <c r="C7055" s="30" t="n">
        <v>81432430</v>
      </c>
      <c r="D7055" s="30">
        <f>"24314862000157"</f>
        <v/>
      </c>
      <c r="E7055" s="30" t="inlineStr">
        <is>
          <t>AUTO POSTO DO TRABALHO ITAGUAI I LTDA</t>
        </is>
      </c>
      <c r="F7055" s="30" t="inlineStr">
        <is>
          <t>2020</t>
        </is>
      </c>
      <c r="G7055" s="40" t="n">
        <v>915540.35</v>
      </c>
    </row>
    <row r="7056" ht="12" customHeight="1">
      <c r="A7056" s="30" t="inlineStr">
        <is>
          <t>ITG</t>
        </is>
      </c>
      <c r="B7056" s="30" t="inlineStr">
        <is>
          <t>Itaguai</t>
        </is>
      </c>
      <c r="C7056" s="30" t="n">
        <v>81432430</v>
      </c>
      <c r="D7056" s="30">
        <f>"24314862000157"</f>
        <v/>
      </c>
      <c r="E7056" s="30" t="inlineStr">
        <is>
          <t>AUTO POSTO DO TRABALHO ITAGUAI I LTDA</t>
        </is>
      </c>
      <c r="F7056" s="30" t="inlineStr">
        <is>
          <t>2021</t>
        </is>
      </c>
      <c r="G7056" s="40" t="n">
        <v>1080166.63</v>
      </c>
    </row>
    <row r="7057" ht="12" customHeight="1">
      <c r="A7057" s="30" t="inlineStr">
        <is>
          <t>ITG</t>
        </is>
      </c>
      <c r="B7057" s="30" t="inlineStr">
        <is>
          <t>Itaguai</t>
        </is>
      </c>
      <c r="C7057" s="30" t="n">
        <v>81432430</v>
      </c>
      <c r="D7057" s="30">
        <f>"24314862000157"</f>
        <v/>
      </c>
      <c r="E7057" s="30" t="inlineStr">
        <is>
          <t>AUTO POSTO DO TRABALHO ITAGUAI I LTDA</t>
        </is>
      </c>
      <c r="F7057" s="30" t="inlineStr">
        <is>
          <t>2022</t>
        </is>
      </c>
      <c r="G7057" s="40" t="n">
        <v>3967948.79</v>
      </c>
    </row>
    <row r="7058" ht="12" customHeight="1">
      <c r="A7058" s="30" t="inlineStr">
        <is>
          <t>ITG</t>
        </is>
      </c>
      <c r="B7058" s="30" t="inlineStr">
        <is>
          <t>Itaguai</t>
        </is>
      </c>
      <c r="C7058" s="30" t="n">
        <v>81432430</v>
      </c>
      <c r="D7058" s="30">
        <f>"24314862000157"</f>
        <v/>
      </c>
      <c r="E7058" s="30" t="inlineStr">
        <is>
          <t>AUTO POSTO DO TRABALHO ITAGUAI I LTDA</t>
        </is>
      </c>
      <c r="F7058" s="30" t="inlineStr">
        <is>
          <t>2023</t>
        </is>
      </c>
      <c r="G7058" s="40" t="n">
        <v>2005925.45</v>
      </c>
    </row>
    <row r="7059" ht="12" customHeight="1">
      <c r="A7059" s="30" t="inlineStr">
        <is>
          <t>ITG</t>
        </is>
      </c>
      <c r="B7059" s="30" t="inlineStr">
        <is>
          <t>Itaguai</t>
        </is>
      </c>
      <c r="C7059" s="30" t="n">
        <v>81433763</v>
      </c>
      <c r="D7059" s="30">
        <f>"28027340000125"</f>
        <v/>
      </c>
      <c r="E7059" s="30" t="inlineStr">
        <is>
          <t>INDUSTRIA E COMERCIO CASTRO EIRELI</t>
        </is>
      </c>
      <c r="F7059" s="30" t="inlineStr">
        <is>
          <t>2017</t>
        </is>
      </c>
      <c r="G7059" s="40" t="n">
        <v>11146.5</v>
      </c>
    </row>
    <row r="7060" ht="12" customHeight="1">
      <c r="A7060" s="30" t="inlineStr">
        <is>
          <t>ITG</t>
        </is>
      </c>
      <c r="B7060" s="30" t="inlineStr">
        <is>
          <t>Itaguai</t>
        </is>
      </c>
      <c r="C7060" s="30" t="n">
        <v>81433763</v>
      </c>
      <c r="D7060" s="30">
        <f>"28027340000125"</f>
        <v/>
      </c>
      <c r="E7060" s="30" t="inlineStr">
        <is>
          <t>INDUSTRIA E COMERCIO CASTRO EIRELI</t>
        </is>
      </c>
      <c r="F7060" s="30" t="inlineStr">
        <is>
          <t>2018</t>
        </is>
      </c>
      <c r="G7060" s="40" t="n">
        <v>0</v>
      </c>
    </row>
    <row r="7061" ht="12" customHeight="1">
      <c r="A7061" s="30" t="inlineStr">
        <is>
          <t>ITG</t>
        </is>
      </c>
      <c r="B7061" s="30" t="inlineStr">
        <is>
          <t>Itaguai</t>
        </is>
      </c>
      <c r="C7061" s="30" t="n">
        <v>81433763</v>
      </c>
      <c r="D7061" s="30">
        <f>"28027340000125"</f>
        <v/>
      </c>
      <c r="E7061" s="30" t="inlineStr">
        <is>
          <t>INDUSTRIA E COMERCIO CASTRO EIRELI</t>
        </is>
      </c>
      <c r="F7061" s="30" t="inlineStr">
        <is>
          <t>2019</t>
        </is>
      </c>
      <c r="G7061" s="40" t="n">
        <v>0</v>
      </c>
    </row>
    <row r="7062" ht="12" customHeight="1">
      <c r="A7062" s="30" t="inlineStr">
        <is>
          <t>ITG</t>
        </is>
      </c>
      <c r="B7062" s="30" t="inlineStr">
        <is>
          <t>Itaguai</t>
        </is>
      </c>
      <c r="C7062" s="30" t="n">
        <v>81433763</v>
      </c>
      <c r="D7062" s="30">
        <f>"28027340000125"</f>
        <v/>
      </c>
      <c r="E7062" s="30" t="inlineStr">
        <is>
          <t>INDUSTRIA E COMERCIO CASTRO EIRELI</t>
        </is>
      </c>
      <c r="F7062" s="30" t="inlineStr">
        <is>
          <t>2020</t>
        </is>
      </c>
      <c r="G7062" s="40" t="n">
        <v>0</v>
      </c>
    </row>
    <row r="7063" ht="12" customHeight="1">
      <c r="A7063" s="30" t="inlineStr">
        <is>
          <t>ITG</t>
        </is>
      </c>
      <c r="B7063" s="30" t="inlineStr">
        <is>
          <t>Itaguai</t>
        </is>
      </c>
      <c r="C7063" s="30" t="n">
        <v>81433763</v>
      </c>
      <c r="D7063" s="30">
        <f>"28027340000125"</f>
        <v/>
      </c>
      <c r="E7063" s="30" t="inlineStr">
        <is>
          <t>INDUSTRIA E COMERCIO CASTRO EIRELI</t>
        </is>
      </c>
      <c r="F7063" s="30" t="inlineStr">
        <is>
          <t>2021</t>
        </is>
      </c>
      <c r="G7063" s="40" t="n">
        <v>0</v>
      </c>
    </row>
    <row r="7064" ht="12" customHeight="1">
      <c r="A7064" s="30" t="inlineStr">
        <is>
          <t>ITG</t>
        </is>
      </c>
      <c r="B7064" s="30" t="inlineStr">
        <is>
          <t>Itaguai</t>
        </is>
      </c>
      <c r="C7064" s="30" t="n">
        <v>81433763</v>
      </c>
      <c r="D7064" s="30">
        <f>"28027340000125"</f>
        <v/>
      </c>
      <c r="E7064" s="30" t="inlineStr">
        <is>
          <t>INDUSTRIA E COMERCIO CASTRO EIRELI</t>
        </is>
      </c>
      <c r="F7064" s="30" t="inlineStr">
        <is>
          <t>2022</t>
        </is>
      </c>
      <c r="G7064" s="40" t="n">
        <v>0</v>
      </c>
    </row>
    <row r="7065" ht="12" customHeight="1">
      <c r="A7065" s="30" t="inlineStr">
        <is>
          <t>ITG</t>
        </is>
      </c>
      <c r="B7065" s="30" t="inlineStr">
        <is>
          <t>Itaguai</t>
        </is>
      </c>
      <c r="C7065" s="30" t="n">
        <v>81439397</v>
      </c>
      <c r="D7065" s="30">
        <f>"30069314003127"</f>
        <v/>
      </c>
      <c r="E7065" s="30" t="inlineStr">
        <is>
          <t>AUTO VIACAO 1001 LTDA</t>
        </is>
      </c>
      <c r="F7065" s="30" t="inlineStr">
        <is>
          <t>2018</t>
        </is>
      </c>
      <c r="G7065" s="40" t="n">
        <v>0</v>
      </c>
    </row>
    <row r="7066" ht="12" customHeight="1">
      <c r="A7066" s="30" t="inlineStr">
        <is>
          <t>ITG</t>
        </is>
      </c>
      <c r="B7066" s="30" t="inlineStr">
        <is>
          <t>Itaguai</t>
        </is>
      </c>
      <c r="C7066" s="30" t="n">
        <v>81439397</v>
      </c>
      <c r="D7066" s="30">
        <f>"30069314003127"</f>
        <v/>
      </c>
      <c r="E7066" s="30" t="inlineStr">
        <is>
          <t>AUTO VIACAO 1001 LTDA</t>
        </is>
      </c>
      <c r="F7066" s="30" t="inlineStr">
        <is>
          <t>2019</t>
        </is>
      </c>
      <c r="G7066" s="40" t="n">
        <v>0</v>
      </c>
    </row>
    <row r="7067" ht="12" customHeight="1">
      <c r="A7067" s="30" t="inlineStr">
        <is>
          <t>ITG</t>
        </is>
      </c>
      <c r="B7067" s="30" t="inlineStr">
        <is>
          <t>Itaguai</t>
        </is>
      </c>
      <c r="C7067" s="30" t="n">
        <v>81439397</v>
      </c>
      <c r="D7067" s="30">
        <f>"30069314003127"</f>
        <v/>
      </c>
      <c r="E7067" s="30" t="inlineStr">
        <is>
          <t>AUTO VIACAO 1001 LTDA</t>
        </is>
      </c>
      <c r="F7067" s="30" t="inlineStr">
        <is>
          <t>2020</t>
        </is>
      </c>
      <c r="G7067" s="40" t="n">
        <v>1047</v>
      </c>
    </row>
    <row r="7068" ht="12" customHeight="1">
      <c r="A7068" s="30" t="inlineStr">
        <is>
          <t>ITG</t>
        </is>
      </c>
      <c r="B7068" s="30" t="inlineStr">
        <is>
          <t>Itaguai</t>
        </is>
      </c>
      <c r="C7068" s="30" t="n">
        <v>81439397</v>
      </c>
      <c r="D7068" s="30">
        <f>"30069314003127"</f>
        <v/>
      </c>
      <c r="E7068" s="30" t="inlineStr">
        <is>
          <t>AUTO VIACAO 1001 LTDA</t>
        </is>
      </c>
      <c r="F7068" s="30" t="inlineStr">
        <is>
          <t>2021</t>
        </is>
      </c>
      <c r="G7068" s="40" t="n">
        <v>0</v>
      </c>
    </row>
    <row r="7069" ht="12" customHeight="1">
      <c r="A7069" s="30" t="inlineStr">
        <is>
          <t>ITG</t>
        </is>
      </c>
      <c r="B7069" s="30" t="inlineStr">
        <is>
          <t>Itaguai</t>
        </is>
      </c>
      <c r="C7069" s="30" t="n">
        <v>81439397</v>
      </c>
      <c r="D7069" s="30">
        <f>"30069314003127"</f>
        <v/>
      </c>
      <c r="E7069" s="30" t="inlineStr">
        <is>
          <t>AUTO VIACAO 1001 LTDA</t>
        </is>
      </c>
      <c r="F7069" s="30" t="inlineStr">
        <is>
          <t>2022</t>
        </is>
      </c>
      <c r="G7069" s="40" t="n">
        <v>0</v>
      </c>
    </row>
    <row r="7070" ht="12" customHeight="1">
      <c r="A7070" s="30" t="inlineStr">
        <is>
          <t>ITG</t>
        </is>
      </c>
      <c r="B7070" s="30" t="inlineStr">
        <is>
          <t>Itaguai</t>
        </is>
      </c>
      <c r="C7070" s="30" t="n">
        <v>81613419</v>
      </c>
      <c r="D7070" s="30">
        <f>"33841370000100"</f>
        <v/>
      </c>
      <c r="E7070" s="30" t="inlineStr">
        <is>
          <t>TRANSPORTADORA PEDRO ERNESTO LTDA EPP</t>
        </is>
      </c>
      <c r="F7070" s="30" t="inlineStr">
        <is>
          <t>2017</t>
        </is>
      </c>
      <c r="G7070" s="40" t="n">
        <v>127650.31</v>
      </c>
    </row>
    <row r="7071" ht="12" customHeight="1">
      <c r="A7071" s="30" t="inlineStr">
        <is>
          <t>ITG</t>
        </is>
      </c>
      <c r="B7071" s="30" t="inlineStr">
        <is>
          <t>Itaguai</t>
        </is>
      </c>
      <c r="C7071" s="30" t="n">
        <v>81613419</v>
      </c>
      <c r="D7071" s="30">
        <f>"33841370000100"</f>
        <v/>
      </c>
      <c r="E7071" s="30" t="inlineStr">
        <is>
          <t>TRANSPORTADORA PEDRO ERNESTO LTDA EPP</t>
        </is>
      </c>
      <c r="F7071" s="30" t="inlineStr">
        <is>
          <t>2018</t>
        </is>
      </c>
      <c r="G7071" s="40" t="n">
        <v>0</v>
      </c>
    </row>
    <row r="7072" ht="12" customHeight="1">
      <c r="A7072" s="30" t="inlineStr">
        <is>
          <t>ITG</t>
        </is>
      </c>
      <c r="B7072" s="30" t="inlineStr">
        <is>
          <t>Itaguai</t>
        </is>
      </c>
      <c r="C7072" s="30" t="n">
        <v>81613419</v>
      </c>
      <c r="D7072" s="30">
        <f>"33841370000100"</f>
        <v/>
      </c>
      <c r="E7072" s="30" t="inlineStr">
        <is>
          <t>TRANSPORTADORA PEDRO ERNESTO LTDA EPP</t>
        </is>
      </c>
      <c r="F7072" s="30" t="inlineStr">
        <is>
          <t>2019</t>
        </is>
      </c>
      <c r="G7072" s="40" t="n">
        <v>0</v>
      </c>
    </row>
    <row r="7073" ht="12" customHeight="1">
      <c r="A7073" s="30" t="inlineStr">
        <is>
          <t>ITG</t>
        </is>
      </c>
      <c r="B7073" s="30" t="inlineStr">
        <is>
          <t>Itaguai</t>
        </is>
      </c>
      <c r="C7073" s="30" t="n">
        <v>81613419</v>
      </c>
      <c r="D7073" s="30">
        <f>"33841370000100"</f>
        <v/>
      </c>
      <c r="E7073" s="30" t="inlineStr">
        <is>
          <t>TRANSPORTADORA PEDRO ERNESTO LTDA EPP</t>
        </is>
      </c>
      <c r="F7073" s="30" t="inlineStr">
        <is>
          <t>2020</t>
        </is>
      </c>
      <c r="G7073" s="40" t="n">
        <v>0</v>
      </c>
    </row>
    <row r="7074" ht="12" customHeight="1">
      <c r="A7074" s="30" t="inlineStr">
        <is>
          <t>ITG</t>
        </is>
      </c>
      <c r="B7074" s="30" t="inlineStr">
        <is>
          <t>Itaguai</t>
        </is>
      </c>
      <c r="C7074" s="30" t="n">
        <v>81613419</v>
      </c>
      <c r="D7074" s="30">
        <f>"33841370000100"</f>
        <v/>
      </c>
      <c r="E7074" s="30" t="inlineStr">
        <is>
          <t>TRANSPORTADORA PEDRO ERNESTO LTDA EPP</t>
        </is>
      </c>
      <c r="F7074" s="30" t="inlineStr">
        <is>
          <t>2021</t>
        </is>
      </c>
      <c r="G7074" s="40" t="n">
        <v>0</v>
      </c>
    </row>
    <row r="7075" ht="12" customHeight="1">
      <c r="A7075" s="30" t="inlineStr">
        <is>
          <t>ITG</t>
        </is>
      </c>
      <c r="B7075" s="30" t="inlineStr">
        <is>
          <t>Itaguai</t>
        </is>
      </c>
      <c r="C7075" s="30" t="n">
        <v>81613419</v>
      </c>
      <c r="D7075" s="30">
        <f>"33841370000100"</f>
        <v/>
      </c>
      <c r="E7075" s="30" t="inlineStr">
        <is>
          <t>TRANSPORTADORA PEDRO ERNESTO LTDA EPP</t>
        </is>
      </c>
      <c r="F7075" s="30" t="inlineStr">
        <is>
          <t>2022</t>
        </is>
      </c>
      <c r="G7075" s="40" t="n">
        <v>41110.2</v>
      </c>
    </row>
    <row r="7076" ht="12" customHeight="1">
      <c r="A7076" s="30" t="inlineStr">
        <is>
          <t>ITG</t>
        </is>
      </c>
      <c r="B7076" s="30" t="inlineStr">
        <is>
          <t>Itaguai</t>
        </is>
      </c>
      <c r="C7076" s="30" t="n">
        <v>81613419</v>
      </c>
      <c r="D7076" s="30">
        <f>"33841370000100"</f>
        <v/>
      </c>
      <c r="E7076" s="30" t="inlineStr">
        <is>
          <t>TRANSPORTADORA PEDRO ERNESTO LTDA EPP</t>
        </is>
      </c>
      <c r="F7076" s="30" t="inlineStr">
        <is>
          <t>2023</t>
        </is>
      </c>
      <c r="G7076" s="40" t="n">
        <v>0</v>
      </c>
    </row>
    <row r="7077" ht="12" customHeight="1">
      <c r="A7077" s="30" t="inlineStr">
        <is>
          <t>ITG</t>
        </is>
      </c>
      <c r="B7077" s="30" t="inlineStr">
        <is>
          <t>Itaguai</t>
        </is>
      </c>
      <c r="C7077" s="30" t="n">
        <v>81613524</v>
      </c>
      <c r="D7077" s="30">
        <f>"34028316000294"</f>
        <v/>
      </c>
      <c r="E7077" s="30" t="inlineStr">
        <is>
          <t>EMPRESA BRASILEIRA DE CORREIOS E TELEGRAFOS</t>
        </is>
      </c>
      <c r="F7077" s="30" t="inlineStr">
        <is>
          <t>2017</t>
        </is>
      </c>
      <c r="G7077" s="40" t="n">
        <v>12882.54</v>
      </c>
    </row>
    <row r="7078" ht="12" customHeight="1">
      <c r="A7078" s="30" t="inlineStr">
        <is>
          <t>ITG</t>
        </is>
      </c>
      <c r="B7078" s="30" t="inlineStr">
        <is>
          <t>Itaguai</t>
        </is>
      </c>
      <c r="C7078" s="30" t="n">
        <v>81613524</v>
      </c>
      <c r="D7078" s="30">
        <f>"34028316000294"</f>
        <v/>
      </c>
      <c r="E7078" s="30" t="inlineStr">
        <is>
          <t>EMPRESA BRASILEIRA DE CORREIOS E TELEGRAFOS</t>
        </is>
      </c>
      <c r="F7078" s="30" t="inlineStr">
        <is>
          <t>2018</t>
        </is>
      </c>
      <c r="G7078" s="40" t="n">
        <v>12231.96</v>
      </c>
    </row>
    <row r="7079" ht="12" customHeight="1">
      <c r="A7079" s="30" t="inlineStr">
        <is>
          <t>ITG</t>
        </is>
      </c>
      <c r="B7079" s="30" t="inlineStr">
        <is>
          <t>Itaguai</t>
        </is>
      </c>
      <c r="C7079" s="30" t="n">
        <v>81613524</v>
      </c>
      <c r="D7079" s="30">
        <f>"34028316000294"</f>
        <v/>
      </c>
      <c r="E7079" s="30" t="inlineStr">
        <is>
          <t>EMPRESA BRASILEIRA DE CORREIOS E TELEGRAFOS</t>
        </is>
      </c>
      <c r="F7079" s="30" t="inlineStr">
        <is>
          <t>2019</t>
        </is>
      </c>
      <c r="G7079" s="40" t="n">
        <v>43124.97</v>
      </c>
    </row>
    <row r="7080" ht="12" customHeight="1">
      <c r="A7080" s="30" t="inlineStr">
        <is>
          <t>ITG</t>
        </is>
      </c>
      <c r="B7080" s="30" t="inlineStr">
        <is>
          <t>Itaguai</t>
        </is>
      </c>
      <c r="C7080" s="30" t="n">
        <v>81613524</v>
      </c>
      <c r="D7080" s="30">
        <f>"34028316000294"</f>
        <v/>
      </c>
      <c r="E7080" s="30" t="inlineStr">
        <is>
          <t>EMPRESA BRASILEIRA DE CORREIOS E TELEGRAFOS</t>
        </is>
      </c>
      <c r="F7080" s="30" t="inlineStr">
        <is>
          <t>2020</t>
        </is>
      </c>
      <c r="G7080" s="40" t="n">
        <v>44430.84</v>
      </c>
    </row>
    <row r="7081" ht="12" customHeight="1">
      <c r="A7081" s="30" t="inlineStr">
        <is>
          <t>ITG</t>
        </is>
      </c>
      <c r="B7081" s="30" t="inlineStr">
        <is>
          <t>Itaguai</t>
        </is>
      </c>
      <c r="C7081" s="30" t="n">
        <v>81613524</v>
      </c>
      <c r="D7081" s="30">
        <f>"34028316000294"</f>
        <v/>
      </c>
      <c r="E7081" s="30" t="inlineStr">
        <is>
          <t>EMPRESA BRASILEIRA DE CORREIOS E TELEGRAFOS</t>
        </is>
      </c>
      <c r="F7081" s="30" t="inlineStr">
        <is>
          <t>2021</t>
        </is>
      </c>
      <c r="G7081" s="40" t="n">
        <v>49541.08</v>
      </c>
    </row>
    <row r="7082" ht="12" customHeight="1">
      <c r="A7082" s="30" t="inlineStr">
        <is>
          <t>ITG</t>
        </is>
      </c>
      <c r="B7082" s="30" t="inlineStr">
        <is>
          <t>Itaguai</t>
        </is>
      </c>
      <c r="C7082" s="30" t="n">
        <v>81613524</v>
      </c>
      <c r="D7082" s="30">
        <f>"34028316000294"</f>
        <v/>
      </c>
      <c r="E7082" s="30" t="inlineStr">
        <is>
          <t>EMPRESA BRASILEIRA DE CORREIOS E TELEGRAFOS</t>
        </is>
      </c>
      <c r="F7082" s="30" t="inlineStr">
        <is>
          <t>2022</t>
        </is>
      </c>
      <c r="G7082" s="40" t="n">
        <v>71842.94</v>
      </c>
    </row>
    <row r="7083" ht="12" customHeight="1">
      <c r="A7083" s="30" t="inlineStr">
        <is>
          <t>ITG</t>
        </is>
      </c>
      <c r="B7083" s="30" t="inlineStr">
        <is>
          <t>Itaguai</t>
        </is>
      </c>
      <c r="C7083" s="30" t="n">
        <v>81613524</v>
      </c>
      <c r="D7083" s="30">
        <f>"34028316000294"</f>
        <v/>
      </c>
      <c r="E7083" s="30" t="inlineStr">
        <is>
          <t>EMPRESA BRASILEIRA DE CORREIOS E TELEGRAFOS</t>
        </is>
      </c>
      <c r="F7083" s="30" t="inlineStr">
        <is>
          <t>2023</t>
        </is>
      </c>
      <c r="G7083" s="40" t="n">
        <v>51282.32</v>
      </c>
    </row>
    <row r="7084" ht="12" customHeight="1">
      <c r="A7084" s="30" t="inlineStr">
        <is>
          <t>ITG</t>
        </is>
      </c>
      <c r="B7084" s="30" t="inlineStr">
        <is>
          <t>Itaguai</t>
        </is>
      </c>
      <c r="C7084" s="30" t="n">
        <v>81614466</v>
      </c>
      <c r="D7084" s="30">
        <f>"33400219000137"</f>
        <v/>
      </c>
      <c r="E7084" s="30" t="inlineStr">
        <is>
          <t>EMPRESA DE TRANSPORTES SAO JORGE LTDA</t>
        </is>
      </c>
      <c r="F7084" s="30" t="inlineStr">
        <is>
          <t>2017</t>
        </is>
      </c>
      <c r="G7084" s="40" t="n">
        <v>0</v>
      </c>
    </row>
    <row r="7085" ht="12" customHeight="1">
      <c r="A7085" s="30" t="inlineStr">
        <is>
          <t>ITG</t>
        </is>
      </c>
      <c r="B7085" s="30" t="inlineStr">
        <is>
          <t>Itaguai</t>
        </is>
      </c>
      <c r="C7085" s="30" t="n">
        <v>81614466</v>
      </c>
      <c r="D7085" s="30">
        <f>"33400219000137"</f>
        <v/>
      </c>
      <c r="E7085" s="30" t="inlineStr">
        <is>
          <t>EMPRESA DE TRANSPORTES SAO JORGE LTDA</t>
        </is>
      </c>
      <c r="F7085" s="30" t="inlineStr">
        <is>
          <t>2018</t>
        </is>
      </c>
      <c r="G7085" s="40" t="n">
        <v>0</v>
      </c>
    </row>
    <row r="7086" ht="12" customHeight="1">
      <c r="A7086" s="30" t="inlineStr">
        <is>
          <t>ITG</t>
        </is>
      </c>
      <c r="B7086" s="30" t="inlineStr">
        <is>
          <t>Itaguai</t>
        </is>
      </c>
      <c r="C7086" s="30" t="n">
        <v>81614466</v>
      </c>
      <c r="D7086" s="30">
        <f>"33400219000137"</f>
        <v/>
      </c>
      <c r="E7086" s="30" t="inlineStr">
        <is>
          <t>EMPRESA DE TRANSPORTES SAO JORGE LTDA</t>
        </is>
      </c>
      <c r="F7086" s="30" t="inlineStr">
        <is>
          <t>2019</t>
        </is>
      </c>
      <c r="G7086" s="40" t="n">
        <v>3620.4</v>
      </c>
    </row>
    <row r="7087" ht="12" customHeight="1">
      <c r="A7087" s="30" t="inlineStr">
        <is>
          <t>ITG</t>
        </is>
      </c>
      <c r="B7087" s="30" t="inlineStr">
        <is>
          <t>Itaguai</t>
        </is>
      </c>
      <c r="C7087" s="30" t="n">
        <v>81614466</v>
      </c>
      <c r="D7087" s="30">
        <f>"33400219000137"</f>
        <v/>
      </c>
      <c r="E7087" s="30" t="inlineStr">
        <is>
          <t>EMPRESA DE TRANSPORTES SAO JORGE LTDA</t>
        </is>
      </c>
      <c r="F7087" s="30" t="inlineStr">
        <is>
          <t>2020</t>
        </is>
      </c>
      <c r="G7087" s="40" t="n">
        <v>0</v>
      </c>
    </row>
    <row r="7088" ht="12" customHeight="1">
      <c r="A7088" s="30" t="inlineStr">
        <is>
          <t>ITG</t>
        </is>
      </c>
      <c r="B7088" s="30" t="inlineStr">
        <is>
          <t>Itaguai</t>
        </is>
      </c>
      <c r="C7088" s="30" t="n">
        <v>81614466</v>
      </c>
      <c r="D7088" s="30">
        <f>"33400219000137"</f>
        <v/>
      </c>
      <c r="E7088" s="30" t="inlineStr">
        <is>
          <t>EMPRESA DE TRANSPORTES SAO JORGE LTDA</t>
        </is>
      </c>
      <c r="F7088" s="30" t="inlineStr">
        <is>
          <t>2021</t>
        </is>
      </c>
      <c r="G7088" s="40" t="n">
        <v>3435.67</v>
      </c>
    </row>
    <row r="7089" ht="12" customHeight="1">
      <c r="A7089" s="30" t="inlineStr">
        <is>
          <t>ITG</t>
        </is>
      </c>
      <c r="B7089" s="30" t="inlineStr">
        <is>
          <t>Itaguai</t>
        </is>
      </c>
      <c r="C7089" s="30" t="n">
        <v>81614466</v>
      </c>
      <c r="D7089" s="30">
        <f>"33400219000137"</f>
        <v/>
      </c>
      <c r="E7089" s="30" t="inlineStr">
        <is>
          <t>EMPRESA DE TRANSPORTES SAO JORGE LTDA</t>
        </is>
      </c>
      <c r="F7089" s="30" t="inlineStr">
        <is>
          <t>2022</t>
        </is>
      </c>
      <c r="G7089" s="40" t="n">
        <v>22380.03</v>
      </c>
    </row>
    <row r="7090" ht="12" customHeight="1">
      <c r="A7090" s="30" t="inlineStr">
        <is>
          <t>ITG</t>
        </is>
      </c>
      <c r="B7090" s="30" t="inlineStr">
        <is>
          <t>Itaguai</t>
        </is>
      </c>
      <c r="C7090" s="30" t="n">
        <v>81614466</v>
      </c>
      <c r="D7090" s="30">
        <f>"33400219000137"</f>
        <v/>
      </c>
      <c r="E7090" s="30" t="inlineStr">
        <is>
          <t>EMPRESA DE TRANSPORTES SAO JORGE LTDA</t>
        </is>
      </c>
      <c r="F7090" s="30" t="inlineStr">
        <is>
          <t>2023</t>
        </is>
      </c>
      <c r="G7090" s="40" t="n">
        <v>0</v>
      </c>
    </row>
    <row r="7091" ht="12" customHeight="1">
      <c r="A7091" s="30" t="inlineStr">
        <is>
          <t>ITG</t>
        </is>
      </c>
      <c r="B7091" s="30" t="inlineStr">
        <is>
          <t>Itaguai</t>
        </is>
      </c>
      <c r="C7091" s="30" t="n">
        <v>81615470</v>
      </c>
      <c r="D7091" s="30">
        <f>"28141158000281"</f>
        <v/>
      </c>
      <c r="E7091" s="30" t="inlineStr">
        <is>
          <t>TRANSPORTADORA CONTINENTAL LTDA</t>
        </is>
      </c>
      <c r="F7091" s="30" t="inlineStr">
        <is>
          <t>2017</t>
        </is>
      </c>
      <c r="G7091" s="40" t="n">
        <v>64.52</v>
      </c>
    </row>
    <row r="7092" ht="12" customHeight="1">
      <c r="A7092" s="30" t="inlineStr">
        <is>
          <t>ITG</t>
        </is>
      </c>
      <c r="B7092" s="30" t="inlineStr">
        <is>
          <t>Itaguai</t>
        </is>
      </c>
      <c r="C7092" s="30" t="n">
        <v>81615470</v>
      </c>
      <c r="D7092" s="30">
        <f>"28141158000281"</f>
        <v/>
      </c>
      <c r="E7092" s="30" t="inlineStr">
        <is>
          <t>TRANSPORTADORA CONTINENTAL LTDA</t>
        </is>
      </c>
      <c r="F7092" s="30" t="inlineStr">
        <is>
          <t>2018</t>
        </is>
      </c>
      <c r="G7092" s="40" t="n">
        <v>69.89</v>
      </c>
    </row>
    <row r="7093" ht="12" customHeight="1">
      <c r="A7093" s="30" t="inlineStr">
        <is>
          <t>ITG</t>
        </is>
      </c>
      <c r="B7093" s="30" t="inlineStr">
        <is>
          <t>Itaguai</t>
        </is>
      </c>
      <c r="C7093" s="30" t="n">
        <v>81615470</v>
      </c>
      <c r="D7093" s="30">
        <f>"28141158000281"</f>
        <v/>
      </c>
      <c r="E7093" s="30" t="inlineStr">
        <is>
          <t>TRANSPORTADORA CONTINENTAL LTDA</t>
        </is>
      </c>
      <c r="F7093" s="30" t="inlineStr">
        <is>
          <t>2019</t>
        </is>
      </c>
      <c r="G7093" s="40" t="n">
        <v>183.58</v>
      </c>
    </row>
    <row r="7094" ht="12" customHeight="1">
      <c r="A7094" s="30" t="inlineStr">
        <is>
          <t>ITG</t>
        </is>
      </c>
      <c r="B7094" s="30" t="inlineStr">
        <is>
          <t>Itaguai</t>
        </is>
      </c>
      <c r="C7094" s="30" t="n">
        <v>81615470</v>
      </c>
      <c r="D7094" s="30">
        <f>"28141158000281"</f>
        <v/>
      </c>
      <c r="E7094" s="30" t="inlineStr">
        <is>
          <t>TRANSPORTADORA CONTINENTAL LTDA</t>
        </is>
      </c>
      <c r="F7094" s="30" t="inlineStr">
        <is>
          <t>2020</t>
        </is>
      </c>
      <c r="G7094" s="40" t="n">
        <v>0</v>
      </c>
    </row>
    <row r="7095" ht="12" customHeight="1">
      <c r="A7095" s="30" t="inlineStr">
        <is>
          <t>ITG</t>
        </is>
      </c>
      <c r="B7095" s="30" t="inlineStr">
        <is>
          <t>Itaguai</t>
        </is>
      </c>
      <c r="C7095" s="30" t="n">
        <v>81615470</v>
      </c>
      <c r="D7095" s="30">
        <f>"28141158000281"</f>
        <v/>
      </c>
      <c r="E7095" s="30" t="inlineStr">
        <is>
          <t>TRANSPORTADORA CONTINENTAL LTDA</t>
        </is>
      </c>
      <c r="F7095" s="30" t="inlineStr">
        <is>
          <t>2021</t>
        </is>
      </c>
      <c r="G7095" s="40" t="n">
        <v>16.14</v>
      </c>
    </row>
    <row r="7096" ht="12" customHeight="1">
      <c r="A7096" s="30" t="inlineStr">
        <is>
          <t>ITG</t>
        </is>
      </c>
      <c r="B7096" s="30" t="inlineStr">
        <is>
          <t>Itaguai</t>
        </is>
      </c>
      <c r="C7096" s="30" t="n">
        <v>81615470</v>
      </c>
      <c r="D7096" s="30">
        <f>"28141158000281"</f>
        <v/>
      </c>
      <c r="E7096" s="30" t="inlineStr">
        <is>
          <t>TRANSPORTADORA CONTINENTAL LTDA</t>
        </is>
      </c>
      <c r="F7096" s="30" t="inlineStr">
        <is>
          <t>2022</t>
        </is>
      </c>
      <c r="G7096" s="40" t="n">
        <v>0</v>
      </c>
    </row>
    <row r="7097" ht="12" customHeight="1">
      <c r="A7097" s="30" t="inlineStr">
        <is>
          <t>ITG</t>
        </is>
      </c>
      <c r="B7097" s="30" t="inlineStr">
        <is>
          <t>Itaguai</t>
        </is>
      </c>
      <c r="C7097" s="30" t="n">
        <v>81615470</v>
      </c>
      <c r="D7097" s="30">
        <f>"28141158000281"</f>
        <v/>
      </c>
      <c r="E7097" s="30" t="inlineStr">
        <is>
          <t>TRANSPORTADORA CONTINENTAL LTDA</t>
        </is>
      </c>
      <c r="F7097" s="30" t="inlineStr">
        <is>
          <t>2023</t>
        </is>
      </c>
      <c r="G7097" s="40" t="n">
        <v>243.56</v>
      </c>
    </row>
    <row r="7098" ht="12" customHeight="1">
      <c r="A7098" s="30" t="inlineStr">
        <is>
          <t>ITG</t>
        </is>
      </c>
      <c r="B7098" s="30" t="inlineStr">
        <is>
          <t>Itaguai</t>
        </is>
      </c>
      <c r="C7098" s="30" t="n">
        <v>81621233</v>
      </c>
      <c r="D7098" s="30">
        <f>"46435293003580"</f>
        <v/>
      </c>
      <c r="E7098" s="30" t="inlineStr">
        <is>
          <t>ANDORINHA TRANSPORTADORA LTDA</t>
        </is>
      </c>
      <c r="F7098" s="30" t="inlineStr">
        <is>
          <t>2020</t>
        </is>
      </c>
      <c r="G7098" s="40" t="n">
        <v>0</v>
      </c>
    </row>
    <row r="7099" ht="12" customHeight="1">
      <c r="A7099" s="30" t="inlineStr">
        <is>
          <t>ITG</t>
        </is>
      </c>
      <c r="B7099" s="30" t="inlineStr">
        <is>
          <t>Itaguai</t>
        </is>
      </c>
      <c r="C7099" s="30" t="n">
        <v>81621233</v>
      </c>
      <c r="D7099" s="30">
        <f>"46435293003580"</f>
        <v/>
      </c>
      <c r="E7099" s="30" t="inlineStr">
        <is>
          <t>ANDORINHA TRANSPORTADORA LTDA</t>
        </is>
      </c>
      <c r="F7099" s="30" t="inlineStr">
        <is>
          <t>2021</t>
        </is>
      </c>
      <c r="G7099" s="40" t="n">
        <v>0</v>
      </c>
    </row>
    <row r="7100" ht="12" customHeight="1">
      <c r="A7100" s="30" t="inlineStr">
        <is>
          <t>ITG</t>
        </is>
      </c>
      <c r="B7100" s="30" t="inlineStr">
        <is>
          <t>Itaguai</t>
        </is>
      </c>
      <c r="C7100" s="30" t="n">
        <v>81621233</v>
      </c>
      <c r="D7100" s="30">
        <f>"46435293003580"</f>
        <v/>
      </c>
      <c r="E7100" s="30" t="inlineStr">
        <is>
          <t>ANDORINHA TRANSPORTADORA LTDA</t>
        </is>
      </c>
      <c r="F7100" s="30" t="inlineStr">
        <is>
          <t>2022</t>
        </is>
      </c>
      <c r="G7100" s="40" t="n">
        <v>1260</v>
      </c>
    </row>
    <row r="7101" ht="12" customHeight="1">
      <c r="A7101" s="30" t="inlineStr">
        <is>
          <t>ITG</t>
        </is>
      </c>
      <c r="B7101" s="30" t="inlineStr">
        <is>
          <t>Itaguai</t>
        </is>
      </c>
      <c r="C7101" s="30" t="n">
        <v>81621233</v>
      </c>
      <c r="D7101" s="30">
        <f>"46435293003580"</f>
        <v/>
      </c>
      <c r="E7101" s="30" t="inlineStr">
        <is>
          <t>ANDORINHA TRANSPORTADORA LTDA</t>
        </is>
      </c>
      <c r="F7101" s="30" t="inlineStr">
        <is>
          <t>2023</t>
        </is>
      </c>
      <c r="G7101" s="40" t="n">
        <v>0</v>
      </c>
    </row>
    <row r="7102" ht="12" customHeight="1">
      <c r="A7102" s="30" t="inlineStr">
        <is>
          <t>ITG</t>
        </is>
      </c>
      <c r="B7102" s="30" t="inlineStr">
        <is>
          <t>Itaguai</t>
        </is>
      </c>
      <c r="C7102" s="30" t="n">
        <v>81680469</v>
      </c>
      <c r="D7102" s="30">
        <f>"33000118000179"</f>
        <v/>
      </c>
      <c r="E7102" s="30" t="inlineStr">
        <is>
          <t>TELEMAR NORTE LESTE S/A EM RECUPERACAO JUDICIAL</t>
        </is>
      </c>
      <c r="F7102" s="30" t="inlineStr">
        <is>
          <t>2017</t>
        </is>
      </c>
      <c r="G7102" s="40" t="n">
        <v>11799719</v>
      </c>
    </row>
    <row r="7103" ht="12" customHeight="1">
      <c r="A7103" s="30" t="inlineStr">
        <is>
          <t>ITG</t>
        </is>
      </c>
      <c r="B7103" s="30" t="inlineStr">
        <is>
          <t>Itaguai</t>
        </is>
      </c>
      <c r="C7103" s="30" t="n">
        <v>81680469</v>
      </c>
      <c r="D7103" s="30">
        <f>"33000118000179"</f>
        <v/>
      </c>
      <c r="E7103" s="30" t="inlineStr">
        <is>
          <t>TELEMAR NORTE LESTE S/A EM RECUPERACAO JUDICIAL</t>
        </is>
      </c>
      <c r="F7103" s="30" t="inlineStr">
        <is>
          <t>2018</t>
        </is>
      </c>
      <c r="G7103" s="40" t="n">
        <v>9373506.35</v>
      </c>
    </row>
    <row r="7104" ht="12" customHeight="1">
      <c r="A7104" s="30" t="inlineStr">
        <is>
          <t>ITG</t>
        </is>
      </c>
      <c r="B7104" s="30" t="inlineStr">
        <is>
          <t>Itaguai</t>
        </is>
      </c>
      <c r="C7104" s="30" t="n">
        <v>81680469</v>
      </c>
      <c r="D7104" s="30">
        <f>"33000118000179"</f>
        <v/>
      </c>
      <c r="E7104" s="30" t="inlineStr">
        <is>
          <t>TELEMAR NORTE LESTE S/A EM RECUPERACAO JUDICIAL</t>
        </is>
      </c>
      <c r="F7104" s="30" t="inlineStr">
        <is>
          <t>2019</t>
        </is>
      </c>
      <c r="G7104" s="40" t="n">
        <v>7677417.05</v>
      </c>
    </row>
    <row r="7105" ht="12" customHeight="1">
      <c r="A7105" s="30" t="inlineStr">
        <is>
          <t>ITG</t>
        </is>
      </c>
      <c r="B7105" s="30" t="inlineStr">
        <is>
          <t>Itaguai</t>
        </is>
      </c>
      <c r="C7105" s="30" t="n">
        <v>81680469</v>
      </c>
      <c r="D7105" s="30">
        <f>"33000118000179"</f>
        <v/>
      </c>
      <c r="E7105" s="30" t="inlineStr">
        <is>
          <t>TELEMAR NORTE LESTE S/A EM RECUPERACAO JUDICIAL</t>
        </is>
      </c>
      <c r="F7105" s="30" t="inlineStr">
        <is>
          <t>2020</t>
        </is>
      </c>
      <c r="G7105" s="40" t="n">
        <v>6410182.06</v>
      </c>
    </row>
    <row r="7106" ht="12" customHeight="1">
      <c r="A7106" s="30" t="inlineStr">
        <is>
          <t>ITG</t>
        </is>
      </c>
      <c r="B7106" s="30" t="inlineStr">
        <is>
          <t>Itaguai</t>
        </is>
      </c>
      <c r="C7106" s="30" t="n">
        <v>81680469</v>
      </c>
      <c r="D7106" s="30">
        <f>"33000118000179"</f>
        <v/>
      </c>
      <c r="E7106" s="30" t="inlineStr">
        <is>
          <t>TELEMAR NORTE LESTE S/A EM RECUPERACAO JUDICIAL</t>
        </is>
      </c>
      <c r="F7106" s="30" t="inlineStr">
        <is>
          <t>2021</t>
        </is>
      </c>
      <c r="G7106" s="40" t="n">
        <v>1789324.82</v>
      </c>
    </row>
    <row r="7107" ht="12" customHeight="1">
      <c r="A7107" s="30" t="inlineStr">
        <is>
          <t>ITG</t>
        </is>
      </c>
      <c r="B7107" s="30" t="inlineStr">
        <is>
          <t>Itaguai</t>
        </is>
      </c>
      <c r="C7107" s="30" t="n">
        <v>81680469</v>
      </c>
      <c r="D7107" s="30">
        <f>"33000118000179"</f>
        <v/>
      </c>
      <c r="E7107" s="30" t="inlineStr">
        <is>
          <t>TELEMAR NORTE LESTE S/A EM RECUPERACAO JUDICIAL</t>
        </is>
      </c>
      <c r="F7107" s="30" t="inlineStr">
        <is>
          <t>2022</t>
        </is>
      </c>
      <c r="G7107" s="40" t="n">
        <v>0</v>
      </c>
    </row>
    <row r="7108" ht="12" customHeight="1">
      <c r="A7108" s="30" t="inlineStr">
        <is>
          <t>ITG</t>
        </is>
      </c>
      <c r="B7108" s="30" t="inlineStr">
        <is>
          <t>Itaguai</t>
        </is>
      </c>
      <c r="C7108" s="30" t="n">
        <v>81680469</v>
      </c>
      <c r="D7108" s="30">
        <f>"33000118000179"</f>
        <v/>
      </c>
      <c r="E7108" s="30" t="inlineStr">
        <is>
          <t>TELEMAR NORTE LESTE S/A EM RECUPERACAO JUDICIAL</t>
        </is>
      </c>
      <c r="F7108" s="30" t="inlineStr">
        <is>
          <t>2023</t>
        </is>
      </c>
      <c r="G7108" s="40" t="n">
        <v>0</v>
      </c>
    </row>
    <row r="7109" ht="12" customHeight="1">
      <c r="A7109" s="30" t="inlineStr">
        <is>
          <t>ITG</t>
        </is>
      </c>
      <c r="B7109" s="30" t="inlineStr">
        <is>
          <t>Itaguai</t>
        </is>
      </c>
      <c r="C7109" s="30" t="n">
        <v>81754403</v>
      </c>
      <c r="D7109" s="30">
        <f>"33106642000129"</f>
        <v/>
      </c>
      <c r="E7109" s="30" t="inlineStr">
        <is>
          <t>MATERIAIS DE CONSTRUCAO SANTA LUZIA LTDA</t>
        </is>
      </c>
      <c r="F7109" s="30" t="inlineStr">
        <is>
          <t>2017</t>
        </is>
      </c>
      <c r="G7109" s="40" t="n">
        <v>0</v>
      </c>
    </row>
    <row r="7110" ht="12" customHeight="1">
      <c r="A7110" s="30" t="inlineStr">
        <is>
          <t>ITG</t>
        </is>
      </c>
      <c r="B7110" s="30" t="inlineStr">
        <is>
          <t>Itaguai</t>
        </is>
      </c>
      <c r="C7110" s="30" t="n">
        <v>81754403</v>
      </c>
      <c r="D7110" s="30">
        <f>"33106642000129"</f>
        <v/>
      </c>
      <c r="E7110" s="30" t="inlineStr">
        <is>
          <t>MATERIAIS DE CONSTRUCAO SANTA LUZIA LTDA</t>
        </is>
      </c>
      <c r="F7110" s="30" t="inlineStr">
        <is>
          <t>2018</t>
        </is>
      </c>
      <c r="G7110" s="40" t="n">
        <v>0</v>
      </c>
    </row>
    <row r="7111" ht="12" customHeight="1">
      <c r="A7111" s="30" t="inlineStr">
        <is>
          <t>ITG</t>
        </is>
      </c>
      <c r="B7111" s="30" t="inlineStr">
        <is>
          <t>Itaguai</t>
        </is>
      </c>
      <c r="C7111" s="30" t="n">
        <v>81754403</v>
      </c>
      <c r="D7111" s="30">
        <f>"33106642000129"</f>
        <v/>
      </c>
      <c r="E7111" s="30" t="inlineStr">
        <is>
          <t>MATERIAIS DE CONSTRUCAO SANTA LUZIA LTDA</t>
        </is>
      </c>
      <c r="F7111" s="30" t="inlineStr">
        <is>
          <t>2019</t>
        </is>
      </c>
      <c r="G7111" s="40" t="n">
        <v>0</v>
      </c>
    </row>
    <row r="7112" ht="12" customHeight="1">
      <c r="A7112" s="30" t="inlineStr">
        <is>
          <t>ITG</t>
        </is>
      </c>
      <c r="B7112" s="30" t="inlineStr">
        <is>
          <t>Itaguai</t>
        </is>
      </c>
      <c r="C7112" s="30" t="n">
        <v>81754403</v>
      </c>
      <c r="D7112" s="30">
        <f>"33106642000129"</f>
        <v/>
      </c>
      <c r="E7112" s="30" t="inlineStr">
        <is>
          <t>MATERIAIS DE CONSTRUCAO SANTA LUZIA LTDA</t>
        </is>
      </c>
      <c r="F7112" s="30" t="inlineStr">
        <is>
          <t>2020</t>
        </is>
      </c>
      <c r="G7112" s="40" t="n">
        <v>0</v>
      </c>
    </row>
    <row r="7113" ht="12" customHeight="1">
      <c r="A7113" s="30" t="inlineStr">
        <is>
          <t>ITG</t>
        </is>
      </c>
      <c r="B7113" s="30" t="inlineStr">
        <is>
          <t>Itaguai</t>
        </is>
      </c>
      <c r="C7113" s="30" t="n">
        <v>81754403</v>
      </c>
      <c r="D7113" s="30">
        <f>"33106642000129"</f>
        <v/>
      </c>
      <c r="E7113" s="30" t="inlineStr">
        <is>
          <t>MATERIAIS DE CONSTRUCAO SANTA LUZIA LTDA</t>
        </is>
      </c>
      <c r="F7113" s="30" t="inlineStr">
        <is>
          <t>2021</t>
        </is>
      </c>
      <c r="G7113" s="40" t="n">
        <v>0</v>
      </c>
    </row>
    <row r="7114" ht="12" customHeight="1">
      <c r="A7114" s="30" t="inlineStr">
        <is>
          <t>ITG</t>
        </is>
      </c>
      <c r="B7114" s="30" t="inlineStr">
        <is>
          <t>Itaguai</t>
        </is>
      </c>
      <c r="C7114" s="30" t="n">
        <v>81760179</v>
      </c>
      <c r="D7114" s="30">
        <f>"61084018005253"</f>
        <v/>
      </c>
      <c r="E7114" s="30" t="inlineStr">
        <is>
          <t>VIACAO COMETA S/A</t>
        </is>
      </c>
      <c r="F7114" s="30" t="inlineStr">
        <is>
          <t>2017</t>
        </is>
      </c>
      <c r="G7114" s="40" t="n">
        <v>5000</v>
      </c>
    </row>
    <row r="7115" ht="12" customHeight="1">
      <c r="A7115" s="30" t="inlineStr">
        <is>
          <t>ITG</t>
        </is>
      </c>
      <c r="B7115" s="30" t="inlineStr">
        <is>
          <t>Itaguai</t>
        </is>
      </c>
      <c r="C7115" s="30" t="n">
        <v>81760179</v>
      </c>
      <c r="D7115" s="30">
        <f>"61084018005253"</f>
        <v/>
      </c>
      <c r="E7115" s="30" t="inlineStr">
        <is>
          <t>VIACAO COMETA S/A</t>
        </is>
      </c>
      <c r="F7115" s="30" t="inlineStr">
        <is>
          <t>2018</t>
        </is>
      </c>
      <c r="G7115" s="40" t="n">
        <v>0</v>
      </c>
    </row>
    <row r="7116" ht="12" customHeight="1">
      <c r="A7116" s="30" t="inlineStr">
        <is>
          <t>ITG</t>
        </is>
      </c>
      <c r="B7116" s="30" t="inlineStr">
        <is>
          <t>Itaguai</t>
        </is>
      </c>
      <c r="C7116" s="30" t="n">
        <v>81760179</v>
      </c>
      <c r="D7116" s="30">
        <f>"61084018005253"</f>
        <v/>
      </c>
      <c r="E7116" s="30" t="inlineStr">
        <is>
          <t>VIACAO COMETA S/A</t>
        </is>
      </c>
      <c r="F7116" s="30" t="inlineStr">
        <is>
          <t>2019</t>
        </is>
      </c>
      <c r="G7116" s="40" t="n">
        <v>0</v>
      </c>
    </row>
    <row r="7117" ht="12" customHeight="1">
      <c r="A7117" s="30" t="inlineStr">
        <is>
          <t>ITG</t>
        </is>
      </c>
      <c r="B7117" s="30" t="inlineStr">
        <is>
          <t>Itaguai</t>
        </is>
      </c>
      <c r="C7117" s="30" t="n">
        <v>81797013</v>
      </c>
      <c r="D7117" s="30">
        <f>"33570797000111"</f>
        <v/>
      </c>
      <c r="E7117" s="30" t="inlineStr">
        <is>
          <t>TRANSPORTES CARVALHO LTDA</t>
        </is>
      </c>
      <c r="F7117" s="30" t="inlineStr">
        <is>
          <t>2017</t>
        </is>
      </c>
      <c r="G7117" s="40" t="n">
        <v>3844.87</v>
      </c>
    </row>
    <row r="7118" ht="12" customHeight="1">
      <c r="A7118" s="30" t="inlineStr">
        <is>
          <t>ITG</t>
        </is>
      </c>
      <c r="B7118" s="30" t="inlineStr">
        <is>
          <t>Itaguai</t>
        </is>
      </c>
      <c r="C7118" s="30" t="n">
        <v>81797013</v>
      </c>
      <c r="D7118" s="30">
        <f>"33570797000111"</f>
        <v/>
      </c>
      <c r="E7118" s="30" t="inlineStr">
        <is>
          <t>TRANSPORTES CARVALHO LTDA</t>
        </is>
      </c>
      <c r="F7118" s="30" t="inlineStr">
        <is>
          <t>2018</t>
        </is>
      </c>
      <c r="G7118" s="40" t="n">
        <v>1126051.43</v>
      </c>
    </row>
    <row r="7119" ht="12" customHeight="1">
      <c r="A7119" s="30" t="inlineStr">
        <is>
          <t>ITG</t>
        </is>
      </c>
      <c r="B7119" s="30" t="inlineStr">
        <is>
          <t>Itaguai</t>
        </is>
      </c>
      <c r="C7119" s="30" t="n">
        <v>81797013</v>
      </c>
      <c r="D7119" s="30">
        <f>"33570797000111"</f>
        <v/>
      </c>
      <c r="E7119" s="30" t="inlineStr">
        <is>
          <t>TRANSPORTES CARVALHO LTDA</t>
        </is>
      </c>
      <c r="F7119" s="30" t="inlineStr">
        <is>
          <t>2019</t>
        </is>
      </c>
      <c r="G7119" s="40" t="n">
        <v>1470252.76</v>
      </c>
    </row>
    <row r="7120" ht="12" customHeight="1">
      <c r="A7120" s="30" t="inlineStr">
        <is>
          <t>ITG</t>
        </is>
      </c>
      <c r="B7120" s="30" t="inlineStr">
        <is>
          <t>Itaguai</t>
        </is>
      </c>
      <c r="C7120" s="30" t="n">
        <v>81797013</v>
      </c>
      <c r="D7120" s="30">
        <f>"33570797000111"</f>
        <v/>
      </c>
      <c r="E7120" s="30" t="inlineStr">
        <is>
          <t>TRANSPORTES CARVALHO LTDA</t>
        </is>
      </c>
      <c r="F7120" s="30" t="inlineStr">
        <is>
          <t>2020</t>
        </is>
      </c>
      <c r="G7120" s="40" t="n">
        <v>3004598.11</v>
      </c>
    </row>
    <row r="7121" ht="12" customHeight="1">
      <c r="A7121" s="30" t="inlineStr">
        <is>
          <t>ITG</t>
        </is>
      </c>
      <c r="B7121" s="30" t="inlineStr">
        <is>
          <t>Itaguai</t>
        </is>
      </c>
      <c r="C7121" s="30" t="n">
        <v>81797013</v>
      </c>
      <c r="D7121" s="30">
        <f>"33570797000111"</f>
        <v/>
      </c>
      <c r="E7121" s="30" t="inlineStr">
        <is>
          <t>TRANSPORTES CARVALHO LTDA</t>
        </is>
      </c>
      <c r="F7121" s="30" t="inlineStr">
        <is>
          <t>2021</t>
        </is>
      </c>
      <c r="G7121" s="40" t="n">
        <v>2455229.21</v>
      </c>
    </row>
    <row r="7122" ht="12" customHeight="1">
      <c r="A7122" s="30" t="inlineStr">
        <is>
          <t>ITG</t>
        </is>
      </c>
      <c r="B7122" s="30" t="inlineStr">
        <is>
          <t>Itaguai</t>
        </is>
      </c>
      <c r="C7122" s="30" t="n">
        <v>81797013</v>
      </c>
      <c r="D7122" s="30">
        <f>"33570797000111"</f>
        <v/>
      </c>
      <c r="E7122" s="30" t="inlineStr">
        <is>
          <t>TRANSPORTES CARVALHO LTDA</t>
        </is>
      </c>
      <c r="F7122" s="30" t="inlineStr">
        <is>
          <t>2022</t>
        </is>
      </c>
      <c r="G7122" s="40" t="n">
        <v>1273643.61</v>
      </c>
    </row>
    <row r="7123" ht="12" customHeight="1">
      <c r="A7123" s="30" t="inlineStr">
        <is>
          <t>ITG</t>
        </is>
      </c>
      <c r="B7123" s="30" t="inlineStr">
        <is>
          <t>Itaguai</t>
        </is>
      </c>
      <c r="C7123" s="30" t="n">
        <v>81797013</v>
      </c>
      <c r="D7123" s="30">
        <f>"33570797000111"</f>
        <v/>
      </c>
      <c r="E7123" s="30" t="inlineStr">
        <is>
          <t>TRANSPORTES CARVALHO LTDA</t>
        </is>
      </c>
      <c r="F7123" s="30" t="inlineStr">
        <is>
          <t>2023</t>
        </is>
      </c>
      <c r="G7123" s="40" t="n">
        <v>843491.6800000001</v>
      </c>
    </row>
    <row r="7124" ht="12" customHeight="1">
      <c r="A7124" s="30" t="inlineStr">
        <is>
          <t>ITG</t>
        </is>
      </c>
      <c r="B7124" s="30" t="inlineStr">
        <is>
          <t>Itaguai</t>
        </is>
      </c>
      <c r="C7124" s="30" t="n">
        <v>81825017</v>
      </c>
      <c r="D7124" s="30">
        <f>"33337007000152"</f>
        <v/>
      </c>
      <c r="E7124" s="30" t="inlineStr">
        <is>
          <t>UTIL - UNIAO TRANSPORTE INTERESTADUAL DE LUXO LTDA</t>
        </is>
      </c>
      <c r="F7124" s="30" t="inlineStr">
        <is>
          <t>2017</t>
        </is>
      </c>
      <c r="G7124" s="40" t="n">
        <v>35838.18</v>
      </c>
    </row>
    <row r="7125" ht="12" customHeight="1">
      <c r="A7125" s="30" t="inlineStr">
        <is>
          <t>ITG</t>
        </is>
      </c>
      <c r="B7125" s="30" t="inlineStr">
        <is>
          <t>Itaguai</t>
        </is>
      </c>
      <c r="C7125" s="30" t="n">
        <v>81825017</v>
      </c>
      <c r="D7125" s="30">
        <f>"33337007000152"</f>
        <v/>
      </c>
      <c r="E7125" s="30" t="inlineStr">
        <is>
          <t>UTIL - UNIAO TRANSPORTE INTERESTADUAL DE LUXO LTDA</t>
        </is>
      </c>
      <c r="F7125" s="30" t="inlineStr">
        <is>
          <t>2018</t>
        </is>
      </c>
      <c r="G7125" s="40" t="n">
        <v>244229.76</v>
      </c>
    </row>
    <row r="7126" ht="12" customHeight="1">
      <c r="A7126" s="30" t="inlineStr">
        <is>
          <t>ITG</t>
        </is>
      </c>
      <c r="B7126" s="30" t="inlineStr">
        <is>
          <t>Itaguai</t>
        </is>
      </c>
      <c r="C7126" s="30" t="n">
        <v>81825017</v>
      </c>
      <c r="D7126" s="30">
        <f>"33337007000152"</f>
        <v/>
      </c>
      <c r="E7126" s="30" t="inlineStr">
        <is>
          <t>UTIL - UNIAO TRANSPORTE INTERESTADUAL DE LUXO LTDA</t>
        </is>
      </c>
      <c r="F7126" s="30" t="inlineStr">
        <is>
          <t>2019</t>
        </is>
      </c>
      <c r="G7126" s="40" t="n">
        <v>162265.41</v>
      </c>
    </row>
    <row r="7127" ht="12" customHeight="1">
      <c r="A7127" s="30" t="inlineStr">
        <is>
          <t>ITG</t>
        </is>
      </c>
      <c r="B7127" s="30" t="inlineStr">
        <is>
          <t>Itaguai</t>
        </is>
      </c>
      <c r="C7127" s="30" t="n">
        <v>81825017</v>
      </c>
      <c r="D7127" s="30">
        <f>"33337007000152"</f>
        <v/>
      </c>
      <c r="E7127" s="30" t="inlineStr">
        <is>
          <t>UTIL - UNIAO TRANSPORTE INTERESTADUAL DE LUXO LTDA</t>
        </is>
      </c>
      <c r="F7127" s="30" t="inlineStr">
        <is>
          <t>2020</t>
        </is>
      </c>
      <c r="G7127" s="40" t="n">
        <v>76614.99000000001</v>
      </c>
    </row>
    <row r="7128" ht="12" customHeight="1">
      <c r="A7128" s="30" t="inlineStr">
        <is>
          <t>ITG</t>
        </is>
      </c>
      <c r="B7128" s="30" t="inlineStr">
        <is>
          <t>Itaguai</t>
        </is>
      </c>
      <c r="C7128" s="30" t="n">
        <v>81825017</v>
      </c>
      <c r="D7128" s="30">
        <f>"33337007000152"</f>
        <v/>
      </c>
      <c r="E7128" s="30" t="inlineStr">
        <is>
          <t>UTIL - UNIAO TRANSPORTE INTERESTADUAL DE LUXO LTDA</t>
        </is>
      </c>
      <c r="F7128" s="30" t="inlineStr">
        <is>
          <t>2021</t>
        </is>
      </c>
      <c r="G7128" s="40" t="n">
        <v>102727.97</v>
      </c>
    </row>
    <row r="7129" ht="12" customHeight="1">
      <c r="A7129" s="30" t="inlineStr">
        <is>
          <t>ITG</t>
        </is>
      </c>
      <c r="B7129" s="30" t="inlineStr">
        <is>
          <t>Itaguai</t>
        </is>
      </c>
      <c r="C7129" s="30" t="n">
        <v>81825017</v>
      </c>
      <c r="D7129" s="30">
        <f>"33337007000152"</f>
        <v/>
      </c>
      <c r="E7129" s="30" t="inlineStr">
        <is>
          <t>UTIL - UNIAO TRANSPORTE INTERESTADUAL DE LUXO LTDA</t>
        </is>
      </c>
      <c r="F7129" s="30" t="inlineStr">
        <is>
          <t>2022</t>
        </is>
      </c>
      <c r="G7129" s="40" t="n">
        <v>58776.44</v>
      </c>
    </row>
    <row r="7130" ht="12" customHeight="1">
      <c r="A7130" s="30" t="inlineStr">
        <is>
          <t>ITG</t>
        </is>
      </c>
      <c r="B7130" s="30" t="inlineStr">
        <is>
          <t>Itaguai</t>
        </is>
      </c>
      <c r="C7130" s="30" t="n">
        <v>81825017</v>
      </c>
      <c r="D7130" s="30">
        <f>"33337007000152"</f>
        <v/>
      </c>
      <c r="E7130" s="30" t="inlineStr">
        <is>
          <t>UTIL - UNIAO TRANSPORTE INTERESTADUAL DE LUXO LTDA</t>
        </is>
      </c>
      <c r="F7130" s="30" t="inlineStr">
        <is>
          <t>2023</t>
        </is>
      </c>
      <c r="G7130" s="40" t="n">
        <v>194944.91</v>
      </c>
    </row>
    <row r="7131" ht="12" customHeight="1">
      <c r="A7131" s="30" t="inlineStr">
        <is>
          <t>ITG</t>
        </is>
      </c>
      <c r="B7131" s="30" t="inlineStr">
        <is>
          <t>Itaguai</t>
        </is>
      </c>
      <c r="C7131" s="30" t="n">
        <v>81826528</v>
      </c>
      <c r="D7131" s="30">
        <f>"60510583005604"</f>
        <v/>
      </c>
      <c r="E7131" s="30" t="inlineStr">
        <is>
          <t>RAPIDO 900 DE TRANSPORTES RODOVIARIOS LTDA</t>
        </is>
      </c>
      <c r="F7131" s="30" t="inlineStr">
        <is>
          <t>2017</t>
        </is>
      </c>
      <c r="G7131" s="40" t="n">
        <v>831.62</v>
      </c>
    </row>
    <row r="7132" ht="12" customHeight="1">
      <c r="A7132" s="30" t="inlineStr">
        <is>
          <t>ITG</t>
        </is>
      </c>
      <c r="B7132" s="30" t="inlineStr">
        <is>
          <t>Itaguai</t>
        </is>
      </c>
      <c r="C7132" s="30" t="n">
        <v>81826528</v>
      </c>
      <c r="D7132" s="30">
        <f>"60510583005604"</f>
        <v/>
      </c>
      <c r="E7132" s="30" t="inlineStr">
        <is>
          <t>RAPIDO 900 DE TRANSPORTES RODOVIARIOS LTDA</t>
        </is>
      </c>
      <c r="F7132" s="30" t="inlineStr">
        <is>
          <t>2018</t>
        </is>
      </c>
      <c r="G7132" s="40" t="n">
        <v>243.89</v>
      </c>
    </row>
    <row r="7133" ht="12" customHeight="1">
      <c r="A7133" s="30" t="inlineStr">
        <is>
          <t>ITG</t>
        </is>
      </c>
      <c r="B7133" s="30" t="inlineStr">
        <is>
          <t>Itaguai</t>
        </is>
      </c>
      <c r="C7133" s="30" t="n">
        <v>81826528</v>
      </c>
      <c r="D7133" s="30">
        <f>"60510583005604"</f>
        <v/>
      </c>
      <c r="E7133" s="30" t="inlineStr">
        <is>
          <t>RAPIDO 900 DE TRANSPORTES RODOVIARIOS LTDA</t>
        </is>
      </c>
      <c r="F7133" s="30" t="inlineStr">
        <is>
          <t>2019</t>
        </is>
      </c>
      <c r="G7133" s="40" t="n">
        <v>0</v>
      </c>
    </row>
    <row r="7134" ht="12" customHeight="1">
      <c r="A7134" s="30" t="inlineStr">
        <is>
          <t>ITG</t>
        </is>
      </c>
      <c r="B7134" s="30" t="inlineStr">
        <is>
          <t>Itaguai</t>
        </is>
      </c>
      <c r="C7134" s="30" t="n">
        <v>81826528</v>
      </c>
      <c r="D7134" s="30">
        <f>"60510583005604"</f>
        <v/>
      </c>
      <c r="E7134" s="30" t="inlineStr">
        <is>
          <t>RAPIDO 900 DE TRANSPORTES RODOVIARIOS LTDA</t>
        </is>
      </c>
      <c r="F7134" s="30" t="inlineStr">
        <is>
          <t>2020</t>
        </is>
      </c>
      <c r="G7134" s="40" t="n">
        <v>0</v>
      </c>
    </row>
    <row r="7135" ht="12" customHeight="1">
      <c r="A7135" s="30" t="inlineStr">
        <is>
          <t>ITG</t>
        </is>
      </c>
      <c r="B7135" s="30" t="inlineStr">
        <is>
          <t>Itaguai</t>
        </is>
      </c>
      <c r="C7135" s="30" t="n">
        <v>81827028</v>
      </c>
      <c r="D7135" s="30">
        <f>"21570775000172"</f>
        <v/>
      </c>
      <c r="E7135" s="30" t="inlineStr">
        <is>
          <t>PICORELLI S/A TRANSPORTES</t>
        </is>
      </c>
      <c r="F7135" s="30" t="inlineStr">
        <is>
          <t>2017</t>
        </is>
      </c>
      <c r="G7135" s="40" t="n">
        <v>0</v>
      </c>
    </row>
    <row r="7136" ht="12" customHeight="1">
      <c r="A7136" s="30" t="inlineStr">
        <is>
          <t>ITG</t>
        </is>
      </c>
      <c r="B7136" s="30" t="inlineStr">
        <is>
          <t>Itaguai</t>
        </is>
      </c>
      <c r="C7136" s="30" t="n">
        <v>81827028</v>
      </c>
      <c r="D7136" s="30">
        <f>"21570775000172"</f>
        <v/>
      </c>
      <c r="E7136" s="30" t="inlineStr">
        <is>
          <t>PICORELLI S/A TRANSPORTES</t>
        </is>
      </c>
      <c r="F7136" s="30" t="inlineStr">
        <is>
          <t>2018</t>
        </is>
      </c>
      <c r="G7136" s="40" t="n">
        <v>7042.33</v>
      </c>
    </row>
    <row r="7137" ht="12" customHeight="1">
      <c r="A7137" s="30" t="inlineStr">
        <is>
          <t>ITG</t>
        </is>
      </c>
      <c r="B7137" s="30" t="inlineStr">
        <is>
          <t>Itaguai</t>
        </is>
      </c>
      <c r="C7137" s="30" t="n">
        <v>81827028</v>
      </c>
      <c r="D7137" s="30">
        <f>"21570775000172"</f>
        <v/>
      </c>
      <c r="E7137" s="30" t="inlineStr">
        <is>
          <t>PICORELLI S/A TRANSPORTES</t>
        </is>
      </c>
      <c r="F7137" s="30" t="inlineStr">
        <is>
          <t>2019</t>
        </is>
      </c>
      <c r="G7137" s="40" t="n">
        <v>1406.68</v>
      </c>
    </row>
    <row r="7138" ht="12" customHeight="1">
      <c r="A7138" s="30" t="inlineStr">
        <is>
          <t>ITG</t>
        </is>
      </c>
      <c r="B7138" s="30" t="inlineStr">
        <is>
          <t>Itaguai</t>
        </is>
      </c>
      <c r="C7138" s="30" t="n">
        <v>81827028</v>
      </c>
      <c r="D7138" s="30">
        <f>"21570775000172"</f>
        <v/>
      </c>
      <c r="E7138" s="30" t="inlineStr">
        <is>
          <t>PICORELLI S/A TRANSPORTES</t>
        </is>
      </c>
      <c r="F7138" s="30" t="inlineStr">
        <is>
          <t>2020</t>
        </is>
      </c>
      <c r="G7138" s="40" t="n">
        <v>0</v>
      </c>
    </row>
    <row r="7139" ht="12" customHeight="1">
      <c r="A7139" s="30" t="inlineStr">
        <is>
          <t>ITG</t>
        </is>
      </c>
      <c r="B7139" s="30" t="inlineStr">
        <is>
          <t>Itaguai</t>
        </is>
      </c>
      <c r="C7139" s="30" t="n">
        <v>81827028</v>
      </c>
      <c r="D7139" s="30">
        <f>"21570775000172"</f>
        <v/>
      </c>
      <c r="E7139" s="30" t="inlineStr">
        <is>
          <t>PICORELLI S/A TRANSPORTES</t>
        </is>
      </c>
      <c r="F7139" s="30" t="inlineStr">
        <is>
          <t>2021</t>
        </is>
      </c>
      <c r="G7139" s="40" t="n">
        <v>157.03</v>
      </c>
    </row>
    <row r="7140" ht="12" customHeight="1">
      <c r="A7140" s="30" t="inlineStr">
        <is>
          <t>ITG</t>
        </is>
      </c>
      <c r="B7140" s="30" t="inlineStr">
        <is>
          <t>Itaguai</t>
        </is>
      </c>
      <c r="C7140" s="30" t="n">
        <v>81827028</v>
      </c>
      <c r="D7140" s="30">
        <f>"21570775000172"</f>
        <v/>
      </c>
      <c r="E7140" s="30" t="inlineStr">
        <is>
          <t>PICORELLI S/A TRANSPORTES</t>
        </is>
      </c>
      <c r="F7140" s="30" t="inlineStr">
        <is>
          <t>2022</t>
        </is>
      </c>
      <c r="G7140" s="40" t="n">
        <v>0</v>
      </c>
    </row>
    <row r="7141" ht="12" customHeight="1">
      <c r="A7141" s="30" t="inlineStr">
        <is>
          <t>ITG</t>
        </is>
      </c>
      <c r="B7141" s="30" t="inlineStr">
        <is>
          <t>Itaguai</t>
        </is>
      </c>
      <c r="C7141" s="30" t="n">
        <v>81827028</v>
      </c>
      <c r="D7141" s="30">
        <f>"21570775000172"</f>
        <v/>
      </c>
      <c r="E7141" s="30" t="inlineStr">
        <is>
          <t>PICORELLI S/A TRANSPORTES</t>
        </is>
      </c>
      <c r="F7141" s="30" t="inlineStr">
        <is>
          <t>2023</t>
        </is>
      </c>
      <c r="G7141" s="40" t="n">
        <v>2341.13</v>
      </c>
    </row>
    <row r="7142" ht="12" customHeight="1">
      <c r="A7142" s="30" t="inlineStr">
        <is>
          <t>ITG</t>
        </is>
      </c>
      <c r="B7142" s="30" t="inlineStr">
        <is>
          <t>Itaguai</t>
        </is>
      </c>
      <c r="C7142" s="30" t="n">
        <v>81830010</v>
      </c>
      <c r="D7142" s="30">
        <f>"29516838000114"</f>
        <v/>
      </c>
      <c r="E7142" s="30" t="inlineStr">
        <is>
          <t>RIO LOPES TRANSPORTES LTDA</t>
        </is>
      </c>
      <c r="F7142" s="30" t="inlineStr">
        <is>
          <t>2017</t>
        </is>
      </c>
      <c r="G7142" s="40" t="n">
        <v>2525.96</v>
      </c>
    </row>
    <row r="7143" ht="12" customHeight="1">
      <c r="A7143" s="30" t="inlineStr">
        <is>
          <t>ITG</t>
        </is>
      </c>
      <c r="B7143" s="30" t="inlineStr">
        <is>
          <t>Itaguai</t>
        </is>
      </c>
      <c r="C7143" s="30" t="n">
        <v>81830010</v>
      </c>
      <c r="D7143" s="30">
        <f>"29516838000114"</f>
        <v/>
      </c>
      <c r="E7143" s="30" t="inlineStr">
        <is>
          <t>RIO LOPES TRANSPORTES LTDA</t>
        </is>
      </c>
      <c r="F7143" s="30" t="inlineStr">
        <is>
          <t>2018</t>
        </is>
      </c>
      <c r="G7143" s="40" t="n">
        <v>6279.6</v>
      </c>
    </row>
    <row r="7144" ht="12" customHeight="1">
      <c r="A7144" s="30" t="inlineStr">
        <is>
          <t>ITG</t>
        </is>
      </c>
      <c r="B7144" s="30" t="inlineStr">
        <is>
          <t>Itaguai</t>
        </is>
      </c>
      <c r="C7144" s="30" t="n">
        <v>81830010</v>
      </c>
      <c r="D7144" s="30">
        <f>"29516838000114"</f>
        <v/>
      </c>
      <c r="E7144" s="30" t="inlineStr">
        <is>
          <t>RIO LOPES TRANSPORTES LTDA</t>
        </is>
      </c>
      <c r="F7144" s="30" t="inlineStr">
        <is>
          <t>2019</t>
        </is>
      </c>
      <c r="G7144" s="40" t="n">
        <v>7071.61</v>
      </c>
    </row>
    <row r="7145" ht="12" customHeight="1">
      <c r="A7145" s="30" t="inlineStr">
        <is>
          <t>ITG</t>
        </is>
      </c>
      <c r="B7145" s="30" t="inlineStr">
        <is>
          <t>Itaguai</t>
        </is>
      </c>
      <c r="C7145" s="30" t="n">
        <v>81830010</v>
      </c>
      <c r="D7145" s="30">
        <f>"29516838000114"</f>
        <v/>
      </c>
      <c r="E7145" s="30" t="inlineStr">
        <is>
          <t>RIO LOPES TRANSPORTES LTDA</t>
        </is>
      </c>
      <c r="F7145" s="30" t="inlineStr">
        <is>
          <t>2020</t>
        </is>
      </c>
      <c r="G7145" s="40" t="n">
        <v>2583.3</v>
      </c>
    </row>
    <row r="7146" ht="12" customHeight="1">
      <c r="A7146" s="30" t="inlineStr">
        <is>
          <t>ITG</t>
        </is>
      </c>
      <c r="B7146" s="30" t="inlineStr">
        <is>
          <t>Itaguai</t>
        </is>
      </c>
      <c r="C7146" s="30" t="n">
        <v>81830010</v>
      </c>
      <c r="D7146" s="30">
        <f>"29516838000114"</f>
        <v/>
      </c>
      <c r="E7146" s="30" t="inlineStr">
        <is>
          <t>RIO LOPES TRANSPORTES LTDA</t>
        </is>
      </c>
      <c r="F7146" s="30" t="inlineStr">
        <is>
          <t>2021</t>
        </is>
      </c>
      <c r="G7146" s="40" t="n">
        <v>72085.53999999999</v>
      </c>
    </row>
    <row r="7147" ht="12" customHeight="1">
      <c r="A7147" s="30" t="inlineStr">
        <is>
          <t>ITG</t>
        </is>
      </c>
      <c r="B7147" s="30" t="inlineStr">
        <is>
          <t>Itaguai</t>
        </is>
      </c>
      <c r="C7147" s="30" t="n">
        <v>81830010</v>
      </c>
      <c r="D7147" s="30">
        <f>"29516838000114"</f>
        <v/>
      </c>
      <c r="E7147" s="30" t="inlineStr">
        <is>
          <t>RIO LOPES TRANSPORTES LTDA</t>
        </is>
      </c>
      <c r="F7147" s="30" t="inlineStr">
        <is>
          <t>2022</t>
        </is>
      </c>
      <c r="G7147" s="40" t="n">
        <v>64644.14</v>
      </c>
    </row>
    <row r="7148" ht="12" customHeight="1">
      <c r="A7148" s="30" t="inlineStr">
        <is>
          <t>ITG</t>
        </is>
      </c>
      <c r="B7148" s="30" t="inlineStr">
        <is>
          <t>Itaguai</t>
        </is>
      </c>
      <c r="C7148" s="30" t="n">
        <v>81830010</v>
      </c>
      <c r="D7148" s="30">
        <f>"29516838000114"</f>
        <v/>
      </c>
      <c r="E7148" s="30" t="inlineStr">
        <is>
          <t>RIO LOPES TRANSPORTES LTDA</t>
        </is>
      </c>
      <c r="F7148" s="30" t="inlineStr">
        <is>
          <t>2023</t>
        </is>
      </c>
      <c r="G7148" s="40" t="n">
        <v>0</v>
      </c>
    </row>
    <row r="7149" ht="12" customHeight="1">
      <c r="A7149" s="30" t="inlineStr">
        <is>
          <t>ITG</t>
        </is>
      </c>
      <c r="B7149" s="30" t="inlineStr">
        <is>
          <t>Itaguai</t>
        </is>
      </c>
      <c r="C7149" s="30" t="n">
        <v>81832331</v>
      </c>
      <c r="D7149" s="30">
        <f>"43025774000503"</f>
        <v/>
      </c>
      <c r="E7149" s="30" t="inlineStr">
        <is>
          <t>RODOVIARIO BEDIN LTDA</t>
        </is>
      </c>
      <c r="F7149" s="30" t="inlineStr">
        <is>
          <t>2017</t>
        </is>
      </c>
      <c r="G7149" s="40" t="n">
        <v>255.48</v>
      </c>
    </row>
    <row r="7150" ht="12" customHeight="1">
      <c r="A7150" s="30" t="inlineStr">
        <is>
          <t>ITG</t>
        </is>
      </c>
      <c r="B7150" s="30" t="inlineStr">
        <is>
          <t>Itaguai</t>
        </is>
      </c>
      <c r="C7150" s="30" t="n">
        <v>81832331</v>
      </c>
      <c r="D7150" s="30">
        <f>"43025774000503"</f>
        <v/>
      </c>
      <c r="E7150" s="30" t="inlineStr">
        <is>
          <t>RODOVIARIO BEDIN LTDA</t>
        </is>
      </c>
      <c r="F7150" s="30" t="inlineStr">
        <is>
          <t>2018</t>
        </is>
      </c>
      <c r="G7150" s="40" t="n">
        <v>3897.49</v>
      </c>
    </row>
    <row r="7151" ht="12" customHeight="1">
      <c r="A7151" s="30" t="inlineStr">
        <is>
          <t>ITG</t>
        </is>
      </c>
      <c r="B7151" s="30" t="inlineStr">
        <is>
          <t>Itaguai</t>
        </is>
      </c>
      <c r="C7151" s="30" t="n">
        <v>81832331</v>
      </c>
      <c r="D7151" s="30">
        <f>"43025774000503"</f>
        <v/>
      </c>
      <c r="E7151" s="30" t="inlineStr">
        <is>
          <t>RODOVIARIO BEDIN LTDA</t>
        </is>
      </c>
      <c r="F7151" s="30" t="inlineStr">
        <is>
          <t>2019</t>
        </is>
      </c>
      <c r="G7151" s="40" t="n">
        <v>25100.87</v>
      </c>
    </row>
    <row r="7152" ht="12" customHeight="1">
      <c r="A7152" s="30" t="inlineStr">
        <is>
          <t>ITG</t>
        </is>
      </c>
      <c r="B7152" s="30" t="inlineStr">
        <is>
          <t>Itaguai</t>
        </is>
      </c>
      <c r="C7152" s="30" t="n">
        <v>81832331</v>
      </c>
      <c r="D7152" s="30">
        <f>"43025774000503"</f>
        <v/>
      </c>
      <c r="E7152" s="30" t="inlineStr">
        <is>
          <t>RODOVIARIO BEDIN LTDA</t>
        </is>
      </c>
      <c r="F7152" s="30" t="inlineStr">
        <is>
          <t>2020</t>
        </is>
      </c>
      <c r="G7152" s="40" t="n">
        <v>28586</v>
      </c>
    </row>
    <row r="7153" ht="12" customHeight="1">
      <c r="A7153" s="30" t="inlineStr">
        <is>
          <t>ITG</t>
        </is>
      </c>
      <c r="B7153" s="30" t="inlineStr">
        <is>
          <t>Itaguai</t>
        </is>
      </c>
      <c r="C7153" s="30" t="n">
        <v>81832331</v>
      </c>
      <c r="D7153" s="30">
        <f>"43025774000503"</f>
        <v/>
      </c>
      <c r="E7153" s="30" t="inlineStr">
        <is>
          <t>RODOVIARIO BEDIN LTDA</t>
        </is>
      </c>
      <c r="F7153" s="30" t="inlineStr">
        <is>
          <t>2021</t>
        </is>
      </c>
      <c r="G7153" s="40" t="n">
        <v>4887.87</v>
      </c>
    </row>
    <row r="7154" ht="12" customHeight="1">
      <c r="A7154" s="30" t="inlineStr">
        <is>
          <t>ITG</t>
        </is>
      </c>
      <c r="B7154" s="30" t="inlineStr">
        <is>
          <t>Itaguai</t>
        </is>
      </c>
      <c r="C7154" s="30" t="n">
        <v>81832331</v>
      </c>
      <c r="D7154" s="30">
        <f>"43025774000503"</f>
        <v/>
      </c>
      <c r="E7154" s="30" t="inlineStr">
        <is>
          <t>RODOVIARIO BEDIN LTDA</t>
        </is>
      </c>
      <c r="F7154" s="30" t="inlineStr">
        <is>
          <t>2022</t>
        </is>
      </c>
      <c r="G7154" s="40" t="n">
        <v>19571.32</v>
      </c>
    </row>
    <row r="7155" ht="12" customHeight="1">
      <c r="A7155" s="30" t="inlineStr">
        <is>
          <t>ITG</t>
        </is>
      </c>
      <c r="B7155" s="30" t="inlineStr">
        <is>
          <t>Itaguai</t>
        </is>
      </c>
      <c r="C7155" s="30" t="n">
        <v>81832331</v>
      </c>
      <c r="D7155" s="30">
        <f>"43025774000503"</f>
        <v/>
      </c>
      <c r="E7155" s="30" t="inlineStr">
        <is>
          <t>RODOVIARIO BEDIN LTDA</t>
        </is>
      </c>
      <c r="F7155" s="30" t="inlineStr">
        <is>
          <t>2023</t>
        </is>
      </c>
      <c r="G7155" s="40" t="n">
        <v>4982.94</v>
      </c>
    </row>
    <row r="7156" ht="12" customHeight="1">
      <c r="A7156" s="30" t="inlineStr">
        <is>
          <t>ITG</t>
        </is>
      </c>
      <c r="B7156" s="30" t="inlineStr">
        <is>
          <t>Itaguai</t>
        </is>
      </c>
      <c r="C7156" s="30" t="n">
        <v>81834148</v>
      </c>
      <c r="D7156" s="30">
        <f>"16848731000474"</f>
        <v/>
      </c>
      <c r="E7156" s="30" t="inlineStr">
        <is>
          <t>TRANSPORTES NIQUINI LTDA</t>
        </is>
      </c>
      <c r="F7156" s="30" t="inlineStr">
        <is>
          <t>2017</t>
        </is>
      </c>
      <c r="G7156" s="40" t="n">
        <v>2397.49</v>
      </c>
    </row>
    <row r="7157" ht="12" customHeight="1">
      <c r="A7157" s="30" t="inlineStr">
        <is>
          <t>ITG</t>
        </is>
      </c>
      <c r="B7157" s="30" t="inlineStr">
        <is>
          <t>Itaguai</t>
        </is>
      </c>
      <c r="C7157" s="30" t="n">
        <v>81834148</v>
      </c>
      <c r="D7157" s="30">
        <f>"16848731000474"</f>
        <v/>
      </c>
      <c r="E7157" s="30" t="inlineStr">
        <is>
          <t>TRANSPORTES NIQUINI LTDA</t>
        </is>
      </c>
      <c r="F7157" s="30" t="inlineStr">
        <is>
          <t>2018</t>
        </is>
      </c>
      <c r="G7157" s="40" t="n">
        <v>18177.67</v>
      </c>
    </row>
    <row r="7158" ht="12" customHeight="1">
      <c r="A7158" s="30" t="inlineStr">
        <is>
          <t>ITG</t>
        </is>
      </c>
      <c r="B7158" s="30" t="inlineStr">
        <is>
          <t>Itaguai</t>
        </is>
      </c>
      <c r="C7158" s="30" t="n">
        <v>81834148</v>
      </c>
      <c r="D7158" s="30">
        <f>"16848731000474"</f>
        <v/>
      </c>
      <c r="E7158" s="30" t="inlineStr">
        <is>
          <t>TRANSPORTES NIQUINI LTDA</t>
        </is>
      </c>
      <c r="F7158" s="30" t="inlineStr">
        <is>
          <t>2019</t>
        </is>
      </c>
      <c r="G7158" s="40" t="n">
        <v>0</v>
      </c>
    </row>
    <row r="7159" ht="12" customHeight="1">
      <c r="A7159" s="30" t="inlineStr">
        <is>
          <t>ITG</t>
        </is>
      </c>
      <c r="B7159" s="30" t="inlineStr">
        <is>
          <t>Itaguai</t>
        </is>
      </c>
      <c r="C7159" s="30" t="n">
        <v>81834148</v>
      </c>
      <c r="D7159" s="30">
        <f>"16848731000474"</f>
        <v/>
      </c>
      <c r="E7159" s="30" t="inlineStr">
        <is>
          <t>TRANSPORTES NIQUINI LTDA</t>
        </is>
      </c>
      <c r="F7159" s="30" t="inlineStr">
        <is>
          <t>2020</t>
        </is>
      </c>
      <c r="G7159" s="40" t="n">
        <v>0</v>
      </c>
    </row>
    <row r="7160" ht="12" customHeight="1">
      <c r="A7160" s="30" t="inlineStr">
        <is>
          <t>ITG</t>
        </is>
      </c>
      <c r="B7160" s="30" t="inlineStr">
        <is>
          <t>Itaguai</t>
        </is>
      </c>
      <c r="C7160" s="30" t="n">
        <v>81834393</v>
      </c>
      <c r="D7160" s="30">
        <f>"34004978000143"</f>
        <v/>
      </c>
      <c r="E7160" s="30" t="inlineStr">
        <is>
          <t>EMPRESA DE TRANSPORTES IRMAOS SILVA LTDA - EPP</t>
        </is>
      </c>
      <c r="F7160" s="30" t="inlineStr">
        <is>
          <t>2021</t>
        </is>
      </c>
      <c r="G7160" s="40" t="n">
        <v>0</v>
      </c>
    </row>
    <row r="7161" ht="12" customHeight="1">
      <c r="A7161" s="30" t="inlineStr">
        <is>
          <t>ITG</t>
        </is>
      </c>
      <c r="B7161" s="30" t="inlineStr">
        <is>
          <t>Itaguai</t>
        </is>
      </c>
      <c r="C7161" s="30" t="n">
        <v>81834393</v>
      </c>
      <c r="D7161" s="30">
        <f>"34004978000143"</f>
        <v/>
      </c>
      <c r="E7161" s="30" t="inlineStr">
        <is>
          <t>EMPRESA DE TRANSPORTES IRMAOS SILVA LTDA - EPP</t>
        </is>
      </c>
      <c r="F7161" s="30" t="inlineStr">
        <is>
          <t>2022</t>
        </is>
      </c>
      <c r="G7161" s="40" t="n">
        <v>0</v>
      </c>
    </row>
    <row r="7162" ht="12" customHeight="1">
      <c r="A7162" s="30" t="inlineStr">
        <is>
          <t>ITG</t>
        </is>
      </c>
      <c r="B7162" s="30" t="inlineStr">
        <is>
          <t>Itaguai</t>
        </is>
      </c>
      <c r="C7162" s="30" t="n">
        <v>81834393</v>
      </c>
      <c r="D7162" s="30">
        <f>"34004978000143"</f>
        <v/>
      </c>
      <c r="E7162" s="30" t="inlineStr">
        <is>
          <t>EMPRESA DE TRANSPORTES IRMAOS SILVA LTDA - EPP</t>
        </is>
      </c>
      <c r="F7162" s="30" t="inlineStr">
        <is>
          <t>2023</t>
        </is>
      </c>
      <c r="G7162" s="40" t="n">
        <v>5500</v>
      </c>
    </row>
    <row r="7163" ht="12" customHeight="1">
      <c r="A7163" s="30" t="inlineStr">
        <is>
          <t>ITG</t>
        </is>
      </c>
      <c r="B7163" s="30" t="inlineStr">
        <is>
          <t>Itaguai</t>
        </is>
      </c>
      <c r="C7163" s="30" t="n">
        <v>81853053</v>
      </c>
      <c r="D7163" s="30">
        <f>"17463456000271"</f>
        <v/>
      </c>
      <c r="E7163" s="30" t="inlineStr">
        <is>
          <t>PATRUS TRANSPORTES LTDA</t>
        </is>
      </c>
      <c r="F7163" s="30" t="inlineStr">
        <is>
          <t>2017</t>
        </is>
      </c>
      <c r="G7163" s="40" t="n">
        <v>9517.559999999999</v>
      </c>
    </row>
    <row r="7164" ht="12" customHeight="1">
      <c r="A7164" s="30" t="inlineStr">
        <is>
          <t>ITG</t>
        </is>
      </c>
      <c r="B7164" s="30" t="inlineStr">
        <is>
          <t>Itaguai</t>
        </is>
      </c>
      <c r="C7164" s="30" t="n">
        <v>81853053</v>
      </c>
      <c r="D7164" s="30">
        <f>"17463456000271"</f>
        <v/>
      </c>
      <c r="E7164" s="30" t="inlineStr">
        <is>
          <t>PATRUS TRANSPORTES LTDA</t>
        </is>
      </c>
      <c r="F7164" s="30" t="inlineStr">
        <is>
          <t>2018</t>
        </is>
      </c>
      <c r="G7164" s="40" t="n">
        <v>6687.76</v>
      </c>
    </row>
    <row r="7165" ht="12" customHeight="1">
      <c r="A7165" s="30" t="inlineStr">
        <is>
          <t>ITG</t>
        </is>
      </c>
      <c r="B7165" s="30" t="inlineStr">
        <is>
          <t>Itaguai</t>
        </is>
      </c>
      <c r="C7165" s="30" t="n">
        <v>81853053</v>
      </c>
      <c r="D7165" s="30">
        <f>"17463456000271"</f>
        <v/>
      </c>
      <c r="E7165" s="30" t="inlineStr">
        <is>
          <t>PATRUS TRANSPORTES LTDA</t>
        </is>
      </c>
      <c r="F7165" s="30" t="inlineStr">
        <is>
          <t>2019</t>
        </is>
      </c>
      <c r="G7165" s="40" t="n">
        <v>7823.4</v>
      </c>
    </row>
    <row r="7166" ht="12" customHeight="1">
      <c r="A7166" s="30" t="inlineStr">
        <is>
          <t>ITG</t>
        </is>
      </c>
      <c r="B7166" s="30" t="inlineStr">
        <is>
          <t>Itaguai</t>
        </is>
      </c>
      <c r="C7166" s="30" t="n">
        <v>81853053</v>
      </c>
      <c r="D7166" s="30">
        <f>"17463456000271"</f>
        <v/>
      </c>
      <c r="E7166" s="30" t="inlineStr">
        <is>
          <t>PATRUS TRANSPORTES LTDA</t>
        </is>
      </c>
      <c r="F7166" s="30" t="inlineStr">
        <is>
          <t>2020</t>
        </is>
      </c>
      <c r="G7166" s="40" t="n">
        <v>13966.72</v>
      </c>
    </row>
    <row r="7167" ht="12" customHeight="1">
      <c r="A7167" s="30" t="inlineStr">
        <is>
          <t>ITG</t>
        </is>
      </c>
      <c r="B7167" s="30" t="inlineStr">
        <is>
          <t>Itaguai</t>
        </is>
      </c>
      <c r="C7167" s="30" t="n">
        <v>81853053</v>
      </c>
      <c r="D7167" s="30">
        <f>"17463456000271"</f>
        <v/>
      </c>
      <c r="E7167" s="30" t="inlineStr">
        <is>
          <t>PATRUS TRANSPORTES LTDA</t>
        </is>
      </c>
      <c r="F7167" s="30" t="inlineStr">
        <is>
          <t>2021</t>
        </is>
      </c>
      <c r="G7167" s="40" t="n">
        <v>7982.27</v>
      </c>
    </row>
    <row r="7168" ht="12" customHeight="1">
      <c r="A7168" s="30" t="inlineStr">
        <is>
          <t>ITG</t>
        </is>
      </c>
      <c r="B7168" s="30" t="inlineStr">
        <is>
          <t>Itaguai</t>
        </is>
      </c>
      <c r="C7168" s="30" t="n">
        <v>81853053</v>
      </c>
      <c r="D7168" s="30">
        <f>"17463456000271"</f>
        <v/>
      </c>
      <c r="E7168" s="30" t="inlineStr">
        <is>
          <t>PATRUS TRANSPORTES LTDA</t>
        </is>
      </c>
      <c r="F7168" s="30" t="inlineStr">
        <is>
          <t>2022</t>
        </is>
      </c>
      <c r="G7168" s="40" t="n">
        <v>11301.29</v>
      </c>
    </row>
    <row r="7169" ht="12" customHeight="1">
      <c r="A7169" s="30" t="inlineStr">
        <is>
          <t>ITG</t>
        </is>
      </c>
      <c r="B7169" s="30" t="inlineStr">
        <is>
          <t>Itaguai</t>
        </is>
      </c>
      <c r="C7169" s="30" t="n">
        <v>81853053</v>
      </c>
      <c r="D7169" s="30">
        <f>"17463456000271"</f>
        <v/>
      </c>
      <c r="E7169" s="30" t="inlineStr">
        <is>
          <t>PATRUS TRANSPORTES LTDA</t>
        </is>
      </c>
      <c r="F7169" s="30" t="inlineStr">
        <is>
          <t>2023</t>
        </is>
      </c>
      <c r="G7169" s="40" t="n">
        <v>5783.21</v>
      </c>
    </row>
    <row r="7170" ht="12" customHeight="1">
      <c r="A7170" s="30" t="inlineStr">
        <is>
          <t>ITG</t>
        </is>
      </c>
      <c r="B7170" s="30" t="inlineStr">
        <is>
          <t>Itaguai</t>
        </is>
      </c>
      <c r="C7170" s="30" t="n">
        <v>81874948</v>
      </c>
      <c r="D7170" s="30">
        <f>"33489352000101"</f>
        <v/>
      </c>
      <c r="E7170" s="30" t="inlineStr">
        <is>
          <t>G SILVA TRANSPORTES E LOGISTICA LTDA</t>
        </is>
      </c>
      <c r="F7170" s="30" t="inlineStr">
        <is>
          <t>2017</t>
        </is>
      </c>
      <c r="G7170" s="40" t="n">
        <v>0</v>
      </c>
    </row>
    <row r="7171" ht="12" customHeight="1">
      <c r="A7171" s="30" t="inlineStr">
        <is>
          <t>ITG</t>
        </is>
      </c>
      <c r="B7171" s="30" t="inlineStr">
        <is>
          <t>Itaguai</t>
        </is>
      </c>
      <c r="C7171" s="30" t="n">
        <v>81874948</v>
      </c>
      <c r="D7171" s="30">
        <f>"33489352000101"</f>
        <v/>
      </c>
      <c r="E7171" s="30" t="inlineStr">
        <is>
          <t>G SILVA TRANSPORTES E LOGISTICA LTDA</t>
        </is>
      </c>
      <c r="F7171" s="30" t="inlineStr">
        <is>
          <t>2018</t>
        </is>
      </c>
      <c r="G7171" s="40" t="n">
        <v>0</v>
      </c>
    </row>
    <row r="7172" ht="12" customHeight="1">
      <c r="A7172" s="30" t="inlineStr">
        <is>
          <t>ITG</t>
        </is>
      </c>
      <c r="B7172" s="30" t="inlineStr">
        <is>
          <t>Itaguai</t>
        </is>
      </c>
      <c r="C7172" s="30" t="n">
        <v>81874948</v>
      </c>
      <c r="D7172" s="30">
        <f>"33489352000101"</f>
        <v/>
      </c>
      <c r="E7172" s="30" t="inlineStr">
        <is>
          <t>G SILVA TRANSPORTES E LOGISTICA LTDA</t>
        </is>
      </c>
      <c r="F7172" s="30" t="inlineStr">
        <is>
          <t>2019</t>
        </is>
      </c>
      <c r="G7172" s="40" t="n">
        <v>4595004.01</v>
      </c>
    </row>
    <row r="7173" ht="12" customHeight="1">
      <c r="A7173" s="30" t="inlineStr">
        <is>
          <t>ITG</t>
        </is>
      </c>
      <c r="B7173" s="30" t="inlineStr">
        <is>
          <t>Itaguai</t>
        </is>
      </c>
      <c r="C7173" s="30" t="n">
        <v>81874948</v>
      </c>
      <c r="D7173" s="30">
        <f>"33489352000101"</f>
        <v/>
      </c>
      <c r="E7173" s="30" t="inlineStr">
        <is>
          <t>G SILVA TRANSPORTES E LOGISTICA LTDA</t>
        </is>
      </c>
      <c r="F7173" s="30" t="inlineStr">
        <is>
          <t>2020</t>
        </is>
      </c>
      <c r="G7173" s="40" t="n">
        <v>0</v>
      </c>
    </row>
    <row r="7174" ht="12" customHeight="1">
      <c r="A7174" s="30" t="inlineStr">
        <is>
          <t>ITG</t>
        </is>
      </c>
      <c r="B7174" s="30" t="inlineStr">
        <is>
          <t>Itaguai</t>
        </is>
      </c>
      <c r="C7174" s="30" t="n">
        <v>81874948</v>
      </c>
      <c r="D7174" s="30">
        <f>"33489352000101"</f>
        <v/>
      </c>
      <c r="E7174" s="30" t="inlineStr">
        <is>
          <t>G SILVA TRANSPORTES E LOGISTICA LTDA</t>
        </is>
      </c>
      <c r="F7174" s="30" t="inlineStr">
        <is>
          <t>2021</t>
        </is>
      </c>
      <c r="G7174" s="40" t="n">
        <v>5861785.77</v>
      </c>
    </row>
    <row r="7175" ht="12" customHeight="1">
      <c r="A7175" s="30" t="inlineStr">
        <is>
          <t>ITG</t>
        </is>
      </c>
      <c r="B7175" s="30" t="inlineStr">
        <is>
          <t>Itaguai</t>
        </is>
      </c>
      <c r="C7175" s="30" t="n">
        <v>81874948</v>
      </c>
      <c r="D7175" s="30">
        <f>"33489352000101"</f>
        <v/>
      </c>
      <c r="E7175" s="30" t="inlineStr">
        <is>
          <t>G SILVA TRANSPORTES E LOGISTICA LTDA</t>
        </is>
      </c>
      <c r="F7175" s="30" t="inlineStr">
        <is>
          <t>2022</t>
        </is>
      </c>
      <c r="G7175" s="40" t="n">
        <v>4603927</v>
      </c>
    </row>
    <row r="7176" ht="12" customHeight="1">
      <c r="A7176" s="30" t="inlineStr">
        <is>
          <t>ITG</t>
        </is>
      </c>
      <c r="B7176" s="30" t="inlineStr">
        <is>
          <t>Itaguai</t>
        </is>
      </c>
      <c r="C7176" s="30" t="n">
        <v>81874948</v>
      </c>
      <c r="D7176" s="30">
        <f>"33489352000101"</f>
        <v/>
      </c>
      <c r="E7176" s="30" t="inlineStr">
        <is>
          <t>G SILVA TRANSPORTES E LOGISTICA LTDA</t>
        </is>
      </c>
      <c r="F7176" s="30" t="inlineStr">
        <is>
          <t>2023</t>
        </is>
      </c>
      <c r="G7176" s="40" t="n">
        <v>3107796.13</v>
      </c>
    </row>
    <row r="7177" ht="12" customHeight="1">
      <c r="A7177" s="30" t="inlineStr">
        <is>
          <t>ITG</t>
        </is>
      </c>
      <c r="B7177" s="30" t="inlineStr">
        <is>
          <t>Itaguai</t>
        </is>
      </c>
      <c r="C7177" s="30" t="n">
        <v>81909032</v>
      </c>
      <c r="D7177" s="30">
        <f>"95591723001190"</f>
        <v/>
      </c>
      <c r="E7177" s="30" t="inlineStr">
        <is>
          <t>TNT MERCURIO CARGAS E ENCOMENDAS EXPRESSAS LTDA</t>
        </is>
      </c>
      <c r="F7177" s="30" t="inlineStr">
        <is>
          <t>2017</t>
        </is>
      </c>
      <c r="G7177" s="40" t="n">
        <v>15505.8</v>
      </c>
    </row>
    <row r="7178" ht="12" customHeight="1">
      <c r="A7178" s="30" t="inlineStr">
        <is>
          <t>ITG</t>
        </is>
      </c>
      <c r="B7178" s="30" t="inlineStr">
        <is>
          <t>Itaguai</t>
        </is>
      </c>
      <c r="C7178" s="30" t="n">
        <v>81909032</v>
      </c>
      <c r="D7178" s="30">
        <f>"95591723001190"</f>
        <v/>
      </c>
      <c r="E7178" s="30" t="inlineStr">
        <is>
          <t>TNT MERCURIO CARGAS E ENCOMENDAS EXPRESSAS LTDA</t>
        </is>
      </c>
      <c r="F7178" s="30" t="inlineStr">
        <is>
          <t>2018</t>
        </is>
      </c>
      <c r="G7178" s="40" t="n">
        <v>29855.76</v>
      </c>
    </row>
    <row r="7179" ht="12" customHeight="1">
      <c r="A7179" s="30" t="inlineStr">
        <is>
          <t>ITG</t>
        </is>
      </c>
      <c r="B7179" s="30" t="inlineStr">
        <is>
          <t>Itaguai</t>
        </is>
      </c>
      <c r="C7179" s="30" t="n">
        <v>81909032</v>
      </c>
      <c r="D7179" s="30">
        <f>"95591723001190"</f>
        <v/>
      </c>
      <c r="E7179" s="30" t="inlineStr">
        <is>
          <t>TNT MERCURIO CARGAS E ENCOMENDAS EXPRESSAS LTDA</t>
        </is>
      </c>
      <c r="F7179" s="30" t="inlineStr">
        <is>
          <t>2019</t>
        </is>
      </c>
      <c r="G7179" s="40" t="n">
        <v>67481.7</v>
      </c>
    </row>
    <row r="7180" ht="12" customHeight="1">
      <c r="A7180" s="30" t="inlineStr">
        <is>
          <t>ITG</t>
        </is>
      </c>
      <c r="B7180" s="30" t="inlineStr">
        <is>
          <t>Itaguai</t>
        </is>
      </c>
      <c r="C7180" s="30" t="n">
        <v>81909032</v>
      </c>
      <c r="D7180" s="30">
        <f>"95591723001190"</f>
        <v/>
      </c>
      <c r="E7180" s="30" t="inlineStr">
        <is>
          <t>TNT MERCURIO CARGAS E ENCOMENDAS EXPRESSAS LTDA</t>
        </is>
      </c>
      <c r="F7180" s="30" t="inlineStr">
        <is>
          <t>2020</t>
        </is>
      </c>
      <c r="G7180" s="40" t="n">
        <v>53427.07</v>
      </c>
    </row>
    <row r="7181" ht="12" customHeight="1">
      <c r="A7181" s="30" t="inlineStr">
        <is>
          <t>ITG</t>
        </is>
      </c>
      <c r="B7181" s="30" t="inlineStr">
        <is>
          <t>Itaguai</t>
        </is>
      </c>
      <c r="C7181" s="30" t="n">
        <v>81909032</v>
      </c>
      <c r="D7181" s="30">
        <f>"95591723001190"</f>
        <v/>
      </c>
      <c r="E7181" s="30" t="inlineStr">
        <is>
          <t>TNT MERCURIO CARGAS E ENCOMENDAS EXPRESSAS LTDA</t>
        </is>
      </c>
      <c r="F7181" s="30" t="inlineStr">
        <is>
          <t>2021</t>
        </is>
      </c>
      <c r="G7181" s="40" t="n">
        <v>8014.84</v>
      </c>
    </row>
    <row r="7182" ht="12" customHeight="1">
      <c r="A7182" s="30" t="inlineStr">
        <is>
          <t>ITG</t>
        </is>
      </c>
      <c r="B7182" s="30" t="inlineStr">
        <is>
          <t>Itaguai</t>
        </is>
      </c>
      <c r="C7182" s="30" t="n">
        <v>81909032</v>
      </c>
      <c r="D7182" s="30">
        <f>"95591723001190"</f>
        <v/>
      </c>
      <c r="E7182" s="30" t="inlineStr">
        <is>
          <t>TNT MERCURIO CARGAS E ENCOMENDAS EXPRESSAS LTDA</t>
        </is>
      </c>
      <c r="F7182" s="30" t="inlineStr">
        <is>
          <t>2022</t>
        </is>
      </c>
      <c r="G7182" s="40" t="n">
        <v>15966.76</v>
      </c>
    </row>
    <row r="7183" ht="12" customHeight="1">
      <c r="A7183" s="30" t="inlineStr">
        <is>
          <t>ITG</t>
        </is>
      </c>
      <c r="B7183" s="30" t="inlineStr">
        <is>
          <t>Itaguai</t>
        </is>
      </c>
      <c r="C7183" s="30" t="n">
        <v>81909032</v>
      </c>
      <c r="D7183" s="30">
        <f>"95591723001190"</f>
        <v/>
      </c>
      <c r="E7183" s="30" t="inlineStr">
        <is>
          <t>TNT MERCURIO CARGAS E ENCOMENDAS EXPRESSAS LTDA</t>
        </is>
      </c>
      <c r="F7183" s="30" t="inlineStr">
        <is>
          <t>2023</t>
        </is>
      </c>
      <c r="G7183" s="40" t="n">
        <v>9480.959999999999</v>
      </c>
    </row>
    <row r="7184" ht="12" customHeight="1">
      <c r="A7184" s="30" t="inlineStr">
        <is>
          <t>ITG</t>
        </is>
      </c>
      <c r="B7184" s="30" t="inlineStr">
        <is>
          <t>Itaguai</t>
        </is>
      </c>
      <c r="C7184" s="30" t="n">
        <v>81910685</v>
      </c>
      <c r="D7184" s="30">
        <f>"61737391000205"</f>
        <v/>
      </c>
      <c r="E7184" s="30" t="inlineStr">
        <is>
          <t>TRANSITA TRANSPORTES LTDA</t>
        </is>
      </c>
      <c r="F7184" s="30" t="inlineStr">
        <is>
          <t>2021</t>
        </is>
      </c>
      <c r="G7184" s="40" t="n">
        <v>0</v>
      </c>
    </row>
    <row r="7185" ht="12" customHeight="1">
      <c r="A7185" s="30" t="inlineStr">
        <is>
          <t>ITG</t>
        </is>
      </c>
      <c r="B7185" s="30" t="inlineStr">
        <is>
          <t>Itaguai</t>
        </is>
      </c>
      <c r="C7185" s="30" t="n">
        <v>81910685</v>
      </c>
      <c r="D7185" s="30">
        <f>"61737391000205"</f>
        <v/>
      </c>
      <c r="E7185" s="30" t="inlineStr">
        <is>
          <t>TRANSITA TRANSPORTES LTDA</t>
        </is>
      </c>
      <c r="F7185" s="30" t="inlineStr">
        <is>
          <t>2022</t>
        </is>
      </c>
      <c r="G7185" s="40" t="n">
        <v>0</v>
      </c>
    </row>
    <row r="7186" ht="12" customHeight="1">
      <c r="A7186" s="30" t="inlineStr">
        <is>
          <t>ITG</t>
        </is>
      </c>
      <c r="B7186" s="30" t="inlineStr">
        <is>
          <t>Itaguai</t>
        </is>
      </c>
      <c r="C7186" s="30" t="n">
        <v>81910685</v>
      </c>
      <c r="D7186" s="30">
        <f>"61737391000205"</f>
        <v/>
      </c>
      <c r="E7186" s="30" t="inlineStr">
        <is>
          <t>TRANSITA TRANSPORTES LTDA</t>
        </is>
      </c>
      <c r="F7186" s="30" t="inlineStr">
        <is>
          <t>2023</t>
        </is>
      </c>
      <c r="G7186" s="40" t="n">
        <v>133.18</v>
      </c>
    </row>
    <row r="7187" ht="12" customHeight="1">
      <c r="A7187" s="30" t="inlineStr">
        <is>
          <t>ITG</t>
        </is>
      </c>
      <c r="B7187" s="30" t="inlineStr">
        <is>
          <t>Itaguai</t>
        </is>
      </c>
      <c r="C7187" s="30" t="n">
        <v>81918813</v>
      </c>
      <c r="D7187" s="30">
        <f>"33059684000156"</f>
        <v/>
      </c>
      <c r="E7187" s="30" t="inlineStr">
        <is>
          <t>BREDA TRANSPORTES E TURISMO RIO EIRELI</t>
        </is>
      </c>
      <c r="F7187" s="30" t="inlineStr">
        <is>
          <t>2017</t>
        </is>
      </c>
      <c r="G7187" s="40" t="n">
        <v>11505</v>
      </c>
    </row>
    <row r="7188" ht="12" customHeight="1">
      <c r="A7188" s="30" t="inlineStr">
        <is>
          <t>ITG</t>
        </is>
      </c>
      <c r="B7188" s="30" t="inlineStr">
        <is>
          <t>Itaguai</t>
        </is>
      </c>
      <c r="C7188" s="30" t="n">
        <v>81918813</v>
      </c>
      <c r="D7188" s="30">
        <f>"33059684000156"</f>
        <v/>
      </c>
      <c r="E7188" s="30" t="inlineStr">
        <is>
          <t>BREDA TRANSPORTES E TURISMO RIO EIRELI</t>
        </is>
      </c>
      <c r="F7188" s="30" t="inlineStr">
        <is>
          <t>2018</t>
        </is>
      </c>
      <c r="G7188" s="40" t="n">
        <v>0</v>
      </c>
    </row>
    <row r="7189" ht="12" customHeight="1">
      <c r="A7189" s="30" t="inlineStr">
        <is>
          <t>ITG</t>
        </is>
      </c>
      <c r="B7189" s="30" t="inlineStr">
        <is>
          <t>Itaguai</t>
        </is>
      </c>
      <c r="C7189" s="30" t="n">
        <v>81918813</v>
      </c>
      <c r="D7189" s="30">
        <f>"33059684000156"</f>
        <v/>
      </c>
      <c r="E7189" s="30" t="inlineStr">
        <is>
          <t>BREDA TRANSPORTES E TURISMO RIO EIRELI</t>
        </is>
      </c>
      <c r="F7189" s="30" t="inlineStr">
        <is>
          <t>2019</t>
        </is>
      </c>
      <c r="G7189" s="40" t="n">
        <v>0</v>
      </c>
    </row>
    <row r="7190" ht="12" customHeight="1">
      <c r="A7190" s="30" t="inlineStr">
        <is>
          <t>ITG</t>
        </is>
      </c>
      <c r="B7190" s="30" t="inlineStr">
        <is>
          <t>Itaguai</t>
        </is>
      </c>
      <c r="C7190" s="30" t="n">
        <v>81919852</v>
      </c>
      <c r="D7190" s="30">
        <f>"76728385000412"</f>
        <v/>
      </c>
      <c r="E7190" s="30" t="inlineStr">
        <is>
          <t>TRANSPORTES DIAMANTE LTDA</t>
        </is>
      </c>
      <c r="F7190" s="30" t="inlineStr">
        <is>
          <t>2019</t>
        </is>
      </c>
      <c r="G7190" s="40" t="n">
        <v>0</v>
      </c>
    </row>
    <row r="7191" ht="12" customHeight="1">
      <c r="A7191" s="30" t="inlineStr">
        <is>
          <t>ITG</t>
        </is>
      </c>
      <c r="B7191" s="30" t="inlineStr">
        <is>
          <t>Itaguai</t>
        </is>
      </c>
      <c r="C7191" s="30" t="n">
        <v>81919852</v>
      </c>
      <c r="D7191" s="30">
        <f>"76728385000412"</f>
        <v/>
      </c>
      <c r="E7191" s="30" t="inlineStr">
        <is>
          <t>TRANSPORTES DIAMANTE LTDA</t>
        </is>
      </c>
      <c r="F7191" s="30" t="inlineStr">
        <is>
          <t>2020</t>
        </is>
      </c>
      <c r="G7191" s="40" t="n">
        <v>0</v>
      </c>
    </row>
    <row r="7192" ht="12" customHeight="1">
      <c r="A7192" s="30" t="inlineStr">
        <is>
          <t>ITG</t>
        </is>
      </c>
      <c r="B7192" s="30" t="inlineStr">
        <is>
          <t>Itaguai</t>
        </is>
      </c>
      <c r="C7192" s="30" t="n">
        <v>81919852</v>
      </c>
      <c r="D7192" s="30">
        <f>"76728385000412"</f>
        <v/>
      </c>
      <c r="E7192" s="30" t="inlineStr">
        <is>
          <t>TRANSPORTES DIAMANTE LTDA</t>
        </is>
      </c>
      <c r="F7192" s="30" t="inlineStr">
        <is>
          <t>2021</t>
        </is>
      </c>
      <c r="G7192" s="40" t="n">
        <v>11395.98</v>
      </c>
    </row>
    <row r="7193" ht="12" customHeight="1">
      <c r="A7193" s="30" t="inlineStr">
        <is>
          <t>ITG</t>
        </is>
      </c>
      <c r="B7193" s="30" t="inlineStr">
        <is>
          <t>Itaguai</t>
        </is>
      </c>
      <c r="C7193" s="30" t="n">
        <v>81919852</v>
      </c>
      <c r="D7193" s="30">
        <f>"76728385000412"</f>
        <v/>
      </c>
      <c r="E7193" s="30" t="inlineStr">
        <is>
          <t>TRANSPORTES DIAMANTE LTDA</t>
        </is>
      </c>
      <c r="F7193" s="30" t="inlineStr">
        <is>
          <t>2022</t>
        </is>
      </c>
      <c r="G7193" s="40" t="n">
        <v>0</v>
      </c>
    </row>
    <row r="7194" ht="12" customHeight="1">
      <c r="A7194" s="30" t="inlineStr">
        <is>
          <t>ITG</t>
        </is>
      </c>
      <c r="B7194" s="30" t="inlineStr">
        <is>
          <t>Itaguai</t>
        </is>
      </c>
      <c r="C7194" s="30" t="n">
        <v>81919852</v>
      </c>
      <c r="D7194" s="30">
        <f>"76728385000412"</f>
        <v/>
      </c>
      <c r="E7194" s="30" t="inlineStr">
        <is>
          <t>TRANSPORTES DIAMANTE LTDA</t>
        </is>
      </c>
      <c r="F7194" s="30" t="inlineStr">
        <is>
          <t>2023</t>
        </is>
      </c>
      <c r="G7194" s="40" t="n">
        <v>0</v>
      </c>
    </row>
    <row r="7195" ht="12" customHeight="1">
      <c r="A7195" s="30" t="inlineStr">
        <is>
          <t>ITG</t>
        </is>
      </c>
      <c r="B7195" s="30" t="inlineStr">
        <is>
          <t>Itaguai</t>
        </is>
      </c>
      <c r="C7195" s="30" t="n">
        <v>81920184</v>
      </c>
      <c r="D7195" s="30">
        <f>"29291184000259"</f>
        <v/>
      </c>
      <c r="E7195" s="30" t="inlineStr">
        <is>
          <t>TRANSPORTES TONIATO LTDA</t>
        </is>
      </c>
      <c r="F7195" s="30" t="inlineStr">
        <is>
          <t>2017</t>
        </is>
      </c>
      <c r="G7195" s="40" t="n">
        <v>51440.98</v>
      </c>
    </row>
    <row r="7196" ht="12" customHeight="1">
      <c r="A7196" s="30" t="inlineStr">
        <is>
          <t>ITG</t>
        </is>
      </c>
      <c r="B7196" s="30" t="inlineStr">
        <is>
          <t>Itaguai</t>
        </is>
      </c>
      <c r="C7196" s="30" t="n">
        <v>81920184</v>
      </c>
      <c r="D7196" s="30">
        <f>"29291184000259"</f>
        <v/>
      </c>
      <c r="E7196" s="30" t="inlineStr">
        <is>
          <t>TRANSPORTES TONIATO LTDA</t>
        </is>
      </c>
      <c r="F7196" s="30" t="inlineStr">
        <is>
          <t>2018</t>
        </is>
      </c>
      <c r="G7196" s="40" t="n">
        <v>169278.59</v>
      </c>
    </row>
    <row r="7197" ht="12" customHeight="1">
      <c r="A7197" s="30" t="inlineStr">
        <is>
          <t>ITG</t>
        </is>
      </c>
      <c r="B7197" s="30" t="inlineStr">
        <is>
          <t>Itaguai</t>
        </is>
      </c>
      <c r="C7197" s="30" t="n">
        <v>81920184</v>
      </c>
      <c r="D7197" s="30">
        <f>"29291184000259"</f>
        <v/>
      </c>
      <c r="E7197" s="30" t="inlineStr">
        <is>
          <t>TRANSPORTES TONIATO LTDA</t>
        </is>
      </c>
      <c r="F7197" s="30" t="inlineStr">
        <is>
          <t>2019</t>
        </is>
      </c>
      <c r="G7197" s="40" t="n">
        <v>401816.17</v>
      </c>
    </row>
    <row r="7198" ht="12" customHeight="1">
      <c r="A7198" s="30" t="inlineStr">
        <is>
          <t>ITG</t>
        </is>
      </c>
      <c r="B7198" s="30" t="inlineStr">
        <is>
          <t>Itaguai</t>
        </is>
      </c>
      <c r="C7198" s="30" t="n">
        <v>81920184</v>
      </c>
      <c r="D7198" s="30">
        <f>"29291184000259"</f>
        <v/>
      </c>
      <c r="E7198" s="30" t="inlineStr">
        <is>
          <t>TRANSPORTES TONIATO LTDA</t>
        </is>
      </c>
      <c r="F7198" s="30" t="inlineStr">
        <is>
          <t>2020</t>
        </is>
      </c>
      <c r="G7198" s="40" t="n">
        <v>220599.79</v>
      </c>
    </row>
    <row r="7199" ht="12" customHeight="1">
      <c r="A7199" s="30" t="inlineStr">
        <is>
          <t>ITG</t>
        </is>
      </c>
      <c r="B7199" s="30" t="inlineStr">
        <is>
          <t>Itaguai</t>
        </is>
      </c>
      <c r="C7199" s="30" t="n">
        <v>81920184</v>
      </c>
      <c r="D7199" s="30">
        <f>"29291184000259"</f>
        <v/>
      </c>
      <c r="E7199" s="30" t="inlineStr">
        <is>
          <t>TRANSPORTES TONIATO LTDA</t>
        </is>
      </c>
      <c r="F7199" s="30" t="inlineStr">
        <is>
          <t>2021</t>
        </is>
      </c>
      <c r="G7199" s="40" t="n">
        <v>219148.69</v>
      </c>
    </row>
    <row r="7200" ht="12" customHeight="1">
      <c r="A7200" s="30" t="inlineStr">
        <is>
          <t>ITG</t>
        </is>
      </c>
      <c r="B7200" s="30" t="inlineStr">
        <is>
          <t>Itaguai</t>
        </is>
      </c>
      <c r="C7200" s="30" t="n">
        <v>81920184</v>
      </c>
      <c r="D7200" s="30">
        <f>"29291184000259"</f>
        <v/>
      </c>
      <c r="E7200" s="30" t="inlineStr">
        <is>
          <t>TRANSPORTES TONIATO LTDA</t>
        </is>
      </c>
      <c r="F7200" s="30" t="inlineStr">
        <is>
          <t>2022</t>
        </is>
      </c>
      <c r="G7200" s="40" t="n">
        <v>21264</v>
      </c>
    </row>
    <row r="7201" ht="12" customHeight="1">
      <c r="A7201" s="30" t="inlineStr">
        <is>
          <t>ITG</t>
        </is>
      </c>
      <c r="B7201" s="30" t="inlineStr">
        <is>
          <t>Itaguai</t>
        </is>
      </c>
      <c r="C7201" s="30" t="n">
        <v>81920184</v>
      </c>
      <c r="D7201" s="30">
        <f>"29291184000259"</f>
        <v/>
      </c>
      <c r="E7201" s="30" t="inlineStr">
        <is>
          <t>TRANSPORTES TONIATO LTDA</t>
        </is>
      </c>
      <c r="F7201" s="30" t="inlineStr">
        <is>
          <t>2023</t>
        </is>
      </c>
      <c r="G7201" s="40" t="n">
        <v>2596.74</v>
      </c>
    </row>
    <row r="7202" ht="12" customHeight="1">
      <c r="A7202" s="30" t="inlineStr">
        <is>
          <t>ITG</t>
        </is>
      </c>
      <c r="B7202" s="30" t="inlineStr">
        <is>
          <t>Itaguai</t>
        </is>
      </c>
      <c r="C7202" s="30" t="n">
        <v>81921490</v>
      </c>
      <c r="D7202" s="30">
        <f>"10970887000870"</f>
        <v/>
      </c>
      <c r="E7202" s="30" t="inlineStr">
        <is>
          <t>FEDEX BRASIL LOGISTICA E TRANSPORTE LTDA</t>
        </is>
      </c>
      <c r="F7202" s="30" t="inlineStr">
        <is>
          <t>2017</t>
        </is>
      </c>
      <c r="G7202" s="40" t="n">
        <v>16764.53</v>
      </c>
    </row>
    <row r="7203" ht="12" customHeight="1">
      <c r="A7203" s="30" t="inlineStr">
        <is>
          <t>ITG</t>
        </is>
      </c>
      <c r="B7203" s="30" t="inlineStr">
        <is>
          <t>Itaguai</t>
        </is>
      </c>
      <c r="C7203" s="30" t="n">
        <v>81921490</v>
      </c>
      <c r="D7203" s="30">
        <f>"10970887000870"</f>
        <v/>
      </c>
      <c r="E7203" s="30" t="inlineStr">
        <is>
          <t>FEDEX BRASIL LOGISTICA E TRANSPORTE LTDA</t>
        </is>
      </c>
      <c r="F7203" s="30" t="inlineStr">
        <is>
          <t>2018</t>
        </is>
      </c>
      <c r="G7203" s="40" t="n">
        <v>18045.88</v>
      </c>
    </row>
    <row r="7204" ht="12" customHeight="1">
      <c r="A7204" s="30" t="inlineStr">
        <is>
          <t>ITG</t>
        </is>
      </c>
      <c r="B7204" s="30" t="inlineStr">
        <is>
          <t>Itaguai</t>
        </is>
      </c>
      <c r="C7204" s="30" t="n">
        <v>81921490</v>
      </c>
      <c r="D7204" s="30">
        <f>"10970887000870"</f>
        <v/>
      </c>
      <c r="E7204" s="30" t="inlineStr">
        <is>
          <t>FEDEX BRASIL LOGISTICA E TRANSPORTE LTDA</t>
        </is>
      </c>
      <c r="F7204" s="30" t="inlineStr">
        <is>
          <t>2019</t>
        </is>
      </c>
      <c r="G7204" s="40" t="n">
        <v>0</v>
      </c>
    </row>
    <row r="7205" ht="12" customHeight="1">
      <c r="A7205" s="30" t="inlineStr">
        <is>
          <t>ITG</t>
        </is>
      </c>
      <c r="B7205" s="30" t="inlineStr">
        <is>
          <t>Itaguai</t>
        </is>
      </c>
      <c r="C7205" s="30" t="n">
        <v>81921490</v>
      </c>
      <c r="D7205" s="30">
        <f>"10970887000870"</f>
        <v/>
      </c>
      <c r="E7205" s="30" t="inlineStr">
        <is>
          <t>FEDEX BRASIL LOGISTICA E TRANSPORTE LTDA</t>
        </is>
      </c>
      <c r="F7205" s="30" t="inlineStr">
        <is>
          <t>2020</t>
        </is>
      </c>
      <c r="G7205" s="40" t="n">
        <v>0</v>
      </c>
    </row>
    <row r="7206" ht="12" customHeight="1">
      <c r="A7206" s="30" t="inlineStr">
        <is>
          <t>ITG</t>
        </is>
      </c>
      <c r="B7206" s="30" t="inlineStr">
        <is>
          <t>Itaguai</t>
        </is>
      </c>
      <c r="C7206" s="30" t="n">
        <v>81923930</v>
      </c>
      <c r="D7206" s="30">
        <f>"29863420000426"</f>
        <v/>
      </c>
      <c r="E7206" s="30" t="inlineStr">
        <is>
          <t>EXPRESSO PREDILETO, TRANSPORTES, LOGISTICA E ARMAZENAGEM LTDA EPP</t>
        </is>
      </c>
      <c r="F7206" s="30" t="inlineStr">
        <is>
          <t>2017</t>
        </is>
      </c>
      <c r="G7206" s="40" t="n">
        <v>11879.79</v>
      </c>
    </row>
    <row r="7207" ht="12" customHeight="1">
      <c r="A7207" s="30" t="inlineStr">
        <is>
          <t>ITG</t>
        </is>
      </c>
      <c r="B7207" s="30" t="inlineStr">
        <is>
          <t>Itaguai</t>
        </is>
      </c>
      <c r="C7207" s="30" t="n">
        <v>81923930</v>
      </c>
      <c r="D7207" s="30">
        <f>"29863420000426"</f>
        <v/>
      </c>
      <c r="E7207" s="30" t="inlineStr">
        <is>
          <t>EXPRESSO PREDILETO, TRANSPORTES, LOGISTICA E ARMAZENAGEM LTDA EPP</t>
        </is>
      </c>
      <c r="F7207" s="30" t="inlineStr">
        <is>
          <t>2018</t>
        </is>
      </c>
      <c r="G7207" s="40" t="n">
        <v>1796.13</v>
      </c>
    </row>
    <row r="7208" ht="12" customHeight="1">
      <c r="A7208" s="30" t="inlineStr">
        <is>
          <t>ITG</t>
        </is>
      </c>
      <c r="B7208" s="30" t="inlineStr">
        <is>
          <t>Itaguai</t>
        </is>
      </c>
      <c r="C7208" s="30" t="n">
        <v>81923930</v>
      </c>
      <c r="D7208" s="30">
        <f>"29863420000426"</f>
        <v/>
      </c>
      <c r="E7208" s="30" t="inlineStr">
        <is>
          <t>EXPRESSO PREDILETO, TRANSPORTES, LOGISTICA E ARMAZENAGEM LTDA EPP</t>
        </is>
      </c>
      <c r="F7208" s="30" t="inlineStr">
        <is>
          <t>2019</t>
        </is>
      </c>
      <c r="G7208" s="40" t="n">
        <v>283.15</v>
      </c>
    </row>
    <row r="7209" ht="12" customHeight="1">
      <c r="A7209" s="30" t="inlineStr">
        <is>
          <t>ITG</t>
        </is>
      </c>
      <c r="B7209" s="30" t="inlineStr">
        <is>
          <t>Itaguai</t>
        </is>
      </c>
      <c r="C7209" s="30" t="n">
        <v>81923930</v>
      </c>
      <c r="D7209" s="30">
        <f>"29863420000426"</f>
        <v/>
      </c>
      <c r="E7209" s="30" t="inlineStr">
        <is>
          <t>EXPRESSO PREDILETO, TRANSPORTES, LOGISTICA E ARMAZENAGEM LTDA EPP</t>
        </is>
      </c>
      <c r="F7209" s="30" t="inlineStr">
        <is>
          <t>2020</t>
        </is>
      </c>
      <c r="G7209" s="40" t="n">
        <v>19151.63</v>
      </c>
    </row>
    <row r="7210" ht="12" customHeight="1">
      <c r="A7210" s="30" t="inlineStr">
        <is>
          <t>ITG</t>
        </is>
      </c>
      <c r="B7210" s="30" t="inlineStr">
        <is>
          <t>Itaguai</t>
        </is>
      </c>
      <c r="C7210" s="30" t="n">
        <v>81923930</v>
      </c>
      <c r="D7210" s="30">
        <f>"29863420000426"</f>
        <v/>
      </c>
      <c r="E7210" s="30" t="inlineStr">
        <is>
          <t>EXPRESSO PREDILETO, TRANSPORTES, LOGISTICA E ARMAZENAGEM LTDA EPP</t>
        </is>
      </c>
      <c r="F7210" s="30" t="inlineStr">
        <is>
          <t>2021</t>
        </is>
      </c>
      <c r="G7210" s="40" t="n">
        <v>18822.41</v>
      </c>
    </row>
    <row r="7211" ht="12" customHeight="1">
      <c r="A7211" s="30" t="inlineStr">
        <is>
          <t>ITG</t>
        </is>
      </c>
      <c r="B7211" s="30" t="inlineStr">
        <is>
          <t>Itaguai</t>
        </is>
      </c>
      <c r="C7211" s="30" t="n">
        <v>81923930</v>
      </c>
      <c r="D7211" s="30">
        <f>"29863420000426"</f>
        <v/>
      </c>
      <c r="E7211" s="30" t="inlineStr">
        <is>
          <t>EXPRESSO PREDILETO, TRANSPORTES, LOGISTICA E ARMAZENAGEM LTDA EPP</t>
        </is>
      </c>
      <c r="F7211" s="30" t="inlineStr">
        <is>
          <t>2022</t>
        </is>
      </c>
      <c r="G7211" s="40" t="n">
        <v>11343.08</v>
      </c>
    </row>
    <row r="7212" ht="12" customHeight="1">
      <c r="A7212" s="30" t="inlineStr">
        <is>
          <t>ITG</t>
        </is>
      </c>
      <c r="B7212" s="30" t="inlineStr">
        <is>
          <t>Itaguai</t>
        </is>
      </c>
      <c r="C7212" s="30" t="n">
        <v>81923930</v>
      </c>
      <c r="D7212" s="30">
        <f>"29863420000426"</f>
        <v/>
      </c>
      <c r="E7212" s="30" t="inlineStr">
        <is>
          <t>EXPRESSO PREDILETO, TRANSPORTES, LOGISTICA E ARMAZENAGEM LTDA EPP</t>
        </is>
      </c>
      <c r="F7212" s="30" t="inlineStr">
        <is>
          <t>2023</t>
        </is>
      </c>
      <c r="G7212" s="40" t="n">
        <v>33360.45</v>
      </c>
    </row>
    <row r="7213" ht="12" customHeight="1">
      <c r="A7213" s="30" t="inlineStr">
        <is>
          <t>ITG</t>
        </is>
      </c>
      <c r="B7213" s="30" t="inlineStr">
        <is>
          <t>Itaguai</t>
        </is>
      </c>
      <c r="C7213" s="30" t="n">
        <v>81925372</v>
      </c>
      <c r="D7213" s="30">
        <f>"27175975008000"</f>
        <v/>
      </c>
      <c r="E7213" s="30" t="inlineStr">
        <is>
          <t>VIACAO ITAPEMIRIM LTDA - EM RECUPERACAO JUDICIAL EM RECUPERACAO</t>
        </is>
      </c>
      <c r="F7213" s="30" t="inlineStr">
        <is>
          <t>2017</t>
        </is>
      </c>
      <c r="G7213" s="40" t="n">
        <v>23017.96</v>
      </c>
    </row>
    <row r="7214" ht="12" customHeight="1">
      <c r="A7214" s="30" t="inlineStr">
        <is>
          <t>ITG</t>
        </is>
      </c>
      <c r="B7214" s="30" t="inlineStr">
        <is>
          <t>Itaguai</t>
        </is>
      </c>
      <c r="C7214" s="30" t="n">
        <v>81925372</v>
      </c>
      <c r="D7214" s="30">
        <f>"27175975008000"</f>
        <v/>
      </c>
      <c r="E7214" s="30" t="inlineStr">
        <is>
          <t>VIACAO ITAPEMIRIM LTDA - EM RECUPERACAO JUDICIAL EM RECUPERACAO</t>
        </is>
      </c>
      <c r="F7214" s="30" t="inlineStr">
        <is>
          <t>2018</t>
        </is>
      </c>
      <c r="G7214" s="40" t="n">
        <v>98101.08</v>
      </c>
    </row>
    <row r="7215" ht="12" customHeight="1">
      <c r="A7215" s="30" t="inlineStr">
        <is>
          <t>ITG</t>
        </is>
      </c>
      <c r="B7215" s="30" t="inlineStr">
        <is>
          <t>Itaguai</t>
        </is>
      </c>
      <c r="C7215" s="30" t="n">
        <v>81925372</v>
      </c>
      <c r="D7215" s="30">
        <f>"27175975008000"</f>
        <v/>
      </c>
      <c r="E7215" s="30" t="inlineStr">
        <is>
          <t>VIACAO ITAPEMIRIM LTDA - EM RECUPERACAO JUDICIAL EM RECUPERACAO</t>
        </is>
      </c>
      <c r="F7215" s="30" t="inlineStr">
        <is>
          <t>2019</t>
        </is>
      </c>
      <c r="G7215" s="40" t="n">
        <v>62858.41</v>
      </c>
    </row>
    <row r="7216" ht="12" customHeight="1">
      <c r="A7216" s="30" t="inlineStr">
        <is>
          <t>ITG</t>
        </is>
      </c>
      <c r="B7216" s="30" t="inlineStr">
        <is>
          <t>Itaguai</t>
        </is>
      </c>
      <c r="C7216" s="30" t="n">
        <v>81925372</v>
      </c>
      <c r="D7216" s="30">
        <f>"27175975008000"</f>
        <v/>
      </c>
      <c r="E7216" s="30" t="inlineStr">
        <is>
          <t>VIACAO ITAPEMIRIM LTDA - EM RECUPERACAO JUDICIAL EM RECUPERACAO</t>
        </is>
      </c>
      <c r="F7216" s="30" t="inlineStr">
        <is>
          <t>2020</t>
        </is>
      </c>
      <c r="G7216" s="40" t="n">
        <v>59095.47</v>
      </c>
    </row>
    <row r="7217" ht="12" customHeight="1">
      <c r="A7217" s="30" t="inlineStr">
        <is>
          <t>ITG</t>
        </is>
      </c>
      <c r="B7217" s="30" t="inlineStr">
        <is>
          <t>Itaguai</t>
        </is>
      </c>
      <c r="C7217" s="30" t="n">
        <v>81925372</v>
      </c>
      <c r="D7217" s="30">
        <f>"27175975008000"</f>
        <v/>
      </c>
      <c r="E7217" s="30" t="inlineStr">
        <is>
          <t>VIACAO ITAPEMIRIM LTDA - EM RECUPERACAO JUDICIAL EM RECUPERACAO</t>
        </is>
      </c>
      <c r="F7217" s="30" t="inlineStr">
        <is>
          <t>2021</t>
        </is>
      </c>
      <c r="G7217" s="40" t="n">
        <v>0</v>
      </c>
    </row>
    <row r="7218" ht="12" customHeight="1">
      <c r="A7218" s="30" t="inlineStr">
        <is>
          <t>ITG</t>
        </is>
      </c>
      <c r="B7218" s="30" t="inlineStr">
        <is>
          <t>Itaguai</t>
        </is>
      </c>
      <c r="C7218" s="30" t="n">
        <v>81925372</v>
      </c>
      <c r="D7218" s="30">
        <f>"27175975008000"</f>
        <v/>
      </c>
      <c r="E7218" s="30" t="inlineStr">
        <is>
          <t>VIACAO ITAPEMIRIM LTDA - EM RECUPERACAO JUDICIAL EM RECUPERACAO</t>
        </is>
      </c>
      <c r="F7218" s="30" t="inlineStr">
        <is>
          <t>2022</t>
        </is>
      </c>
      <c r="G7218" s="40" t="n">
        <v>0</v>
      </c>
    </row>
    <row r="7219" ht="12" customHeight="1">
      <c r="A7219" s="30" t="inlineStr">
        <is>
          <t>ITG</t>
        </is>
      </c>
      <c r="B7219" s="30" t="inlineStr">
        <is>
          <t>Itaguai</t>
        </is>
      </c>
      <c r="C7219" s="30" t="n">
        <v>81926743</v>
      </c>
      <c r="D7219" s="30">
        <f>"20147617001113"</f>
        <v/>
      </c>
      <c r="E7219" s="30" t="inlineStr">
        <is>
          <t>JAMEF TRANSPORTES EIRELI</t>
        </is>
      </c>
      <c r="F7219" s="30" t="inlineStr">
        <is>
          <t>2017</t>
        </is>
      </c>
      <c r="G7219" s="40" t="n">
        <v>14738.76</v>
      </c>
    </row>
    <row r="7220" ht="12" customHeight="1">
      <c r="A7220" s="30" t="inlineStr">
        <is>
          <t>ITG</t>
        </is>
      </c>
      <c r="B7220" s="30" t="inlineStr">
        <is>
          <t>Itaguai</t>
        </is>
      </c>
      <c r="C7220" s="30" t="n">
        <v>81926743</v>
      </c>
      <c r="D7220" s="30">
        <f>"20147617001113"</f>
        <v/>
      </c>
      <c r="E7220" s="30" t="inlineStr">
        <is>
          <t>JAMEF TRANSPORTES EIRELI</t>
        </is>
      </c>
      <c r="F7220" s="30" t="inlineStr">
        <is>
          <t>2018</t>
        </is>
      </c>
      <c r="G7220" s="40" t="n">
        <v>19670.06</v>
      </c>
    </row>
    <row r="7221" ht="12" customHeight="1">
      <c r="A7221" s="30" t="inlineStr">
        <is>
          <t>ITG</t>
        </is>
      </c>
      <c r="B7221" s="30" t="inlineStr">
        <is>
          <t>Itaguai</t>
        </is>
      </c>
      <c r="C7221" s="30" t="n">
        <v>81926743</v>
      </c>
      <c r="D7221" s="30">
        <f>"20147617001113"</f>
        <v/>
      </c>
      <c r="E7221" s="30" t="inlineStr">
        <is>
          <t>JAMEF TRANSPORTES EIRELI</t>
        </is>
      </c>
      <c r="F7221" s="30" t="inlineStr">
        <is>
          <t>2019</t>
        </is>
      </c>
      <c r="G7221" s="40" t="n">
        <v>11848.1</v>
      </c>
    </row>
    <row r="7222" ht="12" customHeight="1">
      <c r="A7222" s="30" t="inlineStr">
        <is>
          <t>ITG</t>
        </is>
      </c>
      <c r="B7222" s="30" t="inlineStr">
        <is>
          <t>Itaguai</t>
        </is>
      </c>
      <c r="C7222" s="30" t="n">
        <v>81926743</v>
      </c>
      <c r="D7222" s="30">
        <f>"20147617001113"</f>
        <v/>
      </c>
      <c r="E7222" s="30" t="inlineStr">
        <is>
          <t>JAMEF TRANSPORTES EIRELI</t>
        </is>
      </c>
      <c r="F7222" s="30" t="inlineStr">
        <is>
          <t>2020</t>
        </is>
      </c>
      <c r="G7222" s="40" t="n">
        <v>19757.82</v>
      </c>
    </row>
    <row r="7223" ht="12" customHeight="1">
      <c r="A7223" s="30" t="inlineStr">
        <is>
          <t>ITG</t>
        </is>
      </c>
      <c r="B7223" s="30" t="inlineStr">
        <is>
          <t>Itaguai</t>
        </is>
      </c>
      <c r="C7223" s="30" t="n">
        <v>81926743</v>
      </c>
      <c r="D7223" s="30">
        <f>"20147617001113"</f>
        <v/>
      </c>
      <c r="E7223" s="30" t="inlineStr">
        <is>
          <t>JAMEF TRANSPORTES EIRELI</t>
        </is>
      </c>
      <c r="F7223" s="30" t="inlineStr">
        <is>
          <t>2021</t>
        </is>
      </c>
      <c r="G7223" s="40" t="n">
        <v>14445.17</v>
      </c>
    </row>
    <row r="7224" ht="12" customHeight="1">
      <c r="A7224" s="30" t="inlineStr">
        <is>
          <t>ITG</t>
        </is>
      </c>
      <c r="B7224" s="30" t="inlineStr">
        <is>
          <t>Itaguai</t>
        </is>
      </c>
      <c r="C7224" s="30" t="n">
        <v>81926743</v>
      </c>
      <c r="D7224" s="30">
        <f>"20147617001113"</f>
        <v/>
      </c>
      <c r="E7224" s="30" t="inlineStr">
        <is>
          <t>JAMEF TRANSPORTES EIRELI</t>
        </is>
      </c>
      <c r="F7224" s="30" t="inlineStr">
        <is>
          <t>2022</t>
        </is>
      </c>
      <c r="G7224" s="40" t="n">
        <v>15934.16</v>
      </c>
    </row>
    <row r="7225" ht="12" customHeight="1">
      <c r="A7225" s="30" t="inlineStr">
        <is>
          <t>ITG</t>
        </is>
      </c>
      <c r="B7225" s="30" t="inlineStr">
        <is>
          <t>Itaguai</t>
        </is>
      </c>
      <c r="C7225" s="30" t="n">
        <v>81926743</v>
      </c>
      <c r="D7225" s="30">
        <f>"20147617001113"</f>
        <v/>
      </c>
      <c r="E7225" s="30" t="inlineStr">
        <is>
          <t>JAMEF TRANSPORTES EIRELI</t>
        </is>
      </c>
      <c r="F7225" s="30" t="inlineStr">
        <is>
          <t>2023</t>
        </is>
      </c>
      <c r="G7225" s="40" t="n">
        <v>15685.99</v>
      </c>
    </row>
    <row r="7226" ht="12" customHeight="1">
      <c r="A7226" s="30" t="inlineStr">
        <is>
          <t>ITG</t>
        </is>
      </c>
      <c r="B7226" s="30" t="inlineStr">
        <is>
          <t>Itaguai</t>
        </is>
      </c>
      <c r="C7226" s="30" t="n">
        <v>81955018</v>
      </c>
      <c r="D7226" s="30">
        <f>"29370103000125"</f>
        <v/>
      </c>
      <c r="E7226" s="30" t="inlineStr">
        <is>
          <t>SILTRAN RODOVIARIO EIRELI</t>
        </is>
      </c>
      <c r="F7226" s="30" t="inlineStr">
        <is>
          <t>2017</t>
        </is>
      </c>
      <c r="G7226" s="40" t="n">
        <v>305.83</v>
      </c>
    </row>
    <row r="7227" ht="12" customHeight="1">
      <c r="A7227" s="30" t="inlineStr">
        <is>
          <t>ITG</t>
        </is>
      </c>
      <c r="B7227" s="30" t="inlineStr">
        <is>
          <t>Itaguai</t>
        </is>
      </c>
      <c r="C7227" s="30" t="n">
        <v>81955018</v>
      </c>
      <c r="D7227" s="30">
        <f>"29370103000125"</f>
        <v/>
      </c>
      <c r="E7227" s="30" t="inlineStr">
        <is>
          <t>SILTRAN RODOVIARIO EIRELI</t>
        </is>
      </c>
      <c r="F7227" s="30" t="inlineStr">
        <is>
          <t>2018</t>
        </is>
      </c>
      <c r="G7227" s="40" t="n">
        <v>0</v>
      </c>
    </row>
    <row r="7228" ht="12" customHeight="1">
      <c r="A7228" s="30" t="inlineStr">
        <is>
          <t>ITG</t>
        </is>
      </c>
      <c r="B7228" s="30" t="inlineStr">
        <is>
          <t>Itaguai</t>
        </is>
      </c>
      <c r="C7228" s="30" t="n">
        <v>81955018</v>
      </c>
      <c r="D7228" s="30">
        <f>"29370103000125"</f>
        <v/>
      </c>
      <c r="E7228" s="30" t="inlineStr">
        <is>
          <t>SILTRAN RODOVIARIO EIRELI</t>
        </is>
      </c>
      <c r="F7228" s="30" t="inlineStr">
        <is>
          <t>2019</t>
        </is>
      </c>
      <c r="G7228" s="40" t="n">
        <v>0</v>
      </c>
    </row>
    <row r="7229" ht="12" customHeight="1">
      <c r="A7229" s="30" t="inlineStr">
        <is>
          <t>ITG</t>
        </is>
      </c>
      <c r="B7229" s="30" t="inlineStr">
        <is>
          <t>Itaguai</t>
        </is>
      </c>
      <c r="C7229" s="30" t="n">
        <v>82050663</v>
      </c>
      <c r="D7229" s="30">
        <f>"33669888000109"</f>
        <v/>
      </c>
      <c r="E7229" s="30" t="inlineStr">
        <is>
          <t>BARANO COMERCIO DE ALIMENTOS LTDA</t>
        </is>
      </c>
      <c r="F7229" s="30" t="inlineStr">
        <is>
          <t>2017</t>
        </is>
      </c>
      <c r="G7229" s="40" t="n">
        <v>0</v>
      </c>
    </row>
    <row r="7230" ht="12" customHeight="1">
      <c r="A7230" s="30" t="inlineStr">
        <is>
          <t>ITG</t>
        </is>
      </c>
      <c r="B7230" s="30" t="inlineStr">
        <is>
          <t>Itaguai</t>
        </is>
      </c>
      <c r="C7230" s="30" t="n">
        <v>82050663</v>
      </c>
      <c r="D7230" s="30">
        <f>"33669888000109"</f>
        <v/>
      </c>
      <c r="E7230" s="30" t="inlineStr">
        <is>
          <t>BARANO COMERCIO DE ALIMENTOS LTDA</t>
        </is>
      </c>
      <c r="F7230" s="30" t="inlineStr">
        <is>
          <t>2018</t>
        </is>
      </c>
      <c r="G7230" s="40" t="n">
        <v>1790</v>
      </c>
    </row>
    <row r="7231" ht="12" customHeight="1">
      <c r="A7231" s="30" t="inlineStr">
        <is>
          <t>ITG</t>
        </is>
      </c>
      <c r="B7231" s="30" t="inlineStr">
        <is>
          <t>Itaguai</t>
        </is>
      </c>
      <c r="C7231" s="30" t="n">
        <v>82050663</v>
      </c>
      <c r="D7231" s="30">
        <f>"33669888000109"</f>
        <v/>
      </c>
      <c r="E7231" s="30" t="inlineStr">
        <is>
          <t>BARANO COMERCIO DE ALIMENTOS LTDA</t>
        </is>
      </c>
      <c r="F7231" s="30" t="inlineStr">
        <is>
          <t>2019</t>
        </is>
      </c>
      <c r="G7231" s="40" t="n">
        <v>1760</v>
      </c>
    </row>
    <row r="7232" ht="12" customHeight="1">
      <c r="A7232" s="30" t="inlineStr">
        <is>
          <t>ITG</t>
        </is>
      </c>
      <c r="B7232" s="30" t="inlineStr">
        <is>
          <t>Itaguai</t>
        </is>
      </c>
      <c r="C7232" s="30" t="n">
        <v>82050663</v>
      </c>
      <c r="D7232" s="30">
        <f>"33669888000109"</f>
        <v/>
      </c>
      <c r="E7232" s="30" t="inlineStr">
        <is>
          <t>BARANO COMERCIO DE ALIMENTOS LTDA</t>
        </is>
      </c>
      <c r="F7232" s="30" t="inlineStr">
        <is>
          <t>2020</t>
        </is>
      </c>
      <c r="G7232" s="40" t="n">
        <v>0</v>
      </c>
    </row>
    <row r="7233" ht="12" customHeight="1">
      <c r="A7233" s="30" t="inlineStr">
        <is>
          <t>ITG</t>
        </is>
      </c>
      <c r="B7233" s="30" t="inlineStr">
        <is>
          <t>Itaguai</t>
        </is>
      </c>
      <c r="C7233" s="30" t="n">
        <v>82050663</v>
      </c>
      <c r="D7233" s="30">
        <f>"33669888000109"</f>
        <v/>
      </c>
      <c r="E7233" s="30" t="inlineStr">
        <is>
          <t>BARANO COMERCIO DE ALIMENTOS LTDA</t>
        </is>
      </c>
      <c r="F7233" s="30" t="inlineStr">
        <is>
          <t>2021</t>
        </is>
      </c>
      <c r="G7233" s="40" t="n">
        <v>0</v>
      </c>
    </row>
    <row r="7234" ht="12" customHeight="1">
      <c r="A7234" s="30" t="inlineStr">
        <is>
          <t>ITG</t>
        </is>
      </c>
      <c r="B7234" s="30" t="inlineStr">
        <is>
          <t>Itaguai</t>
        </is>
      </c>
      <c r="C7234" s="30" t="n">
        <v>82346864</v>
      </c>
      <c r="D7234" s="30">
        <f>"27134535000101"</f>
        <v/>
      </c>
      <c r="E7234" s="30" t="inlineStr">
        <is>
          <t>MEGA CONCRETO PREMOLDADO LTDA ME</t>
        </is>
      </c>
      <c r="F7234" s="30" t="inlineStr">
        <is>
          <t>2020</t>
        </is>
      </c>
      <c r="G7234" s="40" t="n">
        <v>0</v>
      </c>
    </row>
    <row r="7235" ht="12" customHeight="1">
      <c r="A7235" s="30" t="inlineStr">
        <is>
          <t>ITG</t>
        </is>
      </c>
      <c r="B7235" s="30" t="inlineStr">
        <is>
          <t>Itaguai</t>
        </is>
      </c>
      <c r="C7235" s="30" t="n">
        <v>82346864</v>
      </c>
      <c r="D7235" s="30">
        <f>"27134535000101"</f>
        <v/>
      </c>
      <c r="E7235" s="30" t="inlineStr">
        <is>
          <t>MEGA CONCRETO PREMOLDADO LTDA ME</t>
        </is>
      </c>
      <c r="F7235" s="30" t="inlineStr">
        <is>
          <t>2021</t>
        </is>
      </c>
      <c r="G7235" s="40" t="n">
        <v>0</v>
      </c>
    </row>
    <row r="7236" ht="12" customHeight="1">
      <c r="A7236" s="30" t="inlineStr">
        <is>
          <t>ITG</t>
        </is>
      </c>
      <c r="B7236" s="30" t="inlineStr">
        <is>
          <t>Itaguai</t>
        </is>
      </c>
      <c r="C7236" s="30" t="n">
        <v>82346864</v>
      </c>
      <c r="D7236" s="30">
        <f>"27134535000101"</f>
        <v/>
      </c>
      <c r="E7236" s="30" t="inlineStr">
        <is>
          <t>MEGA CONCRETO PREMOLDADO LTDA ME</t>
        </is>
      </c>
      <c r="F7236" s="30" t="inlineStr">
        <is>
          <t>2022</t>
        </is>
      </c>
      <c r="G7236" s="40" t="n">
        <v>0</v>
      </c>
    </row>
    <row r="7237" ht="12" customHeight="1">
      <c r="A7237" s="30" t="inlineStr">
        <is>
          <t>ITG</t>
        </is>
      </c>
      <c r="B7237" s="30" t="inlineStr">
        <is>
          <t>Itaguai</t>
        </is>
      </c>
      <c r="C7237" s="30" t="n">
        <v>82346864</v>
      </c>
      <c r="D7237" s="30">
        <f>"27134535000101"</f>
        <v/>
      </c>
      <c r="E7237" s="30" t="inlineStr">
        <is>
          <t>MEGA CONCRETO PREMOLDADO LTDA ME</t>
        </is>
      </c>
      <c r="F7237" s="30" t="inlineStr">
        <is>
          <t>2023</t>
        </is>
      </c>
      <c r="G7237" s="40" t="n">
        <v>0</v>
      </c>
    </row>
    <row r="7238" ht="12" customHeight="1">
      <c r="A7238" s="30" t="inlineStr">
        <is>
          <t>ITG</t>
        </is>
      </c>
      <c r="B7238" s="30" t="inlineStr">
        <is>
          <t>Itaguai</t>
        </is>
      </c>
      <c r="C7238" s="30" t="n">
        <v>82407197</v>
      </c>
      <c r="D7238" s="30">
        <f>"30621890000110"</f>
        <v/>
      </c>
      <c r="E7238" s="30" t="inlineStr">
        <is>
          <t>TRANSPORTE FABIO'S LTDA</t>
        </is>
      </c>
      <c r="F7238" s="30" t="inlineStr">
        <is>
          <t>2017</t>
        </is>
      </c>
      <c r="G7238" s="40" t="n">
        <v>0</v>
      </c>
    </row>
    <row r="7239" ht="12" customHeight="1">
      <c r="A7239" s="30" t="inlineStr">
        <is>
          <t>ITG</t>
        </is>
      </c>
      <c r="B7239" s="30" t="inlineStr">
        <is>
          <t>Itaguai</t>
        </is>
      </c>
      <c r="C7239" s="30" t="n">
        <v>82407197</v>
      </c>
      <c r="D7239" s="30">
        <f>"30621890000110"</f>
        <v/>
      </c>
      <c r="E7239" s="30" t="inlineStr">
        <is>
          <t>TRANSPORTE FABIO'S LTDA</t>
        </is>
      </c>
      <c r="F7239" s="30" t="inlineStr">
        <is>
          <t>2018</t>
        </is>
      </c>
      <c r="G7239" s="40" t="n">
        <v>1877.2</v>
      </c>
    </row>
    <row r="7240" ht="12" customHeight="1">
      <c r="A7240" s="30" t="inlineStr">
        <is>
          <t>ITG</t>
        </is>
      </c>
      <c r="B7240" s="30" t="inlineStr">
        <is>
          <t>Itaguai</t>
        </is>
      </c>
      <c r="C7240" s="30" t="n">
        <v>82407197</v>
      </c>
      <c r="D7240" s="30">
        <f>"30621890000110"</f>
        <v/>
      </c>
      <c r="E7240" s="30" t="inlineStr">
        <is>
          <t>TRANSPORTE FABIO'S LTDA</t>
        </is>
      </c>
      <c r="F7240" s="30" t="inlineStr">
        <is>
          <t>2019</t>
        </is>
      </c>
      <c r="G7240" s="40" t="n">
        <v>0</v>
      </c>
    </row>
    <row r="7241" ht="12" customHeight="1">
      <c r="A7241" s="30" t="inlineStr">
        <is>
          <t>ITG</t>
        </is>
      </c>
      <c r="B7241" s="30" t="inlineStr">
        <is>
          <t>Itaguai</t>
        </is>
      </c>
      <c r="C7241" s="30" t="n">
        <v>82407197</v>
      </c>
      <c r="D7241" s="30">
        <f>"30621890000110"</f>
        <v/>
      </c>
      <c r="E7241" s="30" t="inlineStr">
        <is>
          <t>TRANSPORTE FABIO'S LTDA</t>
        </is>
      </c>
      <c r="F7241" s="30" t="inlineStr">
        <is>
          <t>2020</t>
        </is>
      </c>
      <c r="G7241" s="40" t="n">
        <v>0</v>
      </c>
    </row>
    <row r="7242" ht="12" customHeight="1">
      <c r="A7242" s="30" t="inlineStr">
        <is>
          <t>ITG</t>
        </is>
      </c>
      <c r="B7242" s="30" t="inlineStr">
        <is>
          <t>Itaguai</t>
        </is>
      </c>
      <c r="C7242" s="30" t="n">
        <v>82604138</v>
      </c>
      <c r="D7242" s="30">
        <f>"29863420000507"</f>
        <v/>
      </c>
      <c r="E7242" s="30" t="inlineStr">
        <is>
          <t>EXPRESSO PREDILETO, TRANSPORTES, LOGISTICA E ARMAZENAGEM LTDA EPP</t>
        </is>
      </c>
      <c r="F7242" s="30" t="inlineStr">
        <is>
          <t>2017</t>
        </is>
      </c>
      <c r="G7242" s="40" t="n">
        <v>137.63</v>
      </c>
    </row>
    <row r="7243" ht="12" customHeight="1">
      <c r="A7243" s="30" t="inlineStr">
        <is>
          <t>ITG</t>
        </is>
      </c>
      <c r="B7243" s="30" t="inlineStr">
        <is>
          <t>Itaguai</t>
        </is>
      </c>
      <c r="C7243" s="30" t="n">
        <v>82604138</v>
      </c>
      <c r="D7243" s="30">
        <f>"29863420000507"</f>
        <v/>
      </c>
      <c r="E7243" s="30" t="inlineStr">
        <is>
          <t>EXPRESSO PREDILETO, TRANSPORTES, LOGISTICA E ARMAZENAGEM LTDA EPP</t>
        </is>
      </c>
      <c r="F7243" s="30" t="inlineStr">
        <is>
          <t>2018</t>
        </is>
      </c>
      <c r="G7243" s="40" t="n">
        <v>0</v>
      </c>
    </row>
    <row r="7244" ht="12" customHeight="1">
      <c r="A7244" s="30" t="inlineStr">
        <is>
          <t>ITG</t>
        </is>
      </c>
      <c r="B7244" s="30" t="inlineStr">
        <is>
          <t>Itaguai</t>
        </is>
      </c>
      <c r="C7244" s="30" t="n">
        <v>82604138</v>
      </c>
      <c r="D7244" s="30">
        <f>"29863420000507"</f>
        <v/>
      </c>
      <c r="E7244" s="30" t="inlineStr">
        <is>
          <t>EXPRESSO PREDILETO, TRANSPORTES, LOGISTICA E ARMAZENAGEM LTDA EPP</t>
        </is>
      </c>
      <c r="F7244" s="30" t="inlineStr">
        <is>
          <t>2019</t>
        </is>
      </c>
      <c r="G7244" s="40" t="n">
        <v>0</v>
      </c>
    </row>
    <row r="7245" ht="12" customHeight="1">
      <c r="A7245" s="30" t="inlineStr">
        <is>
          <t>ITG</t>
        </is>
      </c>
      <c r="B7245" s="30" t="inlineStr">
        <is>
          <t>Itaguai</t>
        </is>
      </c>
      <c r="C7245" s="30" t="n">
        <v>82628878</v>
      </c>
      <c r="D7245" s="30">
        <f>"28670958000109"</f>
        <v/>
      </c>
      <c r="E7245" s="30" t="inlineStr">
        <is>
          <t>VIACAO CIDADE DO ACO LTDA</t>
        </is>
      </c>
      <c r="F7245" s="30" t="inlineStr">
        <is>
          <t>2017</t>
        </is>
      </c>
      <c r="G7245" s="40" t="n">
        <v>467421.3</v>
      </c>
    </row>
    <row r="7246" ht="12" customHeight="1">
      <c r="A7246" s="30" t="inlineStr">
        <is>
          <t>ITG</t>
        </is>
      </c>
      <c r="B7246" s="30" t="inlineStr">
        <is>
          <t>Itaguai</t>
        </is>
      </c>
      <c r="C7246" s="30" t="n">
        <v>82628878</v>
      </c>
      <c r="D7246" s="30">
        <f>"28670958000109"</f>
        <v/>
      </c>
      <c r="E7246" s="30" t="inlineStr">
        <is>
          <t>VIACAO CIDADE DO ACO LTDA</t>
        </is>
      </c>
      <c r="F7246" s="30" t="inlineStr">
        <is>
          <t>2018</t>
        </is>
      </c>
      <c r="G7246" s="40" t="n">
        <v>557460.16</v>
      </c>
    </row>
    <row r="7247" ht="12" customHeight="1">
      <c r="A7247" s="30" t="inlineStr">
        <is>
          <t>ITG</t>
        </is>
      </c>
      <c r="B7247" s="30" t="inlineStr">
        <is>
          <t>Itaguai</t>
        </is>
      </c>
      <c r="C7247" s="30" t="n">
        <v>82628878</v>
      </c>
      <c r="D7247" s="30">
        <f>"28670958000109"</f>
        <v/>
      </c>
      <c r="E7247" s="30" t="inlineStr">
        <is>
          <t>VIACAO CIDADE DO ACO LTDA</t>
        </is>
      </c>
      <c r="F7247" s="30" t="inlineStr">
        <is>
          <t>2019</t>
        </is>
      </c>
      <c r="G7247" s="40" t="n">
        <v>705856.4300000001</v>
      </c>
    </row>
    <row r="7248" ht="12" customHeight="1">
      <c r="A7248" s="30" t="inlineStr">
        <is>
          <t>ITG</t>
        </is>
      </c>
      <c r="B7248" s="30" t="inlineStr">
        <is>
          <t>Itaguai</t>
        </is>
      </c>
      <c r="C7248" s="30" t="n">
        <v>82628878</v>
      </c>
      <c r="D7248" s="30">
        <f>"28670958000109"</f>
        <v/>
      </c>
      <c r="E7248" s="30" t="inlineStr">
        <is>
          <t>VIACAO CIDADE DO ACO LTDA</t>
        </is>
      </c>
      <c r="F7248" s="30" t="inlineStr">
        <is>
          <t>2020</t>
        </is>
      </c>
      <c r="G7248" s="40" t="n">
        <v>242757</v>
      </c>
    </row>
    <row r="7249" ht="12" customHeight="1">
      <c r="A7249" s="30" t="inlineStr">
        <is>
          <t>ITG</t>
        </is>
      </c>
      <c r="B7249" s="30" t="inlineStr">
        <is>
          <t>Itaguai</t>
        </is>
      </c>
      <c r="C7249" s="30" t="n">
        <v>82628878</v>
      </c>
      <c r="D7249" s="30">
        <f>"28670958000109"</f>
        <v/>
      </c>
      <c r="E7249" s="30" t="inlineStr">
        <is>
          <t>VIACAO CIDADE DO ACO LTDA</t>
        </is>
      </c>
      <c r="F7249" s="30" t="inlineStr">
        <is>
          <t>2021</t>
        </is>
      </c>
      <c r="G7249" s="40" t="n">
        <v>343951.17</v>
      </c>
    </row>
    <row r="7250" ht="12" customHeight="1">
      <c r="A7250" s="30" t="inlineStr">
        <is>
          <t>ITG</t>
        </is>
      </c>
      <c r="B7250" s="30" t="inlineStr">
        <is>
          <t>Itaguai</t>
        </is>
      </c>
      <c r="C7250" s="30" t="n">
        <v>82628878</v>
      </c>
      <c r="D7250" s="30">
        <f>"28670958000109"</f>
        <v/>
      </c>
      <c r="E7250" s="30" t="inlineStr">
        <is>
          <t>VIACAO CIDADE DO ACO LTDA</t>
        </is>
      </c>
      <c r="F7250" s="30" t="inlineStr">
        <is>
          <t>2022</t>
        </is>
      </c>
      <c r="G7250" s="40" t="n">
        <v>463732.6</v>
      </c>
    </row>
    <row r="7251" ht="12" customHeight="1">
      <c r="A7251" s="30" t="inlineStr">
        <is>
          <t>ITG</t>
        </is>
      </c>
      <c r="B7251" s="30" t="inlineStr">
        <is>
          <t>Itaguai</t>
        </is>
      </c>
      <c r="C7251" s="30" t="n">
        <v>82628878</v>
      </c>
      <c r="D7251" s="30">
        <f>"28670958000109"</f>
        <v/>
      </c>
      <c r="E7251" s="30" t="inlineStr">
        <is>
          <t>VIACAO CIDADE DO ACO LTDA</t>
        </is>
      </c>
      <c r="F7251" s="30" t="inlineStr">
        <is>
          <t>2023</t>
        </is>
      </c>
      <c r="G7251" s="40" t="n">
        <v>617586.73</v>
      </c>
    </row>
    <row r="7252" ht="12" customHeight="1">
      <c r="A7252" s="30" t="inlineStr">
        <is>
          <t>ITG</t>
        </is>
      </c>
      <c r="B7252" s="30" t="inlineStr">
        <is>
          <t>Itaguai</t>
        </is>
      </c>
      <c r="C7252" s="30" t="n">
        <v>82692398</v>
      </c>
      <c r="D7252" s="30">
        <f>"28299386000101"</f>
        <v/>
      </c>
      <c r="E7252" s="30" t="inlineStr">
        <is>
          <t>TRANSMAGNO TRANSPORTES RODOVIARIOS LTDA</t>
        </is>
      </c>
      <c r="F7252" s="30" t="inlineStr">
        <is>
          <t>2017</t>
        </is>
      </c>
      <c r="G7252" s="40" t="n">
        <v>2785.84</v>
      </c>
    </row>
    <row r="7253" ht="12" customHeight="1">
      <c r="A7253" s="30" t="inlineStr">
        <is>
          <t>ITG</t>
        </is>
      </c>
      <c r="B7253" s="30" t="inlineStr">
        <is>
          <t>Itaguai</t>
        </is>
      </c>
      <c r="C7253" s="30" t="n">
        <v>82692398</v>
      </c>
      <c r="D7253" s="30">
        <f>"28299386000101"</f>
        <v/>
      </c>
      <c r="E7253" s="30" t="inlineStr">
        <is>
          <t>TRANSMAGNO TRANSPORTES RODOVIARIOS LTDA</t>
        </is>
      </c>
      <c r="F7253" s="30" t="inlineStr">
        <is>
          <t>2018</t>
        </is>
      </c>
      <c r="G7253" s="40" t="n">
        <v>0</v>
      </c>
    </row>
    <row r="7254" ht="12" customHeight="1">
      <c r="A7254" s="30" t="inlineStr">
        <is>
          <t>ITG</t>
        </is>
      </c>
      <c r="B7254" s="30" t="inlineStr">
        <is>
          <t>Itaguai</t>
        </is>
      </c>
      <c r="C7254" s="30" t="n">
        <v>82692398</v>
      </c>
      <c r="D7254" s="30">
        <f>"28299386000101"</f>
        <v/>
      </c>
      <c r="E7254" s="30" t="inlineStr">
        <is>
          <t>TRANSMAGNO TRANSPORTES RODOVIARIOS LTDA</t>
        </is>
      </c>
      <c r="F7254" s="30" t="inlineStr">
        <is>
          <t>2019</t>
        </is>
      </c>
      <c r="G7254" s="40" t="n">
        <v>0</v>
      </c>
    </row>
    <row r="7255" ht="12" customHeight="1">
      <c r="A7255" s="30" t="inlineStr">
        <is>
          <t>ITG</t>
        </is>
      </c>
      <c r="B7255" s="30" t="inlineStr">
        <is>
          <t>Itaguai</t>
        </is>
      </c>
      <c r="C7255" s="30" t="n">
        <v>82849831</v>
      </c>
      <c r="D7255" s="30">
        <f>"31238678000130"</f>
        <v/>
      </c>
      <c r="E7255" s="30" t="inlineStr">
        <is>
          <t>MERCEARIA MARVI DE ITAGUAI LTDA</t>
        </is>
      </c>
      <c r="F7255" s="30" t="inlineStr">
        <is>
          <t>2017</t>
        </is>
      </c>
      <c r="G7255" s="40" t="n">
        <v>645828.9300000001</v>
      </c>
    </row>
    <row r="7256" ht="12" customHeight="1">
      <c r="A7256" s="30" t="inlineStr">
        <is>
          <t>ITG</t>
        </is>
      </c>
      <c r="B7256" s="30" t="inlineStr">
        <is>
          <t>Itaguai</t>
        </is>
      </c>
      <c r="C7256" s="30" t="n">
        <v>82849831</v>
      </c>
      <c r="D7256" s="30">
        <f>"31238678000130"</f>
        <v/>
      </c>
      <c r="E7256" s="30" t="inlineStr">
        <is>
          <t>MERCEARIA MARVI DE ITAGUAI LTDA</t>
        </is>
      </c>
      <c r="F7256" s="30" t="inlineStr">
        <is>
          <t>2018</t>
        </is>
      </c>
      <c r="G7256" s="40" t="n">
        <v>0</v>
      </c>
    </row>
    <row r="7257" ht="12" customHeight="1">
      <c r="A7257" s="30" t="inlineStr">
        <is>
          <t>ITG</t>
        </is>
      </c>
      <c r="B7257" s="30" t="inlineStr">
        <is>
          <t>Itaguai</t>
        </is>
      </c>
      <c r="C7257" s="30" t="n">
        <v>82849831</v>
      </c>
      <c r="D7257" s="30">
        <f>"31238678000130"</f>
        <v/>
      </c>
      <c r="E7257" s="30" t="inlineStr">
        <is>
          <t>MERCEARIA MARVI DE ITAGUAI LTDA</t>
        </is>
      </c>
      <c r="F7257" s="30" t="inlineStr">
        <is>
          <t>2019</t>
        </is>
      </c>
      <c r="G7257" s="40" t="n">
        <v>0</v>
      </c>
    </row>
    <row r="7258" ht="12" customHeight="1">
      <c r="A7258" s="30" t="inlineStr">
        <is>
          <t>ITG</t>
        </is>
      </c>
      <c r="B7258" s="30" t="inlineStr">
        <is>
          <t>Itaguai</t>
        </is>
      </c>
      <c r="C7258" s="30" t="n">
        <v>82850120</v>
      </c>
      <c r="D7258" s="30">
        <f>"29931417000150"</f>
        <v/>
      </c>
      <c r="E7258" s="30" t="inlineStr">
        <is>
          <t>G L J HOTEIS LTDA ME</t>
        </is>
      </c>
      <c r="F7258" s="30" t="inlineStr">
        <is>
          <t>2017</t>
        </is>
      </c>
      <c r="G7258" s="40" t="n">
        <v>0</v>
      </c>
    </row>
    <row r="7259" ht="12" customHeight="1">
      <c r="A7259" s="30" t="inlineStr">
        <is>
          <t>ITG</t>
        </is>
      </c>
      <c r="B7259" s="30" t="inlineStr">
        <is>
          <t>Itaguai</t>
        </is>
      </c>
      <c r="C7259" s="30" t="n">
        <v>82850120</v>
      </c>
      <c r="D7259" s="30">
        <f>"29931417000150"</f>
        <v/>
      </c>
      <c r="E7259" s="30" t="inlineStr">
        <is>
          <t>G L J HOTEIS LTDA ME</t>
        </is>
      </c>
      <c r="F7259" s="30" t="inlineStr">
        <is>
          <t>2018</t>
        </is>
      </c>
      <c r="G7259" s="40" t="n">
        <v>0</v>
      </c>
    </row>
    <row r="7260" ht="12" customHeight="1">
      <c r="A7260" s="30" t="inlineStr">
        <is>
          <t>ITG</t>
        </is>
      </c>
      <c r="B7260" s="30" t="inlineStr">
        <is>
          <t>Itaguai</t>
        </is>
      </c>
      <c r="C7260" s="30" t="n">
        <v>82850120</v>
      </c>
      <c r="D7260" s="30">
        <f>"29931417000150"</f>
        <v/>
      </c>
      <c r="E7260" s="30" t="inlineStr">
        <is>
          <t>G L J HOTEIS LTDA ME</t>
        </is>
      </c>
      <c r="F7260" s="30" t="inlineStr">
        <is>
          <t>2019</t>
        </is>
      </c>
      <c r="G7260" s="40" t="n">
        <v>0</v>
      </c>
    </row>
    <row r="7261" ht="12" customHeight="1">
      <c r="A7261" s="30" t="inlineStr">
        <is>
          <t>ITG</t>
        </is>
      </c>
      <c r="B7261" s="30" t="inlineStr">
        <is>
          <t>Itaguai</t>
        </is>
      </c>
      <c r="C7261" s="30" t="n">
        <v>82850120</v>
      </c>
      <c r="D7261" s="30">
        <f>"29931417000150"</f>
        <v/>
      </c>
      <c r="E7261" s="30" t="inlineStr">
        <is>
          <t>G L J HOTEIS LTDA ME</t>
        </is>
      </c>
      <c r="F7261" s="30" t="inlineStr">
        <is>
          <t>2020</t>
        </is>
      </c>
      <c r="G7261" s="40" t="n">
        <v>0</v>
      </c>
    </row>
    <row r="7262" ht="12" customHeight="1">
      <c r="A7262" s="30" t="inlineStr">
        <is>
          <t>ITG</t>
        </is>
      </c>
      <c r="B7262" s="30" t="inlineStr">
        <is>
          <t>Itaguai</t>
        </is>
      </c>
      <c r="C7262" s="30" t="n">
        <v>82850120</v>
      </c>
      <c r="D7262" s="30">
        <f>"29931417000150"</f>
        <v/>
      </c>
      <c r="E7262" s="30" t="inlineStr">
        <is>
          <t>G L J HOTEIS LTDA ME</t>
        </is>
      </c>
      <c r="F7262" s="30" t="inlineStr">
        <is>
          <t>2021</t>
        </is>
      </c>
      <c r="G7262" s="40" t="n">
        <v>0</v>
      </c>
    </row>
    <row r="7263" ht="12" customHeight="1">
      <c r="A7263" s="30" t="inlineStr">
        <is>
          <t>ITG</t>
        </is>
      </c>
      <c r="B7263" s="30" t="inlineStr">
        <is>
          <t>Itaguai</t>
        </is>
      </c>
      <c r="C7263" s="30" t="n">
        <v>82850120</v>
      </c>
      <c r="D7263" s="30">
        <f>"29931417000150"</f>
        <v/>
      </c>
      <c r="E7263" s="30" t="inlineStr">
        <is>
          <t>G L J HOTEIS LTDA ME</t>
        </is>
      </c>
      <c r="F7263" s="30" t="inlineStr">
        <is>
          <t>2022</t>
        </is>
      </c>
      <c r="G7263" s="40" t="n">
        <v>0</v>
      </c>
    </row>
    <row r="7264" ht="12" customHeight="1">
      <c r="A7264" s="30" t="inlineStr">
        <is>
          <t>ITG</t>
        </is>
      </c>
      <c r="B7264" s="30" t="inlineStr">
        <is>
          <t>Itaguai</t>
        </is>
      </c>
      <c r="C7264" s="30" t="n">
        <v>82850120</v>
      </c>
      <c r="D7264" s="30">
        <f>"29931417000150"</f>
        <v/>
      </c>
      <c r="E7264" s="30" t="inlineStr">
        <is>
          <t>G L J HOTEIS LTDA ME</t>
        </is>
      </c>
      <c r="F7264" s="30" t="inlineStr">
        <is>
          <t>2023</t>
        </is>
      </c>
      <c r="G7264" s="40" t="n">
        <v>0</v>
      </c>
    </row>
    <row r="7265" ht="12" customHeight="1">
      <c r="A7265" s="30" t="inlineStr">
        <is>
          <t>ITG</t>
        </is>
      </c>
      <c r="B7265" s="30" t="inlineStr">
        <is>
          <t>Itaguai</t>
        </is>
      </c>
      <c r="C7265" s="30" t="n">
        <v>82854657</v>
      </c>
      <c r="D7265" s="30">
        <f>"20628152003328"</f>
        <v/>
      </c>
      <c r="E7265" s="30" t="inlineStr">
        <is>
          <t>VALADARES TECIDOS LTDA</t>
        </is>
      </c>
      <c r="F7265" s="30" t="inlineStr">
        <is>
          <t>2017</t>
        </is>
      </c>
      <c r="G7265" s="40" t="n">
        <v>830196.61</v>
      </c>
    </row>
    <row r="7266" ht="12" customHeight="1">
      <c r="A7266" s="30" t="inlineStr">
        <is>
          <t>ITG</t>
        </is>
      </c>
      <c r="B7266" s="30" t="inlineStr">
        <is>
          <t>Itaguai</t>
        </is>
      </c>
      <c r="C7266" s="30" t="n">
        <v>82854657</v>
      </c>
      <c r="D7266" s="30">
        <f>"20628152003328"</f>
        <v/>
      </c>
      <c r="E7266" s="30" t="inlineStr">
        <is>
          <t>VALADARES TECIDOS LTDA</t>
        </is>
      </c>
      <c r="F7266" s="30" t="inlineStr">
        <is>
          <t>2018</t>
        </is>
      </c>
      <c r="G7266" s="40" t="n">
        <v>67004.66</v>
      </c>
    </row>
    <row r="7267" ht="12" customHeight="1">
      <c r="A7267" s="30" t="inlineStr">
        <is>
          <t>ITG</t>
        </is>
      </c>
      <c r="B7267" s="30" t="inlineStr">
        <is>
          <t>Itaguai</t>
        </is>
      </c>
      <c r="C7267" s="30" t="n">
        <v>82854657</v>
      </c>
      <c r="D7267" s="30">
        <f>"20628152003328"</f>
        <v/>
      </c>
      <c r="E7267" s="30" t="inlineStr">
        <is>
          <t>VALADARES TECIDOS LTDA</t>
        </is>
      </c>
      <c r="F7267" s="30" t="inlineStr">
        <is>
          <t>2019</t>
        </is>
      </c>
      <c r="G7267" s="40" t="n">
        <v>0</v>
      </c>
    </row>
    <row r="7268" ht="12" customHeight="1">
      <c r="A7268" s="30" t="inlineStr">
        <is>
          <t>ITG</t>
        </is>
      </c>
      <c r="B7268" s="30" t="inlineStr">
        <is>
          <t>Itaguai</t>
        </is>
      </c>
      <c r="C7268" s="30" t="n">
        <v>82854657</v>
      </c>
      <c r="D7268" s="30">
        <f>"20628152003328"</f>
        <v/>
      </c>
      <c r="E7268" s="30" t="inlineStr">
        <is>
          <t>VALADARES TECIDOS LTDA</t>
        </is>
      </c>
      <c r="F7268" s="30" t="inlineStr">
        <is>
          <t>2020</t>
        </is>
      </c>
      <c r="G7268" s="40" t="n">
        <v>0</v>
      </c>
    </row>
    <row r="7269" ht="12" customHeight="1">
      <c r="A7269" s="30" t="inlineStr">
        <is>
          <t>ITG</t>
        </is>
      </c>
      <c r="B7269" s="30" t="inlineStr">
        <is>
          <t>Itaguai</t>
        </is>
      </c>
      <c r="C7269" s="30" t="n">
        <v>82854924</v>
      </c>
      <c r="D7269" s="30">
        <f>"31060726000143"</f>
        <v/>
      </c>
      <c r="E7269" s="30" t="inlineStr">
        <is>
          <t>L P DOS SANTOS LANCHONETE</t>
        </is>
      </c>
      <c r="F7269" s="30" t="inlineStr">
        <is>
          <t>2017</t>
        </is>
      </c>
      <c r="G7269" s="40" t="n">
        <v>0</v>
      </c>
    </row>
    <row r="7270" ht="12" customHeight="1">
      <c r="A7270" s="30" t="inlineStr">
        <is>
          <t>ITG</t>
        </is>
      </c>
      <c r="B7270" s="30" t="inlineStr">
        <is>
          <t>Itaguai</t>
        </is>
      </c>
      <c r="C7270" s="30" t="n">
        <v>82854924</v>
      </c>
      <c r="D7270" s="30">
        <f>"31060726000143"</f>
        <v/>
      </c>
      <c r="E7270" s="30" t="inlineStr">
        <is>
          <t>L P DOS SANTOS LANCHONETE</t>
        </is>
      </c>
      <c r="F7270" s="30" t="inlineStr">
        <is>
          <t>2018</t>
        </is>
      </c>
      <c r="G7270" s="40" t="n">
        <v>0</v>
      </c>
    </row>
    <row r="7271" ht="12" customHeight="1">
      <c r="A7271" s="30" t="inlineStr">
        <is>
          <t>ITG</t>
        </is>
      </c>
      <c r="B7271" s="30" t="inlineStr">
        <is>
          <t>Itaguai</t>
        </is>
      </c>
      <c r="C7271" s="30" t="n">
        <v>82854924</v>
      </c>
      <c r="D7271" s="30">
        <f>"31060726000143"</f>
        <v/>
      </c>
      <c r="E7271" s="30" t="inlineStr">
        <is>
          <t>L P DOS SANTOS LANCHONETE</t>
        </is>
      </c>
      <c r="F7271" s="30" t="inlineStr">
        <is>
          <t>2019</t>
        </is>
      </c>
      <c r="G7271" s="40" t="n">
        <v>0</v>
      </c>
    </row>
    <row r="7272" ht="12" customHeight="1">
      <c r="A7272" s="30" t="inlineStr">
        <is>
          <t>ITG</t>
        </is>
      </c>
      <c r="B7272" s="30" t="inlineStr">
        <is>
          <t>Itaguai</t>
        </is>
      </c>
      <c r="C7272" s="30" t="n">
        <v>83031891</v>
      </c>
      <c r="D7272" s="30">
        <f>"28170322000106"</f>
        <v/>
      </c>
      <c r="E7272" s="30" t="inlineStr">
        <is>
          <t>ENSEG SERVICOS DE ENGENHARIA E SEGURANCA LTDA</t>
        </is>
      </c>
      <c r="F7272" s="30" t="inlineStr">
        <is>
          <t>2017</t>
        </is>
      </c>
      <c r="G7272" s="40" t="n">
        <v>0</v>
      </c>
    </row>
    <row r="7273" ht="12" customHeight="1">
      <c r="A7273" s="30" t="inlineStr">
        <is>
          <t>ITG</t>
        </is>
      </c>
      <c r="B7273" s="30" t="inlineStr">
        <is>
          <t>Itaguai</t>
        </is>
      </c>
      <c r="C7273" s="30" t="n">
        <v>83031891</v>
      </c>
      <c r="D7273" s="30">
        <f>"28170322000106"</f>
        <v/>
      </c>
      <c r="E7273" s="30" t="inlineStr">
        <is>
          <t>ENSEG SERVICOS DE ENGENHARIA E SEGURANCA LTDA</t>
        </is>
      </c>
      <c r="F7273" s="30" t="inlineStr">
        <is>
          <t>2018</t>
        </is>
      </c>
      <c r="G7273" s="40" t="n">
        <v>5686</v>
      </c>
    </row>
    <row r="7274" ht="12" customHeight="1">
      <c r="A7274" s="30" t="inlineStr">
        <is>
          <t>ITG</t>
        </is>
      </c>
      <c r="B7274" s="30" t="inlineStr">
        <is>
          <t>Itaguai</t>
        </is>
      </c>
      <c r="C7274" s="30" t="n">
        <v>83031891</v>
      </c>
      <c r="D7274" s="30">
        <f>"28170322000106"</f>
        <v/>
      </c>
      <c r="E7274" s="30" t="inlineStr">
        <is>
          <t>ENSEG SERVICOS DE ENGENHARIA E SEGURANCA LTDA</t>
        </is>
      </c>
      <c r="F7274" s="30" t="inlineStr">
        <is>
          <t>2019</t>
        </is>
      </c>
      <c r="G7274" s="40" t="n">
        <v>253995.02</v>
      </c>
    </row>
    <row r="7275" ht="12" customHeight="1">
      <c r="A7275" s="30" t="inlineStr">
        <is>
          <t>ITG</t>
        </is>
      </c>
      <c r="B7275" s="30" t="inlineStr">
        <is>
          <t>Itaguai</t>
        </is>
      </c>
      <c r="C7275" s="30" t="n">
        <v>83031891</v>
      </c>
      <c r="D7275" s="30">
        <f>"28170322000106"</f>
        <v/>
      </c>
      <c r="E7275" s="30" t="inlineStr">
        <is>
          <t>ENSEG SERVICOS DE ENGENHARIA E SEGURANCA LTDA</t>
        </is>
      </c>
      <c r="F7275" s="30" t="inlineStr">
        <is>
          <t>2020</t>
        </is>
      </c>
      <c r="G7275" s="40" t="n">
        <v>0</v>
      </c>
    </row>
    <row r="7276" ht="12" customHeight="1">
      <c r="A7276" s="30" t="inlineStr">
        <is>
          <t>ITG</t>
        </is>
      </c>
      <c r="B7276" s="30" t="inlineStr">
        <is>
          <t>Itaguai</t>
        </is>
      </c>
      <c r="C7276" s="30" t="n">
        <v>83031891</v>
      </c>
      <c r="D7276" s="30">
        <f>"28170322000106"</f>
        <v/>
      </c>
      <c r="E7276" s="30" t="inlineStr">
        <is>
          <t>ENSEG SERVICOS DE ENGENHARIA E SEGURANCA LTDA</t>
        </is>
      </c>
      <c r="F7276" s="30" t="inlineStr">
        <is>
          <t>2021</t>
        </is>
      </c>
      <c r="G7276" s="40" t="n">
        <v>217864.77</v>
      </c>
    </row>
    <row r="7277" ht="12" customHeight="1">
      <c r="A7277" s="30" t="inlineStr">
        <is>
          <t>ITG</t>
        </is>
      </c>
      <c r="B7277" s="30" t="inlineStr">
        <is>
          <t>Itaguai</t>
        </is>
      </c>
      <c r="C7277" s="30" t="n">
        <v>83031891</v>
      </c>
      <c r="D7277" s="30">
        <f>"28170322000106"</f>
        <v/>
      </c>
      <c r="E7277" s="30" t="inlineStr">
        <is>
          <t>ENSEG SERVICOS DE ENGENHARIA E SEGURANCA LTDA</t>
        </is>
      </c>
      <c r="F7277" s="30" t="inlineStr">
        <is>
          <t>2022</t>
        </is>
      </c>
      <c r="G7277" s="40" t="n">
        <v>0</v>
      </c>
    </row>
    <row r="7278" ht="12" customHeight="1">
      <c r="A7278" s="30" t="inlineStr">
        <is>
          <t>ITG</t>
        </is>
      </c>
      <c r="B7278" s="30" t="inlineStr">
        <is>
          <t>Itaguai</t>
        </is>
      </c>
      <c r="C7278" s="30" t="n">
        <v>83031891</v>
      </c>
      <c r="D7278" s="30">
        <f>"28170322000106"</f>
        <v/>
      </c>
      <c r="E7278" s="30" t="inlineStr">
        <is>
          <t>ENSEG SERVICOS DE ENGENHARIA E SEGURANCA LTDA</t>
        </is>
      </c>
      <c r="F7278" s="30" t="inlineStr">
        <is>
          <t>2023</t>
        </is>
      </c>
      <c r="G7278" s="40" t="n">
        <v>0</v>
      </c>
    </row>
    <row r="7279" ht="12" customHeight="1">
      <c r="A7279" s="30" t="inlineStr">
        <is>
          <t>ITG</t>
        </is>
      </c>
      <c r="B7279" s="30" t="inlineStr">
        <is>
          <t>Itaguai</t>
        </is>
      </c>
      <c r="C7279" s="30" t="n">
        <v>83119470</v>
      </c>
      <c r="D7279" s="30">
        <f>"44191880000287"</f>
        <v/>
      </c>
      <c r="E7279" s="30" t="inlineStr">
        <is>
          <t>TRANSPORTADORA AJOFER LTDA</t>
        </is>
      </c>
      <c r="F7279" s="30" t="inlineStr">
        <is>
          <t>2017</t>
        </is>
      </c>
      <c r="G7279" s="40" t="n">
        <v>0</v>
      </c>
    </row>
    <row r="7280" ht="12" customHeight="1">
      <c r="A7280" s="30" t="inlineStr">
        <is>
          <t>ITG</t>
        </is>
      </c>
      <c r="B7280" s="30" t="inlineStr">
        <is>
          <t>Itaguai</t>
        </is>
      </c>
      <c r="C7280" s="30" t="n">
        <v>83119470</v>
      </c>
      <c r="D7280" s="30">
        <f>"44191880000287"</f>
        <v/>
      </c>
      <c r="E7280" s="30" t="inlineStr">
        <is>
          <t>TRANSPORTADORA AJOFER LTDA</t>
        </is>
      </c>
      <c r="F7280" s="30" t="inlineStr">
        <is>
          <t>2018</t>
        </is>
      </c>
      <c r="G7280" s="40" t="n">
        <v>62.5</v>
      </c>
    </row>
    <row r="7281" ht="12" customHeight="1">
      <c r="A7281" s="30" t="inlineStr">
        <is>
          <t>ITG</t>
        </is>
      </c>
      <c r="B7281" s="30" t="inlineStr">
        <is>
          <t>Itaguai</t>
        </is>
      </c>
      <c r="C7281" s="30" t="n">
        <v>83119470</v>
      </c>
      <c r="D7281" s="30">
        <f>"44191880000287"</f>
        <v/>
      </c>
      <c r="E7281" s="30" t="inlineStr">
        <is>
          <t>TRANSPORTADORA AJOFER LTDA</t>
        </is>
      </c>
      <c r="F7281" s="30" t="inlineStr">
        <is>
          <t>2019</t>
        </is>
      </c>
      <c r="G7281" s="40" t="n">
        <v>0</v>
      </c>
    </row>
    <row r="7282" ht="12" customHeight="1">
      <c r="A7282" s="30" t="inlineStr">
        <is>
          <t>ITG</t>
        </is>
      </c>
      <c r="B7282" s="30" t="inlineStr">
        <is>
          <t>Itaguai</t>
        </is>
      </c>
      <c r="C7282" s="30" t="n">
        <v>83119470</v>
      </c>
      <c r="D7282" s="30">
        <f>"44191880000287"</f>
        <v/>
      </c>
      <c r="E7282" s="30" t="inlineStr">
        <is>
          <t>TRANSPORTADORA AJOFER LTDA</t>
        </is>
      </c>
      <c r="F7282" s="30" t="inlineStr">
        <is>
          <t>2020</t>
        </is>
      </c>
      <c r="G7282" s="40" t="n">
        <v>0</v>
      </c>
    </row>
    <row r="7283" ht="12" customHeight="1">
      <c r="A7283" s="30" t="inlineStr">
        <is>
          <t>ITG</t>
        </is>
      </c>
      <c r="B7283" s="30" t="inlineStr">
        <is>
          <t>Itaguai</t>
        </is>
      </c>
      <c r="C7283" s="30" t="n">
        <v>83119470</v>
      </c>
      <c r="D7283" s="30">
        <f>"44191880000287"</f>
        <v/>
      </c>
      <c r="E7283" s="30" t="inlineStr">
        <is>
          <t>TRANSPORTADORA AJOFER LTDA</t>
        </is>
      </c>
      <c r="F7283" s="30" t="inlineStr">
        <is>
          <t>2021</t>
        </is>
      </c>
      <c r="G7283" s="40" t="n">
        <v>0</v>
      </c>
    </row>
    <row r="7284" ht="12" customHeight="1">
      <c r="A7284" s="30" t="inlineStr">
        <is>
          <t>ITG</t>
        </is>
      </c>
      <c r="B7284" s="30" t="inlineStr">
        <is>
          <t>Itaguai</t>
        </is>
      </c>
      <c r="C7284" s="30" t="n">
        <v>83119470</v>
      </c>
      <c r="D7284" s="30">
        <f>"44191880000287"</f>
        <v/>
      </c>
      <c r="E7284" s="30" t="inlineStr">
        <is>
          <t>TRANSPORTADORA AJOFER LTDA</t>
        </is>
      </c>
      <c r="F7284" s="30" t="inlineStr">
        <is>
          <t>2022</t>
        </is>
      </c>
      <c r="G7284" s="40" t="n">
        <v>125.1</v>
      </c>
    </row>
    <row r="7285" ht="12" customHeight="1">
      <c r="A7285" s="30" t="inlineStr">
        <is>
          <t>ITG</t>
        </is>
      </c>
      <c r="B7285" s="30" t="inlineStr">
        <is>
          <t>Itaguai</t>
        </is>
      </c>
      <c r="C7285" s="30" t="n">
        <v>83119470</v>
      </c>
      <c r="D7285" s="30">
        <f>"44191880000287"</f>
        <v/>
      </c>
      <c r="E7285" s="30" t="inlineStr">
        <is>
          <t>TRANSPORTADORA AJOFER LTDA</t>
        </is>
      </c>
      <c r="F7285" s="30" t="inlineStr">
        <is>
          <t>2023</t>
        </is>
      </c>
      <c r="G7285" s="40" t="n">
        <v>0</v>
      </c>
    </row>
    <row r="7286" ht="12" customHeight="1">
      <c r="A7286" s="30" t="inlineStr">
        <is>
          <t>ITG</t>
        </is>
      </c>
      <c r="B7286" s="30" t="inlineStr">
        <is>
          <t>Itaguai</t>
        </is>
      </c>
      <c r="C7286" s="30" t="n">
        <v>83178612</v>
      </c>
      <c r="D7286" s="30">
        <f>"31548241000101"</f>
        <v/>
      </c>
      <c r="E7286" s="30" t="inlineStr">
        <is>
          <t>MARICA TAXI AEREO LTDA</t>
        </is>
      </c>
      <c r="F7286" s="30" t="inlineStr">
        <is>
          <t>2017</t>
        </is>
      </c>
      <c r="G7286" s="40" t="n">
        <v>3000</v>
      </c>
    </row>
    <row r="7287" ht="12" customHeight="1">
      <c r="A7287" s="30" t="inlineStr">
        <is>
          <t>ITG</t>
        </is>
      </c>
      <c r="B7287" s="30" t="inlineStr">
        <is>
          <t>Itaguai</t>
        </is>
      </c>
      <c r="C7287" s="30" t="n">
        <v>83178612</v>
      </c>
      <c r="D7287" s="30">
        <f>"31548241000101"</f>
        <v/>
      </c>
      <c r="E7287" s="30" t="inlineStr">
        <is>
          <t>MARICA TAXI AEREO LTDA</t>
        </is>
      </c>
      <c r="F7287" s="30" t="inlineStr">
        <is>
          <t>2018</t>
        </is>
      </c>
      <c r="G7287" s="40" t="n">
        <v>3750</v>
      </c>
    </row>
    <row r="7288" ht="12" customHeight="1">
      <c r="A7288" s="30" t="inlineStr">
        <is>
          <t>ITG</t>
        </is>
      </c>
      <c r="B7288" s="30" t="inlineStr">
        <is>
          <t>Itaguai</t>
        </is>
      </c>
      <c r="C7288" s="30" t="n">
        <v>83178612</v>
      </c>
      <c r="D7288" s="30">
        <f>"31548241000101"</f>
        <v/>
      </c>
      <c r="E7288" s="30" t="inlineStr">
        <is>
          <t>MARICA TAXI AEREO LTDA</t>
        </is>
      </c>
      <c r="F7288" s="30" t="inlineStr">
        <is>
          <t>2019</t>
        </is>
      </c>
      <c r="G7288" s="40" t="n">
        <v>0</v>
      </c>
    </row>
    <row r="7289" ht="12" customHeight="1">
      <c r="A7289" s="30" t="inlineStr">
        <is>
          <t>ITG</t>
        </is>
      </c>
      <c r="B7289" s="30" t="inlineStr">
        <is>
          <t>Itaguai</t>
        </is>
      </c>
      <c r="C7289" s="30" t="n">
        <v>83178612</v>
      </c>
      <c r="D7289" s="30">
        <f>"31548241000101"</f>
        <v/>
      </c>
      <c r="E7289" s="30" t="inlineStr">
        <is>
          <t>MARICA TAXI AEREO LTDA</t>
        </is>
      </c>
      <c r="F7289" s="30" t="inlineStr">
        <is>
          <t>2020</t>
        </is>
      </c>
      <c r="G7289" s="40" t="n">
        <v>0</v>
      </c>
    </row>
    <row r="7290" ht="12" customHeight="1">
      <c r="A7290" s="30" t="inlineStr">
        <is>
          <t>ITG</t>
        </is>
      </c>
      <c r="B7290" s="30" t="inlineStr">
        <is>
          <t>Itaguai</t>
        </is>
      </c>
      <c r="C7290" s="30" t="n">
        <v>83388285</v>
      </c>
      <c r="D7290" s="30">
        <f>"31943954000161"</f>
        <v/>
      </c>
      <c r="E7290" s="30" t="inlineStr">
        <is>
          <t>ITAGEL INDUSTRIA E COMERCIO DE PRODUTOS ALIMENTICIOS LTDA</t>
        </is>
      </c>
      <c r="F7290" s="30" t="inlineStr">
        <is>
          <t>2017</t>
        </is>
      </c>
      <c r="G7290" s="40" t="n">
        <v>0</v>
      </c>
    </row>
    <row r="7291" ht="12" customHeight="1">
      <c r="A7291" s="30" t="inlineStr">
        <is>
          <t>ITG</t>
        </is>
      </c>
      <c r="B7291" s="30" t="inlineStr">
        <is>
          <t>Itaguai</t>
        </is>
      </c>
      <c r="C7291" s="30" t="n">
        <v>83388285</v>
      </c>
      <c r="D7291" s="30">
        <f>"31943954000161"</f>
        <v/>
      </c>
      <c r="E7291" s="30" t="inlineStr">
        <is>
          <t>ITAGEL INDUSTRIA E COMERCIO DE PRODUTOS ALIMENTICIOS LTDA</t>
        </is>
      </c>
      <c r="F7291" s="30" t="inlineStr">
        <is>
          <t>2018</t>
        </is>
      </c>
      <c r="G7291" s="40" t="n">
        <v>0</v>
      </c>
    </row>
    <row r="7292" ht="12" customHeight="1">
      <c r="A7292" s="30" t="inlineStr">
        <is>
          <t>ITG</t>
        </is>
      </c>
      <c r="B7292" s="30" t="inlineStr">
        <is>
          <t>Itaguai</t>
        </is>
      </c>
      <c r="C7292" s="30" t="n">
        <v>83388285</v>
      </c>
      <c r="D7292" s="30">
        <f>"31943954000161"</f>
        <v/>
      </c>
      <c r="E7292" s="30" t="inlineStr">
        <is>
          <t>ITAGEL INDUSTRIA E COMERCIO DE PRODUTOS ALIMENTICIOS LTDA</t>
        </is>
      </c>
      <c r="F7292" s="30" t="inlineStr">
        <is>
          <t>2019</t>
        </is>
      </c>
      <c r="G7292" s="40" t="n">
        <v>0</v>
      </c>
    </row>
    <row r="7293" ht="12" customHeight="1">
      <c r="A7293" s="30" t="inlineStr">
        <is>
          <t>ITG</t>
        </is>
      </c>
      <c r="B7293" s="30" t="inlineStr">
        <is>
          <t>Itaguai</t>
        </is>
      </c>
      <c r="C7293" s="30" t="n">
        <v>83388285</v>
      </c>
      <c r="D7293" s="30">
        <f>"31943954000161"</f>
        <v/>
      </c>
      <c r="E7293" s="30" t="inlineStr">
        <is>
          <t>ITAGEL INDUSTRIA E COMERCIO DE PRODUTOS ALIMENTICIOS LTDA</t>
        </is>
      </c>
      <c r="F7293" s="30" t="inlineStr">
        <is>
          <t>2020</t>
        </is>
      </c>
      <c r="G7293" s="40" t="n">
        <v>0</v>
      </c>
    </row>
    <row r="7294" ht="12" customHeight="1">
      <c r="A7294" s="30" t="inlineStr">
        <is>
          <t>ITG</t>
        </is>
      </c>
      <c r="B7294" s="30" t="inlineStr">
        <is>
          <t>Itaguai</t>
        </is>
      </c>
      <c r="C7294" s="30" t="n">
        <v>83388285</v>
      </c>
      <c r="D7294" s="30">
        <f>"31943954000161"</f>
        <v/>
      </c>
      <c r="E7294" s="30" t="inlineStr">
        <is>
          <t>ITAGEL INDUSTRIA E COMERCIO DE PRODUTOS ALIMENTICIOS LTDA</t>
        </is>
      </c>
      <c r="F7294" s="30" t="inlineStr">
        <is>
          <t>2021</t>
        </is>
      </c>
      <c r="G7294" s="40" t="n">
        <v>0</v>
      </c>
    </row>
    <row r="7295" ht="12" customHeight="1">
      <c r="A7295" s="30" t="inlineStr">
        <is>
          <t>ITG</t>
        </is>
      </c>
      <c r="B7295" s="30" t="inlineStr">
        <is>
          <t>Itaguai</t>
        </is>
      </c>
      <c r="C7295" s="30" t="n">
        <v>83409738</v>
      </c>
      <c r="D7295" s="30">
        <f>"33938119000240"</f>
        <v/>
      </c>
      <c r="E7295" s="30" t="inlineStr">
        <is>
          <t>COMPANHIA DISTRIBUIDORA DE GAS DO RIO DE JANEIRO - CEG</t>
        </is>
      </c>
      <c r="F7295" s="30" t="inlineStr">
        <is>
          <t>2017</t>
        </is>
      </c>
      <c r="G7295" s="40" t="n">
        <v>2570498.25</v>
      </c>
    </row>
    <row r="7296" ht="12" customHeight="1">
      <c r="A7296" s="30" t="inlineStr">
        <is>
          <t>ITG</t>
        </is>
      </c>
      <c r="B7296" s="30" t="inlineStr">
        <is>
          <t>Itaguai</t>
        </is>
      </c>
      <c r="C7296" s="30" t="n">
        <v>83409738</v>
      </c>
      <c r="D7296" s="30">
        <f>"33938119000240"</f>
        <v/>
      </c>
      <c r="E7296" s="30" t="inlineStr">
        <is>
          <t>COMPANHIA DISTRIBUIDORA DE GAS DO RIO DE JANEIRO - CEG</t>
        </is>
      </c>
      <c r="F7296" s="30" t="inlineStr">
        <is>
          <t>2018</t>
        </is>
      </c>
      <c r="G7296" s="40" t="n">
        <v>2384227.9</v>
      </c>
    </row>
    <row r="7297" ht="12" customHeight="1">
      <c r="A7297" s="30" t="inlineStr">
        <is>
          <t>ITG</t>
        </is>
      </c>
      <c r="B7297" s="30" t="inlineStr">
        <is>
          <t>Itaguai</t>
        </is>
      </c>
      <c r="C7297" s="30" t="n">
        <v>83409738</v>
      </c>
      <c r="D7297" s="30">
        <f>"33938119000240"</f>
        <v/>
      </c>
      <c r="E7297" s="30" t="inlineStr">
        <is>
          <t>COMPANHIA DISTRIBUIDORA DE GAS DO RIO DE JANEIRO - CEG</t>
        </is>
      </c>
      <c r="F7297" s="30" t="inlineStr">
        <is>
          <t>2019</t>
        </is>
      </c>
      <c r="G7297" s="40" t="n">
        <v>3446133.17</v>
      </c>
    </row>
    <row r="7298" ht="12" customHeight="1">
      <c r="A7298" s="30" t="inlineStr">
        <is>
          <t>ITG</t>
        </is>
      </c>
      <c r="B7298" s="30" t="inlineStr">
        <is>
          <t>Itaguai</t>
        </is>
      </c>
      <c r="C7298" s="30" t="n">
        <v>83409738</v>
      </c>
      <c r="D7298" s="30">
        <f>"33938119000240"</f>
        <v/>
      </c>
      <c r="E7298" s="30" t="inlineStr">
        <is>
          <t>COMPANHIA DISTRIBUIDORA DE GAS DO RIO DE JANEIRO - CEG</t>
        </is>
      </c>
      <c r="F7298" s="30" t="inlineStr">
        <is>
          <t>2020</t>
        </is>
      </c>
      <c r="G7298" s="40" t="n">
        <v>3097896.19</v>
      </c>
    </row>
    <row r="7299" ht="12" customHeight="1">
      <c r="A7299" s="30" t="inlineStr">
        <is>
          <t>ITG</t>
        </is>
      </c>
      <c r="B7299" s="30" t="inlineStr">
        <is>
          <t>Itaguai</t>
        </is>
      </c>
      <c r="C7299" s="30" t="n">
        <v>83409738</v>
      </c>
      <c r="D7299" s="30">
        <f>"33938119000240"</f>
        <v/>
      </c>
      <c r="E7299" s="30" t="inlineStr">
        <is>
          <t>COMPANHIA DISTRIBUIDORA DE GAS DO RIO DE JANEIRO - CEG</t>
        </is>
      </c>
      <c r="F7299" s="30" t="inlineStr">
        <is>
          <t>2021</t>
        </is>
      </c>
      <c r="G7299" s="40" t="n">
        <v>3626930.31</v>
      </c>
    </row>
    <row r="7300" ht="12" customHeight="1">
      <c r="A7300" s="30" t="inlineStr">
        <is>
          <t>ITG</t>
        </is>
      </c>
      <c r="B7300" s="30" t="inlineStr">
        <is>
          <t>Itaguai</t>
        </is>
      </c>
      <c r="C7300" s="30" t="n">
        <v>83409738</v>
      </c>
      <c r="D7300" s="30">
        <f>"33938119000240"</f>
        <v/>
      </c>
      <c r="E7300" s="30" t="inlineStr">
        <is>
          <t>COMPANHIA DISTRIBUIDORA DE GAS DO RIO DE JANEIRO - CEG</t>
        </is>
      </c>
      <c r="F7300" s="30" t="inlineStr">
        <is>
          <t>2022</t>
        </is>
      </c>
      <c r="G7300" s="40" t="n">
        <v>1676966.27</v>
      </c>
    </row>
    <row r="7301" ht="12" customHeight="1">
      <c r="A7301" s="30" t="inlineStr">
        <is>
          <t>ITG</t>
        </is>
      </c>
      <c r="B7301" s="30" t="inlineStr">
        <is>
          <t>Itaguai</t>
        </is>
      </c>
      <c r="C7301" s="30" t="n">
        <v>83409738</v>
      </c>
      <c r="D7301" s="30">
        <f>"33938119000240"</f>
        <v/>
      </c>
      <c r="E7301" s="30" t="inlineStr">
        <is>
          <t>COMPANHIA DISTRIBUIDORA DE GAS DO RIO DE JANEIRO - CEG</t>
        </is>
      </c>
      <c r="F7301" s="30" t="inlineStr">
        <is>
          <t>2023</t>
        </is>
      </c>
      <c r="G7301" s="40" t="n">
        <v>1047871.42</v>
      </c>
    </row>
    <row r="7302" ht="12" customHeight="1">
      <c r="A7302" s="30" t="inlineStr">
        <is>
          <t>ITG</t>
        </is>
      </c>
      <c r="B7302" s="30" t="inlineStr">
        <is>
          <t>Itaguai</t>
        </is>
      </c>
      <c r="C7302" s="30" t="n">
        <v>83485191</v>
      </c>
      <c r="D7302" s="30">
        <f>"31667298000111"</f>
        <v/>
      </c>
      <c r="E7302" s="30" t="inlineStr">
        <is>
          <t>TRANSHIP TRANSPORTES MARITIMOS LTDA</t>
        </is>
      </c>
      <c r="F7302" s="30" t="inlineStr">
        <is>
          <t>2018</t>
        </is>
      </c>
      <c r="G7302" s="40" t="n">
        <v>0</v>
      </c>
    </row>
    <row r="7303" ht="12" customHeight="1">
      <c r="A7303" s="30" t="inlineStr">
        <is>
          <t>ITG</t>
        </is>
      </c>
      <c r="B7303" s="30" t="inlineStr">
        <is>
          <t>Itaguai</t>
        </is>
      </c>
      <c r="C7303" s="30" t="n">
        <v>83485191</v>
      </c>
      <c r="D7303" s="30">
        <f>"31667298000111"</f>
        <v/>
      </c>
      <c r="E7303" s="30" t="inlineStr">
        <is>
          <t>TRANSHIP TRANSPORTES MARITIMOS LTDA</t>
        </is>
      </c>
      <c r="F7303" s="30" t="inlineStr">
        <is>
          <t>2019</t>
        </is>
      </c>
      <c r="G7303" s="40" t="n">
        <v>0</v>
      </c>
    </row>
    <row r="7304" ht="12" customHeight="1">
      <c r="A7304" s="30" t="inlineStr">
        <is>
          <t>ITG</t>
        </is>
      </c>
      <c r="B7304" s="30" t="inlineStr">
        <is>
          <t>Itaguai</t>
        </is>
      </c>
      <c r="C7304" s="30" t="n">
        <v>83485191</v>
      </c>
      <c r="D7304" s="30">
        <f>"31667298000111"</f>
        <v/>
      </c>
      <c r="E7304" s="30" t="inlineStr">
        <is>
          <t>TRANSHIP TRANSPORTES MARITIMOS LTDA</t>
        </is>
      </c>
      <c r="F7304" s="30" t="inlineStr">
        <is>
          <t>2020</t>
        </is>
      </c>
      <c r="G7304" s="40" t="n">
        <v>210000</v>
      </c>
    </row>
    <row r="7305" ht="12" customHeight="1">
      <c r="A7305" s="30" t="inlineStr">
        <is>
          <t>ITG</t>
        </is>
      </c>
      <c r="B7305" s="30" t="inlineStr">
        <is>
          <t>Itaguai</t>
        </is>
      </c>
      <c r="C7305" s="30" t="n">
        <v>83485191</v>
      </c>
      <c r="D7305" s="30">
        <f>"31667298000111"</f>
        <v/>
      </c>
      <c r="E7305" s="30" t="inlineStr">
        <is>
          <t>TRANSHIP TRANSPORTES MARITIMOS LTDA</t>
        </is>
      </c>
      <c r="F7305" s="30" t="inlineStr">
        <is>
          <t>2021</t>
        </is>
      </c>
      <c r="G7305" s="40" t="n">
        <v>0</v>
      </c>
    </row>
    <row r="7306" ht="12" customHeight="1">
      <c r="A7306" s="30" t="inlineStr">
        <is>
          <t>ITG</t>
        </is>
      </c>
      <c r="B7306" s="30" t="inlineStr">
        <is>
          <t>Itaguai</t>
        </is>
      </c>
      <c r="C7306" s="30" t="n">
        <v>83485191</v>
      </c>
      <c r="D7306" s="30">
        <f>"31667298000111"</f>
        <v/>
      </c>
      <c r="E7306" s="30" t="inlineStr">
        <is>
          <t>TRANSHIP TRANSPORTES MARITIMOS LTDA</t>
        </is>
      </c>
      <c r="F7306" s="30" t="inlineStr">
        <is>
          <t>2022</t>
        </is>
      </c>
      <c r="G7306" s="40" t="n">
        <v>0</v>
      </c>
    </row>
    <row r="7307" ht="12" customHeight="1">
      <c r="A7307" s="30" t="inlineStr">
        <is>
          <t>ITG</t>
        </is>
      </c>
      <c r="B7307" s="30" t="inlineStr">
        <is>
          <t>Itaguai</t>
        </is>
      </c>
      <c r="C7307" s="30" t="n">
        <v>83573376</v>
      </c>
      <c r="D7307" s="30">
        <f>"31442759000158"</f>
        <v/>
      </c>
      <c r="E7307" s="30" t="inlineStr">
        <is>
          <t>P G P ENGENHARIA LTDA</t>
        </is>
      </c>
      <c r="F7307" s="30" t="inlineStr">
        <is>
          <t>2019</t>
        </is>
      </c>
      <c r="G7307" s="40" t="n">
        <v>0</v>
      </c>
    </row>
    <row r="7308" ht="12" customHeight="1">
      <c r="A7308" s="30" t="inlineStr">
        <is>
          <t>ITG</t>
        </is>
      </c>
      <c r="B7308" s="30" t="inlineStr">
        <is>
          <t>Itaguai</t>
        </is>
      </c>
      <c r="C7308" s="30" t="n">
        <v>83573376</v>
      </c>
      <c r="D7308" s="30">
        <f>"31442759000158"</f>
        <v/>
      </c>
      <c r="E7308" s="30" t="inlineStr">
        <is>
          <t>P G P ENGENHARIA LTDA</t>
        </is>
      </c>
      <c r="F7308" s="30" t="inlineStr">
        <is>
          <t>2020</t>
        </is>
      </c>
      <c r="G7308" s="40" t="n">
        <v>0</v>
      </c>
    </row>
    <row r="7309" ht="12" customHeight="1">
      <c r="A7309" s="30" t="inlineStr">
        <is>
          <t>ITG</t>
        </is>
      </c>
      <c r="B7309" s="30" t="inlineStr">
        <is>
          <t>Itaguai</t>
        </is>
      </c>
      <c r="C7309" s="30" t="n">
        <v>83573376</v>
      </c>
      <c r="D7309" s="30">
        <f>"31442759000158"</f>
        <v/>
      </c>
      <c r="E7309" s="30" t="inlineStr">
        <is>
          <t>P G P ENGENHARIA LTDA</t>
        </is>
      </c>
      <c r="F7309" s="30" t="inlineStr">
        <is>
          <t>2021</t>
        </is>
      </c>
      <c r="G7309" s="40" t="n">
        <v>0</v>
      </c>
    </row>
    <row r="7310" ht="12" customHeight="1">
      <c r="A7310" s="30" t="inlineStr">
        <is>
          <t>ITG</t>
        </is>
      </c>
      <c r="B7310" s="30" t="inlineStr">
        <is>
          <t>Itaguai</t>
        </is>
      </c>
      <c r="C7310" s="30" t="n">
        <v>83573376</v>
      </c>
      <c r="D7310" s="30">
        <f>"31442759000158"</f>
        <v/>
      </c>
      <c r="E7310" s="30" t="inlineStr">
        <is>
          <t>P G P ENGENHARIA LTDA</t>
        </is>
      </c>
      <c r="F7310" s="30" t="inlineStr">
        <is>
          <t>2022</t>
        </is>
      </c>
      <c r="G7310" s="40" t="n">
        <v>0</v>
      </c>
    </row>
    <row r="7311" ht="12" customHeight="1">
      <c r="A7311" s="30" t="inlineStr">
        <is>
          <t>ITG</t>
        </is>
      </c>
      <c r="B7311" s="30" t="inlineStr">
        <is>
          <t>Itaguai</t>
        </is>
      </c>
      <c r="C7311" s="30" t="n">
        <v>83573376</v>
      </c>
      <c r="D7311" s="30">
        <f>"31442759000158"</f>
        <v/>
      </c>
      <c r="E7311" s="30" t="inlineStr">
        <is>
          <t>P G P ENGENHARIA LTDA</t>
        </is>
      </c>
      <c r="F7311" s="30" t="inlineStr">
        <is>
          <t>2023</t>
        </is>
      </c>
      <c r="G7311" s="40" t="n">
        <v>0</v>
      </c>
    </row>
    <row r="7312" ht="12" customHeight="1">
      <c r="A7312" s="30" t="inlineStr">
        <is>
          <t>ITG</t>
        </is>
      </c>
      <c r="B7312" s="30" t="inlineStr">
        <is>
          <t>Itaguai</t>
        </is>
      </c>
      <c r="C7312" s="30" t="n">
        <v>83620412</v>
      </c>
      <c r="D7312" s="30">
        <f>"32125858000179"</f>
        <v/>
      </c>
      <c r="E7312" s="30" t="inlineStr">
        <is>
          <t>JB GAZZONI RESTAURANTE INDUSTRIAL LTDA -EPP</t>
        </is>
      </c>
      <c r="F7312" s="30" t="inlineStr">
        <is>
          <t>2017</t>
        </is>
      </c>
      <c r="G7312" s="40" t="n">
        <v>0</v>
      </c>
    </row>
    <row r="7313" ht="12" customHeight="1">
      <c r="A7313" s="30" t="inlineStr">
        <is>
          <t>ITG</t>
        </is>
      </c>
      <c r="B7313" s="30" t="inlineStr">
        <is>
          <t>Itaguai</t>
        </is>
      </c>
      <c r="C7313" s="30" t="n">
        <v>83620412</v>
      </c>
      <c r="D7313" s="30">
        <f>"32125858000179"</f>
        <v/>
      </c>
      <c r="E7313" s="30" t="inlineStr">
        <is>
          <t>JB GAZZONI RESTAURANTE INDUSTRIAL LTDA -EPP</t>
        </is>
      </c>
      <c r="F7313" s="30" t="inlineStr">
        <is>
          <t>2018</t>
        </is>
      </c>
      <c r="G7313" s="40" t="n">
        <v>0</v>
      </c>
    </row>
    <row r="7314" ht="12" customHeight="1">
      <c r="A7314" s="30" t="inlineStr">
        <is>
          <t>ITG</t>
        </is>
      </c>
      <c r="B7314" s="30" t="inlineStr">
        <is>
          <t>Itaguai</t>
        </is>
      </c>
      <c r="C7314" s="30" t="n">
        <v>83620412</v>
      </c>
      <c r="D7314" s="30">
        <f>"32125858000179"</f>
        <v/>
      </c>
      <c r="E7314" s="30" t="inlineStr">
        <is>
          <t>JB GAZZONI RESTAURANTE INDUSTRIAL LTDA -EPP</t>
        </is>
      </c>
      <c r="F7314" s="30" t="inlineStr">
        <is>
          <t>2019</t>
        </is>
      </c>
      <c r="G7314" s="40" t="n">
        <v>0</v>
      </c>
    </row>
    <row r="7315" ht="12" customHeight="1">
      <c r="A7315" s="30" t="inlineStr">
        <is>
          <t>ITG</t>
        </is>
      </c>
      <c r="B7315" s="30" t="inlineStr">
        <is>
          <t>Itaguai</t>
        </is>
      </c>
      <c r="C7315" s="30" t="n">
        <v>83620412</v>
      </c>
      <c r="D7315" s="30">
        <f>"32125858000179"</f>
        <v/>
      </c>
      <c r="E7315" s="30" t="inlineStr">
        <is>
          <t>JB GAZZONI RESTAURANTE INDUSTRIAL LTDA -EPP</t>
        </is>
      </c>
      <c r="F7315" s="30" t="inlineStr">
        <is>
          <t>2020</t>
        </is>
      </c>
      <c r="G7315" s="40" t="n">
        <v>0</v>
      </c>
    </row>
    <row r="7316" ht="12" customHeight="1">
      <c r="A7316" s="30" t="inlineStr">
        <is>
          <t>ITG</t>
        </is>
      </c>
      <c r="B7316" s="30" t="inlineStr">
        <is>
          <t>Itaguai</t>
        </is>
      </c>
      <c r="C7316" s="30" t="n">
        <v>83620935</v>
      </c>
      <c r="D7316" s="30">
        <f>"32121469000175"</f>
        <v/>
      </c>
      <c r="E7316" s="30" t="inlineStr">
        <is>
          <t>COMESE COMERCIO DE EQUIPAMENTOS DE SEGURANCA LTDA</t>
        </is>
      </c>
      <c r="F7316" s="30" t="inlineStr">
        <is>
          <t>2019</t>
        </is>
      </c>
      <c r="G7316" s="40" t="n">
        <v>0</v>
      </c>
    </row>
    <row r="7317" ht="12" customHeight="1">
      <c r="A7317" s="30" t="inlineStr">
        <is>
          <t>ITG</t>
        </is>
      </c>
      <c r="B7317" s="30" t="inlineStr">
        <is>
          <t>Itaguai</t>
        </is>
      </c>
      <c r="C7317" s="30" t="n">
        <v>83620935</v>
      </c>
      <c r="D7317" s="30">
        <f>"32121469000175"</f>
        <v/>
      </c>
      <c r="E7317" s="30" t="inlineStr">
        <is>
          <t>COMESE COMERCIO DE EQUIPAMENTOS DE SEGURANCA LTDA</t>
        </is>
      </c>
      <c r="F7317" s="30" t="inlineStr">
        <is>
          <t>2020</t>
        </is>
      </c>
      <c r="G7317" s="40" t="n">
        <v>0</v>
      </c>
    </row>
    <row r="7318" ht="12" customHeight="1">
      <c r="A7318" s="30" t="inlineStr">
        <is>
          <t>ITG</t>
        </is>
      </c>
      <c r="B7318" s="30" t="inlineStr">
        <is>
          <t>Itaguai</t>
        </is>
      </c>
      <c r="C7318" s="30" t="n">
        <v>83620935</v>
      </c>
      <c r="D7318" s="30">
        <f>"32121469000175"</f>
        <v/>
      </c>
      <c r="E7318" s="30" t="inlineStr">
        <is>
          <t>COMESE COMERCIO DE EQUIPAMENTOS DE SEGURANCA LTDA</t>
        </is>
      </c>
      <c r="F7318" s="30" t="inlineStr">
        <is>
          <t>2021</t>
        </is>
      </c>
      <c r="G7318" s="40" t="n">
        <v>1756860.07</v>
      </c>
    </row>
    <row r="7319" ht="12" customHeight="1">
      <c r="A7319" s="30" t="inlineStr">
        <is>
          <t>ITG</t>
        </is>
      </c>
      <c r="B7319" s="30" t="inlineStr">
        <is>
          <t>Itaguai</t>
        </is>
      </c>
      <c r="C7319" s="30" t="n">
        <v>83620935</v>
      </c>
      <c r="D7319" s="30">
        <f>"32121469000175"</f>
        <v/>
      </c>
      <c r="E7319" s="30" t="inlineStr">
        <is>
          <t>COMESE COMERCIO DE EQUIPAMENTOS DE SEGURANCA LTDA</t>
        </is>
      </c>
      <c r="F7319" s="30" t="inlineStr">
        <is>
          <t>2022</t>
        </is>
      </c>
      <c r="G7319" s="40" t="n">
        <v>0</v>
      </c>
    </row>
    <row r="7320" ht="12" customHeight="1">
      <c r="A7320" s="30" t="inlineStr">
        <is>
          <t>ITG</t>
        </is>
      </c>
      <c r="B7320" s="30" t="inlineStr">
        <is>
          <t>Itaguai</t>
        </is>
      </c>
      <c r="C7320" s="30" t="n">
        <v>83620935</v>
      </c>
      <c r="D7320" s="30">
        <f>"32121469000175"</f>
        <v/>
      </c>
      <c r="E7320" s="30" t="inlineStr">
        <is>
          <t>COMESE COMERCIO DE EQUIPAMENTOS DE SEGURANCA LTDA</t>
        </is>
      </c>
      <c r="F7320" s="30" t="inlineStr">
        <is>
          <t>2023</t>
        </is>
      </c>
      <c r="G7320" s="40" t="n">
        <v>0</v>
      </c>
    </row>
    <row r="7321" ht="12" customHeight="1">
      <c r="A7321" s="30" t="inlineStr">
        <is>
          <t>ITG</t>
        </is>
      </c>
      <c r="B7321" s="30" t="inlineStr">
        <is>
          <t>Itaguai</t>
        </is>
      </c>
      <c r="C7321" s="30" t="n">
        <v>83621575</v>
      </c>
      <c r="D7321" s="30">
        <f>"32148793000187"</f>
        <v/>
      </c>
      <c r="E7321" s="30" t="inlineStr">
        <is>
          <t>AREAL FERNANDES E LIMA LTDA</t>
        </is>
      </c>
      <c r="F7321" s="30" t="inlineStr">
        <is>
          <t>2019</t>
        </is>
      </c>
      <c r="G7321" s="40" t="n">
        <v>0</v>
      </c>
    </row>
    <row r="7322" ht="12" customHeight="1">
      <c r="A7322" s="30" t="inlineStr">
        <is>
          <t>ITG</t>
        </is>
      </c>
      <c r="B7322" s="30" t="inlineStr">
        <is>
          <t>Itaguai</t>
        </is>
      </c>
      <c r="C7322" s="30" t="n">
        <v>83621575</v>
      </c>
      <c r="D7322" s="30">
        <f>"32148793000187"</f>
        <v/>
      </c>
      <c r="E7322" s="30" t="inlineStr">
        <is>
          <t>AREAL FERNANDES E LIMA LTDA</t>
        </is>
      </c>
      <c r="F7322" s="30" t="inlineStr">
        <is>
          <t>2020</t>
        </is>
      </c>
      <c r="G7322" s="40" t="n">
        <v>0</v>
      </c>
    </row>
    <row r="7323" ht="12" customHeight="1">
      <c r="A7323" s="30" t="inlineStr">
        <is>
          <t>ITG</t>
        </is>
      </c>
      <c r="B7323" s="30" t="inlineStr">
        <is>
          <t>Itaguai</t>
        </is>
      </c>
      <c r="C7323" s="30" t="n">
        <v>83621575</v>
      </c>
      <c r="D7323" s="30">
        <f>"32148793000187"</f>
        <v/>
      </c>
      <c r="E7323" s="30" t="inlineStr">
        <is>
          <t>AREAL FERNANDES E LIMA LTDA</t>
        </is>
      </c>
      <c r="F7323" s="30" t="inlineStr">
        <is>
          <t>2021</t>
        </is>
      </c>
      <c r="G7323" s="40" t="n">
        <v>970592.92</v>
      </c>
    </row>
    <row r="7324" ht="12" customHeight="1">
      <c r="A7324" s="30" t="inlineStr">
        <is>
          <t>ITG</t>
        </is>
      </c>
      <c r="B7324" s="30" t="inlineStr">
        <is>
          <t>Itaguai</t>
        </is>
      </c>
      <c r="C7324" s="30" t="n">
        <v>83621575</v>
      </c>
      <c r="D7324" s="30">
        <f>"32148793000187"</f>
        <v/>
      </c>
      <c r="E7324" s="30" t="inlineStr">
        <is>
          <t>AREAL FERNANDES E LIMA LTDA</t>
        </is>
      </c>
      <c r="F7324" s="30" t="inlineStr">
        <is>
          <t>2022</t>
        </is>
      </c>
      <c r="G7324" s="40" t="n">
        <v>0</v>
      </c>
    </row>
    <row r="7325" ht="12" customHeight="1">
      <c r="A7325" s="30" t="inlineStr">
        <is>
          <t>ITG</t>
        </is>
      </c>
      <c r="B7325" s="30" t="inlineStr">
        <is>
          <t>Itaguai</t>
        </is>
      </c>
      <c r="C7325" s="30" t="n">
        <v>83621575</v>
      </c>
      <c r="D7325" s="30">
        <f>"32148793000187"</f>
        <v/>
      </c>
      <c r="E7325" s="30" t="inlineStr">
        <is>
          <t>AREAL FERNANDES E LIMA LTDA</t>
        </is>
      </c>
      <c r="F7325" s="30" t="inlineStr">
        <is>
          <t>2023</t>
        </is>
      </c>
      <c r="G7325" s="40" t="n">
        <v>0</v>
      </c>
    </row>
    <row r="7326" ht="12" customHeight="1">
      <c r="A7326" s="30" t="inlineStr">
        <is>
          <t>ITG</t>
        </is>
      </c>
      <c r="B7326" s="30" t="inlineStr">
        <is>
          <t>Itaguai</t>
        </is>
      </c>
      <c r="C7326" s="30" t="n">
        <v>83622547</v>
      </c>
      <c r="D7326" s="30">
        <f>"32239493000103"</f>
        <v/>
      </c>
      <c r="E7326" s="30" t="inlineStr">
        <is>
          <t>AREAL SANTA HELENA DE Itaguai EIRELI</t>
        </is>
      </c>
      <c r="F7326" s="30" t="inlineStr">
        <is>
          <t>2017</t>
        </is>
      </c>
      <c r="G7326" s="40" t="n">
        <v>0</v>
      </c>
    </row>
    <row r="7327" ht="12" customHeight="1">
      <c r="A7327" s="30" t="inlineStr">
        <is>
          <t>ITG</t>
        </is>
      </c>
      <c r="B7327" s="30" t="inlineStr">
        <is>
          <t>Itaguai</t>
        </is>
      </c>
      <c r="C7327" s="30" t="n">
        <v>83622547</v>
      </c>
      <c r="D7327" s="30">
        <f>"32239493000103"</f>
        <v/>
      </c>
      <c r="E7327" s="30" t="inlineStr">
        <is>
          <t>AREAL SANTA HELENA DE Itaguai EIRELI</t>
        </is>
      </c>
      <c r="F7327" s="30" t="inlineStr">
        <is>
          <t>2018</t>
        </is>
      </c>
      <c r="G7327" s="40" t="n">
        <v>0</v>
      </c>
    </row>
    <row r="7328" ht="12" customHeight="1">
      <c r="A7328" s="30" t="inlineStr">
        <is>
          <t>ITG</t>
        </is>
      </c>
      <c r="B7328" s="30" t="inlineStr">
        <is>
          <t>Itaguai</t>
        </is>
      </c>
      <c r="C7328" s="30" t="n">
        <v>83622547</v>
      </c>
      <c r="D7328" s="30">
        <f>"32239493000103"</f>
        <v/>
      </c>
      <c r="E7328" s="30" t="inlineStr">
        <is>
          <t>AREAL SANTA HELENA DE Itaguai EIRELI</t>
        </is>
      </c>
      <c r="F7328" s="30" t="inlineStr">
        <is>
          <t>2019</t>
        </is>
      </c>
      <c r="G7328" s="40" t="n">
        <v>0</v>
      </c>
    </row>
    <row r="7329" ht="12" customHeight="1">
      <c r="A7329" s="30" t="inlineStr">
        <is>
          <t>ITG</t>
        </is>
      </c>
      <c r="B7329" s="30" t="inlineStr">
        <is>
          <t>Itaguai</t>
        </is>
      </c>
      <c r="C7329" s="30" t="n">
        <v>83622547</v>
      </c>
      <c r="D7329" s="30">
        <f>"32239493000103"</f>
        <v/>
      </c>
      <c r="E7329" s="30" t="inlineStr">
        <is>
          <t>AREAL SANTA HELENA DE Itaguai EIRELI</t>
        </is>
      </c>
      <c r="F7329" s="30" t="inlineStr">
        <is>
          <t>2020</t>
        </is>
      </c>
      <c r="G7329" s="40" t="n">
        <v>0</v>
      </c>
    </row>
    <row r="7330" ht="12" customHeight="1">
      <c r="A7330" s="30" t="inlineStr">
        <is>
          <t>ITG</t>
        </is>
      </c>
      <c r="B7330" s="30" t="inlineStr">
        <is>
          <t>Itaguai</t>
        </is>
      </c>
      <c r="C7330" s="30" t="n">
        <v>83622547</v>
      </c>
      <c r="D7330" s="30">
        <f>"32239493000103"</f>
        <v/>
      </c>
      <c r="E7330" s="30" t="inlineStr">
        <is>
          <t>AREAL SANTA HELENA DE Itaguai EIRELI</t>
        </is>
      </c>
      <c r="F7330" s="30" t="inlineStr">
        <is>
          <t>2021</t>
        </is>
      </c>
      <c r="G7330" s="40" t="n">
        <v>0</v>
      </c>
    </row>
    <row r="7331" ht="12" customHeight="1">
      <c r="A7331" s="30" t="inlineStr">
        <is>
          <t>ITG</t>
        </is>
      </c>
      <c r="B7331" s="30" t="inlineStr">
        <is>
          <t>Itaguai</t>
        </is>
      </c>
      <c r="C7331" s="30" t="n">
        <v>83622547</v>
      </c>
      <c r="D7331" s="30">
        <f>"32239493000103"</f>
        <v/>
      </c>
      <c r="E7331" s="30" t="inlineStr">
        <is>
          <t>AREAL SANTA HELENA DE Itaguai EIRELI</t>
        </is>
      </c>
      <c r="F7331" s="30" t="inlineStr">
        <is>
          <t>2022</t>
        </is>
      </c>
      <c r="G7331" s="40" t="n">
        <v>0</v>
      </c>
    </row>
    <row r="7332" ht="12" customHeight="1">
      <c r="A7332" s="30" t="inlineStr">
        <is>
          <t>ITG</t>
        </is>
      </c>
      <c r="B7332" s="30" t="inlineStr">
        <is>
          <t>Itaguai</t>
        </is>
      </c>
      <c r="C7332" s="30" t="n">
        <v>83622946</v>
      </c>
      <c r="D7332" s="30">
        <f>"35774611000171"</f>
        <v/>
      </c>
      <c r="E7332" s="30" t="inlineStr">
        <is>
          <t>PECITA PECAS ITAGUAI LTDA</t>
        </is>
      </c>
      <c r="F7332" s="30" t="inlineStr">
        <is>
          <t>2017</t>
        </is>
      </c>
      <c r="G7332" s="40" t="n">
        <v>1713538.17</v>
      </c>
    </row>
    <row r="7333" ht="12" customHeight="1">
      <c r="A7333" s="30" t="inlineStr">
        <is>
          <t>ITG</t>
        </is>
      </c>
      <c r="B7333" s="30" t="inlineStr">
        <is>
          <t>Itaguai</t>
        </is>
      </c>
      <c r="C7333" s="30" t="n">
        <v>83622946</v>
      </c>
      <c r="D7333" s="30">
        <f>"35774611000171"</f>
        <v/>
      </c>
      <c r="E7333" s="30" t="inlineStr">
        <is>
          <t>PECITA PECAS ITAGUAI LTDA</t>
        </is>
      </c>
      <c r="F7333" s="30" t="inlineStr">
        <is>
          <t>2018</t>
        </is>
      </c>
      <c r="G7333" s="40" t="n">
        <v>0</v>
      </c>
    </row>
    <row r="7334" ht="12" customHeight="1">
      <c r="A7334" s="30" t="inlineStr">
        <is>
          <t>ITG</t>
        </is>
      </c>
      <c r="B7334" s="30" t="inlineStr">
        <is>
          <t>Itaguai</t>
        </is>
      </c>
      <c r="C7334" s="30" t="n">
        <v>83622946</v>
      </c>
      <c r="D7334" s="30">
        <f>"35774611000171"</f>
        <v/>
      </c>
      <c r="E7334" s="30" t="inlineStr">
        <is>
          <t>PECITA PECAS ITAGUAI LTDA</t>
        </is>
      </c>
      <c r="F7334" s="30" t="inlineStr">
        <is>
          <t>2019</t>
        </is>
      </c>
      <c r="G7334" s="40" t="n">
        <v>0</v>
      </c>
    </row>
    <row r="7335" ht="12" customHeight="1">
      <c r="A7335" s="30" t="inlineStr">
        <is>
          <t>ITG</t>
        </is>
      </c>
      <c r="B7335" s="30" t="inlineStr">
        <is>
          <t>Itaguai</t>
        </is>
      </c>
      <c r="C7335" s="30" t="n">
        <v>83622946</v>
      </c>
      <c r="D7335" s="30">
        <f>"35774611000171"</f>
        <v/>
      </c>
      <c r="E7335" s="30" t="inlineStr">
        <is>
          <t>PECITA PECAS ITAGUAI LTDA</t>
        </is>
      </c>
      <c r="F7335" s="30" t="inlineStr">
        <is>
          <t>2020</t>
        </is>
      </c>
      <c r="G7335" s="40" t="n">
        <v>3519905.85</v>
      </c>
    </row>
    <row r="7336" ht="12" customHeight="1">
      <c r="A7336" s="30" t="inlineStr">
        <is>
          <t>ITG</t>
        </is>
      </c>
      <c r="B7336" s="30" t="inlineStr">
        <is>
          <t>Itaguai</t>
        </is>
      </c>
      <c r="C7336" s="30" t="n">
        <v>83622946</v>
      </c>
      <c r="D7336" s="30">
        <f>"35774611000171"</f>
        <v/>
      </c>
      <c r="E7336" s="30" t="inlineStr">
        <is>
          <t>PECITA PECAS ITAGUAI LTDA</t>
        </is>
      </c>
      <c r="F7336" s="30" t="inlineStr">
        <is>
          <t>2021</t>
        </is>
      </c>
      <c r="G7336" s="40" t="n">
        <v>0</v>
      </c>
    </row>
    <row r="7337" ht="12" customHeight="1">
      <c r="A7337" s="30" t="inlineStr">
        <is>
          <t>ITG</t>
        </is>
      </c>
      <c r="B7337" s="30" t="inlineStr">
        <is>
          <t>Itaguai</t>
        </is>
      </c>
      <c r="C7337" s="30" t="n">
        <v>83622946</v>
      </c>
      <c r="D7337" s="30">
        <f>"35774611000171"</f>
        <v/>
      </c>
      <c r="E7337" s="30" t="inlineStr">
        <is>
          <t>PECITA PECAS ITAGUAI LTDA</t>
        </is>
      </c>
      <c r="F7337" s="30" t="inlineStr">
        <is>
          <t>2022</t>
        </is>
      </c>
      <c r="G7337" s="40" t="n">
        <v>7351943.32</v>
      </c>
    </row>
    <row r="7338" ht="12" customHeight="1">
      <c r="A7338" s="30" t="inlineStr">
        <is>
          <t>ITG</t>
        </is>
      </c>
      <c r="B7338" s="30" t="inlineStr">
        <is>
          <t>Itaguai</t>
        </is>
      </c>
      <c r="C7338" s="30" t="n">
        <v>83622946</v>
      </c>
      <c r="D7338" s="30">
        <f>"35774611000171"</f>
        <v/>
      </c>
      <c r="E7338" s="30" t="inlineStr">
        <is>
          <t>PECITA PECAS ITAGUAI LTDA</t>
        </is>
      </c>
      <c r="F7338" s="30" t="inlineStr">
        <is>
          <t>2023</t>
        </is>
      </c>
      <c r="G7338" s="40" t="n">
        <v>4979294.74</v>
      </c>
    </row>
    <row r="7339" ht="12" customHeight="1">
      <c r="A7339" s="30" t="inlineStr">
        <is>
          <t>ITG</t>
        </is>
      </c>
      <c r="B7339" s="30" t="inlineStr">
        <is>
          <t>Itaguai</t>
        </is>
      </c>
      <c r="C7339" s="30" t="n">
        <v>83623470</v>
      </c>
      <c r="D7339" s="30">
        <f>"31334691000193"</f>
        <v/>
      </c>
      <c r="E7339" s="30" t="inlineStr">
        <is>
          <t>EXPRESSO REAL RIO LTDA</t>
        </is>
      </c>
      <c r="F7339" s="30" t="inlineStr">
        <is>
          <t>2017</t>
        </is>
      </c>
      <c r="G7339" s="40" t="n">
        <v>17868526.6</v>
      </c>
    </row>
    <row r="7340" ht="12" customHeight="1">
      <c r="A7340" s="30" t="inlineStr">
        <is>
          <t>ITG</t>
        </is>
      </c>
      <c r="B7340" s="30" t="inlineStr">
        <is>
          <t>Itaguai</t>
        </is>
      </c>
      <c r="C7340" s="30" t="n">
        <v>83623470</v>
      </c>
      <c r="D7340" s="30">
        <f>"31334691000193"</f>
        <v/>
      </c>
      <c r="E7340" s="30" t="inlineStr">
        <is>
          <t>EXPRESSO REAL RIO LTDA</t>
        </is>
      </c>
      <c r="F7340" s="30" t="inlineStr">
        <is>
          <t>2018</t>
        </is>
      </c>
      <c r="G7340" s="40" t="n">
        <v>17717335.35</v>
      </c>
    </row>
    <row r="7341" ht="12" customHeight="1">
      <c r="A7341" s="30" t="inlineStr">
        <is>
          <t>ITG</t>
        </is>
      </c>
      <c r="B7341" s="30" t="inlineStr">
        <is>
          <t>Itaguai</t>
        </is>
      </c>
      <c r="C7341" s="30" t="n">
        <v>83623470</v>
      </c>
      <c r="D7341" s="30">
        <f>"31334691000193"</f>
        <v/>
      </c>
      <c r="E7341" s="30" t="inlineStr">
        <is>
          <t>EXPRESSO REAL RIO LTDA</t>
        </is>
      </c>
      <c r="F7341" s="30" t="inlineStr">
        <is>
          <t>2019</t>
        </is>
      </c>
      <c r="G7341" s="40" t="n">
        <v>17857638.9</v>
      </c>
    </row>
    <row r="7342" ht="12" customHeight="1">
      <c r="A7342" s="30" t="inlineStr">
        <is>
          <t>ITG</t>
        </is>
      </c>
      <c r="B7342" s="30" t="inlineStr">
        <is>
          <t>Itaguai</t>
        </is>
      </c>
      <c r="C7342" s="30" t="n">
        <v>83623470</v>
      </c>
      <c r="D7342" s="30">
        <f>"31334691000193"</f>
        <v/>
      </c>
      <c r="E7342" s="30" t="inlineStr">
        <is>
          <t>EXPRESSO REAL RIO LTDA</t>
        </is>
      </c>
      <c r="F7342" s="30" t="inlineStr">
        <is>
          <t>2020</t>
        </is>
      </c>
      <c r="G7342" s="40" t="n">
        <v>9496055.15</v>
      </c>
    </row>
    <row r="7343" ht="12" customHeight="1">
      <c r="A7343" s="30" t="inlineStr">
        <is>
          <t>ITG</t>
        </is>
      </c>
      <c r="B7343" s="30" t="inlineStr">
        <is>
          <t>Itaguai</t>
        </is>
      </c>
      <c r="C7343" s="30" t="n">
        <v>83623470</v>
      </c>
      <c r="D7343" s="30">
        <f>"31334691000193"</f>
        <v/>
      </c>
      <c r="E7343" s="30" t="inlineStr">
        <is>
          <t>EXPRESSO REAL RIO LTDA</t>
        </is>
      </c>
      <c r="F7343" s="30" t="inlineStr">
        <is>
          <t>2021</t>
        </is>
      </c>
      <c r="G7343" s="40" t="n">
        <v>11062513.95</v>
      </c>
    </row>
    <row r="7344" ht="12" customHeight="1">
      <c r="A7344" s="30" t="inlineStr">
        <is>
          <t>ITG</t>
        </is>
      </c>
      <c r="B7344" s="30" t="inlineStr">
        <is>
          <t>Itaguai</t>
        </is>
      </c>
      <c r="C7344" s="30" t="n">
        <v>83623470</v>
      </c>
      <c r="D7344" s="30">
        <f>"31334691000193"</f>
        <v/>
      </c>
      <c r="E7344" s="30" t="inlineStr">
        <is>
          <t>EXPRESSO REAL RIO LTDA</t>
        </is>
      </c>
      <c r="F7344" s="30" t="inlineStr">
        <is>
          <t>2022</t>
        </is>
      </c>
      <c r="G7344" s="40" t="n">
        <v>14693088.35</v>
      </c>
    </row>
    <row r="7345" ht="12" customHeight="1">
      <c r="A7345" s="30" t="inlineStr">
        <is>
          <t>ITG</t>
        </is>
      </c>
      <c r="B7345" s="30" t="inlineStr">
        <is>
          <t>Itaguai</t>
        </is>
      </c>
      <c r="C7345" s="30" t="n">
        <v>83623470</v>
      </c>
      <c r="D7345" s="30">
        <f>"31334691000193"</f>
        <v/>
      </c>
      <c r="E7345" s="30" t="inlineStr">
        <is>
          <t>EXPRESSO REAL RIO LTDA</t>
        </is>
      </c>
      <c r="F7345" s="30" t="inlineStr">
        <is>
          <t>2023</t>
        </is>
      </c>
      <c r="G7345" s="40" t="n">
        <v>14244370.6</v>
      </c>
    </row>
    <row r="7346" ht="12" customHeight="1">
      <c r="A7346" s="30" t="inlineStr">
        <is>
          <t>ITG</t>
        </is>
      </c>
      <c r="B7346" s="30" t="inlineStr">
        <is>
          <t>Itaguai</t>
        </is>
      </c>
      <c r="C7346" s="30" t="n">
        <v>83649569</v>
      </c>
      <c r="D7346" s="30">
        <f>"21562418000324"</f>
        <v/>
      </c>
      <c r="E7346" s="30" t="inlineStr">
        <is>
          <t>COOPERATIVA TRANSPORTADORA DE PETROLEO E DERIVADOS LTDA</t>
        </is>
      </c>
      <c r="F7346" s="30" t="inlineStr">
        <is>
          <t>2019</t>
        </is>
      </c>
      <c r="G7346" s="40" t="n">
        <v>0</v>
      </c>
    </row>
    <row r="7347" ht="12" customHeight="1">
      <c r="A7347" s="30" t="inlineStr">
        <is>
          <t>ITG</t>
        </is>
      </c>
      <c r="B7347" s="30" t="inlineStr">
        <is>
          <t>Itaguai</t>
        </is>
      </c>
      <c r="C7347" s="30" t="n">
        <v>83649569</v>
      </c>
      <c r="D7347" s="30">
        <f>"21562418000324"</f>
        <v/>
      </c>
      <c r="E7347" s="30" t="inlineStr">
        <is>
          <t>COOPERATIVA TRANSPORTADORA DE PETROLEO E DERIVADOS LTDA</t>
        </is>
      </c>
      <c r="F7347" s="30" t="inlineStr">
        <is>
          <t>2020</t>
        </is>
      </c>
      <c r="G7347" s="40" t="n">
        <v>0</v>
      </c>
    </row>
    <row r="7348" ht="12" customHeight="1">
      <c r="A7348" s="30" t="inlineStr">
        <is>
          <t>ITG</t>
        </is>
      </c>
      <c r="B7348" s="30" t="inlineStr">
        <is>
          <t>Itaguai</t>
        </is>
      </c>
      <c r="C7348" s="30" t="n">
        <v>83649569</v>
      </c>
      <c r="D7348" s="30">
        <f>"21562418000324"</f>
        <v/>
      </c>
      <c r="E7348" s="30" t="inlineStr">
        <is>
          <t>COOPERATIVA TRANSPORTADORA DE PETROLEO E DERIVADOS LTDA</t>
        </is>
      </c>
      <c r="F7348" s="30" t="inlineStr">
        <is>
          <t>2021</t>
        </is>
      </c>
      <c r="G7348" s="40" t="n">
        <v>18673.44</v>
      </c>
    </row>
    <row r="7349" ht="12" customHeight="1">
      <c r="A7349" s="30" t="inlineStr">
        <is>
          <t>ITG</t>
        </is>
      </c>
      <c r="B7349" s="30" t="inlineStr">
        <is>
          <t>Itaguai</t>
        </is>
      </c>
      <c r="C7349" s="30" t="n">
        <v>83649569</v>
      </c>
      <c r="D7349" s="30">
        <f>"21562418000324"</f>
        <v/>
      </c>
      <c r="E7349" s="30" t="inlineStr">
        <is>
          <t>COOPERATIVA TRANSPORTADORA DE PETROLEO E DERIVADOS LTDA</t>
        </is>
      </c>
      <c r="F7349" s="30" t="inlineStr">
        <is>
          <t>2022</t>
        </is>
      </c>
      <c r="G7349" s="40" t="n">
        <v>93454.07000000001</v>
      </c>
    </row>
    <row r="7350" ht="12" customHeight="1">
      <c r="A7350" s="30" t="inlineStr">
        <is>
          <t>ITG</t>
        </is>
      </c>
      <c r="B7350" s="30" t="inlineStr">
        <is>
          <t>Itaguai</t>
        </is>
      </c>
      <c r="C7350" s="30" t="n">
        <v>83649569</v>
      </c>
      <c r="D7350" s="30">
        <f>"21562418000324"</f>
        <v/>
      </c>
      <c r="E7350" s="30" t="inlineStr">
        <is>
          <t>COOPERATIVA TRANSPORTADORA DE PETROLEO E DERIVADOS LTDA</t>
        </is>
      </c>
      <c r="F7350" s="30" t="inlineStr">
        <is>
          <t>2023</t>
        </is>
      </c>
      <c r="G7350" s="40" t="n">
        <v>15711.5</v>
      </c>
    </row>
    <row r="7351" ht="12" customHeight="1">
      <c r="A7351" s="30" t="inlineStr">
        <is>
          <t>ITG</t>
        </is>
      </c>
      <c r="B7351" s="30" t="inlineStr">
        <is>
          <t>Itaguai</t>
        </is>
      </c>
      <c r="C7351" s="30" t="n">
        <v>83664401</v>
      </c>
      <c r="D7351" s="30">
        <f>"43035146001157"</f>
        <v/>
      </c>
      <c r="E7351" s="30" t="inlineStr">
        <is>
          <t>PROTEGE SOCIEDADE ANONIMA PROTECAO E TRANSPORTE DE VALORES</t>
        </is>
      </c>
      <c r="F7351" s="30" t="inlineStr">
        <is>
          <t>2017</t>
        </is>
      </c>
      <c r="G7351" s="40" t="n">
        <v>437178</v>
      </c>
    </row>
    <row r="7352" ht="12" customHeight="1">
      <c r="A7352" s="30" t="inlineStr">
        <is>
          <t>ITG</t>
        </is>
      </c>
      <c r="B7352" s="30" t="inlineStr">
        <is>
          <t>Itaguai</t>
        </is>
      </c>
      <c r="C7352" s="30" t="n">
        <v>83664401</v>
      </c>
      <c r="D7352" s="30">
        <f>"43035146001157"</f>
        <v/>
      </c>
      <c r="E7352" s="30" t="inlineStr">
        <is>
          <t>PROTEGE SOCIEDADE ANONIMA PROTECAO E TRANSPORTE DE VALORES</t>
        </is>
      </c>
      <c r="F7352" s="30" t="inlineStr">
        <is>
          <t>2018</t>
        </is>
      </c>
      <c r="G7352" s="40" t="n">
        <v>469354.8</v>
      </c>
    </row>
    <row r="7353" ht="12" customHeight="1">
      <c r="A7353" s="30" t="inlineStr">
        <is>
          <t>ITG</t>
        </is>
      </c>
      <c r="B7353" s="30" t="inlineStr">
        <is>
          <t>Itaguai</t>
        </is>
      </c>
      <c r="C7353" s="30" t="n">
        <v>83664401</v>
      </c>
      <c r="D7353" s="30">
        <f>"43035146001157"</f>
        <v/>
      </c>
      <c r="E7353" s="30" t="inlineStr">
        <is>
          <t>PROTEGE SOCIEDADE ANONIMA PROTECAO E TRANSPORTE DE VALORES</t>
        </is>
      </c>
      <c r="F7353" s="30" t="inlineStr">
        <is>
          <t>2019</t>
        </is>
      </c>
      <c r="G7353" s="40" t="n">
        <v>526839.3</v>
      </c>
    </row>
    <row r="7354" ht="12" customHeight="1">
      <c r="A7354" s="30" t="inlineStr">
        <is>
          <t>ITG</t>
        </is>
      </c>
      <c r="B7354" s="30" t="inlineStr">
        <is>
          <t>Itaguai</t>
        </is>
      </c>
      <c r="C7354" s="30" t="n">
        <v>83664401</v>
      </c>
      <c r="D7354" s="30">
        <f>"43035146001157"</f>
        <v/>
      </c>
      <c r="E7354" s="30" t="inlineStr">
        <is>
          <t>PROTEGE SOCIEDADE ANONIMA PROTECAO E TRANSPORTE DE VALORES</t>
        </is>
      </c>
      <c r="F7354" s="30" t="inlineStr">
        <is>
          <t>2020</t>
        </is>
      </c>
      <c r="G7354" s="40" t="n">
        <v>380971.35</v>
      </c>
    </row>
    <row r="7355" ht="12" customHeight="1">
      <c r="A7355" s="30" t="inlineStr">
        <is>
          <t>ITG</t>
        </is>
      </c>
      <c r="B7355" s="30" t="inlineStr">
        <is>
          <t>Itaguai</t>
        </is>
      </c>
      <c r="C7355" s="30" t="n">
        <v>83664401</v>
      </c>
      <c r="D7355" s="30">
        <f>"43035146001157"</f>
        <v/>
      </c>
      <c r="E7355" s="30" t="inlineStr">
        <is>
          <t>PROTEGE SOCIEDADE ANONIMA PROTECAO E TRANSPORTE DE VALORES</t>
        </is>
      </c>
      <c r="F7355" s="30" t="inlineStr">
        <is>
          <t>2021</t>
        </is>
      </c>
      <c r="G7355" s="40" t="n">
        <v>528473.8</v>
      </c>
    </row>
    <row r="7356" ht="12" customHeight="1">
      <c r="A7356" s="30" t="inlineStr">
        <is>
          <t>ITG</t>
        </is>
      </c>
      <c r="B7356" s="30" t="inlineStr">
        <is>
          <t>Itaguai</t>
        </is>
      </c>
      <c r="C7356" s="30" t="n">
        <v>83664401</v>
      </c>
      <c r="D7356" s="30">
        <f>"43035146001157"</f>
        <v/>
      </c>
      <c r="E7356" s="30" t="inlineStr">
        <is>
          <t>PROTEGE SOCIEDADE ANONIMA PROTECAO E TRANSPORTE DE VALORES</t>
        </is>
      </c>
      <c r="F7356" s="30" t="inlineStr">
        <is>
          <t>2022</t>
        </is>
      </c>
      <c r="G7356" s="40" t="n">
        <v>551792.29</v>
      </c>
    </row>
    <row r="7357" ht="12" customHeight="1">
      <c r="A7357" s="30" t="inlineStr">
        <is>
          <t>ITG</t>
        </is>
      </c>
      <c r="B7357" s="30" t="inlineStr">
        <is>
          <t>Itaguai</t>
        </is>
      </c>
      <c r="C7357" s="30" t="n">
        <v>83664401</v>
      </c>
      <c r="D7357" s="30">
        <f>"43035146001157"</f>
        <v/>
      </c>
      <c r="E7357" s="30" t="inlineStr">
        <is>
          <t>PROTEGE SOCIEDADE ANONIMA PROTECAO E TRANSPORTE DE VALORES</t>
        </is>
      </c>
      <c r="F7357" s="30" t="inlineStr">
        <is>
          <t>2023</t>
        </is>
      </c>
      <c r="G7357" s="40" t="n">
        <v>545803.3</v>
      </c>
    </row>
    <row r="7358" ht="12" customHeight="1">
      <c r="A7358" s="30" t="inlineStr">
        <is>
          <t>ITG</t>
        </is>
      </c>
      <c r="B7358" s="30" t="inlineStr">
        <is>
          <t>Itaguai</t>
        </is>
      </c>
      <c r="C7358" s="30" t="n">
        <v>83680342</v>
      </c>
      <c r="D7358" s="30">
        <f>"07358761026206"</f>
        <v/>
      </c>
      <c r="E7358" s="30" t="inlineStr">
        <is>
          <t>GERDAU ACOS LONGOS S/A</t>
        </is>
      </c>
      <c r="F7358" s="30" t="inlineStr">
        <is>
          <t>2021</t>
        </is>
      </c>
      <c r="G7358" s="40" t="n">
        <v>0</v>
      </c>
    </row>
    <row r="7359" ht="12" customHeight="1">
      <c r="A7359" s="30" t="inlineStr">
        <is>
          <t>ITG</t>
        </is>
      </c>
      <c r="B7359" s="30" t="inlineStr">
        <is>
          <t>Itaguai</t>
        </is>
      </c>
      <c r="C7359" s="30" t="n">
        <v>83680342</v>
      </c>
      <c r="D7359" s="30">
        <f>"07358761026206"</f>
        <v/>
      </c>
      <c r="E7359" s="30" t="inlineStr">
        <is>
          <t>GERDAU ACOS LONGOS S/A</t>
        </is>
      </c>
      <c r="F7359" s="30" t="inlineStr">
        <is>
          <t>2022</t>
        </is>
      </c>
      <c r="G7359" s="40" t="n">
        <v>0</v>
      </c>
    </row>
    <row r="7360" ht="12" customHeight="1">
      <c r="A7360" s="30" t="inlineStr">
        <is>
          <t>ITG</t>
        </is>
      </c>
      <c r="B7360" s="30" t="inlineStr">
        <is>
          <t>Itaguai</t>
        </is>
      </c>
      <c r="C7360" s="30" t="n">
        <v>83680342</v>
      </c>
      <c r="D7360" s="30">
        <f>"07358761026206"</f>
        <v/>
      </c>
      <c r="E7360" s="30" t="inlineStr">
        <is>
          <t>GERDAU ACOS LONGOS S/A</t>
        </is>
      </c>
      <c r="F7360" s="30" t="inlineStr">
        <is>
          <t>2023</t>
        </is>
      </c>
      <c r="G7360" s="40" t="n">
        <v>11664.46</v>
      </c>
    </row>
    <row r="7361" ht="12" customHeight="1">
      <c r="A7361" s="30" t="inlineStr">
        <is>
          <t>ITG</t>
        </is>
      </c>
      <c r="B7361" s="30" t="inlineStr">
        <is>
          <t>Itaguai</t>
        </is>
      </c>
      <c r="C7361" s="30" t="n">
        <v>83694912</v>
      </c>
      <c r="D7361" s="30">
        <f>"91302331000808"</f>
        <v/>
      </c>
      <c r="E7361" s="30" t="inlineStr">
        <is>
          <t>TRANSPORTES BEBBER LTDA</t>
        </is>
      </c>
      <c r="F7361" s="30" t="inlineStr">
        <is>
          <t>2017</t>
        </is>
      </c>
      <c r="G7361" s="40" t="n">
        <v>500</v>
      </c>
    </row>
    <row r="7362" ht="12" customHeight="1">
      <c r="A7362" s="30" t="inlineStr">
        <is>
          <t>ITG</t>
        </is>
      </c>
      <c r="B7362" s="30" t="inlineStr">
        <is>
          <t>Itaguai</t>
        </is>
      </c>
      <c r="C7362" s="30" t="n">
        <v>83694912</v>
      </c>
      <c r="D7362" s="30">
        <f>"91302331000808"</f>
        <v/>
      </c>
      <c r="E7362" s="30" t="inlineStr">
        <is>
          <t>TRANSPORTES BEBBER LTDA</t>
        </is>
      </c>
      <c r="F7362" s="30" t="inlineStr">
        <is>
          <t>2018</t>
        </is>
      </c>
      <c r="G7362" s="40" t="n">
        <v>0</v>
      </c>
    </row>
    <row r="7363" ht="12" customHeight="1">
      <c r="A7363" s="30" t="inlineStr">
        <is>
          <t>ITG</t>
        </is>
      </c>
      <c r="B7363" s="30" t="inlineStr">
        <is>
          <t>Itaguai</t>
        </is>
      </c>
      <c r="C7363" s="30" t="n">
        <v>83694912</v>
      </c>
      <c r="D7363" s="30">
        <f>"91302331000808"</f>
        <v/>
      </c>
      <c r="E7363" s="30" t="inlineStr">
        <is>
          <t>TRANSPORTES BEBBER LTDA</t>
        </is>
      </c>
      <c r="F7363" s="30" t="inlineStr">
        <is>
          <t>2019</t>
        </is>
      </c>
      <c r="G7363" s="40" t="n">
        <v>0</v>
      </c>
    </row>
    <row r="7364" ht="12" customHeight="1">
      <c r="A7364" s="30" t="inlineStr">
        <is>
          <t>ITG</t>
        </is>
      </c>
      <c r="B7364" s="30" t="inlineStr">
        <is>
          <t>Itaguai</t>
        </is>
      </c>
      <c r="C7364" s="30" t="n">
        <v>83695943</v>
      </c>
      <c r="D7364" s="30">
        <f>"56764822000446"</f>
        <v/>
      </c>
      <c r="E7364" s="30" t="inlineStr">
        <is>
          <t>T H V TRANSPORTES LTDA</t>
        </is>
      </c>
      <c r="F7364" s="30" t="inlineStr">
        <is>
          <t>2017</t>
        </is>
      </c>
      <c r="G7364" s="40" t="n">
        <v>0</v>
      </c>
    </row>
    <row r="7365" ht="12" customHeight="1">
      <c r="A7365" s="30" t="inlineStr">
        <is>
          <t>ITG</t>
        </is>
      </c>
      <c r="B7365" s="30" t="inlineStr">
        <is>
          <t>Itaguai</t>
        </is>
      </c>
      <c r="C7365" s="30" t="n">
        <v>83695943</v>
      </c>
      <c r="D7365" s="30">
        <f>"56764822000446"</f>
        <v/>
      </c>
      <c r="E7365" s="30" t="inlineStr">
        <is>
          <t>T H V TRANSPORTES LTDA</t>
        </is>
      </c>
      <c r="F7365" s="30" t="inlineStr">
        <is>
          <t>2018</t>
        </is>
      </c>
      <c r="G7365" s="40" t="n">
        <v>187940.57</v>
      </c>
    </row>
    <row r="7366" ht="12" customHeight="1">
      <c r="A7366" s="30" t="inlineStr">
        <is>
          <t>ITG</t>
        </is>
      </c>
      <c r="B7366" s="30" t="inlineStr">
        <is>
          <t>Itaguai</t>
        </is>
      </c>
      <c r="C7366" s="30" t="n">
        <v>83695943</v>
      </c>
      <c r="D7366" s="30">
        <f>"56764822000446"</f>
        <v/>
      </c>
      <c r="E7366" s="30" t="inlineStr">
        <is>
          <t>T H V TRANSPORTES LTDA</t>
        </is>
      </c>
      <c r="F7366" s="30" t="inlineStr">
        <is>
          <t>2019</t>
        </is>
      </c>
      <c r="G7366" s="40" t="n">
        <v>239159.78</v>
      </c>
    </row>
    <row r="7367" ht="12" customHeight="1">
      <c r="A7367" s="30" t="inlineStr">
        <is>
          <t>ITG</t>
        </is>
      </c>
      <c r="B7367" s="30" t="inlineStr">
        <is>
          <t>Itaguai</t>
        </is>
      </c>
      <c r="C7367" s="30" t="n">
        <v>83695943</v>
      </c>
      <c r="D7367" s="30">
        <f>"56764822000446"</f>
        <v/>
      </c>
      <c r="E7367" s="30" t="inlineStr">
        <is>
          <t>T H V TRANSPORTES LTDA</t>
        </is>
      </c>
      <c r="F7367" s="30" t="inlineStr">
        <is>
          <t>2020</t>
        </is>
      </c>
      <c r="G7367" s="40" t="n">
        <v>512242.32</v>
      </c>
    </row>
    <row r="7368" ht="12" customHeight="1">
      <c r="A7368" s="30" t="inlineStr">
        <is>
          <t>ITG</t>
        </is>
      </c>
      <c r="B7368" s="30" t="inlineStr">
        <is>
          <t>Itaguai</t>
        </is>
      </c>
      <c r="C7368" s="30" t="n">
        <v>83695943</v>
      </c>
      <c r="D7368" s="30">
        <f>"56764822000446"</f>
        <v/>
      </c>
      <c r="E7368" s="30" t="inlineStr">
        <is>
          <t>T H V TRANSPORTES LTDA</t>
        </is>
      </c>
      <c r="F7368" s="30" t="inlineStr">
        <is>
          <t>2021</t>
        </is>
      </c>
      <c r="G7368" s="40" t="n">
        <v>7229.36</v>
      </c>
    </row>
    <row r="7369" ht="12" customHeight="1">
      <c r="A7369" s="30" t="inlineStr">
        <is>
          <t>ITG</t>
        </is>
      </c>
      <c r="B7369" s="30" t="inlineStr">
        <is>
          <t>Itaguai</t>
        </is>
      </c>
      <c r="C7369" s="30" t="n">
        <v>83695943</v>
      </c>
      <c r="D7369" s="30">
        <f>"56764822000446"</f>
        <v/>
      </c>
      <c r="E7369" s="30" t="inlineStr">
        <is>
          <t>T H V TRANSPORTES LTDA</t>
        </is>
      </c>
      <c r="F7369" s="30" t="inlineStr">
        <is>
          <t>2022</t>
        </is>
      </c>
      <c r="G7369" s="40" t="n">
        <v>0</v>
      </c>
    </row>
    <row r="7370" ht="12" customHeight="1">
      <c r="A7370" s="30" t="inlineStr">
        <is>
          <t>ITG</t>
        </is>
      </c>
      <c r="B7370" s="30" t="inlineStr">
        <is>
          <t>Itaguai</t>
        </is>
      </c>
      <c r="C7370" s="30" t="n">
        <v>83695943</v>
      </c>
      <c r="D7370" s="30">
        <f>"56764822000446"</f>
        <v/>
      </c>
      <c r="E7370" s="30" t="inlineStr">
        <is>
          <t>T H V TRANSPORTES LTDA</t>
        </is>
      </c>
      <c r="F7370" s="30" t="inlineStr">
        <is>
          <t>2023</t>
        </is>
      </c>
      <c r="G7370" s="40" t="n">
        <v>0</v>
      </c>
    </row>
    <row r="7371" ht="12" customHeight="1">
      <c r="A7371" s="30" t="inlineStr">
        <is>
          <t>ITG</t>
        </is>
      </c>
      <c r="B7371" s="30" t="inlineStr">
        <is>
          <t>Itaguai</t>
        </is>
      </c>
      <c r="C7371" s="30" t="n">
        <v>83698942</v>
      </c>
      <c r="D7371" s="30">
        <f>"32169484000193"</f>
        <v/>
      </c>
      <c r="E7371" s="30" t="inlineStr">
        <is>
          <t>RODOPALAS TRANSPORTES RODOVIARIOS LTDA</t>
        </is>
      </c>
      <c r="F7371" s="30" t="inlineStr">
        <is>
          <t>2020</t>
        </is>
      </c>
      <c r="G7371" s="40" t="n">
        <v>0</v>
      </c>
    </row>
    <row r="7372" ht="12" customHeight="1">
      <c r="A7372" s="30" t="inlineStr">
        <is>
          <t>ITG</t>
        </is>
      </c>
      <c r="B7372" s="30" t="inlineStr">
        <is>
          <t>Itaguai</t>
        </is>
      </c>
      <c r="C7372" s="30" t="n">
        <v>83698942</v>
      </c>
      <c r="D7372" s="30">
        <f>"32169484000193"</f>
        <v/>
      </c>
      <c r="E7372" s="30" t="inlineStr">
        <is>
          <t>RODOPALAS TRANSPORTES RODOVIARIOS LTDA</t>
        </is>
      </c>
      <c r="F7372" s="30" t="inlineStr">
        <is>
          <t>2021</t>
        </is>
      </c>
      <c r="G7372" s="40" t="n">
        <v>0</v>
      </c>
    </row>
    <row r="7373" ht="12" customHeight="1">
      <c r="A7373" s="30" t="inlineStr">
        <is>
          <t>ITG</t>
        </is>
      </c>
      <c r="B7373" s="30" t="inlineStr">
        <is>
          <t>Itaguai</t>
        </is>
      </c>
      <c r="C7373" s="30" t="n">
        <v>83698942</v>
      </c>
      <c r="D7373" s="30">
        <f>"32169484000193"</f>
        <v/>
      </c>
      <c r="E7373" s="30" t="inlineStr">
        <is>
          <t>RODOPALAS TRANSPORTES RODOVIARIOS LTDA</t>
        </is>
      </c>
      <c r="F7373" s="30" t="inlineStr">
        <is>
          <t>2022</t>
        </is>
      </c>
      <c r="G7373" s="40" t="n">
        <v>722.99</v>
      </c>
    </row>
    <row r="7374" ht="12" customHeight="1">
      <c r="A7374" s="30" t="inlineStr">
        <is>
          <t>ITG</t>
        </is>
      </c>
      <c r="B7374" s="30" t="inlineStr">
        <is>
          <t>Itaguai</t>
        </is>
      </c>
      <c r="C7374" s="30" t="n">
        <v>83698942</v>
      </c>
      <c r="D7374" s="30">
        <f>"32169484000193"</f>
        <v/>
      </c>
      <c r="E7374" s="30" t="inlineStr">
        <is>
          <t>RODOPALAS TRANSPORTES RODOVIARIOS LTDA</t>
        </is>
      </c>
      <c r="F7374" s="30" t="inlineStr">
        <is>
          <t>2023</t>
        </is>
      </c>
      <c r="G7374" s="40" t="n">
        <v>0</v>
      </c>
    </row>
    <row r="7375" ht="12" customHeight="1">
      <c r="A7375" s="30" t="inlineStr">
        <is>
          <t>ITG</t>
        </is>
      </c>
      <c r="B7375" s="30" t="inlineStr">
        <is>
          <t>Itaguai</t>
        </is>
      </c>
      <c r="C7375" s="30" t="n">
        <v>83699205</v>
      </c>
      <c r="D7375" s="30">
        <f>"61139432000253"</f>
        <v/>
      </c>
      <c r="E7375" s="30" t="inlineStr">
        <is>
          <t>TRANSPORTES DELLA VOLPE S A COMERCIO E INDUSTRIA</t>
        </is>
      </c>
      <c r="F7375" s="30" t="inlineStr">
        <is>
          <t>2017</t>
        </is>
      </c>
      <c r="G7375" s="40" t="n">
        <v>191478.26</v>
      </c>
    </row>
    <row r="7376" ht="12" customHeight="1">
      <c r="A7376" s="30" t="inlineStr">
        <is>
          <t>ITG</t>
        </is>
      </c>
      <c r="B7376" s="30" t="inlineStr">
        <is>
          <t>Itaguai</t>
        </is>
      </c>
      <c r="C7376" s="30" t="n">
        <v>83699205</v>
      </c>
      <c r="D7376" s="30">
        <f>"61139432000253"</f>
        <v/>
      </c>
      <c r="E7376" s="30" t="inlineStr">
        <is>
          <t>TRANSPORTES DELLA VOLPE S A COMERCIO E INDUSTRIA</t>
        </is>
      </c>
      <c r="F7376" s="30" t="inlineStr">
        <is>
          <t>2018</t>
        </is>
      </c>
      <c r="G7376" s="40" t="n">
        <v>240776</v>
      </c>
    </row>
    <row r="7377" ht="12" customHeight="1">
      <c r="A7377" s="30" t="inlineStr">
        <is>
          <t>ITG</t>
        </is>
      </c>
      <c r="B7377" s="30" t="inlineStr">
        <is>
          <t>Itaguai</t>
        </is>
      </c>
      <c r="C7377" s="30" t="n">
        <v>83699205</v>
      </c>
      <c r="D7377" s="30">
        <f>"61139432000253"</f>
        <v/>
      </c>
      <c r="E7377" s="30" t="inlineStr">
        <is>
          <t>TRANSPORTES DELLA VOLPE S A COMERCIO E INDUSTRIA</t>
        </is>
      </c>
      <c r="F7377" s="30" t="inlineStr">
        <is>
          <t>2019</t>
        </is>
      </c>
      <c r="G7377" s="40" t="n">
        <v>776101.14</v>
      </c>
    </row>
    <row r="7378" ht="12" customHeight="1">
      <c r="A7378" s="30" t="inlineStr">
        <is>
          <t>ITG</t>
        </is>
      </c>
      <c r="B7378" s="30" t="inlineStr">
        <is>
          <t>Itaguai</t>
        </is>
      </c>
      <c r="C7378" s="30" t="n">
        <v>83699205</v>
      </c>
      <c r="D7378" s="30">
        <f>"61139432000253"</f>
        <v/>
      </c>
      <c r="E7378" s="30" t="inlineStr">
        <is>
          <t>TRANSPORTES DELLA VOLPE S A COMERCIO E INDUSTRIA</t>
        </is>
      </c>
      <c r="F7378" s="30" t="inlineStr">
        <is>
          <t>2020</t>
        </is>
      </c>
      <c r="G7378" s="40" t="n">
        <v>267023.96</v>
      </c>
    </row>
    <row r="7379" ht="12" customHeight="1">
      <c r="A7379" s="30" t="inlineStr">
        <is>
          <t>ITG</t>
        </is>
      </c>
      <c r="B7379" s="30" t="inlineStr">
        <is>
          <t>Itaguai</t>
        </is>
      </c>
      <c r="C7379" s="30" t="n">
        <v>83699205</v>
      </c>
      <c r="D7379" s="30">
        <f>"61139432000253"</f>
        <v/>
      </c>
      <c r="E7379" s="30" t="inlineStr">
        <is>
          <t>TRANSPORTES DELLA VOLPE S A COMERCIO E INDUSTRIA</t>
        </is>
      </c>
      <c r="F7379" s="30" t="inlineStr">
        <is>
          <t>2021</t>
        </is>
      </c>
      <c r="G7379" s="40" t="n">
        <v>50000</v>
      </c>
    </row>
    <row r="7380" ht="12" customHeight="1">
      <c r="A7380" s="30" t="inlineStr">
        <is>
          <t>ITG</t>
        </is>
      </c>
      <c r="B7380" s="30" t="inlineStr">
        <is>
          <t>Itaguai</t>
        </is>
      </c>
      <c r="C7380" s="30" t="n">
        <v>83699205</v>
      </c>
      <c r="D7380" s="30">
        <f>"61139432000253"</f>
        <v/>
      </c>
      <c r="E7380" s="30" t="inlineStr">
        <is>
          <t>TRANSPORTES DELLA VOLPE S A COMERCIO E INDUSTRIA</t>
        </is>
      </c>
      <c r="F7380" s="30" t="inlineStr">
        <is>
          <t>2022</t>
        </is>
      </c>
      <c r="G7380" s="40" t="n">
        <v>687387.36</v>
      </c>
    </row>
    <row r="7381" ht="12" customHeight="1">
      <c r="A7381" s="30" t="inlineStr">
        <is>
          <t>ITG</t>
        </is>
      </c>
      <c r="B7381" s="30" t="inlineStr">
        <is>
          <t>Itaguai</t>
        </is>
      </c>
      <c r="C7381" s="30" t="n">
        <v>83699205</v>
      </c>
      <c r="D7381" s="30">
        <f>"61139432000253"</f>
        <v/>
      </c>
      <c r="E7381" s="30" t="inlineStr">
        <is>
          <t>TRANSPORTES DELLA VOLPE S A COMERCIO E INDUSTRIA</t>
        </is>
      </c>
      <c r="F7381" s="30" t="inlineStr">
        <is>
          <t>2023</t>
        </is>
      </c>
      <c r="G7381" s="40" t="n">
        <v>402636.06</v>
      </c>
    </row>
    <row r="7382" ht="12" customHeight="1">
      <c r="A7382" s="30" t="inlineStr">
        <is>
          <t>ITG</t>
        </is>
      </c>
      <c r="B7382" s="30" t="inlineStr">
        <is>
          <t>Itaguai</t>
        </is>
      </c>
      <c r="C7382" s="30" t="n">
        <v>83788658</v>
      </c>
      <c r="D7382" s="30">
        <f>"29453826000279"</f>
        <v/>
      </c>
      <c r="E7382" s="30" t="inlineStr">
        <is>
          <t>TRANSPORTE GENEROSO LTDA</t>
        </is>
      </c>
      <c r="F7382" s="30" t="inlineStr">
        <is>
          <t>2017</t>
        </is>
      </c>
      <c r="G7382" s="40" t="n">
        <v>0</v>
      </c>
    </row>
    <row r="7383" ht="12" customHeight="1">
      <c r="A7383" s="30" t="inlineStr">
        <is>
          <t>ITG</t>
        </is>
      </c>
      <c r="B7383" s="30" t="inlineStr">
        <is>
          <t>Itaguai</t>
        </is>
      </c>
      <c r="C7383" s="30" t="n">
        <v>83788658</v>
      </c>
      <c r="D7383" s="30">
        <f>"29453826000279"</f>
        <v/>
      </c>
      <c r="E7383" s="30" t="inlineStr">
        <is>
          <t>TRANSPORTE GENEROSO LTDA</t>
        </is>
      </c>
      <c r="F7383" s="30" t="inlineStr">
        <is>
          <t>2018</t>
        </is>
      </c>
      <c r="G7383" s="40" t="n">
        <v>0</v>
      </c>
    </row>
    <row r="7384" ht="12" customHeight="1">
      <c r="A7384" s="30" t="inlineStr">
        <is>
          <t>ITG</t>
        </is>
      </c>
      <c r="B7384" s="30" t="inlineStr">
        <is>
          <t>Itaguai</t>
        </is>
      </c>
      <c r="C7384" s="30" t="n">
        <v>83788658</v>
      </c>
      <c r="D7384" s="30">
        <f>"29453826000279"</f>
        <v/>
      </c>
      <c r="E7384" s="30" t="inlineStr">
        <is>
          <t>TRANSPORTE GENEROSO LTDA</t>
        </is>
      </c>
      <c r="F7384" s="30" t="inlineStr">
        <is>
          <t>2019</t>
        </is>
      </c>
      <c r="G7384" s="40" t="n">
        <v>3039</v>
      </c>
    </row>
    <row r="7385" ht="12" customHeight="1">
      <c r="A7385" s="30" t="inlineStr">
        <is>
          <t>ITG</t>
        </is>
      </c>
      <c r="B7385" s="30" t="inlineStr">
        <is>
          <t>Itaguai</t>
        </is>
      </c>
      <c r="C7385" s="30" t="n">
        <v>83788658</v>
      </c>
      <c r="D7385" s="30">
        <f>"29453826000279"</f>
        <v/>
      </c>
      <c r="E7385" s="30" t="inlineStr">
        <is>
          <t>TRANSPORTE GENEROSO LTDA</t>
        </is>
      </c>
      <c r="F7385" s="30" t="inlineStr">
        <is>
          <t>2020</t>
        </is>
      </c>
      <c r="G7385" s="40" t="n">
        <v>10791.21</v>
      </c>
    </row>
    <row r="7386" ht="12" customHeight="1">
      <c r="A7386" s="30" t="inlineStr">
        <is>
          <t>ITG</t>
        </is>
      </c>
      <c r="B7386" s="30" t="inlineStr">
        <is>
          <t>Itaguai</t>
        </is>
      </c>
      <c r="C7386" s="30" t="n">
        <v>83788658</v>
      </c>
      <c r="D7386" s="30">
        <f>"29453826000279"</f>
        <v/>
      </c>
      <c r="E7386" s="30" t="inlineStr">
        <is>
          <t>TRANSPORTE GENEROSO LTDA</t>
        </is>
      </c>
      <c r="F7386" s="30" t="inlineStr">
        <is>
          <t>2021</t>
        </is>
      </c>
      <c r="G7386" s="40" t="n">
        <v>6323.02</v>
      </c>
    </row>
    <row r="7387" ht="12" customHeight="1">
      <c r="A7387" s="30" t="inlineStr">
        <is>
          <t>ITG</t>
        </is>
      </c>
      <c r="B7387" s="30" t="inlineStr">
        <is>
          <t>Itaguai</t>
        </is>
      </c>
      <c r="C7387" s="30" t="n">
        <v>83788658</v>
      </c>
      <c r="D7387" s="30">
        <f>"29453826000279"</f>
        <v/>
      </c>
      <c r="E7387" s="30" t="inlineStr">
        <is>
          <t>TRANSPORTE GENEROSO LTDA</t>
        </is>
      </c>
      <c r="F7387" s="30" t="inlineStr">
        <is>
          <t>2022</t>
        </is>
      </c>
      <c r="G7387" s="40" t="n">
        <v>2324.39</v>
      </c>
    </row>
    <row r="7388" ht="12" customHeight="1">
      <c r="A7388" s="30" t="inlineStr">
        <is>
          <t>ITG</t>
        </is>
      </c>
      <c r="B7388" s="30" t="inlineStr">
        <is>
          <t>Itaguai</t>
        </is>
      </c>
      <c r="C7388" s="30" t="n">
        <v>83788658</v>
      </c>
      <c r="D7388" s="30">
        <f>"29453826000279"</f>
        <v/>
      </c>
      <c r="E7388" s="30" t="inlineStr">
        <is>
          <t>TRANSPORTE GENEROSO LTDA</t>
        </is>
      </c>
      <c r="F7388" s="30" t="inlineStr">
        <is>
          <t>2023</t>
        </is>
      </c>
      <c r="G7388" s="40" t="n">
        <v>8319.27</v>
      </c>
    </row>
    <row r="7389" ht="12" customHeight="1">
      <c r="A7389" s="30" t="inlineStr">
        <is>
          <t>ITG</t>
        </is>
      </c>
      <c r="B7389" s="30" t="inlineStr">
        <is>
          <t>Itaguai</t>
        </is>
      </c>
      <c r="C7389" s="30" t="n">
        <v>83798726</v>
      </c>
      <c r="D7389" s="30">
        <f>"19199348001311"</f>
        <v/>
      </c>
      <c r="E7389" s="30" t="inlineStr">
        <is>
          <t>SADA TRANSPORTES E ARMAZENAGENS S/A</t>
        </is>
      </c>
      <c r="F7389" s="30" t="inlineStr">
        <is>
          <t>2017</t>
        </is>
      </c>
      <c r="G7389" s="40" t="n">
        <v>505.5</v>
      </c>
    </row>
    <row r="7390" ht="12" customHeight="1">
      <c r="A7390" s="30" t="inlineStr">
        <is>
          <t>ITG</t>
        </is>
      </c>
      <c r="B7390" s="30" t="inlineStr">
        <is>
          <t>Itaguai</t>
        </is>
      </c>
      <c r="C7390" s="30" t="n">
        <v>83798726</v>
      </c>
      <c r="D7390" s="30">
        <f>"19199348001311"</f>
        <v/>
      </c>
      <c r="E7390" s="30" t="inlineStr">
        <is>
          <t>SADA TRANSPORTES E ARMAZENAGENS S/A</t>
        </is>
      </c>
      <c r="F7390" s="30" t="inlineStr">
        <is>
          <t>2018</t>
        </is>
      </c>
      <c r="G7390" s="40" t="n">
        <v>0</v>
      </c>
    </row>
    <row r="7391" ht="12" customHeight="1">
      <c r="A7391" s="30" t="inlineStr">
        <is>
          <t>ITG</t>
        </is>
      </c>
      <c r="B7391" s="30" t="inlineStr">
        <is>
          <t>Itaguai</t>
        </is>
      </c>
      <c r="C7391" s="30" t="n">
        <v>83798726</v>
      </c>
      <c r="D7391" s="30">
        <f>"19199348001311"</f>
        <v/>
      </c>
      <c r="E7391" s="30" t="inlineStr">
        <is>
          <t>SADA TRANSPORTES E ARMAZENAGENS S/A</t>
        </is>
      </c>
      <c r="F7391" s="30" t="inlineStr">
        <is>
          <t>2019</t>
        </is>
      </c>
      <c r="G7391" s="40" t="n">
        <v>0</v>
      </c>
    </row>
    <row r="7392" ht="12" customHeight="1">
      <c r="A7392" s="30" t="inlineStr">
        <is>
          <t>ITG</t>
        </is>
      </c>
      <c r="B7392" s="30" t="inlineStr">
        <is>
          <t>Itaguai</t>
        </is>
      </c>
      <c r="C7392" s="30" t="n">
        <v>83798726</v>
      </c>
      <c r="D7392" s="30">
        <f>"19199348001311"</f>
        <v/>
      </c>
      <c r="E7392" s="30" t="inlineStr">
        <is>
          <t>SADA TRANSPORTES E ARMAZENAGENS S/A</t>
        </is>
      </c>
      <c r="F7392" s="30" t="inlineStr">
        <is>
          <t>2021</t>
        </is>
      </c>
      <c r="G7392" s="40" t="n">
        <v>0</v>
      </c>
    </row>
    <row r="7393" ht="12" customHeight="1">
      <c r="A7393" s="30" t="inlineStr">
        <is>
          <t>ITG</t>
        </is>
      </c>
      <c r="B7393" s="30" t="inlineStr">
        <is>
          <t>Itaguai</t>
        </is>
      </c>
      <c r="C7393" s="30" t="n">
        <v>83798726</v>
      </c>
      <c r="D7393" s="30">
        <f>"19199348001311"</f>
        <v/>
      </c>
      <c r="E7393" s="30" t="inlineStr">
        <is>
          <t>SADA TRANSPORTES E ARMAZENAGENS S/A</t>
        </is>
      </c>
      <c r="F7393" s="30" t="inlineStr">
        <is>
          <t>2022</t>
        </is>
      </c>
      <c r="G7393" s="40" t="n">
        <v>0</v>
      </c>
    </row>
    <row r="7394" ht="12" customHeight="1">
      <c r="A7394" s="30" t="inlineStr">
        <is>
          <t>ITG</t>
        </is>
      </c>
      <c r="B7394" s="30" t="inlineStr">
        <is>
          <t>Itaguai</t>
        </is>
      </c>
      <c r="C7394" s="30" t="n">
        <v>83798726</v>
      </c>
      <c r="D7394" s="30">
        <f>"19199348001311"</f>
        <v/>
      </c>
      <c r="E7394" s="30" t="inlineStr">
        <is>
          <t>SADA TRANSPORTES E ARMAZENAGENS S/A</t>
        </is>
      </c>
      <c r="F7394" s="30" t="inlineStr">
        <is>
          <t>2023</t>
        </is>
      </c>
      <c r="G7394" s="40" t="n">
        <v>1081449.85</v>
      </c>
    </row>
    <row r="7395" ht="12" customHeight="1">
      <c r="A7395" s="30" t="inlineStr">
        <is>
          <t>ITG</t>
        </is>
      </c>
      <c r="B7395" s="30" t="inlineStr">
        <is>
          <t>Itaguai</t>
        </is>
      </c>
      <c r="C7395" s="30" t="n">
        <v>83799277</v>
      </c>
      <c r="D7395" s="30">
        <f>"24725764000455"</f>
        <v/>
      </c>
      <c r="E7395" s="30" t="inlineStr">
        <is>
          <t>EXPRESSO VERA CRUZ LTDA</t>
        </is>
      </c>
      <c r="F7395" s="30" t="inlineStr">
        <is>
          <t>2017</t>
        </is>
      </c>
      <c r="G7395" s="40" t="n">
        <v>0</v>
      </c>
    </row>
    <row r="7396" ht="12" customHeight="1">
      <c r="A7396" s="30" t="inlineStr">
        <is>
          <t>ITG</t>
        </is>
      </c>
      <c r="B7396" s="30" t="inlineStr">
        <is>
          <t>Itaguai</t>
        </is>
      </c>
      <c r="C7396" s="30" t="n">
        <v>83799277</v>
      </c>
      <c r="D7396" s="30">
        <f>"24725764000455"</f>
        <v/>
      </c>
      <c r="E7396" s="30" t="inlineStr">
        <is>
          <t>EXPRESSO VERA CRUZ LTDA</t>
        </is>
      </c>
      <c r="F7396" s="30" t="inlineStr">
        <is>
          <t>2018</t>
        </is>
      </c>
      <c r="G7396" s="40" t="n">
        <v>0</v>
      </c>
    </row>
    <row r="7397" ht="12" customHeight="1">
      <c r="A7397" s="30" t="inlineStr">
        <is>
          <t>ITG</t>
        </is>
      </c>
      <c r="B7397" s="30" t="inlineStr">
        <is>
          <t>Itaguai</t>
        </is>
      </c>
      <c r="C7397" s="30" t="n">
        <v>83799277</v>
      </c>
      <c r="D7397" s="30">
        <f>"24725764000455"</f>
        <v/>
      </c>
      <c r="E7397" s="30" t="inlineStr">
        <is>
          <t>EXPRESSO VERA CRUZ LTDA</t>
        </is>
      </c>
      <c r="F7397" s="30" t="inlineStr">
        <is>
          <t>2019</t>
        </is>
      </c>
      <c r="G7397" s="40" t="n">
        <v>90.84</v>
      </c>
    </row>
    <row r="7398" ht="12" customHeight="1">
      <c r="A7398" s="30" t="inlineStr">
        <is>
          <t>ITG</t>
        </is>
      </c>
      <c r="B7398" s="30" t="inlineStr">
        <is>
          <t>Itaguai</t>
        </is>
      </c>
      <c r="C7398" s="30" t="n">
        <v>83799277</v>
      </c>
      <c r="D7398" s="30">
        <f>"24725764000455"</f>
        <v/>
      </c>
      <c r="E7398" s="30" t="inlineStr">
        <is>
          <t>EXPRESSO VERA CRUZ LTDA</t>
        </is>
      </c>
      <c r="F7398" s="30" t="inlineStr">
        <is>
          <t>2020</t>
        </is>
      </c>
      <c r="G7398" s="40" t="n">
        <v>0</v>
      </c>
    </row>
    <row r="7399" ht="12" customHeight="1">
      <c r="A7399" s="30" t="inlineStr">
        <is>
          <t>ITG</t>
        </is>
      </c>
      <c r="B7399" s="30" t="inlineStr">
        <is>
          <t>Itaguai</t>
        </is>
      </c>
      <c r="C7399" s="30" t="n">
        <v>83799277</v>
      </c>
      <c r="D7399" s="30">
        <f>"24725764000455"</f>
        <v/>
      </c>
      <c r="E7399" s="30" t="inlineStr">
        <is>
          <t>EXPRESSO VERA CRUZ LTDA</t>
        </is>
      </c>
      <c r="F7399" s="30" t="inlineStr">
        <is>
          <t>2021</t>
        </is>
      </c>
      <c r="G7399" s="40" t="n">
        <v>0</v>
      </c>
    </row>
    <row r="7400" ht="12" customHeight="1">
      <c r="A7400" s="30" t="inlineStr">
        <is>
          <t>ITG</t>
        </is>
      </c>
      <c r="B7400" s="30" t="inlineStr">
        <is>
          <t>Itaguai</t>
        </is>
      </c>
      <c r="C7400" s="30" t="n">
        <v>83799366</v>
      </c>
      <c r="D7400" s="30">
        <f>"60860087000360"</f>
        <v/>
      </c>
      <c r="E7400" s="30" t="inlineStr">
        <is>
          <t>BRINK"S SEGURANCA E TRANSPORTE DE VALORES LTDA</t>
        </is>
      </c>
      <c r="F7400" s="30" t="inlineStr">
        <is>
          <t>2017</t>
        </is>
      </c>
      <c r="G7400" s="40" t="n">
        <v>209221.94</v>
      </c>
    </row>
    <row r="7401" ht="12" customHeight="1">
      <c r="A7401" s="30" t="inlineStr">
        <is>
          <t>ITG</t>
        </is>
      </c>
      <c r="B7401" s="30" t="inlineStr">
        <is>
          <t>Itaguai</t>
        </is>
      </c>
      <c r="C7401" s="30" t="n">
        <v>83799366</v>
      </c>
      <c r="D7401" s="30">
        <f>"60860087000360"</f>
        <v/>
      </c>
      <c r="E7401" s="30" t="inlineStr">
        <is>
          <t>BRINK"S SEGURANCA E TRANSPORTE DE VALORES LTDA</t>
        </is>
      </c>
      <c r="F7401" s="30" t="inlineStr">
        <is>
          <t>2018</t>
        </is>
      </c>
      <c r="G7401" s="40" t="n">
        <v>280707.13</v>
      </c>
    </row>
    <row r="7402" ht="12" customHeight="1">
      <c r="A7402" s="30" t="inlineStr">
        <is>
          <t>ITG</t>
        </is>
      </c>
      <c r="B7402" s="30" t="inlineStr">
        <is>
          <t>Itaguai</t>
        </is>
      </c>
      <c r="C7402" s="30" t="n">
        <v>83799366</v>
      </c>
      <c r="D7402" s="30">
        <f>"60860087000360"</f>
        <v/>
      </c>
      <c r="E7402" s="30" t="inlineStr">
        <is>
          <t>BRINK"S SEGURANCA E TRANSPORTE DE VALORES LTDA</t>
        </is>
      </c>
      <c r="F7402" s="30" t="inlineStr">
        <is>
          <t>2019</t>
        </is>
      </c>
      <c r="G7402" s="40" t="n">
        <v>257500.58</v>
      </c>
    </row>
    <row r="7403" ht="12" customHeight="1">
      <c r="A7403" s="30" t="inlineStr">
        <is>
          <t>ITG</t>
        </is>
      </c>
      <c r="B7403" s="30" t="inlineStr">
        <is>
          <t>Itaguai</t>
        </is>
      </c>
      <c r="C7403" s="30" t="n">
        <v>83799366</v>
      </c>
      <c r="D7403" s="30">
        <f>"60860087000360"</f>
        <v/>
      </c>
      <c r="E7403" s="30" t="inlineStr">
        <is>
          <t>BRINK"S SEGURANCA E TRANSPORTE DE VALORES LTDA</t>
        </is>
      </c>
      <c r="F7403" s="30" t="inlineStr">
        <is>
          <t>2020</t>
        </is>
      </c>
      <c r="G7403" s="40" t="n">
        <v>194151.41</v>
      </c>
    </row>
    <row r="7404" ht="12" customHeight="1">
      <c r="A7404" s="30" t="inlineStr">
        <is>
          <t>ITG</t>
        </is>
      </c>
      <c r="B7404" s="30" t="inlineStr">
        <is>
          <t>Itaguai</t>
        </is>
      </c>
      <c r="C7404" s="30" t="n">
        <v>83799366</v>
      </c>
      <c r="D7404" s="30">
        <f>"60860087000360"</f>
        <v/>
      </c>
      <c r="E7404" s="30" t="inlineStr">
        <is>
          <t>BRINK"S SEGURANCA E TRANSPORTE DE VALORES LTDA</t>
        </is>
      </c>
      <c r="F7404" s="30" t="inlineStr">
        <is>
          <t>2021</t>
        </is>
      </c>
      <c r="G7404" s="40" t="n">
        <v>241015.82</v>
      </c>
    </row>
    <row r="7405" ht="12" customHeight="1">
      <c r="A7405" s="30" t="inlineStr">
        <is>
          <t>ITG</t>
        </is>
      </c>
      <c r="B7405" s="30" t="inlineStr">
        <is>
          <t>Itaguai</t>
        </is>
      </c>
      <c r="C7405" s="30" t="n">
        <v>83799366</v>
      </c>
      <c r="D7405" s="30">
        <f>"60860087000360"</f>
        <v/>
      </c>
      <c r="E7405" s="30" t="inlineStr">
        <is>
          <t>BRINK"S SEGURANCA E TRANSPORTE DE VALORES LTDA</t>
        </is>
      </c>
      <c r="F7405" s="30" t="inlineStr">
        <is>
          <t>2022</t>
        </is>
      </c>
      <c r="G7405" s="40" t="n">
        <v>252795.8</v>
      </c>
    </row>
    <row r="7406" ht="12" customHeight="1">
      <c r="A7406" s="30" t="inlineStr">
        <is>
          <t>ITG</t>
        </is>
      </c>
      <c r="B7406" s="30" t="inlineStr">
        <is>
          <t>Itaguai</t>
        </is>
      </c>
      <c r="C7406" s="30" t="n">
        <v>83799366</v>
      </c>
      <c r="D7406" s="30">
        <f>"60860087000360"</f>
        <v/>
      </c>
      <c r="E7406" s="30" t="inlineStr">
        <is>
          <t>BRINK"S SEGURANCA E TRANSPORTE DE VALORES LTDA</t>
        </is>
      </c>
      <c r="F7406" s="30" t="inlineStr">
        <is>
          <t>2023</t>
        </is>
      </c>
      <c r="G7406" s="40" t="n">
        <v>141184.56</v>
      </c>
    </row>
    <row r="7407" ht="12" customHeight="1">
      <c r="A7407" s="30" t="inlineStr">
        <is>
          <t>ITG</t>
        </is>
      </c>
      <c r="B7407" s="30" t="inlineStr">
        <is>
          <t>Itaguai</t>
        </is>
      </c>
      <c r="C7407" s="30" t="n">
        <v>83800364</v>
      </c>
      <c r="D7407" s="30">
        <f>"44993632007009"</f>
        <v/>
      </c>
      <c r="E7407" s="30" t="inlineStr">
        <is>
          <t>EMPRESAS REUNIDAS PAULISTA DE TRANSPORTES LTDA</t>
        </is>
      </c>
      <c r="F7407" s="30" t="inlineStr">
        <is>
          <t>2017</t>
        </is>
      </c>
      <c r="G7407" s="40" t="n">
        <v>73531.73</v>
      </c>
    </row>
    <row r="7408" ht="12" customHeight="1">
      <c r="A7408" s="30" t="inlineStr">
        <is>
          <t>ITG</t>
        </is>
      </c>
      <c r="B7408" s="30" t="inlineStr">
        <is>
          <t>Itaguai</t>
        </is>
      </c>
      <c r="C7408" s="30" t="n">
        <v>83800364</v>
      </c>
      <c r="D7408" s="30">
        <f>"44993632007009"</f>
        <v/>
      </c>
      <c r="E7408" s="30" t="inlineStr">
        <is>
          <t>EMPRESAS REUNIDAS PAULISTA DE TRANSPORTES LTDA</t>
        </is>
      </c>
      <c r="F7408" s="30" t="inlineStr">
        <is>
          <t>2018</t>
        </is>
      </c>
      <c r="G7408" s="40" t="n">
        <v>89997.75999999999</v>
      </c>
    </row>
    <row r="7409" ht="12" customHeight="1">
      <c r="A7409" s="30" t="inlineStr">
        <is>
          <t>ITG</t>
        </is>
      </c>
      <c r="B7409" s="30" t="inlineStr">
        <is>
          <t>Itaguai</t>
        </is>
      </c>
      <c r="C7409" s="30" t="n">
        <v>83800364</v>
      </c>
      <c r="D7409" s="30">
        <f>"44993632007009"</f>
        <v/>
      </c>
      <c r="E7409" s="30" t="inlineStr">
        <is>
          <t>EMPRESAS REUNIDAS PAULISTA DE TRANSPORTES LTDA</t>
        </is>
      </c>
      <c r="F7409" s="30" t="inlineStr">
        <is>
          <t>2019</t>
        </is>
      </c>
      <c r="G7409" s="40" t="n">
        <v>90285.94</v>
      </c>
    </row>
    <row r="7410" ht="12" customHeight="1">
      <c r="A7410" s="30" t="inlineStr">
        <is>
          <t>ITG</t>
        </is>
      </c>
      <c r="B7410" s="30" t="inlineStr">
        <is>
          <t>Itaguai</t>
        </is>
      </c>
      <c r="C7410" s="30" t="n">
        <v>83800364</v>
      </c>
      <c r="D7410" s="30">
        <f>"44993632007009"</f>
        <v/>
      </c>
      <c r="E7410" s="30" t="inlineStr">
        <is>
          <t>EMPRESAS REUNIDAS PAULISTA DE TRANSPORTES LTDA</t>
        </is>
      </c>
      <c r="F7410" s="30" t="inlineStr">
        <is>
          <t>2020</t>
        </is>
      </c>
      <c r="G7410" s="40" t="n">
        <v>56364.86</v>
      </c>
    </row>
    <row r="7411" ht="12" customHeight="1">
      <c r="A7411" s="30" t="inlineStr">
        <is>
          <t>ITG</t>
        </is>
      </c>
      <c r="B7411" s="30" t="inlineStr">
        <is>
          <t>Itaguai</t>
        </is>
      </c>
      <c r="C7411" s="30" t="n">
        <v>83800364</v>
      </c>
      <c r="D7411" s="30">
        <f>"44993632007009"</f>
        <v/>
      </c>
      <c r="E7411" s="30" t="inlineStr">
        <is>
          <t>EMPRESAS REUNIDAS PAULISTA DE TRANSPORTES LTDA</t>
        </is>
      </c>
      <c r="F7411" s="30" t="inlineStr">
        <is>
          <t>2021</t>
        </is>
      </c>
      <c r="G7411" s="40" t="n">
        <v>174546.33</v>
      </c>
    </row>
    <row r="7412" ht="12" customHeight="1">
      <c r="A7412" s="30" t="inlineStr">
        <is>
          <t>ITG</t>
        </is>
      </c>
      <c r="B7412" s="30" t="inlineStr">
        <is>
          <t>Itaguai</t>
        </is>
      </c>
      <c r="C7412" s="30" t="n">
        <v>83800364</v>
      </c>
      <c r="D7412" s="30">
        <f>"44993632007009"</f>
        <v/>
      </c>
      <c r="E7412" s="30" t="inlineStr">
        <is>
          <t>EMPRESAS REUNIDAS PAULISTA DE TRANSPORTES LTDA</t>
        </is>
      </c>
      <c r="F7412" s="30" t="inlineStr">
        <is>
          <t>2022</t>
        </is>
      </c>
      <c r="G7412" s="40" t="n">
        <v>0</v>
      </c>
    </row>
    <row r="7413" ht="12" customHeight="1">
      <c r="A7413" s="30" t="inlineStr">
        <is>
          <t>ITG</t>
        </is>
      </c>
      <c r="B7413" s="30" t="inlineStr">
        <is>
          <t>Itaguai</t>
        </is>
      </c>
      <c r="C7413" s="30" t="n">
        <v>83800364</v>
      </c>
      <c r="D7413" s="30">
        <f>"44993632007009"</f>
        <v/>
      </c>
      <c r="E7413" s="30" t="inlineStr">
        <is>
          <t>EMPRESAS REUNIDAS PAULISTA DE TRANSPORTES LTDA</t>
        </is>
      </c>
      <c r="F7413" s="30" t="inlineStr">
        <is>
          <t>2023</t>
        </is>
      </c>
      <c r="G7413" s="40" t="n">
        <v>83659.39</v>
      </c>
    </row>
    <row r="7414" ht="12" customHeight="1">
      <c r="A7414" s="30" t="inlineStr">
        <is>
          <t>ITG</t>
        </is>
      </c>
      <c r="B7414" s="30" t="inlineStr">
        <is>
          <t>Itaguai</t>
        </is>
      </c>
      <c r="C7414" s="30" t="n">
        <v>83824735</v>
      </c>
      <c r="D7414" s="30">
        <f>"34146175000123"</f>
        <v/>
      </c>
      <c r="E7414" s="30" t="inlineStr">
        <is>
          <t>EMPRESA DE TRANSPORTE ANGELA LTDA ME</t>
        </is>
      </c>
      <c r="F7414" s="30" t="inlineStr">
        <is>
          <t>2017</t>
        </is>
      </c>
      <c r="G7414" s="40" t="n">
        <v>1300</v>
      </c>
    </row>
    <row r="7415" ht="12" customHeight="1">
      <c r="A7415" s="30" t="inlineStr">
        <is>
          <t>ITG</t>
        </is>
      </c>
      <c r="B7415" s="30" t="inlineStr">
        <is>
          <t>Itaguai</t>
        </is>
      </c>
      <c r="C7415" s="30" t="n">
        <v>83824735</v>
      </c>
      <c r="D7415" s="30">
        <f>"34146175000123"</f>
        <v/>
      </c>
      <c r="E7415" s="30" t="inlineStr">
        <is>
          <t>EMPRESA DE TRANSPORTE ANGELA LTDA ME</t>
        </is>
      </c>
      <c r="F7415" s="30" t="inlineStr">
        <is>
          <t>2018</t>
        </is>
      </c>
      <c r="G7415" s="40" t="n">
        <v>0</v>
      </c>
    </row>
    <row r="7416" ht="12" customHeight="1">
      <c r="A7416" s="30" t="inlineStr">
        <is>
          <t>ITG</t>
        </is>
      </c>
      <c r="B7416" s="30" t="inlineStr">
        <is>
          <t>Itaguai</t>
        </is>
      </c>
      <c r="C7416" s="30" t="n">
        <v>83824735</v>
      </c>
      <c r="D7416" s="30">
        <f>"34146175000123"</f>
        <v/>
      </c>
      <c r="E7416" s="30" t="inlineStr">
        <is>
          <t>EMPRESA DE TRANSPORTE ANGELA LTDA ME</t>
        </is>
      </c>
      <c r="F7416" s="30" t="inlineStr">
        <is>
          <t>2019</t>
        </is>
      </c>
      <c r="G7416" s="40" t="n">
        <v>0</v>
      </c>
    </row>
    <row r="7417" ht="12" customHeight="1">
      <c r="A7417" s="30" t="inlineStr">
        <is>
          <t>ITG</t>
        </is>
      </c>
      <c r="B7417" s="30" t="inlineStr">
        <is>
          <t>Itaguai</t>
        </is>
      </c>
      <c r="C7417" s="30" t="n">
        <v>83824735</v>
      </c>
      <c r="D7417" s="30">
        <f>"34146175000123"</f>
        <v/>
      </c>
      <c r="E7417" s="30" t="inlineStr">
        <is>
          <t>EMPRESA DE TRANSPORTE ANGELA LTDA ME</t>
        </is>
      </c>
      <c r="F7417" s="30" t="inlineStr">
        <is>
          <t>2020</t>
        </is>
      </c>
      <c r="G7417" s="40" t="n">
        <v>0</v>
      </c>
    </row>
    <row r="7418" ht="12" customHeight="1">
      <c r="A7418" s="30" t="inlineStr">
        <is>
          <t>ITG</t>
        </is>
      </c>
      <c r="B7418" s="30" t="inlineStr">
        <is>
          <t>Itaguai</t>
        </is>
      </c>
      <c r="C7418" s="30" t="n">
        <v>83824735</v>
      </c>
      <c r="D7418" s="30">
        <f>"34146175000123"</f>
        <v/>
      </c>
      <c r="E7418" s="30" t="inlineStr">
        <is>
          <t>EMPRESA DE TRANSPORTE ANGELA LTDA ME</t>
        </is>
      </c>
      <c r="F7418" s="30" t="inlineStr">
        <is>
          <t>2021</t>
        </is>
      </c>
      <c r="G7418" s="40" t="n">
        <v>0</v>
      </c>
    </row>
    <row r="7419" ht="12" customHeight="1">
      <c r="A7419" s="30" t="inlineStr">
        <is>
          <t>ITG</t>
        </is>
      </c>
      <c r="B7419" s="30" t="inlineStr">
        <is>
          <t>Itaguai</t>
        </is>
      </c>
      <c r="C7419" s="30" t="n">
        <v>83824735</v>
      </c>
      <c r="D7419" s="30">
        <f>"34146175000123"</f>
        <v/>
      </c>
      <c r="E7419" s="30" t="inlineStr">
        <is>
          <t>EMPRESA DE TRANSPORTE ANGELA LTDA ME</t>
        </is>
      </c>
      <c r="F7419" s="30" t="inlineStr">
        <is>
          <t>2022</t>
        </is>
      </c>
      <c r="G7419" s="40" t="n">
        <v>8000</v>
      </c>
    </row>
    <row r="7420" ht="12" customHeight="1">
      <c r="A7420" s="30" t="inlineStr">
        <is>
          <t>ITG</t>
        </is>
      </c>
      <c r="B7420" s="30" t="inlineStr">
        <is>
          <t>Itaguai</t>
        </is>
      </c>
      <c r="C7420" s="30" t="n">
        <v>83824735</v>
      </c>
      <c r="D7420" s="30">
        <f>"34146175000123"</f>
        <v/>
      </c>
      <c r="E7420" s="30" t="inlineStr">
        <is>
          <t>EMPRESA DE TRANSPORTE ANGELA LTDA ME</t>
        </is>
      </c>
      <c r="F7420" s="30" t="inlineStr">
        <is>
          <t>2023</t>
        </is>
      </c>
      <c r="G7420" s="40" t="n">
        <v>0</v>
      </c>
    </row>
    <row r="7421" ht="12" customHeight="1">
      <c r="A7421" s="30" t="inlineStr">
        <is>
          <t>ITG</t>
        </is>
      </c>
      <c r="B7421" s="30" t="inlineStr">
        <is>
          <t>Itaguai</t>
        </is>
      </c>
      <c r="C7421" s="30" t="n">
        <v>83827327</v>
      </c>
      <c r="D7421" s="30">
        <f>"33498551000186"</f>
        <v/>
      </c>
      <c r="E7421" s="30" t="inlineStr">
        <is>
          <t>TURISMO TRES AMIGOS LTDA</t>
        </is>
      </c>
      <c r="F7421" s="30" t="inlineStr">
        <is>
          <t>2017</t>
        </is>
      </c>
      <c r="G7421" s="40" t="n">
        <v>0</v>
      </c>
    </row>
    <row r="7422" ht="12" customHeight="1">
      <c r="A7422" s="30" t="inlineStr">
        <is>
          <t>ITG</t>
        </is>
      </c>
      <c r="B7422" s="30" t="inlineStr">
        <is>
          <t>Itaguai</t>
        </is>
      </c>
      <c r="C7422" s="30" t="n">
        <v>83827327</v>
      </c>
      <c r="D7422" s="30">
        <f>"33498551000186"</f>
        <v/>
      </c>
      <c r="E7422" s="30" t="inlineStr">
        <is>
          <t>TURISMO TRES AMIGOS LTDA</t>
        </is>
      </c>
      <c r="F7422" s="30" t="inlineStr">
        <is>
          <t>2018</t>
        </is>
      </c>
      <c r="G7422" s="40" t="n">
        <v>0</v>
      </c>
    </row>
    <row r="7423" ht="12" customHeight="1">
      <c r="A7423" s="30" t="inlineStr">
        <is>
          <t>ITG</t>
        </is>
      </c>
      <c r="B7423" s="30" t="inlineStr">
        <is>
          <t>Itaguai</t>
        </is>
      </c>
      <c r="C7423" s="30" t="n">
        <v>83827327</v>
      </c>
      <c r="D7423" s="30">
        <f>"33498551000186"</f>
        <v/>
      </c>
      <c r="E7423" s="30" t="inlineStr">
        <is>
          <t>TURISMO TRES AMIGOS LTDA</t>
        </is>
      </c>
      <c r="F7423" s="30" t="inlineStr">
        <is>
          <t>2019</t>
        </is>
      </c>
      <c r="G7423" s="40" t="n">
        <v>2289</v>
      </c>
    </row>
    <row r="7424" ht="12" customHeight="1">
      <c r="A7424" s="30" t="inlineStr">
        <is>
          <t>ITG</t>
        </is>
      </c>
      <c r="B7424" s="30" t="inlineStr">
        <is>
          <t>Itaguai</t>
        </is>
      </c>
      <c r="C7424" s="30" t="n">
        <v>83827327</v>
      </c>
      <c r="D7424" s="30">
        <f>"33498551000186"</f>
        <v/>
      </c>
      <c r="E7424" s="30" t="inlineStr">
        <is>
          <t>TURISMO TRES AMIGOS LTDA</t>
        </is>
      </c>
      <c r="F7424" s="30" t="inlineStr">
        <is>
          <t>2020</t>
        </is>
      </c>
      <c r="G7424" s="40" t="n">
        <v>0</v>
      </c>
    </row>
    <row r="7425" ht="12" customHeight="1">
      <c r="A7425" s="30" t="inlineStr">
        <is>
          <t>ITG</t>
        </is>
      </c>
      <c r="B7425" s="30" t="inlineStr">
        <is>
          <t>Itaguai</t>
        </is>
      </c>
      <c r="C7425" s="30" t="n">
        <v>83827327</v>
      </c>
      <c r="D7425" s="30">
        <f>"33498551000186"</f>
        <v/>
      </c>
      <c r="E7425" s="30" t="inlineStr">
        <is>
          <t>TURISMO TRES AMIGOS LTDA</t>
        </is>
      </c>
      <c r="F7425" s="30" t="inlineStr">
        <is>
          <t>2021</t>
        </is>
      </c>
      <c r="G7425" s="40" t="n">
        <v>0</v>
      </c>
    </row>
    <row r="7426" ht="12" customHeight="1">
      <c r="A7426" s="30" t="inlineStr">
        <is>
          <t>ITG</t>
        </is>
      </c>
      <c r="B7426" s="30" t="inlineStr">
        <is>
          <t>Itaguai</t>
        </is>
      </c>
      <c r="C7426" s="30" t="n">
        <v>83827327</v>
      </c>
      <c r="D7426" s="30">
        <f>"33498551000186"</f>
        <v/>
      </c>
      <c r="E7426" s="30" t="inlineStr">
        <is>
          <t>TURISMO TRES AMIGOS LTDA</t>
        </is>
      </c>
      <c r="F7426" s="30" t="inlineStr">
        <is>
          <t>2022</t>
        </is>
      </c>
      <c r="G7426" s="40" t="n">
        <v>0</v>
      </c>
    </row>
    <row r="7427" ht="12" customHeight="1">
      <c r="A7427" s="30" t="inlineStr">
        <is>
          <t>ITG</t>
        </is>
      </c>
      <c r="B7427" s="30" t="inlineStr">
        <is>
          <t>Itaguai</t>
        </is>
      </c>
      <c r="C7427" s="30" t="n">
        <v>83827327</v>
      </c>
      <c r="D7427" s="30">
        <f>"33498551000186"</f>
        <v/>
      </c>
      <c r="E7427" s="30" t="inlineStr">
        <is>
          <t>TURISMO TRES AMIGOS LTDA</t>
        </is>
      </c>
      <c r="F7427" s="30" t="inlineStr">
        <is>
          <t>2023</t>
        </is>
      </c>
      <c r="G7427" s="40" t="n">
        <v>3800</v>
      </c>
    </row>
    <row r="7428" ht="12" customHeight="1">
      <c r="A7428" s="30" t="inlineStr">
        <is>
          <t>ITG</t>
        </is>
      </c>
      <c r="B7428" s="30" t="inlineStr">
        <is>
          <t>Itaguai</t>
        </is>
      </c>
      <c r="C7428" s="30" t="n">
        <v>83834218</v>
      </c>
      <c r="D7428" s="30">
        <f>"33087859000139"</f>
        <v/>
      </c>
      <c r="E7428" s="30" t="inlineStr">
        <is>
          <t>BEL TOUR TURISMO E TRANSPORTES LTDA</t>
        </is>
      </c>
      <c r="F7428" s="30" t="inlineStr">
        <is>
          <t>2019</t>
        </is>
      </c>
      <c r="G7428" s="40" t="n">
        <v>0</v>
      </c>
    </row>
    <row r="7429" ht="12" customHeight="1">
      <c r="A7429" s="30" t="inlineStr">
        <is>
          <t>ITG</t>
        </is>
      </c>
      <c r="B7429" s="30" t="inlineStr">
        <is>
          <t>Itaguai</t>
        </is>
      </c>
      <c r="C7429" s="30" t="n">
        <v>83834218</v>
      </c>
      <c r="D7429" s="30">
        <f>"33087859000139"</f>
        <v/>
      </c>
      <c r="E7429" s="30" t="inlineStr">
        <is>
          <t>BEL TOUR TURISMO E TRANSPORTES LTDA</t>
        </is>
      </c>
      <c r="F7429" s="30" t="inlineStr">
        <is>
          <t>2020</t>
        </is>
      </c>
      <c r="G7429" s="40" t="n">
        <v>0</v>
      </c>
    </row>
    <row r="7430" ht="12" customHeight="1">
      <c r="A7430" s="30" t="inlineStr">
        <is>
          <t>ITG</t>
        </is>
      </c>
      <c r="B7430" s="30" t="inlineStr">
        <is>
          <t>Itaguai</t>
        </is>
      </c>
      <c r="C7430" s="30" t="n">
        <v>83834218</v>
      </c>
      <c r="D7430" s="30">
        <f>"33087859000139"</f>
        <v/>
      </c>
      <c r="E7430" s="30" t="inlineStr">
        <is>
          <t>BEL TOUR TURISMO E TRANSPORTES LTDA</t>
        </is>
      </c>
      <c r="F7430" s="30" t="inlineStr">
        <is>
          <t>2021</t>
        </is>
      </c>
      <c r="G7430" s="40" t="n">
        <v>4707479.11</v>
      </c>
    </row>
    <row r="7431" ht="12" customHeight="1">
      <c r="A7431" s="30" t="inlineStr">
        <is>
          <t>ITG</t>
        </is>
      </c>
      <c r="B7431" s="30" t="inlineStr">
        <is>
          <t>Itaguai</t>
        </is>
      </c>
      <c r="C7431" s="30" t="n">
        <v>83834218</v>
      </c>
      <c r="D7431" s="30">
        <f>"33087859000139"</f>
        <v/>
      </c>
      <c r="E7431" s="30" t="inlineStr">
        <is>
          <t>BEL TOUR TURISMO E TRANSPORTES LTDA</t>
        </is>
      </c>
      <c r="F7431" s="30" t="inlineStr">
        <is>
          <t>2022</t>
        </is>
      </c>
      <c r="G7431" s="40" t="n">
        <v>3670545.48</v>
      </c>
    </row>
    <row r="7432" ht="12" customHeight="1">
      <c r="A7432" s="30" t="inlineStr">
        <is>
          <t>ITG</t>
        </is>
      </c>
      <c r="B7432" s="30" t="inlineStr">
        <is>
          <t>Itaguai</t>
        </is>
      </c>
      <c r="C7432" s="30" t="n">
        <v>83834218</v>
      </c>
      <c r="D7432" s="30">
        <f>"33087859000139"</f>
        <v/>
      </c>
      <c r="E7432" s="30" t="inlineStr">
        <is>
          <t>BEL TOUR TURISMO E TRANSPORTES LTDA</t>
        </is>
      </c>
      <c r="F7432" s="30" t="inlineStr">
        <is>
          <t>2023</t>
        </is>
      </c>
      <c r="G7432" s="40" t="n">
        <v>839272.4</v>
      </c>
    </row>
    <row r="7433" ht="12" customHeight="1">
      <c r="A7433" s="30" t="inlineStr">
        <is>
          <t>ITG</t>
        </is>
      </c>
      <c r="B7433" s="30" t="inlineStr">
        <is>
          <t>Itaguai</t>
        </is>
      </c>
      <c r="C7433" s="30" t="n">
        <v>83858664</v>
      </c>
      <c r="D7433" s="30">
        <f>"29108107000130"</f>
        <v/>
      </c>
      <c r="E7433" s="30" t="inlineStr">
        <is>
          <t>SOLAZER TRANSPORTES E TURISMO LTDA</t>
        </is>
      </c>
      <c r="F7433" s="30" t="inlineStr">
        <is>
          <t>2017</t>
        </is>
      </c>
      <c r="G7433" s="40" t="n">
        <v>2946527.2</v>
      </c>
    </row>
    <row r="7434" ht="12" customHeight="1">
      <c r="A7434" s="30" t="inlineStr">
        <is>
          <t>ITG</t>
        </is>
      </c>
      <c r="B7434" s="30" t="inlineStr">
        <is>
          <t>Itaguai</t>
        </is>
      </c>
      <c r="C7434" s="30" t="n">
        <v>83858664</v>
      </c>
      <c r="D7434" s="30">
        <f>"29108107000130"</f>
        <v/>
      </c>
      <c r="E7434" s="30" t="inlineStr">
        <is>
          <t>SOLAZER TRANSPORTES E TURISMO LTDA</t>
        </is>
      </c>
      <c r="F7434" s="30" t="inlineStr">
        <is>
          <t>2018</t>
        </is>
      </c>
      <c r="G7434" s="40" t="n">
        <v>8680</v>
      </c>
    </row>
    <row r="7435" ht="12" customHeight="1">
      <c r="A7435" s="30" t="inlineStr">
        <is>
          <t>ITG</t>
        </is>
      </c>
      <c r="B7435" s="30" t="inlineStr">
        <is>
          <t>Itaguai</t>
        </is>
      </c>
      <c r="C7435" s="30" t="n">
        <v>83858664</v>
      </c>
      <c r="D7435" s="30">
        <f>"29108107000130"</f>
        <v/>
      </c>
      <c r="E7435" s="30" t="inlineStr">
        <is>
          <t>SOLAZER TRANSPORTES E TURISMO LTDA</t>
        </is>
      </c>
      <c r="F7435" s="30" t="inlineStr">
        <is>
          <t>2019</t>
        </is>
      </c>
      <c r="G7435" s="40" t="n">
        <v>97473</v>
      </c>
    </row>
    <row r="7436" ht="12" customHeight="1">
      <c r="A7436" s="30" t="inlineStr">
        <is>
          <t>ITG</t>
        </is>
      </c>
      <c r="B7436" s="30" t="inlineStr">
        <is>
          <t>Itaguai</t>
        </is>
      </c>
      <c r="C7436" s="30" t="n">
        <v>83858664</v>
      </c>
      <c r="D7436" s="30">
        <f>"29108107000130"</f>
        <v/>
      </c>
      <c r="E7436" s="30" t="inlineStr">
        <is>
          <t>SOLAZER TRANSPORTES E TURISMO LTDA</t>
        </is>
      </c>
      <c r="F7436" s="30" t="inlineStr">
        <is>
          <t>2020</t>
        </is>
      </c>
      <c r="G7436" s="40" t="n">
        <v>375249.05</v>
      </c>
    </row>
    <row r="7437" ht="12" customHeight="1">
      <c r="A7437" s="30" t="inlineStr">
        <is>
          <t>ITG</t>
        </is>
      </c>
      <c r="B7437" s="30" t="inlineStr">
        <is>
          <t>Itaguai</t>
        </is>
      </c>
      <c r="C7437" s="30" t="n">
        <v>83858664</v>
      </c>
      <c r="D7437" s="30">
        <f>"29108107000130"</f>
        <v/>
      </c>
      <c r="E7437" s="30" t="inlineStr">
        <is>
          <t>SOLAZER TRANSPORTES E TURISMO LTDA</t>
        </is>
      </c>
      <c r="F7437" s="30" t="inlineStr">
        <is>
          <t>2021</t>
        </is>
      </c>
      <c r="G7437" s="40" t="n">
        <v>1633243.44</v>
      </c>
    </row>
    <row r="7438" ht="12" customHeight="1">
      <c r="A7438" s="30" t="inlineStr">
        <is>
          <t>ITG</t>
        </is>
      </c>
      <c r="B7438" s="30" t="inlineStr">
        <is>
          <t>Itaguai</t>
        </is>
      </c>
      <c r="C7438" s="30" t="n">
        <v>83858664</v>
      </c>
      <c r="D7438" s="30">
        <f>"29108107000130"</f>
        <v/>
      </c>
      <c r="E7438" s="30" t="inlineStr">
        <is>
          <t>SOLAZER TRANSPORTES E TURISMO LTDA</t>
        </is>
      </c>
      <c r="F7438" s="30" t="inlineStr">
        <is>
          <t>2022</t>
        </is>
      </c>
      <c r="G7438" s="40" t="n">
        <v>1540184.52</v>
      </c>
    </row>
    <row r="7439" ht="12" customHeight="1">
      <c r="A7439" s="30" t="inlineStr">
        <is>
          <t>ITG</t>
        </is>
      </c>
      <c r="B7439" s="30" t="inlineStr">
        <is>
          <t>Itaguai</t>
        </is>
      </c>
      <c r="C7439" s="30" t="n">
        <v>83858664</v>
      </c>
      <c r="D7439" s="30">
        <f>"29108107000130"</f>
        <v/>
      </c>
      <c r="E7439" s="30" t="inlineStr">
        <is>
          <t>SOLAZER TRANSPORTES E TURISMO LTDA</t>
        </is>
      </c>
      <c r="F7439" s="30" t="inlineStr">
        <is>
          <t>2023</t>
        </is>
      </c>
      <c r="G7439" s="40" t="n">
        <v>1563193.06</v>
      </c>
    </row>
    <row r="7440" ht="12" customHeight="1">
      <c r="A7440" s="30" t="inlineStr">
        <is>
          <t>ITG</t>
        </is>
      </c>
      <c r="B7440" s="30" t="inlineStr">
        <is>
          <t>Itaguai</t>
        </is>
      </c>
      <c r="C7440" s="30" t="n">
        <v>83868244</v>
      </c>
      <c r="D7440" s="30">
        <f>"07358761028500"</f>
        <v/>
      </c>
      <c r="E7440" s="30" t="inlineStr">
        <is>
          <t>GERDAU ACOS LONGOS S/A</t>
        </is>
      </c>
      <c r="F7440" s="30" t="inlineStr">
        <is>
          <t>2021</t>
        </is>
      </c>
      <c r="G7440" s="40" t="n">
        <v>0</v>
      </c>
    </row>
    <row r="7441" ht="12" customHeight="1">
      <c r="A7441" s="30" t="inlineStr">
        <is>
          <t>ITG</t>
        </is>
      </c>
      <c r="B7441" s="30" t="inlineStr">
        <is>
          <t>Itaguai</t>
        </is>
      </c>
      <c r="C7441" s="30" t="n">
        <v>83868244</v>
      </c>
      <c r="D7441" s="30">
        <f>"07358761028500"</f>
        <v/>
      </c>
      <c r="E7441" s="30" t="inlineStr">
        <is>
          <t>GERDAU ACOS LONGOS S/A</t>
        </is>
      </c>
      <c r="F7441" s="30" t="inlineStr">
        <is>
          <t>2022</t>
        </is>
      </c>
      <c r="G7441" s="40" t="n">
        <v>0</v>
      </c>
    </row>
    <row r="7442" ht="12" customHeight="1">
      <c r="A7442" s="30" t="inlineStr">
        <is>
          <t>ITG</t>
        </is>
      </c>
      <c r="B7442" s="30" t="inlineStr">
        <is>
          <t>Itaguai</t>
        </is>
      </c>
      <c r="C7442" s="30" t="n">
        <v>83868244</v>
      </c>
      <c r="D7442" s="30">
        <f>"07358761028500"</f>
        <v/>
      </c>
      <c r="E7442" s="30" t="inlineStr">
        <is>
          <t>GERDAU ACOS LONGOS S/A</t>
        </is>
      </c>
      <c r="F7442" s="30" t="inlineStr">
        <is>
          <t>2023</t>
        </is>
      </c>
      <c r="G7442" s="40" t="n">
        <v>506.09</v>
      </c>
    </row>
    <row r="7443" ht="12" customHeight="1">
      <c r="A7443" s="30" t="inlineStr">
        <is>
          <t>ITG</t>
        </is>
      </c>
      <c r="B7443" s="30" t="inlineStr">
        <is>
          <t>Itaguai</t>
        </is>
      </c>
      <c r="C7443" s="30" t="n">
        <v>83918748</v>
      </c>
      <c r="D7443" s="30">
        <f>"31096068000301"</f>
        <v/>
      </c>
      <c r="E7443" s="30" t="inlineStr">
        <is>
          <t>MULTITERMINAIS ALFANDEGADOS DO BRASIL S A</t>
        </is>
      </c>
      <c r="F7443" s="30" t="inlineStr">
        <is>
          <t>2017</t>
        </is>
      </c>
      <c r="G7443" s="40" t="n">
        <v>120914.85</v>
      </c>
    </row>
    <row r="7444" ht="12" customHeight="1">
      <c r="A7444" s="30" t="inlineStr">
        <is>
          <t>ITG</t>
        </is>
      </c>
      <c r="B7444" s="30" t="inlineStr">
        <is>
          <t>Itaguai</t>
        </is>
      </c>
      <c r="C7444" s="30" t="n">
        <v>83918748</v>
      </c>
      <c r="D7444" s="30">
        <f>"31096068000301"</f>
        <v/>
      </c>
      <c r="E7444" s="30" t="inlineStr">
        <is>
          <t>MULTITERMINAIS ALFANDEGADOS DO BRASIL S A</t>
        </is>
      </c>
      <c r="F7444" s="30" t="inlineStr">
        <is>
          <t>2018</t>
        </is>
      </c>
      <c r="G7444" s="40" t="n">
        <v>0</v>
      </c>
    </row>
    <row r="7445" ht="12" customHeight="1">
      <c r="A7445" s="30" t="inlineStr">
        <is>
          <t>ITG</t>
        </is>
      </c>
      <c r="B7445" s="30" t="inlineStr">
        <is>
          <t>Itaguai</t>
        </is>
      </c>
      <c r="C7445" s="30" t="n">
        <v>83918748</v>
      </c>
      <c r="D7445" s="30">
        <f>"31096068000301"</f>
        <v/>
      </c>
      <c r="E7445" s="30" t="inlineStr">
        <is>
          <t>MULTITERMINAIS ALFANDEGADOS DO BRASIL S A</t>
        </is>
      </c>
      <c r="F7445" s="30" t="inlineStr">
        <is>
          <t>2019</t>
        </is>
      </c>
      <c r="G7445" s="40" t="n">
        <v>0</v>
      </c>
    </row>
    <row r="7446" ht="12" customHeight="1">
      <c r="A7446" s="30" t="inlineStr">
        <is>
          <t>ITG</t>
        </is>
      </c>
      <c r="B7446" s="30" t="inlineStr">
        <is>
          <t>Itaguai</t>
        </is>
      </c>
      <c r="C7446" s="30" t="n">
        <v>83918748</v>
      </c>
      <c r="D7446" s="30">
        <f>"31096068000301"</f>
        <v/>
      </c>
      <c r="E7446" s="30" t="inlineStr">
        <is>
          <t>MULTITERMINAIS ALFANDEGADOS DO BRASIL S A</t>
        </is>
      </c>
      <c r="F7446" s="30" t="inlineStr">
        <is>
          <t>2020</t>
        </is>
      </c>
      <c r="G7446" s="40" t="n">
        <v>481684.61</v>
      </c>
    </row>
    <row r="7447" ht="12" customHeight="1">
      <c r="A7447" s="30" t="inlineStr">
        <is>
          <t>ITG</t>
        </is>
      </c>
      <c r="B7447" s="30" t="inlineStr">
        <is>
          <t>Itaguai</t>
        </is>
      </c>
      <c r="C7447" s="30" t="n">
        <v>83918748</v>
      </c>
      <c r="D7447" s="30">
        <f>"31096068000301"</f>
        <v/>
      </c>
      <c r="E7447" s="30" t="inlineStr">
        <is>
          <t>MULTITERMINAIS ALFANDEGADOS DO BRASIL S A</t>
        </is>
      </c>
      <c r="F7447" s="30" t="inlineStr">
        <is>
          <t>2021</t>
        </is>
      </c>
      <c r="G7447" s="40" t="n">
        <v>371996.84</v>
      </c>
    </row>
    <row r="7448" ht="12" customHeight="1">
      <c r="A7448" s="30" t="inlineStr">
        <is>
          <t>ITG</t>
        </is>
      </c>
      <c r="B7448" s="30" t="inlineStr">
        <is>
          <t>Itaguai</t>
        </is>
      </c>
      <c r="C7448" s="30" t="n">
        <v>83918748</v>
      </c>
      <c r="D7448" s="30">
        <f>"31096068000301"</f>
        <v/>
      </c>
      <c r="E7448" s="30" t="inlineStr">
        <is>
          <t>MULTITERMINAIS ALFANDEGADOS DO BRASIL S A</t>
        </is>
      </c>
      <c r="F7448" s="30" t="inlineStr">
        <is>
          <t>2022</t>
        </is>
      </c>
      <c r="G7448" s="40" t="n">
        <v>536022.86</v>
      </c>
    </row>
    <row r="7449" ht="12" customHeight="1">
      <c r="A7449" s="30" t="inlineStr">
        <is>
          <t>ITG</t>
        </is>
      </c>
      <c r="B7449" s="30" t="inlineStr">
        <is>
          <t>Itaguai</t>
        </is>
      </c>
      <c r="C7449" s="30" t="n">
        <v>83918748</v>
      </c>
      <c r="D7449" s="30">
        <f>"31096068000301"</f>
        <v/>
      </c>
      <c r="E7449" s="30" t="inlineStr">
        <is>
          <t>MULTITERMINAIS ALFANDEGADOS DO BRASIL S A</t>
        </is>
      </c>
      <c r="F7449" s="30" t="inlineStr">
        <is>
          <t>2023</t>
        </is>
      </c>
      <c r="G7449" s="40" t="n">
        <v>238477.06</v>
      </c>
    </row>
    <row r="7450" ht="12" customHeight="1">
      <c r="A7450" s="30" t="inlineStr">
        <is>
          <t>ITG</t>
        </is>
      </c>
      <c r="B7450" s="30" t="inlineStr">
        <is>
          <t>Itaguai</t>
        </is>
      </c>
      <c r="C7450" s="30" t="n">
        <v>83951257</v>
      </c>
      <c r="D7450" s="30">
        <f>"35826361000176"</f>
        <v/>
      </c>
      <c r="E7450" s="30" t="inlineStr">
        <is>
          <t>J D SANTOS CARVOARIA EPP</t>
        </is>
      </c>
      <c r="F7450" s="30" t="inlineStr">
        <is>
          <t>2017</t>
        </is>
      </c>
      <c r="G7450" s="40" t="n">
        <v>822861.24</v>
      </c>
    </row>
    <row r="7451" ht="12" customHeight="1">
      <c r="A7451" s="30" t="inlineStr">
        <is>
          <t>ITG</t>
        </is>
      </c>
      <c r="B7451" s="30" t="inlineStr">
        <is>
          <t>Itaguai</t>
        </is>
      </c>
      <c r="C7451" s="30" t="n">
        <v>83951257</v>
      </c>
      <c r="D7451" s="30">
        <f>"35826361000176"</f>
        <v/>
      </c>
      <c r="E7451" s="30" t="inlineStr">
        <is>
          <t>J D SANTOS CARVOARIA EPP</t>
        </is>
      </c>
      <c r="F7451" s="30" t="inlineStr">
        <is>
          <t>2018</t>
        </is>
      </c>
      <c r="G7451" s="40" t="n">
        <v>0</v>
      </c>
    </row>
    <row r="7452" ht="12" customHeight="1">
      <c r="A7452" s="30" t="inlineStr">
        <is>
          <t>ITG</t>
        </is>
      </c>
      <c r="B7452" s="30" t="inlineStr">
        <is>
          <t>Itaguai</t>
        </is>
      </c>
      <c r="C7452" s="30" t="n">
        <v>83951257</v>
      </c>
      <c r="D7452" s="30">
        <f>"35826361000176"</f>
        <v/>
      </c>
      <c r="E7452" s="30" t="inlineStr">
        <is>
          <t>J D SANTOS CARVOARIA EPP</t>
        </is>
      </c>
      <c r="F7452" s="30" t="inlineStr">
        <is>
          <t>2019</t>
        </is>
      </c>
      <c r="G7452" s="40" t="n">
        <v>0</v>
      </c>
    </row>
    <row r="7453" ht="12" customHeight="1">
      <c r="A7453" s="30" t="inlineStr">
        <is>
          <t>ITG</t>
        </is>
      </c>
      <c r="B7453" s="30" t="inlineStr">
        <is>
          <t>Itaguai</t>
        </is>
      </c>
      <c r="C7453" s="30" t="n">
        <v>83951257</v>
      </c>
      <c r="D7453" s="30">
        <f>"35826361000176"</f>
        <v/>
      </c>
      <c r="E7453" s="30" t="inlineStr">
        <is>
          <t>J D SANTOS CARVOARIA EPP</t>
        </is>
      </c>
      <c r="F7453" s="30" t="inlineStr">
        <is>
          <t>2021</t>
        </is>
      </c>
      <c r="G7453" s="40" t="n">
        <v>0</v>
      </c>
    </row>
    <row r="7454" ht="12" customHeight="1">
      <c r="A7454" s="30" t="inlineStr">
        <is>
          <t>ITG</t>
        </is>
      </c>
      <c r="B7454" s="30" t="inlineStr">
        <is>
          <t>Itaguai</t>
        </is>
      </c>
      <c r="C7454" s="30" t="n">
        <v>83951257</v>
      </c>
      <c r="D7454" s="30">
        <f>"35826361000176"</f>
        <v/>
      </c>
      <c r="E7454" s="30" t="inlineStr">
        <is>
          <t>J D SANTOS CARVOARIA EPP</t>
        </is>
      </c>
      <c r="F7454" s="30" t="inlineStr">
        <is>
          <t>2022</t>
        </is>
      </c>
      <c r="G7454" s="40" t="n">
        <v>0</v>
      </c>
    </row>
    <row r="7455" ht="12" customHeight="1">
      <c r="A7455" s="30" t="inlineStr">
        <is>
          <t>ITG</t>
        </is>
      </c>
      <c r="B7455" s="30" t="inlineStr">
        <is>
          <t>Itaguai</t>
        </is>
      </c>
      <c r="C7455" s="30" t="n">
        <v>83951257</v>
      </c>
      <c r="D7455" s="30">
        <f>"35826361000176"</f>
        <v/>
      </c>
      <c r="E7455" s="30" t="inlineStr">
        <is>
          <t>J D SANTOS CARVOARIA EPP</t>
        </is>
      </c>
      <c r="F7455" s="30" t="inlineStr">
        <is>
          <t>2023</t>
        </is>
      </c>
      <c r="G7455" s="40" t="n">
        <v>1032651.2</v>
      </c>
    </row>
    <row r="7456" ht="12" customHeight="1">
      <c r="A7456" s="30" t="inlineStr">
        <is>
          <t>ITG</t>
        </is>
      </c>
      <c r="B7456" s="30" t="inlineStr">
        <is>
          <t>Itaguai</t>
        </is>
      </c>
      <c r="C7456" s="30" t="n">
        <v>83953276</v>
      </c>
      <c r="D7456" s="30">
        <f>"36061604000195"</f>
        <v/>
      </c>
      <c r="E7456" s="30" t="inlineStr">
        <is>
          <t>PRISMA DE ITAGUAI COMERCIO E INDUSTRIA EIRELI ME</t>
        </is>
      </c>
      <c r="F7456" s="30" t="inlineStr">
        <is>
          <t>2017</t>
        </is>
      </c>
      <c r="G7456" s="40" t="n">
        <v>0</v>
      </c>
    </row>
    <row r="7457" ht="12" customHeight="1">
      <c r="A7457" s="30" t="inlineStr">
        <is>
          <t>ITG</t>
        </is>
      </c>
      <c r="B7457" s="30" t="inlineStr">
        <is>
          <t>Itaguai</t>
        </is>
      </c>
      <c r="C7457" s="30" t="n">
        <v>83953276</v>
      </c>
      <c r="D7457" s="30">
        <f>"36061604000195"</f>
        <v/>
      </c>
      <c r="E7457" s="30" t="inlineStr">
        <is>
          <t>PRISMA DE ITAGUAI COMERCIO E INDUSTRIA EIRELI ME</t>
        </is>
      </c>
      <c r="F7457" s="30" t="inlineStr">
        <is>
          <t>2018</t>
        </is>
      </c>
      <c r="G7457" s="40" t="n">
        <v>0</v>
      </c>
    </row>
    <row r="7458" ht="12" customHeight="1">
      <c r="A7458" s="30" t="inlineStr">
        <is>
          <t>ITG</t>
        </is>
      </c>
      <c r="B7458" s="30" t="inlineStr">
        <is>
          <t>Itaguai</t>
        </is>
      </c>
      <c r="C7458" s="30" t="n">
        <v>83953276</v>
      </c>
      <c r="D7458" s="30">
        <f>"36061604000195"</f>
        <v/>
      </c>
      <c r="E7458" s="30" t="inlineStr">
        <is>
          <t>PRISMA DE ITAGUAI COMERCIO E INDUSTRIA EIRELI ME</t>
        </is>
      </c>
      <c r="F7458" s="30" t="inlineStr">
        <is>
          <t>2019</t>
        </is>
      </c>
      <c r="G7458" s="40" t="n">
        <v>0</v>
      </c>
    </row>
    <row r="7459" ht="12" customHeight="1">
      <c r="A7459" s="30" t="inlineStr">
        <is>
          <t>ITG</t>
        </is>
      </c>
      <c r="B7459" s="30" t="inlineStr">
        <is>
          <t>Itaguai</t>
        </is>
      </c>
      <c r="C7459" s="30" t="n">
        <v>83953276</v>
      </c>
      <c r="D7459" s="30">
        <f>"36061604000195"</f>
        <v/>
      </c>
      <c r="E7459" s="30" t="inlineStr">
        <is>
          <t>PRISMA DE ITAGUAI COMERCIO E INDUSTRIA EIRELI ME</t>
        </is>
      </c>
      <c r="F7459" s="30" t="inlineStr">
        <is>
          <t>2020</t>
        </is>
      </c>
      <c r="G7459" s="40" t="n">
        <v>0</v>
      </c>
    </row>
    <row r="7460" ht="12" customHeight="1">
      <c r="A7460" s="30" t="inlineStr">
        <is>
          <t>ITG</t>
        </is>
      </c>
      <c r="B7460" s="30" t="inlineStr">
        <is>
          <t>Itaguai</t>
        </is>
      </c>
      <c r="C7460" s="30" t="n">
        <v>83953276</v>
      </c>
      <c r="D7460" s="30">
        <f>"36061604000195"</f>
        <v/>
      </c>
      <c r="E7460" s="30" t="inlineStr">
        <is>
          <t>PRISMA DE ITAGUAI COMERCIO E INDUSTRIA EIRELI ME</t>
        </is>
      </c>
      <c r="F7460" s="30" t="inlineStr">
        <is>
          <t>2021</t>
        </is>
      </c>
      <c r="G7460" s="40" t="n">
        <v>0</v>
      </c>
    </row>
    <row r="7461" ht="12" customHeight="1">
      <c r="A7461" s="30" t="inlineStr">
        <is>
          <t>ITG</t>
        </is>
      </c>
      <c r="B7461" s="30" t="inlineStr">
        <is>
          <t>Itaguai</t>
        </is>
      </c>
      <c r="C7461" s="30" t="n">
        <v>83953314</v>
      </c>
      <c r="D7461" s="30">
        <f>"39114822000139"</f>
        <v/>
      </c>
      <c r="E7461" s="30" t="inlineStr">
        <is>
          <t>RETIFICA DE MOTORES BRISAMAR LTDA</t>
        </is>
      </c>
      <c r="F7461" s="30" t="inlineStr">
        <is>
          <t>2017</t>
        </is>
      </c>
      <c r="G7461" s="40" t="n">
        <v>0</v>
      </c>
    </row>
    <row r="7462" ht="12" customHeight="1">
      <c r="A7462" s="30" t="inlineStr">
        <is>
          <t>ITG</t>
        </is>
      </c>
      <c r="B7462" s="30" t="inlineStr">
        <is>
          <t>Itaguai</t>
        </is>
      </c>
      <c r="C7462" s="30" t="n">
        <v>83953314</v>
      </c>
      <c r="D7462" s="30">
        <f>"39114822000139"</f>
        <v/>
      </c>
      <c r="E7462" s="30" t="inlineStr">
        <is>
          <t>RETIFICA DE MOTORES BRISAMAR LTDA</t>
        </is>
      </c>
      <c r="F7462" s="30" t="inlineStr">
        <is>
          <t>2018</t>
        </is>
      </c>
      <c r="G7462" s="40" t="n">
        <v>0</v>
      </c>
    </row>
    <row r="7463" ht="12" customHeight="1">
      <c r="A7463" s="30" t="inlineStr">
        <is>
          <t>ITG</t>
        </is>
      </c>
      <c r="B7463" s="30" t="inlineStr">
        <is>
          <t>Itaguai</t>
        </is>
      </c>
      <c r="C7463" s="30" t="n">
        <v>83953314</v>
      </c>
      <c r="D7463" s="30">
        <f>"39114822000139"</f>
        <v/>
      </c>
      <c r="E7463" s="30" t="inlineStr">
        <is>
          <t>RETIFICA DE MOTORES BRISAMAR LTDA</t>
        </is>
      </c>
      <c r="F7463" s="30" t="inlineStr">
        <is>
          <t>2019</t>
        </is>
      </c>
      <c r="G7463" s="40" t="n">
        <v>0</v>
      </c>
    </row>
    <row r="7464" ht="12" customHeight="1">
      <c r="A7464" s="30" t="inlineStr">
        <is>
          <t>ITG</t>
        </is>
      </c>
      <c r="B7464" s="30" t="inlineStr">
        <is>
          <t>Itaguai</t>
        </is>
      </c>
      <c r="C7464" s="30" t="n">
        <v>83953314</v>
      </c>
      <c r="D7464" s="30">
        <f>"39114822000139"</f>
        <v/>
      </c>
      <c r="E7464" s="30" t="inlineStr">
        <is>
          <t>RETIFICA DE MOTORES BRISAMAR LTDA</t>
        </is>
      </c>
      <c r="F7464" s="30" t="inlineStr">
        <is>
          <t>2020</t>
        </is>
      </c>
      <c r="G7464" s="40" t="n">
        <v>0</v>
      </c>
    </row>
    <row r="7465" ht="12" customHeight="1">
      <c r="A7465" s="30" t="inlineStr">
        <is>
          <t>ITG</t>
        </is>
      </c>
      <c r="B7465" s="30" t="inlineStr">
        <is>
          <t>Itaguai</t>
        </is>
      </c>
      <c r="C7465" s="30" t="n">
        <v>83953829</v>
      </c>
      <c r="D7465" s="30">
        <f>"36061620000188"</f>
        <v/>
      </c>
      <c r="E7465" s="30" t="inlineStr">
        <is>
          <t>V VEICULOS LTDA</t>
        </is>
      </c>
      <c r="F7465" s="30" t="inlineStr">
        <is>
          <t>2017</t>
        </is>
      </c>
      <c r="G7465" s="40" t="n">
        <v>224639.59</v>
      </c>
    </row>
    <row r="7466" ht="12" customHeight="1">
      <c r="A7466" s="30" t="inlineStr">
        <is>
          <t>ITG</t>
        </is>
      </c>
      <c r="B7466" s="30" t="inlineStr">
        <is>
          <t>Itaguai</t>
        </is>
      </c>
      <c r="C7466" s="30" t="n">
        <v>83953829</v>
      </c>
      <c r="D7466" s="30">
        <f>"36061620000188"</f>
        <v/>
      </c>
      <c r="E7466" s="30" t="inlineStr">
        <is>
          <t>V VEICULOS LTDA</t>
        </is>
      </c>
      <c r="F7466" s="30" t="inlineStr">
        <is>
          <t>2018</t>
        </is>
      </c>
      <c r="G7466" s="40" t="n">
        <v>186837.77</v>
      </c>
    </row>
    <row r="7467" ht="12" customHeight="1">
      <c r="A7467" s="30" t="inlineStr">
        <is>
          <t>ITG</t>
        </is>
      </c>
      <c r="B7467" s="30" t="inlineStr">
        <is>
          <t>Itaguai</t>
        </is>
      </c>
      <c r="C7467" s="30" t="n">
        <v>83953829</v>
      </c>
      <c r="D7467" s="30">
        <f>"36061620000188"</f>
        <v/>
      </c>
      <c r="E7467" s="30" t="inlineStr">
        <is>
          <t>V VEICULOS LTDA</t>
        </is>
      </c>
      <c r="F7467" s="30" t="inlineStr">
        <is>
          <t>2019</t>
        </is>
      </c>
      <c r="G7467" s="40" t="n">
        <v>775061.3100000001</v>
      </c>
    </row>
    <row r="7468" ht="12" customHeight="1">
      <c r="A7468" s="30" t="inlineStr">
        <is>
          <t>ITG</t>
        </is>
      </c>
      <c r="B7468" s="30" t="inlineStr">
        <is>
          <t>Itaguai</t>
        </is>
      </c>
      <c r="C7468" s="30" t="n">
        <v>83953829</v>
      </c>
      <c r="D7468" s="30">
        <f>"36061620000188"</f>
        <v/>
      </c>
      <c r="E7468" s="30" t="inlineStr">
        <is>
          <t>V VEICULOS LTDA</t>
        </is>
      </c>
      <c r="F7468" s="30" t="inlineStr">
        <is>
          <t>2020</t>
        </is>
      </c>
      <c r="G7468" s="40" t="n">
        <v>74508.41</v>
      </c>
    </row>
    <row r="7469" ht="12" customHeight="1">
      <c r="A7469" s="30" t="inlineStr">
        <is>
          <t>ITG</t>
        </is>
      </c>
      <c r="B7469" s="30" t="inlineStr">
        <is>
          <t>Itaguai</t>
        </is>
      </c>
      <c r="C7469" s="30" t="n">
        <v>83953829</v>
      </c>
      <c r="D7469" s="30">
        <f>"36061620000188"</f>
        <v/>
      </c>
      <c r="E7469" s="30" t="inlineStr">
        <is>
          <t>V VEICULOS LTDA</t>
        </is>
      </c>
      <c r="F7469" s="30" t="inlineStr">
        <is>
          <t>2021</t>
        </is>
      </c>
      <c r="G7469" s="40" t="n">
        <v>206266.47</v>
      </c>
    </row>
    <row r="7470" ht="12" customHeight="1">
      <c r="A7470" s="30" t="inlineStr">
        <is>
          <t>ITG</t>
        </is>
      </c>
      <c r="B7470" s="30" t="inlineStr">
        <is>
          <t>Itaguai</t>
        </is>
      </c>
      <c r="C7470" s="30" t="n">
        <v>83953829</v>
      </c>
      <c r="D7470" s="30">
        <f>"36061620000188"</f>
        <v/>
      </c>
      <c r="E7470" s="30" t="inlineStr">
        <is>
          <t>V VEICULOS LTDA</t>
        </is>
      </c>
      <c r="F7470" s="30" t="inlineStr">
        <is>
          <t>2022</t>
        </is>
      </c>
      <c r="G7470" s="40" t="n">
        <v>68819.84</v>
      </c>
    </row>
    <row r="7471" ht="12" customHeight="1">
      <c r="A7471" s="30" t="inlineStr">
        <is>
          <t>ITG</t>
        </is>
      </c>
      <c r="B7471" s="30" t="inlineStr">
        <is>
          <t>Itaguai</t>
        </is>
      </c>
      <c r="C7471" s="30" t="n">
        <v>83953829</v>
      </c>
      <c r="D7471" s="30">
        <f>"36061620000188"</f>
        <v/>
      </c>
      <c r="E7471" s="30" t="inlineStr">
        <is>
          <t>V VEICULOS LTDA</t>
        </is>
      </c>
      <c r="F7471" s="30" t="inlineStr">
        <is>
          <t>2023</t>
        </is>
      </c>
      <c r="G7471" s="40" t="n">
        <v>0</v>
      </c>
    </row>
    <row r="7472" ht="12" customHeight="1">
      <c r="A7472" s="30" t="inlineStr">
        <is>
          <t>ITG</t>
        </is>
      </c>
      <c r="B7472" s="30" t="inlineStr">
        <is>
          <t>Itaguai</t>
        </is>
      </c>
      <c r="C7472" s="30" t="n">
        <v>83953993</v>
      </c>
      <c r="D7472" s="30">
        <f>"36062321000168"</f>
        <v/>
      </c>
      <c r="E7472" s="30" t="inlineStr">
        <is>
          <t>VALMIR S GOMES BAZAR ME</t>
        </is>
      </c>
      <c r="F7472" s="30" t="inlineStr">
        <is>
          <t>2017</t>
        </is>
      </c>
      <c r="G7472" s="40" t="n">
        <v>0</v>
      </c>
    </row>
    <row r="7473" ht="12" customHeight="1">
      <c r="A7473" s="30" t="inlineStr">
        <is>
          <t>ITG</t>
        </is>
      </c>
      <c r="B7473" s="30" t="inlineStr">
        <is>
          <t>Itaguai</t>
        </is>
      </c>
      <c r="C7473" s="30" t="n">
        <v>83953993</v>
      </c>
      <c r="D7473" s="30">
        <f>"36062321000168"</f>
        <v/>
      </c>
      <c r="E7473" s="30" t="inlineStr">
        <is>
          <t>VALMIR S GOMES BAZAR ME</t>
        </is>
      </c>
      <c r="F7473" s="30" t="inlineStr">
        <is>
          <t>2018</t>
        </is>
      </c>
      <c r="G7473" s="40" t="n">
        <v>0</v>
      </c>
    </row>
    <row r="7474" ht="12" customHeight="1">
      <c r="A7474" s="30" t="inlineStr">
        <is>
          <t>ITG</t>
        </is>
      </c>
      <c r="B7474" s="30" t="inlineStr">
        <is>
          <t>Itaguai</t>
        </is>
      </c>
      <c r="C7474" s="30" t="n">
        <v>83953993</v>
      </c>
      <c r="D7474" s="30">
        <f>"36062321000168"</f>
        <v/>
      </c>
      <c r="E7474" s="30" t="inlineStr">
        <is>
          <t>VALMIR S GOMES BAZAR ME</t>
        </is>
      </c>
      <c r="F7474" s="30" t="inlineStr">
        <is>
          <t>2019</t>
        </is>
      </c>
      <c r="G7474" s="40" t="n">
        <v>0</v>
      </c>
    </row>
    <row r="7475" ht="12" customHeight="1">
      <c r="A7475" s="30" t="inlineStr">
        <is>
          <t>ITG</t>
        </is>
      </c>
      <c r="B7475" s="30" t="inlineStr">
        <is>
          <t>Itaguai</t>
        </is>
      </c>
      <c r="C7475" s="30" t="n">
        <v>83953993</v>
      </c>
      <c r="D7475" s="30">
        <f>"36062321000168"</f>
        <v/>
      </c>
      <c r="E7475" s="30" t="inlineStr">
        <is>
          <t>VALMIR S GOMES BAZAR ME</t>
        </is>
      </c>
      <c r="F7475" s="30" t="inlineStr">
        <is>
          <t>2020</t>
        </is>
      </c>
      <c r="G7475" s="40" t="n">
        <v>0</v>
      </c>
    </row>
    <row r="7476" ht="12" customHeight="1">
      <c r="A7476" s="30" t="inlineStr">
        <is>
          <t>ITG</t>
        </is>
      </c>
      <c r="B7476" s="30" t="inlineStr">
        <is>
          <t>Itaguai</t>
        </is>
      </c>
      <c r="C7476" s="30" t="n">
        <v>83953993</v>
      </c>
      <c r="D7476" s="30">
        <f>"36062321000168"</f>
        <v/>
      </c>
      <c r="E7476" s="30" t="inlineStr">
        <is>
          <t>VALMIR S GOMES BAZAR ME</t>
        </is>
      </c>
      <c r="F7476" s="30" t="inlineStr">
        <is>
          <t>2021</t>
        </is>
      </c>
      <c r="G7476" s="40" t="n">
        <v>0</v>
      </c>
    </row>
    <row r="7477" ht="12" customHeight="1">
      <c r="A7477" s="30" t="inlineStr">
        <is>
          <t>ITG</t>
        </is>
      </c>
      <c r="B7477" s="30" t="inlineStr">
        <is>
          <t>Itaguai</t>
        </is>
      </c>
      <c r="C7477" s="30" t="n">
        <v>83953993</v>
      </c>
      <c r="D7477" s="30">
        <f>"36062321000168"</f>
        <v/>
      </c>
      <c r="E7477" s="30" t="inlineStr">
        <is>
          <t>VALMIR S GOMES BAZAR ME</t>
        </is>
      </c>
      <c r="F7477" s="30" t="inlineStr">
        <is>
          <t>2022</t>
        </is>
      </c>
      <c r="G7477" s="40" t="n">
        <v>0</v>
      </c>
    </row>
    <row r="7478" ht="12" customHeight="1">
      <c r="A7478" s="30" t="inlineStr">
        <is>
          <t>ITG</t>
        </is>
      </c>
      <c r="B7478" s="30" t="inlineStr">
        <is>
          <t>Itaguai</t>
        </is>
      </c>
      <c r="C7478" s="30" t="n">
        <v>83953993</v>
      </c>
      <c r="D7478" s="30">
        <f>"36062321000168"</f>
        <v/>
      </c>
      <c r="E7478" s="30" t="inlineStr">
        <is>
          <t>VALMIR S GOMES BAZAR ME</t>
        </is>
      </c>
      <c r="F7478" s="30" t="inlineStr">
        <is>
          <t>2023</t>
        </is>
      </c>
      <c r="G7478" s="40" t="n">
        <v>0</v>
      </c>
    </row>
    <row r="7479" ht="12" customHeight="1">
      <c r="A7479" s="30" t="inlineStr">
        <is>
          <t>ITG</t>
        </is>
      </c>
      <c r="B7479" s="30" t="inlineStr">
        <is>
          <t>Itaguai</t>
        </is>
      </c>
      <c r="C7479" s="30" t="n">
        <v>83954388</v>
      </c>
      <c r="D7479" s="30">
        <f>"36437093000163"</f>
        <v/>
      </c>
      <c r="E7479" s="30" t="inlineStr">
        <is>
          <t>R A CORREA DISTRIBUIDORA DE PECAS AUTOMOTIVAS LTDA ME</t>
        </is>
      </c>
      <c r="F7479" s="30" t="inlineStr">
        <is>
          <t>2020</t>
        </is>
      </c>
      <c r="G7479" s="40" t="n">
        <v>0</v>
      </c>
    </row>
    <row r="7480" ht="12" customHeight="1">
      <c r="A7480" s="30" t="inlineStr">
        <is>
          <t>ITG</t>
        </is>
      </c>
      <c r="B7480" s="30" t="inlineStr">
        <is>
          <t>Itaguai</t>
        </is>
      </c>
      <c r="C7480" s="30" t="n">
        <v>83954388</v>
      </c>
      <c r="D7480" s="30">
        <f>"36437093000163"</f>
        <v/>
      </c>
      <c r="E7480" s="30" t="inlineStr">
        <is>
          <t>R A CORREA DISTRIBUIDORA DE PECAS AUTOMOTIVAS LTDA ME</t>
        </is>
      </c>
      <c r="F7480" s="30" t="inlineStr">
        <is>
          <t>2021</t>
        </is>
      </c>
      <c r="G7480" s="40" t="n">
        <v>0</v>
      </c>
    </row>
    <row r="7481" ht="12" customHeight="1">
      <c r="A7481" s="30" t="inlineStr">
        <is>
          <t>ITG</t>
        </is>
      </c>
      <c r="B7481" s="30" t="inlineStr">
        <is>
          <t>Itaguai</t>
        </is>
      </c>
      <c r="C7481" s="30" t="n">
        <v>83954388</v>
      </c>
      <c r="D7481" s="30">
        <f>"36437093000163"</f>
        <v/>
      </c>
      <c r="E7481" s="30" t="inlineStr">
        <is>
          <t>R A CORREA DISTRIBUIDORA DE PECAS AUTOMOTIVAS LTDA ME</t>
        </is>
      </c>
      <c r="F7481" s="30" t="inlineStr">
        <is>
          <t>2022</t>
        </is>
      </c>
      <c r="G7481" s="40" t="n">
        <v>1491150.93</v>
      </c>
    </row>
    <row r="7482" ht="12" customHeight="1">
      <c r="A7482" s="30" t="inlineStr">
        <is>
          <t>ITG</t>
        </is>
      </c>
      <c r="B7482" s="30" t="inlineStr">
        <is>
          <t>Itaguai</t>
        </is>
      </c>
      <c r="C7482" s="30" t="n">
        <v>83954388</v>
      </c>
      <c r="D7482" s="30">
        <f>"36437093000163"</f>
        <v/>
      </c>
      <c r="E7482" s="30" t="inlineStr">
        <is>
          <t>R A CORREA DISTRIBUIDORA DE PECAS AUTOMOTIVAS LTDA ME</t>
        </is>
      </c>
      <c r="F7482" s="30" t="inlineStr">
        <is>
          <t>2023</t>
        </is>
      </c>
      <c r="G7482" s="40" t="n">
        <v>0</v>
      </c>
    </row>
    <row r="7483" ht="12" customHeight="1">
      <c r="A7483" s="30" t="inlineStr">
        <is>
          <t>ITG</t>
        </is>
      </c>
      <c r="B7483" s="30" t="inlineStr">
        <is>
          <t>Itaguai</t>
        </is>
      </c>
      <c r="C7483" s="30" t="n">
        <v>84088544</v>
      </c>
      <c r="D7483" s="30">
        <f>"28361483000179"</f>
        <v/>
      </c>
      <c r="E7483" s="30" t="inlineStr">
        <is>
          <t>DOM BOSCO TURISMO E TRANSPORTES LTDA</t>
        </is>
      </c>
      <c r="F7483" s="30" t="inlineStr">
        <is>
          <t>2017</t>
        </is>
      </c>
      <c r="G7483" s="40" t="n">
        <v>14050</v>
      </c>
    </row>
    <row r="7484" ht="12" customHeight="1">
      <c r="A7484" s="30" t="inlineStr">
        <is>
          <t>ITG</t>
        </is>
      </c>
      <c r="B7484" s="30" t="inlineStr">
        <is>
          <t>Itaguai</t>
        </is>
      </c>
      <c r="C7484" s="30" t="n">
        <v>84088544</v>
      </c>
      <c r="D7484" s="30">
        <f>"28361483000179"</f>
        <v/>
      </c>
      <c r="E7484" s="30" t="inlineStr">
        <is>
          <t>DOM BOSCO TURISMO E TRANSPORTES LTDA</t>
        </is>
      </c>
      <c r="F7484" s="30" t="inlineStr">
        <is>
          <t>2018</t>
        </is>
      </c>
      <c r="G7484" s="40" t="n">
        <v>14975</v>
      </c>
    </row>
    <row r="7485" ht="12" customHeight="1">
      <c r="A7485" s="30" t="inlineStr">
        <is>
          <t>ITG</t>
        </is>
      </c>
      <c r="B7485" s="30" t="inlineStr">
        <is>
          <t>Itaguai</t>
        </is>
      </c>
      <c r="C7485" s="30" t="n">
        <v>84088544</v>
      </c>
      <c r="D7485" s="30">
        <f>"28361483000179"</f>
        <v/>
      </c>
      <c r="E7485" s="30" t="inlineStr">
        <is>
          <t>DOM BOSCO TURISMO E TRANSPORTES LTDA</t>
        </is>
      </c>
      <c r="F7485" s="30" t="inlineStr">
        <is>
          <t>2019</t>
        </is>
      </c>
      <c r="G7485" s="40" t="n">
        <v>73021.95</v>
      </c>
    </row>
    <row r="7486" ht="12" customHeight="1">
      <c r="A7486" s="30" t="inlineStr">
        <is>
          <t>ITG</t>
        </is>
      </c>
      <c r="B7486" s="30" t="inlineStr">
        <is>
          <t>Itaguai</t>
        </is>
      </c>
      <c r="C7486" s="30" t="n">
        <v>84088544</v>
      </c>
      <c r="D7486" s="30">
        <f>"28361483000179"</f>
        <v/>
      </c>
      <c r="E7486" s="30" t="inlineStr">
        <is>
          <t>DOM BOSCO TURISMO E TRANSPORTES LTDA</t>
        </is>
      </c>
      <c r="F7486" s="30" t="inlineStr">
        <is>
          <t>2020</t>
        </is>
      </c>
      <c r="G7486" s="40" t="n">
        <v>1200</v>
      </c>
    </row>
    <row r="7487" ht="12" customHeight="1">
      <c r="A7487" s="30" t="inlineStr">
        <is>
          <t>ITG</t>
        </is>
      </c>
      <c r="B7487" s="30" t="inlineStr">
        <is>
          <t>Itaguai</t>
        </is>
      </c>
      <c r="C7487" s="30" t="n">
        <v>84088544</v>
      </c>
      <c r="D7487" s="30">
        <f>"28361483000179"</f>
        <v/>
      </c>
      <c r="E7487" s="30" t="inlineStr">
        <is>
          <t>DOM BOSCO TURISMO E TRANSPORTES LTDA</t>
        </is>
      </c>
      <c r="F7487" s="30" t="inlineStr">
        <is>
          <t>2021</t>
        </is>
      </c>
      <c r="G7487" s="40" t="n">
        <v>75950</v>
      </c>
    </row>
    <row r="7488" ht="12" customHeight="1">
      <c r="A7488" s="30" t="inlineStr">
        <is>
          <t>ITG</t>
        </is>
      </c>
      <c r="B7488" s="30" t="inlineStr">
        <is>
          <t>Itaguai</t>
        </is>
      </c>
      <c r="C7488" s="30" t="n">
        <v>84088544</v>
      </c>
      <c r="D7488" s="30">
        <f>"28361483000179"</f>
        <v/>
      </c>
      <c r="E7488" s="30" t="inlineStr">
        <is>
          <t>DOM BOSCO TURISMO E TRANSPORTES LTDA</t>
        </is>
      </c>
      <c r="F7488" s="30" t="inlineStr">
        <is>
          <t>2022</t>
        </is>
      </c>
      <c r="G7488" s="40" t="n">
        <v>21900</v>
      </c>
    </row>
    <row r="7489" ht="12" customHeight="1">
      <c r="A7489" s="30" t="inlineStr">
        <is>
          <t>ITG</t>
        </is>
      </c>
      <c r="B7489" s="30" t="inlineStr">
        <is>
          <t>Itaguai</t>
        </is>
      </c>
      <c r="C7489" s="30" t="n">
        <v>84088544</v>
      </c>
      <c r="D7489" s="30">
        <f>"28361483000179"</f>
        <v/>
      </c>
      <c r="E7489" s="30" t="inlineStr">
        <is>
          <t>DOM BOSCO TURISMO E TRANSPORTES LTDA</t>
        </is>
      </c>
      <c r="F7489" s="30" t="inlineStr">
        <is>
          <t>2023</t>
        </is>
      </c>
      <c r="G7489" s="40" t="n">
        <v>39300</v>
      </c>
    </row>
    <row r="7490" ht="12" customHeight="1">
      <c r="A7490" s="30" t="inlineStr">
        <is>
          <t>ITG</t>
        </is>
      </c>
      <c r="B7490" s="30" t="inlineStr">
        <is>
          <t>Itaguai</t>
        </is>
      </c>
      <c r="C7490" s="30" t="n">
        <v>84089109</v>
      </c>
      <c r="D7490" s="30">
        <f>"17191172000516"</f>
        <v/>
      </c>
      <c r="E7490" s="30" t="inlineStr">
        <is>
          <t>EMPRESA DE TRANSPORTES MARTINS LTDA</t>
        </is>
      </c>
      <c r="F7490" s="30" t="inlineStr">
        <is>
          <t>2017</t>
        </is>
      </c>
      <c r="G7490" s="40" t="n">
        <v>21051.32</v>
      </c>
    </row>
    <row r="7491" ht="12" customHeight="1">
      <c r="A7491" s="30" t="inlineStr">
        <is>
          <t>ITG</t>
        </is>
      </c>
      <c r="B7491" s="30" t="inlineStr">
        <is>
          <t>Itaguai</t>
        </is>
      </c>
      <c r="C7491" s="30" t="n">
        <v>84089109</v>
      </c>
      <c r="D7491" s="30">
        <f>"17191172000516"</f>
        <v/>
      </c>
      <c r="E7491" s="30" t="inlineStr">
        <is>
          <t>EMPRESA DE TRANSPORTES MARTINS LTDA</t>
        </is>
      </c>
      <c r="F7491" s="30" t="inlineStr">
        <is>
          <t>2018</t>
        </is>
      </c>
      <c r="G7491" s="40" t="n">
        <v>67392.19</v>
      </c>
    </row>
    <row r="7492" ht="12" customHeight="1">
      <c r="A7492" s="30" t="inlineStr">
        <is>
          <t>ITG</t>
        </is>
      </c>
      <c r="B7492" s="30" t="inlineStr">
        <is>
          <t>Itaguai</t>
        </is>
      </c>
      <c r="C7492" s="30" t="n">
        <v>84089109</v>
      </c>
      <c r="D7492" s="30">
        <f>"17191172000516"</f>
        <v/>
      </c>
      <c r="E7492" s="30" t="inlineStr">
        <is>
          <t>EMPRESA DE TRANSPORTES MARTINS LTDA</t>
        </is>
      </c>
      <c r="F7492" s="30" t="inlineStr">
        <is>
          <t>2019</t>
        </is>
      </c>
      <c r="G7492" s="40" t="n">
        <v>15350.76</v>
      </c>
    </row>
    <row r="7493" ht="12" customHeight="1">
      <c r="A7493" s="30" t="inlineStr">
        <is>
          <t>ITG</t>
        </is>
      </c>
      <c r="B7493" s="30" t="inlineStr">
        <is>
          <t>Itaguai</t>
        </is>
      </c>
      <c r="C7493" s="30" t="n">
        <v>84089109</v>
      </c>
      <c r="D7493" s="30">
        <f>"17191172000516"</f>
        <v/>
      </c>
      <c r="E7493" s="30" t="inlineStr">
        <is>
          <t>EMPRESA DE TRANSPORTES MARTINS LTDA</t>
        </is>
      </c>
      <c r="F7493" s="30" t="inlineStr">
        <is>
          <t>2020</t>
        </is>
      </c>
      <c r="G7493" s="40" t="n">
        <v>14491.12</v>
      </c>
    </row>
    <row r="7494" ht="12" customHeight="1">
      <c r="A7494" s="30" t="inlineStr">
        <is>
          <t>ITG</t>
        </is>
      </c>
      <c r="B7494" s="30" t="inlineStr">
        <is>
          <t>Itaguai</t>
        </is>
      </c>
      <c r="C7494" s="30" t="n">
        <v>84089109</v>
      </c>
      <c r="D7494" s="30">
        <f>"17191172000516"</f>
        <v/>
      </c>
      <c r="E7494" s="30" t="inlineStr">
        <is>
          <t>EMPRESA DE TRANSPORTES MARTINS LTDA</t>
        </is>
      </c>
      <c r="F7494" s="30" t="inlineStr">
        <is>
          <t>2021</t>
        </is>
      </c>
      <c r="G7494" s="40" t="n">
        <v>31661.25</v>
      </c>
    </row>
    <row r="7495" ht="12" customHeight="1">
      <c r="A7495" s="30" t="inlineStr">
        <is>
          <t>ITG</t>
        </is>
      </c>
      <c r="B7495" s="30" t="inlineStr">
        <is>
          <t>Itaguai</t>
        </is>
      </c>
      <c r="C7495" s="30" t="n">
        <v>84089109</v>
      </c>
      <c r="D7495" s="30">
        <f>"17191172000516"</f>
        <v/>
      </c>
      <c r="E7495" s="30" t="inlineStr">
        <is>
          <t>EMPRESA DE TRANSPORTES MARTINS LTDA</t>
        </is>
      </c>
      <c r="F7495" s="30" t="inlineStr">
        <is>
          <t>2022</t>
        </is>
      </c>
      <c r="G7495" s="40" t="n">
        <v>29416.25</v>
      </c>
    </row>
    <row r="7496" ht="12" customHeight="1">
      <c r="A7496" s="30" t="inlineStr">
        <is>
          <t>ITG</t>
        </is>
      </c>
      <c r="B7496" s="30" t="inlineStr">
        <is>
          <t>Itaguai</t>
        </is>
      </c>
      <c r="C7496" s="30" t="n">
        <v>84089109</v>
      </c>
      <c r="D7496" s="30">
        <f>"17191172000516"</f>
        <v/>
      </c>
      <c r="E7496" s="30" t="inlineStr">
        <is>
          <t>EMPRESA DE TRANSPORTES MARTINS LTDA</t>
        </is>
      </c>
      <c r="F7496" s="30" t="inlineStr">
        <is>
          <t>2023</t>
        </is>
      </c>
      <c r="G7496" s="40" t="n">
        <v>33153.45</v>
      </c>
    </row>
    <row r="7497" ht="12" customHeight="1">
      <c r="A7497" s="30" t="inlineStr">
        <is>
          <t>ITG</t>
        </is>
      </c>
      <c r="B7497" s="30" t="inlineStr">
        <is>
          <t>Itaguai</t>
        </is>
      </c>
      <c r="C7497" s="30" t="n">
        <v>84200395</v>
      </c>
      <c r="D7497" s="30">
        <f>"17676693000130"</f>
        <v/>
      </c>
      <c r="E7497" s="30" t="inlineStr">
        <is>
          <t>M W TRANSPORTES LTDA</t>
        </is>
      </c>
      <c r="F7497" s="30" t="inlineStr">
        <is>
          <t>2017</t>
        </is>
      </c>
      <c r="G7497" s="40" t="n">
        <v>0</v>
      </c>
    </row>
    <row r="7498" ht="12" customHeight="1">
      <c r="A7498" s="30" t="inlineStr">
        <is>
          <t>ITG</t>
        </is>
      </c>
      <c r="B7498" s="30" t="inlineStr">
        <is>
          <t>Itaguai</t>
        </is>
      </c>
      <c r="C7498" s="30" t="n">
        <v>84200395</v>
      </c>
      <c r="D7498" s="30">
        <f>"17676693000130"</f>
        <v/>
      </c>
      <c r="E7498" s="30" t="inlineStr">
        <is>
          <t>M W TRANSPORTES LTDA</t>
        </is>
      </c>
      <c r="F7498" s="30" t="inlineStr">
        <is>
          <t>2018</t>
        </is>
      </c>
      <c r="G7498" s="40" t="n">
        <v>1459.02</v>
      </c>
    </row>
    <row r="7499" ht="12" customHeight="1">
      <c r="A7499" s="30" t="inlineStr">
        <is>
          <t>ITG</t>
        </is>
      </c>
      <c r="B7499" s="30" t="inlineStr">
        <is>
          <t>Itaguai</t>
        </is>
      </c>
      <c r="C7499" s="30" t="n">
        <v>84200395</v>
      </c>
      <c r="D7499" s="30">
        <f>"17676693000130"</f>
        <v/>
      </c>
      <c r="E7499" s="30" t="inlineStr">
        <is>
          <t>M W TRANSPORTES LTDA</t>
        </is>
      </c>
      <c r="F7499" s="30" t="inlineStr">
        <is>
          <t>2019</t>
        </is>
      </c>
      <c r="G7499" s="40" t="n">
        <v>4870.21</v>
      </c>
    </row>
    <row r="7500" ht="12" customHeight="1">
      <c r="A7500" s="30" t="inlineStr">
        <is>
          <t>ITG</t>
        </is>
      </c>
      <c r="B7500" s="30" t="inlineStr">
        <is>
          <t>Itaguai</t>
        </is>
      </c>
      <c r="C7500" s="30" t="n">
        <v>84200395</v>
      </c>
      <c r="D7500" s="30">
        <f>"17676693000130"</f>
        <v/>
      </c>
      <c r="E7500" s="30" t="inlineStr">
        <is>
          <t>M W TRANSPORTES LTDA</t>
        </is>
      </c>
      <c r="F7500" s="30" t="inlineStr">
        <is>
          <t>2020</t>
        </is>
      </c>
      <c r="G7500" s="40" t="n">
        <v>1569.83</v>
      </c>
    </row>
    <row r="7501" ht="12" customHeight="1">
      <c r="A7501" s="30" t="inlineStr">
        <is>
          <t>ITG</t>
        </is>
      </c>
      <c r="B7501" s="30" t="inlineStr">
        <is>
          <t>Itaguai</t>
        </is>
      </c>
      <c r="C7501" s="30" t="n">
        <v>84200395</v>
      </c>
      <c r="D7501" s="30">
        <f>"17676693000130"</f>
        <v/>
      </c>
      <c r="E7501" s="30" t="inlineStr">
        <is>
          <t>M W TRANSPORTES LTDA</t>
        </is>
      </c>
      <c r="F7501" s="30" t="inlineStr">
        <is>
          <t>2021</t>
        </is>
      </c>
      <c r="G7501" s="40" t="n">
        <v>924.9299999999999</v>
      </c>
    </row>
    <row r="7502" ht="12" customHeight="1">
      <c r="A7502" s="30" t="inlineStr">
        <is>
          <t>ITG</t>
        </is>
      </c>
      <c r="B7502" s="30" t="inlineStr">
        <is>
          <t>Itaguai</t>
        </is>
      </c>
      <c r="C7502" s="30" t="n">
        <v>84200395</v>
      </c>
      <c r="D7502" s="30">
        <f>"17676693000130"</f>
        <v/>
      </c>
      <c r="E7502" s="30" t="inlineStr">
        <is>
          <t>M W TRANSPORTES LTDA</t>
        </is>
      </c>
      <c r="F7502" s="30" t="inlineStr">
        <is>
          <t>2022</t>
        </is>
      </c>
      <c r="G7502" s="40" t="n">
        <v>1073.42</v>
      </c>
    </row>
    <row r="7503" ht="12" customHeight="1">
      <c r="A7503" s="30" t="inlineStr">
        <is>
          <t>ITG</t>
        </is>
      </c>
      <c r="B7503" s="30" t="inlineStr">
        <is>
          <t>Itaguai</t>
        </is>
      </c>
      <c r="C7503" s="30" t="n">
        <v>84200395</v>
      </c>
      <c r="D7503" s="30">
        <f>"17676693000130"</f>
        <v/>
      </c>
      <c r="E7503" s="30" t="inlineStr">
        <is>
          <t>M W TRANSPORTES LTDA</t>
        </is>
      </c>
      <c r="F7503" s="30" t="inlineStr">
        <is>
          <t>2023</t>
        </is>
      </c>
      <c r="G7503" s="40" t="n">
        <v>1232.77</v>
      </c>
    </row>
    <row r="7504" ht="12" customHeight="1">
      <c r="A7504" s="30" t="inlineStr">
        <is>
          <t>ITG</t>
        </is>
      </c>
      <c r="B7504" s="30" t="inlineStr">
        <is>
          <t>Itaguai</t>
        </is>
      </c>
      <c r="C7504" s="30" t="n">
        <v>84321869</v>
      </c>
      <c r="D7504" s="30">
        <f>"33041260014700"</f>
        <v/>
      </c>
      <c r="E7504" s="30" t="inlineStr">
        <is>
          <t>VIA VAREJO S/A</t>
        </is>
      </c>
      <c r="F7504" s="30" t="inlineStr">
        <is>
          <t>2017</t>
        </is>
      </c>
      <c r="G7504" s="40" t="n">
        <v>2885524.22</v>
      </c>
    </row>
    <row r="7505" ht="12" customHeight="1">
      <c r="A7505" s="30" t="inlineStr">
        <is>
          <t>ITG</t>
        </is>
      </c>
      <c r="B7505" s="30" t="inlineStr">
        <is>
          <t>Itaguai</t>
        </is>
      </c>
      <c r="C7505" s="30" t="n">
        <v>84321869</v>
      </c>
      <c r="D7505" s="30">
        <f>"33041260014700"</f>
        <v/>
      </c>
      <c r="E7505" s="30" t="inlineStr">
        <is>
          <t>VIA VAREJO S/A</t>
        </is>
      </c>
      <c r="F7505" s="30" t="inlineStr">
        <is>
          <t>2018</t>
        </is>
      </c>
      <c r="G7505" s="40" t="n">
        <v>2500385.05</v>
      </c>
    </row>
    <row r="7506" ht="12" customHeight="1">
      <c r="A7506" s="30" t="inlineStr">
        <is>
          <t>ITG</t>
        </is>
      </c>
      <c r="B7506" s="30" t="inlineStr">
        <is>
          <t>Itaguai</t>
        </is>
      </c>
      <c r="C7506" s="30" t="n">
        <v>84321869</v>
      </c>
      <c r="D7506" s="30">
        <f>"33041260014700"</f>
        <v/>
      </c>
      <c r="E7506" s="30" t="inlineStr">
        <is>
          <t>VIA VAREJO S/A</t>
        </is>
      </c>
      <c r="F7506" s="30" t="inlineStr">
        <is>
          <t>2019</t>
        </is>
      </c>
      <c r="G7506" s="40" t="n">
        <v>2279757.9</v>
      </c>
    </row>
    <row r="7507" ht="12" customHeight="1">
      <c r="A7507" s="30" t="inlineStr">
        <is>
          <t>ITG</t>
        </is>
      </c>
      <c r="B7507" s="30" t="inlineStr">
        <is>
          <t>Itaguai</t>
        </is>
      </c>
      <c r="C7507" s="30" t="n">
        <v>84321869</v>
      </c>
      <c r="D7507" s="30">
        <f>"33041260014700"</f>
        <v/>
      </c>
      <c r="E7507" s="30" t="inlineStr">
        <is>
          <t>VIA VAREJO S/A</t>
        </is>
      </c>
      <c r="F7507" s="30" t="inlineStr">
        <is>
          <t>2020</t>
        </is>
      </c>
      <c r="G7507" s="40" t="n">
        <v>2677768.23</v>
      </c>
    </row>
    <row r="7508" ht="12" customHeight="1">
      <c r="A7508" s="30" t="inlineStr">
        <is>
          <t>ITG</t>
        </is>
      </c>
      <c r="B7508" s="30" t="inlineStr">
        <is>
          <t>Itaguai</t>
        </is>
      </c>
      <c r="C7508" s="30" t="n">
        <v>84321869</v>
      </c>
      <c r="D7508" s="30">
        <f>"33041260014700"</f>
        <v/>
      </c>
      <c r="E7508" s="30" t="inlineStr">
        <is>
          <t>VIA VAREJO S/A</t>
        </is>
      </c>
      <c r="F7508" s="30" t="inlineStr">
        <is>
          <t>2021</t>
        </is>
      </c>
      <c r="G7508" s="40" t="n">
        <v>940621.37</v>
      </c>
    </row>
    <row r="7509" ht="12" customHeight="1">
      <c r="A7509" s="30" t="inlineStr">
        <is>
          <t>ITG</t>
        </is>
      </c>
      <c r="B7509" s="30" t="inlineStr">
        <is>
          <t>Itaguai</t>
        </is>
      </c>
      <c r="C7509" s="30" t="n">
        <v>84321869</v>
      </c>
      <c r="D7509" s="30">
        <f>"33041260014700"</f>
        <v/>
      </c>
      <c r="E7509" s="30" t="inlineStr">
        <is>
          <t>VIA VAREJO S/A</t>
        </is>
      </c>
      <c r="F7509" s="30" t="inlineStr">
        <is>
          <t>2022</t>
        </is>
      </c>
      <c r="G7509" s="40" t="n">
        <v>652411.86</v>
      </c>
    </row>
    <row r="7510" ht="12" customHeight="1">
      <c r="A7510" s="30" t="inlineStr">
        <is>
          <t>ITG</t>
        </is>
      </c>
      <c r="B7510" s="30" t="inlineStr">
        <is>
          <t>Itaguai</t>
        </is>
      </c>
      <c r="C7510" s="30" t="n">
        <v>84321869</v>
      </c>
      <c r="D7510" s="30">
        <f>"33041260014700"</f>
        <v/>
      </c>
      <c r="E7510" s="30" t="inlineStr">
        <is>
          <t>VIA VAREJO S/A</t>
        </is>
      </c>
      <c r="F7510" s="30" t="inlineStr">
        <is>
          <t>2023</t>
        </is>
      </c>
      <c r="G7510" s="40" t="n">
        <v>937901.63</v>
      </c>
    </row>
    <row r="7511" ht="12" customHeight="1">
      <c r="A7511" s="30" t="inlineStr">
        <is>
          <t>ITG</t>
        </is>
      </c>
      <c r="B7511" s="30" t="inlineStr">
        <is>
          <t>Itaguai</t>
        </is>
      </c>
      <c r="C7511" s="30" t="n">
        <v>84321982</v>
      </c>
      <c r="D7511" s="30">
        <f>"40388480000124"</f>
        <v/>
      </c>
      <c r="E7511" s="30" t="inlineStr">
        <is>
          <t>OTICA EL SHADAY LTDA</t>
        </is>
      </c>
      <c r="F7511" s="30" t="inlineStr">
        <is>
          <t>2021</t>
        </is>
      </c>
      <c r="G7511" s="40" t="n">
        <v>0</v>
      </c>
    </row>
    <row r="7512" ht="12" customHeight="1">
      <c r="A7512" s="30" t="inlineStr">
        <is>
          <t>ITG</t>
        </is>
      </c>
      <c r="B7512" s="30" t="inlineStr">
        <is>
          <t>Itaguai</t>
        </is>
      </c>
      <c r="C7512" s="30" t="n">
        <v>84321982</v>
      </c>
      <c r="D7512" s="30">
        <f>"40388480000124"</f>
        <v/>
      </c>
      <c r="E7512" s="30" t="inlineStr">
        <is>
          <t>OTICA EL SHADAY LTDA</t>
        </is>
      </c>
      <c r="F7512" s="30" t="inlineStr">
        <is>
          <t>2022</t>
        </is>
      </c>
      <c r="G7512" s="40" t="n">
        <v>0</v>
      </c>
    </row>
    <row r="7513" ht="12" customHeight="1">
      <c r="A7513" s="30" t="inlineStr">
        <is>
          <t>ITG</t>
        </is>
      </c>
      <c r="B7513" s="30" t="inlineStr">
        <is>
          <t>Itaguai</t>
        </is>
      </c>
      <c r="C7513" s="30" t="n">
        <v>84321982</v>
      </c>
      <c r="D7513" s="30">
        <f>"40388480000124"</f>
        <v/>
      </c>
      <c r="E7513" s="30" t="inlineStr">
        <is>
          <t>OTICA EL SHADAY LTDA</t>
        </is>
      </c>
      <c r="F7513" s="30" t="inlineStr">
        <is>
          <t>2023</t>
        </is>
      </c>
      <c r="G7513" s="40" t="n">
        <v>0</v>
      </c>
    </row>
    <row r="7514" ht="12" customHeight="1">
      <c r="A7514" s="30" t="inlineStr">
        <is>
          <t>ITG</t>
        </is>
      </c>
      <c r="B7514" s="30" t="inlineStr">
        <is>
          <t>Itaguai</t>
        </is>
      </c>
      <c r="C7514" s="30" t="n">
        <v>84322350</v>
      </c>
      <c r="D7514" s="30">
        <f>"31094667000124"</f>
        <v/>
      </c>
      <c r="E7514" s="30" t="inlineStr">
        <is>
          <t>O M C COMERCIO DE FERRAMENTAS E MAQUINAS LTDA ME</t>
        </is>
      </c>
      <c r="F7514" s="30" t="inlineStr">
        <is>
          <t>2019</t>
        </is>
      </c>
      <c r="G7514" s="40" t="n">
        <v>0</v>
      </c>
    </row>
    <row r="7515" ht="12" customHeight="1">
      <c r="A7515" s="30" t="inlineStr">
        <is>
          <t>ITG</t>
        </is>
      </c>
      <c r="B7515" s="30" t="inlineStr">
        <is>
          <t>Itaguai</t>
        </is>
      </c>
      <c r="C7515" s="30" t="n">
        <v>84322350</v>
      </c>
      <c r="D7515" s="30">
        <f>"31094667000124"</f>
        <v/>
      </c>
      <c r="E7515" s="30" t="inlineStr">
        <is>
          <t>O M C COMERCIO DE FERRAMENTAS E MAQUINAS LTDA ME</t>
        </is>
      </c>
      <c r="F7515" s="30" t="inlineStr">
        <is>
          <t>2020</t>
        </is>
      </c>
      <c r="G7515" s="40" t="n">
        <v>0</v>
      </c>
    </row>
    <row r="7516" ht="12" customHeight="1">
      <c r="A7516" s="30" t="inlineStr">
        <is>
          <t>ITG</t>
        </is>
      </c>
      <c r="B7516" s="30" t="inlineStr">
        <is>
          <t>Itaguai</t>
        </is>
      </c>
      <c r="C7516" s="30" t="n">
        <v>84322350</v>
      </c>
      <c r="D7516" s="30">
        <f>"31094667000124"</f>
        <v/>
      </c>
      <c r="E7516" s="30" t="inlineStr">
        <is>
          <t>O M C COMERCIO DE FERRAMENTAS E MAQUINAS LTDA ME</t>
        </is>
      </c>
      <c r="F7516" s="30" t="inlineStr">
        <is>
          <t>2021</t>
        </is>
      </c>
      <c r="G7516" s="40" t="n">
        <v>1081543.16</v>
      </c>
    </row>
    <row r="7517" ht="12" customHeight="1">
      <c r="A7517" s="30" t="inlineStr">
        <is>
          <t>ITG</t>
        </is>
      </c>
      <c r="B7517" s="30" t="inlineStr">
        <is>
          <t>Itaguai</t>
        </is>
      </c>
      <c r="C7517" s="30" t="n">
        <v>84322350</v>
      </c>
      <c r="D7517" s="30">
        <f>"31094667000124"</f>
        <v/>
      </c>
      <c r="E7517" s="30" t="inlineStr">
        <is>
          <t>O M C COMERCIO DE FERRAMENTAS E MAQUINAS LTDA ME</t>
        </is>
      </c>
      <c r="F7517" s="30" t="inlineStr">
        <is>
          <t>2022</t>
        </is>
      </c>
      <c r="G7517" s="40" t="n">
        <v>0</v>
      </c>
    </row>
    <row r="7518" ht="12" customHeight="1">
      <c r="A7518" s="30" t="inlineStr">
        <is>
          <t>ITG</t>
        </is>
      </c>
      <c r="B7518" s="30" t="inlineStr">
        <is>
          <t>Itaguai</t>
        </is>
      </c>
      <c r="C7518" s="30" t="n">
        <v>84322350</v>
      </c>
      <c r="D7518" s="30">
        <f>"31094667000124"</f>
        <v/>
      </c>
      <c r="E7518" s="30" t="inlineStr">
        <is>
          <t>O M C COMERCIO DE FERRAMENTAS E MAQUINAS LTDA ME</t>
        </is>
      </c>
      <c r="F7518" s="30" t="inlineStr">
        <is>
          <t>2023</t>
        </is>
      </c>
      <c r="G7518" s="40" t="n">
        <v>939398.98</v>
      </c>
    </row>
    <row r="7519" ht="12" customHeight="1">
      <c r="A7519" s="30" t="inlineStr">
        <is>
          <t>ITG</t>
        </is>
      </c>
      <c r="B7519" s="30" t="inlineStr">
        <is>
          <t>Itaguai</t>
        </is>
      </c>
      <c r="C7519" s="30" t="n">
        <v>84325767</v>
      </c>
      <c r="D7519" s="30">
        <f>"40160558000159"</f>
        <v/>
      </c>
      <c r="E7519" s="30" t="inlineStr">
        <is>
          <t>TRANSPORTE E TURISMO REAL BRASIL LTDA</t>
        </is>
      </c>
      <c r="F7519" s="30" t="inlineStr">
        <is>
          <t>2017</t>
        </is>
      </c>
      <c r="G7519" s="40" t="n">
        <v>24700</v>
      </c>
    </row>
    <row r="7520" ht="12" customHeight="1">
      <c r="A7520" s="30" t="inlineStr">
        <is>
          <t>ITG</t>
        </is>
      </c>
      <c r="B7520" s="30" t="inlineStr">
        <is>
          <t>Itaguai</t>
        </is>
      </c>
      <c r="C7520" s="30" t="n">
        <v>84325767</v>
      </c>
      <c r="D7520" s="30">
        <f>"40160558000159"</f>
        <v/>
      </c>
      <c r="E7520" s="30" t="inlineStr">
        <is>
          <t>TRANSPORTE E TURISMO REAL BRASIL LTDA</t>
        </is>
      </c>
      <c r="F7520" s="30" t="inlineStr">
        <is>
          <t>2018</t>
        </is>
      </c>
      <c r="G7520" s="40" t="n">
        <v>43100</v>
      </c>
    </row>
    <row r="7521" ht="12" customHeight="1">
      <c r="A7521" s="30" t="inlineStr">
        <is>
          <t>ITG</t>
        </is>
      </c>
      <c r="B7521" s="30" t="inlineStr">
        <is>
          <t>Itaguai</t>
        </is>
      </c>
      <c r="C7521" s="30" t="n">
        <v>84325767</v>
      </c>
      <c r="D7521" s="30">
        <f>"40160558000159"</f>
        <v/>
      </c>
      <c r="E7521" s="30" t="inlineStr">
        <is>
          <t>TRANSPORTE E TURISMO REAL BRASIL LTDA</t>
        </is>
      </c>
      <c r="F7521" s="30" t="inlineStr">
        <is>
          <t>2019</t>
        </is>
      </c>
      <c r="G7521" s="40" t="n">
        <v>17850</v>
      </c>
    </row>
    <row r="7522" ht="12" customHeight="1">
      <c r="A7522" s="30" t="inlineStr">
        <is>
          <t>ITG</t>
        </is>
      </c>
      <c r="B7522" s="30" t="inlineStr">
        <is>
          <t>Itaguai</t>
        </is>
      </c>
      <c r="C7522" s="30" t="n">
        <v>84325767</v>
      </c>
      <c r="D7522" s="30">
        <f>"40160558000159"</f>
        <v/>
      </c>
      <c r="E7522" s="30" t="inlineStr">
        <is>
          <t>TRANSPORTE E TURISMO REAL BRASIL LTDA</t>
        </is>
      </c>
      <c r="F7522" s="30" t="inlineStr">
        <is>
          <t>2020</t>
        </is>
      </c>
      <c r="G7522" s="40" t="n">
        <v>139950</v>
      </c>
    </row>
    <row r="7523" ht="12" customHeight="1">
      <c r="A7523" s="30" t="inlineStr">
        <is>
          <t>ITG</t>
        </is>
      </c>
      <c r="B7523" s="30" t="inlineStr">
        <is>
          <t>Itaguai</t>
        </is>
      </c>
      <c r="C7523" s="30" t="n">
        <v>84325767</v>
      </c>
      <c r="D7523" s="30">
        <f>"40160558000159"</f>
        <v/>
      </c>
      <c r="E7523" s="30" t="inlineStr">
        <is>
          <t>TRANSPORTE E TURISMO REAL BRASIL LTDA</t>
        </is>
      </c>
      <c r="F7523" s="30" t="inlineStr">
        <is>
          <t>2021</t>
        </is>
      </c>
      <c r="G7523" s="40" t="n">
        <v>331200</v>
      </c>
    </row>
    <row r="7524" ht="12" customHeight="1">
      <c r="A7524" s="30" t="inlineStr">
        <is>
          <t>ITG</t>
        </is>
      </c>
      <c r="B7524" s="30" t="inlineStr">
        <is>
          <t>Itaguai</t>
        </is>
      </c>
      <c r="C7524" s="30" t="n">
        <v>84325767</v>
      </c>
      <c r="D7524" s="30">
        <f>"40160558000159"</f>
        <v/>
      </c>
      <c r="E7524" s="30" t="inlineStr">
        <is>
          <t>TRANSPORTE E TURISMO REAL BRASIL LTDA</t>
        </is>
      </c>
      <c r="F7524" s="30" t="inlineStr">
        <is>
          <t>2022</t>
        </is>
      </c>
      <c r="G7524" s="40" t="n">
        <v>4586626.54</v>
      </c>
    </row>
    <row r="7525" ht="12" customHeight="1">
      <c r="A7525" s="30" t="inlineStr">
        <is>
          <t>ITG</t>
        </is>
      </c>
      <c r="B7525" s="30" t="inlineStr">
        <is>
          <t>Itaguai</t>
        </is>
      </c>
      <c r="C7525" s="30" t="n">
        <v>84325767</v>
      </c>
      <c r="D7525" s="30">
        <f>"40160558000159"</f>
        <v/>
      </c>
      <c r="E7525" s="30" t="inlineStr">
        <is>
          <t>TRANSPORTE E TURISMO REAL BRASIL LTDA</t>
        </is>
      </c>
      <c r="F7525" s="30" t="inlineStr">
        <is>
          <t>2023</t>
        </is>
      </c>
      <c r="G7525" s="40" t="n">
        <v>7563935.01</v>
      </c>
    </row>
    <row r="7526" ht="12" customHeight="1">
      <c r="A7526" s="30" t="inlineStr">
        <is>
          <t>ITG</t>
        </is>
      </c>
      <c r="B7526" s="30" t="inlineStr">
        <is>
          <t>Itaguai</t>
        </is>
      </c>
      <c r="C7526" s="30" t="n">
        <v>84326992</v>
      </c>
      <c r="D7526" s="30">
        <f>"32314247000179"</f>
        <v/>
      </c>
      <c r="E7526" s="30" t="inlineStr">
        <is>
          <t>MTD TRANSPORTES LTDA</t>
        </is>
      </c>
      <c r="F7526" s="30" t="inlineStr">
        <is>
          <t>2017</t>
        </is>
      </c>
      <c r="G7526" s="40" t="n">
        <v>149.6</v>
      </c>
    </row>
    <row r="7527" ht="12" customHeight="1">
      <c r="A7527" s="30" t="inlineStr">
        <is>
          <t>ITG</t>
        </is>
      </c>
      <c r="B7527" s="30" t="inlineStr">
        <is>
          <t>Itaguai</t>
        </is>
      </c>
      <c r="C7527" s="30" t="n">
        <v>84326992</v>
      </c>
      <c r="D7527" s="30">
        <f>"32314247000179"</f>
        <v/>
      </c>
      <c r="E7527" s="30" t="inlineStr">
        <is>
          <t>MTD TRANSPORTES LTDA</t>
        </is>
      </c>
      <c r="F7527" s="30" t="inlineStr">
        <is>
          <t>2018</t>
        </is>
      </c>
      <c r="G7527" s="40" t="n">
        <v>56.69</v>
      </c>
    </row>
    <row r="7528" ht="12" customHeight="1">
      <c r="A7528" s="30" t="inlineStr">
        <is>
          <t>ITG</t>
        </is>
      </c>
      <c r="B7528" s="30" t="inlineStr">
        <is>
          <t>Itaguai</t>
        </is>
      </c>
      <c r="C7528" s="30" t="n">
        <v>84326992</v>
      </c>
      <c r="D7528" s="30">
        <f>"32314247000179"</f>
        <v/>
      </c>
      <c r="E7528" s="30" t="inlineStr">
        <is>
          <t>MTD TRANSPORTES LTDA</t>
        </is>
      </c>
      <c r="F7528" s="30" t="inlineStr">
        <is>
          <t>2019</t>
        </is>
      </c>
      <c r="G7528" s="40" t="n">
        <v>0</v>
      </c>
    </row>
    <row r="7529" ht="12" customHeight="1">
      <c r="A7529" s="30" t="inlineStr">
        <is>
          <t>ITG</t>
        </is>
      </c>
      <c r="B7529" s="30" t="inlineStr">
        <is>
          <t>Itaguai</t>
        </is>
      </c>
      <c r="C7529" s="30" t="n">
        <v>84326992</v>
      </c>
      <c r="D7529" s="30">
        <f>"32314247000179"</f>
        <v/>
      </c>
      <c r="E7529" s="30" t="inlineStr">
        <is>
          <t>MTD TRANSPORTES LTDA</t>
        </is>
      </c>
      <c r="F7529" s="30" t="inlineStr">
        <is>
          <t>2020</t>
        </is>
      </c>
      <c r="G7529" s="40" t="n">
        <v>0</v>
      </c>
    </row>
    <row r="7530" ht="12" customHeight="1">
      <c r="A7530" s="30" t="inlineStr">
        <is>
          <t>ITG</t>
        </is>
      </c>
      <c r="B7530" s="30" t="inlineStr">
        <is>
          <t>Itaguai</t>
        </is>
      </c>
      <c r="C7530" s="30" t="n">
        <v>84326992</v>
      </c>
      <c r="D7530" s="30">
        <f>"32314247000179"</f>
        <v/>
      </c>
      <c r="E7530" s="30" t="inlineStr">
        <is>
          <t>MTD TRANSPORTES LTDA</t>
        </is>
      </c>
      <c r="F7530" s="30" t="inlineStr">
        <is>
          <t>2021</t>
        </is>
      </c>
      <c r="G7530" s="40" t="n">
        <v>0</v>
      </c>
    </row>
    <row r="7531" ht="12" customHeight="1">
      <c r="A7531" s="30" t="inlineStr">
        <is>
          <t>ITG</t>
        </is>
      </c>
      <c r="B7531" s="30" t="inlineStr">
        <is>
          <t>Itaguai</t>
        </is>
      </c>
      <c r="C7531" s="30" t="n">
        <v>84326992</v>
      </c>
      <c r="D7531" s="30">
        <f>"32314247000179"</f>
        <v/>
      </c>
      <c r="E7531" s="30" t="inlineStr">
        <is>
          <t>MTD TRANSPORTES LTDA</t>
        </is>
      </c>
      <c r="F7531" s="30" t="inlineStr">
        <is>
          <t>2022</t>
        </is>
      </c>
      <c r="G7531" s="40" t="n">
        <v>228.84</v>
      </c>
    </row>
    <row r="7532" ht="12" customHeight="1">
      <c r="A7532" s="30" t="inlineStr">
        <is>
          <t>ITG</t>
        </is>
      </c>
      <c r="B7532" s="30" t="inlineStr">
        <is>
          <t>Itaguai</t>
        </is>
      </c>
      <c r="C7532" s="30" t="n">
        <v>84326992</v>
      </c>
      <c r="D7532" s="30">
        <f>"32314247000179"</f>
        <v/>
      </c>
      <c r="E7532" s="30" t="inlineStr">
        <is>
          <t>MTD TRANSPORTES LTDA</t>
        </is>
      </c>
      <c r="F7532" s="30" t="inlineStr">
        <is>
          <t>2023</t>
        </is>
      </c>
      <c r="G7532" s="40" t="n">
        <v>99.16</v>
      </c>
    </row>
    <row r="7533" ht="12" customHeight="1">
      <c r="A7533" s="30" t="inlineStr">
        <is>
          <t>ITG</t>
        </is>
      </c>
      <c r="B7533" s="30" t="inlineStr">
        <is>
          <t>Itaguai</t>
        </is>
      </c>
      <c r="C7533" s="30" t="n">
        <v>84327093</v>
      </c>
      <c r="D7533" s="30">
        <f>"66199068000311"</f>
        <v/>
      </c>
      <c r="E7533" s="30" t="inlineStr">
        <is>
          <t>RAPIDO ALEM PARAIBA LTDA</t>
        </is>
      </c>
      <c r="F7533" s="30" t="inlineStr">
        <is>
          <t>2017</t>
        </is>
      </c>
      <c r="G7533" s="40" t="n">
        <v>365</v>
      </c>
    </row>
    <row r="7534" ht="12" customHeight="1">
      <c r="A7534" s="30" t="inlineStr">
        <is>
          <t>ITG</t>
        </is>
      </c>
      <c r="B7534" s="30" t="inlineStr">
        <is>
          <t>Itaguai</t>
        </is>
      </c>
      <c r="C7534" s="30" t="n">
        <v>84327093</v>
      </c>
      <c r="D7534" s="30">
        <f>"66199068000311"</f>
        <v/>
      </c>
      <c r="E7534" s="30" t="inlineStr">
        <is>
          <t>RAPIDO ALEM PARAIBA LTDA</t>
        </is>
      </c>
      <c r="F7534" s="30" t="inlineStr">
        <is>
          <t>2018</t>
        </is>
      </c>
      <c r="G7534" s="40" t="n">
        <v>989</v>
      </c>
    </row>
    <row r="7535" ht="12" customHeight="1">
      <c r="A7535" s="30" t="inlineStr">
        <is>
          <t>ITG</t>
        </is>
      </c>
      <c r="B7535" s="30" t="inlineStr">
        <is>
          <t>Itaguai</t>
        </is>
      </c>
      <c r="C7535" s="30" t="n">
        <v>84327093</v>
      </c>
      <c r="D7535" s="30">
        <f>"66199068000311"</f>
        <v/>
      </c>
      <c r="E7535" s="30" t="inlineStr">
        <is>
          <t>RAPIDO ALEM PARAIBA LTDA</t>
        </is>
      </c>
      <c r="F7535" s="30" t="inlineStr">
        <is>
          <t>2019</t>
        </is>
      </c>
      <c r="G7535" s="40" t="n">
        <v>737</v>
      </c>
    </row>
    <row r="7536" ht="12" customHeight="1">
      <c r="A7536" s="30" t="inlineStr">
        <is>
          <t>ITG</t>
        </is>
      </c>
      <c r="B7536" s="30" t="inlineStr">
        <is>
          <t>Itaguai</t>
        </is>
      </c>
      <c r="C7536" s="30" t="n">
        <v>84327093</v>
      </c>
      <c r="D7536" s="30">
        <f>"66199068000311"</f>
        <v/>
      </c>
      <c r="E7536" s="30" t="inlineStr">
        <is>
          <t>RAPIDO ALEM PARAIBA LTDA</t>
        </is>
      </c>
      <c r="F7536" s="30" t="inlineStr">
        <is>
          <t>2020</t>
        </is>
      </c>
      <c r="G7536" s="40" t="n">
        <v>1140</v>
      </c>
    </row>
    <row r="7537" ht="12" customHeight="1">
      <c r="A7537" s="30" t="inlineStr">
        <is>
          <t>ITG</t>
        </is>
      </c>
      <c r="B7537" s="30" t="inlineStr">
        <is>
          <t>Itaguai</t>
        </is>
      </c>
      <c r="C7537" s="30" t="n">
        <v>84327093</v>
      </c>
      <c r="D7537" s="30">
        <f>"66199068000311"</f>
        <v/>
      </c>
      <c r="E7537" s="30" t="inlineStr">
        <is>
          <t>RAPIDO ALEM PARAIBA LTDA</t>
        </is>
      </c>
      <c r="F7537" s="30" t="inlineStr">
        <is>
          <t>2021</t>
        </is>
      </c>
      <c r="G7537" s="40" t="n">
        <v>420</v>
      </c>
    </row>
    <row r="7538" ht="12" customHeight="1">
      <c r="A7538" s="30" t="inlineStr">
        <is>
          <t>ITG</t>
        </is>
      </c>
      <c r="B7538" s="30" t="inlineStr">
        <is>
          <t>Itaguai</t>
        </is>
      </c>
      <c r="C7538" s="30" t="n">
        <v>84327093</v>
      </c>
      <c r="D7538" s="30">
        <f>"66199068000311"</f>
        <v/>
      </c>
      <c r="E7538" s="30" t="inlineStr">
        <is>
          <t>RAPIDO ALEM PARAIBA LTDA</t>
        </is>
      </c>
      <c r="F7538" s="30" t="inlineStr">
        <is>
          <t>2022</t>
        </is>
      </c>
      <c r="G7538" s="40" t="n">
        <v>123</v>
      </c>
    </row>
    <row r="7539" ht="12" customHeight="1">
      <c r="A7539" s="30" t="inlineStr">
        <is>
          <t>ITG</t>
        </is>
      </c>
      <c r="B7539" s="30" t="inlineStr">
        <is>
          <t>Itaguai</t>
        </is>
      </c>
      <c r="C7539" s="30" t="n">
        <v>84327093</v>
      </c>
      <c r="D7539" s="30">
        <f>"66199068000311"</f>
        <v/>
      </c>
      <c r="E7539" s="30" t="inlineStr">
        <is>
          <t>RAPIDO ALEM PARAIBA LTDA</t>
        </is>
      </c>
      <c r="F7539" s="30" t="inlineStr">
        <is>
          <t>2023</t>
        </is>
      </c>
      <c r="G7539" s="40" t="n">
        <v>1611.01</v>
      </c>
    </row>
    <row r="7540" ht="12" customHeight="1">
      <c r="A7540" s="30" t="inlineStr">
        <is>
          <t>ITG</t>
        </is>
      </c>
      <c r="B7540" s="30" t="inlineStr">
        <is>
          <t>Itaguai</t>
        </is>
      </c>
      <c r="C7540" s="30" t="n">
        <v>84327239</v>
      </c>
      <c r="D7540" s="30">
        <f>"43399567000276"</f>
        <v/>
      </c>
      <c r="E7540" s="30" t="inlineStr">
        <is>
          <t>TRANSPORTADORA PORTO FERREIRA LTDA</t>
        </is>
      </c>
      <c r="F7540" s="30" t="inlineStr">
        <is>
          <t>2017</t>
        </is>
      </c>
      <c r="G7540" s="40" t="n">
        <v>1470471.3</v>
      </c>
    </row>
    <row r="7541" ht="12" customHeight="1">
      <c r="A7541" s="30" t="inlineStr">
        <is>
          <t>ITG</t>
        </is>
      </c>
      <c r="B7541" s="30" t="inlineStr">
        <is>
          <t>Itaguai</t>
        </is>
      </c>
      <c r="C7541" s="30" t="n">
        <v>84327239</v>
      </c>
      <c r="D7541" s="30">
        <f>"43399567000276"</f>
        <v/>
      </c>
      <c r="E7541" s="30" t="inlineStr">
        <is>
          <t>TRANSPORTADORA PORTO FERREIRA LTDA</t>
        </is>
      </c>
      <c r="F7541" s="30" t="inlineStr">
        <is>
          <t>2018</t>
        </is>
      </c>
      <c r="G7541" s="40" t="n">
        <v>655875.89</v>
      </c>
    </row>
    <row r="7542" ht="12" customHeight="1">
      <c r="A7542" s="30" t="inlineStr">
        <is>
          <t>ITG</t>
        </is>
      </c>
      <c r="B7542" s="30" t="inlineStr">
        <is>
          <t>Itaguai</t>
        </is>
      </c>
      <c r="C7542" s="30" t="n">
        <v>84327239</v>
      </c>
      <c r="D7542" s="30">
        <f>"43399567000276"</f>
        <v/>
      </c>
      <c r="E7542" s="30" t="inlineStr">
        <is>
          <t>TRANSPORTADORA PORTO FERREIRA LTDA</t>
        </is>
      </c>
      <c r="F7542" s="30" t="inlineStr">
        <is>
          <t>2019</t>
        </is>
      </c>
      <c r="G7542" s="40" t="n">
        <v>1243287.57</v>
      </c>
    </row>
    <row r="7543" ht="12" customHeight="1">
      <c r="A7543" s="30" t="inlineStr">
        <is>
          <t>ITG</t>
        </is>
      </c>
      <c r="B7543" s="30" t="inlineStr">
        <is>
          <t>Itaguai</t>
        </is>
      </c>
      <c r="C7543" s="30" t="n">
        <v>84327239</v>
      </c>
      <c r="D7543" s="30">
        <f>"43399567000276"</f>
        <v/>
      </c>
      <c r="E7543" s="30" t="inlineStr">
        <is>
          <t>TRANSPORTADORA PORTO FERREIRA LTDA</t>
        </is>
      </c>
      <c r="F7543" s="30" t="inlineStr">
        <is>
          <t>2020</t>
        </is>
      </c>
      <c r="G7543" s="40" t="n">
        <v>964681.62</v>
      </c>
    </row>
    <row r="7544" ht="12" customHeight="1">
      <c r="A7544" s="30" t="inlineStr">
        <is>
          <t>ITG</t>
        </is>
      </c>
      <c r="B7544" s="30" t="inlineStr">
        <is>
          <t>Itaguai</t>
        </is>
      </c>
      <c r="C7544" s="30" t="n">
        <v>84327239</v>
      </c>
      <c r="D7544" s="30">
        <f>"43399567000276"</f>
        <v/>
      </c>
      <c r="E7544" s="30" t="inlineStr">
        <is>
          <t>TRANSPORTADORA PORTO FERREIRA LTDA</t>
        </is>
      </c>
      <c r="F7544" s="30" t="inlineStr">
        <is>
          <t>2021</t>
        </is>
      </c>
      <c r="G7544" s="40" t="n">
        <v>1158143.89</v>
      </c>
    </row>
    <row r="7545" ht="12" customHeight="1">
      <c r="A7545" s="30" t="inlineStr">
        <is>
          <t>ITG</t>
        </is>
      </c>
      <c r="B7545" s="30" t="inlineStr">
        <is>
          <t>Itaguai</t>
        </is>
      </c>
      <c r="C7545" s="30" t="n">
        <v>84327239</v>
      </c>
      <c r="D7545" s="30">
        <f>"43399567000276"</f>
        <v/>
      </c>
      <c r="E7545" s="30" t="inlineStr">
        <is>
          <t>TRANSPORTADORA PORTO FERREIRA LTDA</t>
        </is>
      </c>
      <c r="F7545" s="30" t="inlineStr">
        <is>
          <t>2022</t>
        </is>
      </c>
      <c r="G7545" s="40" t="n">
        <v>3103568.61</v>
      </c>
    </row>
    <row r="7546" ht="12" customHeight="1">
      <c r="A7546" s="30" t="inlineStr">
        <is>
          <t>ITG</t>
        </is>
      </c>
      <c r="B7546" s="30" t="inlineStr">
        <is>
          <t>Itaguai</t>
        </is>
      </c>
      <c r="C7546" s="30" t="n">
        <v>84327239</v>
      </c>
      <c r="D7546" s="30">
        <f>"43399567000276"</f>
        <v/>
      </c>
      <c r="E7546" s="30" t="inlineStr">
        <is>
          <t>TRANSPORTADORA PORTO FERREIRA LTDA</t>
        </is>
      </c>
      <c r="F7546" s="30" t="inlineStr">
        <is>
          <t>2023</t>
        </is>
      </c>
      <c r="G7546" s="40" t="n">
        <v>2990300.9</v>
      </c>
    </row>
    <row r="7547" ht="12" customHeight="1">
      <c r="A7547" s="30" t="inlineStr">
        <is>
          <t>ITG</t>
        </is>
      </c>
      <c r="B7547" s="30" t="inlineStr">
        <is>
          <t>Itaguai</t>
        </is>
      </c>
      <c r="C7547" s="30" t="n">
        <v>84327565</v>
      </c>
      <c r="D7547" s="30">
        <f>"19451038000370"</f>
        <v/>
      </c>
      <c r="E7547" s="30" t="inlineStr">
        <is>
          <t>RODOVIARIO CAMILO DOS SANTOS FILHO LTDA</t>
        </is>
      </c>
      <c r="F7547" s="30" t="inlineStr">
        <is>
          <t>2017</t>
        </is>
      </c>
      <c r="G7547" s="40" t="n">
        <v>0</v>
      </c>
    </row>
    <row r="7548" ht="12" customHeight="1">
      <c r="A7548" s="30" t="inlineStr">
        <is>
          <t>ITG</t>
        </is>
      </c>
      <c r="B7548" s="30" t="inlineStr">
        <is>
          <t>Itaguai</t>
        </is>
      </c>
      <c r="C7548" s="30" t="n">
        <v>84327565</v>
      </c>
      <c r="D7548" s="30">
        <f>"19451038000370"</f>
        <v/>
      </c>
      <c r="E7548" s="30" t="inlineStr">
        <is>
          <t>RODOVIARIO CAMILO DOS SANTOS FILHO LTDA</t>
        </is>
      </c>
      <c r="F7548" s="30" t="inlineStr">
        <is>
          <t>2018</t>
        </is>
      </c>
      <c r="G7548" s="40" t="n">
        <v>1155.64</v>
      </c>
    </row>
    <row r="7549" ht="12" customHeight="1">
      <c r="A7549" s="30" t="inlineStr">
        <is>
          <t>ITG</t>
        </is>
      </c>
      <c r="B7549" s="30" t="inlineStr">
        <is>
          <t>Itaguai</t>
        </is>
      </c>
      <c r="C7549" s="30" t="n">
        <v>84327565</v>
      </c>
      <c r="D7549" s="30">
        <f>"19451038000370"</f>
        <v/>
      </c>
      <c r="E7549" s="30" t="inlineStr">
        <is>
          <t>RODOVIARIO CAMILO DOS SANTOS FILHO LTDA</t>
        </is>
      </c>
      <c r="F7549" s="30" t="inlineStr">
        <is>
          <t>2019</t>
        </is>
      </c>
      <c r="G7549" s="40" t="n">
        <v>0</v>
      </c>
    </row>
    <row r="7550" ht="12" customHeight="1">
      <c r="A7550" s="30" t="inlineStr">
        <is>
          <t>ITG</t>
        </is>
      </c>
      <c r="B7550" s="30" t="inlineStr">
        <is>
          <t>Itaguai</t>
        </is>
      </c>
      <c r="C7550" s="30" t="n">
        <v>84327565</v>
      </c>
      <c r="D7550" s="30">
        <f>"19451038000370"</f>
        <v/>
      </c>
      <c r="E7550" s="30" t="inlineStr">
        <is>
          <t>RODOVIARIO CAMILO DOS SANTOS FILHO LTDA</t>
        </is>
      </c>
      <c r="F7550" s="30" t="inlineStr">
        <is>
          <t>2020</t>
        </is>
      </c>
      <c r="G7550" s="40" t="n">
        <v>827.48</v>
      </c>
    </row>
    <row r="7551" ht="12" customHeight="1">
      <c r="A7551" s="30" t="inlineStr">
        <is>
          <t>ITG</t>
        </is>
      </c>
      <c r="B7551" s="30" t="inlineStr">
        <is>
          <t>Itaguai</t>
        </is>
      </c>
      <c r="C7551" s="30" t="n">
        <v>84327565</v>
      </c>
      <c r="D7551" s="30">
        <f>"19451038000370"</f>
        <v/>
      </c>
      <c r="E7551" s="30" t="inlineStr">
        <is>
          <t>RODOVIARIO CAMILO DOS SANTOS FILHO LTDA</t>
        </is>
      </c>
      <c r="F7551" s="30" t="inlineStr">
        <is>
          <t>2021</t>
        </is>
      </c>
      <c r="G7551" s="40" t="n">
        <v>1686.35</v>
      </c>
    </row>
    <row r="7552" ht="12" customHeight="1">
      <c r="A7552" s="30" t="inlineStr">
        <is>
          <t>ITG</t>
        </is>
      </c>
      <c r="B7552" s="30" t="inlineStr">
        <is>
          <t>Itaguai</t>
        </is>
      </c>
      <c r="C7552" s="30" t="n">
        <v>84327565</v>
      </c>
      <c r="D7552" s="30">
        <f>"19451038000370"</f>
        <v/>
      </c>
      <c r="E7552" s="30" t="inlineStr">
        <is>
          <t>RODOVIARIO CAMILO DOS SANTOS FILHO LTDA</t>
        </is>
      </c>
      <c r="F7552" s="30" t="inlineStr">
        <is>
          <t>2022</t>
        </is>
      </c>
      <c r="G7552" s="40" t="n">
        <v>8308.34</v>
      </c>
    </row>
    <row r="7553" ht="12" customHeight="1">
      <c r="A7553" s="30" t="inlineStr">
        <is>
          <t>ITG</t>
        </is>
      </c>
      <c r="B7553" s="30" t="inlineStr">
        <is>
          <t>Itaguai</t>
        </is>
      </c>
      <c r="C7553" s="30" t="n">
        <v>84327565</v>
      </c>
      <c r="D7553" s="30">
        <f>"19451038000370"</f>
        <v/>
      </c>
      <c r="E7553" s="30" t="inlineStr">
        <is>
          <t>RODOVIARIO CAMILO DOS SANTOS FILHO LTDA</t>
        </is>
      </c>
      <c r="F7553" s="30" t="inlineStr">
        <is>
          <t>2023</t>
        </is>
      </c>
      <c r="G7553" s="40" t="n">
        <v>4347.27</v>
      </c>
    </row>
    <row r="7554" ht="12" customHeight="1">
      <c r="A7554" s="30" t="inlineStr">
        <is>
          <t>ITG</t>
        </is>
      </c>
      <c r="B7554" s="30" t="inlineStr">
        <is>
          <t>Itaguai</t>
        </is>
      </c>
      <c r="C7554" s="30" t="n">
        <v>84327603</v>
      </c>
      <c r="D7554" s="30">
        <f>"31334691000274"</f>
        <v/>
      </c>
      <c r="E7554" s="30" t="inlineStr">
        <is>
          <t>EXPRESSO REAL RIO LTDA</t>
        </is>
      </c>
      <c r="F7554" s="30" t="inlineStr">
        <is>
          <t>2017</t>
        </is>
      </c>
      <c r="G7554" s="40" t="n">
        <v>0</v>
      </c>
    </row>
    <row r="7555" ht="12" customHeight="1">
      <c r="A7555" s="30" t="inlineStr">
        <is>
          <t>ITG</t>
        </is>
      </c>
      <c r="B7555" s="30" t="inlineStr">
        <is>
          <t>Itaguai</t>
        </is>
      </c>
      <c r="C7555" s="30" t="n">
        <v>84327603</v>
      </c>
      <c r="D7555" s="30">
        <f>"31334691000274"</f>
        <v/>
      </c>
      <c r="E7555" s="30" t="inlineStr">
        <is>
          <t>EXPRESSO REAL RIO LTDA</t>
        </is>
      </c>
      <c r="F7555" s="30" t="inlineStr">
        <is>
          <t>2018</t>
        </is>
      </c>
      <c r="G7555" s="40" t="n">
        <v>0</v>
      </c>
    </row>
    <row r="7556" ht="12" customHeight="1">
      <c r="A7556" s="30" t="inlineStr">
        <is>
          <t>ITG</t>
        </is>
      </c>
      <c r="B7556" s="30" t="inlineStr">
        <is>
          <t>Itaguai</t>
        </is>
      </c>
      <c r="C7556" s="30" t="n">
        <v>84327603</v>
      </c>
      <c r="D7556" s="30">
        <f>"31334691000274"</f>
        <v/>
      </c>
      <c r="E7556" s="30" t="inlineStr">
        <is>
          <t>EXPRESSO REAL RIO LTDA</t>
        </is>
      </c>
      <c r="F7556" s="30" t="inlineStr">
        <is>
          <t>2019</t>
        </is>
      </c>
      <c r="G7556" s="40" t="n">
        <v>0</v>
      </c>
    </row>
    <row r="7557" ht="12" customHeight="1">
      <c r="A7557" s="30" t="inlineStr">
        <is>
          <t>ITG</t>
        </is>
      </c>
      <c r="B7557" s="30" t="inlineStr">
        <is>
          <t>Itaguai</t>
        </is>
      </c>
      <c r="C7557" s="30" t="n">
        <v>84327603</v>
      </c>
      <c r="D7557" s="30">
        <f>"31334691000274"</f>
        <v/>
      </c>
      <c r="E7557" s="30" t="inlineStr">
        <is>
          <t>EXPRESSO REAL RIO LTDA</t>
        </is>
      </c>
      <c r="F7557" s="30" t="inlineStr">
        <is>
          <t>2020</t>
        </is>
      </c>
      <c r="G7557" s="40" t="n">
        <v>0</v>
      </c>
    </row>
    <row r="7558" ht="12" customHeight="1">
      <c r="A7558" s="30" t="inlineStr">
        <is>
          <t>ITG</t>
        </is>
      </c>
      <c r="B7558" s="30" t="inlineStr">
        <is>
          <t>Itaguai</t>
        </is>
      </c>
      <c r="C7558" s="30" t="n">
        <v>84327603</v>
      </c>
      <c r="D7558" s="30">
        <f>"31334691000274"</f>
        <v/>
      </c>
      <c r="E7558" s="30" t="inlineStr">
        <is>
          <t>EXPRESSO REAL RIO LTDA</t>
        </is>
      </c>
      <c r="F7558" s="30" t="inlineStr">
        <is>
          <t>2021</t>
        </is>
      </c>
      <c r="G7558" s="40" t="n">
        <v>0</v>
      </c>
    </row>
    <row r="7559" ht="12" customHeight="1">
      <c r="A7559" s="30" t="inlineStr">
        <is>
          <t>ITG</t>
        </is>
      </c>
      <c r="B7559" s="30" t="inlineStr">
        <is>
          <t>Itaguai</t>
        </is>
      </c>
      <c r="C7559" s="30" t="n">
        <v>84327603</v>
      </c>
      <c r="D7559" s="30">
        <f>"31334691000274"</f>
        <v/>
      </c>
      <c r="E7559" s="30" t="inlineStr">
        <is>
          <t>EXPRESSO REAL RIO LTDA</t>
        </is>
      </c>
      <c r="F7559" s="30" t="inlineStr">
        <is>
          <t>2022</t>
        </is>
      </c>
      <c r="G7559" s="40" t="n">
        <v>0</v>
      </c>
    </row>
    <row r="7560" ht="12" customHeight="1">
      <c r="A7560" s="30" t="inlineStr">
        <is>
          <t>ITG</t>
        </is>
      </c>
      <c r="B7560" s="30" t="inlineStr">
        <is>
          <t>Itaguai</t>
        </is>
      </c>
      <c r="C7560" s="30" t="n">
        <v>84327603</v>
      </c>
      <c r="D7560" s="30">
        <f>"31334691000274"</f>
        <v/>
      </c>
      <c r="E7560" s="30" t="inlineStr">
        <is>
          <t>EXPRESSO REAL RIO LTDA</t>
        </is>
      </c>
      <c r="F7560" s="30" t="inlineStr">
        <is>
          <t>2023</t>
        </is>
      </c>
      <c r="G7560" s="40" t="n">
        <v>0</v>
      </c>
    </row>
    <row r="7561" ht="12" customHeight="1">
      <c r="A7561" s="30" t="inlineStr">
        <is>
          <t>ITG</t>
        </is>
      </c>
      <c r="B7561" s="30" t="inlineStr">
        <is>
          <t>Itaguai</t>
        </is>
      </c>
      <c r="C7561" s="30" t="n">
        <v>84510874</v>
      </c>
      <c r="D7561" s="30">
        <f>"40442949000166"</f>
        <v/>
      </c>
      <c r="E7561" s="30" t="inlineStr">
        <is>
          <t>TRANSPORTADORA XARA RIO EIRELI</t>
        </is>
      </c>
      <c r="F7561" s="30" t="inlineStr">
        <is>
          <t>2017</t>
        </is>
      </c>
      <c r="G7561" s="40" t="n">
        <v>50</v>
      </c>
    </row>
    <row r="7562" ht="12" customHeight="1">
      <c r="A7562" s="30" t="inlineStr">
        <is>
          <t>ITG</t>
        </is>
      </c>
      <c r="B7562" s="30" t="inlineStr">
        <is>
          <t>Itaguai</t>
        </is>
      </c>
      <c r="C7562" s="30" t="n">
        <v>84510874</v>
      </c>
      <c r="D7562" s="30">
        <f>"40442949000166"</f>
        <v/>
      </c>
      <c r="E7562" s="30" t="inlineStr">
        <is>
          <t>TRANSPORTADORA XARA RIO EIRELI</t>
        </is>
      </c>
      <c r="F7562" s="30" t="inlineStr">
        <is>
          <t>2018</t>
        </is>
      </c>
      <c r="G7562" s="40" t="n">
        <v>0</v>
      </c>
    </row>
    <row r="7563" ht="12" customHeight="1">
      <c r="A7563" s="30" t="inlineStr">
        <is>
          <t>ITG</t>
        </is>
      </c>
      <c r="B7563" s="30" t="inlineStr">
        <is>
          <t>Itaguai</t>
        </is>
      </c>
      <c r="C7563" s="30" t="n">
        <v>84510874</v>
      </c>
      <c r="D7563" s="30">
        <f>"40442949000166"</f>
        <v/>
      </c>
      <c r="E7563" s="30" t="inlineStr">
        <is>
          <t>TRANSPORTADORA XARA RIO EIRELI</t>
        </is>
      </c>
      <c r="F7563" s="30" t="inlineStr">
        <is>
          <t>2019</t>
        </is>
      </c>
      <c r="G7563" s="40" t="n">
        <v>0</v>
      </c>
    </row>
    <row r="7564" ht="12" customHeight="1">
      <c r="A7564" s="30" t="inlineStr">
        <is>
          <t>ITG</t>
        </is>
      </c>
      <c r="B7564" s="30" t="inlineStr">
        <is>
          <t>Itaguai</t>
        </is>
      </c>
      <c r="C7564" s="30" t="n">
        <v>84510874</v>
      </c>
      <c r="D7564" s="30">
        <f>"40442949000166"</f>
        <v/>
      </c>
      <c r="E7564" s="30" t="inlineStr">
        <is>
          <t>TRANSPORTADORA XARA RIO EIRELI</t>
        </is>
      </c>
      <c r="F7564" s="30" t="inlineStr">
        <is>
          <t>2020</t>
        </is>
      </c>
      <c r="G7564" s="40" t="n">
        <v>0</v>
      </c>
    </row>
    <row r="7565" ht="12" customHeight="1">
      <c r="A7565" s="30" t="inlineStr">
        <is>
          <t>ITG</t>
        </is>
      </c>
      <c r="B7565" s="30" t="inlineStr">
        <is>
          <t>Itaguai</t>
        </is>
      </c>
      <c r="C7565" s="30" t="n">
        <v>84510874</v>
      </c>
      <c r="D7565" s="30">
        <f>"40442949000166"</f>
        <v/>
      </c>
      <c r="E7565" s="30" t="inlineStr">
        <is>
          <t>TRANSPORTADORA XARA RIO EIRELI</t>
        </is>
      </c>
      <c r="F7565" s="30" t="inlineStr">
        <is>
          <t>2021</t>
        </is>
      </c>
      <c r="G7565" s="40" t="n">
        <v>1081.6</v>
      </c>
    </row>
    <row r="7566" ht="12" customHeight="1">
      <c r="A7566" s="30" t="inlineStr">
        <is>
          <t>ITG</t>
        </is>
      </c>
      <c r="B7566" s="30" t="inlineStr">
        <is>
          <t>Itaguai</t>
        </is>
      </c>
      <c r="C7566" s="30" t="n">
        <v>84510874</v>
      </c>
      <c r="D7566" s="30">
        <f>"40442949000166"</f>
        <v/>
      </c>
      <c r="E7566" s="30" t="inlineStr">
        <is>
          <t>TRANSPORTADORA XARA RIO EIRELI</t>
        </is>
      </c>
      <c r="F7566" s="30" t="inlineStr">
        <is>
          <t>2022</t>
        </is>
      </c>
      <c r="G7566" s="40" t="n">
        <v>0</v>
      </c>
    </row>
    <row r="7567" ht="12" customHeight="1">
      <c r="A7567" s="30" t="inlineStr">
        <is>
          <t>ITG</t>
        </is>
      </c>
      <c r="B7567" s="30" t="inlineStr">
        <is>
          <t>Itaguai</t>
        </is>
      </c>
      <c r="C7567" s="30" t="n">
        <v>84510874</v>
      </c>
      <c r="D7567" s="30">
        <f>"40442949000166"</f>
        <v/>
      </c>
      <c r="E7567" s="30" t="inlineStr">
        <is>
          <t>TRANSPORTADORA XARA RIO EIRELI</t>
        </is>
      </c>
      <c r="F7567" s="30" t="inlineStr">
        <is>
          <t>2023</t>
        </is>
      </c>
      <c r="G7567" s="40" t="n">
        <v>0</v>
      </c>
    </row>
    <row r="7568" ht="12" customHeight="1">
      <c r="A7568" s="30" t="inlineStr">
        <is>
          <t>ITG</t>
        </is>
      </c>
      <c r="B7568" s="30" t="inlineStr">
        <is>
          <t>Itaguai</t>
        </is>
      </c>
      <c r="C7568" s="30" t="n">
        <v>84511161</v>
      </c>
      <c r="D7568" s="30">
        <f>"28816270000194"</f>
        <v/>
      </c>
      <c r="E7568" s="30" t="inlineStr">
        <is>
          <t>DOCE RIO FRETAMENTO E TURISMO LTDA</t>
        </is>
      </c>
      <c r="F7568" s="30" t="inlineStr">
        <is>
          <t>2017</t>
        </is>
      </c>
      <c r="G7568" s="40" t="n">
        <v>10600</v>
      </c>
    </row>
    <row r="7569" ht="12" customHeight="1">
      <c r="A7569" s="30" t="inlineStr">
        <is>
          <t>ITG</t>
        </is>
      </c>
      <c r="B7569" s="30" t="inlineStr">
        <is>
          <t>Itaguai</t>
        </is>
      </c>
      <c r="C7569" s="30" t="n">
        <v>84511161</v>
      </c>
      <c r="D7569" s="30">
        <f>"28816270000194"</f>
        <v/>
      </c>
      <c r="E7569" s="30" t="inlineStr">
        <is>
          <t>DOCE RIO FRETAMENTO E TURISMO LTDA</t>
        </is>
      </c>
      <c r="F7569" s="30" t="inlineStr">
        <is>
          <t>2018</t>
        </is>
      </c>
      <c r="G7569" s="40" t="n">
        <v>5200</v>
      </c>
    </row>
    <row r="7570" ht="12" customHeight="1">
      <c r="A7570" s="30" t="inlineStr">
        <is>
          <t>ITG</t>
        </is>
      </c>
      <c r="B7570" s="30" t="inlineStr">
        <is>
          <t>Itaguai</t>
        </is>
      </c>
      <c r="C7570" s="30" t="n">
        <v>84511161</v>
      </c>
      <c r="D7570" s="30">
        <f>"28816270000194"</f>
        <v/>
      </c>
      <c r="E7570" s="30" t="inlineStr">
        <is>
          <t>DOCE RIO FRETAMENTO E TURISMO LTDA</t>
        </is>
      </c>
      <c r="F7570" s="30" t="inlineStr">
        <is>
          <t>2019</t>
        </is>
      </c>
      <c r="G7570" s="40" t="n">
        <v>21350</v>
      </c>
    </row>
    <row r="7571" ht="12" customHeight="1">
      <c r="A7571" s="30" t="inlineStr">
        <is>
          <t>ITG</t>
        </is>
      </c>
      <c r="B7571" s="30" t="inlineStr">
        <is>
          <t>Itaguai</t>
        </is>
      </c>
      <c r="C7571" s="30" t="n">
        <v>84511161</v>
      </c>
      <c r="D7571" s="30">
        <f>"28816270000194"</f>
        <v/>
      </c>
      <c r="E7571" s="30" t="inlineStr">
        <is>
          <t>DOCE RIO FRETAMENTO E TURISMO LTDA</t>
        </is>
      </c>
      <c r="F7571" s="30" t="inlineStr">
        <is>
          <t>2020</t>
        </is>
      </c>
      <c r="G7571" s="40" t="n">
        <v>4200</v>
      </c>
    </row>
    <row r="7572" ht="12" customHeight="1">
      <c r="A7572" s="30" t="inlineStr">
        <is>
          <t>ITG</t>
        </is>
      </c>
      <c r="B7572" s="30" t="inlineStr">
        <is>
          <t>Itaguai</t>
        </is>
      </c>
      <c r="C7572" s="30" t="n">
        <v>84511161</v>
      </c>
      <c r="D7572" s="30">
        <f>"28816270000194"</f>
        <v/>
      </c>
      <c r="E7572" s="30" t="inlineStr">
        <is>
          <t>DOCE RIO FRETAMENTO E TURISMO LTDA</t>
        </is>
      </c>
      <c r="F7572" s="30" t="inlineStr">
        <is>
          <t>2021</t>
        </is>
      </c>
      <c r="G7572" s="40" t="n">
        <v>3300</v>
      </c>
    </row>
    <row r="7573" ht="12" customHeight="1">
      <c r="A7573" s="30" t="inlineStr">
        <is>
          <t>ITG</t>
        </is>
      </c>
      <c r="B7573" s="30" t="inlineStr">
        <is>
          <t>Itaguai</t>
        </is>
      </c>
      <c r="C7573" s="30" t="n">
        <v>84511161</v>
      </c>
      <c r="D7573" s="30">
        <f>"28816270000194"</f>
        <v/>
      </c>
      <c r="E7573" s="30" t="inlineStr">
        <is>
          <t>DOCE RIO FRETAMENTO E TURISMO LTDA</t>
        </is>
      </c>
      <c r="F7573" s="30" t="inlineStr">
        <is>
          <t>2022</t>
        </is>
      </c>
      <c r="G7573" s="40" t="n">
        <v>12350</v>
      </c>
    </row>
    <row r="7574" ht="12" customHeight="1">
      <c r="A7574" s="30" t="inlineStr">
        <is>
          <t>ITG</t>
        </is>
      </c>
      <c r="B7574" s="30" t="inlineStr">
        <is>
          <t>Itaguai</t>
        </is>
      </c>
      <c r="C7574" s="30" t="n">
        <v>84511161</v>
      </c>
      <c r="D7574" s="30">
        <f>"28816270000194"</f>
        <v/>
      </c>
      <c r="E7574" s="30" t="inlineStr">
        <is>
          <t>DOCE RIO FRETAMENTO E TURISMO LTDA</t>
        </is>
      </c>
      <c r="F7574" s="30" t="inlineStr">
        <is>
          <t>2023</t>
        </is>
      </c>
      <c r="G7574" s="40" t="n">
        <v>21600</v>
      </c>
    </row>
    <row r="7575" ht="12" customHeight="1">
      <c r="A7575" s="30" t="inlineStr">
        <is>
          <t>ITG</t>
        </is>
      </c>
      <c r="B7575" s="30" t="inlineStr">
        <is>
          <t>Itaguai</t>
        </is>
      </c>
      <c r="C7575" s="30" t="n">
        <v>84511277</v>
      </c>
      <c r="D7575" s="30">
        <f>"40433401000150"</f>
        <v/>
      </c>
      <c r="E7575" s="30" t="inlineStr">
        <is>
          <t>BWA TRANSPORTES ESPECIALIZADOS LTDA</t>
        </is>
      </c>
      <c r="F7575" s="30" t="inlineStr">
        <is>
          <t>2017</t>
        </is>
      </c>
      <c r="G7575" s="40" t="n">
        <v>2322.17</v>
      </c>
    </row>
    <row r="7576" ht="12" customHeight="1">
      <c r="A7576" s="30" t="inlineStr">
        <is>
          <t>ITG</t>
        </is>
      </c>
      <c r="B7576" s="30" t="inlineStr">
        <is>
          <t>Itaguai</t>
        </is>
      </c>
      <c r="C7576" s="30" t="n">
        <v>84511277</v>
      </c>
      <c r="D7576" s="30">
        <f>"40433401000150"</f>
        <v/>
      </c>
      <c r="E7576" s="30" t="inlineStr">
        <is>
          <t>BWA TRANSPORTES ESPECIALIZADOS LTDA</t>
        </is>
      </c>
      <c r="F7576" s="30" t="inlineStr">
        <is>
          <t>2018</t>
        </is>
      </c>
      <c r="G7576" s="40" t="n">
        <v>0</v>
      </c>
    </row>
    <row r="7577" ht="12" customHeight="1">
      <c r="A7577" s="30" t="inlineStr">
        <is>
          <t>ITG</t>
        </is>
      </c>
      <c r="B7577" s="30" t="inlineStr">
        <is>
          <t>Itaguai</t>
        </is>
      </c>
      <c r="C7577" s="30" t="n">
        <v>84511277</v>
      </c>
      <c r="D7577" s="30">
        <f>"40433401000150"</f>
        <v/>
      </c>
      <c r="E7577" s="30" t="inlineStr">
        <is>
          <t>BWA TRANSPORTES ESPECIALIZADOS LTDA</t>
        </is>
      </c>
      <c r="F7577" s="30" t="inlineStr">
        <is>
          <t>2019</t>
        </is>
      </c>
      <c r="G7577" s="40" t="n">
        <v>0</v>
      </c>
    </row>
    <row r="7578" ht="12" customHeight="1">
      <c r="A7578" s="30" t="inlineStr">
        <is>
          <t>ITG</t>
        </is>
      </c>
      <c r="B7578" s="30" t="inlineStr">
        <is>
          <t>Itaguai</t>
        </is>
      </c>
      <c r="C7578" s="30" t="n">
        <v>84511684</v>
      </c>
      <c r="D7578" s="30">
        <f>"36578458000170"</f>
        <v/>
      </c>
      <c r="E7578" s="30" t="inlineStr">
        <is>
          <t>RODOMAC DE MACAE RODOVIARIO LTDA</t>
        </is>
      </c>
      <c r="F7578" s="30" t="inlineStr">
        <is>
          <t>2021</t>
        </is>
      </c>
      <c r="G7578" s="40" t="n">
        <v>0</v>
      </c>
    </row>
    <row r="7579" ht="12" customHeight="1">
      <c r="A7579" s="30" t="inlineStr">
        <is>
          <t>ITG</t>
        </is>
      </c>
      <c r="B7579" s="30" t="inlineStr">
        <is>
          <t>Itaguai</t>
        </is>
      </c>
      <c r="C7579" s="30" t="n">
        <v>84511684</v>
      </c>
      <c r="D7579" s="30">
        <f>"36578458000170"</f>
        <v/>
      </c>
      <c r="E7579" s="30" t="inlineStr">
        <is>
          <t>RODOMAC DE MACAE RODOVIARIO LTDA</t>
        </is>
      </c>
      <c r="F7579" s="30" t="inlineStr">
        <is>
          <t>2022</t>
        </is>
      </c>
      <c r="G7579" s="40" t="n">
        <v>0</v>
      </c>
    </row>
    <row r="7580" ht="12" customHeight="1">
      <c r="A7580" s="30" t="inlineStr">
        <is>
          <t>ITG</t>
        </is>
      </c>
      <c r="B7580" s="30" t="inlineStr">
        <is>
          <t>Itaguai</t>
        </is>
      </c>
      <c r="C7580" s="30" t="n">
        <v>84511684</v>
      </c>
      <c r="D7580" s="30">
        <f>"36578458000170"</f>
        <v/>
      </c>
      <c r="E7580" s="30" t="inlineStr">
        <is>
          <t>RODOMAC DE MACAE RODOVIARIO LTDA</t>
        </is>
      </c>
      <c r="F7580" s="30" t="inlineStr">
        <is>
          <t>2023</t>
        </is>
      </c>
      <c r="G7580" s="40" t="n">
        <v>6025.7</v>
      </c>
    </row>
    <row r="7581" ht="12" customHeight="1">
      <c r="A7581" s="30" t="inlineStr">
        <is>
          <t>ITG</t>
        </is>
      </c>
      <c r="B7581" s="30" t="inlineStr">
        <is>
          <t>Itaguai</t>
        </is>
      </c>
      <c r="C7581" s="30" t="n">
        <v>84634395</v>
      </c>
      <c r="D7581" s="30">
        <f>"36541373000117"</f>
        <v/>
      </c>
      <c r="E7581" s="30" t="inlineStr">
        <is>
          <t>ESTANCIA TURISTICA JONOSAKE EIRELI ME</t>
        </is>
      </c>
      <c r="F7581" s="30" t="inlineStr">
        <is>
          <t>2017</t>
        </is>
      </c>
      <c r="G7581" s="40" t="n">
        <v>0</v>
      </c>
    </row>
    <row r="7582" ht="12" customHeight="1">
      <c r="A7582" s="30" t="inlineStr">
        <is>
          <t>ITG</t>
        </is>
      </c>
      <c r="B7582" s="30" t="inlineStr">
        <is>
          <t>Itaguai</t>
        </is>
      </c>
      <c r="C7582" s="30" t="n">
        <v>84634395</v>
      </c>
      <c r="D7582" s="30">
        <f>"36541373000117"</f>
        <v/>
      </c>
      <c r="E7582" s="30" t="inlineStr">
        <is>
          <t>ESTANCIA TURISTICA JONOSAKE EIRELI ME</t>
        </is>
      </c>
      <c r="F7582" s="30" t="inlineStr">
        <is>
          <t>2018</t>
        </is>
      </c>
      <c r="G7582" s="40" t="n">
        <v>0</v>
      </c>
    </row>
    <row r="7583" ht="12" customHeight="1">
      <c r="A7583" s="30" t="inlineStr">
        <is>
          <t>ITG</t>
        </is>
      </c>
      <c r="B7583" s="30" t="inlineStr">
        <is>
          <t>Itaguai</t>
        </is>
      </c>
      <c r="C7583" s="30" t="n">
        <v>84634395</v>
      </c>
      <c r="D7583" s="30">
        <f>"36541373000117"</f>
        <v/>
      </c>
      <c r="E7583" s="30" t="inlineStr">
        <is>
          <t>ESTANCIA TURISTICA JONOSAKE EIRELI ME</t>
        </is>
      </c>
      <c r="F7583" s="30" t="inlineStr">
        <is>
          <t>2019</t>
        </is>
      </c>
      <c r="G7583" s="40" t="n">
        <v>0</v>
      </c>
    </row>
    <row r="7584" ht="12" customHeight="1">
      <c r="A7584" s="30" t="inlineStr">
        <is>
          <t>ITG</t>
        </is>
      </c>
      <c r="B7584" s="30" t="inlineStr">
        <is>
          <t>Itaguai</t>
        </is>
      </c>
      <c r="C7584" s="30" t="n">
        <v>84634395</v>
      </c>
      <c r="D7584" s="30">
        <f>"36541373000117"</f>
        <v/>
      </c>
      <c r="E7584" s="30" t="inlineStr">
        <is>
          <t>ESTANCIA TURISTICA JONOSAKE EIRELI ME</t>
        </is>
      </c>
      <c r="F7584" s="30" t="inlineStr">
        <is>
          <t>2020</t>
        </is>
      </c>
      <c r="G7584" s="40" t="n">
        <v>0</v>
      </c>
    </row>
    <row r="7585" ht="12" customHeight="1">
      <c r="A7585" s="30" t="inlineStr">
        <is>
          <t>ITG</t>
        </is>
      </c>
      <c r="B7585" s="30" t="inlineStr">
        <is>
          <t>Itaguai</t>
        </is>
      </c>
      <c r="C7585" s="30" t="n">
        <v>84634395</v>
      </c>
      <c r="D7585" s="30">
        <f>"36541373000117"</f>
        <v/>
      </c>
      <c r="E7585" s="30" t="inlineStr">
        <is>
          <t>ESTANCIA TURISTICA JONOSAKE EIRELI ME</t>
        </is>
      </c>
      <c r="F7585" s="30" t="inlineStr">
        <is>
          <t>2021</t>
        </is>
      </c>
      <c r="G7585" s="40" t="n">
        <v>11568.61</v>
      </c>
    </row>
    <row r="7586" ht="12" customHeight="1">
      <c r="A7586" s="30" t="inlineStr">
        <is>
          <t>ITG</t>
        </is>
      </c>
      <c r="B7586" s="30" t="inlineStr">
        <is>
          <t>Itaguai</t>
        </is>
      </c>
      <c r="C7586" s="30" t="n">
        <v>84634395</v>
      </c>
      <c r="D7586" s="30">
        <f>"36541373000117"</f>
        <v/>
      </c>
      <c r="E7586" s="30" t="inlineStr">
        <is>
          <t>ESTANCIA TURISTICA JONOSAKE EIRELI ME</t>
        </is>
      </c>
      <c r="F7586" s="30" t="inlineStr">
        <is>
          <t>2022</t>
        </is>
      </c>
      <c r="G7586" s="40" t="n">
        <v>762937.67</v>
      </c>
    </row>
    <row r="7587" ht="12" customHeight="1">
      <c r="A7587" s="30" t="inlineStr">
        <is>
          <t>ITG</t>
        </is>
      </c>
      <c r="B7587" s="30" t="inlineStr">
        <is>
          <t>Itaguai</t>
        </is>
      </c>
      <c r="C7587" s="30" t="n">
        <v>84634395</v>
      </c>
      <c r="D7587" s="30">
        <f>"36541373000117"</f>
        <v/>
      </c>
      <c r="E7587" s="30" t="inlineStr">
        <is>
          <t>ESTANCIA TURISTICA JONOSAKE EIRELI ME</t>
        </is>
      </c>
      <c r="F7587" s="30" t="inlineStr">
        <is>
          <t>2023</t>
        </is>
      </c>
      <c r="G7587" s="40" t="n">
        <v>969923.64</v>
      </c>
    </row>
    <row r="7588" ht="12" customHeight="1">
      <c r="A7588" s="30" t="inlineStr">
        <is>
          <t>ITG</t>
        </is>
      </c>
      <c r="B7588" s="30" t="inlineStr">
        <is>
          <t>Itaguai</t>
        </is>
      </c>
      <c r="C7588" s="30" t="n">
        <v>84634557</v>
      </c>
      <c r="D7588" s="30">
        <f>"27195650001087"</f>
        <v/>
      </c>
      <c r="E7588" s="30" t="inlineStr">
        <is>
          <t>CEFL COMERCIO ELETRO GAS FUKAMATI LTDA</t>
        </is>
      </c>
      <c r="F7588" s="30" t="inlineStr">
        <is>
          <t>2017</t>
        </is>
      </c>
      <c r="G7588" s="40" t="n">
        <v>352658.67</v>
      </c>
    </row>
    <row r="7589" ht="12" customHeight="1">
      <c r="A7589" s="30" t="inlineStr">
        <is>
          <t>ITG</t>
        </is>
      </c>
      <c r="B7589" s="30" t="inlineStr">
        <is>
          <t>Itaguai</t>
        </is>
      </c>
      <c r="C7589" s="30" t="n">
        <v>84634557</v>
      </c>
      <c r="D7589" s="30">
        <f>"27195650001087"</f>
        <v/>
      </c>
      <c r="E7589" s="30" t="inlineStr">
        <is>
          <t>CEFL COMERCIO ELETRO GAS FUKAMATI LTDA</t>
        </is>
      </c>
      <c r="F7589" s="30" t="inlineStr">
        <is>
          <t>2018</t>
        </is>
      </c>
      <c r="G7589" s="40" t="n">
        <v>593004.12</v>
      </c>
    </row>
    <row r="7590" ht="12" customHeight="1">
      <c r="A7590" s="30" t="inlineStr">
        <is>
          <t>ITG</t>
        </is>
      </c>
      <c r="B7590" s="30" t="inlineStr">
        <is>
          <t>Itaguai</t>
        </is>
      </c>
      <c r="C7590" s="30" t="n">
        <v>84634557</v>
      </c>
      <c r="D7590" s="30">
        <f>"27195650001087"</f>
        <v/>
      </c>
      <c r="E7590" s="30" t="inlineStr">
        <is>
          <t>CEFL COMERCIO ELETRO GAS FUKAMATI LTDA</t>
        </is>
      </c>
      <c r="F7590" s="30" t="inlineStr">
        <is>
          <t>2019</t>
        </is>
      </c>
      <c r="G7590" s="40" t="n">
        <v>658622.45</v>
      </c>
    </row>
    <row r="7591" ht="12" customHeight="1">
      <c r="A7591" s="30" t="inlineStr">
        <is>
          <t>ITG</t>
        </is>
      </c>
      <c r="B7591" s="30" t="inlineStr">
        <is>
          <t>Itaguai</t>
        </is>
      </c>
      <c r="C7591" s="30" t="n">
        <v>84634557</v>
      </c>
      <c r="D7591" s="30">
        <f>"27195650001087"</f>
        <v/>
      </c>
      <c r="E7591" s="30" t="inlineStr">
        <is>
          <t>CEFL COMERCIO ELETRO GAS FUKAMATI LTDA</t>
        </is>
      </c>
      <c r="F7591" s="30" t="inlineStr">
        <is>
          <t>2020</t>
        </is>
      </c>
      <c r="G7591" s="40" t="n">
        <v>672813.22</v>
      </c>
    </row>
    <row r="7592" ht="12" customHeight="1">
      <c r="A7592" s="30" t="inlineStr">
        <is>
          <t>ITG</t>
        </is>
      </c>
      <c r="B7592" s="30" t="inlineStr">
        <is>
          <t>Itaguai</t>
        </is>
      </c>
      <c r="C7592" s="30" t="n">
        <v>84634557</v>
      </c>
      <c r="D7592" s="30">
        <f>"27195650001087"</f>
        <v/>
      </c>
      <c r="E7592" s="30" t="inlineStr">
        <is>
          <t>CEFL COMERCIO ELETRO GAS FUKAMATI LTDA</t>
        </is>
      </c>
      <c r="F7592" s="30" t="inlineStr">
        <is>
          <t>2021</t>
        </is>
      </c>
      <c r="G7592" s="40" t="n">
        <v>704649.36</v>
      </c>
    </row>
    <row r="7593" ht="12" customHeight="1">
      <c r="A7593" s="30" t="inlineStr">
        <is>
          <t>ITG</t>
        </is>
      </c>
      <c r="B7593" s="30" t="inlineStr">
        <is>
          <t>Itaguai</t>
        </is>
      </c>
      <c r="C7593" s="30" t="n">
        <v>84634557</v>
      </c>
      <c r="D7593" s="30">
        <f>"27195650001087"</f>
        <v/>
      </c>
      <c r="E7593" s="30" t="inlineStr">
        <is>
          <t>CEFL COMERCIO ELETRO GAS FUKAMATI LTDA</t>
        </is>
      </c>
      <c r="F7593" s="30" t="inlineStr">
        <is>
          <t>2022</t>
        </is>
      </c>
      <c r="G7593" s="40" t="n">
        <v>0</v>
      </c>
    </row>
    <row r="7594" ht="12" customHeight="1">
      <c r="A7594" s="30" t="inlineStr">
        <is>
          <t>ITG</t>
        </is>
      </c>
      <c r="B7594" s="30" t="inlineStr">
        <is>
          <t>Itaguai</t>
        </is>
      </c>
      <c r="C7594" s="30" t="n">
        <v>84634557</v>
      </c>
      <c r="D7594" s="30">
        <f>"27195650001087"</f>
        <v/>
      </c>
      <c r="E7594" s="30" t="inlineStr">
        <is>
          <t>CEFL COMERCIO ELETRO GAS FUKAMATI LTDA</t>
        </is>
      </c>
      <c r="F7594" s="30" t="inlineStr">
        <is>
          <t>2023</t>
        </is>
      </c>
      <c r="G7594" s="40" t="n">
        <v>1231739.29</v>
      </c>
    </row>
    <row r="7595" ht="12" customHeight="1">
      <c r="A7595" s="30" t="inlineStr">
        <is>
          <t>ITG</t>
        </is>
      </c>
      <c r="B7595" s="30" t="inlineStr">
        <is>
          <t>Itaguai</t>
        </is>
      </c>
      <c r="C7595" s="30" t="n">
        <v>84634611</v>
      </c>
      <c r="D7595" s="30">
        <f>"36086783000115"</f>
        <v/>
      </c>
      <c r="E7595" s="30" t="inlineStr">
        <is>
          <t>AREAL BARROSO EIRELI</t>
        </is>
      </c>
      <c r="F7595" s="30" t="inlineStr">
        <is>
          <t>2017</t>
        </is>
      </c>
      <c r="G7595" s="40" t="n">
        <v>0</v>
      </c>
    </row>
    <row r="7596" ht="12" customHeight="1">
      <c r="A7596" s="30" t="inlineStr">
        <is>
          <t>ITG</t>
        </is>
      </c>
      <c r="B7596" s="30" t="inlineStr">
        <is>
          <t>Itaguai</t>
        </is>
      </c>
      <c r="C7596" s="30" t="n">
        <v>84634611</v>
      </c>
      <c r="D7596" s="30">
        <f>"36086783000115"</f>
        <v/>
      </c>
      <c r="E7596" s="30" t="inlineStr">
        <is>
          <t>AREAL BARROSO EIRELI</t>
        </is>
      </c>
      <c r="F7596" s="30" t="inlineStr">
        <is>
          <t>2018</t>
        </is>
      </c>
      <c r="G7596" s="40" t="n">
        <v>29689</v>
      </c>
    </row>
    <row r="7597" ht="12" customHeight="1">
      <c r="A7597" s="30" t="inlineStr">
        <is>
          <t>ITG</t>
        </is>
      </c>
      <c r="B7597" s="30" t="inlineStr">
        <is>
          <t>Itaguai</t>
        </is>
      </c>
      <c r="C7597" s="30" t="n">
        <v>84634611</v>
      </c>
      <c r="D7597" s="30">
        <f>"36086783000115"</f>
        <v/>
      </c>
      <c r="E7597" s="30" t="inlineStr">
        <is>
          <t>AREAL BARROSO EIRELI</t>
        </is>
      </c>
      <c r="F7597" s="30" t="inlineStr">
        <is>
          <t>2019</t>
        </is>
      </c>
      <c r="G7597" s="40" t="n">
        <v>43272.32</v>
      </c>
    </row>
    <row r="7598" ht="12" customHeight="1">
      <c r="A7598" s="30" t="inlineStr">
        <is>
          <t>ITG</t>
        </is>
      </c>
      <c r="B7598" s="30" t="inlineStr">
        <is>
          <t>Itaguai</t>
        </is>
      </c>
      <c r="C7598" s="30" t="n">
        <v>84634611</v>
      </c>
      <c r="D7598" s="30">
        <f>"36086783000115"</f>
        <v/>
      </c>
      <c r="E7598" s="30" t="inlineStr">
        <is>
          <t>AREAL BARROSO EIRELI</t>
        </is>
      </c>
      <c r="F7598" s="30" t="inlineStr">
        <is>
          <t>2020</t>
        </is>
      </c>
      <c r="G7598" s="40" t="n">
        <v>48063.57</v>
      </c>
    </row>
    <row r="7599" ht="12" customHeight="1">
      <c r="A7599" s="30" t="inlineStr">
        <is>
          <t>ITG</t>
        </is>
      </c>
      <c r="B7599" s="30" t="inlineStr">
        <is>
          <t>Itaguai</t>
        </is>
      </c>
      <c r="C7599" s="30" t="n">
        <v>84634611</v>
      </c>
      <c r="D7599" s="30">
        <f>"36086783000115"</f>
        <v/>
      </c>
      <c r="E7599" s="30" t="inlineStr">
        <is>
          <t>AREAL BARROSO EIRELI</t>
        </is>
      </c>
      <c r="F7599" s="30" t="inlineStr">
        <is>
          <t>2021</t>
        </is>
      </c>
      <c r="G7599" s="40" t="n">
        <v>0</v>
      </c>
    </row>
    <row r="7600" ht="12" customHeight="1">
      <c r="A7600" s="30" t="inlineStr">
        <is>
          <t>ITG</t>
        </is>
      </c>
      <c r="B7600" s="30" t="inlineStr">
        <is>
          <t>Itaguai</t>
        </is>
      </c>
      <c r="C7600" s="30" t="n">
        <v>84634611</v>
      </c>
      <c r="D7600" s="30">
        <f>"36086783000115"</f>
        <v/>
      </c>
      <c r="E7600" s="30" t="inlineStr">
        <is>
          <t>AREAL BARROSO EIRELI</t>
        </is>
      </c>
      <c r="F7600" s="30" t="inlineStr">
        <is>
          <t>2022</t>
        </is>
      </c>
      <c r="G7600" s="40" t="n">
        <v>0</v>
      </c>
    </row>
    <row r="7601" ht="12" customHeight="1">
      <c r="A7601" s="30" t="inlineStr">
        <is>
          <t>ITG</t>
        </is>
      </c>
      <c r="B7601" s="30" t="inlineStr">
        <is>
          <t>Itaguai</t>
        </is>
      </c>
      <c r="C7601" s="30" t="n">
        <v>84635146</v>
      </c>
      <c r="D7601" s="30">
        <f>"68691237000108"</f>
        <v/>
      </c>
      <c r="E7601" s="30" t="inlineStr">
        <is>
          <t>RPIL RENOVADORA DE PNEUS ITAGUAI LTDA</t>
        </is>
      </c>
      <c r="F7601" s="30" t="inlineStr">
        <is>
          <t>2017</t>
        </is>
      </c>
      <c r="G7601" s="40" t="n">
        <v>1790057.78</v>
      </c>
    </row>
    <row r="7602" ht="12" customHeight="1">
      <c r="A7602" s="30" t="inlineStr">
        <is>
          <t>ITG</t>
        </is>
      </c>
      <c r="B7602" s="30" t="inlineStr">
        <is>
          <t>Itaguai</t>
        </is>
      </c>
      <c r="C7602" s="30" t="n">
        <v>84635146</v>
      </c>
      <c r="D7602" s="30">
        <f>"68691237000108"</f>
        <v/>
      </c>
      <c r="E7602" s="30" t="inlineStr">
        <is>
          <t>RPIL RENOVADORA DE PNEUS ITAGUAI LTDA</t>
        </is>
      </c>
      <c r="F7602" s="30" t="inlineStr">
        <is>
          <t>2018</t>
        </is>
      </c>
      <c r="G7602" s="40" t="n">
        <v>1225455.63</v>
      </c>
    </row>
    <row r="7603" ht="12" customHeight="1">
      <c r="A7603" s="30" t="inlineStr">
        <is>
          <t>ITG</t>
        </is>
      </c>
      <c r="B7603" s="30" t="inlineStr">
        <is>
          <t>Itaguai</t>
        </is>
      </c>
      <c r="C7603" s="30" t="n">
        <v>84635146</v>
      </c>
      <c r="D7603" s="30">
        <f>"68691237000108"</f>
        <v/>
      </c>
      <c r="E7603" s="30" t="inlineStr">
        <is>
          <t>RPIL RENOVADORA DE PNEUS ITAGUAI LTDA</t>
        </is>
      </c>
      <c r="F7603" s="30" t="inlineStr">
        <is>
          <t>2019</t>
        </is>
      </c>
      <c r="G7603" s="40" t="n">
        <v>2132864.37</v>
      </c>
    </row>
    <row r="7604" ht="12" customHeight="1">
      <c r="A7604" s="30" t="inlineStr">
        <is>
          <t>ITG</t>
        </is>
      </c>
      <c r="B7604" s="30" t="inlineStr">
        <is>
          <t>Itaguai</t>
        </is>
      </c>
      <c r="C7604" s="30" t="n">
        <v>84635146</v>
      </c>
      <c r="D7604" s="30">
        <f>"68691237000108"</f>
        <v/>
      </c>
      <c r="E7604" s="30" t="inlineStr">
        <is>
          <t>RPIL RENOVADORA DE PNEUS ITAGUAI LTDA</t>
        </is>
      </c>
      <c r="F7604" s="30" t="inlineStr">
        <is>
          <t>2020</t>
        </is>
      </c>
      <c r="G7604" s="40" t="n">
        <v>2884011.18</v>
      </c>
    </row>
    <row r="7605" ht="12" customHeight="1">
      <c r="A7605" s="30" t="inlineStr">
        <is>
          <t>ITG</t>
        </is>
      </c>
      <c r="B7605" s="30" t="inlineStr">
        <is>
          <t>Itaguai</t>
        </is>
      </c>
      <c r="C7605" s="30" t="n">
        <v>84635146</v>
      </c>
      <c r="D7605" s="30">
        <f>"68691237000108"</f>
        <v/>
      </c>
      <c r="E7605" s="30" t="inlineStr">
        <is>
          <t>RPIL RENOVADORA DE PNEUS ITAGUAI LTDA</t>
        </is>
      </c>
      <c r="F7605" s="30" t="inlineStr">
        <is>
          <t>2021</t>
        </is>
      </c>
      <c r="G7605" s="40" t="n">
        <v>3698235.41</v>
      </c>
    </row>
    <row r="7606" ht="12" customHeight="1">
      <c r="A7606" s="30" t="inlineStr">
        <is>
          <t>ITG</t>
        </is>
      </c>
      <c r="B7606" s="30" t="inlineStr">
        <is>
          <t>Itaguai</t>
        </is>
      </c>
      <c r="C7606" s="30" t="n">
        <v>84635146</v>
      </c>
      <c r="D7606" s="30">
        <f>"68691237000108"</f>
        <v/>
      </c>
      <c r="E7606" s="30" t="inlineStr">
        <is>
          <t>RPIL RENOVADORA DE PNEUS ITAGUAI LTDA</t>
        </is>
      </c>
      <c r="F7606" s="30" t="inlineStr">
        <is>
          <t>2022</t>
        </is>
      </c>
      <c r="G7606" s="40" t="n">
        <v>1023104.07</v>
      </c>
    </row>
    <row r="7607" ht="12" customHeight="1">
      <c r="A7607" s="30" t="inlineStr">
        <is>
          <t>ITG</t>
        </is>
      </c>
      <c r="B7607" s="30" t="inlineStr">
        <is>
          <t>Itaguai</t>
        </is>
      </c>
      <c r="C7607" s="30" t="n">
        <v>84635146</v>
      </c>
      <c r="D7607" s="30">
        <f>"68691237000108"</f>
        <v/>
      </c>
      <c r="E7607" s="30" t="inlineStr">
        <is>
          <t>RPIL RENOVADORA DE PNEUS ITAGUAI LTDA</t>
        </is>
      </c>
      <c r="F7607" s="30" t="inlineStr">
        <is>
          <t>2023</t>
        </is>
      </c>
      <c r="G7607" s="40" t="n">
        <v>2335855.67</v>
      </c>
    </row>
    <row r="7608" ht="12" customHeight="1">
      <c r="A7608" s="30" t="inlineStr">
        <is>
          <t>ITG</t>
        </is>
      </c>
      <c r="B7608" s="30" t="inlineStr">
        <is>
          <t>Itaguai</t>
        </is>
      </c>
      <c r="C7608" s="30" t="n">
        <v>84635685</v>
      </c>
      <c r="D7608" s="30">
        <f>"72037641000121"</f>
        <v/>
      </c>
      <c r="E7608" s="30" t="inlineStr">
        <is>
          <t>R MARTINS DA SILVA RESTAURANTE - ME</t>
        </is>
      </c>
      <c r="F7608" s="30" t="inlineStr">
        <is>
          <t>2017</t>
        </is>
      </c>
      <c r="G7608" s="40" t="n">
        <v>0</v>
      </c>
    </row>
    <row r="7609" ht="12" customHeight="1">
      <c r="A7609" s="30" t="inlineStr">
        <is>
          <t>ITG</t>
        </is>
      </c>
      <c r="B7609" s="30" t="inlineStr">
        <is>
          <t>Itaguai</t>
        </is>
      </c>
      <c r="C7609" s="30" t="n">
        <v>84635685</v>
      </c>
      <c r="D7609" s="30">
        <f>"72037641000121"</f>
        <v/>
      </c>
      <c r="E7609" s="30" t="inlineStr">
        <is>
          <t>R MARTINS DA SILVA RESTAURANTE - ME</t>
        </is>
      </c>
      <c r="F7609" s="30" t="inlineStr">
        <is>
          <t>2018</t>
        </is>
      </c>
      <c r="G7609" s="40" t="n">
        <v>0</v>
      </c>
    </row>
    <row r="7610" ht="12" customHeight="1">
      <c r="A7610" s="30" t="inlineStr">
        <is>
          <t>ITG</t>
        </is>
      </c>
      <c r="B7610" s="30" t="inlineStr">
        <is>
          <t>Itaguai</t>
        </is>
      </c>
      <c r="C7610" s="30" t="n">
        <v>84635685</v>
      </c>
      <c r="D7610" s="30">
        <f>"72037641000121"</f>
        <v/>
      </c>
      <c r="E7610" s="30" t="inlineStr">
        <is>
          <t>R MARTINS DA SILVA RESTAURANTE - ME</t>
        </is>
      </c>
      <c r="F7610" s="30" t="inlineStr">
        <is>
          <t>2019</t>
        </is>
      </c>
      <c r="G7610" s="40" t="n">
        <v>0</v>
      </c>
    </row>
    <row r="7611" ht="12" customHeight="1">
      <c r="A7611" s="30" t="inlineStr">
        <is>
          <t>ITG</t>
        </is>
      </c>
      <c r="B7611" s="30" t="inlineStr">
        <is>
          <t>Itaguai</t>
        </is>
      </c>
      <c r="C7611" s="30" t="n">
        <v>84636568</v>
      </c>
      <c r="D7611" s="30">
        <f>"36438687000199"</f>
        <v/>
      </c>
      <c r="E7611" s="30" t="inlineStr">
        <is>
          <t>AREAL SANTA ROSA DE ITAGUAI LTDA</t>
        </is>
      </c>
      <c r="F7611" s="30" t="inlineStr">
        <is>
          <t>2021</t>
        </is>
      </c>
      <c r="G7611" s="40" t="n">
        <v>0</v>
      </c>
    </row>
    <row r="7612" ht="12" customHeight="1">
      <c r="A7612" s="30" t="inlineStr">
        <is>
          <t>ITG</t>
        </is>
      </c>
      <c r="B7612" s="30" t="inlineStr">
        <is>
          <t>Itaguai</t>
        </is>
      </c>
      <c r="C7612" s="30" t="n">
        <v>84636568</v>
      </c>
      <c r="D7612" s="30">
        <f>"36438687000199"</f>
        <v/>
      </c>
      <c r="E7612" s="30" t="inlineStr">
        <is>
          <t>AREAL SANTA ROSA DE ITAGUAI LTDA</t>
        </is>
      </c>
      <c r="F7612" s="30" t="inlineStr">
        <is>
          <t>2022</t>
        </is>
      </c>
      <c r="G7612" s="40" t="n">
        <v>0</v>
      </c>
    </row>
    <row r="7613" ht="12" customHeight="1">
      <c r="A7613" s="30" t="inlineStr">
        <is>
          <t>ITG</t>
        </is>
      </c>
      <c r="B7613" s="30" t="inlineStr">
        <is>
          <t>Itaguai</t>
        </is>
      </c>
      <c r="C7613" s="30" t="n">
        <v>84636568</v>
      </c>
      <c r="D7613" s="30">
        <f>"36438687000199"</f>
        <v/>
      </c>
      <c r="E7613" s="30" t="inlineStr">
        <is>
          <t>AREAL SANTA ROSA DE ITAGUAI LTDA</t>
        </is>
      </c>
      <c r="F7613" s="30" t="inlineStr">
        <is>
          <t>2023</t>
        </is>
      </c>
      <c r="G7613" s="40" t="n">
        <v>1187878.72</v>
      </c>
    </row>
    <row r="7614" ht="12" customHeight="1">
      <c r="A7614" s="30" t="inlineStr">
        <is>
          <t>ITG</t>
        </is>
      </c>
      <c r="B7614" s="30" t="inlineStr">
        <is>
          <t>Itaguai</t>
        </is>
      </c>
      <c r="C7614" s="30" t="n">
        <v>84636754</v>
      </c>
      <c r="D7614" s="30">
        <f>"36542934000100"</f>
        <v/>
      </c>
      <c r="E7614" s="30" t="inlineStr">
        <is>
          <t>ELETRO MAQUINAS E FERRAGENS LTDA ME</t>
        </is>
      </c>
      <c r="F7614" s="30" t="inlineStr">
        <is>
          <t>2017</t>
        </is>
      </c>
      <c r="G7614" s="40" t="n">
        <v>0</v>
      </c>
    </row>
    <row r="7615" ht="12" customHeight="1">
      <c r="A7615" s="30" t="inlineStr">
        <is>
          <t>ITG</t>
        </is>
      </c>
      <c r="B7615" s="30" t="inlineStr">
        <is>
          <t>Itaguai</t>
        </is>
      </c>
      <c r="C7615" s="30" t="n">
        <v>84636754</v>
      </c>
      <c r="D7615" s="30">
        <f>"36542934000100"</f>
        <v/>
      </c>
      <c r="E7615" s="30" t="inlineStr">
        <is>
          <t>ELETRO MAQUINAS E FERRAGENS LTDA ME</t>
        </is>
      </c>
      <c r="F7615" s="30" t="inlineStr">
        <is>
          <t>2018</t>
        </is>
      </c>
      <c r="G7615" s="40" t="n">
        <v>0</v>
      </c>
    </row>
    <row r="7616" ht="12" customHeight="1">
      <c r="A7616" s="30" t="inlineStr">
        <is>
          <t>ITG</t>
        </is>
      </c>
      <c r="B7616" s="30" t="inlineStr">
        <is>
          <t>Itaguai</t>
        </is>
      </c>
      <c r="C7616" s="30" t="n">
        <v>84636754</v>
      </c>
      <c r="D7616" s="30">
        <f>"36542934000100"</f>
        <v/>
      </c>
      <c r="E7616" s="30" t="inlineStr">
        <is>
          <t>ELETRO MAQUINAS E FERRAGENS LTDA ME</t>
        </is>
      </c>
      <c r="F7616" s="30" t="inlineStr">
        <is>
          <t>2019</t>
        </is>
      </c>
      <c r="G7616" s="40" t="n">
        <v>987806.64</v>
      </c>
    </row>
    <row r="7617" ht="12" customHeight="1">
      <c r="A7617" s="30" t="inlineStr">
        <is>
          <t>ITG</t>
        </is>
      </c>
      <c r="B7617" s="30" t="inlineStr">
        <is>
          <t>Itaguai</t>
        </is>
      </c>
      <c r="C7617" s="30" t="n">
        <v>84636754</v>
      </c>
      <c r="D7617" s="30">
        <f>"36542934000100"</f>
        <v/>
      </c>
      <c r="E7617" s="30" t="inlineStr">
        <is>
          <t>ELETRO MAQUINAS E FERRAGENS LTDA ME</t>
        </is>
      </c>
      <c r="F7617" s="30" t="inlineStr">
        <is>
          <t>2020</t>
        </is>
      </c>
      <c r="G7617" s="40" t="n">
        <v>1390320.29</v>
      </c>
    </row>
    <row r="7618" ht="12" customHeight="1">
      <c r="A7618" s="30" t="inlineStr">
        <is>
          <t>ITG</t>
        </is>
      </c>
      <c r="B7618" s="30" t="inlineStr">
        <is>
          <t>Itaguai</t>
        </is>
      </c>
      <c r="C7618" s="30" t="n">
        <v>84636754</v>
      </c>
      <c r="D7618" s="30">
        <f>"36542934000100"</f>
        <v/>
      </c>
      <c r="E7618" s="30" t="inlineStr">
        <is>
          <t>ELETRO MAQUINAS E FERRAGENS LTDA ME</t>
        </is>
      </c>
      <c r="F7618" s="30" t="inlineStr">
        <is>
          <t>2021</t>
        </is>
      </c>
      <c r="G7618" s="40" t="n">
        <v>1367138.19</v>
      </c>
    </row>
    <row r="7619" ht="12" customHeight="1">
      <c r="A7619" s="30" t="inlineStr">
        <is>
          <t>ITG</t>
        </is>
      </c>
      <c r="B7619" s="30" t="inlineStr">
        <is>
          <t>Itaguai</t>
        </is>
      </c>
      <c r="C7619" s="30" t="n">
        <v>84636754</v>
      </c>
      <c r="D7619" s="30">
        <f>"36542934000100"</f>
        <v/>
      </c>
      <c r="E7619" s="30" t="inlineStr">
        <is>
          <t>ELETRO MAQUINAS E FERRAGENS LTDA ME</t>
        </is>
      </c>
      <c r="F7619" s="30" t="inlineStr">
        <is>
          <t>2022</t>
        </is>
      </c>
      <c r="G7619" s="40" t="n">
        <v>0</v>
      </c>
    </row>
    <row r="7620" ht="12" customHeight="1">
      <c r="A7620" s="30" t="inlineStr">
        <is>
          <t>ITG</t>
        </is>
      </c>
      <c r="B7620" s="30" t="inlineStr">
        <is>
          <t>Itaguai</t>
        </is>
      </c>
      <c r="C7620" s="30" t="n">
        <v>84636754</v>
      </c>
      <c r="D7620" s="30">
        <f>"36542934000100"</f>
        <v/>
      </c>
      <c r="E7620" s="30" t="inlineStr">
        <is>
          <t>ELETRO MAQUINAS E FERRAGENS LTDA ME</t>
        </is>
      </c>
      <c r="F7620" s="30" t="inlineStr">
        <is>
          <t>2023</t>
        </is>
      </c>
      <c r="G7620" s="40" t="n">
        <v>68559.53</v>
      </c>
    </row>
    <row r="7621" ht="12" customHeight="1">
      <c r="A7621" s="30" t="inlineStr">
        <is>
          <t>ITG</t>
        </is>
      </c>
      <c r="B7621" s="30" t="inlineStr">
        <is>
          <t>Itaguai</t>
        </is>
      </c>
      <c r="C7621" s="30" t="n">
        <v>84637114</v>
      </c>
      <c r="D7621" s="30">
        <f>"33042730011572"</f>
        <v/>
      </c>
      <c r="E7621" s="30" t="inlineStr">
        <is>
          <t>COMPANHIA SIDERURGICA NACIONAL</t>
        </is>
      </c>
      <c r="F7621" s="30" t="inlineStr">
        <is>
          <t>2017</t>
        </is>
      </c>
      <c r="G7621" s="40" t="n">
        <v>0</v>
      </c>
    </row>
    <row r="7622" ht="12" customHeight="1">
      <c r="A7622" s="30" t="inlineStr">
        <is>
          <t>ITG</t>
        </is>
      </c>
      <c r="B7622" s="30" t="inlineStr">
        <is>
          <t>Itaguai</t>
        </is>
      </c>
      <c r="C7622" s="30" t="n">
        <v>84637114</v>
      </c>
      <c r="D7622" s="30">
        <f>"33042730011572"</f>
        <v/>
      </c>
      <c r="E7622" s="30" t="inlineStr">
        <is>
          <t>COMPANHIA SIDERURGICA NACIONAL</t>
        </is>
      </c>
      <c r="F7622" s="30" t="inlineStr">
        <is>
          <t>2018</t>
        </is>
      </c>
      <c r="G7622" s="40" t="n">
        <v>0</v>
      </c>
    </row>
    <row r="7623" ht="12" customHeight="1">
      <c r="A7623" s="30" t="inlineStr">
        <is>
          <t>ITG</t>
        </is>
      </c>
      <c r="B7623" s="30" t="inlineStr">
        <is>
          <t>Itaguai</t>
        </is>
      </c>
      <c r="C7623" s="30" t="n">
        <v>84637114</v>
      </c>
      <c r="D7623" s="30">
        <f>"33042730011572"</f>
        <v/>
      </c>
      <c r="E7623" s="30" t="inlineStr">
        <is>
          <t>COMPANHIA SIDERURGICA NACIONAL</t>
        </is>
      </c>
      <c r="F7623" s="30" t="inlineStr">
        <is>
          <t>2019</t>
        </is>
      </c>
      <c r="G7623" s="40" t="n">
        <v>0</v>
      </c>
    </row>
    <row r="7624" ht="12" customHeight="1">
      <c r="A7624" s="30" t="inlineStr">
        <is>
          <t>ITG</t>
        </is>
      </c>
      <c r="B7624" s="30" t="inlineStr">
        <is>
          <t>Itaguai</t>
        </is>
      </c>
      <c r="C7624" s="30" t="n">
        <v>84701254</v>
      </c>
      <c r="D7624" s="30">
        <f>"17689837000273"</f>
        <v/>
      </c>
      <c r="E7624" s="30" t="inlineStr">
        <is>
          <t>IBOR TRANSPORTE RODOVIARIO LTDA</t>
        </is>
      </c>
      <c r="F7624" s="30" t="inlineStr">
        <is>
          <t>2018</t>
        </is>
      </c>
      <c r="G7624" s="40" t="n">
        <v>0</v>
      </c>
    </row>
    <row r="7625" ht="12" customHeight="1">
      <c r="A7625" s="30" t="inlineStr">
        <is>
          <t>ITG</t>
        </is>
      </c>
      <c r="B7625" s="30" t="inlineStr">
        <is>
          <t>Itaguai</t>
        </is>
      </c>
      <c r="C7625" s="30" t="n">
        <v>84701254</v>
      </c>
      <c r="D7625" s="30">
        <f>"17689837000273"</f>
        <v/>
      </c>
      <c r="E7625" s="30" t="inlineStr">
        <is>
          <t>IBOR TRANSPORTE RODOVIARIO LTDA</t>
        </is>
      </c>
      <c r="F7625" s="30" t="inlineStr">
        <is>
          <t>2019</t>
        </is>
      </c>
      <c r="G7625" s="40" t="n">
        <v>0</v>
      </c>
    </row>
    <row r="7626" ht="12" customHeight="1">
      <c r="A7626" s="30" t="inlineStr">
        <is>
          <t>ITG</t>
        </is>
      </c>
      <c r="B7626" s="30" t="inlineStr">
        <is>
          <t>Itaguai</t>
        </is>
      </c>
      <c r="C7626" s="30" t="n">
        <v>84701254</v>
      </c>
      <c r="D7626" s="30">
        <f>"17689837000273"</f>
        <v/>
      </c>
      <c r="E7626" s="30" t="inlineStr">
        <is>
          <t>IBOR TRANSPORTE RODOVIARIO LTDA</t>
        </is>
      </c>
      <c r="F7626" s="30" t="inlineStr">
        <is>
          <t>2020</t>
        </is>
      </c>
      <c r="G7626" s="40" t="n">
        <v>7669.75</v>
      </c>
    </row>
    <row r="7627" ht="12" customHeight="1">
      <c r="A7627" s="30" t="inlineStr">
        <is>
          <t>ITG</t>
        </is>
      </c>
      <c r="B7627" s="30" t="inlineStr">
        <is>
          <t>Itaguai</t>
        </is>
      </c>
      <c r="C7627" s="30" t="n">
        <v>84701254</v>
      </c>
      <c r="D7627" s="30">
        <f>"17689837000273"</f>
        <v/>
      </c>
      <c r="E7627" s="30" t="inlineStr">
        <is>
          <t>IBOR TRANSPORTE RODOVIARIO LTDA</t>
        </is>
      </c>
      <c r="F7627" s="30" t="inlineStr">
        <is>
          <t>2021</t>
        </is>
      </c>
      <c r="G7627" s="40" t="n">
        <v>0</v>
      </c>
    </row>
    <row r="7628" ht="12" customHeight="1">
      <c r="A7628" s="30" t="inlineStr">
        <is>
          <t>ITG</t>
        </is>
      </c>
      <c r="B7628" s="30" t="inlineStr">
        <is>
          <t>Itaguai</t>
        </is>
      </c>
      <c r="C7628" s="30" t="n">
        <v>84701254</v>
      </c>
      <c r="D7628" s="30">
        <f>"17689837000273"</f>
        <v/>
      </c>
      <c r="E7628" s="30" t="inlineStr">
        <is>
          <t>IBOR TRANSPORTE RODOVIARIO LTDA</t>
        </is>
      </c>
      <c r="F7628" s="30" t="inlineStr">
        <is>
          <t>2022</t>
        </is>
      </c>
      <c r="G7628" s="40" t="n">
        <v>11360</v>
      </c>
    </row>
    <row r="7629" ht="12" customHeight="1">
      <c r="A7629" s="30" t="inlineStr">
        <is>
          <t>ITG</t>
        </is>
      </c>
      <c r="B7629" s="30" t="inlineStr">
        <is>
          <t>Itaguai</t>
        </is>
      </c>
      <c r="C7629" s="30" t="n">
        <v>84701254</v>
      </c>
      <c r="D7629" s="30">
        <f>"17689837000273"</f>
        <v/>
      </c>
      <c r="E7629" s="30" t="inlineStr">
        <is>
          <t>IBOR TRANSPORTE RODOVIARIO LTDA</t>
        </is>
      </c>
      <c r="F7629" s="30" t="inlineStr">
        <is>
          <t>2023</t>
        </is>
      </c>
      <c r="G7629" s="40" t="n">
        <v>3270</v>
      </c>
    </row>
    <row r="7630" ht="12" customHeight="1">
      <c r="A7630" s="30" t="inlineStr">
        <is>
          <t>ITG</t>
        </is>
      </c>
      <c r="B7630" s="30" t="inlineStr">
        <is>
          <t>Itaguai</t>
        </is>
      </c>
      <c r="C7630" s="30" t="n">
        <v>84718092</v>
      </c>
      <c r="D7630" s="30">
        <f>"39162235000115"</f>
        <v/>
      </c>
      <c r="E7630" s="30" t="inlineStr">
        <is>
          <t>SUPERIMAGEM TECNOLOGIA EM ELETRONICA LTDA</t>
        </is>
      </c>
      <c r="F7630" s="30" t="inlineStr">
        <is>
          <t>2017</t>
        </is>
      </c>
      <c r="G7630" s="40" t="n">
        <v>6080.87</v>
      </c>
    </row>
    <row r="7631" ht="12" customHeight="1">
      <c r="A7631" s="30" t="inlineStr">
        <is>
          <t>ITG</t>
        </is>
      </c>
      <c r="B7631" s="30" t="inlineStr">
        <is>
          <t>Itaguai</t>
        </is>
      </c>
      <c r="C7631" s="30" t="n">
        <v>84718092</v>
      </c>
      <c r="D7631" s="30">
        <f>"39162235000115"</f>
        <v/>
      </c>
      <c r="E7631" s="30" t="inlineStr">
        <is>
          <t>SUPERIMAGEM TECNOLOGIA EM ELETRONICA LTDA</t>
        </is>
      </c>
      <c r="F7631" s="30" t="inlineStr">
        <is>
          <t>2018</t>
        </is>
      </c>
      <c r="G7631" s="40" t="n">
        <v>13961.57</v>
      </c>
    </row>
    <row r="7632" ht="12" customHeight="1">
      <c r="A7632" s="30" t="inlineStr">
        <is>
          <t>ITG</t>
        </is>
      </c>
      <c r="B7632" s="30" t="inlineStr">
        <is>
          <t>Itaguai</t>
        </is>
      </c>
      <c r="C7632" s="30" t="n">
        <v>84718092</v>
      </c>
      <c r="D7632" s="30">
        <f>"39162235000115"</f>
        <v/>
      </c>
      <c r="E7632" s="30" t="inlineStr">
        <is>
          <t>SUPERIMAGEM TECNOLOGIA EM ELETRONICA LTDA</t>
        </is>
      </c>
      <c r="F7632" s="30" t="inlineStr">
        <is>
          <t>2019</t>
        </is>
      </c>
      <c r="G7632" s="40" t="n">
        <v>81536.72</v>
      </c>
    </row>
    <row r="7633" ht="12" customHeight="1">
      <c r="A7633" s="30" t="inlineStr">
        <is>
          <t>ITG</t>
        </is>
      </c>
      <c r="B7633" s="30" t="inlineStr">
        <is>
          <t>Itaguai</t>
        </is>
      </c>
      <c r="C7633" s="30" t="n">
        <v>84718092</v>
      </c>
      <c r="D7633" s="30">
        <f>"39162235000115"</f>
        <v/>
      </c>
      <c r="E7633" s="30" t="inlineStr">
        <is>
          <t>SUPERIMAGEM TECNOLOGIA EM ELETRONICA LTDA</t>
        </is>
      </c>
      <c r="F7633" s="30" t="inlineStr">
        <is>
          <t>2020</t>
        </is>
      </c>
      <c r="G7633" s="40" t="n">
        <v>136002.15</v>
      </c>
    </row>
    <row r="7634" ht="12" customHeight="1">
      <c r="A7634" s="30" t="inlineStr">
        <is>
          <t>ITG</t>
        </is>
      </c>
      <c r="B7634" s="30" t="inlineStr">
        <is>
          <t>Itaguai</t>
        </is>
      </c>
      <c r="C7634" s="30" t="n">
        <v>84718092</v>
      </c>
      <c r="D7634" s="30">
        <f>"39162235000115"</f>
        <v/>
      </c>
      <c r="E7634" s="30" t="inlineStr">
        <is>
          <t>SUPERIMAGEM TECNOLOGIA EM ELETRONICA LTDA</t>
        </is>
      </c>
      <c r="F7634" s="30" t="inlineStr">
        <is>
          <t>2021</t>
        </is>
      </c>
      <c r="G7634" s="40" t="n">
        <v>149540.53</v>
      </c>
    </row>
    <row r="7635" ht="12" customHeight="1">
      <c r="A7635" s="30" t="inlineStr">
        <is>
          <t>ITG</t>
        </is>
      </c>
      <c r="B7635" s="30" t="inlineStr">
        <is>
          <t>Itaguai</t>
        </is>
      </c>
      <c r="C7635" s="30" t="n">
        <v>84718092</v>
      </c>
      <c r="D7635" s="30">
        <f>"39162235000115"</f>
        <v/>
      </c>
      <c r="E7635" s="30" t="inlineStr">
        <is>
          <t>SUPERIMAGEM TECNOLOGIA EM ELETRONICA LTDA</t>
        </is>
      </c>
      <c r="F7635" s="30" t="inlineStr">
        <is>
          <t>2022</t>
        </is>
      </c>
      <c r="G7635" s="40" t="n">
        <v>143063.36</v>
      </c>
    </row>
    <row r="7636" ht="12" customHeight="1">
      <c r="A7636" s="30" t="inlineStr">
        <is>
          <t>ITG</t>
        </is>
      </c>
      <c r="B7636" s="30" t="inlineStr">
        <is>
          <t>Itaguai</t>
        </is>
      </c>
      <c r="C7636" s="30" t="n">
        <v>84718092</v>
      </c>
      <c r="D7636" s="30">
        <f>"39162235000115"</f>
        <v/>
      </c>
      <c r="E7636" s="30" t="inlineStr">
        <is>
          <t>SUPERIMAGEM TECNOLOGIA EM ELETRONICA LTDA</t>
        </is>
      </c>
      <c r="F7636" s="30" t="inlineStr">
        <is>
          <t>2023</t>
        </is>
      </c>
      <c r="G7636" s="40" t="n">
        <v>229123.8</v>
      </c>
    </row>
    <row r="7637" ht="12" customHeight="1">
      <c r="A7637" s="30" t="inlineStr">
        <is>
          <t>ITG</t>
        </is>
      </c>
      <c r="B7637" s="30" t="inlineStr">
        <is>
          <t>Itaguai</t>
        </is>
      </c>
      <c r="C7637" s="30" t="n">
        <v>84780707</v>
      </c>
      <c r="D7637" s="30">
        <f>"33352394000104"</f>
        <v/>
      </c>
      <c r="E7637" s="30" t="inlineStr">
        <is>
          <t>COMPANHIA ESTADUAL DE AGUAS E ESGOTOS CEDAE</t>
        </is>
      </c>
      <c r="F7637" s="30" t="inlineStr">
        <is>
          <t>2017</t>
        </is>
      </c>
      <c r="G7637" s="40" t="n">
        <v>29708931.31</v>
      </c>
    </row>
    <row r="7638" ht="12" customHeight="1">
      <c r="A7638" s="30" t="inlineStr">
        <is>
          <t>ITG</t>
        </is>
      </c>
      <c r="B7638" s="30" t="inlineStr">
        <is>
          <t>Itaguai</t>
        </is>
      </c>
      <c r="C7638" s="30" t="n">
        <v>84780707</v>
      </c>
      <c r="D7638" s="30">
        <f>"33352394000104"</f>
        <v/>
      </c>
      <c r="E7638" s="30" t="inlineStr">
        <is>
          <t>COMPANHIA ESTADUAL DE AGUAS E ESGOTOS CEDAE</t>
        </is>
      </c>
      <c r="F7638" s="30" t="inlineStr">
        <is>
          <t>2018</t>
        </is>
      </c>
      <c r="G7638" s="40" t="n">
        <v>34477035.84</v>
      </c>
    </row>
    <row r="7639" ht="12" customHeight="1">
      <c r="A7639" s="30" t="inlineStr">
        <is>
          <t>ITG</t>
        </is>
      </c>
      <c r="B7639" s="30" t="inlineStr">
        <is>
          <t>Itaguai</t>
        </is>
      </c>
      <c r="C7639" s="30" t="n">
        <v>84780707</v>
      </c>
      <c r="D7639" s="30">
        <f>"33352394000104"</f>
        <v/>
      </c>
      <c r="E7639" s="30" t="inlineStr">
        <is>
          <t>COMPANHIA ESTADUAL DE AGUAS E ESGOTOS CEDAE</t>
        </is>
      </c>
      <c r="F7639" s="30" t="inlineStr">
        <is>
          <t>2019</t>
        </is>
      </c>
      <c r="G7639" s="40" t="n">
        <v>37008975.74</v>
      </c>
    </row>
    <row r="7640" ht="12" customHeight="1">
      <c r="A7640" s="30" t="inlineStr">
        <is>
          <t>ITG</t>
        </is>
      </c>
      <c r="B7640" s="30" t="inlineStr">
        <is>
          <t>Itaguai</t>
        </is>
      </c>
      <c r="C7640" s="30" t="n">
        <v>84780707</v>
      </c>
      <c r="D7640" s="30">
        <f>"33352394000104"</f>
        <v/>
      </c>
      <c r="E7640" s="30" t="inlineStr">
        <is>
          <t>COMPANHIA ESTADUAL DE AGUAS E ESGOTOS CEDAE</t>
        </is>
      </c>
      <c r="F7640" s="30" t="inlineStr">
        <is>
          <t>2020</t>
        </is>
      </c>
      <c r="G7640" s="40" t="n">
        <v>0</v>
      </c>
    </row>
    <row r="7641" ht="12" customHeight="1">
      <c r="A7641" s="30" t="inlineStr">
        <is>
          <t>ITG</t>
        </is>
      </c>
      <c r="B7641" s="30" t="inlineStr">
        <is>
          <t>Itaguai</t>
        </is>
      </c>
      <c r="C7641" s="30" t="n">
        <v>84780707</v>
      </c>
      <c r="D7641" s="30">
        <f>"33352394000104"</f>
        <v/>
      </c>
      <c r="E7641" s="30" t="inlineStr">
        <is>
          <t>COMPANHIA ESTADUAL DE AGUAS E ESGOTOS CEDAE</t>
        </is>
      </c>
      <c r="F7641" s="30" t="inlineStr">
        <is>
          <t>2021</t>
        </is>
      </c>
      <c r="G7641" s="40" t="n">
        <v>0</v>
      </c>
    </row>
    <row r="7642" ht="12" customHeight="1">
      <c r="A7642" s="30" t="inlineStr">
        <is>
          <t>ITG</t>
        </is>
      </c>
      <c r="B7642" s="30" t="inlineStr">
        <is>
          <t>Itaguai</t>
        </is>
      </c>
      <c r="C7642" s="30" t="n">
        <v>85094122</v>
      </c>
      <c r="D7642" s="30">
        <f>"39459839000128"</f>
        <v/>
      </c>
      <c r="E7642" s="30" t="inlineStr">
        <is>
          <t>TITAL ALUMINIO E FERRO EIRELI</t>
        </is>
      </c>
      <c r="F7642" s="30" t="inlineStr">
        <is>
          <t>2017</t>
        </is>
      </c>
      <c r="G7642" s="40" t="n">
        <v>0</v>
      </c>
    </row>
    <row r="7643" ht="12" customHeight="1">
      <c r="A7643" s="30" t="inlineStr">
        <is>
          <t>ITG</t>
        </is>
      </c>
      <c r="B7643" s="30" t="inlineStr">
        <is>
          <t>Itaguai</t>
        </is>
      </c>
      <c r="C7643" s="30" t="n">
        <v>85094122</v>
      </c>
      <c r="D7643" s="30">
        <f>"39459839000128"</f>
        <v/>
      </c>
      <c r="E7643" s="30" t="inlineStr">
        <is>
          <t>TITAL ALUMINIO E FERRO EIRELI</t>
        </is>
      </c>
      <c r="F7643" s="30" t="inlineStr">
        <is>
          <t>2018</t>
        </is>
      </c>
      <c r="G7643" s="40" t="n">
        <v>183793.8</v>
      </c>
    </row>
    <row r="7644" ht="12" customHeight="1">
      <c r="A7644" s="30" t="inlineStr">
        <is>
          <t>ITG</t>
        </is>
      </c>
      <c r="B7644" s="30" t="inlineStr">
        <is>
          <t>Itaguai</t>
        </is>
      </c>
      <c r="C7644" s="30" t="n">
        <v>85094122</v>
      </c>
      <c r="D7644" s="30">
        <f>"39459839000128"</f>
        <v/>
      </c>
      <c r="E7644" s="30" t="inlineStr">
        <is>
          <t>TITAL ALUMINIO E FERRO EIRELI</t>
        </is>
      </c>
      <c r="F7644" s="30" t="inlineStr">
        <is>
          <t>2019</t>
        </is>
      </c>
      <c r="G7644" s="40" t="n">
        <v>481726.99</v>
      </c>
    </row>
    <row r="7645" ht="12" customHeight="1">
      <c r="A7645" s="30" t="inlineStr">
        <is>
          <t>ITG</t>
        </is>
      </c>
      <c r="B7645" s="30" t="inlineStr">
        <is>
          <t>Itaguai</t>
        </is>
      </c>
      <c r="C7645" s="30" t="n">
        <v>85094122</v>
      </c>
      <c r="D7645" s="30">
        <f>"39459839000128"</f>
        <v/>
      </c>
      <c r="E7645" s="30" t="inlineStr">
        <is>
          <t>TITAL ALUMINIO E FERRO EIRELI</t>
        </is>
      </c>
      <c r="F7645" s="30" t="inlineStr">
        <is>
          <t>2020</t>
        </is>
      </c>
      <c r="G7645" s="40" t="n">
        <v>0</v>
      </c>
    </row>
    <row r="7646" ht="12" customHeight="1">
      <c r="A7646" s="30" t="inlineStr">
        <is>
          <t>ITG</t>
        </is>
      </c>
      <c r="B7646" s="30" t="inlineStr">
        <is>
          <t>Itaguai</t>
        </is>
      </c>
      <c r="C7646" s="30" t="n">
        <v>85094122</v>
      </c>
      <c r="D7646" s="30">
        <f>"39459839000128"</f>
        <v/>
      </c>
      <c r="E7646" s="30" t="inlineStr">
        <is>
          <t>TITAL ALUMINIO E FERRO EIRELI</t>
        </is>
      </c>
      <c r="F7646" s="30" t="inlineStr">
        <is>
          <t>2021</t>
        </is>
      </c>
      <c r="G7646" s="40" t="n">
        <v>0</v>
      </c>
    </row>
    <row r="7647" ht="12" customHeight="1">
      <c r="A7647" s="30" t="inlineStr">
        <is>
          <t>ITG</t>
        </is>
      </c>
      <c r="B7647" s="30" t="inlineStr">
        <is>
          <t>Itaguai</t>
        </is>
      </c>
      <c r="C7647" s="30" t="n">
        <v>85102729</v>
      </c>
      <c r="D7647" s="30">
        <f>"87858361000402"</f>
        <v/>
      </c>
      <c r="E7647" s="30" t="inlineStr">
        <is>
          <t>RAPIDO GARIBALDI DE TRANSPORTES LTDA</t>
        </is>
      </c>
      <c r="F7647" s="30" t="inlineStr">
        <is>
          <t>2017</t>
        </is>
      </c>
      <c r="G7647" s="40" t="n">
        <v>0</v>
      </c>
    </row>
    <row r="7648" ht="12" customHeight="1">
      <c r="A7648" s="30" t="inlineStr">
        <is>
          <t>ITG</t>
        </is>
      </c>
      <c r="B7648" s="30" t="inlineStr">
        <is>
          <t>Itaguai</t>
        </is>
      </c>
      <c r="C7648" s="30" t="n">
        <v>85102729</v>
      </c>
      <c r="D7648" s="30">
        <f>"87858361000402"</f>
        <v/>
      </c>
      <c r="E7648" s="30" t="inlineStr">
        <is>
          <t>RAPIDO GARIBALDI DE TRANSPORTES LTDA</t>
        </is>
      </c>
      <c r="F7648" s="30" t="inlineStr">
        <is>
          <t>2018</t>
        </is>
      </c>
      <c r="G7648" s="40" t="n">
        <v>163.78</v>
      </c>
    </row>
    <row r="7649" ht="12" customHeight="1">
      <c r="A7649" s="30" t="inlineStr">
        <is>
          <t>ITG</t>
        </is>
      </c>
      <c r="B7649" s="30" t="inlineStr">
        <is>
          <t>Itaguai</t>
        </is>
      </c>
      <c r="C7649" s="30" t="n">
        <v>85102729</v>
      </c>
      <c r="D7649" s="30">
        <f>"87858361000402"</f>
        <v/>
      </c>
      <c r="E7649" s="30" t="inlineStr">
        <is>
          <t>RAPIDO GARIBALDI DE TRANSPORTES LTDA</t>
        </is>
      </c>
      <c r="F7649" s="30" t="inlineStr">
        <is>
          <t>2019</t>
        </is>
      </c>
      <c r="G7649" s="40" t="n">
        <v>495.73</v>
      </c>
    </row>
    <row r="7650" ht="12" customHeight="1">
      <c r="A7650" s="30" t="inlineStr">
        <is>
          <t>ITG</t>
        </is>
      </c>
      <c r="B7650" s="30" t="inlineStr">
        <is>
          <t>Itaguai</t>
        </is>
      </c>
      <c r="C7650" s="30" t="n">
        <v>85102729</v>
      </c>
      <c r="D7650" s="30">
        <f>"87858361000402"</f>
        <v/>
      </c>
      <c r="E7650" s="30" t="inlineStr">
        <is>
          <t>RAPIDO GARIBALDI DE TRANSPORTES LTDA</t>
        </is>
      </c>
      <c r="F7650" s="30" t="inlineStr">
        <is>
          <t>2020</t>
        </is>
      </c>
      <c r="G7650" s="40" t="n">
        <v>0</v>
      </c>
    </row>
    <row r="7651" ht="12" customHeight="1">
      <c r="A7651" s="30" t="inlineStr">
        <is>
          <t>ITG</t>
        </is>
      </c>
      <c r="B7651" s="30" t="inlineStr">
        <is>
          <t>Itaguai</t>
        </is>
      </c>
      <c r="C7651" s="30" t="n">
        <v>85102729</v>
      </c>
      <c r="D7651" s="30">
        <f>"87858361000402"</f>
        <v/>
      </c>
      <c r="E7651" s="30" t="inlineStr">
        <is>
          <t>RAPIDO GARIBALDI DE TRANSPORTES LTDA</t>
        </is>
      </c>
      <c r="F7651" s="30" t="inlineStr">
        <is>
          <t>2021</t>
        </is>
      </c>
      <c r="G7651" s="40" t="n">
        <v>0</v>
      </c>
    </row>
    <row r="7652" ht="12" customHeight="1">
      <c r="A7652" s="30" t="inlineStr">
        <is>
          <t>ITG</t>
        </is>
      </c>
      <c r="B7652" s="30" t="inlineStr">
        <is>
          <t>Itaguai</t>
        </is>
      </c>
      <c r="C7652" s="30" t="n">
        <v>85102923</v>
      </c>
      <c r="D7652" s="30">
        <f>"39041579000419"</f>
        <v/>
      </c>
      <c r="E7652" s="30" t="inlineStr">
        <is>
          <t>BRASPORT BRASIL TRANSPORTES LTDA</t>
        </is>
      </c>
      <c r="F7652" s="30" t="inlineStr">
        <is>
          <t>2017</t>
        </is>
      </c>
      <c r="G7652" s="40" t="n">
        <v>0</v>
      </c>
    </row>
    <row r="7653" ht="12" customHeight="1">
      <c r="A7653" s="30" t="inlineStr">
        <is>
          <t>ITG</t>
        </is>
      </c>
      <c r="B7653" s="30" t="inlineStr">
        <is>
          <t>Itaguai</t>
        </is>
      </c>
      <c r="C7653" s="30" t="n">
        <v>85102923</v>
      </c>
      <c r="D7653" s="30">
        <f>"39041579000419"</f>
        <v/>
      </c>
      <c r="E7653" s="30" t="inlineStr">
        <is>
          <t>BRASPORT BRASIL TRANSPORTES LTDA</t>
        </is>
      </c>
      <c r="F7653" s="30" t="inlineStr">
        <is>
          <t>2018</t>
        </is>
      </c>
      <c r="G7653" s="40" t="n">
        <v>18913.55</v>
      </c>
    </row>
    <row r="7654" ht="12" customHeight="1">
      <c r="A7654" s="30" t="inlineStr">
        <is>
          <t>ITG</t>
        </is>
      </c>
      <c r="B7654" s="30" t="inlineStr">
        <is>
          <t>Itaguai</t>
        </is>
      </c>
      <c r="C7654" s="30" t="n">
        <v>85102923</v>
      </c>
      <c r="D7654" s="30">
        <f>"39041579000419"</f>
        <v/>
      </c>
      <c r="E7654" s="30" t="inlineStr">
        <is>
          <t>BRASPORT BRASIL TRANSPORTES LTDA</t>
        </is>
      </c>
      <c r="F7654" s="30" t="inlineStr">
        <is>
          <t>2019</t>
        </is>
      </c>
      <c r="G7654" s="40" t="n">
        <v>4915.26</v>
      </c>
    </row>
    <row r="7655" ht="12" customHeight="1">
      <c r="A7655" s="30" t="inlineStr">
        <is>
          <t>ITG</t>
        </is>
      </c>
      <c r="B7655" s="30" t="inlineStr">
        <is>
          <t>Itaguai</t>
        </is>
      </c>
      <c r="C7655" s="30" t="n">
        <v>85102923</v>
      </c>
      <c r="D7655" s="30">
        <f>"39041579000419"</f>
        <v/>
      </c>
      <c r="E7655" s="30" t="inlineStr">
        <is>
          <t>BRASPORT BRASIL TRANSPORTES LTDA</t>
        </is>
      </c>
      <c r="F7655" s="30" t="inlineStr">
        <is>
          <t>2020</t>
        </is>
      </c>
      <c r="G7655" s="40" t="n">
        <v>14524.98</v>
      </c>
    </row>
    <row r="7656" ht="12" customHeight="1">
      <c r="A7656" s="30" t="inlineStr">
        <is>
          <t>ITG</t>
        </is>
      </c>
      <c r="B7656" s="30" t="inlineStr">
        <is>
          <t>Itaguai</t>
        </is>
      </c>
      <c r="C7656" s="30" t="n">
        <v>85102923</v>
      </c>
      <c r="D7656" s="30">
        <f>"39041579000419"</f>
        <v/>
      </c>
      <c r="E7656" s="30" t="inlineStr">
        <is>
          <t>BRASPORT BRASIL TRANSPORTES LTDA</t>
        </is>
      </c>
      <c r="F7656" s="30" t="inlineStr">
        <is>
          <t>2021</t>
        </is>
      </c>
      <c r="G7656" s="40" t="n">
        <v>0</v>
      </c>
    </row>
    <row r="7657" ht="12" customHeight="1">
      <c r="A7657" s="30" t="inlineStr">
        <is>
          <t>ITG</t>
        </is>
      </c>
      <c r="B7657" s="30" t="inlineStr">
        <is>
          <t>Itaguai</t>
        </is>
      </c>
      <c r="C7657" s="30" t="n">
        <v>85102923</v>
      </c>
      <c r="D7657" s="30">
        <f>"39041579000419"</f>
        <v/>
      </c>
      <c r="E7657" s="30" t="inlineStr">
        <is>
          <t>BRASPORT BRASIL TRANSPORTES LTDA</t>
        </is>
      </c>
      <c r="F7657" s="30" t="inlineStr">
        <is>
          <t>2022</t>
        </is>
      </c>
      <c r="G7657" s="40" t="n">
        <v>0</v>
      </c>
    </row>
    <row r="7658" ht="12" customHeight="1">
      <c r="A7658" s="30" t="inlineStr">
        <is>
          <t>ITG</t>
        </is>
      </c>
      <c r="B7658" s="30" t="inlineStr">
        <is>
          <t>Itaguai</t>
        </is>
      </c>
      <c r="C7658" s="30" t="n">
        <v>85105507</v>
      </c>
      <c r="D7658" s="30">
        <f>"66199068000400"</f>
        <v/>
      </c>
      <c r="E7658" s="30" t="inlineStr">
        <is>
          <t>RAPIDO ALEM PARAIBA LTDA</t>
        </is>
      </c>
      <c r="F7658" s="30" t="inlineStr">
        <is>
          <t>2017</t>
        </is>
      </c>
      <c r="G7658" s="40" t="n">
        <v>0</v>
      </c>
    </row>
    <row r="7659" ht="12" customHeight="1">
      <c r="A7659" s="30" t="inlineStr">
        <is>
          <t>ITG</t>
        </is>
      </c>
      <c r="B7659" s="30" t="inlineStr">
        <is>
          <t>Itaguai</t>
        </is>
      </c>
      <c r="C7659" s="30" t="n">
        <v>85105507</v>
      </c>
      <c r="D7659" s="30">
        <f>"66199068000400"</f>
        <v/>
      </c>
      <c r="E7659" s="30" t="inlineStr">
        <is>
          <t>RAPIDO ALEM PARAIBA LTDA</t>
        </is>
      </c>
      <c r="F7659" s="30" t="inlineStr">
        <is>
          <t>2018</t>
        </is>
      </c>
      <c r="G7659" s="40" t="n">
        <v>79</v>
      </c>
    </row>
    <row r="7660" ht="12" customHeight="1">
      <c r="A7660" s="30" t="inlineStr">
        <is>
          <t>ITG</t>
        </is>
      </c>
      <c r="B7660" s="30" t="inlineStr">
        <is>
          <t>Itaguai</t>
        </is>
      </c>
      <c r="C7660" s="30" t="n">
        <v>85105507</v>
      </c>
      <c r="D7660" s="30">
        <f>"66199068000400"</f>
        <v/>
      </c>
      <c r="E7660" s="30" t="inlineStr">
        <is>
          <t>RAPIDO ALEM PARAIBA LTDA</t>
        </is>
      </c>
      <c r="F7660" s="30" t="inlineStr">
        <is>
          <t>2019</t>
        </is>
      </c>
      <c r="G7660" s="40" t="n">
        <v>71</v>
      </c>
    </row>
    <row r="7661" ht="12" customHeight="1">
      <c r="A7661" s="30" t="inlineStr">
        <is>
          <t>ITG</t>
        </is>
      </c>
      <c r="B7661" s="30" t="inlineStr">
        <is>
          <t>Itaguai</t>
        </is>
      </c>
      <c r="C7661" s="30" t="n">
        <v>85105507</v>
      </c>
      <c r="D7661" s="30">
        <f>"66199068000400"</f>
        <v/>
      </c>
      <c r="E7661" s="30" t="inlineStr">
        <is>
          <t>RAPIDO ALEM PARAIBA LTDA</t>
        </is>
      </c>
      <c r="F7661" s="30" t="inlineStr">
        <is>
          <t>2020</t>
        </is>
      </c>
      <c r="G7661" s="40" t="n">
        <v>0</v>
      </c>
    </row>
    <row r="7662" ht="12" customHeight="1">
      <c r="A7662" s="30" t="inlineStr">
        <is>
          <t>ITG</t>
        </is>
      </c>
      <c r="B7662" s="30" t="inlineStr">
        <is>
          <t>Itaguai</t>
        </is>
      </c>
      <c r="C7662" s="30" t="n">
        <v>85105507</v>
      </c>
      <c r="D7662" s="30">
        <f>"66199068000400"</f>
        <v/>
      </c>
      <c r="E7662" s="30" t="inlineStr">
        <is>
          <t>RAPIDO ALEM PARAIBA LTDA</t>
        </is>
      </c>
      <c r="F7662" s="30" t="inlineStr">
        <is>
          <t>2021</t>
        </is>
      </c>
      <c r="G7662" s="40" t="n">
        <v>0</v>
      </c>
    </row>
    <row r="7663" ht="12" customHeight="1">
      <c r="A7663" s="30" t="inlineStr">
        <is>
          <t>ITG</t>
        </is>
      </c>
      <c r="B7663" s="30" t="inlineStr">
        <is>
          <t>Itaguai</t>
        </is>
      </c>
      <c r="C7663" s="30" t="n">
        <v>85187732</v>
      </c>
      <c r="D7663" s="30">
        <f>"97091000125"</f>
        <v/>
      </c>
      <c r="E7663" s="30" t="inlineStr">
        <is>
          <t>AUTO POSTO CAPIXABA LTDA</t>
        </is>
      </c>
      <c r="F7663" s="30" t="inlineStr">
        <is>
          <t>2017</t>
        </is>
      </c>
      <c r="G7663" s="40" t="n">
        <v>1361685.34</v>
      </c>
    </row>
    <row r="7664" ht="12" customHeight="1">
      <c r="A7664" s="30" t="inlineStr">
        <is>
          <t>ITG</t>
        </is>
      </c>
      <c r="B7664" s="30" t="inlineStr">
        <is>
          <t>Itaguai</t>
        </is>
      </c>
      <c r="C7664" s="30" t="n">
        <v>85187732</v>
      </c>
      <c r="D7664" s="30">
        <f>"97091000125"</f>
        <v/>
      </c>
      <c r="E7664" s="30" t="inlineStr">
        <is>
          <t>AUTO POSTO CAPIXABA LTDA</t>
        </is>
      </c>
      <c r="F7664" s="30" t="inlineStr">
        <is>
          <t>2018</t>
        </is>
      </c>
      <c r="G7664" s="40" t="n">
        <v>868623.87</v>
      </c>
    </row>
    <row r="7665" ht="12" customHeight="1">
      <c r="A7665" s="30" t="inlineStr">
        <is>
          <t>ITG</t>
        </is>
      </c>
      <c r="B7665" s="30" t="inlineStr">
        <is>
          <t>Itaguai</t>
        </is>
      </c>
      <c r="C7665" s="30" t="n">
        <v>85187732</v>
      </c>
      <c r="D7665" s="30">
        <f>"97091000125"</f>
        <v/>
      </c>
      <c r="E7665" s="30" t="inlineStr">
        <is>
          <t>AUTO POSTO CAPIXABA LTDA</t>
        </is>
      </c>
      <c r="F7665" s="30" t="inlineStr">
        <is>
          <t>2019</t>
        </is>
      </c>
      <c r="G7665" s="40" t="n">
        <v>1103987.06</v>
      </c>
    </row>
    <row r="7666" ht="12" customHeight="1">
      <c r="A7666" s="30" t="inlineStr">
        <is>
          <t>ITG</t>
        </is>
      </c>
      <c r="B7666" s="30" t="inlineStr">
        <is>
          <t>Itaguai</t>
        </is>
      </c>
      <c r="C7666" s="30" t="n">
        <v>85187732</v>
      </c>
      <c r="D7666" s="30">
        <f>"97091000125"</f>
        <v/>
      </c>
      <c r="E7666" s="30" t="inlineStr">
        <is>
          <t>AUTO POSTO CAPIXABA LTDA</t>
        </is>
      </c>
      <c r="F7666" s="30" t="inlineStr">
        <is>
          <t>2020</t>
        </is>
      </c>
      <c r="G7666" s="40" t="n">
        <v>1197123.81</v>
      </c>
    </row>
    <row r="7667" ht="12" customHeight="1">
      <c r="A7667" s="30" t="inlineStr">
        <is>
          <t>ITG</t>
        </is>
      </c>
      <c r="B7667" s="30" t="inlineStr">
        <is>
          <t>Itaguai</t>
        </is>
      </c>
      <c r="C7667" s="30" t="n">
        <v>85187732</v>
      </c>
      <c r="D7667" s="30">
        <f>"97091000125"</f>
        <v/>
      </c>
      <c r="E7667" s="30" t="inlineStr">
        <is>
          <t>AUTO POSTO CAPIXABA LTDA</t>
        </is>
      </c>
      <c r="F7667" s="30" t="inlineStr">
        <is>
          <t>2021</t>
        </is>
      </c>
      <c r="G7667" s="40" t="n">
        <v>523459.2</v>
      </c>
    </row>
    <row r="7668" ht="12" customHeight="1">
      <c r="A7668" s="30" t="inlineStr">
        <is>
          <t>ITG</t>
        </is>
      </c>
      <c r="B7668" s="30" t="inlineStr">
        <is>
          <t>Itaguai</t>
        </is>
      </c>
      <c r="C7668" s="30" t="n">
        <v>85187732</v>
      </c>
      <c r="D7668" s="30">
        <f>"97091000125"</f>
        <v/>
      </c>
      <c r="E7668" s="30" t="inlineStr">
        <is>
          <t>AUTO POSTO CAPIXABA LTDA</t>
        </is>
      </c>
      <c r="F7668" s="30" t="inlineStr">
        <is>
          <t>2022</t>
        </is>
      </c>
      <c r="G7668" s="40" t="n">
        <v>1227396.9</v>
      </c>
    </row>
    <row r="7669" ht="12" customHeight="1">
      <c r="A7669" s="30" t="inlineStr">
        <is>
          <t>ITG</t>
        </is>
      </c>
      <c r="B7669" s="30" t="inlineStr">
        <is>
          <t>Itaguai</t>
        </is>
      </c>
      <c r="C7669" s="30" t="n">
        <v>85187732</v>
      </c>
      <c r="D7669" s="30">
        <f>"97091000125"</f>
        <v/>
      </c>
      <c r="E7669" s="30" t="inlineStr">
        <is>
          <t>AUTO POSTO CAPIXABA LTDA</t>
        </is>
      </c>
      <c r="F7669" s="30" t="inlineStr">
        <is>
          <t>2023</t>
        </is>
      </c>
      <c r="G7669" s="40" t="n">
        <v>1971875.09</v>
      </c>
    </row>
    <row r="7670" ht="12" customHeight="1">
      <c r="A7670" s="30" t="inlineStr">
        <is>
          <t>ITG</t>
        </is>
      </c>
      <c r="B7670" s="30" t="inlineStr">
        <is>
          <t>Itaguai</t>
        </is>
      </c>
      <c r="C7670" s="30" t="n">
        <v>85206672</v>
      </c>
      <c r="D7670" s="30">
        <f>"88009030000452"</f>
        <v/>
      </c>
      <c r="E7670" s="30" t="inlineStr">
        <is>
          <t>MODULAR TRANSPORTES LTDA</t>
        </is>
      </c>
      <c r="F7670" s="30" t="inlineStr">
        <is>
          <t>2017</t>
        </is>
      </c>
      <c r="G7670" s="40" t="n">
        <v>2788.73</v>
      </c>
    </row>
    <row r="7671" ht="12" customHeight="1">
      <c r="A7671" s="30" t="inlineStr">
        <is>
          <t>ITG</t>
        </is>
      </c>
      <c r="B7671" s="30" t="inlineStr">
        <is>
          <t>Itaguai</t>
        </is>
      </c>
      <c r="C7671" s="30" t="n">
        <v>85206672</v>
      </c>
      <c r="D7671" s="30">
        <f>"88009030000452"</f>
        <v/>
      </c>
      <c r="E7671" s="30" t="inlineStr">
        <is>
          <t>MODULAR TRANSPORTES LTDA</t>
        </is>
      </c>
      <c r="F7671" s="30" t="inlineStr">
        <is>
          <t>2018</t>
        </is>
      </c>
      <c r="G7671" s="40" t="n">
        <v>653.21</v>
      </c>
    </row>
    <row r="7672" ht="12" customHeight="1">
      <c r="A7672" s="30" t="inlineStr">
        <is>
          <t>ITG</t>
        </is>
      </c>
      <c r="B7672" s="30" t="inlineStr">
        <is>
          <t>Itaguai</t>
        </is>
      </c>
      <c r="C7672" s="30" t="n">
        <v>85206672</v>
      </c>
      <c r="D7672" s="30">
        <f>"88009030000452"</f>
        <v/>
      </c>
      <c r="E7672" s="30" t="inlineStr">
        <is>
          <t>MODULAR TRANSPORTES LTDA</t>
        </is>
      </c>
      <c r="F7672" s="30" t="inlineStr">
        <is>
          <t>2019</t>
        </is>
      </c>
      <c r="G7672" s="40" t="n">
        <v>515.21</v>
      </c>
    </row>
    <row r="7673" ht="12" customHeight="1">
      <c r="A7673" s="30" t="inlineStr">
        <is>
          <t>ITG</t>
        </is>
      </c>
      <c r="B7673" s="30" t="inlineStr">
        <is>
          <t>Itaguai</t>
        </is>
      </c>
      <c r="C7673" s="30" t="n">
        <v>85206672</v>
      </c>
      <c r="D7673" s="30">
        <f>"88009030000452"</f>
        <v/>
      </c>
      <c r="E7673" s="30" t="inlineStr">
        <is>
          <t>MODULAR TRANSPORTES LTDA</t>
        </is>
      </c>
      <c r="F7673" s="30" t="inlineStr">
        <is>
          <t>2020</t>
        </is>
      </c>
      <c r="G7673" s="40" t="n">
        <v>1880.63</v>
      </c>
    </row>
    <row r="7674" ht="12" customHeight="1">
      <c r="A7674" s="30" t="inlineStr">
        <is>
          <t>ITG</t>
        </is>
      </c>
      <c r="B7674" s="30" t="inlineStr">
        <is>
          <t>Itaguai</t>
        </is>
      </c>
      <c r="C7674" s="30" t="n">
        <v>85206672</v>
      </c>
      <c r="D7674" s="30">
        <f>"88009030000452"</f>
        <v/>
      </c>
      <c r="E7674" s="30" t="inlineStr">
        <is>
          <t>MODULAR TRANSPORTES LTDA</t>
        </is>
      </c>
      <c r="F7674" s="30" t="inlineStr">
        <is>
          <t>2021</t>
        </is>
      </c>
      <c r="G7674" s="40" t="n">
        <v>3034.99</v>
      </c>
    </row>
    <row r="7675" ht="12" customHeight="1">
      <c r="A7675" s="30" t="inlineStr">
        <is>
          <t>ITG</t>
        </is>
      </c>
      <c r="B7675" s="30" t="inlineStr">
        <is>
          <t>Itaguai</t>
        </is>
      </c>
      <c r="C7675" s="30" t="n">
        <v>85206672</v>
      </c>
      <c r="D7675" s="30">
        <f>"88009030000452"</f>
        <v/>
      </c>
      <c r="E7675" s="30" t="inlineStr">
        <is>
          <t>MODULAR TRANSPORTES LTDA</t>
        </is>
      </c>
      <c r="F7675" s="30" t="inlineStr">
        <is>
          <t>2022</t>
        </is>
      </c>
      <c r="G7675" s="40" t="n">
        <v>5603.42</v>
      </c>
    </row>
    <row r="7676" ht="12" customHeight="1">
      <c r="A7676" s="30" t="inlineStr">
        <is>
          <t>ITG</t>
        </is>
      </c>
      <c r="B7676" s="30" t="inlineStr">
        <is>
          <t>Itaguai</t>
        </is>
      </c>
      <c r="C7676" s="30" t="n">
        <v>85206672</v>
      </c>
      <c r="D7676" s="30">
        <f>"88009030000452"</f>
        <v/>
      </c>
      <c r="E7676" s="30" t="inlineStr">
        <is>
          <t>MODULAR TRANSPORTES LTDA</t>
        </is>
      </c>
      <c r="F7676" s="30" t="inlineStr">
        <is>
          <t>2023</t>
        </is>
      </c>
      <c r="G7676" s="40" t="n">
        <v>4239.26</v>
      </c>
    </row>
    <row r="7677" ht="12" customHeight="1">
      <c r="A7677" s="30" t="inlineStr">
        <is>
          <t>ITG</t>
        </is>
      </c>
      <c r="B7677" s="30" t="inlineStr">
        <is>
          <t>Itaguai</t>
        </is>
      </c>
      <c r="C7677" s="30" t="n">
        <v>85206729</v>
      </c>
      <c r="D7677" s="30">
        <f>"29553609000170"</f>
        <v/>
      </c>
      <c r="E7677" s="30" t="inlineStr">
        <is>
          <t>AUTO ONIBUS FAGUNDES LTDA</t>
        </is>
      </c>
      <c r="F7677" s="30" t="inlineStr">
        <is>
          <t>2017</t>
        </is>
      </c>
      <c r="G7677" s="40" t="n">
        <v>1850</v>
      </c>
    </row>
    <row r="7678" ht="12" customHeight="1">
      <c r="A7678" s="30" t="inlineStr">
        <is>
          <t>ITG</t>
        </is>
      </c>
      <c r="B7678" s="30" t="inlineStr">
        <is>
          <t>Itaguai</t>
        </is>
      </c>
      <c r="C7678" s="30" t="n">
        <v>85206729</v>
      </c>
      <c r="D7678" s="30">
        <f>"29553609000170"</f>
        <v/>
      </c>
      <c r="E7678" s="30" t="inlineStr">
        <is>
          <t>AUTO ONIBUS FAGUNDES LTDA</t>
        </is>
      </c>
      <c r="F7678" s="30" t="inlineStr">
        <is>
          <t>2018</t>
        </is>
      </c>
      <c r="G7678" s="40" t="n">
        <v>0</v>
      </c>
    </row>
    <row r="7679" ht="12" customHeight="1">
      <c r="A7679" s="30" t="inlineStr">
        <is>
          <t>ITG</t>
        </is>
      </c>
      <c r="B7679" s="30" t="inlineStr">
        <is>
          <t>Itaguai</t>
        </is>
      </c>
      <c r="C7679" s="30" t="n">
        <v>85206729</v>
      </c>
      <c r="D7679" s="30">
        <f>"29553609000170"</f>
        <v/>
      </c>
      <c r="E7679" s="30" t="inlineStr">
        <is>
          <t>AUTO ONIBUS FAGUNDES LTDA</t>
        </is>
      </c>
      <c r="F7679" s="30" t="inlineStr">
        <is>
          <t>2019</t>
        </is>
      </c>
      <c r="G7679" s="40" t="n">
        <v>4780</v>
      </c>
    </row>
    <row r="7680" ht="12" customHeight="1">
      <c r="A7680" s="30" t="inlineStr">
        <is>
          <t>ITG</t>
        </is>
      </c>
      <c r="B7680" s="30" t="inlineStr">
        <is>
          <t>Itaguai</t>
        </is>
      </c>
      <c r="C7680" s="30" t="n">
        <v>85206729</v>
      </c>
      <c r="D7680" s="30">
        <f>"29553609000170"</f>
        <v/>
      </c>
      <c r="E7680" s="30" t="inlineStr">
        <is>
          <t>AUTO ONIBUS FAGUNDES LTDA</t>
        </is>
      </c>
      <c r="F7680" s="30" t="inlineStr">
        <is>
          <t>2020</t>
        </is>
      </c>
      <c r="G7680" s="40" t="n">
        <v>0</v>
      </c>
    </row>
    <row r="7681" ht="12" customHeight="1">
      <c r="A7681" s="30" t="inlineStr">
        <is>
          <t>ITG</t>
        </is>
      </c>
      <c r="B7681" s="30" t="inlineStr">
        <is>
          <t>Itaguai</t>
        </is>
      </c>
      <c r="C7681" s="30" t="n">
        <v>85206729</v>
      </c>
      <c r="D7681" s="30">
        <f>"29553609000170"</f>
        <v/>
      </c>
      <c r="E7681" s="30" t="inlineStr">
        <is>
          <t>AUTO ONIBUS FAGUNDES LTDA</t>
        </is>
      </c>
      <c r="F7681" s="30" t="inlineStr">
        <is>
          <t>2021</t>
        </is>
      </c>
      <c r="G7681" s="40" t="n">
        <v>3880</v>
      </c>
    </row>
    <row r="7682" ht="12" customHeight="1">
      <c r="A7682" s="30" t="inlineStr">
        <is>
          <t>ITG</t>
        </is>
      </c>
      <c r="B7682" s="30" t="inlineStr">
        <is>
          <t>Itaguai</t>
        </is>
      </c>
      <c r="C7682" s="30" t="n">
        <v>85206729</v>
      </c>
      <c r="D7682" s="30">
        <f>"29553609000170"</f>
        <v/>
      </c>
      <c r="E7682" s="30" t="inlineStr">
        <is>
          <t>AUTO ONIBUS FAGUNDES LTDA</t>
        </is>
      </c>
      <c r="F7682" s="30" t="inlineStr">
        <is>
          <t>2022</t>
        </is>
      </c>
      <c r="G7682" s="40" t="n">
        <v>16310</v>
      </c>
    </row>
    <row r="7683" ht="12" customHeight="1">
      <c r="A7683" s="30" t="inlineStr">
        <is>
          <t>ITG</t>
        </is>
      </c>
      <c r="B7683" s="30" t="inlineStr">
        <is>
          <t>Itaguai</t>
        </is>
      </c>
      <c r="C7683" s="30" t="n">
        <v>85206729</v>
      </c>
      <c r="D7683" s="30">
        <f>"29553609000170"</f>
        <v/>
      </c>
      <c r="E7683" s="30" t="inlineStr">
        <is>
          <t>AUTO ONIBUS FAGUNDES LTDA</t>
        </is>
      </c>
      <c r="F7683" s="30" t="inlineStr">
        <is>
          <t>2023</t>
        </is>
      </c>
      <c r="G7683" s="40" t="n">
        <v>6942</v>
      </c>
    </row>
    <row r="7684" ht="12" customHeight="1">
      <c r="A7684" s="30" t="inlineStr">
        <is>
          <t>ITG</t>
        </is>
      </c>
      <c r="B7684" s="30" t="inlineStr">
        <is>
          <t>Itaguai</t>
        </is>
      </c>
      <c r="C7684" s="30" t="n">
        <v>85206842</v>
      </c>
      <c r="D7684" s="30">
        <f>"36578458000250"</f>
        <v/>
      </c>
      <c r="E7684" s="30" t="inlineStr">
        <is>
          <t>RODOMAC DE MACAE RODOVIARIO LTDA</t>
        </is>
      </c>
      <c r="F7684" s="30" t="inlineStr">
        <is>
          <t>2017</t>
        </is>
      </c>
      <c r="G7684" s="40" t="n">
        <v>3368.63</v>
      </c>
    </row>
    <row r="7685" ht="12" customHeight="1">
      <c r="A7685" s="30" t="inlineStr">
        <is>
          <t>ITG</t>
        </is>
      </c>
      <c r="B7685" s="30" t="inlineStr">
        <is>
          <t>Itaguai</t>
        </is>
      </c>
      <c r="C7685" s="30" t="n">
        <v>85206842</v>
      </c>
      <c r="D7685" s="30">
        <f>"36578458000250"</f>
        <v/>
      </c>
      <c r="E7685" s="30" t="inlineStr">
        <is>
          <t>RODOMAC DE MACAE RODOVIARIO LTDA</t>
        </is>
      </c>
      <c r="F7685" s="30" t="inlineStr">
        <is>
          <t>2018</t>
        </is>
      </c>
      <c r="G7685" s="40" t="n">
        <v>4362.42</v>
      </c>
    </row>
    <row r="7686" ht="12" customHeight="1">
      <c r="A7686" s="30" t="inlineStr">
        <is>
          <t>ITG</t>
        </is>
      </c>
      <c r="B7686" s="30" t="inlineStr">
        <is>
          <t>Itaguai</t>
        </is>
      </c>
      <c r="C7686" s="30" t="n">
        <v>85206842</v>
      </c>
      <c r="D7686" s="30">
        <f>"36578458000250"</f>
        <v/>
      </c>
      <c r="E7686" s="30" t="inlineStr">
        <is>
          <t>RODOMAC DE MACAE RODOVIARIO LTDA</t>
        </is>
      </c>
      <c r="F7686" s="30" t="inlineStr">
        <is>
          <t>2019</t>
        </is>
      </c>
      <c r="G7686" s="40" t="n">
        <v>6586.22</v>
      </c>
    </row>
    <row r="7687" ht="12" customHeight="1">
      <c r="A7687" s="30" t="inlineStr">
        <is>
          <t>ITG</t>
        </is>
      </c>
      <c r="B7687" s="30" t="inlineStr">
        <is>
          <t>Itaguai</t>
        </is>
      </c>
      <c r="C7687" s="30" t="n">
        <v>85206842</v>
      </c>
      <c r="D7687" s="30">
        <f>"36578458000250"</f>
        <v/>
      </c>
      <c r="E7687" s="30" t="inlineStr">
        <is>
          <t>RODOMAC DE MACAE RODOVIARIO LTDA</t>
        </is>
      </c>
      <c r="F7687" s="30" t="inlineStr">
        <is>
          <t>2020</t>
        </is>
      </c>
      <c r="G7687" s="40" t="n">
        <v>17039.74</v>
      </c>
    </row>
    <row r="7688" ht="12" customHeight="1">
      <c r="A7688" s="30" t="inlineStr">
        <is>
          <t>ITG</t>
        </is>
      </c>
      <c r="B7688" s="30" t="inlineStr">
        <is>
          <t>Itaguai</t>
        </is>
      </c>
      <c r="C7688" s="30" t="n">
        <v>85206842</v>
      </c>
      <c r="D7688" s="30">
        <f>"36578458000250"</f>
        <v/>
      </c>
      <c r="E7688" s="30" t="inlineStr">
        <is>
          <t>RODOMAC DE MACAE RODOVIARIO LTDA</t>
        </is>
      </c>
      <c r="F7688" s="30" t="inlineStr">
        <is>
          <t>2021</t>
        </is>
      </c>
      <c r="G7688" s="40" t="n">
        <v>11443.27</v>
      </c>
    </row>
    <row r="7689" ht="12" customHeight="1">
      <c r="A7689" s="30" t="inlineStr">
        <is>
          <t>ITG</t>
        </is>
      </c>
      <c r="B7689" s="30" t="inlineStr">
        <is>
          <t>Itaguai</t>
        </is>
      </c>
      <c r="C7689" s="30" t="n">
        <v>85206842</v>
      </c>
      <c r="D7689" s="30">
        <f>"36578458000250"</f>
        <v/>
      </c>
      <c r="E7689" s="30" t="inlineStr">
        <is>
          <t>RODOMAC DE MACAE RODOVIARIO LTDA</t>
        </is>
      </c>
      <c r="F7689" s="30" t="inlineStr">
        <is>
          <t>2022</t>
        </is>
      </c>
      <c r="G7689" s="40" t="n">
        <v>16429.88</v>
      </c>
    </row>
    <row r="7690" ht="12" customHeight="1">
      <c r="A7690" s="30" t="inlineStr">
        <is>
          <t>ITG</t>
        </is>
      </c>
      <c r="B7690" s="30" t="inlineStr">
        <is>
          <t>Itaguai</t>
        </is>
      </c>
      <c r="C7690" s="30" t="n">
        <v>85206842</v>
      </c>
      <c r="D7690" s="30">
        <f>"36578458000250"</f>
        <v/>
      </c>
      <c r="E7690" s="30" t="inlineStr">
        <is>
          <t>RODOMAC DE MACAE RODOVIARIO LTDA</t>
        </is>
      </c>
      <c r="F7690" s="30" t="inlineStr">
        <is>
          <t>2023</t>
        </is>
      </c>
      <c r="G7690" s="40" t="n">
        <v>17548.25</v>
      </c>
    </row>
    <row r="7691" ht="12" customHeight="1">
      <c r="A7691" s="30" t="inlineStr">
        <is>
          <t>ITG</t>
        </is>
      </c>
      <c r="B7691" s="30" t="inlineStr">
        <is>
          <t>Itaguai</t>
        </is>
      </c>
      <c r="C7691" s="30" t="n">
        <v>85208527</v>
      </c>
      <c r="D7691" s="30">
        <f>"23864838000633"</f>
        <v/>
      </c>
      <c r="E7691" s="30" t="inlineStr">
        <is>
          <t>MOVVI LOGISTICA LTDA</t>
        </is>
      </c>
      <c r="F7691" s="30" t="inlineStr">
        <is>
          <t>2017</t>
        </is>
      </c>
      <c r="G7691" s="40" t="n">
        <v>5654.38</v>
      </c>
    </row>
    <row r="7692" ht="12" customHeight="1">
      <c r="A7692" s="30" t="inlineStr">
        <is>
          <t>ITG</t>
        </is>
      </c>
      <c r="B7692" s="30" t="inlineStr">
        <is>
          <t>Itaguai</t>
        </is>
      </c>
      <c r="C7692" s="30" t="n">
        <v>85208527</v>
      </c>
      <c r="D7692" s="30">
        <f>"23864838000633"</f>
        <v/>
      </c>
      <c r="E7692" s="30" t="inlineStr">
        <is>
          <t>MOVVI LOGISTICA LTDA</t>
        </is>
      </c>
      <c r="F7692" s="30" t="inlineStr">
        <is>
          <t>2018</t>
        </is>
      </c>
      <c r="G7692" s="40" t="n">
        <v>4736.07</v>
      </c>
    </row>
    <row r="7693" ht="12" customHeight="1">
      <c r="A7693" s="30" t="inlineStr">
        <is>
          <t>ITG</t>
        </is>
      </c>
      <c r="B7693" s="30" t="inlineStr">
        <is>
          <t>Itaguai</t>
        </is>
      </c>
      <c r="C7693" s="30" t="n">
        <v>85208527</v>
      </c>
      <c r="D7693" s="30">
        <f>"23864838000633"</f>
        <v/>
      </c>
      <c r="E7693" s="30" t="inlineStr">
        <is>
          <t>MOVVI LOGISTICA LTDA</t>
        </is>
      </c>
      <c r="F7693" s="30" t="inlineStr">
        <is>
          <t>2019</t>
        </is>
      </c>
      <c r="G7693" s="40" t="n">
        <v>5369.74</v>
      </c>
    </row>
    <row r="7694" ht="12" customHeight="1">
      <c r="A7694" s="30" t="inlineStr">
        <is>
          <t>ITG</t>
        </is>
      </c>
      <c r="B7694" s="30" t="inlineStr">
        <is>
          <t>Itaguai</t>
        </is>
      </c>
      <c r="C7694" s="30" t="n">
        <v>85208527</v>
      </c>
      <c r="D7694" s="30">
        <f>"23864838000633"</f>
        <v/>
      </c>
      <c r="E7694" s="30" t="inlineStr">
        <is>
          <t>MOVVI LOGISTICA LTDA</t>
        </is>
      </c>
      <c r="F7694" s="30" t="inlineStr">
        <is>
          <t>2020</t>
        </is>
      </c>
      <c r="G7694" s="40" t="n">
        <v>4349.28</v>
      </c>
    </row>
    <row r="7695" ht="12" customHeight="1">
      <c r="A7695" s="30" t="inlineStr">
        <is>
          <t>ITG</t>
        </is>
      </c>
      <c r="B7695" s="30" t="inlineStr">
        <is>
          <t>Itaguai</t>
        </is>
      </c>
      <c r="C7695" s="30" t="n">
        <v>85208527</v>
      </c>
      <c r="D7695" s="30">
        <f>"23864838000633"</f>
        <v/>
      </c>
      <c r="E7695" s="30" t="inlineStr">
        <is>
          <t>MOVVI LOGISTICA LTDA</t>
        </is>
      </c>
      <c r="F7695" s="30" t="inlineStr">
        <is>
          <t>2021</t>
        </is>
      </c>
      <c r="G7695" s="40" t="n">
        <v>2605.24</v>
      </c>
    </row>
    <row r="7696" ht="12" customHeight="1">
      <c r="A7696" s="30" t="inlineStr">
        <is>
          <t>ITG</t>
        </is>
      </c>
      <c r="B7696" s="30" t="inlineStr">
        <is>
          <t>Itaguai</t>
        </is>
      </c>
      <c r="C7696" s="30" t="n">
        <v>85208527</v>
      </c>
      <c r="D7696" s="30">
        <f>"23864838000633"</f>
        <v/>
      </c>
      <c r="E7696" s="30" t="inlineStr">
        <is>
          <t>MOVVI LOGISTICA LTDA</t>
        </is>
      </c>
      <c r="F7696" s="30" t="inlineStr">
        <is>
          <t>2022</t>
        </is>
      </c>
      <c r="G7696" s="40" t="n">
        <v>3816.26</v>
      </c>
    </row>
    <row r="7697" ht="12" customHeight="1">
      <c r="A7697" s="30" t="inlineStr">
        <is>
          <t>ITG</t>
        </is>
      </c>
      <c r="B7697" s="30" t="inlineStr">
        <is>
          <t>Itaguai</t>
        </is>
      </c>
      <c r="C7697" s="30" t="n">
        <v>85208527</v>
      </c>
      <c r="D7697" s="30">
        <f>"23864838000633"</f>
        <v/>
      </c>
      <c r="E7697" s="30" t="inlineStr">
        <is>
          <t>MOVVI LOGISTICA LTDA</t>
        </is>
      </c>
      <c r="F7697" s="30" t="inlineStr">
        <is>
          <t>2023</t>
        </is>
      </c>
      <c r="G7697" s="40" t="n">
        <v>5207.68</v>
      </c>
    </row>
    <row r="7698" ht="12" customHeight="1">
      <c r="A7698" s="30" t="inlineStr">
        <is>
          <t>ITG</t>
        </is>
      </c>
      <c r="B7698" s="30" t="inlineStr">
        <is>
          <t>Itaguai</t>
        </is>
      </c>
      <c r="C7698" s="30" t="n">
        <v>85297635</v>
      </c>
      <c r="D7698" s="30">
        <f>"02041460000355"</f>
        <v/>
      </c>
      <c r="E7698" s="30" t="inlineStr">
        <is>
          <t>BRASIL TELECOM COMUNICACAO MULTIMIDIA LTDA</t>
        </is>
      </c>
      <c r="F7698" s="30" t="inlineStr">
        <is>
          <t>2017</t>
        </is>
      </c>
      <c r="G7698" s="40" t="n">
        <v>0</v>
      </c>
    </row>
    <row r="7699" ht="12" customHeight="1">
      <c r="A7699" s="30" t="inlineStr">
        <is>
          <t>ITG</t>
        </is>
      </c>
      <c r="B7699" s="30" t="inlineStr">
        <is>
          <t>Itaguai</t>
        </is>
      </c>
      <c r="C7699" s="30" t="n">
        <v>85297635</v>
      </c>
      <c r="D7699" s="30">
        <f>"02041460000355"</f>
        <v/>
      </c>
      <c r="E7699" s="30" t="inlineStr">
        <is>
          <t>BRASIL TELECOM COMUNICACAO MULTIMIDIA LTDA</t>
        </is>
      </c>
      <c r="F7699" s="30" t="inlineStr">
        <is>
          <t>2018</t>
        </is>
      </c>
      <c r="G7699" s="40" t="n">
        <v>4241.95</v>
      </c>
    </row>
    <row r="7700" ht="12" customHeight="1">
      <c r="A7700" s="30" t="inlineStr">
        <is>
          <t>ITG</t>
        </is>
      </c>
      <c r="B7700" s="30" t="inlineStr">
        <is>
          <t>Itaguai</t>
        </is>
      </c>
      <c r="C7700" s="30" t="n">
        <v>85297635</v>
      </c>
      <c r="D7700" s="30">
        <f>"02041460000355"</f>
        <v/>
      </c>
      <c r="E7700" s="30" t="inlineStr">
        <is>
          <t>BRASIL TELECOM COMUNICACAO MULTIMIDIA LTDA</t>
        </is>
      </c>
      <c r="F7700" s="30" t="inlineStr">
        <is>
          <t>2019</t>
        </is>
      </c>
      <c r="G7700" s="40" t="n">
        <v>0</v>
      </c>
    </row>
    <row r="7701" ht="12" customHeight="1">
      <c r="A7701" s="30" t="inlineStr">
        <is>
          <t>ITG</t>
        </is>
      </c>
      <c r="B7701" s="30" t="inlineStr">
        <is>
          <t>Itaguai</t>
        </is>
      </c>
      <c r="C7701" s="30" t="n">
        <v>85297635</v>
      </c>
      <c r="D7701" s="30">
        <f>"02041460000355"</f>
        <v/>
      </c>
      <c r="E7701" s="30" t="inlineStr">
        <is>
          <t>BRASIL TELECOM COMUNICACAO MULTIMIDIA LTDA</t>
        </is>
      </c>
      <c r="F7701" s="30" t="inlineStr">
        <is>
          <t>2020</t>
        </is>
      </c>
      <c r="G7701" s="40" t="n">
        <v>0</v>
      </c>
    </row>
    <row r="7702" ht="12" customHeight="1">
      <c r="A7702" s="30" t="inlineStr">
        <is>
          <t>ITG</t>
        </is>
      </c>
      <c r="B7702" s="30" t="inlineStr">
        <is>
          <t>Itaguai</t>
        </is>
      </c>
      <c r="C7702" s="30" t="n">
        <v>85317687</v>
      </c>
      <c r="D7702" s="30">
        <f>"00482487000196"</f>
        <v/>
      </c>
      <c r="E7702" s="30" t="inlineStr">
        <is>
          <t>COSTA VERDE DIESEL LTDA</t>
        </is>
      </c>
      <c r="F7702" s="30" t="inlineStr">
        <is>
          <t>2017</t>
        </is>
      </c>
      <c r="G7702" s="40" t="n">
        <v>4470</v>
      </c>
    </row>
    <row r="7703" ht="12" customHeight="1">
      <c r="A7703" s="30" t="inlineStr">
        <is>
          <t>ITG</t>
        </is>
      </c>
      <c r="B7703" s="30" t="inlineStr">
        <is>
          <t>Itaguai</t>
        </is>
      </c>
      <c r="C7703" s="30" t="n">
        <v>85317687</v>
      </c>
      <c r="D7703" s="30">
        <f>"00482487000196"</f>
        <v/>
      </c>
      <c r="E7703" s="30" t="inlineStr">
        <is>
          <t>COSTA VERDE DIESEL LTDA</t>
        </is>
      </c>
      <c r="F7703" s="30" t="inlineStr">
        <is>
          <t>2018</t>
        </is>
      </c>
      <c r="G7703" s="40" t="n">
        <v>600</v>
      </c>
    </row>
    <row r="7704" ht="12" customHeight="1">
      <c r="A7704" s="30" t="inlineStr">
        <is>
          <t>ITG</t>
        </is>
      </c>
      <c r="B7704" s="30" t="inlineStr">
        <is>
          <t>Itaguai</t>
        </is>
      </c>
      <c r="C7704" s="30" t="n">
        <v>85317687</v>
      </c>
      <c r="D7704" s="30">
        <f>"00482487000196"</f>
        <v/>
      </c>
      <c r="E7704" s="30" t="inlineStr">
        <is>
          <t>COSTA VERDE DIESEL LTDA</t>
        </is>
      </c>
      <c r="F7704" s="30" t="inlineStr">
        <is>
          <t>2019</t>
        </is>
      </c>
      <c r="G7704" s="40" t="n">
        <v>0</v>
      </c>
    </row>
    <row r="7705" ht="12" customHeight="1">
      <c r="A7705" s="30" t="inlineStr">
        <is>
          <t>ITG</t>
        </is>
      </c>
      <c r="B7705" s="30" t="inlineStr">
        <is>
          <t>Itaguai</t>
        </is>
      </c>
      <c r="C7705" s="30" t="n">
        <v>85317687</v>
      </c>
      <c r="D7705" s="30">
        <f>"00482487000196"</f>
        <v/>
      </c>
      <c r="E7705" s="30" t="inlineStr">
        <is>
          <t>COSTA VERDE DIESEL LTDA</t>
        </is>
      </c>
      <c r="F7705" s="30" t="inlineStr">
        <is>
          <t>2020</t>
        </is>
      </c>
      <c r="G7705" s="40" t="n">
        <v>0</v>
      </c>
    </row>
    <row r="7706" ht="12" customHeight="1">
      <c r="A7706" s="30" t="inlineStr">
        <is>
          <t>ITG</t>
        </is>
      </c>
      <c r="B7706" s="30" t="inlineStr">
        <is>
          <t>Itaguai</t>
        </is>
      </c>
      <c r="C7706" s="30" t="n">
        <v>85317687</v>
      </c>
      <c r="D7706" s="30">
        <f>"00482487000196"</f>
        <v/>
      </c>
      <c r="E7706" s="30" t="inlineStr">
        <is>
          <t>COSTA VERDE DIESEL LTDA</t>
        </is>
      </c>
      <c r="F7706" s="30" t="inlineStr">
        <is>
          <t>2021</t>
        </is>
      </c>
      <c r="G7706" s="40" t="n">
        <v>0</v>
      </c>
    </row>
    <row r="7707" ht="12" customHeight="1">
      <c r="A7707" s="30" t="inlineStr">
        <is>
          <t>ITG</t>
        </is>
      </c>
      <c r="B7707" s="30" t="inlineStr">
        <is>
          <t>Itaguai</t>
        </is>
      </c>
      <c r="C7707" s="30" t="n">
        <v>85317687</v>
      </c>
      <c r="D7707" s="30">
        <f>"00482487000196"</f>
        <v/>
      </c>
      <c r="E7707" s="30" t="inlineStr">
        <is>
          <t>COSTA VERDE DIESEL LTDA</t>
        </is>
      </c>
      <c r="F7707" s="30" t="inlineStr">
        <is>
          <t>2022</t>
        </is>
      </c>
      <c r="G7707" s="40" t="n">
        <v>0</v>
      </c>
    </row>
    <row r="7708" ht="12" customHeight="1">
      <c r="A7708" s="30" t="inlineStr">
        <is>
          <t>ITG</t>
        </is>
      </c>
      <c r="B7708" s="30" t="inlineStr">
        <is>
          <t>Itaguai</t>
        </is>
      </c>
      <c r="C7708" s="30" t="n">
        <v>85317687</v>
      </c>
      <c r="D7708" s="30">
        <f>"00482487000196"</f>
        <v/>
      </c>
      <c r="E7708" s="30" t="inlineStr">
        <is>
          <t>COSTA VERDE DIESEL LTDA</t>
        </is>
      </c>
      <c r="F7708" s="30" t="inlineStr">
        <is>
          <t>2023</t>
        </is>
      </c>
      <c r="G7708" s="40" t="n">
        <v>0</v>
      </c>
    </row>
    <row r="7709" ht="12" customHeight="1">
      <c r="A7709" s="30" t="inlineStr">
        <is>
          <t>ITG</t>
        </is>
      </c>
      <c r="B7709" s="30" t="inlineStr">
        <is>
          <t>Itaguai</t>
        </is>
      </c>
      <c r="C7709" s="30" t="n">
        <v>85317806</v>
      </c>
      <c r="D7709" s="30">
        <f>"00415856000128"</f>
        <v/>
      </c>
      <c r="E7709" s="30" t="inlineStr">
        <is>
          <t>J C CASTRILON COMERCIO DE PLANTAS E JARDINAGEM ME</t>
        </is>
      </c>
      <c r="F7709" s="30" t="inlineStr">
        <is>
          <t>2017</t>
        </is>
      </c>
      <c r="G7709" s="40" t="n">
        <v>0</v>
      </c>
    </row>
    <row r="7710" ht="12" customHeight="1">
      <c r="A7710" s="30" t="inlineStr">
        <is>
          <t>ITG</t>
        </is>
      </c>
      <c r="B7710" s="30" t="inlineStr">
        <is>
          <t>Itaguai</t>
        </is>
      </c>
      <c r="C7710" s="30" t="n">
        <v>85317806</v>
      </c>
      <c r="D7710" s="30">
        <f>"00415856000128"</f>
        <v/>
      </c>
      <c r="E7710" s="30" t="inlineStr">
        <is>
          <t>J C CASTRILON COMERCIO DE PLANTAS E JARDINAGEM ME</t>
        </is>
      </c>
      <c r="F7710" s="30" t="inlineStr">
        <is>
          <t>2018</t>
        </is>
      </c>
      <c r="G7710" s="40" t="n">
        <v>0</v>
      </c>
    </row>
    <row r="7711" ht="12" customHeight="1">
      <c r="A7711" s="30" t="inlineStr">
        <is>
          <t>ITG</t>
        </is>
      </c>
      <c r="B7711" s="30" t="inlineStr">
        <is>
          <t>Itaguai</t>
        </is>
      </c>
      <c r="C7711" s="30" t="n">
        <v>85317806</v>
      </c>
      <c r="D7711" s="30">
        <f>"00415856000128"</f>
        <v/>
      </c>
      <c r="E7711" s="30" t="inlineStr">
        <is>
          <t>J C CASTRILON COMERCIO DE PLANTAS E JARDINAGEM ME</t>
        </is>
      </c>
      <c r="F7711" s="30" t="inlineStr">
        <is>
          <t>2019</t>
        </is>
      </c>
      <c r="G7711" s="40" t="n">
        <v>3760</v>
      </c>
    </row>
    <row r="7712" ht="12" customHeight="1">
      <c r="A7712" s="30" t="inlineStr">
        <is>
          <t>ITG</t>
        </is>
      </c>
      <c r="B7712" s="30" t="inlineStr">
        <is>
          <t>Itaguai</t>
        </is>
      </c>
      <c r="C7712" s="30" t="n">
        <v>85317806</v>
      </c>
      <c r="D7712" s="30">
        <f>"00415856000128"</f>
        <v/>
      </c>
      <c r="E7712" s="30" t="inlineStr">
        <is>
          <t>J C CASTRILON COMERCIO DE PLANTAS E JARDINAGEM ME</t>
        </is>
      </c>
      <c r="F7712" s="30" t="inlineStr">
        <is>
          <t>2020</t>
        </is>
      </c>
      <c r="G7712" s="40" t="n">
        <v>0</v>
      </c>
    </row>
    <row r="7713" ht="12" customHeight="1">
      <c r="A7713" s="30" t="inlineStr">
        <is>
          <t>ITG</t>
        </is>
      </c>
      <c r="B7713" s="30" t="inlineStr">
        <is>
          <t>Itaguai</t>
        </is>
      </c>
      <c r="C7713" s="30" t="n">
        <v>85317806</v>
      </c>
      <c r="D7713" s="30">
        <f>"00415856000128"</f>
        <v/>
      </c>
      <c r="E7713" s="30" t="inlineStr">
        <is>
          <t>J C CASTRILON COMERCIO DE PLANTAS E JARDINAGEM ME</t>
        </is>
      </c>
      <c r="F7713" s="30" t="inlineStr">
        <is>
          <t>2021</t>
        </is>
      </c>
      <c r="G7713" s="40" t="n">
        <v>0</v>
      </c>
    </row>
    <row r="7714" ht="12" customHeight="1">
      <c r="A7714" s="30" t="inlineStr">
        <is>
          <t>ITG</t>
        </is>
      </c>
      <c r="B7714" s="30" t="inlineStr">
        <is>
          <t>Itaguai</t>
        </is>
      </c>
      <c r="C7714" s="30" t="n">
        <v>85317873</v>
      </c>
      <c r="D7714" s="30">
        <f>"00505285000112"</f>
        <v/>
      </c>
      <c r="E7714" s="30" t="inlineStr">
        <is>
          <t>C &amp; F DE ITAGUAI LOCACOES LTDA EPP</t>
        </is>
      </c>
      <c r="F7714" s="30" t="inlineStr">
        <is>
          <t>2021</t>
        </is>
      </c>
      <c r="G7714" s="40" t="n">
        <v>0</v>
      </c>
    </row>
    <row r="7715" ht="12" customHeight="1">
      <c r="A7715" s="30" t="inlineStr">
        <is>
          <t>ITG</t>
        </is>
      </c>
      <c r="B7715" s="30" t="inlineStr">
        <is>
          <t>Itaguai</t>
        </is>
      </c>
      <c r="C7715" s="30" t="n">
        <v>85317873</v>
      </c>
      <c r="D7715" s="30">
        <f>"00505285000112"</f>
        <v/>
      </c>
      <c r="E7715" s="30" t="inlineStr">
        <is>
          <t>C &amp; F DE ITAGUAI LOCACOES LTDA EPP</t>
        </is>
      </c>
      <c r="F7715" s="30" t="inlineStr">
        <is>
          <t>2022</t>
        </is>
      </c>
      <c r="G7715" s="40" t="n">
        <v>0</v>
      </c>
    </row>
    <row r="7716" ht="12" customHeight="1">
      <c r="A7716" s="30" t="inlineStr">
        <is>
          <t>ITG</t>
        </is>
      </c>
      <c r="B7716" s="30" t="inlineStr">
        <is>
          <t>Itaguai</t>
        </is>
      </c>
      <c r="C7716" s="30" t="n">
        <v>85317873</v>
      </c>
      <c r="D7716" s="30">
        <f>"00505285000112"</f>
        <v/>
      </c>
      <c r="E7716" s="30" t="inlineStr">
        <is>
          <t>C &amp; F DE ITAGUAI LOCACOES LTDA EPP</t>
        </is>
      </c>
      <c r="F7716" s="30" t="inlineStr">
        <is>
          <t>2023</t>
        </is>
      </c>
      <c r="G7716" s="40" t="n">
        <v>0</v>
      </c>
    </row>
    <row r="7717" ht="12" customHeight="1">
      <c r="A7717" s="30" t="inlineStr">
        <is>
          <t>ITG</t>
        </is>
      </c>
      <c r="B7717" s="30" t="inlineStr">
        <is>
          <t>Itaguai</t>
        </is>
      </c>
      <c r="C7717" s="30" t="n">
        <v>85390449</v>
      </c>
      <c r="D7717" s="30">
        <f>"17428731005447"</f>
        <v/>
      </c>
      <c r="E7717" s="30" t="inlineStr">
        <is>
          <t>PROSEGUR BRASIL S/A</t>
        </is>
      </c>
      <c r="F7717" s="30" t="inlineStr">
        <is>
          <t>2017</t>
        </is>
      </c>
      <c r="G7717" s="40" t="n">
        <v>292050.99</v>
      </c>
    </row>
    <row r="7718" ht="12" customHeight="1">
      <c r="A7718" s="30" t="inlineStr">
        <is>
          <t>ITG</t>
        </is>
      </c>
      <c r="B7718" s="30" t="inlineStr">
        <is>
          <t>Itaguai</t>
        </is>
      </c>
      <c r="C7718" s="30" t="n">
        <v>85390449</v>
      </c>
      <c r="D7718" s="30">
        <f>"17428731005447"</f>
        <v/>
      </c>
      <c r="E7718" s="30" t="inlineStr">
        <is>
          <t>PROSEGUR BRASIL S/A</t>
        </is>
      </c>
      <c r="F7718" s="30" t="inlineStr">
        <is>
          <t>2018</t>
        </is>
      </c>
      <c r="G7718" s="40" t="n">
        <v>351378.01</v>
      </c>
    </row>
    <row r="7719" ht="12" customHeight="1">
      <c r="A7719" s="30" t="inlineStr">
        <is>
          <t>ITG</t>
        </is>
      </c>
      <c r="B7719" s="30" t="inlineStr">
        <is>
          <t>Itaguai</t>
        </is>
      </c>
      <c r="C7719" s="30" t="n">
        <v>85390449</v>
      </c>
      <c r="D7719" s="30">
        <f>"17428731005447"</f>
        <v/>
      </c>
      <c r="E7719" s="30" t="inlineStr">
        <is>
          <t>PROSEGUR BRASIL S/A</t>
        </is>
      </c>
      <c r="F7719" s="30" t="inlineStr">
        <is>
          <t>2019</t>
        </is>
      </c>
      <c r="G7719" s="40" t="n">
        <v>366603.58</v>
      </c>
    </row>
    <row r="7720" ht="12" customHeight="1">
      <c r="A7720" s="30" t="inlineStr">
        <is>
          <t>ITG</t>
        </is>
      </c>
      <c r="B7720" s="30" t="inlineStr">
        <is>
          <t>Itaguai</t>
        </is>
      </c>
      <c r="C7720" s="30" t="n">
        <v>85390449</v>
      </c>
      <c r="D7720" s="30">
        <f>"17428731005447"</f>
        <v/>
      </c>
      <c r="E7720" s="30" t="inlineStr">
        <is>
          <t>PROSEGUR BRASIL S/A</t>
        </is>
      </c>
      <c r="F7720" s="30" t="inlineStr">
        <is>
          <t>2020</t>
        </is>
      </c>
      <c r="G7720" s="40" t="n">
        <v>375901.3</v>
      </c>
    </row>
    <row r="7721" ht="12" customHeight="1">
      <c r="A7721" s="30" t="inlineStr">
        <is>
          <t>ITG</t>
        </is>
      </c>
      <c r="B7721" s="30" t="inlineStr">
        <is>
          <t>Itaguai</t>
        </is>
      </c>
      <c r="C7721" s="30" t="n">
        <v>85390449</v>
      </c>
      <c r="D7721" s="30">
        <f>"17428731005447"</f>
        <v/>
      </c>
      <c r="E7721" s="30" t="inlineStr">
        <is>
          <t>PROSEGUR BRASIL S/A</t>
        </is>
      </c>
      <c r="F7721" s="30" t="inlineStr">
        <is>
          <t>2021</t>
        </is>
      </c>
      <c r="G7721" s="40" t="n">
        <v>237988.83</v>
      </c>
    </row>
    <row r="7722" ht="12" customHeight="1">
      <c r="A7722" s="30" t="inlineStr">
        <is>
          <t>ITG</t>
        </is>
      </c>
      <c r="B7722" s="30" t="inlineStr">
        <is>
          <t>Itaguai</t>
        </is>
      </c>
      <c r="C7722" s="30" t="n">
        <v>85390449</v>
      </c>
      <c r="D7722" s="30">
        <f>"17428731005447"</f>
        <v/>
      </c>
      <c r="E7722" s="30" t="inlineStr">
        <is>
          <t>PROSEGUR BRASIL S/A</t>
        </is>
      </c>
      <c r="F7722" s="30" t="inlineStr">
        <is>
          <t>2022</t>
        </is>
      </c>
      <c r="G7722" s="40" t="n">
        <v>12655.21</v>
      </c>
    </row>
    <row r="7723" ht="12" customHeight="1">
      <c r="A7723" s="30" t="inlineStr">
        <is>
          <t>ITG</t>
        </is>
      </c>
      <c r="B7723" s="30" t="inlineStr">
        <is>
          <t>Itaguai</t>
        </is>
      </c>
      <c r="C7723" s="30" t="n">
        <v>85390449</v>
      </c>
      <c r="D7723" s="30">
        <f>"17428731005447"</f>
        <v/>
      </c>
      <c r="E7723" s="30" t="inlineStr">
        <is>
          <t>PROSEGUR BRASIL S/A</t>
        </is>
      </c>
      <c r="F7723" s="30" t="inlineStr">
        <is>
          <t>2023</t>
        </is>
      </c>
      <c r="G7723" s="40" t="n">
        <v>198635.64</v>
      </c>
    </row>
    <row r="7724" ht="12" customHeight="1">
      <c r="A7724" s="30" t="inlineStr">
        <is>
          <t>ITG</t>
        </is>
      </c>
      <c r="B7724" s="30" t="inlineStr">
        <is>
          <t>Itaguai</t>
        </is>
      </c>
      <c r="C7724" s="30" t="n">
        <v>85440357</v>
      </c>
      <c r="D7724" s="30">
        <f>"55184691000201"</f>
        <v/>
      </c>
      <c r="E7724" s="30" t="inlineStr">
        <is>
          <t>TRANSPORTADORA JULE LTDA</t>
        </is>
      </c>
      <c r="F7724" s="30" t="inlineStr">
        <is>
          <t>2017</t>
        </is>
      </c>
      <c r="G7724" s="40" t="n">
        <v>567312.11</v>
      </c>
    </row>
    <row r="7725" ht="12" customHeight="1">
      <c r="A7725" s="30" t="inlineStr">
        <is>
          <t>ITG</t>
        </is>
      </c>
      <c r="B7725" s="30" t="inlineStr">
        <is>
          <t>Itaguai</t>
        </is>
      </c>
      <c r="C7725" s="30" t="n">
        <v>85440357</v>
      </c>
      <c r="D7725" s="30">
        <f>"55184691000201"</f>
        <v/>
      </c>
      <c r="E7725" s="30" t="inlineStr">
        <is>
          <t>TRANSPORTADORA JULE LTDA</t>
        </is>
      </c>
      <c r="F7725" s="30" t="inlineStr">
        <is>
          <t>2018</t>
        </is>
      </c>
      <c r="G7725" s="40" t="n">
        <v>245095.26</v>
      </c>
    </row>
    <row r="7726" ht="12" customHeight="1">
      <c r="A7726" s="30" t="inlineStr">
        <is>
          <t>ITG</t>
        </is>
      </c>
      <c r="B7726" s="30" t="inlineStr">
        <is>
          <t>Itaguai</t>
        </is>
      </c>
      <c r="C7726" s="30" t="n">
        <v>85440357</v>
      </c>
      <c r="D7726" s="30">
        <f>"55184691000201"</f>
        <v/>
      </c>
      <c r="E7726" s="30" t="inlineStr">
        <is>
          <t>TRANSPORTADORA JULE LTDA</t>
        </is>
      </c>
      <c r="F7726" s="30" t="inlineStr">
        <is>
          <t>2019</t>
        </is>
      </c>
      <c r="G7726" s="40" t="n">
        <v>124420.62</v>
      </c>
    </row>
    <row r="7727" ht="12" customHeight="1">
      <c r="A7727" s="30" t="inlineStr">
        <is>
          <t>ITG</t>
        </is>
      </c>
      <c r="B7727" s="30" t="inlineStr">
        <is>
          <t>Itaguai</t>
        </is>
      </c>
      <c r="C7727" s="30" t="n">
        <v>85440357</v>
      </c>
      <c r="D7727" s="30">
        <f>"55184691000201"</f>
        <v/>
      </c>
      <c r="E7727" s="30" t="inlineStr">
        <is>
          <t>TRANSPORTADORA JULE LTDA</t>
        </is>
      </c>
      <c r="F7727" s="30" t="inlineStr">
        <is>
          <t>2020</t>
        </is>
      </c>
      <c r="G7727" s="40" t="n">
        <v>41615.32</v>
      </c>
    </row>
    <row r="7728" ht="12" customHeight="1">
      <c r="A7728" s="30" t="inlineStr">
        <is>
          <t>ITG</t>
        </is>
      </c>
      <c r="B7728" s="30" t="inlineStr">
        <is>
          <t>Itaguai</t>
        </is>
      </c>
      <c r="C7728" s="30" t="n">
        <v>85440357</v>
      </c>
      <c r="D7728" s="30">
        <f>"55184691000201"</f>
        <v/>
      </c>
      <c r="E7728" s="30" t="inlineStr">
        <is>
          <t>TRANSPORTADORA JULE LTDA</t>
        </is>
      </c>
      <c r="F7728" s="30" t="inlineStr">
        <is>
          <t>2021</t>
        </is>
      </c>
      <c r="G7728" s="40" t="n">
        <v>0</v>
      </c>
    </row>
    <row r="7729" ht="12" customHeight="1">
      <c r="A7729" s="30" t="inlineStr">
        <is>
          <t>ITG</t>
        </is>
      </c>
      <c r="B7729" s="30" t="inlineStr">
        <is>
          <t>Itaguai</t>
        </is>
      </c>
      <c r="C7729" s="30" t="n">
        <v>85440357</v>
      </c>
      <c r="D7729" s="30">
        <f>"55184691000201"</f>
        <v/>
      </c>
      <c r="E7729" s="30" t="inlineStr">
        <is>
          <t>TRANSPORTADORA JULE LTDA</t>
        </is>
      </c>
      <c r="F7729" s="30" t="inlineStr">
        <is>
          <t>2022</t>
        </is>
      </c>
      <c r="G7729" s="40" t="n">
        <v>0</v>
      </c>
    </row>
    <row r="7730" ht="12" customHeight="1">
      <c r="A7730" s="30" t="inlineStr">
        <is>
          <t>ITG</t>
        </is>
      </c>
      <c r="B7730" s="30" t="inlineStr">
        <is>
          <t>Itaguai</t>
        </is>
      </c>
      <c r="C7730" s="30" t="n">
        <v>85454455</v>
      </c>
      <c r="D7730" s="30">
        <f>"00468285000190"</f>
        <v/>
      </c>
      <c r="E7730" s="30" t="inlineStr">
        <is>
          <t>TRANZIRAN TRANSPORTES EIRELI</t>
        </is>
      </c>
      <c r="F7730" s="30" t="inlineStr">
        <is>
          <t>2017</t>
        </is>
      </c>
      <c r="G7730" s="40" t="n">
        <v>1133635.98</v>
      </c>
    </row>
    <row r="7731" ht="12" customHeight="1">
      <c r="A7731" s="30" t="inlineStr">
        <is>
          <t>ITG</t>
        </is>
      </c>
      <c r="B7731" s="30" t="inlineStr">
        <is>
          <t>Itaguai</t>
        </is>
      </c>
      <c r="C7731" s="30" t="n">
        <v>85454455</v>
      </c>
      <c r="D7731" s="30">
        <f>"00468285000190"</f>
        <v/>
      </c>
      <c r="E7731" s="30" t="inlineStr">
        <is>
          <t>TRANZIRAN TRANSPORTES EIRELI</t>
        </is>
      </c>
      <c r="F7731" s="30" t="inlineStr">
        <is>
          <t>2018</t>
        </is>
      </c>
      <c r="G7731" s="40" t="n">
        <v>0</v>
      </c>
    </row>
    <row r="7732" ht="12" customHeight="1">
      <c r="A7732" s="30" t="inlineStr">
        <is>
          <t>ITG</t>
        </is>
      </c>
      <c r="B7732" s="30" t="inlineStr">
        <is>
          <t>Itaguai</t>
        </is>
      </c>
      <c r="C7732" s="30" t="n">
        <v>85454455</v>
      </c>
      <c r="D7732" s="30">
        <f>"00468285000190"</f>
        <v/>
      </c>
      <c r="E7732" s="30" t="inlineStr">
        <is>
          <t>TRANZIRAN TRANSPORTES EIRELI</t>
        </is>
      </c>
      <c r="F7732" s="30" t="inlineStr">
        <is>
          <t>2019</t>
        </is>
      </c>
      <c r="G7732" s="40" t="n">
        <v>2420250.06</v>
      </c>
    </row>
    <row r="7733" ht="12" customHeight="1">
      <c r="A7733" s="30" t="inlineStr">
        <is>
          <t>ITG</t>
        </is>
      </c>
      <c r="B7733" s="30" t="inlineStr">
        <is>
          <t>Itaguai</t>
        </is>
      </c>
      <c r="C7733" s="30" t="n">
        <v>85454455</v>
      </c>
      <c r="D7733" s="30">
        <f>"00468285000190"</f>
        <v/>
      </c>
      <c r="E7733" s="30" t="inlineStr">
        <is>
          <t>TRANZIRAN TRANSPORTES EIRELI</t>
        </is>
      </c>
      <c r="F7733" s="30" t="inlineStr">
        <is>
          <t>2020</t>
        </is>
      </c>
      <c r="G7733" s="40" t="n">
        <v>1588092.03</v>
      </c>
    </row>
    <row r="7734" ht="12" customHeight="1">
      <c r="A7734" s="30" t="inlineStr">
        <is>
          <t>ITG</t>
        </is>
      </c>
      <c r="B7734" s="30" t="inlineStr">
        <is>
          <t>Itaguai</t>
        </is>
      </c>
      <c r="C7734" s="30" t="n">
        <v>85454455</v>
      </c>
      <c r="D7734" s="30">
        <f>"00468285000190"</f>
        <v/>
      </c>
      <c r="E7734" s="30" t="inlineStr">
        <is>
          <t>TRANZIRAN TRANSPORTES EIRELI</t>
        </is>
      </c>
      <c r="F7734" s="30" t="inlineStr">
        <is>
          <t>2021</t>
        </is>
      </c>
      <c r="G7734" s="40" t="n">
        <v>1111583.2</v>
      </c>
    </row>
    <row r="7735" ht="12" customHeight="1">
      <c r="A7735" s="30" t="inlineStr">
        <is>
          <t>ITG</t>
        </is>
      </c>
      <c r="B7735" s="30" t="inlineStr">
        <is>
          <t>Itaguai</t>
        </is>
      </c>
      <c r="C7735" s="30" t="n">
        <v>85454455</v>
      </c>
      <c r="D7735" s="30">
        <f>"00468285000190"</f>
        <v/>
      </c>
      <c r="E7735" s="30" t="inlineStr">
        <is>
          <t>TRANZIRAN TRANSPORTES EIRELI</t>
        </is>
      </c>
      <c r="F7735" s="30" t="inlineStr">
        <is>
          <t>2022</t>
        </is>
      </c>
      <c r="G7735" s="40" t="n">
        <v>573108.26</v>
      </c>
    </row>
    <row r="7736" ht="12" customHeight="1">
      <c r="A7736" s="30" t="inlineStr">
        <is>
          <t>ITG</t>
        </is>
      </c>
      <c r="B7736" s="30" t="inlineStr">
        <is>
          <t>Itaguai</t>
        </is>
      </c>
      <c r="C7736" s="30" t="n">
        <v>85454455</v>
      </c>
      <c r="D7736" s="30">
        <f>"00468285000190"</f>
        <v/>
      </c>
      <c r="E7736" s="30" t="inlineStr">
        <is>
          <t>TRANZIRAN TRANSPORTES EIRELI</t>
        </is>
      </c>
      <c r="F7736" s="30" t="inlineStr">
        <is>
          <t>2023</t>
        </is>
      </c>
      <c r="G7736" s="40" t="n">
        <v>1680395.91</v>
      </c>
    </row>
    <row r="7737" ht="12" customHeight="1">
      <c r="A7737" s="30" t="inlineStr">
        <is>
          <t>ITG</t>
        </is>
      </c>
      <c r="B7737" s="30" t="inlineStr">
        <is>
          <t>Itaguai</t>
        </is>
      </c>
      <c r="C7737" s="30" t="n">
        <v>85454684</v>
      </c>
      <c r="D7737" s="30">
        <f>"81800849001032"</f>
        <v/>
      </c>
      <c r="E7737" s="30" t="inlineStr">
        <is>
          <t>COTRESC COOPERATIVA DE TRANSPORTE DE CARGAS DO ESTADO DE SC LTDA</t>
        </is>
      </c>
      <c r="F7737" s="30" t="inlineStr">
        <is>
          <t>2017</t>
        </is>
      </c>
      <c r="G7737" s="40" t="n">
        <v>0</v>
      </c>
    </row>
    <row r="7738" ht="12" customHeight="1">
      <c r="A7738" s="30" t="inlineStr">
        <is>
          <t>ITG</t>
        </is>
      </c>
      <c r="B7738" s="30" t="inlineStr">
        <is>
          <t>Itaguai</t>
        </is>
      </c>
      <c r="C7738" s="30" t="n">
        <v>85454684</v>
      </c>
      <c r="D7738" s="30">
        <f>"81800849001032"</f>
        <v/>
      </c>
      <c r="E7738" s="30" t="inlineStr">
        <is>
          <t>COTRESC COOPERATIVA DE TRANSPORTE DE CARGAS DO ESTADO DE SC LTDA</t>
        </is>
      </c>
      <c r="F7738" s="30" t="inlineStr">
        <is>
          <t>2018</t>
        </is>
      </c>
      <c r="G7738" s="40" t="n">
        <v>2579037.11</v>
      </c>
    </row>
    <row r="7739" ht="12" customHeight="1">
      <c r="A7739" s="30" t="inlineStr">
        <is>
          <t>ITG</t>
        </is>
      </c>
      <c r="B7739" s="30" t="inlineStr">
        <is>
          <t>Itaguai</t>
        </is>
      </c>
      <c r="C7739" s="30" t="n">
        <v>85454684</v>
      </c>
      <c r="D7739" s="30">
        <f>"81800849001032"</f>
        <v/>
      </c>
      <c r="E7739" s="30" t="inlineStr">
        <is>
          <t>COTRESC COOPERATIVA DE TRANSPORTE DE CARGAS DO ESTADO DE SC LTDA</t>
        </is>
      </c>
      <c r="F7739" s="30" t="inlineStr">
        <is>
          <t>2019</t>
        </is>
      </c>
      <c r="G7739" s="40" t="n">
        <v>597546.41</v>
      </c>
    </row>
    <row r="7740" ht="12" customHeight="1">
      <c r="A7740" s="30" t="inlineStr">
        <is>
          <t>ITG</t>
        </is>
      </c>
      <c r="B7740" s="30" t="inlineStr">
        <is>
          <t>Itaguai</t>
        </is>
      </c>
      <c r="C7740" s="30" t="n">
        <v>85454684</v>
      </c>
      <c r="D7740" s="30">
        <f>"81800849001032"</f>
        <v/>
      </c>
      <c r="E7740" s="30" t="inlineStr">
        <is>
          <t>COTRESC COOPERATIVA DE TRANSPORTE DE CARGAS DO ESTADO DE SC LTDA</t>
        </is>
      </c>
      <c r="F7740" s="30" t="inlineStr">
        <is>
          <t>2020</t>
        </is>
      </c>
      <c r="G7740" s="40" t="n">
        <v>2155760.48</v>
      </c>
    </row>
    <row r="7741" ht="12" customHeight="1">
      <c r="A7741" s="30" t="inlineStr">
        <is>
          <t>ITG</t>
        </is>
      </c>
      <c r="B7741" s="30" t="inlineStr">
        <is>
          <t>Itaguai</t>
        </is>
      </c>
      <c r="C7741" s="30" t="n">
        <v>85454684</v>
      </c>
      <c r="D7741" s="30">
        <f>"81800849001032"</f>
        <v/>
      </c>
      <c r="E7741" s="30" t="inlineStr">
        <is>
          <t>COTRESC COOPERATIVA DE TRANSPORTE DE CARGAS DO ESTADO DE SC LTDA</t>
        </is>
      </c>
      <c r="F7741" s="30" t="inlineStr">
        <is>
          <t>2021</t>
        </is>
      </c>
      <c r="G7741" s="40" t="n">
        <v>3931227.29</v>
      </c>
    </row>
    <row r="7742" ht="12" customHeight="1">
      <c r="A7742" s="30" t="inlineStr">
        <is>
          <t>ITG</t>
        </is>
      </c>
      <c r="B7742" s="30" t="inlineStr">
        <is>
          <t>Itaguai</t>
        </is>
      </c>
      <c r="C7742" s="30" t="n">
        <v>85454684</v>
      </c>
      <c r="D7742" s="30">
        <f>"81800849001032"</f>
        <v/>
      </c>
      <c r="E7742" s="30" t="inlineStr">
        <is>
          <t>COTRESC COOPERATIVA DE TRANSPORTE DE CARGAS DO ESTADO DE SC LTDA</t>
        </is>
      </c>
      <c r="F7742" s="30" t="inlineStr">
        <is>
          <t>2022</t>
        </is>
      </c>
      <c r="G7742" s="40" t="n">
        <v>8283115.04</v>
      </c>
    </row>
    <row r="7743" ht="12" customHeight="1">
      <c r="A7743" s="30" t="inlineStr">
        <is>
          <t>ITG</t>
        </is>
      </c>
      <c r="B7743" s="30" t="inlineStr">
        <is>
          <t>Itaguai</t>
        </is>
      </c>
      <c r="C7743" s="30" t="n">
        <v>85454684</v>
      </c>
      <c r="D7743" s="30">
        <f>"81800849001032"</f>
        <v/>
      </c>
      <c r="E7743" s="30" t="inlineStr">
        <is>
          <t>COTRESC COOPERATIVA DE TRANSPORTE DE CARGAS DO ESTADO DE SC LTDA</t>
        </is>
      </c>
      <c r="F7743" s="30" t="inlineStr">
        <is>
          <t>2023</t>
        </is>
      </c>
      <c r="G7743" s="40" t="n">
        <v>6180902.89</v>
      </c>
    </row>
    <row r="7744" ht="12" customHeight="1">
      <c r="A7744" s="30" t="inlineStr">
        <is>
          <t>ITG</t>
        </is>
      </c>
      <c r="B7744" s="30" t="inlineStr">
        <is>
          <t>Itaguai</t>
        </is>
      </c>
      <c r="C7744" s="30" t="n">
        <v>85455109</v>
      </c>
      <c r="D7744" s="30">
        <f>"28299386000446"</f>
        <v/>
      </c>
      <c r="E7744" s="30" t="inlineStr">
        <is>
          <t>TRANSMAGNO TRANSPORTES RODOVIARIOS LTDA</t>
        </is>
      </c>
      <c r="F7744" s="30" t="inlineStr">
        <is>
          <t>2017</t>
        </is>
      </c>
      <c r="G7744" s="40" t="n">
        <v>47542.15</v>
      </c>
    </row>
    <row r="7745" ht="12" customHeight="1">
      <c r="A7745" s="30" t="inlineStr">
        <is>
          <t>ITG</t>
        </is>
      </c>
      <c r="B7745" s="30" t="inlineStr">
        <is>
          <t>Itaguai</t>
        </is>
      </c>
      <c r="C7745" s="30" t="n">
        <v>85455109</v>
      </c>
      <c r="D7745" s="30">
        <f>"28299386000446"</f>
        <v/>
      </c>
      <c r="E7745" s="30" t="inlineStr">
        <is>
          <t>TRANSMAGNO TRANSPORTES RODOVIARIOS LTDA</t>
        </is>
      </c>
      <c r="F7745" s="30" t="inlineStr">
        <is>
          <t>2018</t>
        </is>
      </c>
      <c r="G7745" s="40" t="n">
        <v>63972.08</v>
      </c>
    </row>
    <row r="7746" ht="12" customHeight="1">
      <c r="A7746" s="30" t="inlineStr">
        <is>
          <t>ITG</t>
        </is>
      </c>
      <c r="B7746" s="30" t="inlineStr">
        <is>
          <t>Itaguai</t>
        </is>
      </c>
      <c r="C7746" s="30" t="n">
        <v>85455109</v>
      </c>
      <c r="D7746" s="30">
        <f>"28299386000446"</f>
        <v/>
      </c>
      <c r="E7746" s="30" t="inlineStr">
        <is>
          <t>TRANSMAGNO TRANSPORTES RODOVIARIOS LTDA</t>
        </is>
      </c>
      <c r="F7746" s="30" t="inlineStr">
        <is>
          <t>2019</t>
        </is>
      </c>
      <c r="G7746" s="40" t="n">
        <v>0</v>
      </c>
    </row>
    <row r="7747" ht="12" customHeight="1">
      <c r="A7747" s="30" t="inlineStr">
        <is>
          <t>ITG</t>
        </is>
      </c>
      <c r="B7747" s="30" t="inlineStr">
        <is>
          <t>Itaguai</t>
        </is>
      </c>
      <c r="C7747" s="30" t="n">
        <v>85455109</v>
      </c>
      <c r="D7747" s="30">
        <f>"28299386000446"</f>
        <v/>
      </c>
      <c r="E7747" s="30" t="inlineStr">
        <is>
          <t>TRANSMAGNO TRANSPORTES RODOVIARIOS LTDA</t>
        </is>
      </c>
      <c r="F7747" s="30" t="inlineStr">
        <is>
          <t>2020</t>
        </is>
      </c>
      <c r="G7747" s="40" t="n">
        <v>0</v>
      </c>
    </row>
    <row r="7748" ht="12" customHeight="1">
      <c r="A7748" s="30" t="inlineStr">
        <is>
          <t>ITG</t>
        </is>
      </c>
      <c r="B7748" s="30" t="inlineStr">
        <is>
          <t>Itaguai</t>
        </is>
      </c>
      <c r="C7748" s="30" t="n">
        <v>85455613</v>
      </c>
      <c r="D7748" s="30">
        <f>"00546164000119"</f>
        <v/>
      </c>
      <c r="E7748" s="30" t="inlineStr">
        <is>
          <t>TLM - TRANSPORTES E LOGISTICA MODERNA LTDA</t>
        </is>
      </c>
      <c r="F7748" s="30" t="inlineStr">
        <is>
          <t>2017</t>
        </is>
      </c>
      <c r="G7748" s="40" t="n">
        <v>0</v>
      </c>
    </row>
    <row r="7749" ht="12" customHeight="1">
      <c r="A7749" s="30" t="inlineStr">
        <is>
          <t>ITG</t>
        </is>
      </c>
      <c r="B7749" s="30" t="inlineStr">
        <is>
          <t>Itaguai</t>
        </is>
      </c>
      <c r="C7749" s="30" t="n">
        <v>85455613</v>
      </c>
      <c r="D7749" s="30">
        <f>"00546164000119"</f>
        <v/>
      </c>
      <c r="E7749" s="30" t="inlineStr">
        <is>
          <t>TLM - TRANSPORTES E LOGISTICA MODERNA LTDA</t>
        </is>
      </c>
      <c r="F7749" s="30" t="inlineStr">
        <is>
          <t>2018</t>
        </is>
      </c>
      <c r="G7749" s="40" t="n">
        <v>241.35</v>
      </c>
    </row>
    <row r="7750" ht="12" customHeight="1">
      <c r="A7750" s="30" t="inlineStr">
        <is>
          <t>ITG</t>
        </is>
      </c>
      <c r="B7750" s="30" t="inlineStr">
        <is>
          <t>Itaguai</t>
        </is>
      </c>
      <c r="C7750" s="30" t="n">
        <v>85455613</v>
      </c>
      <c r="D7750" s="30">
        <f>"00546164000119"</f>
        <v/>
      </c>
      <c r="E7750" s="30" t="inlineStr">
        <is>
          <t>TLM - TRANSPORTES E LOGISTICA MODERNA LTDA</t>
        </is>
      </c>
      <c r="F7750" s="30" t="inlineStr">
        <is>
          <t>2019</t>
        </is>
      </c>
      <c r="G7750" s="40" t="n">
        <v>1255.19</v>
      </c>
    </row>
    <row r="7751" ht="12" customHeight="1">
      <c r="A7751" s="30" t="inlineStr">
        <is>
          <t>ITG</t>
        </is>
      </c>
      <c r="B7751" s="30" t="inlineStr">
        <is>
          <t>Itaguai</t>
        </is>
      </c>
      <c r="C7751" s="30" t="n">
        <v>85455613</v>
      </c>
      <c r="D7751" s="30">
        <f>"00546164000119"</f>
        <v/>
      </c>
      <c r="E7751" s="30" t="inlineStr">
        <is>
          <t>TLM - TRANSPORTES E LOGISTICA MODERNA LTDA</t>
        </is>
      </c>
      <c r="F7751" s="30" t="inlineStr">
        <is>
          <t>2020</t>
        </is>
      </c>
      <c r="G7751" s="40" t="n">
        <v>376.98</v>
      </c>
    </row>
    <row r="7752" ht="12" customHeight="1">
      <c r="A7752" s="30" t="inlineStr">
        <is>
          <t>ITG</t>
        </is>
      </c>
      <c r="B7752" s="30" t="inlineStr">
        <is>
          <t>Itaguai</t>
        </is>
      </c>
      <c r="C7752" s="30" t="n">
        <v>85455613</v>
      </c>
      <c r="D7752" s="30">
        <f>"00546164000119"</f>
        <v/>
      </c>
      <c r="E7752" s="30" t="inlineStr">
        <is>
          <t>TLM - TRANSPORTES E LOGISTICA MODERNA LTDA</t>
        </is>
      </c>
      <c r="F7752" s="30" t="inlineStr">
        <is>
          <t>2021</t>
        </is>
      </c>
      <c r="G7752" s="40" t="n">
        <v>78.83</v>
      </c>
    </row>
    <row r="7753" ht="12" customHeight="1">
      <c r="A7753" s="30" t="inlineStr">
        <is>
          <t>ITG</t>
        </is>
      </c>
      <c r="B7753" s="30" t="inlineStr">
        <is>
          <t>Itaguai</t>
        </is>
      </c>
      <c r="C7753" s="30" t="n">
        <v>85455613</v>
      </c>
      <c r="D7753" s="30">
        <f>"00546164000119"</f>
        <v/>
      </c>
      <c r="E7753" s="30" t="inlineStr">
        <is>
          <t>TLM - TRANSPORTES E LOGISTICA MODERNA LTDA</t>
        </is>
      </c>
      <c r="F7753" s="30" t="inlineStr">
        <is>
          <t>2022</t>
        </is>
      </c>
      <c r="G7753" s="40" t="n">
        <v>0</v>
      </c>
    </row>
    <row r="7754" ht="12" customHeight="1">
      <c r="A7754" s="30" t="inlineStr">
        <is>
          <t>ITG</t>
        </is>
      </c>
      <c r="B7754" s="30" t="inlineStr">
        <is>
          <t>Itaguai</t>
        </is>
      </c>
      <c r="C7754" s="30" t="n">
        <v>85455613</v>
      </c>
      <c r="D7754" s="30">
        <f>"00546164000119"</f>
        <v/>
      </c>
      <c r="E7754" s="30" t="inlineStr">
        <is>
          <t>TLM - TRANSPORTES E LOGISTICA MODERNA LTDA</t>
        </is>
      </c>
      <c r="F7754" s="30" t="inlineStr">
        <is>
          <t>2023</t>
        </is>
      </c>
      <c r="G7754" s="40" t="n">
        <v>0</v>
      </c>
    </row>
    <row r="7755" ht="12" customHeight="1">
      <c r="A7755" s="30" t="inlineStr">
        <is>
          <t>ITG</t>
        </is>
      </c>
      <c r="B7755" s="30" t="inlineStr">
        <is>
          <t>Itaguai</t>
        </is>
      </c>
      <c r="C7755" s="30" t="n">
        <v>85498053</v>
      </c>
      <c r="D7755" s="30">
        <f>"01341776000219"</f>
        <v/>
      </c>
      <c r="E7755" s="30" t="inlineStr">
        <is>
          <t>MERCOSUL LINE NAVEGACAO E LOGISTICA LTDA</t>
        </is>
      </c>
      <c r="F7755" s="30" t="inlineStr">
        <is>
          <t>2017</t>
        </is>
      </c>
      <c r="G7755" s="40" t="n">
        <v>2501756.36</v>
      </c>
    </row>
    <row r="7756" ht="12" customHeight="1">
      <c r="A7756" s="30" t="inlineStr">
        <is>
          <t>ITG</t>
        </is>
      </c>
      <c r="B7756" s="30" t="inlineStr">
        <is>
          <t>Itaguai</t>
        </is>
      </c>
      <c r="C7756" s="30" t="n">
        <v>85498053</v>
      </c>
      <c r="D7756" s="30">
        <f>"01341776000219"</f>
        <v/>
      </c>
      <c r="E7756" s="30" t="inlineStr">
        <is>
          <t>MERCOSUL LINE NAVEGACAO E LOGISTICA LTDA</t>
        </is>
      </c>
      <c r="F7756" s="30" t="inlineStr">
        <is>
          <t>2018</t>
        </is>
      </c>
      <c r="G7756" s="40" t="n">
        <v>51844.22</v>
      </c>
    </row>
    <row r="7757" ht="12" customHeight="1">
      <c r="A7757" s="30" t="inlineStr">
        <is>
          <t>ITG</t>
        </is>
      </c>
      <c r="B7757" s="30" t="inlineStr">
        <is>
          <t>Itaguai</t>
        </is>
      </c>
      <c r="C7757" s="30" t="n">
        <v>85498053</v>
      </c>
      <c r="D7757" s="30">
        <f>"01341776000219"</f>
        <v/>
      </c>
      <c r="E7757" s="30" t="inlineStr">
        <is>
          <t>MERCOSUL LINE NAVEGACAO E LOGISTICA LTDA</t>
        </is>
      </c>
      <c r="F7757" s="30" t="inlineStr">
        <is>
          <t>2019</t>
        </is>
      </c>
      <c r="G7757" s="40" t="n">
        <v>23570419.79</v>
      </c>
    </row>
    <row r="7758" ht="12" customHeight="1">
      <c r="A7758" s="30" t="inlineStr">
        <is>
          <t>ITG</t>
        </is>
      </c>
      <c r="B7758" s="30" t="inlineStr">
        <is>
          <t>Itaguai</t>
        </is>
      </c>
      <c r="C7758" s="30" t="n">
        <v>85498053</v>
      </c>
      <c r="D7758" s="30">
        <f>"01341776000219"</f>
        <v/>
      </c>
      <c r="E7758" s="30" t="inlineStr">
        <is>
          <t>MERCOSUL LINE NAVEGACAO E LOGISTICA LTDA</t>
        </is>
      </c>
      <c r="F7758" s="30" t="inlineStr">
        <is>
          <t>2020</t>
        </is>
      </c>
      <c r="G7758" s="40" t="n">
        <v>0</v>
      </c>
    </row>
    <row r="7759" ht="12" customHeight="1">
      <c r="A7759" s="30" t="inlineStr">
        <is>
          <t>ITG</t>
        </is>
      </c>
      <c r="B7759" s="30" t="inlineStr">
        <is>
          <t>Itaguai</t>
        </is>
      </c>
      <c r="C7759" s="30" t="n">
        <v>85498053</v>
      </c>
      <c r="D7759" s="30">
        <f>"01341776000219"</f>
        <v/>
      </c>
      <c r="E7759" s="30" t="inlineStr">
        <is>
          <t>MERCOSUL LINE NAVEGACAO E LOGISTICA LTDA</t>
        </is>
      </c>
      <c r="F7759" s="30" t="inlineStr">
        <is>
          <t>2021</t>
        </is>
      </c>
      <c r="G7759" s="40" t="n">
        <v>33092060.3</v>
      </c>
    </row>
    <row r="7760" ht="12" customHeight="1">
      <c r="A7760" s="30" t="inlineStr">
        <is>
          <t>ITG</t>
        </is>
      </c>
      <c r="B7760" s="30" t="inlineStr">
        <is>
          <t>Itaguai</t>
        </is>
      </c>
      <c r="C7760" s="30" t="n">
        <v>85498053</v>
      </c>
      <c r="D7760" s="30">
        <f>"01341776000219"</f>
        <v/>
      </c>
      <c r="E7760" s="30" t="inlineStr">
        <is>
          <t>MERCOSUL LINE NAVEGACAO E LOGISTICA LTDA</t>
        </is>
      </c>
      <c r="F7760" s="30" t="inlineStr">
        <is>
          <t>2022</t>
        </is>
      </c>
      <c r="G7760" s="40" t="n">
        <v>11842106.91</v>
      </c>
    </row>
    <row r="7761" ht="12" customHeight="1">
      <c r="A7761" s="30" t="inlineStr">
        <is>
          <t>ITG</t>
        </is>
      </c>
      <c r="B7761" s="30" t="inlineStr">
        <is>
          <t>Itaguai</t>
        </is>
      </c>
      <c r="C7761" s="30" t="n">
        <v>85498053</v>
      </c>
      <c r="D7761" s="30">
        <f>"01341776000219"</f>
        <v/>
      </c>
      <c r="E7761" s="30" t="inlineStr">
        <is>
          <t>MERCOSUL LINE NAVEGACAO E LOGISTICA LTDA</t>
        </is>
      </c>
      <c r="F7761" s="30" t="inlineStr">
        <is>
          <t>2023</t>
        </is>
      </c>
      <c r="G7761" s="40" t="n">
        <v>0</v>
      </c>
    </row>
    <row r="7762" ht="12" customHeight="1">
      <c r="A7762" s="30" t="inlineStr">
        <is>
          <t>ITG</t>
        </is>
      </c>
      <c r="B7762" s="30" t="inlineStr">
        <is>
          <t>Itaguai</t>
        </is>
      </c>
      <c r="C7762" s="30" t="n">
        <v>85528211</v>
      </c>
      <c r="D7762" s="30">
        <f>"00185997000100"</f>
        <v/>
      </c>
      <c r="E7762" s="30" t="inlineStr">
        <is>
          <t>NOVO HORIZONTE JACAREPAGUA IMPORTA??O E EXPORTA??O S.A</t>
        </is>
      </c>
      <c r="F7762" s="30" t="inlineStr">
        <is>
          <t>2017</t>
        </is>
      </c>
      <c r="G7762" s="40" t="n">
        <v>600</v>
      </c>
    </row>
    <row r="7763" ht="12" customHeight="1">
      <c r="A7763" s="30" t="inlineStr">
        <is>
          <t>ITG</t>
        </is>
      </c>
      <c r="B7763" s="30" t="inlineStr">
        <is>
          <t>Itaguai</t>
        </is>
      </c>
      <c r="C7763" s="30" t="n">
        <v>85528211</v>
      </c>
      <c r="D7763" s="30">
        <f>"00185997000100"</f>
        <v/>
      </c>
      <c r="E7763" s="30" t="inlineStr">
        <is>
          <t>NOVO HORIZONTE JACAREPAGUA IMPORTA??O E EXPORTA??O S.A</t>
        </is>
      </c>
      <c r="F7763" s="30" t="inlineStr">
        <is>
          <t>2018</t>
        </is>
      </c>
      <c r="G7763" s="40" t="n">
        <v>0</v>
      </c>
    </row>
    <row r="7764" ht="12" customHeight="1">
      <c r="A7764" s="30" t="inlineStr">
        <is>
          <t>ITG</t>
        </is>
      </c>
      <c r="B7764" s="30" t="inlineStr">
        <is>
          <t>Itaguai</t>
        </is>
      </c>
      <c r="C7764" s="30" t="n">
        <v>85528211</v>
      </c>
      <c r="D7764" s="30">
        <f>"00185997000100"</f>
        <v/>
      </c>
      <c r="E7764" s="30" t="inlineStr">
        <is>
          <t>NOVO HORIZONTE JACAREPAGUA IMPORTA??O E EXPORTA??O S.A</t>
        </is>
      </c>
      <c r="F7764" s="30" t="inlineStr">
        <is>
          <t>2019</t>
        </is>
      </c>
      <c r="G7764" s="40" t="n">
        <v>0</v>
      </c>
    </row>
    <row r="7765" ht="12" customHeight="1">
      <c r="A7765" s="30" t="inlineStr">
        <is>
          <t>ITG</t>
        </is>
      </c>
      <c r="B7765" s="30" t="inlineStr">
        <is>
          <t>Itaguai</t>
        </is>
      </c>
      <c r="C7765" s="30" t="n">
        <v>85528211</v>
      </c>
      <c r="D7765" s="30">
        <f>"00185997000100"</f>
        <v/>
      </c>
      <c r="E7765" s="30" t="inlineStr">
        <is>
          <t>NOVO HORIZONTE JACAREPAGUA IMPORTA??O E EXPORTA??O S.A</t>
        </is>
      </c>
      <c r="F7765" s="30" t="inlineStr">
        <is>
          <t>2020</t>
        </is>
      </c>
      <c r="G7765" s="40" t="n">
        <v>1530</v>
      </c>
    </row>
    <row r="7766" ht="12" customHeight="1">
      <c r="A7766" s="30" t="inlineStr">
        <is>
          <t>ITG</t>
        </is>
      </c>
      <c r="B7766" s="30" t="inlineStr">
        <is>
          <t>Itaguai</t>
        </is>
      </c>
      <c r="C7766" s="30" t="n">
        <v>85528211</v>
      </c>
      <c r="D7766" s="30">
        <f>"00185997000100"</f>
        <v/>
      </c>
      <c r="E7766" s="30" t="inlineStr">
        <is>
          <t>NOVO HORIZONTE JACAREPAGUA IMPORTA??O E EXPORTA??O S.A</t>
        </is>
      </c>
      <c r="F7766" s="30" t="inlineStr">
        <is>
          <t>2021</t>
        </is>
      </c>
      <c r="G7766" s="40" t="n">
        <v>792</v>
      </c>
    </row>
    <row r="7767" ht="12" customHeight="1">
      <c r="A7767" s="30" t="inlineStr">
        <is>
          <t>ITG</t>
        </is>
      </c>
      <c r="B7767" s="30" t="inlineStr">
        <is>
          <t>Itaguai</t>
        </is>
      </c>
      <c r="C7767" s="30" t="n">
        <v>85528211</v>
      </c>
      <c r="D7767" s="30">
        <f>"00185997000100"</f>
        <v/>
      </c>
      <c r="E7767" s="30" t="inlineStr">
        <is>
          <t>NOVO HORIZONTE JACAREPAGUA IMPORTA??O E EXPORTA??O S.A</t>
        </is>
      </c>
      <c r="F7767" s="30" t="inlineStr">
        <is>
          <t>2022</t>
        </is>
      </c>
      <c r="G7767" s="40" t="n">
        <v>3920</v>
      </c>
    </row>
    <row r="7768" ht="12" customHeight="1">
      <c r="A7768" s="30" t="inlineStr">
        <is>
          <t>ITG</t>
        </is>
      </c>
      <c r="B7768" s="30" t="inlineStr">
        <is>
          <t>Itaguai</t>
        </is>
      </c>
      <c r="C7768" s="30" t="n">
        <v>85528211</v>
      </c>
      <c r="D7768" s="30">
        <f>"00185997000100"</f>
        <v/>
      </c>
      <c r="E7768" s="30" t="inlineStr">
        <is>
          <t>NOVO HORIZONTE JACAREPAGUA IMPORTA??O E EXPORTA??O S.A</t>
        </is>
      </c>
      <c r="F7768" s="30" t="inlineStr">
        <is>
          <t>2023</t>
        </is>
      </c>
      <c r="G7768" s="40" t="n">
        <v>14720</v>
      </c>
    </row>
    <row r="7769" ht="12" customHeight="1">
      <c r="A7769" s="30" t="inlineStr">
        <is>
          <t>ITG</t>
        </is>
      </c>
      <c r="B7769" s="30" t="inlineStr">
        <is>
          <t>Itaguai</t>
        </is>
      </c>
      <c r="C7769" s="30" t="n">
        <v>85645722</v>
      </c>
      <c r="D7769" s="30">
        <f>"00747098000145"</f>
        <v/>
      </c>
      <c r="E7769" s="30" t="inlineStr">
        <is>
          <t>CLE O CAR TUR TRANSPORTES LTDA</t>
        </is>
      </c>
      <c r="F7769" s="30" t="inlineStr">
        <is>
          <t>2017</t>
        </is>
      </c>
      <c r="G7769" s="40" t="n">
        <v>0</v>
      </c>
    </row>
    <row r="7770" ht="12" customHeight="1">
      <c r="A7770" s="30" t="inlineStr">
        <is>
          <t>ITG</t>
        </is>
      </c>
      <c r="B7770" s="30" t="inlineStr">
        <is>
          <t>Itaguai</t>
        </is>
      </c>
      <c r="C7770" s="30" t="n">
        <v>85645722</v>
      </c>
      <c r="D7770" s="30">
        <f>"00747098000145"</f>
        <v/>
      </c>
      <c r="E7770" s="30" t="inlineStr">
        <is>
          <t>CLE O CAR TUR TRANSPORTES LTDA</t>
        </is>
      </c>
      <c r="F7770" s="30" t="inlineStr">
        <is>
          <t>2018</t>
        </is>
      </c>
      <c r="G7770" s="40" t="n">
        <v>0</v>
      </c>
    </row>
    <row r="7771" ht="12" customHeight="1">
      <c r="A7771" s="30" t="inlineStr">
        <is>
          <t>ITG</t>
        </is>
      </c>
      <c r="B7771" s="30" t="inlineStr">
        <is>
          <t>Itaguai</t>
        </is>
      </c>
      <c r="C7771" s="30" t="n">
        <v>85645722</v>
      </c>
      <c r="D7771" s="30">
        <f>"00747098000145"</f>
        <v/>
      </c>
      <c r="E7771" s="30" t="inlineStr">
        <is>
          <t>CLE O CAR TUR TRANSPORTES LTDA</t>
        </is>
      </c>
      <c r="F7771" s="30" t="inlineStr">
        <is>
          <t>2019</t>
        </is>
      </c>
      <c r="G7771" s="40" t="n">
        <v>0</v>
      </c>
    </row>
    <row r="7772" ht="12" customHeight="1">
      <c r="A7772" s="30" t="inlineStr">
        <is>
          <t>ITG</t>
        </is>
      </c>
      <c r="B7772" s="30" t="inlineStr">
        <is>
          <t>Itaguai</t>
        </is>
      </c>
      <c r="C7772" s="30" t="n">
        <v>85645722</v>
      </c>
      <c r="D7772" s="30">
        <f>"00747098000145"</f>
        <v/>
      </c>
      <c r="E7772" s="30" t="inlineStr">
        <is>
          <t>CLE O CAR TUR TRANSPORTES LTDA</t>
        </is>
      </c>
      <c r="F7772" s="30" t="inlineStr">
        <is>
          <t>2020</t>
        </is>
      </c>
      <c r="G7772" s="40" t="n">
        <v>0</v>
      </c>
    </row>
    <row r="7773" ht="12" customHeight="1">
      <c r="A7773" s="30" t="inlineStr">
        <is>
          <t>ITG</t>
        </is>
      </c>
      <c r="B7773" s="30" t="inlineStr">
        <is>
          <t>Itaguai</t>
        </is>
      </c>
      <c r="C7773" s="30" t="n">
        <v>85645722</v>
      </c>
      <c r="D7773" s="30">
        <f>"00747098000145"</f>
        <v/>
      </c>
      <c r="E7773" s="30" t="inlineStr">
        <is>
          <t>CLE O CAR TUR TRANSPORTES LTDA</t>
        </is>
      </c>
      <c r="F7773" s="30" t="inlineStr">
        <is>
          <t>2021</t>
        </is>
      </c>
      <c r="G7773" s="40" t="n">
        <v>0</v>
      </c>
    </row>
    <row r="7774" ht="12" customHeight="1">
      <c r="A7774" s="30" t="inlineStr">
        <is>
          <t>ITG</t>
        </is>
      </c>
      <c r="B7774" s="30" t="inlineStr">
        <is>
          <t>Itaguai</t>
        </is>
      </c>
      <c r="C7774" s="30" t="n">
        <v>85646052</v>
      </c>
      <c r="D7774" s="30">
        <f>"73475303001025"</f>
        <v/>
      </c>
      <c r="E7774" s="30" t="inlineStr">
        <is>
          <t>TNT EXPRESS BRASIL LTDA</t>
        </is>
      </c>
      <c r="F7774" s="30" t="inlineStr">
        <is>
          <t>2017</t>
        </is>
      </c>
      <c r="G7774" s="40" t="n">
        <v>1551.46</v>
      </c>
    </row>
    <row r="7775" ht="12" customHeight="1">
      <c r="A7775" s="30" t="inlineStr">
        <is>
          <t>ITG</t>
        </is>
      </c>
      <c r="B7775" s="30" t="inlineStr">
        <is>
          <t>Itaguai</t>
        </is>
      </c>
      <c r="C7775" s="30" t="n">
        <v>85646052</v>
      </c>
      <c r="D7775" s="30">
        <f>"73475303001025"</f>
        <v/>
      </c>
      <c r="E7775" s="30" t="inlineStr">
        <is>
          <t>TNT EXPRESS BRASIL LTDA</t>
        </is>
      </c>
      <c r="F7775" s="30" t="inlineStr">
        <is>
          <t>2018</t>
        </is>
      </c>
      <c r="G7775" s="40" t="n">
        <v>0</v>
      </c>
    </row>
    <row r="7776" ht="12" customHeight="1">
      <c r="A7776" s="30" t="inlineStr">
        <is>
          <t>ITG</t>
        </is>
      </c>
      <c r="B7776" s="30" t="inlineStr">
        <is>
          <t>Itaguai</t>
        </is>
      </c>
      <c r="C7776" s="30" t="n">
        <v>85646052</v>
      </c>
      <c r="D7776" s="30">
        <f>"73475303001025"</f>
        <v/>
      </c>
      <c r="E7776" s="30" t="inlineStr">
        <is>
          <t>TNT EXPRESS BRASIL LTDA</t>
        </is>
      </c>
      <c r="F7776" s="30" t="inlineStr">
        <is>
          <t>2019</t>
        </is>
      </c>
      <c r="G7776" s="40" t="n">
        <v>0</v>
      </c>
    </row>
    <row r="7777" ht="12" customHeight="1">
      <c r="A7777" s="30" t="inlineStr">
        <is>
          <t>ITG</t>
        </is>
      </c>
      <c r="B7777" s="30" t="inlineStr">
        <is>
          <t>Itaguai</t>
        </is>
      </c>
      <c r="C7777" s="30" t="n">
        <v>85646842</v>
      </c>
      <c r="D7777" s="30">
        <f>"00904848000145"</f>
        <v/>
      </c>
      <c r="E7777" s="30" t="inlineStr">
        <is>
          <t>TRANSCARAPIA TRANSPORTES LTDA</t>
        </is>
      </c>
      <c r="F7777" s="30" t="inlineStr">
        <is>
          <t>2019</t>
        </is>
      </c>
      <c r="G7777" s="40" t="n">
        <v>0</v>
      </c>
    </row>
    <row r="7778" ht="12" customHeight="1">
      <c r="A7778" s="30" t="inlineStr">
        <is>
          <t>ITG</t>
        </is>
      </c>
      <c r="B7778" s="30" t="inlineStr">
        <is>
          <t>Itaguai</t>
        </is>
      </c>
      <c r="C7778" s="30" t="n">
        <v>85646842</v>
      </c>
      <c r="D7778" s="30">
        <f>"00904848000145"</f>
        <v/>
      </c>
      <c r="E7778" s="30" t="inlineStr">
        <is>
          <t>TRANSCARAPIA TRANSPORTES LTDA</t>
        </is>
      </c>
      <c r="F7778" s="30" t="inlineStr">
        <is>
          <t>2020</t>
        </is>
      </c>
      <c r="G7778" s="40" t="n">
        <v>0</v>
      </c>
    </row>
    <row r="7779" ht="12" customHeight="1">
      <c r="A7779" s="30" t="inlineStr">
        <is>
          <t>ITG</t>
        </is>
      </c>
      <c r="B7779" s="30" t="inlineStr">
        <is>
          <t>Itaguai</t>
        </is>
      </c>
      <c r="C7779" s="30" t="n">
        <v>85646842</v>
      </c>
      <c r="D7779" s="30">
        <f>"00904848000145"</f>
        <v/>
      </c>
      <c r="E7779" s="30" t="inlineStr">
        <is>
          <t>TRANSCARAPIA TRANSPORTES LTDA</t>
        </is>
      </c>
      <c r="F7779" s="30" t="inlineStr">
        <is>
          <t>2021</t>
        </is>
      </c>
      <c r="G7779" s="40" t="n">
        <v>2876.41</v>
      </c>
    </row>
    <row r="7780" ht="12" customHeight="1">
      <c r="A7780" s="30" t="inlineStr">
        <is>
          <t>ITG</t>
        </is>
      </c>
      <c r="B7780" s="30" t="inlineStr">
        <is>
          <t>Itaguai</t>
        </is>
      </c>
      <c r="C7780" s="30" t="n">
        <v>85646842</v>
      </c>
      <c r="D7780" s="30">
        <f>"00904848000145"</f>
        <v/>
      </c>
      <c r="E7780" s="30" t="inlineStr">
        <is>
          <t>TRANSCARAPIA TRANSPORTES LTDA</t>
        </is>
      </c>
      <c r="F7780" s="30" t="inlineStr">
        <is>
          <t>2022</t>
        </is>
      </c>
      <c r="G7780" s="40" t="n">
        <v>0</v>
      </c>
    </row>
    <row r="7781" ht="12" customHeight="1">
      <c r="A7781" s="30" t="inlineStr">
        <is>
          <t>ITG</t>
        </is>
      </c>
      <c r="B7781" s="30" t="inlineStr">
        <is>
          <t>Itaguai</t>
        </is>
      </c>
      <c r="C7781" s="30" t="n">
        <v>85646842</v>
      </c>
      <c r="D7781" s="30">
        <f>"00904848000145"</f>
        <v/>
      </c>
      <c r="E7781" s="30" t="inlineStr">
        <is>
          <t>TRANSCARAPIA TRANSPORTES LTDA</t>
        </is>
      </c>
      <c r="F7781" s="30" t="inlineStr">
        <is>
          <t>2023</t>
        </is>
      </c>
      <c r="G7781" s="40" t="n">
        <v>0</v>
      </c>
    </row>
    <row r="7782" ht="12" customHeight="1">
      <c r="A7782" s="30" t="inlineStr">
        <is>
          <t>ITG</t>
        </is>
      </c>
      <c r="B7782" s="30" t="inlineStr">
        <is>
          <t>Itaguai</t>
        </is>
      </c>
      <c r="C7782" s="30" t="n">
        <v>85647148</v>
      </c>
      <c r="D7782" s="30">
        <f>"09411448000504"</f>
        <v/>
      </c>
      <c r="E7782" s="30" t="inlineStr">
        <is>
          <t>LDB TRANSPORTES DE CARGAS LTDA</t>
        </is>
      </c>
      <c r="F7782" s="30" t="inlineStr">
        <is>
          <t>2018</t>
        </is>
      </c>
      <c r="G7782" s="40" t="n">
        <v>0</v>
      </c>
    </row>
    <row r="7783" ht="12" customHeight="1">
      <c r="A7783" s="30" t="inlineStr">
        <is>
          <t>ITG</t>
        </is>
      </c>
      <c r="B7783" s="30" t="inlineStr">
        <is>
          <t>Itaguai</t>
        </is>
      </c>
      <c r="C7783" s="30" t="n">
        <v>85647148</v>
      </c>
      <c r="D7783" s="30">
        <f>"09411448000504"</f>
        <v/>
      </c>
      <c r="E7783" s="30" t="inlineStr">
        <is>
          <t>LDB TRANSPORTES DE CARGAS LTDA</t>
        </is>
      </c>
      <c r="F7783" s="30" t="inlineStr">
        <is>
          <t>2019</t>
        </is>
      </c>
      <c r="G7783" s="40" t="n">
        <v>0</v>
      </c>
    </row>
    <row r="7784" ht="12" customHeight="1">
      <c r="A7784" s="30" t="inlineStr">
        <is>
          <t>ITG</t>
        </is>
      </c>
      <c r="B7784" s="30" t="inlineStr">
        <is>
          <t>Itaguai</t>
        </is>
      </c>
      <c r="C7784" s="30" t="n">
        <v>85647148</v>
      </c>
      <c r="D7784" s="30">
        <f>"09411448000504"</f>
        <v/>
      </c>
      <c r="E7784" s="30" t="inlineStr">
        <is>
          <t>LDB TRANSPORTES DE CARGAS LTDA</t>
        </is>
      </c>
      <c r="F7784" s="30" t="inlineStr">
        <is>
          <t>2020</t>
        </is>
      </c>
      <c r="G7784" s="40" t="n">
        <v>227.26</v>
      </c>
    </row>
    <row r="7785" ht="12" customHeight="1">
      <c r="A7785" s="30" t="inlineStr">
        <is>
          <t>ITG</t>
        </is>
      </c>
      <c r="B7785" s="30" t="inlineStr">
        <is>
          <t>Itaguai</t>
        </is>
      </c>
      <c r="C7785" s="30" t="n">
        <v>85647148</v>
      </c>
      <c r="D7785" s="30">
        <f>"09411448000504"</f>
        <v/>
      </c>
      <c r="E7785" s="30" t="inlineStr">
        <is>
          <t>LDB TRANSPORTES DE CARGAS LTDA</t>
        </is>
      </c>
      <c r="F7785" s="30" t="inlineStr">
        <is>
          <t>2021</t>
        </is>
      </c>
      <c r="G7785" s="40" t="n">
        <v>0</v>
      </c>
    </row>
    <row r="7786" ht="12" customHeight="1">
      <c r="A7786" s="30" t="inlineStr">
        <is>
          <t>ITG</t>
        </is>
      </c>
      <c r="B7786" s="30" t="inlineStr">
        <is>
          <t>Itaguai</t>
        </is>
      </c>
      <c r="C7786" s="30" t="n">
        <v>85647148</v>
      </c>
      <c r="D7786" s="30">
        <f>"09411448000504"</f>
        <v/>
      </c>
      <c r="E7786" s="30" t="inlineStr">
        <is>
          <t>LDB TRANSPORTES DE CARGAS LTDA</t>
        </is>
      </c>
      <c r="F7786" s="30" t="inlineStr">
        <is>
          <t>2022</t>
        </is>
      </c>
      <c r="G7786" s="40" t="n">
        <v>0</v>
      </c>
    </row>
    <row r="7787" ht="12" customHeight="1">
      <c r="A7787" s="30" t="inlineStr">
        <is>
          <t>ITG</t>
        </is>
      </c>
      <c r="B7787" s="30" t="inlineStr">
        <is>
          <t>Itaguai</t>
        </is>
      </c>
      <c r="C7787" s="30" t="n">
        <v>85647148</v>
      </c>
      <c r="D7787" s="30">
        <f>"09411448000504"</f>
        <v/>
      </c>
      <c r="E7787" s="30" t="inlineStr">
        <is>
          <t>LDB TRANSPORTES DE CARGAS LTDA</t>
        </is>
      </c>
      <c r="F7787" s="30" t="inlineStr">
        <is>
          <t>2023</t>
        </is>
      </c>
      <c r="G7787" s="40" t="n">
        <v>26594.35</v>
      </c>
    </row>
    <row r="7788" ht="12" customHeight="1">
      <c r="A7788" s="30" t="inlineStr">
        <is>
          <t>ITG</t>
        </is>
      </c>
      <c r="B7788" s="30" t="inlineStr">
        <is>
          <t>Itaguai</t>
        </is>
      </c>
      <c r="C7788" s="30" t="n">
        <v>85669818</v>
      </c>
      <c r="D7788" s="30">
        <f>"86908795000156"</f>
        <v/>
      </c>
      <c r="E7788" s="30" t="inlineStr">
        <is>
          <t>MINERADORA IGUATU LTDA EPP</t>
        </is>
      </c>
      <c r="F7788" s="30" t="inlineStr">
        <is>
          <t>2020</t>
        </is>
      </c>
      <c r="G7788" s="40" t="n">
        <v>0</v>
      </c>
    </row>
    <row r="7789" ht="12" customHeight="1">
      <c r="A7789" s="30" t="inlineStr">
        <is>
          <t>ITG</t>
        </is>
      </c>
      <c r="B7789" s="30" t="inlineStr">
        <is>
          <t>Itaguai</t>
        </is>
      </c>
      <c r="C7789" s="30" t="n">
        <v>85669818</v>
      </c>
      <c r="D7789" s="30">
        <f>"86908795000156"</f>
        <v/>
      </c>
      <c r="E7789" s="30" t="inlineStr">
        <is>
          <t>MINERADORA IGUATU LTDA EPP</t>
        </is>
      </c>
      <c r="F7789" s="30" t="inlineStr">
        <is>
          <t>2021</t>
        </is>
      </c>
      <c r="G7789" s="40" t="n">
        <v>0</v>
      </c>
    </row>
    <row r="7790" ht="12" customHeight="1">
      <c r="A7790" s="30" t="inlineStr">
        <is>
          <t>ITG</t>
        </is>
      </c>
      <c r="B7790" s="30" t="inlineStr">
        <is>
          <t>Itaguai</t>
        </is>
      </c>
      <c r="C7790" s="30" t="n">
        <v>85669818</v>
      </c>
      <c r="D7790" s="30">
        <f>"86908795000156"</f>
        <v/>
      </c>
      <c r="E7790" s="30" t="inlineStr">
        <is>
          <t>MINERADORA IGUATU LTDA EPP</t>
        </is>
      </c>
      <c r="F7790" s="30" t="inlineStr">
        <is>
          <t>2022</t>
        </is>
      </c>
      <c r="G7790" s="40" t="n">
        <v>1973395.44</v>
      </c>
    </row>
    <row r="7791" ht="12" customHeight="1">
      <c r="A7791" s="30" t="inlineStr">
        <is>
          <t>ITG</t>
        </is>
      </c>
      <c r="B7791" s="30" t="inlineStr">
        <is>
          <t>Itaguai</t>
        </is>
      </c>
      <c r="C7791" s="30" t="n">
        <v>85669818</v>
      </c>
      <c r="D7791" s="30">
        <f>"86908795000156"</f>
        <v/>
      </c>
      <c r="E7791" s="30" t="inlineStr">
        <is>
          <t>MINERADORA IGUATU LTDA EPP</t>
        </is>
      </c>
      <c r="F7791" s="30" t="inlineStr">
        <is>
          <t>2023</t>
        </is>
      </c>
      <c r="G7791" s="40" t="n">
        <v>0</v>
      </c>
    </row>
    <row r="7792" ht="12" customHeight="1">
      <c r="A7792" s="30" t="inlineStr">
        <is>
          <t>ITG</t>
        </is>
      </c>
      <c r="B7792" s="30" t="inlineStr">
        <is>
          <t>Itaguai</t>
        </is>
      </c>
      <c r="C7792" s="30" t="n">
        <v>85670069</v>
      </c>
      <c r="D7792" s="30">
        <f>"00747102000175"</f>
        <v/>
      </c>
      <c r="E7792" s="30" t="inlineStr">
        <is>
          <t>AREAL DO FUTURO EXTRACAO DE AREIA LTDA EPP</t>
        </is>
      </c>
      <c r="F7792" s="30" t="inlineStr">
        <is>
          <t>2017</t>
        </is>
      </c>
      <c r="G7792" s="40" t="n">
        <v>0</v>
      </c>
    </row>
    <row r="7793" ht="12" customHeight="1">
      <c r="A7793" s="30" t="inlineStr">
        <is>
          <t>ITG</t>
        </is>
      </c>
      <c r="B7793" s="30" t="inlineStr">
        <is>
          <t>Itaguai</t>
        </is>
      </c>
      <c r="C7793" s="30" t="n">
        <v>85670069</v>
      </c>
      <c r="D7793" s="30">
        <f>"00747102000175"</f>
        <v/>
      </c>
      <c r="E7793" s="30" t="inlineStr">
        <is>
          <t>AREAL DO FUTURO EXTRACAO DE AREIA LTDA EPP</t>
        </is>
      </c>
      <c r="F7793" s="30" t="inlineStr">
        <is>
          <t>2018</t>
        </is>
      </c>
      <c r="G7793" s="40" t="n">
        <v>364262.72</v>
      </c>
    </row>
    <row r="7794" ht="12" customHeight="1">
      <c r="A7794" s="30" t="inlineStr">
        <is>
          <t>ITG</t>
        </is>
      </c>
      <c r="B7794" s="30" t="inlineStr">
        <is>
          <t>Itaguai</t>
        </is>
      </c>
      <c r="C7794" s="30" t="n">
        <v>85670069</v>
      </c>
      <c r="D7794" s="30">
        <f>"00747102000175"</f>
        <v/>
      </c>
      <c r="E7794" s="30" t="inlineStr">
        <is>
          <t>AREAL DO FUTURO EXTRACAO DE AREIA LTDA EPP</t>
        </is>
      </c>
      <c r="F7794" s="30" t="inlineStr">
        <is>
          <t>2019</t>
        </is>
      </c>
      <c r="G7794" s="40" t="n">
        <v>0</v>
      </c>
    </row>
    <row r="7795" ht="12" customHeight="1">
      <c r="A7795" s="30" t="inlineStr">
        <is>
          <t>ITG</t>
        </is>
      </c>
      <c r="B7795" s="30" t="inlineStr">
        <is>
          <t>Itaguai</t>
        </is>
      </c>
      <c r="C7795" s="30" t="n">
        <v>85670069</v>
      </c>
      <c r="D7795" s="30">
        <f>"00747102000175"</f>
        <v/>
      </c>
      <c r="E7795" s="30" t="inlineStr">
        <is>
          <t>AREAL DO FUTURO EXTRACAO DE AREIA LTDA EPP</t>
        </is>
      </c>
      <c r="F7795" s="30" t="inlineStr">
        <is>
          <t>2020</t>
        </is>
      </c>
      <c r="G7795" s="40" t="n">
        <v>346878.33</v>
      </c>
    </row>
    <row r="7796" ht="12" customHeight="1">
      <c r="A7796" s="30" t="inlineStr">
        <is>
          <t>ITG</t>
        </is>
      </c>
      <c r="B7796" s="30" t="inlineStr">
        <is>
          <t>Itaguai</t>
        </is>
      </c>
      <c r="C7796" s="30" t="n">
        <v>85670069</v>
      </c>
      <c r="D7796" s="30">
        <f>"00747102000175"</f>
        <v/>
      </c>
      <c r="E7796" s="30" t="inlineStr">
        <is>
          <t>AREAL DO FUTURO EXTRACAO DE AREIA LTDA EPP</t>
        </is>
      </c>
      <c r="F7796" s="30" t="inlineStr">
        <is>
          <t>2021</t>
        </is>
      </c>
      <c r="G7796" s="40" t="n">
        <v>0</v>
      </c>
    </row>
    <row r="7797" ht="12" customHeight="1">
      <c r="A7797" s="30" t="inlineStr">
        <is>
          <t>ITG</t>
        </is>
      </c>
      <c r="B7797" s="30" t="inlineStr">
        <is>
          <t>Itaguai</t>
        </is>
      </c>
      <c r="C7797" s="30" t="n">
        <v>85670069</v>
      </c>
      <c r="D7797" s="30">
        <f>"00747102000175"</f>
        <v/>
      </c>
      <c r="E7797" s="30" t="inlineStr">
        <is>
          <t>AREAL DO FUTURO EXTRACAO DE AREIA LTDA EPP</t>
        </is>
      </c>
      <c r="F7797" s="30" t="inlineStr">
        <is>
          <t>2022</t>
        </is>
      </c>
      <c r="G7797" s="40" t="n">
        <v>0</v>
      </c>
    </row>
    <row r="7798" ht="12" customHeight="1">
      <c r="A7798" s="30" t="inlineStr">
        <is>
          <t>ITG</t>
        </is>
      </c>
      <c r="B7798" s="30" t="inlineStr">
        <is>
          <t>Itaguai</t>
        </is>
      </c>
      <c r="C7798" s="30" t="n">
        <v>85670239</v>
      </c>
      <c r="D7798" s="30">
        <f>"00947483000136"</f>
        <v/>
      </c>
      <c r="E7798" s="30" t="inlineStr">
        <is>
          <t>ACOUGUE SOMAR DE ITAGUAI LTDA ME</t>
        </is>
      </c>
      <c r="F7798" s="30" t="inlineStr">
        <is>
          <t>2017</t>
        </is>
      </c>
      <c r="G7798" s="40" t="n">
        <v>0</v>
      </c>
    </row>
    <row r="7799" ht="12" customHeight="1">
      <c r="A7799" s="30" t="inlineStr">
        <is>
          <t>ITG</t>
        </is>
      </c>
      <c r="B7799" s="30" t="inlineStr">
        <is>
          <t>Itaguai</t>
        </is>
      </c>
      <c r="C7799" s="30" t="n">
        <v>85670239</v>
      </c>
      <c r="D7799" s="30">
        <f>"00947483000136"</f>
        <v/>
      </c>
      <c r="E7799" s="30" t="inlineStr">
        <is>
          <t>ACOUGUE SOMAR DE ITAGUAI LTDA ME</t>
        </is>
      </c>
      <c r="F7799" s="30" t="inlineStr">
        <is>
          <t>2018</t>
        </is>
      </c>
      <c r="G7799" s="40" t="n">
        <v>0</v>
      </c>
    </row>
    <row r="7800" ht="12" customHeight="1">
      <c r="A7800" s="30" t="inlineStr">
        <is>
          <t>ITG</t>
        </is>
      </c>
      <c r="B7800" s="30" t="inlineStr">
        <is>
          <t>Itaguai</t>
        </is>
      </c>
      <c r="C7800" s="30" t="n">
        <v>85670239</v>
      </c>
      <c r="D7800" s="30">
        <f>"00947483000136"</f>
        <v/>
      </c>
      <c r="E7800" s="30" t="inlineStr">
        <is>
          <t>ACOUGUE SOMAR DE ITAGUAI LTDA ME</t>
        </is>
      </c>
      <c r="F7800" s="30" t="inlineStr">
        <is>
          <t>2019</t>
        </is>
      </c>
      <c r="G7800" s="40" t="n">
        <v>0</v>
      </c>
    </row>
    <row r="7801" ht="12" customHeight="1">
      <c r="A7801" s="30" t="inlineStr">
        <is>
          <t>ITG</t>
        </is>
      </c>
      <c r="B7801" s="30" t="inlineStr">
        <is>
          <t>Itaguai</t>
        </is>
      </c>
      <c r="C7801" s="30" t="n">
        <v>85670409</v>
      </c>
      <c r="D7801" s="30">
        <f>"01042788000161"</f>
        <v/>
      </c>
      <c r="E7801" s="30" t="inlineStr">
        <is>
          <t>JOAO CAVALCANTE DE ARAUJO</t>
        </is>
      </c>
      <c r="F7801" s="30" t="inlineStr">
        <is>
          <t>2017</t>
        </is>
      </c>
      <c r="G7801" s="40" t="n">
        <v>0</v>
      </c>
    </row>
    <row r="7802" ht="12" customHeight="1">
      <c r="A7802" s="30" t="inlineStr">
        <is>
          <t>ITG</t>
        </is>
      </c>
      <c r="B7802" s="30" t="inlineStr">
        <is>
          <t>Itaguai</t>
        </is>
      </c>
      <c r="C7802" s="30" t="n">
        <v>85670409</v>
      </c>
      <c r="D7802" s="30">
        <f>"01042788000161"</f>
        <v/>
      </c>
      <c r="E7802" s="30" t="inlineStr">
        <is>
          <t>JOAO CAVALCANTE DE ARAUJO</t>
        </is>
      </c>
      <c r="F7802" s="30" t="inlineStr">
        <is>
          <t>2018</t>
        </is>
      </c>
      <c r="G7802" s="40" t="n">
        <v>105591</v>
      </c>
    </row>
    <row r="7803" ht="12" customHeight="1">
      <c r="A7803" s="30" t="inlineStr">
        <is>
          <t>ITG</t>
        </is>
      </c>
      <c r="B7803" s="30" t="inlineStr">
        <is>
          <t>Itaguai</t>
        </is>
      </c>
      <c r="C7803" s="30" t="n">
        <v>85670409</v>
      </c>
      <c r="D7803" s="30">
        <f>"01042788000161"</f>
        <v/>
      </c>
      <c r="E7803" s="30" t="inlineStr">
        <is>
          <t>JOAO CAVALCANTE DE ARAUJO</t>
        </is>
      </c>
      <c r="F7803" s="30" t="inlineStr">
        <is>
          <t>2019</t>
        </is>
      </c>
      <c r="G7803" s="40" t="n">
        <v>0</v>
      </c>
    </row>
    <row r="7804" ht="12" customHeight="1">
      <c r="A7804" s="30" t="inlineStr">
        <is>
          <t>ITG</t>
        </is>
      </c>
      <c r="B7804" s="30" t="inlineStr">
        <is>
          <t>Itaguai</t>
        </is>
      </c>
      <c r="C7804" s="30" t="n">
        <v>85670409</v>
      </c>
      <c r="D7804" s="30">
        <f>"01042788000161"</f>
        <v/>
      </c>
      <c r="E7804" s="30" t="inlineStr">
        <is>
          <t>JOAO CAVALCANTE DE ARAUJO</t>
        </is>
      </c>
      <c r="F7804" s="30" t="inlineStr">
        <is>
          <t>2020</t>
        </is>
      </c>
      <c r="G7804" s="40" t="n">
        <v>0</v>
      </c>
    </row>
    <row r="7805" ht="12" customHeight="1">
      <c r="A7805" s="30" t="inlineStr">
        <is>
          <t>ITG</t>
        </is>
      </c>
      <c r="B7805" s="30" t="inlineStr">
        <is>
          <t>Itaguai</t>
        </is>
      </c>
      <c r="C7805" s="30" t="n">
        <v>85670476</v>
      </c>
      <c r="D7805" s="30">
        <f>"24314824000102"</f>
        <v/>
      </c>
      <c r="E7805" s="30" t="inlineStr">
        <is>
          <t>AUTO POSTO DO TRABALHO ITAGUAI III LTDA</t>
        </is>
      </c>
      <c r="F7805" s="30" t="inlineStr">
        <is>
          <t>2017</t>
        </is>
      </c>
      <c r="G7805" s="40" t="n">
        <v>0</v>
      </c>
    </row>
    <row r="7806" ht="12" customHeight="1">
      <c r="A7806" s="30" t="inlineStr">
        <is>
          <t>ITG</t>
        </is>
      </c>
      <c r="B7806" s="30" t="inlineStr">
        <is>
          <t>Itaguai</t>
        </is>
      </c>
      <c r="C7806" s="30" t="n">
        <v>85670476</v>
      </c>
      <c r="D7806" s="30">
        <f>"24314824000102"</f>
        <v/>
      </c>
      <c r="E7806" s="30" t="inlineStr">
        <is>
          <t>AUTO POSTO DO TRABALHO ITAGUAI III LTDA</t>
        </is>
      </c>
      <c r="F7806" s="30" t="inlineStr">
        <is>
          <t>2018</t>
        </is>
      </c>
      <c r="G7806" s="40" t="n">
        <v>0</v>
      </c>
    </row>
    <row r="7807" ht="12" customHeight="1">
      <c r="A7807" s="30" t="inlineStr">
        <is>
          <t>ITG</t>
        </is>
      </c>
      <c r="B7807" s="30" t="inlineStr">
        <is>
          <t>Itaguai</t>
        </is>
      </c>
      <c r="C7807" s="30" t="n">
        <v>85670476</v>
      </c>
      <c r="D7807" s="30">
        <f>"24314824000102"</f>
        <v/>
      </c>
      <c r="E7807" s="30" t="inlineStr">
        <is>
          <t>AUTO POSTO DO TRABALHO ITAGUAI III LTDA</t>
        </is>
      </c>
      <c r="F7807" s="30" t="inlineStr">
        <is>
          <t>2019</t>
        </is>
      </c>
      <c r="G7807" s="40" t="n">
        <v>500257.52</v>
      </c>
    </row>
    <row r="7808" ht="12" customHeight="1">
      <c r="A7808" s="30" t="inlineStr">
        <is>
          <t>ITG</t>
        </is>
      </c>
      <c r="B7808" s="30" t="inlineStr">
        <is>
          <t>Itaguai</t>
        </is>
      </c>
      <c r="C7808" s="30" t="n">
        <v>85670476</v>
      </c>
      <c r="D7808" s="30">
        <f>"24314824000102"</f>
        <v/>
      </c>
      <c r="E7808" s="30" t="inlineStr">
        <is>
          <t>AUTO POSTO DO TRABALHO ITAGUAI III LTDA</t>
        </is>
      </c>
      <c r="F7808" s="30" t="inlineStr">
        <is>
          <t>2020</t>
        </is>
      </c>
      <c r="G7808" s="40" t="n">
        <v>763160.74</v>
      </c>
    </row>
    <row r="7809" ht="12" customHeight="1">
      <c r="A7809" s="30" t="inlineStr">
        <is>
          <t>ITG</t>
        </is>
      </c>
      <c r="B7809" s="30" t="inlineStr">
        <is>
          <t>Itaguai</t>
        </is>
      </c>
      <c r="C7809" s="30" t="n">
        <v>85670476</v>
      </c>
      <c r="D7809" s="30">
        <f>"24314824000102"</f>
        <v/>
      </c>
      <c r="E7809" s="30" t="inlineStr">
        <is>
          <t>AUTO POSTO DO TRABALHO ITAGUAI III LTDA</t>
        </is>
      </c>
      <c r="F7809" s="30" t="inlineStr">
        <is>
          <t>2021</t>
        </is>
      </c>
      <c r="G7809" s="40" t="n">
        <v>5019154.17</v>
      </c>
    </row>
    <row r="7810" ht="12" customHeight="1">
      <c r="A7810" s="30" t="inlineStr">
        <is>
          <t>ITG</t>
        </is>
      </c>
      <c r="B7810" s="30" t="inlineStr">
        <is>
          <t>Itaguai</t>
        </is>
      </c>
      <c r="C7810" s="30" t="n">
        <v>85670476</v>
      </c>
      <c r="D7810" s="30">
        <f>"24314824000102"</f>
        <v/>
      </c>
      <c r="E7810" s="30" t="inlineStr">
        <is>
          <t>AUTO POSTO DO TRABALHO ITAGUAI III LTDA</t>
        </is>
      </c>
      <c r="F7810" s="30" t="inlineStr">
        <is>
          <t>2022</t>
        </is>
      </c>
      <c r="G7810" s="40" t="n">
        <v>6771992.78</v>
      </c>
    </row>
    <row r="7811" ht="12" customHeight="1">
      <c r="A7811" s="30" t="inlineStr">
        <is>
          <t>ITG</t>
        </is>
      </c>
      <c r="B7811" s="30" t="inlineStr">
        <is>
          <t>Itaguai</t>
        </is>
      </c>
      <c r="C7811" s="30" t="n">
        <v>85670476</v>
      </c>
      <c r="D7811" s="30">
        <f>"24314824000102"</f>
        <v/>
      </c>
      <c r="E7811" s="30" t="inlineStr">
        <is>
          <t>AUTO POSTO DO TRABALHO ITAGUAI III LTDA</t>
        </is>
      </c>
      <c r="F7811" s="30" t="inlineStr">
        <is>
          <t>2023</t>
        </is>
      </c>
      <c r="G7811" s="40" t="n">
        <v>10567238.83</v>
      </c>
    </row>
    <row r="7812" ht="12" customHeight="1">
      <c r="A7812" s="30" t="inlineStr">
        <is>
          <t>ITG</t>
        </is>
      </c>
      <c r="B7812" s="30" t="inlineStr">
        <is>
          <t>Itaguai</t>
        </is>
      </c>
      <c r="C7812" s="30" t="n">
        <v>85727028</v>
      </c>
      <c r="D7812" s="30">
        <f>"66970229001139"</f>
        <v/>
      </c>
      <c r="E7812" s="30" t="inlineStr">
        <is>
          <t>NEXTEL TELECOMUNICACOES LTDA.</t>
        </is>
      </c>
      <c r="F7812" s="30" t="inlineStr">
        <is>
          <t>2017</t>
        </is>
      </c>
      <c r="G7812" s="40" t="n">
        <v>11695826.11</v>
      </c>
    </row>
    <row r="7813" ht="12" customHeight="1">
      <c r="A7813" s="30" t="inlineStr">
        <is>
          <t>ITG</t>
        </is>
      </c>
      <c r="B7813" s="30" t="inlineStr">
        <is>
          <t>Itaguai</t>
        </is>
      </c>
      <c r="C7813" s="30" t="n">
        <v>85727028</v>
      </c>
      <c r="D7813" s="30">
        <f>"66970229001139"</f>
        <v/>
      </c>
      <c r="E7813" s="30" t="inlineStr">
        <is>
          <t>NEXTEL TELECOMUNICACOES LTDA.</t>
        </is>
      </c>
      <c r="F7813" s="30" t="inlineStr">
        <is>
          <t>2018</t>
        </is>
      </c>
      <c r="G7813" s="40" t="n">
        <v>11067709.16</v>
      </c>
    </row>
    <row r="7814" ht="12" customHeight="1">
      <c r="A7814" s="30" t="inlineStr">
        <is>
          <t>ITG</t>
        </is>
      </c>
      <c r="B7814" s="30" t="inlineStr">
        <is>
          <t>Itaguai</t>
        </is>
      </c>
      <c r="C7814" s="30" t="n">
        <v>85727028</v>
      </c>
      <c r="D7814" s="30">
        <f>"66970229001139"</f>
        <v/>
      </c>
      <c r="E7814" s="30" t="inlineStr">
        <is>
          <t>NEXTEL TELECOMUNICACOES LTDA.</t>
        </is>
      </c>
      <c r="F7814" s="30" t="inlineStr">
        <is>
          <t>2019</t>
        </is>
      </c>
      <c r="G7814" s="40" t="n">
        <v>9495949.699999999</v>
      </c>
    </row>
    <row r="7815" ht="12" customHeight="1">
      <c r="A7815" s="30" t="inlineStr">
        <is>
          <t>ITG</t>
        </is>
      </c>
      <c r="B7815" s="30" t="inlineStr">
        <is>
          <t>Itaguai</t>
        </is>
      </c>
      <c r="C7815" s="30" t="n">
        <v>85727028</v>
      </c>
      <c r="D7815" s="30">
        <f>"66970229001139"</f>
        <v/>
      </c>
      <c r="E7815" s="30" t="inlineStr">
        <is>
          <t>NEXTEL TELECOMUNICACOES LTDA.</t>
        </is>
      </c>
      <c r="F7815" s="30" t="inlineStr">
        <is>
          <t>2020</t>
        </is>
      </c>
      <c r="G7815" s="40" t="n">
        <v>8004881.08</v>
      </c>
    </row>
    <row r="7816" ht="12" customHeight="1">
      <c r="A7816" s="30" t="inlineStr">
        <is>
          <t>ITG</t>
        </is>
      </c>
      <c r="B7816" s="30" t="inlineStr">
        <is>
          <t>Itaguai</t>
        </is>
      </c>
      <c r="C7816" s="30" t="n">
        <v>85727028</v>
      </c>
      <c r="D7816" s="30">
        <f>"66970229001139"</f>
        <v/>
      </c>
      <c r="E7816" s="30" t="inlineStr">
        <is>
          <t>NEXTEL TELECOMUNICACOES LTDA.</t>
        </is>
      </c>
      <c r="F7816" s="30" t="inlineStr">
        <is>
          <t>2021</t>
        </is>
      </c>
      <c r="G7816" s="40" t="n">
        <v>10856224.81</v>
      </c>
    </row>
    <row r="7817" ht="12" customHeight="1">
      <c r="A7817" s="30" t="inlineStr">
        <is>
          <t>ITG</t>
        </is>
      </c>
      <c r="B7817" s="30" t="inlineStr">
        <is>
          <t>Itaguai</t>
        </is>
      </c>
      <c r="C7817" s="30" t="n">
        <v>85727028</v>
      </c>
      <c r="D7817" s="30">
        <f>"66970229001139"</f>
        <v/>
      </c>
      <c r="E7817" s="30" t="inlineStr">
        <is>
          <t>NEXTEL TELECOMUNICACOES LTDA.</t>
        </is>
      </c>
      <c r="F7817" s="30" t="inlineStr">
        <is>
          <t>2022</t>
        </is>
      </c>
      <c r="G7817" s="40" t="n">
        <v>18988242.14</v>
      </c>
    </row>
    <row r="7818" ht="12" customHeight="1">
      <c r="A7818" s="30" t="inlineStr">
        <is>
          <t>ITG</t>
        </is>
      </c>
      <c r="B7818" s="30" t="inlineStr">
        <is>
          <t>Itaguai</t>
        </is>
      </c>
      <c r="C7818" s="30" t="n">
        <v>85727028</v>
      </c>
      <c r="D7818" s="30">
        <f>"66970229001139"</f>
        <v/>
      </c>
      <c r="E7818" s="30" t="inlineStr">
        <is>
          <t>NEXTEL TELECOMUNICACOES LTDA.</t>
        </is>
      </c>
      <c r="F7818" s="30" t="inlineStr">
        <is>
          <t>2023</t>
        </is>
      </c>
      <c r="G7818" s="40" t="n">
        <v>18052340.03</v>
      </c>
    </row>
    <row r="7819" ht="12" customHeight="1">
      <c r="A7819" s="30" t="inlineStr">
        <is>
          <t>ITG</t>
        </is>
      </c>
      <c r="B7819" s="30" t="inlineStr">
        <is>
          <t>Itaguai</t>
        </is>
      </c>
      <c r="C7819" s="30" t="n">
        <v>85729829</v>
      </c>
      <c r="D7819" s="30">
        <f>"86613403000806"</f>
        <v/>
      </c>
      <c r="E7819" s="30" t="inlineStr">
        <is>
          <t>USIFAST LOGISTICA INDUSTRIAL SA</t>
        </is>
      </c>
      <c r="F7819" s="30" t="inlineStr">
        <is>
          <t>2017</t>
        </is>
      </c>
      <c r="G7819" s="40" t="n">
        <v>0</v>
      </c>
    </row>
    <row r="7820" ht="12" customHeight="1">
      <c r="A7820" s="30" t="inlineStr">
        <is>
          <t>ITG</t>
        </is>
      </c>
      <c r="B7820" s="30" t="inlineStr">
        <is>
          <t>Itaguai</t>
        </is>
      </c>
      <c r="C7820" s="30" t="n">
        <v>85729829</v>
      </c>
      <c r="D7820" s="30">
        <f>"86613403000806"</f>
        <v/>
      </c>
      <c r="E7820" s="30" t="inlineStr">
        <is>
          <t>USIFAST LOGISTICA INDUSTRIAL SA</t>
        </is>
      </c>
      <c r="F7820" s="30" t="inlineStr">
        <is>
          <t>2018</t>
        </is>
      </c>
      <c r="G7820" s="40" t="n">
        <v>0</v>
      </c>
    </row>
    <row r="7821" ht="12" customHeight="1">
      <c r="A7821" s="30" t="inlineStr">
        <is>
          <t>ITG</t>
        </is>
      </c>
      <c r="B7821" s="30" t="inlineStr">
        <is>
          <t>Itaguai</t>
        </is>
      </c>
      <c r="C7821" s="30" t="n">
        <v>85729829</v>
      </c>
      <c r="D7821" s="30">
        <f>"86613403000806"</f>
        <v/>
      </c>
      <c r="E7821" s="30" t="inlineStr">
        <is>
          <t>USIFAST LOGISTICA INDUSTRIAL SA</t>
        </is>
      </c>
      <c r="F7821" s="30" t="inlineStr">
        <is>
          <t>2019</t>
        </is>
      </c>
      <c r="G7821" s="40" t="n">
        <v>33001.86</v>
      </c>
    </row>
    <row r="7822" ht="12" customHeight="1">
      <c r="A7822" s="30" t="inlineStr">
        <is>
          <t>ITG</t>
        </is>
      </c>
      <c r="B7822" s="30" t="inlineStr">
        <is>
          <t>Itaguai</t>
        </is>
      </c>
      <c r="C7822" s="30" t="n">
        <v>85729829</v>
      </c>
      <c r="D7822" s="30">
        <f>"86613403000806"</f>
        <v/>
      </c>
      <c r="E7822" s="30" t="inlineStr">
        <is>
          <t>USIFAST LOGISTICA INDUSTRIAL SA</t>
        </is>
      </c>
      <c r="F7822" s="30" t="inlineStr">
        <is>
          <t>2020</t>
        </is>
      </c>
      <c r="G7822" s="40" t="n">
        <v>24211.34</v>
      </c>
    </row>
    <row r="7823" ht="12" customHeight="1">
      <c r="A7823" s="30" t="inlineStr">
        <is>
          <t>ITG</t>
        </is>
      </c>
      <c r="B7823" s="30" t="inlineStr">
        <is>
          <t>Itaguai</t>
        </is>
      </c>
      <c r="C7823" s="30" t="n">
        <v>85729829</v>
      </c>
      <c r="D7823" s="30">
        <f>"86613403000806"</f>
        <v/>
      </c>
      <c r="E7823" s="30" t="inlineStr">
        <is>
          <t>USIFAST LOGISTICA INDUSTRIAL SA</t>
        </is>
      </c>
      <c r="F7823" s="30" t="inlineStr">
        <is>
          <t>2021</t>
        </is>
      </c>
      <c r="G7823" s="40" t="n">
        <v>0</v>
      </c>
    </row>
    <row r="7824" ht="12" customHeight="1">
      <c r="A7824" s="30" t="inlineStr">
        <is>
          <t>ITG</t>
        </is>
      </c>
      <c r="B7824" s="30" t="inlineStr">
        <is>
          <t>Itaguai</t>
        </is>
      </c>
      <c r="C7824" s="30" t="n">
        <v>85729829</v>
      </c>
      <c r="D7824" s="30">
        <f>"86613403000806"</f>
        <v/>
      </c>
      <c r="E7824" s="30" t="inlineStr">
        <is>
          <t>USIFAST LOGISTICA INDUSTRIAL SA</t>
        </is>
      </c>
      <c r="F7824" s="30" t="inlineStr">
        <is>
          <t>2022</t>
        </is>
      </c>
      <c r="G7824" s="40" t="n">
        <v>0</v>
      </c>
    </row>
    <row r="7825" ht="12" customHeight="1">
      <c r="A7825" s="30" t="inlineStr">
        <is>
          <t>ITG</t>
        </is>
      </c>
      <c r="B7825" s="30" t="inlineStr">
        <is>
          <t>Itaguai</t>
        </is>
      </c>
      <c r="C7825" s="30" t="n">
        <v>85730169</v>
      </c>
      <c r="D7825" s="30">
        <f>"01114430000105"</f>
        <v/>
      </c>
      <c r="E7825" s="30" t="inlineStr">
        <is>
          <t>TRANSFUTURO TRANSPORTES LTDA</t>
        </is>
      </c>
      <c r="F7825" s="30" t="inlineStr">
        <is>
          <t>2017</t>
        </is>
      </c>
      <c r="G7825" s="40" t="n">
        <v>328434.65</v>
      </c>
    </row>
    <row r="7826" ht="12" customHeight="1">
      <c r="A7826" s="30" t="inlineStr">
        <is>
          <t>ITG</t>
        </is>
      </c>
      <c r="B7826" s="30" t="inlineStr">
        <is>
          <t>Itaguai</t>
        </is>
      </c>
      <c r="C7826" s="30" t="n">
        <v>85730169</v>
      </c>
      <c r="D7826" s="30">
        <f>"01114430000105"</f>
        <v/>
      </c>
      <c r="E7826" s="30" t="inlineStr">
        <is>
          <t>TRANSFUTURO TRANSPORTES LTDA</t>
        </is>
      </c>
      <c r="F7826" s="30" t="inlineStr">
        <is>
          <t>2018</t>
        </is>
      </c>
      <c r="G7826" s="40" t="n">
        <v>425849.57</v>
      </c>
    </row>
    <row r="7827" ht="12" customHeight="1">
      <c r="A7827" s="30" t="inlineStr">
        <is>
          <t>ITG</t>
        </is>
      </c>
      <c r="B7827" s="30" t="inlineStr">
        <is>
          <t>Itaguai</t>
        </is>
      </c>
      <c r="C7827" s="30" t="n">
        <v>85730169</v>
      </c>
      <c r="D7827" s="30">
        <f>"01114430000105"</f>
        <v/>
      </c>
      <c r="E7827" s="30" t="inlineStr">
        <is>
          <t>TRANSFUTURO TRANSPORTES LTDA</t>
        </is>
      </c>
      <c r="F7827" s="30" t="inlineStr">
        <is>
          <t>2019</t>
        </is>
      </c>
      <c r="G7827" s="40" t="n">
        <v>756281.6</v>
      </c>
    </row>
    <row r="7828" ht="12" customHeight="1">
      <c r="A7828" s="30" t="inlineStr">
        <is>
          <t>ITG</t>
        </is>
      </c>
      <c r="B7828" s="30" t="inlineStr">
        <is>
          <t>Itaguai</t>
        </is>
      </c>
      <c r="C7828" s="30" t="n">
        <v>85730169</v>
      </c>
      <c r="D7828" s="30">
        <f>"01114430000105"</f>
        <v/>
      </c>
      <c r="E7828" s="30" t="inlineStr">
        <is>
          <t>TRANSFUTURO TRANSPORTES LTDA</t>
        </is>
      </c>
      <c r="F7828" s="30" t="inlineStr">
        <is>
          <t>2020</t>
        </is>
      </c>
      <c r="G7828" s="40" t="n">
        <v>409331.96</v>
      </c>
    </row>
    <row r="7829" ht="12" customHeight="1">
      <c r="A7829" s="30" t="inlineStr">
        <is>
          <t>ITG</t>
        </is>
      </c>
      <c r="B7829" s="30" t="inlineStr">
        <is>
          <t>Itaguai</t>
        </is>
      </c>
      <c r="C7829" s="30" t="n">
        <v>85730169</v>
      </c>
      <c r="D7829" s="30">
        <f>"01114430000105"</f>
        <v/>
      </c>
      <c r="E7829" s="30" t="inlineStr">
        <is>
          <t>TRANSFUTURO TRANSPORTES LTDA</t>
        </is>
      </c>
      <c r="F7829" s="30" t="inlineStr">
        <is>
          <t>2021</t>
        </is>
      </c>
      <c r="G7829" s="40" t="n">
        <v>346958.5</v>
      </c>
    </row>
    <row r="7830" ht="12" customHeight="1">
      <c r="A7830" s="30" t="inlineStr">
        <is>
          <t>ITG</t>
        </is>
      </c>
      <c r="B7830" s="30" t="inlineStr">
        <is>
          <t>Itaguai</t>
        </is>
      </c>
      <c r="C7830" s="30" t="n">
        <v>85730169</v>
      </c>
      <c r="D7830" s="30">
        <f>"01114430000105"</f>
        <v/>
      </c>
      <c r="E7830" s="30" t="inlineStr">
        <is>
          <t>TRANSFUTURO TRANSPORTES LTDA</t>
        </is>
      </c>
      <c r="F7830" s="30" t="inlineStr">
        <is>
          <t>2022</t>
        </is>
      </c>
      <c r="G7830" s="40" t="n">
        <v>79958.55</v>
      </c>
    </row>
    <row r="7831" ht="12" customHeight="1">
      <c r="A7831" s="30" t="inlineStr">
        <is>
          <t>ITG</t>
        </is>
      </c>
      <c r="B7831" s="30" t="inlineStr">
        <is>
          <t>Itaguai</t>
        </is>
      </c>
      <c r="C7831" s="30" t="n">
        <v>85730169</v>
      </c>
      <c r="D7831" s="30">
        <f>"01114430000105"</f>
        <v/>
      </c>
      <c r="E7831" s="30" t="inlineStr">
        <is>
          <t>TRANSFUTURO TRANSPORTES LTDA</t>
        </is>
      </c>
      <c r="F7831" s="30" t="inlineStr">
        <is>
          <t>2023</t>
        </is>
      </c>
      <c r="G7831" s="40" t="n">
        <v>463454.79</v>
      </c>
    </row>
    <row r="7832" ht="12" customHeight="1">
      <c r="A7832" s="30" t="inlineStr">
        <is>
          <t>ITG</t>
        </is>
      </c>
      <c r="B7832" s="30" t="inlineStr">
        <is>
          <t>Itaguai</t>
        </is>
      </c>
      <c r="C7832" s="30" t="n">
        <v>85730924</v>
      </c>
      <c r="D7832" s="30">
        <f>"25436130000283"</f>
        <v/>
      </c>
      <c r="E7832" s="30" t="inlineStr">
        <is>
          <t>AUTOSERVICE LOGISTICA LTDA</t>
        </is>
      </c>
      <c r="F7832" s="30" t="inlineStr">
        <is>
          <t>2017</t>
        </is>
      </c>
      <c r="G7832" s="40" t="n">
        <v>330.18</v>
      </c>
    </row>
    <row r="7833" ht="12" customHeight="1">
      <c r="A7833" s="30" t="inlineStr">
        <is>
          <t>ITG</t>
        </is>
      </c>
      <c r="B7833" s="30" t="inlineStr">
        <is>
          <t>Itaguai</t>
        </is>
      </c>
      <c r="C7833" s="30" t="n">
        <v>85730924</v>
      </c>
      <c r="D7833" s="30">
        <f>"25436130000283"</f>
        <v/>
      </c>
      <c r="E7833" s="30" t="inlineStr">
        <is>
          <t>AUTOSERVICE LOGISTICA LTDA</t>
        </is>
      </c>
      <c r="F7833" s="30" t="inlineStr">
        <is>
          <t>2018</t>
        </is>
      </c>
      <c r="G7833" s="40" t="n">
        <v>1915</v>
      </c>
    </row>
    <row r="7834" ht="12" customHeight="1">
      <c r="A7834" s="30" t="inlineStr">
        <is>
          <t>ITG</t>
        </is>
      </c>
      <c r="B7834" s="30" t="inlineStr">
        <is>
          <t>Itaguai</t>
        </is>
      </c>
      <c r="C7834" s="30" t="n">
        <v>85730924</v>
      </c>
      <c r="D7834" s="30">
        <f>"25436130000283"</f>
        <v/>
      </c>
      <c r="E7834" s="30" t="inlineStr">
        <is>
          <t>AUTOSERVICE LOGISTICA LTDA</t>
        </is>
      </c>
      <c r="F7834" s="30" t="inlineStr">
        <is>
          <t>2019</t>
        </is>
      </c>
      <c r="G7834" s="40" t="n">
        <v>2829.55</v>
      </c>
    </row>
    <row r="7835" ht="12" customHeight="1">
      <c r="A7835" s="30" t="inlineStr">
        <is>
          <t>ITG</t>
        </is>
      </c>
      <c r="B7835" s="30" t="inlineStr">
        <is>
          <t>Itaguai</t>
        </is>
      </c>
      <c r="C7835" s="30" t="n">
        <v>85730924</v>
      </c>
      <c r="D7835" s="30">
        <f>"25436130000283"</f>
        <v/>
      </c>
      <c r="E7835" s="30" t="inlineStr">
        <is>
          <t>AUTOSERVICE LOGISTICA LTDA</t>
        </is>
      </c>
      <c r="F7835" s="30" t="inlineStr">
        <is>
          <t>2020</t>
        </is>
      </c>
      <c r="G7835" s="40" t="n">
        <v>1980</v>
      </c>
    </row>
    <row r="7836" ht="12" customHeight="1">
      <c r="A7836" s="30" t="inlineStr">
        <is>
          <t>ITG</t>
        </is>
      </c>
      <c r="B7836" s="30" t="inlineStr">
        <is>
          <t>Itaguai</t>
        </is>
      </c>
      <c r="C7836" s="30" t="n">
        <v>85730924</v>
      </c>
      <c r="D7836" s="30">
        <f>"25436130000283"</f>
        <v/>
      </c>
      <c r="E7836" s="30" t="inlineStr">
        <is>
          <t>AUTOSERVICE LOGISTICA LTDA</t>
        </is>
      </c>
      <c r="F7836" s="30" t="inlineStr">
        <is>
          <t>2021</t>
        </is>
      </c>
      <c r="G7836" s="40" t="n">
        <v>19566.55</v>
      </c>
    </row>
    <row r="7837" ht="12" customHeight="1">
      <c r="A7837" s="30" t="inlineStr">
        <is>
          <t>ITG</t>
        </is>
      </c>
      <c r="B7837" s="30" t="inlineStr">
        <is>
          <t>Itaguai</t>
        </is>
      </c>
      <c r="C7837" s="30" t="n">
        <v>85730924</v>
      </c>
      <c r="D7837" s="30">
        <f>"25436130000283"</f>
        <v/>
      </c>
      <c r="E7837" s="30" t="inlineStr">
        <is>
          <t>AUTOSERVICE LOGISTICA LTDA</t>
        </is>
      </c>
      <c r="F7837" s="30" t="inlineStr">
        <is>
          <t>2022</t>
        </is>
      </c>
      <c r="G7837" s="40" t="n">
        <v>9974.98</v>
      </c>
    </row>
    <row r="7838" ht="12" customHeight="1">
      <c r="A7838" s="30" t="inlineStr">
        <is>
          <t>ITG</t>
        </is>
      </c>
      <c r="B7838" s="30" t="inlineStr">
        <is>
          <t>Itaguai</t>
        </is>
      </c>
      <c r="C7838" s="30" t="n">
        <v>85730924</v>
      </c>
      <c r="D7838" s="30">
        <f>"25436130000283"</f>
        <v/>
      </c>
      <c r="E7838" s="30" t="inlineStr">
        <is>
          <t>AUTOSERVICE LOGISTICA LTDA</t>
        </is>
      </c>
      <c r="F7838" s="30" t="inlineStr">
        <is>
          <t>2023</t>
        </is>
      </c>
      <c r="G7838" s="40" t="n">
        <v>4304.22</v>
      </c>
    </row>
    <row r="7839" ht="12" customHeight="1">
      <c r="A7839" s="30" t="inlineStr">
        <is>
          <t>ITG</t>
        </is>
      </c>
      <c r="B7839" s="30" t="inlineStr">
        <is>
          <t>Itaguai</t>
        </is>
      </c>
      <c r="C7839" s="30" t="n">
        <v>85763482</v>
      </c>
      <c r="D7839" s="30">
        <f>"01355383000183"</f>
        <v/>
      </c>
      <c r="E7839" s="30" t="inlineStr">
        <is>
          <t>PROMO 3 IMPORTACAO E EXPORTACAO LTDA</t>
        </is>
      </c>
      <c r="F7839" s="30" t="inlineStr">
        <is>
          <t>2017</t>
        </is>
      </c>
      <c r="G7839" s="40" t="n">
        <v>0</v>
      </c>
    </row>
    <row r="7840" ht="12" customHeight="1">
      <c r="A7840" s="30" t="inlineStr">
        <is>
          <t>ITG</t>
        </is>
      </c>
      <c r="B7840" s="30" t="inlineStr">
        <is>
          <t>Itaguai</t>
        </is>
      </c>
      <c r="C7840" s="30" t="n">
        <v>85763482</v>
      </c>
      <c r="D7840" s="30">
        <f>"01355383000183"</f>
        <v/>
      </c>
      <c r="E7840" s="30" t="inlineStr">
        <is>
          <t>PROMO 3 IMPORTACAO E EXPORTACAO LTDA</t>
        </is>
      </c>
      <c r="F7840" s="30" t="inlineStr">
        <is>
          <t>2018</t>
        </is>
      </c>
      <c r="G7840" s="40" t="n">
        <v>0</v>
      </c>
    </row>
    <row r="7841" ht="12" customHeight="1">
      <c r="A7841" s="30" t="inlineStr">
        <is>
          <t>ITG</t>
        </is>
      </c>
      <c r="B7841" s="30" t="inlineStr">
        <is>
          <t>Itaguai</t>
        </is>
      </c>
      <c r="C7841" s="30" t="n">
        <v>85763482</v>
      </c>
      <c r="D7841" s="30">
        <f>"01355383000183"</f>
        <v/>
      </c>
      <c r="E7841" s="30" t="inlineStr">
        <is>
          <t>PROMO 3 IMPORTACAO E EXPORTACAO LTDA</t>
        </is>
      </c>
      <c r="F7841" s="30" t="inlineStr">
        <is>
          <t>2019</t>
        </is>
      </c>
      <c r="G7841" s="40" t="n">
        <v>0</v>
      </c>
    </row>
    <row r="7842" ht="12" customHeight="1">
      <c r="A7842" s="30" t="inlineStr">
        <is>
          <t>ITG</t>
        </is>
      </c>
      <c r="B7842" s="30" t="inlineStr">
        <is>
          <t>Itaguai</t>
        </is>
      </c>
      <c r="C7842" s="30" t="n">
        <v>85763482</v>
      </c>
      <c r="D7842" s="30">
        <f>"01355383000183"</f>
        <v/>
      </c>
      <c r="E7842" s="30" t="inlineStr">
        <is>
          <t>PROMO 3 IMPORTACAO E EXPORTACAO LTDA</t>
        </is>
      </c>
      <c r="F7842" s="30" t="inlineStr">
        <is>
          <t>2020</t>
        </is>
      </c>
      <c r="G7842" s="40" t="n">
        <v>0</v>
      </c>
    </row>
    <row r="7843" ht="12" customHeight="1">
      <c r="A7843" s="30" t="inlineStr">
        <is>
          <t>ITG</t>
        </is>
      </c>
      <c r="B7843" s="30" t="inlineStr">
        <is>
          <t>Itaguai</t>
        </is>
      </c>
      <c r="C7843" s="30" t="n">
        <v>85763776</v>
      </c>
      <c r="D7843" s="30">
        <f>"01629814000152"</f>
        <v/>
      </c>
      <c r="E7843" s="30" t="inlineStr">
        <is>
          <t>AUTOCOL ITAGUAI AUTOMOVEIS COMERCIO LTDA</t>
        </is>
      </c>
      <c r="F7843" s="30" t="inlineStr">
        <is>
          <t>2017</t>
        </is>
      </c>
      <c r="G7843" s="40" t="n">
        <v>0</v>
      </c>
    </row>
    <row r="7844" ht="12" customHeight="1">
      <c r="A7844" s="30" t="inlineStr">
        <is>
          <t>ITG</t>
        </is>
      </c>
      <c r="B7844" s="30" t="inlineStr">
        <is>
          <t>Itaguai</t>
        </is>
      </c>
      <c r="C7844" s="30" t="n">
        <v>85763776</v>
      </c>
      <c r="D7844" s="30">
        <f>"01629814000152"</f>
        <v/>
      </c>
      <c r="E7844" s="30" t="inlineStr">
        <is>
          <t>AUTOCOL ITAGUAI AUTOMOVEIS COMERCIO LTDA</t>
        </is>
      </c>
      <c r="F7844" s="30" t="inlineStr">
        <is>
          <t>2018</t>
        </is>
      </c>
      <c r="G7844" s="40" t="n">
        <v>0</v>
      </c>
    </row>
    <row r="7845" ht="12" customHeight="1">
      <c r="A7845" s="30" t="inlineStr">
        <is>
          <t>ITG</t>
        </is>
      </c>
      <c r="B7845" s="30" t="inlineStr">
        <is>
          <t>Itaguai</t>
        </is>
      </c>
      <c r="C7845" s="30" t="n">
        <v>85763776</v>
      </c>
      <c r="D7845" s="30">
        <f>"01629814000152"</f>
        <v/>
      </c>
      <c r="E7845" s="30" t="inlineStr">
        <is>
          <t>AUTOCOL ITAGUAI AUTOMOVEIS COMERCIO LTDA</t>
        </is>
      </c>
      <c r="F7845" s="30" t="inlineStr">
        <is>
          <t>2019</t>
        </is>
      </c>
      <c r="G7845" s="40" t="n">
        <v>0</v>
      </c>
    </row>
    <row r="7846" ht="12" customHeight="1">
      <c r="A7846" s="30" t="inlineStr">
        <is>
          <t>ITG</t>
        </is>
      </c>
      <c r="B7846" s="30" t="inlineStr">
        <is>
          <t>Itaguai</t>
        </is>
      </c>
      <c r="C7846" s="30" t="n">
        <v>85763776</v>
      </c>
      <c r="D7846" s="30">
        <f>"01629814000152"</f>
        <v/>
      </c>
      <c r="E7846" s="30" t="inlineStr">
        <is>
          <t>AUTOCOL ITAGUAI AUTOMOVEIS COMERCIO LTDA</t>
        </is>
      </c>
      <c r="F7846" s="30" t="inlineStr">
        <is>
          <t>2020</t>
        </is>
      </c>
      <c r="G7846" s="40" t="n">
        <v>0</v>
      </c>
    </row>
    <row r="7847" ht="12" customHeight="1">
      <c r="A7847" s="30" t="inlineStr">
        <is>
          <t>ITG</t>
        </is>
      </c>
      <c r="B7847" s="30" t="inlineStr">
        <is>
          <t>Itaguai</t>
        </is>
      </c>
      <c r="C7847" s="30" t="n">
        <v>85763776</v>
      </c>
      <c r="D7847" s="30">
        <f>"01629814000152"</f>
        <v/>
      </c>
      <c r="E7847" s="30" t="inlineStr">
        <is>
          <t>AUTOCOL ITAGUAI AUTOMOVEIS COMERCIO LTDA</t>
        </is>
      </c>
      <c r="F7847" s="30" t="inlineStr">
        <is>
          <t>2021</t>
        </is>
      </c>
      <c r="G7847" s="40" t="n">
        <v>0</v>
      </c>
    </row>
    <row r="7848" ht="12" customHeight="1">
      <c r="A7848" s="30" t="inlineStr">
        <is>
          <t>ITG</t>
        </is>
      </c>
      <c r="B7848" s="30" t="inlineStr">
        <is>
          <t>Itaguai</t>
        </is>
      </c>
      <c r="C7848" s="30" t="n">
        <v>85763776</v>
      </c>
      <c r="D7848" s="30">
        <f>"01629814000152"</f>
        <v/>
      </c>
      <c r="E7848" s="30" t="inlineStr">
        <is>
          <t>AUTOCOL ITAGUAI AUTOMOVEIS COMERCIO LTDA</t>
        </is>
      </c>
      <c r="F7848" s="30" t="inlineStr">
        <is>
          <t>2022</t>
        </is>
      </c>
      <c r="G7848" s="40" t="n">
        <v>0</v>
      </c>
    </row>
    <row r="7849" ht="12" customHeight="1">
      <c r="A7849" s="30" t="inlineStr">
        <is>
          <t>ITG</t>
        </is>
      </c>
      <c r="B7849" s="30" t="inlineStr">
        <is>
          <t>Itaguai</t>
        </is>
      </c>
      <c r="C7849" s="30" t="n">
        <v>85763776</v>
      </c>
      <c r="D7849" s="30">
        <f>"01629814000152"</f>
        <v/>
      </c>
      <c r="E7849" s="30" t="inlineStr">
        <is>
          <t>AUTOCOL ITAGUAI AUTOMOVEIS COMERCIO LTDA</t>
        </is>
      </c>
      <c r="F7849" s="30" t="inlineStr">
        <is>
          <t>2023</t>
        </is>
      </c>
      <c r="G7849" s="40" t="n">
        <v>0</v>
      </c>
    </row>
    <row r="7850" ht="12" customHeight="1">
      <c r="A7850" s="30" t="inlineStr">
        <is>
          <t>ITG</t>
        </is>
      </c>
      <c r="B7850" s="30" t="inlineStr">
        <is>
          <t>Itaguai</t>
        </is>
      </c>
      <c r="C7850" s="30" t="n">
        <v>85764411</v>
      </c>
      <c r="D7850" s="30">
        <f>"00473885000146"</f>
        <v/>
      </c>
      <c r="E7850" s="30" t="inlineStr">
        <is>
          <t>PADARIA CALIFORNIA DE ITAGUAI LTDA</t>
        </is>
      </c>
      <c r="F7850" s="30" t="inlineStr">
        <is>
          <t>2017</t>
        </is>
      </c>
      <c r="G7850" s="40" t="n">
        <v>407472.41</v>
      </c>
    </row>
    <row r="7851" ht="12" customHeight="1">
      <c r="A7851" s="30" t="inlineStr">
        <is>
          <t>ITG</t>
        </is>
      </c>
      <c r="B7851" s="30" t="inlineStr">
        <is>
          <t>Itaguai</t>
        </is>
      </c>
      <c r="C7851" s="30" t="n">
        <v>85764411</v>
      </c>
      <c r="D7851" s="30">
        <f>"00473885000146"</f>
        <v/>
      </c>
      <c r="E7851" s="30" t="inlineStr">
        <is>
          <t>PADARIA CALIFORNIA DE ITAGUAI LTDA</t>
        </is>
      </c>
      <c r="F7851" s="30" t="inlineStr">
        <is>
          <t>2018</t>
        </is>
      </c>
      <c r="G7851" s="40" t="n">
        <v>668818.1899999999</v>
      </c>
    </row>
    <row r="7852" ht="12" customHeight="1">
      <c r="A7852" s="30" t="inlineStr">
        <is>
          <t>ITG</t>
        </is>
      </c>
      <c r="B7852" s="30" t="inlineStr">
        <is>
          <t>Itaguai</t>
        </is>
      </c>
      <c r="C7852" s="30" t="n">
        <v>85764411</v>
      </c>
      <c r="D7852" s="30">
        <f>"00473885000146"</f>
        <v/>
      </c>
      <c r="E7852" s="30" t="inlineStr">
        <is>
          <t>PADARIA CALIFORNIA DE ITAGUAI LTDA</t>
        </is>
      </c>
      <c r="F7852" s="30" t="inlineStr">
        <is>
          <t>2019</t>
        </is>
      </c>
      <c r="G7852" s="40" t="n">
        <v>0</v>
      </c>
    </row>
    <row r="7853" ht="12" customHeight="1">
      <c r="A7853" s="30" t="inlineStr">
        <is>
          <t>ITG</t>
        </is>
      </c>
      <c r="B7853" s="30" t="inlineStr">
        <is>
          <t>Itaguai</t>
        </is>
      </c>
      <c r="C7853" s="30" t="n">
        <v>85764411</v>
      </c>
      <c r="D7853" s="30">
        <f>"00473885000146"</f>
        <v/>
      </c>
      <c r="E7853" s="30" t="inlineStr">
        <is>
          <t>PADARIA CALIFORNIA DE ITAGUAI LTDA</t>
        </is>
      </c>
      <c r="F7853" s="30" t="inlineStr">
        <is>
          <t>2020</t>
        </is>
      </c>
      <c r="G7853" s="40" t="n">
        <v>0</v>
      </c>
    </row>
    <row r="7854" ht="12" customHeight="1">
      <c r="A7854" s="30" t="inlineStr">
        <is>
          <t>ITG</t>
        </is>
      </c>
      <c r="B7854" s="30" t="inlineStr">
        <is>
          <t>Itaguai</t>
        </is>
      </c>
      <c r="C7854" s="30" t="n">
        <v>85764411</v>
      </c>
      <c r="D7854" s="30">
        <f>"00473885000146"</f>
        <v/>
      </c>
      <c r="E7854" s="30" t="inlineStr">
        <is>
          <t>PADARIA CALIFORNIA DE ITAGUAI LTDA</t>
        </is>
      </c>
      <c r="F7854" s="30" t="inlineStr">
        <is>
          <t>2021</t>
        </is>
      </c>
      <c r="G7854" s="40" t="n">
        <v>311544.94</v>
      </c>
    </row>
    <row r="7855" ht="12" customHeight="1">
      <c r="A7855" s="30" t="inlineStr">
        <is>
          <t>ITG</t>
        </is>
      </c>
      <c r="B7855" s="30" t="inlineStr">
        <is>
          <t>Itaguai</t>
        </is>
      </c>
      <c r="C7855" s="30" t="n">
        <v>85764411</v>
      </c>
      <c r="D7855" s="30">
        <f>"00473885000146"</f>
        <v/>
      </c>
      <c r="E7855" s="30" t="inlineStr">
        <is>
          <t>PADARIA CALIFORNIA DE ITAGUAI LTDA</t>
        </is>
      </c>
      <c r="F7855" s="30" t="inlineStr">
        <is>
          <t>2022</t>
        </is>
      </c>
      <c r="G7855" s="40" t="n">
        <v>0</v>
      </c>
    </row>
    <row r="7856" ht="12" customHeight="1">
      <c r="A7856" s="30" t="inlineStr">
        <is>
          <t>ITG</t>
        </is>
      </c>
      <c r="B7856" s="30" t="inlineStr">
        <is>
          <t>Itaguai</t>
        </is>
      </c>
      <c r="C7856" s="30" t="n">
        <v>85764411</v>
      </c>
      <c r="D7856" s="30">
        <f>"00473885000146"</f>
        <v/>
      </c>
      <c r="E7856" s="30" t="inlineStr">
        <is>
          <t>PADARIA CALIFORNIA DE ITAGUAI LTDA</t>
        </is>
      </c>
      <c r="F7856" s="30" t="inlineStr">
        <is>
          <t>2023</t>
        </is>
      </c>
      <c r="G7856" s="40" t="n">
        <v>814814.86</v>
      </c>
    </row>
    <row r="7857" ht="12" customHeight="1">
      <c r="A7857" s="30" t="inlineStr">
        <is>
          <t>ITG</t>
        </is>
      </c>
      <c r="B7857" s="30" t="inlineStr">
        <is>
          <t>Itaguai</t>
        </is>
      </c>
      <c r="C7857" s="30" t="n">
        <v>85764721</v>
      </c>
      <c r="D7857" s="30">
        <f>"36437143000102"</f>
        <v/>
      </c>
      <c r="E7857" s="30" t="inlineStr">
        <is>
          <t>J MATSUNAGA INSTALA??O E MANUTEN??O EL?TRICA</t>
        </is>
      </c>
      <c r="F7857" s="30" t="inlineStr">
        <is>
          <t>2018</t>
        </is>
      </c>
      <c r="G7857" s="40" t="n">
        <v>0</v>
      </c>
    </row>
    <row r="7858" ht="12" customHeight="1">
      <c r="A7858" s="30" t="inlineStr">
        <is>
          <t>ITG</t>
        </is>
      </c>
      <c r="B7858" s="30" t="inlineStr">
        <is>
          <t>Itaguai</t>
        </is>
      </c>
      <c r="C7858" s="30" t="n">
        <v>85764721</v>
      </c>
      <c r="D7858" s="30">
        <f>"36437143000102"</f>
        <v/>
      </c>
      <c r="E7858" s="30" t="inlineStr">
        <is>
          <t>J MATSUNAGA INSTALA??O E MANUTEN??O EL?TRICA</t>
        </is>
      </c>
      <c r="F7858" s="30" t="inlineStr">
        <is>
          <t>2019</t>
        </is>
      </c>
      <c r="G7858" s="40" t="n">
        <v>0</v>
      </c>
    </row>
    <row r="7859" ht="12" customHeight="1">
      <c r="A7859" s="30" t="inlineStr">
        <is>
          <t>ITG</t>
        </is>
      </c>
      <c r="B7859" s="30" t="inlineStr">
        <is>
          <t>Itaguai</t>
        </is>
      </c>
      <c r="C7859" s="30" t="n">
        <v>85764721</v>
      </c>
      <c r="D7859" s="30">
        <f>"36437143000102"</f>
        <v/>
      </c>
      <c r="E7859" s="30" t="inlineStr">
        <is>
          <t>J MATSUNAGA INSTALA??O E MANUTEN??O EL?TRICA</t>
        </is>
      </c>
      <c r="F7859" s="30" t="inlineStr">
        <is>
          <t>2020</t>
        </is>
      </c>
      <c r="G7859" s="40" t="n">
        <v>0</v>
      </c>
    </row>
    <row r="7860" ht="12" customHeight="1">
      <c r="A7860" s="30" t="inlineStr">
        <is>
          <t>ITG</t>
        </is>
      </c>
      <c r="B7860" s="30" t="inlineStr">
        <is>
          <t>Itaguai</t>
        </is>
      </c>
      <c r="C7860" s="30" t="n">
        <v>85764721</v>
      </c>
      <c r="D7860" s="30">
        <f>"36437143000102"</f>
        <v/>
      </c>
      <c r="E7860" s="30" t="inlineStr">
        <is>
          <t>J MATSUNAGA INSTALA??O E MANUTEN??O EL?TRICA</t>
        </is>
      </c>
      <c r="F7860" s="30" t="inlineStr">
        <is>
          <t>2021</t>
        </is>
      </c>
      <c r="G7860" s="40" t="n">
        <v>0</v>
      </c>
    </row>
    <row r="7861" ht="12" customHeight="1">
      <c r="A7861" s="30" t="inlineStr">
        <is>
          <t>ITG</t>
        </is>
      </c>
      <c r="B7861" s="30" t="inlineStr">
        <is>
          <t>Itaguai</t>
        </is>
      </c>
      <c r="C7861" s="30" t="n">
        <v>85764721</v>
      </c>
      <c r="D7861" s="30">
        <f>"36437143000102"</f>
        <v/>
      </c>
      <c r="E7861" s="30" t="inlineStr">
        <is>
          <t>J MATSUNAGA INSTALA??O E MANUTEN??O EL?TRICA</t>
        </is>
      </c>
      <c r="F7861" s="30" t="inlineStr">
        <is>
          <t>2022</t>
        </is>
      </c>
      <c r="G7861" s="40" t="n">
        <v>0</v>
      </c>
    </row>
    <row r="7862" ht="12" customHeight="1">
      <c r="A7862" s="30" t="inlineStr">
        <is>
          <t>ITG</t>
        </is>
      </c>
      <c r="B7862" s="30" t="inlineStr">
        <is>
          <t>Itaguai</t>
        </is>
      </c>
      <c r="C7862" s="30" t="n">
        <v>85764888</v>
      </c>
      <c r="D7862" s="30">
        <f>"33881301012994"</f>
        <v/>
      </c>
      <c r="E7862" s="30" t="inlineStr">
        <is>
          <t>LOJAS CITYCOL S/A</t>
        </is>
      </c>
      <c r="F7862" s="30" t="inlineStr">
        <is>
          <t>2017</t>
        </is>
      </c>
      <c r="G7862" s="40" t="n">
        <v>788424.53</v>
      </c>
    </row>
    <row r="7863" ht="12" customHeight="1">
      <c r="A7863" s="30" t="inlineStr">
        <is>
          <t>ITG</t>
        </is>
      </c>
      <c r="B7863" s="30" t="inlineStr">
        <is>
          <t>Itaguai</t>
        </is>
      </c>
      <c r="C7863" s="30" t="n">
        <v>85764888</v>
      </c>
      <c r="D7863" s="30">
        <f>"33881301012994"</f>
        <v/>
      </c>
      <c r="E7863" s="30" t="inlineStr">
        <is>
          <t>LOJAS CITYCOL S/A</t>
        </is>
      </c>
      <c r="F7863" s="30" t="inlineStr">
        <is>
          <t>2018</t>
        </is>
      </c>
      <c r="G7863" s="40" t="n">
        <v>874281.0699999999</v>
      </c>
    </row>
    <row r="7864" ht="12" customHeight="1">
      <c r="A7864" s="30" t="inlineStr">
        <is>
          <t>ITG</t>
        </is>
      </c>
      <c r="B7864" s="30" t="inlineStr">
        <is>
          <t>Itaguai</t>
        </is>
      </c>
      <c r="C7864" s="30" t="n">
        <v>85764888</v>
      </c>
      <c r="D7864" s="30">
        <f>"33881301012994"</f>
        <v/>
      </c>
      <c r="E7864" s="30" t="inlineStr">
        <is>
          <t>LOJAS CITYCOL S/A</t>
        </is>
      </c>
      <c r="F7864" s="30" t="inlineStr">
        <is>
          <t>2019</t>
        </is>
      </c>
      <c r="G7864" s="40" t="n">
        <v>717426.16</v>
      </c>
    </row>
    <row r="7865" ht="12" customHeight="1">
      <c r="A7865" s="30" t="inlineStr">
        <is>
          <t>ITG</t>
        </is>
      </c>
      <c r="B7865" s="30" t="inlineStr">
        <is>
          <t>Itaguai</t>
        </is>
      </c>
      <c r="C7865" s="30" t="n">
        <v>85764888</v>
      </c>
      <c r="D7865" s="30">
        <f>"33881301012994"</f>
        <v/>
      </c>
      <c r="E7865" s="30" t="inlineStr">
        <is>
          <t>LOJAS CITYCOL S/A</t>
        </is>
      </c>
      <c r="F7865" s="30" t="inlineStr">
        <is>
          <t>2020</t>
        </is>
      </c>
      <c r="G7865" s="40" t="n">
        <v>611345.01</v>
      </c>
    </row>
    <row r="7866" ht="12" customHeight="1">
      <c r="A7866" s="30" t="inlineStr">
        <is>
          <t>ITG</t>
        </is>
      </c>
      <c r="B7866" s="30" t="inlineStr">
        <is>
          <t>Itaguai</t>
        </is>
      </c>
      <c r="C7866" s="30" t="n">
        <v>85764888</v>
      </c>
      <c r="D7866" s="30">
        <f>"33881301012994"</f>
        <v/>
      </c>
      <c r="E7866" s="30" t="inlineStr">
        <is>
          <t>LOJAS CITYCOL S/A</t>
        </is>
      </c>
      <c r="F7866" s="30" t="inlineStr">
        <is>
          <t>2021</t>
        </is>
      </c>
      <c r="G7866" s="40" t="n">
        <v>494214.33</v>
      </c>
    </row>
    <row r="7867" ht="12" customHeight="1">
      <c r="A7867" s="30" t="inlineStr">
        <is>
          <t>ITG</t>
        </is>
      </c>
      <c r="B7867" s="30" t="inlineStr">
        <is>
          <t>Itaguai</t>
        </is>
      </c>
      <c r="C7867" s="30" t="n">
        <v>85764888</v>
      </c>
      <c r="D7867" s="30">
        <f>"33881301012994"</f>
        <v/>
      </c>
      <c r="E7867" s="30" t="inlineStr">
        <is>
          <t>LOJAS CITYCOL S/A</t>
        </is>
      </c>
      <c r="F7867" s="30" t="inlineStr">
        <is>
          <t>2022</t>
        </is>
      </c>
      <c r="G7867" s="40" t="n">
        <v>622304.8</v>
      </c>
    </row>
    <row r="7868" ht="12" customHeight="1">
      <c r="A7868" s="30" t="inlineStr">
        <is>
          <t>ITG</t>
        </is>
      </c>
      <c r="B7868" s="30" t="inlineStr">
        <is>
          <t>Itaguai</t>
        </is>
      </c>
      <c r="C7868" s="30" t="n">
        <v>85764888</v>
      </c>
      <c r="D7868" s="30">
        <f>"33881301012994"</f>
        <v/>
      </c>
      <c r="E7868" s="30" t="inlineStr">
        <is>
          <t>LOJAS CITYCOL S/A</t>
        </is>
      </c>
      <c r="F7868" s="30" t="inlineStr">
        <is>
          <t>2023</t>
        </is>
      </c>
      <c r="G7868" s="40" t="n">
        <v>632528.42</v>
      </c>
    </row>
    <row r="7869" ht="12" customHeight="1">
      <c r="A7869" s="30" t="inlineStr">
        <is>
          <t>ITG</t>
        </is>
      </c>
      <c r="B7869" s="30" t="inlineStr">
        <is>
          <t>Itaguai</t>
        </is>
      </c>
      <c r="C7869" s="30" t="n">
        <v>85765051</v>
      </c>
      <c r="D7869" s="30">
        <f>"02198937000149"</f>
        <v/>
      </c>
      <c r="E7869" s="30" t="inlineStr">
        <is>
          <t>F J R COMERCIO DE CEREAIS LTDA ME</t>
        </is>
      </c>
      <c r="F7869" s="30" t="inlineStr">
        <is>
          <t>2017</t>
        </is>
      </c>
      <c r="G7869" s="40" t="n">
        <v>2974721.04</v>
      </c>
    </row>
    <row r="7870" ht="12" customHeight="1">
      <c r="A7870" s="30" t="inlineStr">
        <is>
          <t>ITG</t>
        </is>
      </c>
      <c r="B7870" s="30" t="inlineStr">
        <is>
          <t>Itaguai</t>
        </is>
      </c>
      <c r="C7870" s="30" t="n">
        <v>85765051</v>
      </c>
      <c r="D7870" s="30">
        <f>"02198937000149"</f>
        <v/>
      </c>
      <c r="E7870" s="30" t="inlineStr">
        <is>
          <t>F J R COMERCIO DE CEREAIS LTDA ME</t>
        </is>
      </c>
      <c r="F7870" s="30" t="inlineStr">
        <is>
          <t>2018</t>
        </is>
      </c>
      <c r="G7870" s="40" t="n">
        <v>3171212.14</v>
      </c>
    </row>
    <row r="7871" ht="12" customHeight="1">
      <c r="A7871" s="30" t="inlineStr">
        <is>
          <t>ITG</t>
        </is>
      </c>
      <c r="B7871" s="30" t="inlineStr">
        <is>
          <t>Itaguai</t>
        </is>
      </c>
      <c r="C7871" s="30" t="n">
        <v>85765051</v>
      </c>
      <c r="D7871" s="30">
        <f>"02198937000149"</f>
        <v/>
      </c>
      <c r="E7871" s="30" t="inlineStr">
        <is>
          <t>F J R COMERCIO DE CEREAIS LTDA ME</t>
        </is>
      </c>
      <c r="F7871" s="30" t="inlineStr">
        <is>
          <t>2019</t>
        </is>
      </c>
      <c r="G7871" s="40" t="n">
        <v>2833383.99</v>
      </c>
    </row>
    <row r="7872" ht="12" customHeight="1">
      <c r="A7872" s="30" t="inlineStr">
        <is>
          <t>ITG</t>
        </is>
      </c>
      <c r="B7872" s="30" t="inlineStr">
        <is>
          <t>Itaguai</t>
        </is>
      </c>
      <c r="C7872" s="30" t="n">
        <v>85765051</v>
      </c>
      <c r="D7872" s="30">
        <f>"02198937000149"</f>
        <v/>
      </c>
      <c r="E7872" s="30" t="inlineStr">
        <is>
          <t>F J R COMERCIO DE CEREAIS LTDA ME</t>
        </is>
      </c>
      <c r="F7872" s="30" t="inlineStr">
        <is>
          <t>2020</t>
        </is>
      </c>
      <c r="G7872" s="40" t="n">
        <v>2352574.32</v>
      </c>
    </row>
    <row r="7873" ht="12" customHeight="1">
      <c r="A7873" s="30" t="inlineStr">
        <is>
          <t>ITG</t>
        </is>
      </c>
      <c r="B7873" s="30" t="inlineStr">
        <is>
          <t>Itaguai</t>
        </is>
      </c>
      <c r="C7873" s="30" t="n">
        <v>85765051</v>
      </c>
      <c r="D7873" s="30">
        <f>"02198937000149"</f>
        <v/>
      </c>
      <c r="E7873" s="30" t="inlineStr">
        <is>
          <t>F J R COMERCIO DE CEREAIS LTDA ME</t>
        </is>
      </c>
      <c r="F7873" s="30" t="inlineStr">
        <is>
          <t>2021</t>
        </is>
      </c>
      <c r="G7873" s="40" t="n">
        <v>2904226.55</v>
      </c>
    </row>
    <row r="7874" ht="12" customHeight="1">
      <c r="A7874" s="30" t="inlineStr">
        <is>
          <t>ITG</t>
        </is>
      </c>
      <c r="B7874" s="30" t="inlineStr">
        <is>
          <t>Itaguai</t>
        </is>
      </c>
      <c r="C7874" s="30" t="n">
        <v>85765051</v>
      </c>
      <c r="D7874" s="30">
        <f>"02198937000149"</f>
        <v/>
      </c>
      <c r="E7874" s="30" t="inlineStr">
        <is>
          <t>F J R COMERCIO DE CEREAIS LTDA ME</t>
        </is>
      </c>
      <c r="F7874" s="30" t="inlineStr">
        <is>
          <t>2022</t>
        </is>
      </c>
      <c r="G7874" s="40" t="n">
        <v>1608554.46</v>
      </c>
    </row>
    <row r="7875" ht="12" customHeight="1">
      <c r="A7875" s="30" t="inlineStr">
        <is>
          <t>ITG</t>
        </is>
      </c>
      <c r="B7875" s="30" t="inlineStr">
        <is>
          <t>Itaguai</t>
        </is>
      </c>
      <c r="C7875" s="30" t="n">
        <v>85765051</v>
      </c>
      <c r="D7875" s="30">
        <f>"02198937000149"</f>
        <v/>
      </c>
      <c r="E7875" s="30" t="inlineStr">
        <is>
          <t>F J R COMERCIO DE CEREAIS LTDA ME</t>
        </is>
      </c>
      <c r="F7875" s="30" t="inlineStr">
        <is>
          <t>2023</t>
        </is>
      </c>
      <c r="G7875" s="40" t="n">
        <v>3136524.7</v>
      </c>
    </row>
    <row r="7876" ht="12" customHeight="1">
      <c r="A7876" s="30" t="inlineStr">
        <is>
          <t>ITG</t>
        </is>
      </c>
      <c r="B7876" s="30" t="inlineStr">
        <is>
          <t>Itaguai</t>
        </is>
      </c>
      <c r="C7876" s="30" t="n">
        <v>85765388</v>
      </c>
      <c r="D7876" s="30">
        <f>"02313305000189"</f>
        <v/>
      </c>
      <c r="E7876" s="30" t="inlineStr">
        <is>
          <t>DROGARIA AVENIDA DE ITAGUAI LTDA</t>
        </is>
      </c>
      <c r="F7876" s="30" t="inlineStr">
        <is>
          <t>2017</t>
        </is>
      </c>
      <c r="G7876" s="40" t="n">
        <v>0</v>
      </c>
    </row>
    <row r="7877" ht="12" customHeight="1">
      <c r="A7877" s="30" t="inlineStr">
        <is>
          <t>ITG</t>
        </is>
      </c>
      <c r="B7877" s="30" t="inlineStr">
        <is>
          <t>Itaguai</t>
        </is>
      </c>
      <c r="C7877" s="30" t="n">
        <v>85765388</v>
      </c>
      <c r="D7877" s="30">
        <f>"02313305000189"</f>
        <v/>
      </c>
      <c r="E7877" s="30" t="inlineStr">
        <is>
          <t>DROGARIA AVENIDA DE ITAGUAI LTDA</t>
        </is>
      </c>
      <c r="F7877" s="30" t="inlineStr">
        <is>
          <t>2018</t>
        </is>
      </c>
      <c r="G7877" s="40" t="n">
        <v>0</v>
      </c>
    </row>
    <row r="7878" ht="12" customHeight="1">
      <c r="A7878" s="30" t="inlineStr">
        <is>
          <t>ITG</t>
        </is>
      </c>
      <c r="B7878" s="30" t="inlineStr">
        <is>
          <t>Itaguai</t>
        </is>
      </c>
      <c r="C7878" s="30" t="n">
        <v>85765388</v>
      </c>
      <c r="D7878" s="30">
        <f>"02313305000189"</f>
        <v/>
      </c>
      <c r="E7878" s="30" t="inlineStr">
        <is>
          <t>DROGARIA AVENIDA DE ITAGUAI LTDA</t>
        </is>
      </c>
      <c r="F7878" s="30" t="inlineStr">
        <is>
          <t>2019</t>
        </is>
      </c>
      <c r="G7878" s="40" t="n">
        <v>0</v>
      </c>
    </row>
    <row r="7879" ht="12" customHeight="1">
      <c r="A7879" s="30" t="inlineStr">
        <is>
          <t>ITG</t>
        </is>
      </c>
      <c r="B7879" s="30" t="inlineStr">
        <is>
          <t>Itaguai</t>
        </is>
      </c>
      <c r="C7879" s="30" t="n">
        <v>85765388</v>
      </c>
      <c r="D7879" s="30">
        <f>"02313305000189"</f>
        <v/>
      </c>
      <c r="E7879" s="30" t="inlineStr">
        <is>
          <t>DROGARIA AVENIDA DE ITAGUAI LTDA</t>
        </is>
      </c>
      <c r="F7879" s="30" t="inlineStr">
        <is>
          <t>2020</t>
        </is>
      </c>
      <c r="G7879" s="40" t="n">
        <v>0</v>
      </c>
    </row>
    <row r="7880" ht="12" customHeight="1">
      <c r="A7880" s="30" t="inlineStr">
        <is>
          <t>ITG</t>
        </is>
      </c>
      <c r="B7880" s="30" t="inlineStr">
        <is>
          <t>Itaguai</t>
        </is>
      </c>
      <c r="C7880" s="30" t="n">
        <v>85765388</v>
      </c>
      <c r="D7880" s="30">
        <f>"02313305000189"</f>
        <v/>
      </c>
      <c r="E7880" s="30" t="inlineStr">
        <is>
          <t>DROGARIA AVENIDA DE ITAGUAI LTDA</t>
        </is>
      </c>
      <c r="F7880" s="30" t="inlineStr">
        <is>
          <t>2021</t>
        </is>
      </c>
      <c r="G7880" s="40" t="n">
        <v>0</v>
      </c>
    </row>
    <row r="7881" ht="12" customHeight="1">
      <c r="A7881" s="30" t="inlineStr">
        <is>
          <t>ITG</t>
        </is>
      </c>
      <c r="B7881" s="30" t="inlineStr">
        <is>
          <t>Itaguai</t>
        </is>
      </c>
      <c r="C7881" s="30" t="n">
        <v>85765388</v>
      </c>
      <c r="D7881" s="30">
        <f>"02313305000189"</f>
        <v/>
      </c>
      <c r="E7881" s="30" t="inlineStr">
        <is>
          <t>DROGARIA AVENIDA DE ITAGUAI LTDA</t>
        </is>
      </c>
      <c r="F7881" s="30" t="inlineStr">
        <is>
          <t>2022</t>
        </is>
      </c>
      <c r="G7881" s="40" t="n">
        <v>0</v>
      </c>
    </row>
    <row r="7882" ht="12" customHeight="1">
      <c r="A7882" s="30" t="inlineStr">
        <is>
          <t>ITG</t>
        </is>
      </c>
      <c r="B7882" s="30" t="inlineStr">
        <is>
          <t>Itaguai</t>
        </is>
      </c>
      <c r="C7882" s="30" t="n">
        <v>85765388</v>
      </c>
      <c r="D7882" s="30">
        <f>"02313305000189"</f>
        <v/>
      </c>
      <c r="E7882" s="30" t="inlineStr">
        <is>
          <t>DROGARIA AVENIDA DE ITAGUAI LTDA</t>
        </is>
      </c>
      <c r="F7882" s="30" t="inlineStr">
        <is>
          <t>2023</t>
        </is>
      </c>
      <c r="G7882" s="40" t="n">
        <v>119052.65</v>
      </c>
    </row>
    <row r="7883" ht="12" customHeight="1">
      <c r="A7883" s="30" t="inlineStr">
        <is>
          <t>ITG</t>
        </is>
      </c>
      <c r="B7883" s="30" t="inlineStr">
        <is>
          <t>Itaguai</t>
        </is>
      </c>
      <c r="C7883" s="30" t="n">
        <v>85787500</v>
      </c>
      <c r="D7883" s="30">
        <f>"00988053000162"</f>
        <v/>
      </c>
      <c r="E7883" s="30" t="inlineStr">
        <is>
          <t>L F SILVA INEZ SERVIÇOS DE LOGÍSTICA E EQUIPAMENTO EIRELI ME</t>
        </is>
      </c>
      <c r="F7883" s="30" t="inlineStr">
        <is>
          <t>2017</t>
        </is>
      </c>
      <c r="G7883" s="40" t="n">
        <v>0</v>
      </c>
    </row>
    <row r="7884" ht="12" customHeight="1">
      <c r="A7884" s="30" t="inlineStr">
        <is>
          <t>ITG</t>
        </is>
      </c>
      <c r="B7884" s="30" t="inlineStr">
        <is>
          <t>Itaguai</t>
        </is>
      </c>
      <c r="C7884" s="30" t="n">
        <v>85787500</v>
      </c>
      <c r="D7884" s="30">
        <f>"00988053000162"</f>
        <v/>
      </c>
      <c r="E7884" s="30" t="inlineStr">
        <is>
          <t>L F SILVA INEZ SERVIÇOS DE LOGÍSTICA E EQUIPAMENTO EIRELI ME</t>
        </is>
      </c>
      <c r="F7884" s="30" t="inlineStr">
        <is>
          <t>2018</t>
        </is>
      </c>
      <c r="G7884" s="40" t="n">
        <v>0</v>
      </c>
    </row>
    <row r="7885" ht="12" customHeight="1">
      <c r="A7885" s="30" t="inlineStr">
        <is>
          <t>ITG</t>
        </is>
      </c>
      <c r="B7885" s="30" t="inlineStr">
        <is>
          <t>Itaguai</t>
        </is>
      </c>
      <c r="C7885" s="30" t="n">
        <v>85787500</v>
      </c>
      <c r="D7885" s="30">
        <f>"00988053000162"</f>
        <v/>
      </c>
      <c r="E7885" s="30" t="inlineStr">
        <is>
          <t>L F SILVA INEZ SERVIÇOS DE LOGÍSTICA E EQUIPAMENTO EIRELI ME</t>
        </is>
      </c>
      <c r="F7885" s="30" t="inlineStr">
        <is>
          <t>2019</t>
        </is>
      </c>
      <c r="G7885" s="40" t="n">
        <v>0</v>
      </c>
    </row>
    <row r="7886" ht="12" customHeight="1">
      <c r="A7886" s="30" t="inlineStr">
        <is>
          <t>ITG</t>
        </is>
      </c>
      <c r="B7886" s="30" t="inlineStr">
        <is>
          <t>Itaguai</t>
        </is>
      </c>
      <c r="C7886" s="30" t="n">
        <v>85787500</v>
      </c>
      <c r="D7886" s="30">
        <f>"00988053000162"</f>
        <v/>
      </c>
      <c r="E7886" s="30" t="inlineStr">
        <is>
          <t>L F SILVA INEZ SERVIÇOS DE LOGÍSTICA E EQUIPAMENTO EIRELI ME</t>
        </is>
      </c>
      <c r="F7886" s="30" t="inlineStr">
        <is>
          <t>2020</t>
        </is>
      </c>
      <c r="G7886" s="40" t="n">
        <v>0</v>
      </c>
    </row>
    <row r="7887" ht="12" customHeight="1">
      <c r="A7887" s="30" t="inlineStr">
        <is>
          <t>ITG</t>
        </is>
      </c>
      <c r="B7887" s="30" t="inlineStr">
        <is>
          <t>Itaguai</t>
        </is>
      </c>
      <c r="C7887" s="30" t="n">
        <v>85787500</v>
      </c>
      <c r="D7887" s="30">
        <f>"00988053000162"</f>
        <v/>
      </c>
      <c r="E7887" s="30" t="inlineStr">
        <is>
          <t>L F SILVA INEZ SERVIÇOS DE LOGÍSTICA E EQUIPAMENTO EIRELI ME</t>
        </is>
      </c>
      <c r="F7887" s="30" t="inlineStr">
        <is>
          <t>2021</t>
        </is>
      </c>
      <c r="G7887" s="40" t="n">
        <v>0</v>
      </c>
    </row>
    <row r="7888" ht="12" customHeight="1">
      <c r="A7888" s="30" t="inlineStr">
        <is>
          <t>ITG</t>
        </is>
      </c>
      <c r="B7888" s="30" t="inlineStr">
        <is>
          <t>Itaguai</t>
        </is>
      </c>
      <c r="C7888" s="30" t="n">
        <v>85804774</v>
      </c>
      <c r="D7888" s="30">
        <f>"67945071001029"</f>
        <v/>
      </c>
      <c r="E7888" s="30" t="inlineStr">
        <is>
          <t>SAPORE S.A</t>
        </is>
      </c>
      <c r="F7888" s="30" t="inlineStr">
        <is>
          <t>2017</t>
        </is>
      </c>
      <c r="G7888" s="40" t="n">
        <v>0</v>
      </c>
    </row>
    <row r="7889" ht="12" customHeight="1">
      <c r="A7889" s="30" t="inlineStr">
        <is>
          <t>ITG</t>
        </is>
      </c>
      <c r="B7889" s="30" t="inlineStr">
        <is>
          <t>Itaguai</t>
        </is>
      </c>
      <c r="C7889" s="30" t="n">
        <v>85804774</v>
      </c>
      <c r="D7889" s="30">
        <f>"67945071001029"</f>
        <v/>
      </c>
      <c r="E7889" s="30" t="inlineStr">
        <is>
          <t>SAPORE S.A</t>
        </is>
      </c>
      <c r="F7889" s="30" t="inlineStr">
        <is>
          <t>2018</t>
        </is>
      </c>
      <c r="G7889" s="40" t="n">
        <v>2332040.68</v>
      </c>
    </row>
    <row r="7890" ht="12" customHeight="1">
      <c r="A7890" s="30" t="inlineStr">
        <is>
          <t>ITG</t>
        </is>
      </c>
      <c r="B7890" s="30" t="inlineStr">
        <is>
          <t>Itaguai</t>
        </is>
      </c>
      <c r="C7890" s="30" t="n">
        <v>85804774</v>
      </c>
      <c r="D7890" s="30">
        <f>"67945071001029"</f>
        <v/>
      </c>
      <c r="E7890" s="30" t="inlineStr">
        <is>
          <t>SAPORE S.A</t>
        </is>
      </c>
      <c r="F7890" s="30" t="inlineStr">
        <is>
          <t>2019</t>
        </is>
      </c>
      <c r="G7890" s="40" t="n">
        <v>1177820.04</v>
      </c>
    </row>
    <row r="7891" ht="12" customHeight="1">
      <c r="A7891" s="30" t="inlineStr">
        <is>
          <t>ITG</t>
        </is>
      </c>
      <c r="B7891" s="30" t="inlineStr">
        <is>
          <t>Itaguai</t>
        </is>
      </c>
      <c r="C7891" s="30" t="n">
        <v>85804774</v>
      </c>
      <c r="D7891" s="30">
        <f>"67945071001029"</f>
        <v/>
      </c>
      <c r="E7891" s="30" t="inlineStr">
        <is>
          <t>SAPORE S.A</t>
        </is>
      </c>
      <c r="F7891" s="30" t="inlineStr">
        <is>
          <t>2020</t>
        </is>
      </c>
      <c r="G7891" s="40" t="n">
        <v>1535334.22</v>
      </c>
    </row>
    <row r="7892" ht="12" customHeight="1">
      <c r="A7892" s="30" t="inlineStr">
        <is>
          <t>ITG</t>
        </is>
      </c>
      <c r="B7892" s="30" t="inlineStr">
        <is>
          <t>Itaguai</t>
        </is>
      </c>
      <c r="C7892" s="30" t="n">
        <v>85804774</v>
      </c>
      <c r="D7892" s="30">
        <f>"67945071001029"</f>
        <v/>
      </c>
      <c r="E7892" s="30" t="inlineStr">
        <is>
          <t>SAPORE S.A</t>
        </is>
      </c>
      <c r="F7892" s="30" t="inlineStr">
        <is>
          <t>2021</t>
        </is>
      </c>
      <c r="G7892" s="40" t="n">
        <v>2349921.22</v>
      </c>
    </row>
    <row r="7893" ht="12" customHeight="1">
      <c r="A7893" s="30" t="inlineStr">
        <is>
          <t>ITG</t>
        </is>
      </c>
      <c r="B7893" s="30" t="inlineStr">
        <is>
          <t>Itaguai</t>
        </is>
      </c>
      <c r="C7893" s="30" t="n">
        <v>85804774</v>
      </c>
      <c r="D7893" s="30">
        <f>"67945071001029"</f>
        <v/>
      </c>
      <c r="E7893" s="30" t="inlineStr">
        <is>
          <t>SAPORE S.A</t>
        </is>
      </c>
      <c r="F7893" s="30" t="inlineStr">
        <is>
          <t>2022</t>
        </is>
      </c>
      <c r="G7893" s="40" t="n">
        <v>0</v>
      </c>
    </row>
    <row r="7894" ht="12" customHeight="1">
      <c r="A7894" s="30" t="inlineStr">
        <is>
          <t>ITG</t>
        </is>
      </c>
      <c r="B7894" s="30" t="inlineStr">
        <is>
          <t>Itaguai</t>
        </is>
      </c>
      <c r="C7894" s="30" t="n">
        <v>85804774</v>
      </c>
      <c r="D7894" s="30">
        <f>"67945071001029"</f>
        <v/>
      </c>
      <c r="E7894" s="30" t="inlineStr">
        <is>
          <t>SAPORE S.A</t>
        </is>
      </c>
      <c r="F7894" s="30" t="inlineStr">
        <is>
          <t>2023</t>
        </is>
      </c>
      <c r="G7894" s="40" t="n">
        <v>1642021.4</v>
      </c>
    </row>
    <row r="7895" ht="12" customHeight="1">
      <c r="A7895" s="30" t="inlineStr">
        <is>
          <t>ITG</t>
        </is>
      </c>
      <c r="B7895" s="30" t="inlineStr">
        <is>
          <t>Itaguai</t>
        </is>
      </c>
      <c r="C7895" s="30" t="n">
        <v>85865447</v>
      </c>
      <c r="D7895" s="30">
        <f>"01518170000125"</f>
        <v/>
      </c>
      <c r="E7895" s="30" t="inlineStr">
        <is>
          <t>SEROPAREAL EXTRACAO DE AREIA LTDA EPP</t>
        </is>
      </c>
      <c r="F7895" s="30" t="inlineStr">
        <is>
          <t>2017</t>
        </is>
      </c>
      <c r="G7895" s="40" t="n">
        <v>0</v>
      </c>
    </row>
    <row r="7896" ht="12" customHeight="1">
      <c r="A7896" s="30" t="inlineStr">
        <is>
          <t>ITG</t>
        </is>
      </c>
      <c r="B7896" s="30" t="inlineStr">
        <is>
          <t>Itaguai</t>
        </is>
      </c>
      <c r="C7896" s="30" t="n">
        <v>85865447</v>
      </c>
      <c r="D7896" s="30">
        <f>"01518170000125"</f>
        <v/>
      </c>
      <c r="E7896" s="30" t="inlineStr">
        <is>
          <t>SEROPAREAL EXTRACAO DE AREIA LTDA EPP</t>
        </is>
      </c>
      <c r="F7896" s="30" t="inlineStr">
        <is>
          <t>2018</t>
        </is>
      </c>
      <c r="G7896" s="40" t="n">
        <v>0</v>
      </c>
    </row>
    <row r="7897" ht="12" customHeight="1">
      <c r="A7897" s="30" t="inlineStr">
        <is>
          <t>ITG</t>
        </is>
      </c>
      <c r="B7897" s="30" t="inlineStr">
        <is>
          <t>Itaguai</t>
        </is>
      </c>
      <c r="C7897" s="30" t="n">
        <v>85865447</v>
      </c>
      <c r="D7897" s="30">
        <f>"01518170000125"</f>
        <v/>
      </c>
      <c r="E7897" s="30" t="inlineStr">
        <is>
          <t>SEROPAREAL EXTRACAO DE AREIA LTDA EPP</t>
        </is>
      </c>
      <c r="F7897" s="30" t="inlineStr">
        <is>
          <t>2019</t>
        </is>
      </c>
      <c r="G7897" s="40" t="n">
        <v>1500</v>
      </c>
    </row>
    <row r="7898" ht="12" customHeight="1">
      <c r="A7898" s="30" t="inlineStr">
        <is>
          <t>ITG</t>
        </is>
      </c>
      <c r="B7898" s="30" t="inlineStr">
        <is>
          <t>Itaguai</t>
        </is>
      </c>
      <c r="C7898" s="30" t="n">
        <v>85865447</v>
      </c>
      <c r="D7898" s="30">
        <f>"01518170000125"</f>
        <v/>
      </c>
      <c r="E7898" s="30" t="inlineStr">
        <is>
          <t>SEROPAREAL EXTRACAO DE AREIA LTDA EPP</t>
        </is>
      </c>
      <c r="F7898" s="30" t="inlineStr">
        <is>
          <t>2020</t>
        </is>
      </c>
      <c r="G7898" s="40" t="n">
        <v>197008.66</v>
      </c>
    </row>
    <row r="7899" ht="12" customHeight="1">
      <c r="A7899" s="30" t="inlineStr">
        <is>
          <t>ITG</t>
        </is>
      </c>
      <c r="B7899" s="30" t="inlineStr">
        <is>
          <t>Itaguai</t>
        </is>
      </c>
      <c r="C7899" s="30" t="n">
        <v>85865447</v>
      </c>
      <c r="D7899" s="30">
        <f>"01518170000125"</f>
        <v/>
      </c>
      <c r="E7899" s="30" t="inlineStr">
        <is>
          <t>SEROPAREAL EXTRACAO DE AREIA LTDA EPP</t>
        </is>
      </c>
      <c r="F7899" s="30" t="inlineStr">
        <is>
          <t>2021</t>
        </is>
      </c>
      <c r="G7899" s="40" t="n">
        <v>0</v>
      </c>
    </row>
    <row r="7900" ht="12" customHeight="1">
      <c r="A7900" s="30" t="inlineStr">
        <is>
          <t>ITG</t>
        </is>
      </c>
      <c r="B7900" s="30" t="inlineStr">
        <is>
          <t>Itaguai</t>
        </is>
      </c>
      <c r="C7900" s="30" t="n">
        <v>85865447</v>
      </c>
      <c r="D7900" s="30">
        <f>"01518170000125"</f>
        <v/>
      </c>
      <c r="E7900" s="30" t="inlineStr">
        <is>
          <t>SEROPAREAL EXTRACAO DE AREIA LTDA EPP</t>
        </is>
      </c>
      <c r="F7900" s="30" t="inlineStr">
        <is>
          <t>2022</t>
        </is>
      </c>
      <c r="G7900" s="40" t="n">
        <v>253915.4</v>
      </c>
    </row>
    <row r="7901" ht="12" customHeight="1">
      <c r="A7901" s="30" t="inlineStr">
        <is>
          <t>ITG</t>
        </is>
      </c>
      <c r="B7901" s="30" t="inlineStr">
        <is>
          <t>Itaguai</t>
        </is>
      </c>
      <c r="C7901" s="30" t="n">
        <v>85865447</v>
      </c>
      <c r="D7901" s="30">
        <f>"01518170000125"</f>
        <v/>
      </c>
      <c r="E7901" s="30" t="inlineStr">
        <is>
          <t>SEROPAREAL EXTRACAO DE AREIA LTDA EPP</t>
        </is>
      </c>
      <c r="F7901" s="30" t="inlineStr">
        <is>
          <t>2023</t>
        </is>
      </c>
      <c r="G7901" s="40" t="n">
        <v>0</v>
      </c>
    </row>
    <row r="7902" ht="12" customHeight="1">
      <c r="A7902" s="30" t="inlineStr">
        <is>
          <t>ITG</t>
        </is>
      </c>
      <c r="B7902" s="30" t="inlineStr">
        <is>
          <t>Itaguai</t>
        </is>
      </c>
      <c r="C7902" s="30" t="n">
        <v>85874314</v>
      </c>
      <c r="D7902" s="30">
        <f>"03094658000440"</f>
        <v/>
      </c>
      <c r="E7902" s="30" t="inlineStr">
        <is>
          <t>GEFCO LOGISTICA DO BRASIL LTDA</t>
        </is>
      </c>
      <c r="F7902" s="30" t="inlineStr">
        <is>
          <t>2018</t>
        </is>
      </c>
      <c r="G7902" s="40" t="n">
        <v>0</v>
      </c>
    </row>
    <row r="7903" ht="12" customHeight="1">
      <c r="A7903" s="30" t="inlineStr">
        <is>
          <t>ITG</t>
        </is>
      </c>
      <c r="B7903" s="30" t="inlineStr">
        <is>
          <t>Itaguai</t>
        </is>
      </c>
      <c r="C7903" s="30" t="n">
        <v>85874314</v>
      </c>
      <c r="D7903" s="30">
        <f>"03094658000440"</f>
        <v/>
      </c>
      <c r="E7903" s="30" t="inlineStr">
        <is>
          <t>GEFCO LOGISTICA DO BRASIL LTDA</t>
        </is>
      </c>
      <c r="F7903" s="30" t="inlineStr">
        <is>
          <t>2019</t>
        </is>
      </c>
      <c r="G7903" s="40" t="n">
        <v>0</v>
      </c>
    </row>
    <row r="7904" ht="12" customHeight="1">
      <c r="A7904" s="30" t="inlineStr">
        <is>
          <t>ITG</t>
        </is>
      </c>
      <c r="B7904" s="30" t="inlineStr">
        <is>
          <t>Itaguai</t>
        </is>
      </c>
      <c r="C7904" s="30" t="n">
        <v>85874314</v>
      </c>
      <c r="D7904" s="30">
        <f>"03094658000440"</f>
        <v/>
      </c>
      <c r="E7904" s="30" t="inlineStr">
        <is>
          <t>GEFCO LOGISTICA DO BRASIL LTDA</t>
        </is>
      </c>
      <c r="F7904" s="30" t="inlineStr">
        <is>
          <t>2020</t>
        </is>
      </c>
      <c r="G7904" s="40" t="n">
        <v>12318.58</v>
      </c>
    </row>
    <row r="7905" ht="12" customHeight="1">
      <c r="A7905" s="30" t="inlineStr">
        <is>
          <t>ITG</t>
        </is>
      </c>
      <c r="B7905" s="30" t="inlineStr">
        <is>
          <t>Itaguai</t>
        </is>
      </c>
      <c r="C7905" s="30" t="n">
        <v>85874314</v>
      </c>
      <c r="D7905" s="30">
        <f>"03094658000440"</f>
        <v/>
      </c>
      <c r="E7905" s="30" t="inlineStr">
        <is>
          <t>GEFCO LOGISTICA DO BRASIL LTDA</t>
        </is>
      </c>
      <c r="F7905" s="30" t="inlineStr">
        <is>
          <t>2021</t>
        </is>
      </c>
      <c r="G7905" s="40" t="n">
        <v>15028.94</v>
      </c>
    </row>
    <row r="7906" ht="12" customHeight="1">
      <c r="A7906" s="30" t="inlineStr">
        <is>
          <t>ITG</t>
        </is>
      </c>
      <c r="B7906" s="30" t="inlineStr">
        <is>
          <t>Itaguai</t>
        </is>
      </c>
      <c r="C7906" s="30" t="n">
        <v>85874314</v>
      </c>
      <c r="D7906" s="30">
        <f>"03094658000440"</f>
        <v/>
      </c>
      <c r="E7906" s="30" t="inlineStr">
        <is>
          <t>GEFCO LOGISTICA DO BRASIL LTDA</t>
        </is>
      </c>
      <c r="F7906" s="30" t="inlineStr">
        <is>
          <t>2022</t>
        </is>
      </c>
      <c r="G7906" s="40" t="n">
        <v>10832.87</v>
      </c>
    </row>
    <row r="7907" ht="12" customHeight="1">
      <c r="A7907" s="30" t="inlineStr">
        <is>
          <t>ITG</t>
        </is>
      </c>
      <c r="B7907" s="30" t="inlineStr">
        <is>
          <t>Itaguai</t>
        </is>
      </c>
      <c r="C7907" s="30" t="n">
        <v>85874314</v>
      </c>
      <c r="D7907" s="30">
        <f>"03094658000440"</f>
        <v/>
      </c>
      <c r="E7907" s="30" t="inlineStr">
        <is>
          <t>GEFCO LOGISTICA DO BRASIL LTDA</t>
        </is>
      </c>
      <c r="F7907" s="30" t="inlineStr">
        <is>
          <t>2023</t>
        </is>
      </c>
      <c r="G7907" s="40" t="n">
        <v>12331.08</v>
      </c>
    </row>
    <row r="7908" ht="12" customHeight="1">
      <c r="A7908" s="30" t="inlineStr">
        <is>
          <t>ITG</t>
        </is>
      </c>
      <c r="B7908" s="30" t="inlineStr">
        <is>
          <t>Itaguai</t>
        </is>
      </c>
      <c r="C7908" s="30" t="n">
        <v>85874500</v>
      </c>
      <c r="D7908" s="30">
        <f>"60395589000287"</f>
        <v/>
      </c>
      <c r="E7908" s="30" t="inlineStr">
        <is>
          <t>BRAZUL TRANSPORTE DE VEICULOS LTDA</t>
        </is>
      </c>
      <c r="F7908" s="30" t="inlineStr">
        <is>
          <t>2021</t>
        </is>
      </c>
      <c r="G7908" s="40" t="n">
        <v>0</v>
      </c>
    </row>
    <row r="7909" ht="12" customHeight="1">
      <c r="A7909" s="30" t="inlineStr">
        <is>
          <t>ITG</t>
        </is>
      </c>
      <c r="B7909" s="30" t="inlineStr">
        <is>
          <t>Itaguai</t>
        </is>
      </c>
      <c r="C7909" s="30" t="n">
        <v>85874500</v>
      </c>
      <c r="D7909" s="30">
        <f>"60395589000287"</f>
        <v/>
      </c>
      <c r="E7909" s="30" t="inlineStr">
        <is>
          <t>BRAZUL TRANSPORTE DE VEICULOS LTDA</t>
        </is>
      </c>
      <c r="F7909" s="30" t="inlineStr">
        <is>
          <t>2022</t>
        </is>
      </c>
      <c r="G7909" s="40" t="n">
        <v>0</v>
      </c>
    </row>
    <row r="7910" ht="12" customHeight="1">
      <c r="A7910" s="30" t="inlineStr">
        <is>
          <t>ITG</t>
        </is>
      </c>
      <c r="B7910" s="30" t="inlineStr">
        <is>
          <t>Itaguai</t>
        </is>
      </c>
      <c r="C7910" s="30" t="n">
        <v>85874500</v>
      </c>
      <c r="D7910" s="30">
        <f>"60395589000287"</f>
        <v/>
      </c>
      <c r="E7910" s="30" t="inlineStr">
        <is>
          <t>BRAZUL TRANSPORTE DE VEICULOS LTDA</t>
        </is>
      </c>
      <c r="F7910" s="30" t="inlineStr">
        <is>
          <t>2023</t>
        </is>
      </c>
      <c r="G7910" s="40" t="n">
        <v>11192.69</v>
      </c>
    </row>
    <row r="7911" ht="12" customHeight="1">
      <c r="A7911" s="30" t="inlineStr">
        <is>
          <t>ITG</t>
        </is>
      </c>
      <c r="B7911" s="30" t="inlineStr">
        <is>
          <t>Itaguai</t>
        </is>
      </c>
      <c r="C7911" s="30" t="n">
        <v>85994964</v>
      </c>
      <c r="D7911" s="30">
        <f>"01417222000509"</f>
        <v/>
      </c>
      <c r="E7911" s="30" t="inlineStr">
        <is>
          <t>MRS LOGISTICA S/A</t>
        </is>
      </c>
      <c r="F7911" s="30" t="inlineStr">
        <is>
          <t>2017</t>
        </is>
      </c>
      <c r="G7911" s="40" t="n">
        <v>108232029.67</v>
      </c>
    </row>
    <row r="7912" ht="12" customHeight="1">
      <c r="A7912" s="30" t="inlineStr">
        <is>
          <t>ITG</t>
        </is>
      </c>
      <c r="B7912" s="30" t="inlineStr">
        <is>
          <t>Itaguai</t>
        </is>
      </c>
      <c r="C7912" s="30" t="n">
        <v>85994964</v>
      </c>
      <c r="D7912" s="30">
        <f>"01417222000509"</f>
        <v/>
      </c>
      <c r="E7912" s="30" t="inlineStr">
        <is>
          <t>MRS LOGISTICA S/A</t>
        </is>
      </c>
      <c r="F7912" s="30" t="inlineStr">
        <is>
          <t>2018</t>
        </is>
      </c>
      <c r="G7912" s="40" t="n">
        <v>118834690.29</v>
      </c>
    </row>
    <row r="7913" ht="12" customHeight="1">
      <c r="A7913" s="30" t="inlineStr">
        <is>
          <t>ITG</t>
        </is>
      </c>
      <c r="B7913" s="30" t="inlineStr">
        <is>
          <t>Itaguai</t>
        </is>
      </c>
      <c r="C7913" s="30" t="n">
        <v>85994964</v>
      </c>
      <c r="D7913" s="30">
        <f>"01417222000509"</f>
        <v/>
      </c>
      <c r="E7913" s="30" t="inlineStr">
        <is>
          <t>MRS LOGISTICA S/A</t>
        </is>
      </c>
      <c r="F7913" s="30" t="inlineStr">
        <is>
          <t>2019</t>
        </is>
      </c>
      <c r="G7913" s="40" t="n">
        <v>117517202.88</v>
      </c>
    </row>
    <row r="7914" ht="12" customHeight="1">
      <c r="A7914" s="30" t="inlineStr">
        <is>
          <t>ITG</t>
        </is>
      </c>
      <c r="B7914" s="30" t="inlineStr">
        <is>
          <t>Itaguai</t>
        </is>
      </c>
      <c r="C7914" s="30" t="n">
        <v>85994964</v>
      </c>
      <c r="D7914" s="30">
        <f>"01417222000509"</f>
        <v/>
      </c>
      <c r="E7914" s="30" t="inlineStr">
        <is>
          <t>MRS LOGISTICA S/A</t>
        </is>
      </c>
      <c r="F7914" s="30" t="inlineStr">
        <is>
          <t>2020</t>
        </is>
      </c>
      <c r="G7914" s="40" t="n">
        <v>154969650.23</v>
      </c>
    </row>
    <row r="7915" ht="12" customHeight="1">
      <c r="A7915" s="30" t="inlineStr">
        <is>
          <t>ITG</t>
        </is>
      </c>
      <c r="B7915" s="30" t="inlineStr">
        <is>
          <t>Itaguai</t>
        </is>
      </c>
      <c r="C7915" s="30" t="n">
        <v>85994964</v>
      </c>
      <c r="D7915" s="30">
        <f>"01417222000509"</f>
        <v/>
      </c>
      <c r="E7915" s="30" t="inlineStr">
        <is>
          <t>MRS LOGISTICA S/A</t>
        </is>
      </c>
      <c r="F7915" s="30" t="inlineStr">
        <is>
          <t>2021</t>
        </is>
      </c>
      <c r="G7915" s="40" t="n">
        <v>172034211.57</v>
      </c>
    </row>
    <row r="7916" ht="12" customHeight="1">
      <c r="A7916" s="30" t="inlineStr">
        <is>
          <t>ITG</t>
        </is>
      </c>
      <c r="B7916" s="30" t="inlineStr">
        <is>
          <t>Itaguai</t>
        </is>
      </c>
      <c r="C7916" s="30" t="n">
        <v>85994964</v>
      </c>
      <c r="D7916" s="30">
        <f>"01417222000509"</f>
        <v/>
      </c>
      <c r="E7916" s="30" t="inlineStr">
        <is>
          <t>MRS LOGISTICA S/A</t>
        </is>
      </c>
      <c r="F7916" s="30" t="inlineStr">
        <is>
          <t>2022</t>
        </is>
      </c>
      <c r="G7916" s="40" t="n">
        <v>189182373.3</v>
      </c>
    </row>
    <row r="7917" ht="12" customHeight="1">
      <c r="A7917" s="30" t="inlineStr">
        <is>
          <t>ITG</t>
        </is>
      </c>
      <c r="B7917" s="30" t="inlineStr">
        <is>
          <t>Itaguai</t>
        </is>
      </c>
      <c r="C7917" s="30" t="n">
        <v>85994964</v>
      </c>
      <c r="D7917" s="30">
        <f>"01417222000509"</f>
        <v/>
      </c>
      <c r="E7917" s="30" t="inlineStr">
        <is>
          <t>MRS LOGISTICA S/A</t>
        </is>
      </c>
      <c r="F7917" s="30" t="inlineStr">
        <is>
          <t>2023</t>
        </is>
      </c>
      <c r="G7917" s="40" t="n">
        <v>194306423.54</v>
      </c>
    </row>
    <row r="7918" ht="12" customHeight="1">
      <c r="A7918" s="30" t="inlineStr">
        <is>
          <t>ITG</t>
        </is>
      </c>
      <c r="B7918" s="30" t="inlineStr">
        <is>
          <t>Itaguai</t>
        </is>
      </c>
      <c r="C7918" s="30" t="n">
        <v>85995146</v>
      </c>
      <c r="D7918" s="30">
        <f>"56764822001094"</f>
        <v/>
      </c>
      <c r="E7918" s="30" t="inlineStr">
        <is>
          <t>T H V TRANSPORTES LTDA</t>
        </is>
      </c>
      <c r="F7918" s="30" t="inlineStr">
        <is>
          <t>2017</t>
        </is>
      </c>
      <c r="G7918" s="40" t="n">
        <v>0</v>
      </c>
    </row>
    <row r="7919" ht="12" customHeight="1">
      <c r="A7919" s="30" t="inlineStr">
        <is>
          <t>ITG</t>
        </is>
      </c>
      <c r="B7919" s="30" t="inlineStr">
        <is>
          <t>Itaguai</t>
        </is>
      </c>
      <c r="C7919" s="30" t="n">
        <v>85995146</v>
      </c>
      <c r="D7919" s="30">
        <f>"56764822001094"</f>
        <v/>
      </c>
      <c r="E7919" s="30" t="inlineStr">
        <is>
          <t>T H V TRANSPORTES LTDA</t>
        </is>
      </c>
      <c r="F7919" s="30" t="inlineStr">
        <is>
          <t>2018</t>
        </is>
      </c>
      <c r="G7919" s="40" t="n">
        <v>0</v>
      </c>
    </row>
    <row r="7920" ht="12" customHeight="1">
      <c r="A7920" s="30" t="inlineStr">
        <is>
          <t>ITG</t>
        </is>
      </c>
      <c r="B7920" s="30" t="inlineStr">
        <is>
          <t>Itaguai</t>
        </is>
      </c>
      <c r="C7920" s="30" t="n">
        <v>85995146</v>
      </c>
      <c r="D7920" s="30">
        <f>"56764822001094"</f>
        <v/>
      </c>
      <c r="E7920" s="30" t="inlineStr">
        <is>
          <t>T H V TRANSPORTES LTDA</t>
        </is>
      </c>
      <c r="F7920" s="30" t="inlineStr">
        <is>
          <t>2019</t>
        </is>
      </c>
      <c r="G7920" s="40" t="n">
        <v>0</v>
      </c>
    </row>
    <row r="7921" ht="12" customHeight="1">
      <c r="A7921" s="30" t="inlineStr">
        <is>
          <t>ITG</t>
        </is>
      </c>
      <c r="B7921" s="30" t="inlineStr">
        <is>
          <t>Itaguai</t>
        </is>
      </c>
      <c r="C7921" s="30" t="n">
        <v>85995146</v>
      </c>
      <c r="D7921" s="30">
        <f>"56764822001094"</f>
        <v/>
      </c>
      <c r="E7921" s="30" t="inlineStr">
        <is>
          <t>T H V TRANSPORTES LTDA</t>
        </is>
      </c>
      <c r="F7921" s="30" t="inlineStr">
        <is>
          <t>2020</t>
        </is>
      </c>
      <c r="G7921" s="40" t="n">
        <v>0</v>
      </c>
    </row>
    <row r="7922" ht="12" customHeight="1">
      <c r="A7922" s="30" t="inlineStr">
        <is>
          <t>ITG</t>
        </is>
      </c>
      <c r="B7922" s="30" t="inlineStr">
        <is>
          <t>Itaguai</t>
        </is>
      </c>
      <c r="C7922" s="30" t="n">
        <v>85995146</v>
      </c>
      <c r="D7922" s="30">
        <f>"56764822001094"</f>
        <v/>
      </c>
      <c r="E7922" s="30" t="inlineStr">
        <is>
          <t>T H V TRANSPORTES LTDA</t>
        </is>
      </c>
      <c r="F7922" s="30" t="inlineStr">
        <is>
          <t>2021</t>
        </is>
      </c>
      <c r="G7922" s="40" t="n">
        <v>0</v>
      </c>
    </row>
    <row r="7923" ht="12" customHeight="1">
      <c r="A7923" s="30" t="inlineStr">
        <is>
          <t>ITG</t>
        </is>
      </c>
      <c r="B7923" s="30" t="inlineStr">
        <is>
          <t>Itaguai</t>
        </is>
      </c>
      <c r="C7923" s="30" t="n">
        <v>85995146</v>
      </c>
      <c r="D7923" s="30">
        <f>"56764822001094"</f>
        <v/>
      </c>
      <c r="E7923" s="30" t="inlineStr">
        <is>
          <t>T H V TRANSPORTES LTDA</t>
        </is>
      </c>
      <c r="F7923" s="30" t="inlineStr">
        <is>
          <t>2022</t>
        </is>
      </c>
      <c r="G7923" s="40" t="n">
        <v>0</v>
      </c>
    </row>
    <row r="7924" ht="12" customHeight="1">
      <c r="A7924" s="30" t="inlineStr">
        <is>
          <t>ITG</t>
        </is>
      </c>
      <c r="B7924" s="30" t="inlineStr">
        <is>
          <t>Itaguai</t>
        </is>
      </c>
      <c r="C7924" s="30" t="n">
        <v>85995146</v>
      </c>
      <c r="D7924" s="30">
        <f>"56764822001094"</f>
        <v/>
      </c>
      <c r="E7924" s="30" t="inlineStr">
        <is>
          <t>T H V TRANSPORTES LTDA</t>
        </is>
      </c>
      <c r="F7924" s="30" t="inlineStr">
        <is>
          <t>2023</t>
        </is>
      </c>
      <c r="G7924" s="40" t="n">
        <v>0</v>
      </c>
    </row>
    <row r="7925" ht="12" customHeight="1">
      <c r="A7925" s="30" t="inlineStr">
        <is>
          <t>ITG</t>
        </is>
      </c>
      <c r="B7925" s="30" t="inlineStr">
        <is>
          <t>Itaguai</t>
        </is>
      </c>
      <c r="C7925" s="30" t="n">
        <v>85995634</v>
      </c>
      <c r="D7925" s="30">
        <f>"01486029000198"</f>
        <v/>
      </c>
      <c r="E7925" s="30" t="inlineStr">
        <is>
          <t>AVB 2004 TRANSPORTES LTDA</t>
        </is>
      </c>
      <c r="F7925" s="30" t="inlineStr">
        <is>
          <t>2017</t>
        </is>
      </c>
      <c r="G7925" s="40" t="n">
        <v>13413.26</v>
      </c>
    </row>
    <row r="7926" ht="12" customHeight="1">
      <c r="A7926" s="30" t="inlineStr">
        <is>
          <t>ITG</t>
        </is>
      </c>
      <c r="B7926" s="30" t="inlineStr">
        <is>
          <t>Itaguai</t>
        </is>
      </c>
      <c r="C7926" s="30" t="n">
        <v>85995634</v>
      </c>
      <c r="D7926" s="30">
        <f>"01486029000198"</f>
        <v/>
      </c>
      <c r="E7926" s="30" t="inlineStr">
        <is>
          <t>AVB 2004 TRANSPORTES LTDA</t>
        </is>
      </c>
      <c r="F7926" s="30" t="inlineStr">
        <is>
          <t>2018</t>
        </is>
      </c>
      <c r="G7926" s="40" t="n">
        <v>4097.3</v>
      </c>
    </row>
    <row r="7927" ht="12" customHeight="1">
      <c r="A7927" s="30" t="inlineStr">
        <is>
          <t>ITG</t>
        </is>
      </c>
      <c r="B7927" s="30" t="inlineStr">
        <is>
          <t>Itaguai</t>
        </is>
      </c>
      <c r="C7927" s="30" t="n">
        <v>85995634</v>
      </c>
      <c r="D7927" s="30">
        <f>"01486029000198"</f>
        <v/>
      </c>
      <c r="E7927" s="30" t="inlineStr">
        <is>
          <t>AVB 2004 TRANSPORTES LTDA</t>
        </is>
      </c>
      <c r="F7927" s="30" t="inlineStr">
        <is>
          <t>2019</t>
        </is>
      </c>
      <c r="G7927" s="40" t="n">
        <v>0</v>
      </c>
    </row>
    <row r="7928" ht="12" customHeight="1">
      <c r="A7928" s="30" t="inlineStr">
        <is>
          <t>ITG</t>
        </is>
      </c>
      <c r="B7928" s="30" t="inlineStr">
        <is>
          <t>Itaguai</t>
        </is>
      </c>
      <c r="C7928" s="30" t="n">
        <v>85995634</v>
      </c>
      <c r="D7928" s="30">
        <f>"01486029000198"</f>
        <v/>
      </c>
      <c r="E7928" s="30" t="inlineStr">
        <is>
          <t>AVB 2004 TRANSPORTES LTDA</t>
        </is>
      </c>
      <c r="F7928" s="30" t="inlineStr">
        <is>
          <t>2020</t>
        </is>
      </c>
      <c r="G7928" s="40" t="n">
        <v>0</v>
      </c>
    </row>
    <row r="7929" ht="12" customHeight="1">
      <c r="A7929" s="30" t="inlineStr">
        <is>
          <t>ITG</t>
        </is>
      </c>
      <c r="B7929" s="30" t="inlineStr">
        <is>
          <t>Itaguai</t>
        </is>
      </c>
      <c r="C7929" s="30" t="n">
        <v>86035057</v>
      </c>
      <c r="D7929" s="30">
        <f>"01716129000163"</f>
        <v/>
      </c>
      <c r="E7929" s="30" t="inlineStr">
        <is>
          <t>TRES M COMERCIO &amp; SERVICOS LTDA</t>
        </is>
      </c>
      <c r="F7929" s="30" t="inlineStr">
        <is>
          <t>2021</t>
        </is>
      </c>
      <c r="G7929" s="40" t="n">
        <v>0</v>
      </c>
    </row>
    <row r="7930" ht="12" customHeight="1">
      <c r="A7930" s="30" t="inlineStr">
        <is>
          <t>ITG</t>
        </is>
      </c>
      <c r="B7930" s="30" t="inlineStr">
        <is>
          <t>Itaguai</t>
        </is>
      </c>
      <c r="C7930" s="30" t="n">
        <v>86035057</v>
      </c>
      <c r="D7930" s="30">
        <f>"01716129000163"</f>
        <v/>
      </c>
      <c r="E7930" s="30" t="inlineStr">
        <is>
          <t>TRES M COMERCIO &amp; SERVICOS LTDA</t>
        </is>
      </c>
      <c r="F7930" s="30" t="inlineStr">
        <is>
          <t>2022</t>
        </is>
      </c>
      <c r="G7930" s="40" t="n">
        <v>0</v>
      </c>
    </row>
    <row r="7931" ht="12" customHeight="1">
      <c r="A7931" s="30" t="inlineStr">
        <is>
          <t>ITG</t>
        </is>
      </c>
      <c r="B7931" s="30" t="inlineStr">
        <is>
          <t>Itaguai</t>
        </is>
      </c>
      <c r="C7931" s="30" t="n">
        <v>86035057</v>
      </c>
      <c r="D7931" s="30">
        <f>"01716129000163"</f>
        <v/>
      </c>
      <c r="E7931" s="30" t="inlineStr">
        <is>
          <t>TRES M COMERCIO &amp; SERVICOS LTDA</t>
        </is>
      </c>
      <c r="F7931" s="30" t="inlineStr">
        <is>
          <t>2023</t>
        </is>
      </c>
      <c r="G7931" s="40" t="n">
        <v>0</v>
      </c>
    </row>
    <row r="7932" ht="12" customHeight="1">
      <c r="A7932" s="30" t="inlineStr">
        <is>
          <t>ITG</t>
        </is>
      </c>
      <c r="B7932" s="30" t="inlineStr">
        <is>
          <t>Itaguai</t>
        </is>
      </c>
      <c r="C7932" s="30" t="n">
        <v>86038870</v>
      </c>
      <c r="D7932" s="30">
        <f>"01562471000156"</f>
        <v/>
      </c>
      <c r="E7932" s="30" t="inlineStr">
        <is>
          <t>LUCAS E JUNIOR TRANSPORTADORA LTDA</t>
        </is>
      </c>
      <c r="F7932" s="30" t="inlineStr">
        <is>
          <t>2019</t>
        </is>
      </c>
      <c r="G7932" s="40" t="n">
        <v>0</v>
      </c>
    </row>
    <row r="7933" ht="12" customHeight="1">
      <c r="A7933" s="30" t="inlineStr">
        <is>
          <t>ITG</t>
        </is>
      </c>
      <c r="B7933" s="30" t="inlineStr">
        <is>
          <t>Itaguai</t>
        </is>
      </c>
      <c r="C7933" s="30" t="n">
        <v>86038870</v>
      </c>
      <c r="D7933" s="30">
        <f>"01562471000156"</f>
        <v/>
      </c>
      <c r="E7933" s="30" t="inlineStr">
        <is>
          <t>LUCAS E JUNIOR TRANSPORTADORA LTDA</t>
        </is>
      </c>
      <c r="F7933" s="30" t="inlineStr">
        <is>
          <t>2020</t>
        </is>
      </c>
      <c r="G7933" s="40" t="n">
        <v>0</v>
      </c>
    </row>
    <row r="7934" ht="12" customHeight="1">
      <c r="A7934" s="30" t="inlineStr">
        <is>
          <t>ITG</t>
        </is>
      </c>
      <c r="B7934" s="30" t="inlineStr">
        <is>
          <t>Itaguai</t>
        </is>
      </c>
      <c r="C7934" s="30" t="n">
        <v>86038870</v>
      </c>
      <c r="D7934" s="30">
        <f>"01562471000156"</f>
        <v/>
      </c>
      <c r="E7934" s="30" t="inlineStr">
        <is>
          <t>LUCAS E JUNIOR TRANSPORTADORA LTDA</t>
        </is>
      </c>
      <c r="F7934" s="30" t="inlineStr">
        <is>
          <t>2021</t>
        </is>
      </c>
      <c r="G7934" s="40" t="n">
        <v>4584.04</v>
      </c>
    </row>
    <row r="7935" ht="12" customHeight="1">
      <c r="A7935" s="30" t="inlineStr">
        <is>
          <t>ITG</t>
        </is>
      </c>
      <c r="B7935" s="30" t="inlineStr">
        <is>
          <t>Itaguai</t>
        </is>
      </c>
      <c r="C7935" s="30" t="n">
        <v>86038870</v>
      </c>
      <c r="D7935" s="30">
        <f>"01562471000156"</f>
        <v/>
      </c>
      <c r="E7935" s="30" t="inlineStr">
        <is>
          <t>LUCAS E JUNIOR TRANSPORTADORA LTDA</t>
        </is>
      </c>
      <c r="F7935" s="30" t="inlineStr">
        <is>
          <t>2022</t>
        </is>
      </c>
      <c r="G7935" s="40" t="n">
        <v>0</v>
      </c>
    </row>
    <row r="7936" ht="12" customHeight="1">
      <c r="A7936" s="30" t="inlineStr">
        <is>
          <t>ITG</t>
        </is>
      </c>
      <c r="B7936" s="30" t="inlineStr">
        <is>
          <t>Itaguai</t>
        </is>
      </c>
      <c r="C7936" s="30" t="n">
        <v>86038870</v>
      </c>
      <c r="D7936" s="30">
        <f>"01562471000156"</f>
        <v/>
      </c>
      <c r="E7936" s="30" t="inlineStr">
        <is>
          <t>LUCAS E JUNIOR TRANSPORTADORA LTDA</t>
        </is>
      </c>
      <c r="F7936" s="30" t="inlineStr">
        <is>
          <t>2023</t>
        </is>
      </c>
      <c r="G7936" s="40" t="n">
        <v>0</v>
      </c>
    </row>
    <row r="7937" ht="12" customHeight="1">
      <c r="A7937" s="30" t="inlineStr">
        <is>
          <t>ITG</t>
        </is>
      </c>
      <c r="B7937" s="30" t="inlineStr">
        <is>
          <t>Itaguai</t>
        </is>
      </c>
      <c r="C7937" s="30" t="n">
        <v>86039397</v>
      </c>
      <c r="D7937" s="30">
        <f>"57012098000467"</f>
        <v/>
      </c>
      <c r="E7937" s="30" t="inlineStr">
        <is>
          <t>TRANSLUTE TRANSPORTES RODOVIARIO LTDA</t>
        </is>
      </c>
      <c r="F7937" s="30" t="inlineStr">
        <is>
          <t>2017</t>
        </is>
      </c>
      <c r="G7937" s="40" t="n">
        <v>0</v>
      </c>
    </row>
    <row r="7938" ht="12" customHeight="1">
      <c r="A7938" s="30" t="inlineStr">
        <is>
          <t>ITG</t>
        </is>
      </c>
      <c r="B7938" s="30" t="inlineStr">
        <is>
          <t>Itaguai</t>
        </is>
      </c>
      <c r="C7938" s="30" t="n">
        <v>86039397</v>
      </c>
      <c r="D7938" s="30">
        <f>"57012098000467"</f>
        <v/>
      </c>
      <c r="E7938" s="30" t="inlineStr">
        <is>
          <t>TRANSLUTE TRANSPORTES RODOVIARIO LTDA</t>
        </is>
      </c>
      <c r="F7938" s="30" t="inlineStr">
        <is>
          <t>2018</t>
        </is>
      </c>
      <c r="G7938" s="40" t="n">
        <v>2.69</v>
      </c>
    </row>
    <row r="7939" ht="12" customHeight="1">
      <c r="A7939" s="30" t="inlineStr">
        <is>
          <t>ITG</t>
        </is>
      </c>
      <c r="B7939" s="30" t="inlineStr">
        <is>
          <t>Itaguai</t>
        </is>
      </c>
      <c r="C7939" s="30" t="n">
        <v>86039397</v>
      </c>
      <c r="D7939" s="30">
        <f>"57012098000467"</f>
        <v/>
      </c>
      <c r="E7939" s="30" t="inlineStr">
        <is>
          <t>TRANSLUTE TRANSPORTES RODOVIARIO LTDA</t>
        </is>
      </c>
      <c r="F7939" s="30" t="inlineStr">
        <is>
          <t>2019</t>
        </is>
      </c>
      <c r="G7939" s="40" t="n">
        <v>0</v>
      </c>
    </row>
    <row r="7940" ht="12" customHeight="1">
      <c r="A7940" s="30" t="inlineStr">
        <is>
          <t>ITG</t>
        </is>
      </c>
      <c r="B7940" s="30" t="inlineStr">
        <is>
          <t>Itaguai</t>
        </is>
      </c>
      <c r="C7940" s="30" t="n">
        <v>86039397</v>
      </c>
      <c r="D7940" s="30">
        <f>"57012098000467"</f>
        <v/>
      </c>
      <c r="E7940" s="30" t="inlineStr">
        <is>
          <t>TRANSLUTE TRANSPORTES RODOVIARIO LTDA</t>
        </is>
      </c>
      <c r="F7940" s="30" t="inlineStr">
        <is>
          <t>2020</t>
        </is>
      </c>
      <c r="G7940" s="40" t="n">
        <v>0</v>
      </c>
    </row>
    <row r="7941" ht="12" customHeight="1">
      <c r="A7941" s="30" t="inlineStr">
        <is>
          <t>ITG</t>
        </is>
      </c>
      <c r="B7941" s="30" t="inlineStr">
        <is>
          <t>Itaguai</t>
        </is>
      </c>
      <c r="C7941" s="30" t="n">
        <v>86039397</v>
      </c>
      <c r="D7941" s="30">
        <f>"57012098000467"</f>
        <v/>
      </c>
      <c r="E7941" s="30" t="inlineStr">
        <is>
          <t>TRANSLUTE TRANSPORTES RODOVIARIO LTDA</t>
        </is>
      </c>
      <c r="F7941" s="30" t="inlineStr">
        <is>
          <t>2021</t>
        </is>
      </c>
      <c r="G7941" s="40" t="n">
        <v>196.86</v>
      </c>
    </row>
    <row r="7942" ht="12" customHeight="1">
      <c r="A7942" s="30" t="inlineStr">
        <is>
          <t>ITG</t>
        </is>
      </c>
      <c r="B7942" s="30" t="inlineStr">
        <is>
          <t>Itaguai</t>
        </is>
      </c>
      <c r="C7942" s="30" t="n">
        <v>86039397</v>
      </c>
      <c r="D7942" s="30">
        <f>"57012098000467"</f>
        <v/>
      </c>
      <c r="E7942" s="30" t="inlineStr">
        <is>
          <t>TRANSLUTE TRANSPORTES RODOVIARIO LTDA</t>
        </is>
      </c>
      <c r="F7942" s="30" t="inlineStr">
        <is>
          <t>2022</t>
        </is>
      </c>
      <c r="G7942" s="40" t="n">
        <v>0</v>
      </c>
    </row>
    <row r="7943" ht="12" customHeight="1">
      <c r="A7943" s="30" t="inlineStr">
        <is>
          <t>ITG</t>
        </is>
      </c>
      <c r="B7943" s="30" t="inlineStr">
        <is>
          <t>Itaguai</t>
        </is>
      </c>
      <c r="C7943" s="30" t="n">
        <v>86039397</v>
      </c>
      <c r="D7943" s="30">
        <f>"57012098000467"</f>
        <v/>
      </c>
      <c r="E7943" s="30" t="inlineStr">
        <is>
          <t>TRANSLUTE TRANSPORTES RODOVIARIO LTDA</t>
        </is>
      </c>
      <c r="F7943" s="30" t="inlineStr">
        <is>
          <t>2023</t>
        </is>
      </c>
      <c r="G7943" s="40" t="n">
        <v>0</v>
      </c>
    </row>
    <row r="7944" ht="12" customHeight="1">
      <c r="A7944" s="30" t="inlineStr">
        <is>
          <t>ITG</t>
        </is>
      </c>
      <c r="B7944" s="30" t="inlineStr">
        <is>
          <t>Itaguai</t>
        </is>
      </c>
      <c r="C7944" s="30" t="n">
        <v>86039494</v>
      </c>
      <c r="D7944" s="30">
        <f>"01695336000189"</f>
        <v/>
      </c>
      <c r="E7944" s="30" t="inlineStr">
        <is>
          <t>25 DE JULHO TRANSPORTES LTDA EPP</t>
        </is>
      </c>
      <c r="F7944" s="30" t="inlineStr">
        <is>
          <t>2018</t>
        </is>
      </c>
      <c r="G7944" s="40" t="n">
        <v>0</v>
      </c>
    </row>
    <row r="7945" ht="12" customHeight="1">
      <c r="A7945" s="30" t="inlineStr">
        <is>
          <t>ITG</t>
        </is>
      </c>
      <c r="B7945" s="30" t="inlineStr">
        <is>
          <t>Itaguai</t>
        </is>
      </c>
      <c r="C7945" s="30" t="n">
        <v>86039494</v>
      </c>
      <c r="D7945" s="30">
        <f>"01695336000189"</f>
        <v/>
      </c>
      <c r="E7945" s="30" t="inlineStr">
        <is>
          <t>25 DE JULHO TRANSPORTES LTDA EPP</t>
        </is>
      </c>
      <c r="F7945" s="30" t="inlineStr">
        <is>
          <t>2019</t>
        </is>
      </c>
      <c r="G7945" s="40" t="n">
        <v>0</v>
      </c>
    </row>
    <row r="7946" ht="12" customHeight="1">
      <c r="A7946" s="30" t="inlineStr">
        <is>
          <t>ITG</t>
        </is>
      </c>
      <c r="B7946" s="30" t="inlineStr">
        <is>
          <t>Itaguai</t>
        </is>
      </c>
      <c r="C7946" s="30" t="n">
        <v>86039494</v>
      </c>
      <c r="D7946" s="30">
        <f>"01695336000189"</f>
        <v/>
      </c>
      <c r="E7946" s="30" t="inlineStr">
        <is>
          <t>25 DE JULHO TRANSPORTES LTDA EPP</t>
        </is>
      </c>
      <c r="F7946" s="30" t="inlineStr">
        <is>
          <t>2020</t>
        </is>
      </c>
      <c r="G7946" s="40" t="n">
        <v>17930.17</v>
      </c>
    </row>
    <row r="7947" ht="12" customHeight="1">
      <c r="A7947" s="30" t="inlineStr">
        <is>
          <t>ITG</t>
        </is>
      </c>
      <c r="B7947" s="30" t="inlineStr">
        <is>
          <t>Itaguai</t>
        </is>
      </c>
      <c r="C7947" s="30" t="n">
        <v>86039494</v>
      </c>
      <c r="D7947" s="30">
        <f>"01695336000189"</f>
        <v/>
      </c>
      <c r="E7947" s="30" t="inlineStr">
        <is>
          <t>25 DE JULHO TRANSPORTES LTDA EPP</t>
        </is>
      </c>
      <c r="F7947" s="30" t="inlineStr">
        <is>
          <t>2021</t>
        </is>
      </c>
      <c r="G7947" s="40" t="n">
        <v>24832.44</v>
      </c>
    </row>
    <row r="7948" ht="12" customHeight="1">
      <c r="A7948" s="30" t="inlineStr">
        <is>
          <t>ITG</t>
        </is>
      </c>
      <c r="B7948" s="30" t="inlineStr">
        <is>
          <t>Itaguai</t>
        </is>
      </c>
      <c r="C7948" s="30" t="n">
        <v>86039494</v>
      </c>
      <c r="D7948" s="30">
        <f>"01695336000189"</f>
        <v/>
      </c>
      <c r="E7948" s="30" t="inlineStr">
        <is>
          <t>25 DE JULHO TRANSPORTES LTDA EPP</t>
        </is>
      </c>
      <c r="F7948" s="30" t="inlineStr">
        <is>
          <t>2022</t>
        </is>
      </c>
      <c r="G7948" s="40" t="n">
        <v>14292.42</v>
      </c>
    </row>
    <row r="7949" ht="12" customHeight="1">
      <c r="A7949" s="30" t="inlineStr">
        <is>
          <t>ITG</t>
        </is>
      </c>
      <c r="B7949" s="30" t="inlineStr">
        <is>
          <t>Itaguai</t>
        </is>
      </c>
      <c r="C7949" s="30" t="n">
        <v>86039494</v>
      </c>
      <c r="D7949" s="30">
        <f>"01695336000189"</f>
        <v/>
      </c>
      <c r="E7949" s="30" t="inlineStr">
        <is>
          <t>25 DE JULHO TRANSPORTES LTDA EPP</t>
        </is>
      </c>
      <c r="F7949" s="30" t="inlineStr">
        <is>
          <t>2023</t>
        </is>
      </c>
      <c r="G7949" s="40" t="n">
        <v>150280.42</v>
      </c>
    </row>
    <row r="7950" ht="12" customHeight="1">
      <c r="A7950" s="30" t="inlineStr">
        <is>
          <t>ITG</t>
        </is>
      </c>
      <c r="B7950" s="30" t="inlineStr">
        <is>
          <t>Itaguai</t>
        </is>
      </c>
      <c r="C7950" s="30" t="n">
        <v>86040034</v>
      </c>
      <c r="D7950" s="30">
        <f>"68577659000572"</f>
        <v/>
      </c>
      <c r="E7950" s="30" t="inlineStr">
        <is>
          <t>RODOREI TRANSPORTES LTDA</t>
        </is>
      </c>
      <c r="F7950" s="30" t="inlineStr">
        <is>
          <t>2017</t>
        </is>
      </c>
      <c r="G7950" s="40" t="n">
        <v>51390.23</v>
      </c>
    </row>
    <row r="7951" ht="12" customHeight="1">
      <c r="A7951" s="30" t="inlineStr">
        <is>
          <t>ITG</t>
        </is>
      </c>
      <c r="B7951" s="30" t="inlineStr">
        <is>
          <t>Itaguai</t>
        </is>
      </c>
      <c r="C7951" s="30" t="n">
        <v>86040034</v>
      </c>
      <c r="D7951" s="30">
        <f>"68577659000572"</f>
        <v/>
      </c>
      <c r="E7951" s="30" t="inlineStr">
        <is>
          <t>RODOREI TRANSPORTES LTDA</t>
        </is>
      </c>
      <c r="F7951" s="30" t="inlineStr">
        <is>
          <t>2018</t>
        </is>
      </c>
      <c r="G7951" s="40" t="n">
        <v>0</v>
      </c>
    </row>
    <row r="7952" ht="12" customHeight="1">
      <c r="A7952" s="30" t="inlineStr">
        <is>
          <t>ITG</t>
        </is>
      </c>
      <c r="B7952" s="30" t="inlineStr">
        <is>
          <t>Itaguai</t>
        </is>
      </c>
      <c r="C7952" s="30" t="n">
        <v>86040034</v>
      </c>
      <c r="D7952" s="30">
        <f>"68577659000572"</f>
        <v/>
      </c>
      <c r="E7952" s="30" t="inlineStr">
        <is>
          <t>RODOREI TRANSPORTES LTDA</t>
        </is>
      </c>
      <c r="F7952" s="30" t="inlineStr">
        <is>
          <t>2019</t>
        </is>
      </c>
      <c r="G7952" s="40" t="n">
        <v>1192114.58</v>
      </c>
    </row>
    <row r="7953" ht="12" customHeight="1">
      <c r="A7953" s="30" t="inlineStr">
        <is>
          <t>ITG</t>
        </is>
      </c>
      <c r="B7953" s="30" t="inlineStr">
        <is>
          <t>Itaguai</t>
        </is>
      </c>
      <c r="C7953" s="30" t="n">
        <v>86040034</v>
      </c>
      <c r="D7953" s="30">
        <f>"68577659000572"</f>
        <v/>
      </c>
      <c r="E7953" s="30" t="inlineStr">
        <is>
          <t>RODOREI TRANSPORTES LTDA</t>
        </is>
      </c>
      <c r="F7953" s="30" t="inlineStr">
        <is>
          <t>2020</t>
        </is>
      </c>
      <c r="G7953" s="40" t="n">
        <v>80867.42999999999</v>
      </c>
    </row>
    <row r="7954" ht="12" customHeight="1">
      <c r="A7954" s="30" t="inlineStr">
        <is>
          <t>ITG</t>
        </is>
      </c>
      <c r="B7954" s="30" t="inlineStr">
        <is>
          <t>Itaguai</t>
        </is>
      </c>
      <c r="C7954" s="30" t="n">
        <v>86040034</v>
      </c>
      <c r="D7954" s="30">
        <f>"68577659000572"</f>
        <v/>
      </c>
      <c r="E7954" s="30" t="inlineStr">
        <is>
          <t>RODOREI TRANSPORTES LTDA</t>
        </is>
      </c>
      <c r="F7954" s="30" t="inlineStr">
        <is>
          <t>2021</t>
        </is>
      </c>
      <c r="G7954" s="40" t="n">
        <v>0</v>
      </c>
    </row>
    <row r="7955" ht="12" customHeight="1">
      <c r="A7955" s="30" t="inlineStr">
        <is>
          <t>ITG</t>
        </is>
      </c>
      <c r="B7955" s="30" t="inlineStr">
        <is>
          <t>Itaguai</t>
        </is>
      </c>
      <c r="C7955" s="30" t="n">
        <v>86040034</v>
      </c>
      <c r="D7955" s="30">
        <f>"68577659000572"</f>
        <v/>
      </c>
      <c r="E7955" s="30" t="inlineStr">
        <is>
          <t>RODOREI TRANSPORTES LTDA</t>
        </is>
      </c>
      <c r="F7955" s="30" t="inlineStr">
        <is>
          <t>2022</t>
        </is>
      </c>
      <c r="G7955" s="40" t="n">
        <v>0</v>
      </c>
    </row>
    <row r="7956" ht="12" customHeight="1">
      <c r="A7956" s="30" t="inlineStr">
        <is>
          <t>ITG</t>
        </is>
      </c>
      <c r="B7956" s="30" t="inlineStr">
        <is>
          <t>Itaguai</t>
        </is>
      </c>
      <c r="C7956" s="30" t="n">
        <v>86062895</v>
      </c>
      <c r="D7956" s="30">
        <f>"72843212000222"</f>
        <v/>
      </c>
      <c r="E7956" s="30" t="inlineStr">
        <is>
          <t>CENTURYLINK COMUNICAÇÕES DO BRASIL LTDA</t>
        </is>
      </c>
      <c r="F7956" s="30" t="inlineStr">
        <is>
          <t>2017</t>
        </is>
      </c>
      <c r="G7956" s="40" t="n">
        <v>77375.8</v>
      </c>
    </row>
    <row r="7957" ht="12" customHeight="1">
      <c r="A7957" s="30" t="inlineStr">
        <is>
          <t>ITG</t>
        </is>
      </c>
      <c r="B7957" s="30" t="inlineStr">
        <is>
          <t>Itaguai</t>
        </is>
      </c>
      <c r="C7957" s="30" t="n">
        <v>86062895</v>
      </c>
      <c r="D7957" s="30">
        <f>"72843212000222"</f>
        <v/>
      </c>
      <c r="E7957" s="30" t="inlineStr">
        <is>
          <t>CENTURYLINK COMUNICAÇÕES DO BRASIL LTDA</t>
        </is>
      </c>
      <c r="F7957" s="30" t="inlineStr">
        <is>
          <t>2018</t>
        </is>
      </c>
      <c r="G7957" s="40" t="n">
        <v>4335</v>
      </c>
    </row>
    <row r="7958" ht="12" customHeight="1">
      <c r="A7958" s="30" t="inlineStr">
        <is>
          <t>ITG</t>
        </is>
      </c>
      <c r="B7958" s="30" t="inlineStr">
        <is>
          <t>Itaguai</t>
        </is>
      </c>
      <c r="C7958" s="30" t="n">
        <v>86062895</v>
      </c>
      <c r="D7958" s="30">
        <f>"72843212000222"</f>
        <v/>
      </c>
      <c r="E7958" s="30" t="inlineStr">
        <is>
          <t>CENTURYLINK COMUNICAÇÕES DO BRASIL LTDA</t>
        </is>
      </c>
      <c r="F7958" s="30" t="inlineStr">
        <is>
          <t>2019</t>
        </is>
      </c>
      <c r="G7958" s="40" t="n">
        <v>0</v>
      </c>
    </row>
    <row r="7959" ht="12" customHeight="1">
      <c r="A7959" s="30" t="inlineStr">
        <is>
          <t>ITG</t>
        </is>
      </c>
      <c r="B7959" s="30" t="inlineStr">
        <is>
          <t>Itaguai</t>
        </is>
      </c>
      <c r="C7959" s="30" t="n">
        <v>86062895</v>
      </c>
      <c r="D7959" s="30">
        <f>"72843212000222"</f>
        <v/>
      </c>
      <c r="E7959" s="30" t="inlineStr">
        <is>
          <t>CENTURYLINK COMUNICAÇÕES DO BRASIL LTDA</t>
        </is>
      </c>
      <c r="F7959" s="30" t="inlineStr">
        <is>
          <t>2020</t>
        </is>
      </c>
      <c r="G7959" s="40" t="n">
        <v>42301.88</v>
      </c>
    </row>
    <row r="7960" ht="12" customHeight="1">
      <c r="A7960" s="30" t="inlineStr">
        <is>
          <t>ITG</t>
        </is>
      </c>
      <c r="B7960" s="30" t="inlineStr">
        <is>
          <t>Itaguai</t>
        </is>
      </c>
      <c r="C7960" s="30" t="n">
        <v>86062895</v>
      </c>
      <c r="D7960" s="30">
        <f>"72843212000222"</f>
        <v/>
      </c>
      <c r="E7960" s="30" t="inlineStr">
        <is>
          <t>CENTURYLINK COMUNICAÇÕES DO BRASIL LTDA</t>
        </is>
      </c>
      <c r="F7960" s="30" t="inlineStr">
        <is>
          <t>2021</t>
        </is>
      </c>
      <c r="G7960" s="40" t="n">
        <v>71091.27</v>
      </c>
    </row>
    <row r="7961" ht="12" customHeight="1">
      <c r="A7961" s="30" t="inlineStr">
        <is>
          <t>ITG</t>
        </is>
      </c>
      <c r="B7961" s="30" t="inlineStr">
        <is>
          <t>Itaguai</t>
        </is>
      </c>
      <c r="C7961" s="30" t="n">
        <v>86062895</v>
      </c>
      <c r="D7961" s="30">
        <f>"72843212000222"</f>
        <v/>
      </c>
      <c r="E7961" s="30" t="inlineStr">
        <is>
          <t>CENTURYLINK COMUNICAÇÕES DO BRASIL LTDA</t>
        </is>
      </c>
      <c r="F7961" s="30" t="inlineStr">
        <is>
          <t>2022</t>
        </is>
      </c>
      <c r="G7961" s="40" t="n">
        <v>97505.64</v>
      </c>
    </row>
    <row r="7962" ht="12" customHeight="1">
      <c r="A7962" s="30" t="inlineStr">
        <is>
          <t>ITG</t>
        </is>
      </c>
      <c r="B7962" s="30" t="inlineStr">
        <is>
          <t>Itaguai</t>
        </is>
      </c>
      <c r="C7962" s="30" t="n">
        <v>86062895</v>
      </c>
      <c r="D7962" s="30">
        <f>"72843212000222"</f>
        <v/>
      </c>
      <c r="E7962" s="30" t="inlineStr">
        <is>
          <t>CENTURYLINK COMUNICAÇÕES DO BRASIL LTDA</t>
        </is>
      </c>
      <c r="F7962" s="30" t="inlineStr">
        <is>
          <t>2023</t>
        </is>
      </c>
      <c r="G7962" s="40" t="n">
        <v>230006.13</v>
      </c>
    </row>
    <row r="7963" ht="12" customHeight="1">
      <c r="A7963" s="30" t="inlineStr">
        <is>
          <t>ITG</t>
        </is>
      </c>
      <c r="B7963" s="30" t="inlineStr">
        <is>
          <t>Itaguai</t>
        </is>
      </c>
      <c r="C7963" s="30" t="n">
        <v>86092085</v>
      </c>
      <c r="D7963" s="30">
        <f>"02421421000111"</f>
        <v/>
      </c>
      <c r="E7963" s="30" t="inlineStr">
        <is>
          <t>TIM S.A.</t>
        </is>
      </c>
      <c r="F7963" s="30" t="inlineStr">
        <is>
          <t>2017</t>
        </is>
      </c>
      <c r="G7963" s="40" t="n">
        <v>1004193.12</v>
      </c>
    </row>
    <row r="7964" ht="12" customHeight="1">
      <c r="A7964" s="30" t="inlineStr">
        <is>
          <t>ITG</t>
        </is>
      </c>
      <c r="B7964" s="30" t="inlineStr">
        <is>
          <t>Itaguai</t>
        </is>
      </c>
      <c r="C7964" s="30" t="n">
        <v>86092085</v>
      </c>
      <c r="D7964" s="30">
        <f>"02421421000111"</f>
        <v/>
      </c>
      <c r="E7964" s="30" t="inlineStr">
        <is>
          <t>TIM S.A.</t>
        </is>
      </c>
      <c r="F7964" s="30" t="inlineStr">
        <is>
          <t>2018</t>
        </is>
      </c>
      <c r="G7964" s="40" t="n">
        <v>2034000.67</v>
      </c>
    </row>
    <row r="7965" ht="12" customHeight="1">
      <c r="A7965" s="30" t="inlineStr">
        <is>
          <t>ITG</t>
        </is>
      </c>
      <c r="B7965" s="30" t="inlineStr">
        <is>
          <t>Itaguai</t>
        </is>
      </c>
      <c r="C7965" s="30" t="n">
        <v>86092085</v>
      </c>
      <c r="D7965" s="30">
        <f>"02421421000111"</f>
        <v/>
      </c>
      <c r="E7965" s="30" t="inlineStr">
        <is>
          <t>TIM S.A.</t>
        </is>
      </c>
      <c r="F7965" s="30" t="inlineStr">
        <is>
          <t>2019</t>
        </is>
      </c>
      <c r="G7965" s="40" t="n">
        <v>7275001.41</v>
      </c>
    </row>
    <row r="7966" ht="12" customHeight="1">
      <c r="A7966" s="30" t="inlineStr">
        <is>
          <t>ITG</t>
        </is>
      </c>
      <c r="B7966" s="30" t="inlineStr">
        <is>
          <t>Itaguai</t>
        </is>
      </c>
      <c r="C7966" s="30" t="n">
        <v>86092085</v>
      </c>
      <c r="D7966" s="30">
        <f>"02421421000111"</f>
        <v/>
      </c>
      <c r="E7966" s="30" t="inlineStr">
        <is>
          <t>TIM S.A.</t>
        </is>
      </c>
      <c r="F7966" s="30" t="inlineStr">
        <is>
          <t>2020</t>
        </is>
      </c>
      <c r="G7966" s="40" t="n">
        <v>7080809.52</v>
      </c>
    </row>
    <row r="7967" ht="12" customHeight="1">
      <c r="A7967" s="30" t="inlineStr">
        <is>
          <t>ITG</t>
        </is>
      </c>
      <c r="B7967" s="30" t="inlineStr">
        <is>
          <t>Itaguai</t>
        </is>
      </c>
      <c r="C7967" s="30" t="n">
        <v>86092085</v>
      </c>
      <c r="D7967" s="30">
        <f>"02421421000111"</f>
        <v/>
      </c>
      <c r="E7967" s="30" t="inlineStr">
        <is>
          <t>TIM S.A.</t>
        </is>
      </c>
      <c r="F7967" s="30" t="inlineStr">
        <is>
          <t>2021</t>
        </is>
      </c>
      <c r="G7967" s="40" t="n">
        <v>9321369.9</v>
      </c>
    </row>
    <row r="7968" ht="12" customHeight="1">
      <c r="A7968" s="30" t="inlineStr">
        <is>
          <t>ITG</t>
        </is>
      </c>
      <c r="B7968" s="30" t="inlineStr">
        <is>
          <t>Itaguai</t>
        </is>
      </c>
      <c r="C7968" s="30" t="n">
        <v>86092085</v>
      </c>
      <c r="D7968" s="30">
        <f>"02421421000111"</f>
        <v/>
      </c>
      <c r="E7968" s="30" t="inlineStr">
        <is>
          <t>TIM S.A.</t>
        </is>
      </c>
      <c r="F7968" s="30" t="inlineStr">
        <is>
          <t>2022</t>
        </is>
      </c>
      <c r="G7968" s="40" t="n">
        <v>8582003.720000001</v>
      </c>
    </row>
    <row r="7969" ht="12" customHeight="1">
      <c r="A7969" s="30" t="inlineStr">
        <is>
          <t>ITG</t>
        </is>
      </c>
      <c r="B7969" s="30" t="inlineStr">
        <is>
          <t>Itaguai</t>
        </is>
      </c>
      <c r="C7969" s="30" t="n">
        <v>86092085</v>
      </c>
      <c r="D7969" s="30">
        <f>"02421421000111"</f>
        <v/>
      </c>
      <c r="E7969" s="30" t="inlineStr">
        <is>
          <t>TIM S.A.</t>
        </is>
      </c>
      <c r="F7969" s="30" t="inlineStr">
        <is>
          <t>2023</t>
        </is>
      </c>
      <c r="G7969" s="40" t="n">
        <v>13160615.27</v>
      </c>
    </row>
    <row r="7970" ht="12" customHeight="1">
      <c r="A7970" s="30" t="inlineStr">
        <is>
          <t>ITG</t>
        </is>
      </c>
      <c r="B7970" s="30" t="inlineStr">
        <is>
          <t>Itaguai</t>
        </is>
      </c>
      <c r="C7970" s="30" t="n">
        <v>86115220</v>
      </c>
      <c r="D7970" s="30">
        <f>"02231030000134"</f>
        <v/>
      </c>
      <c r="E7970" s="30" t="inlineStr">
        <is>
          <t>GLOBALSTAR DO BRASIL LTDA</t>
        </is>
      </c>
      <c r="F7970" s="30" t="inlineStr">
        <is>
          <t>2017</t>
        </is>
      </c>
      <c r="G7970" s="40" t="n">
        <v>574</v>
      </c>
    </row>
    <row r="7971" ht="12" customHeight="1">
      <c r="A7971" s="30" t="inlineStr">
        <is>
          <t>ITG</t>
        </is>
      </c>
      <c r="B7971" s="30" t="inlineStr">
        <is>
          <t>Itaguai</t>
        </is>
      </c>
      <c r="C7971" s="30" t="n">
        <v>86115220</v>
      </c>
      <c r="D7971" s="30">
        <f>"02231030000134"</f>
        <v/>
      </c>
      <c r="E7971" s="30" t="inlineStr">
        <is>
          <t>GLOBALSTAR DO BRASIL LTDA</t>
        </is>
      </c>
      <c r="F7971" s="30" t="inlineStr">
        <is>
          <t>2018</t>
        </is>
      </c>
      <c r="G7971" s="40" t="n">
        <v>599</v>
      </c>
    </row>
    <row r="7972" ht="12" customHeight="1">
      <c r="A7972" s="30" t="inlineStr">
        <is>
          <t>ITG</t>
        </is>
      </c>
      <c r="B7972" s="30" t="inlineStr">
        <is>
          <t>Itaguai</t>
        </is>
      </c>
      <c r="C7972" s="30" t="n">
        <v>86115220</v>
      </c>
      <c r="D7972" s="30">
        <f>"02231030000134"</f>
        <v/>
      </c>
      <c r="E7972" s="30" t="inlineStr">
        <is>
          <t>GLOBALSTAR DO BRASIL LTDA</t>
        </is>
      </c>
      <c r="F7972" s="30" t="inlineStr">
        <is>
          <t>2019</t>
        </is>
      </c>
      <c r="G7972" s="40" t="n">
        <v>599</v>
      </c>
    </row>
    <row r="7973" ht="12" customHeight="1">
      <c r="A7973" s="30" t="inlineStr">
        <is>
          <t>ITG</t>
        </is>
      </c>
      <c r="B7973" s="30" t="inlineStr">
        <is>
          <t>Itaguai</t>
        </is>
      </c>
      <c r="C7973" s="30" t="n">
        <v>86115220</v>
      </c>
      <c r="D7973" s="30">
        <f>"02231030000134"</f>
        <v/>
      </c>
      <c r="E7973" s="30" t="inlineStr">
        <is>
          <t>GLOBALSTAR DO BRASIL LTDA</t>
        </is>
      </c>
      <c r="F7973" s="30" t="inlineStr">
        <is>
          <t>2020</t>
        </is>
      </c>
      <c r="G7973" s="40" t="n">
        <v>621.5</v>
      </c>
    </row>
    <row r="7974" ht="12" customHeight="1">
      <c r="A7974" s="30" t="inlineStr">
        <is>
          <t>ITG</t>
        </is>
      </c>
      <c r="B7974" s="30" t="inlineStr">
        <is>
          <t>Itaguai</t>
        </is>
      </c>
      <c r="C7974" s="30" t="n">
        <v>86115220</v>
      </c>
      <c r="D7974" s="30">
        <f>"02231030000134"</f>
        <v/>
      </c>
      <c r="E7974" s="30" t="inlineStr">
        <is>
          <t>GLOBALSTAR DO BRASIL LTDA</t>
        </is>
      </c>
      <c r="F7974" s="30" t="inlineStr">
        <is>
          <t>2021</t>
        </is>
      </c>
      <c r="G7974" s="40" t="n">
        <v>1683.5</v>
      </c>
    </row>
    <row r="7975" ht="12" customHeight="1">
      <c r="A7975" s="30" t="inlineStr">
        <is>
          <t>ITG</t>
        </is>
      </c>
      <c r="B7975" s="30" t="inlineStr">
        <is>
          <t>Itaguai</t>
        </is>
      </c>
      <c r="C7975" s="30" t="n">
        <v>86115220</v>
      </c>
      <c r="D7975" s="30">
        <f>"02231030000134"</f>
        <v/>
      </c>
      <c r="E7975" s="30" t="inlineStr">
        <is>
          <t>GLOBALSTAR DO BRASIL LTDA</t>
        </is>
      </c>
      <c r="F7975" s="30" t="inlineStr">
        <is>
          <t>2022</t>
        </is>
      </c>
      <c r="G7975" s="40" t="n">
        <v>0</v>
      </c>
    </row>
    <row r="7976" ht="12" customHeight="1">
      <c r="A7976" s="30" t="inlineStr">
        <is>
          <t>ITG</t>
        </is>
      </c>
      <c r="B7976" s="30" t="inlineStr">
        <is>
          <t>Itaguai</t>
        </is>
      </c>
      <c r="C7976" s="30" t="n">
        <v>86115220</v>
      </c>
      <c r="D7976" s="30">
        <f>"02231030000134"</f>
        <v/>
      </c>
      <c r="E7976" s="30" t="inlineStr">
        <is>
          <t>GLOBALSTAR DO BRASIL LTDA</t>
        </is>
      </c>
      <c r="F7976" s="30" t="inlineStr">
        <is>
          <t>2023</t>
        </is>
      </c>
      <c r="G7976" s="40" t="n">
        <v>0</v>
      </c>
    </row>
    <row r="7977" ht="12" customHeight="1">
      <c r="A7977" s="30" t="inlineStr">
        <is>
          <t>ITG</t>
        </is>
      </c>
      <c r="B7977" s="30" t="inlineStr">
        <is>
          <t>Itaguai</t>
        </is>
      </c>
      <c r="C7977" s="30" t="n">
        <v>86129817</v>
      </c>
      <c r="D7977" s="30">
        <f>"02012751000153"</f>
        <v/>
      </c>
      <c r="E7977" s="30" t="inlineStr">
        <is>
          <t>PESCARIMARCAR DISTRIBUIDORA DE PESCADOS LTDA</t>
        </is>
      </c>
      <c r="F7977" s="30" t="inlineStr">
        <is>
          <t>2020</t>
        </is>
      </c>
      <c r="G7977" s="40" t="n">
        <v>0</v>
      </c>
    </row>
    <row r="7978" ht="12" customHeight="1">
      <c r="A7978" s="30" t="inlineStr">
        <is>
          <t>ITG</t>
        </is>
      </c>
      <c r="B7978" s="30" t="inlineStr">
        <is>
          <t>Itaguai</t>
        </is>
      </c>
      <c r="C7978" s="30" t="n">
        <v>86129817</v>
      </c>
      <c r="D7978" s="30">
        <f>"02012751000153"</f>
        <v/>
      </c>
      <c r="E7978" s="30" t="inlineStr">
        <is>
          <t>PESCARIMARCAR DISTRIBUIDORA DE PESCADOS LTDA</t>
        </is>
      </c>
      <c r="F7978" s="30" t="inlineStr">
        <is>
          <t>2021</t>
        </is>
      </c>
      <c r="G7978" s="40" t="n">
        <v>0</v>
      </c>
    </row>
    <row r="7979" ht="12" customHeight="1">
      <c r="A7979" s="30" t="inlineStr">
        <is>
          <t>ITG</t>
        </is>
      </c>
      <c r="B7979" s="30" t="inlineStr">
        <is>
          <t>Itaguai</t>
        </is>
      </c>
      <c r="C7979" s="30" t="n">
        <v>86129817</v>
      </c>
      <c r="D7979" s="30">
        <f>"02012751000153"</f>
        <v/>
      </c>
      <c r="E7979" s="30" t="inlineStr">
        <is>
          <t>PESCARIMARCAR DISTRIBUIDORA DE PESCADOS LTDA</t>
        </is>
      </c>
      <c r="F7979" s="30" t="inlineStr">
        <is>
          <t>2022</t>
        </is>
      </c>
      <c r="G7979" s="40" t="n">
        <v>721700</v>
      </c>
    </row>
    <row r="7980" ht="12" customHeight="1">
      <c r="A7980" s="30" t="inlineStr">
        <is>
          <t>ITG</t>
        </is>
      </c>
      <c r="B7980" s="30" t="inlineStr">
        <is>
          <t>Itaguai</t>
        </is>
      </c>
      <c r="C7980" s="30" t="n">
        <v>86129817</v>
      </c>
      <c r="D7980" s="30">
        <f>"02012751000153"</f>
        <v/>
      </c>
      <c r="E7980" s="30" t="inlineStr">
        <is>
          <t>PESCARIMARCAR DISTRIBUIDORA DE PESCADOS LTDA</t>
        </is>
      </c>
      <c r="F7980" s="30" t="inlineStr">
        <is>
          <t>2023</t>
        </is>
      </c>
      <c r="G7980" s="40" t="n">
        <v>0</v>
      </c>
    </row>
    <row r="7981" ht="12" customHeight="1">
      <c r="A7981" s="30" t="inlineStr">
        <is>
          <t>ITG</t>
        </is>
      </c>
      <c r="B7981" s="30" t="inlineStr">
        <is>
          <t>Itaguai</t>
        </is>
      </c>
      <c r="C7981" s="30" t="n">
        <v>86143739</v>
      </c>
      <c r="D7981" s="30">
        <f>"02394276000208"</f>
        <v/>
      </c>
      <c r="E7981" s="30" t="inlineStr">
        <is>
          <t>SEPETIBA TECON S/A</t>
        </is>
      </c>
      <c r="F7981" s="30" t="inlineStr">
        <is>
          <t>2017</t>
        </is>
      </c>
      <c r="G7981" s="40" t="n">
        <v>0</v>
      </c>
    </row>
    <row r="7982" ht="12" customHeight="1">
      <c r="A7982" s="30" t="inlineStr">
        <is>
          <t>ITG</t>
        </is>
      </c>
      <c r="B7982" s="30" t="inlineStr">
        <is>
          <t>Itaguai</t>
        </is>
      </c>
      <c r="C7982" s="30" t="n">
        <v>86143739</v>
      </c>
      <c r="D7982" s="30">
        <f>"02394276000208"</f>
        <v/>
      </c>
      <c r="E7982" s="30" t="inlineStr">
        <is>
          <t>SEPETIBA TECON S/A</t>
        </is>
      </c>
      <c r="F7982" s="30" t="inlineStr">
        <is>
          <t>2018</t>
        </is>
      </c>
      <c r="G7982" s="40" t="n">
        <v>0.1</v>
      </c>
    </row>
    <row r="7983" ht="12" customHeight="1">
      <c r="A7983" s="30" t="inlineStr">
        <is>
          <t>ITG</t>
        </is>
      </c>
      <c r="B7983" s="30" t="inlineStr">
        <is>
          <t>Itaguai</t>
        </is>
      </c>
      <c r="C7983" s="30" t="n">
        <v>86143739</v>
      </c>
      <c r="D7983" s="30">
        <f>"02394276000208"</f>
        <v/>
      </c>
      <c r="E7983" s="30" t="inlineStr">
        <is>
          <t>SEPETIBA TECON S/A</t>
        </is>
      </c>
      <c r="F7983" s="30" t="inlineStr">
        <is>
          <t>2019</t>
        </is>
      </c>
      <c r="G7983" s="40" t="n">
        <v>0</v>
      </c>
    </row>
    <row r="7984" ht="12" customHeight="1">
      <c r="A7984" s="30" t="inlineStr">
        <is>
          <t>ITG</t>
        </is>
      </c>
      <c r="B7984" s="30" t="inlineStr">
        <is>
          <t>Itaguai</t>
        </is>
      </c>
      <c r="C7984" s="30" t="n">
        <v>86143739</v>
      </c>
      <c r="D7984" s="30">
        <f>"02394276000208"</f>
        <v/>
      </c>
      <c r="E7984" s="30" t="inlineStr">
        <is>
          <t>SEPETIBA TECON S/A</t>
        </is>
      </c>
      <c r="F7984" s="30" t="inlineStr">
        <is>
          <t>2020</t>
        </is>
      </c>
      <c r="G7984" s="40" t="n">
        <v>3327174.87</v>
      </c>
    </row>
    <row r="7985" ht="12" customHeight="1">
      <c r="A7985" s="30" t="inlineStr">
        <is>
          <t>ITG</t>
        </is>
      </c>
      <c r="B7985" s="30" t="inlineStr">
        <is>
          <t>Itaguai</t>
        </is>
      </c>
      <c r="C7985" s="30" t="n">
        <v>86143739</v>
      </c>
      <c r="D7985" s="30">
        <f>"02394276000208"</f>
        <v/>
      </c>
      <c r="E7985" s="30" t="inlineStr">
        <is>
          <t>SEPETIBA TECON S/A</t>
        </is>
      </c>
      <c r="F7985" s="30" t="inlineStr">
        <is>
          <t>2021</t>
        </is>
      </c>
      <c r="G7985" s="40" t="n">
        <v>2225620.62</v>
      </c>
    </row>
    <row r="7986" ht="12" customHeight="1">
      <c r="A7986" s="30" t="inlineStr">
        <is>
          <t>ITG</t>
        </is>
      </c>
      <c r="B7986" s="30" t="inlineStr">
        <is>
          <t>Itaguai</t>
        </is>
      </c>
      <c r="C7986" s="30" t="n">
        <v>86143739</v>
      </c>
      <c r="D7986" s="30">
        <f>"02394276000208"</f>
        <v/>
      </c>
      <c r="E7986" s="30" t="inlineStr">
        <is>
          <t>SEPETIBA TECON S/A</t>
        </is>
      </c>
      <c r="F7986" s="30" t="inlineStr">
        <is>
          <t>2022</t>
        </is>
      </c>
      <c r="G7986" s="40" t="n">
        <v>1024717.69</v>
      </c>
    </row>
    <row r="7987" ht="12" customHeight="1">
      <c r="A7987" s="30" t="inlineStr">
        <is>
          <t>ITG</t>
        </is>
      </c>
      <c r="B7987" s="30" t="inlineStr">
        <is>
          <t>Itaguai</t>
        </is>
      </c>
      <c r="C7987" s="30" t="n">
        <v>86143739</v>
      </c>
      <c r="D7987" s="30">
        <f>"02394276000208"</f>
        <v/>
      </c>
      <c r="E7987" s="30" t="inlineStr">
        <is>
          <t>SEPETIBA TECON S/A</t>
        </is>
      </c>
      <c r="F7987" s="30" t="inlineStr">
        <is>
          <t>2023</t>
        </is>
      </c>
      <c r="G7987" s="40" t="n">
        <v>698366.0699999999</v>
      </c>
    </row>
    <row r="7988" ht="12" customHeight="1">
      <c r="A7988" s="30" t="inlineStr">
        <is>
          <t>ITG</t>
        </is>
      </c>
      <c r="B7988" s="30" t="inlineStr">
        <is>
          <t>Itaguai</t>
        </is>
      </c>
      <c r="C7988" s="30" t="n">
        <v>86144018</v>
      </c>
      <c r="D7988" s="30">
        <f>"03180152000101"</f>
        <v/>
      </c>
      <c r="E7988" s="30" t="inlineStr">
        <is>
          <t>EVAM TRANSPORTES SERVICOS E REPRESENTACOES LTDA</t>
        </is>
      </c>
      <c r="F7988" s="30" t="inlineStr">
        <is>
          <t>2017</t>
        </is>
      </c>
      <c r="G7988" s="40" t="n">
        <v>0</v>
      </c>
    </row>
    <row r="7989" ht="12" customHeight="1">
      <c r="A7989" s="30" t="inlineStr">
        <is>
          <t>ITG</t>
        </is>
      </c>
      <c r="B7989" s="30" t="inlineStr">
        <is>
          <t>Itaguai</t>
        </is>
      </c>
      <c r="C7989" s="30" t="n">
        <v>86144018</v>
      </c>
      <c r="D7989" s="30">
        <f>"03180152000101"</f>
        <v/>
      </c>
      <c r="E7989" s="30" t="inlineStr">
        <is>
          <t>EVAM TRANSPORTES SERVICOS E REPRESENTACOES LTDA</t>
        </is>
      </c>
      <c r="F7989" s="30" t="inlineStr">
        <is>
          <t>2018</t>
        </is>
      </c>
      <c r="G7989" s="40" t="n">
        <v>0</v>
      </c>
    </row>
    <row r="7990" ht="12" customHeight="1">
      <c r="A7990" s="30" t="inlineStr">
        <is>
          <t>ITG</t>
        </is>
      </c>
      <c r="B7990" s="30" t="inlineStr">
        <is>
          <t>Itaguai</t>
        </is>
      </c>
      <c r="C7990" s="30" t="n">
        <v>86144018</v>
      </c>
      <c r="D7990" s="30">
        <f>"03180152000101"</f>
        <v/>
      </c>
      <c r="E7990" s="30" t="inlineStr">
        <is>
          <t>EVAM TRANSPORTES SERVICOS E REPRESENTACOES LTDA</t>
        </is>
      </c>
      <c r="F7990" s="30" t="inlineStr">
        <is>
          <t>2019</t>
        </is>
      </c>
      <c r="G7990" s="40" t="n">
        <v>0</v>
      </c>
    </row>
    <row r="7991" ht="12" customHeight="1">
      <c r="A7991" s="30" t="inlineStr">
        <is>
          <t>ITG</t>
        </is>
      </c>
      <c r="B7991" s="30" t="inlineStr">
        <is>
          <t>Itaguai</t>
        </is>
      </c>
      <c r="C7991" s="30" t="n">
        <v>86144018</v>
      </c>
      <c r="D7991" s="30">
        <f>"03180152000101"</f>
        <v/>
      </c>
      <c r="E7991" s="30" t="inlineStr">
        <is>
          <t>EVAM TRANSPORTES SERVICOS E REPRESENTACOES LTDA</t>
        </is>
      </c>
      <c r="F7991" s="30" t="inlineStr">
        <is>
          <t>2020</t>
        </is>
      </c>
      <c r="G7991" s="40" t="n">
        <v>0</v>
      </c>
    </row>
    <row r="7992" ht="12" customHeight="1">
      <c r="A7992" s="30" t="inlineStr">
        <is>
          <t>ITG</t>
        </is>
      </c>
      <c r="B7992" s="30" t="inlineStr">
        <is>
          <t>Itaguai</t>
        </is>
      </c>
      <c r="C7992" s="30" t="n">
        <v>86144018</v>
      </c>
      <c r="D7992" s="30">
        <f>"03180152000101"</f>
        <v/>
      </c>
      <c r="E7992" s="30" t="inlineStr">
        <is>
          <t>EVAM TRANSPORTES SERVICOS E REPRESENTACOES LTDA</t>
        </is>
      </c>
      <c r="F7992" s="30" t="inlineStr">
        <is>
          <t>2021</t>
        </is>
      </c>
      <c r="G7992" s="40" t="n">
        <v>0</v>
      </c>
    </row>
    <row r="7993" ht="12" customHeight="1">
      <c r="A7993" s="30" t="inlineStr">
        <is>
          <t>ITG</t>
        </is>
      </c>
      <c r="B7993" s="30" t="inlineStr">
        <is>
          <t>Itaguai</t>
        </is>
      </c>
      <c r="C7993" s="30" t="n">
        <v>86144018</v>
      </c>
      <c r="D7993" s="30">
        <f>"03180152000101"</f>
        <v/>
      </c>
      <c r="E7993" s="30" t="inlineStr">
        <is>
          <t>EVAM TRANSPORTES SERVICOS E REPRESENTACOES LTDA</t>
        </is>
      </c>
      <c r="F7993" s="30" t="inlineStr">
        <is>
          <t>2022</t>
        </is>
      </c>
      <c r="G7993" s="40" t="n">
        <v>0</v>
      </c>
    </row>
    <row r="7994" ht="12" customHeight="1">
      <c r="A7994" s="30" t="inlineStr">
        <is>
          <t>ITG</t>
        </is>
      </c>
      <c r="B7994" s="30" t="inlineStr">
        <is>
          <t>Itaguai</t>
        </is>
      </c>
      <c r="C7994" s="30" t="n">
        <v>86144859</v>
      </c>
      <c r="D7994" s="30">
        <f>"02444304000254"</f>
        <v/>
      </c>
      <c r="E7994" s="30" t="inlineStr">
        <is>
          <t>OTICA COR DOS OLHOS LTDA</t>
        </is>
      </c>
      <c r="F7994" s="30" t="inlineStr">
        <is>
          <t>2017</t>
        </is>
      </c>
      <c r="G7994" s="40" t="n">
        <v>0</v>
      </c>
    </row>
    <row r="7995" ht="12" customHeight="1">
      <c r="A7995" s="30" t="inlineStr">
        <is>
          <t>ITG</t>
        </is>
      </c>
      <c r="B7995" s="30" t="inlineStr">
        <is>
          <t>Itaguai</t>
        </is>
      </c>
      <c r="C7995" s="30" t="n">
        <v>86144859</v>
      </c>
      <c r="D7995" s="30">
        <f>"02444304000254"</f>
        <v/>
      </c>
      <c r="E7995" s="30" t="inlineStr">
        <is>
          <t>OTICA COR DOS OLHOS LTDA</t>
        </is>
      </c>
      <c r="F7995" s="30" t="inlineStr">
        <is>
          <t>2018</t>
        </is>
      </c>
      <c r="G7995" s="40" t="n">
        <v>182933.91</v>
      </c>
    </row>
    <row r="7996" ht="12" customHeight="1">
      <c r="A7996" s="30" t="inlineStr">
        <is>
          <t>ITG</t>
        </is>
      </c>
      <c r="B7996" s="30" t="inlineStr">
        <is>
          <t>Itaguai</t>
        </is>
      </c>
      <c r="C7996" s="30" t="n">
        <v>86144859</v>
      </c>
      <c r="D7996" s="30">
        <f>"02444304000254"</f>
        <v/>
      </c>
      <c r="E7996" s="30" t="inlineStr">
        <is>
          <t>OTICA COR DOS OLHOS LTDA</t>
        </is>
      </c>
      <c r="F7996" s="30" t="inlineStr">
        <is>
          <t>2019</t>
        </is>
      </c>
      <c r="G7996" s="40" t="n">
        <v>273099.63</v>
      </c>
    </row>
    <row r="7997" ht="12" customHeight="1">
      <c r="A7997" s="30" t="inlineStr">
        <is>
          <t>ITG</t>
        </is>
      </c>
      <c r="B7997" s="30" t="inlineStr">
        <is>
          <t>Itaguai</t>
        </is>
      </c>
      <c r="C7997" s="30" t="n">
        <v>86144859</v>
      </c>
      <c r="D7997" s="30">
        <f>"02444304000254"</f>
        <v/>
      </c>
      <c r="E7997" s="30" t="inlineStr">
        <is>
          <t>OTICA COR DOS OLHOS LTDA</t>
        </is>
      </c>
      <c r="F7997" s="30" t="inlineStr">
        <is>
          <t>2020</t>
        </is>
      </c>
      <c r="G7997" s="40" t="n">
        <v>0</v>
      </c>
    </row>
    <row r="7998" ht="12" customHeight="1">
      <c r="A7998" s="30" t="inlineStr">
        <is>
          <t>ITG</t>
        </is>
      </c>
      <c r="B7998" s="30" t="inlineStr">
        <is>
          <t>Itaguai</t>
        </is>
      </c>
      <c r="C7998" s="30" t="n">
        <v>86144859</v>
      </c>
      <c r="D7998" s="30">
        <f>"02444304000254"</f>
        <v/>
      </c>
      <c r="E7998" s="30" t="inlineStr">
        <is>
          <t>OTICA COR DOS OLHOS LTDA</t>
        </is>
      </c>
      <c r="F7998" s="30" t="inlineStr">
        <is>
          <t>2021</t>
        </is>
      </c>
      <c r="G7998" s="40" t="n">
        <v>0</v>
      </c>
    </row>
    <row r="7999" ht="12" customHeight="1">
      <c r="A7999" s="30" t="inlineStr">
        <is>
          <t>ITG</t>
        </is>
      </c>
      <c r="B7999" s="30" t="inlineStr">
        <is>
          <t>Itaguai</t>
        </is>
      </c>
      <c r="C7999" s="30" t="n">
        <v>86144891</v>
      </c>
      <c r="D7999" s="30">
        <f>"02352264000130"</f>
        <v/>
      </c>
      <c r="E7999" s="30" t="inlineStr">
        <is>
          <t>RAPIDO TRIUNFO TRANSPORTES &amp; TURISMO LTDA</t>
        </is>
      </c>
      <c r="F7999" s="30" t="inlineStr">
        <is>
          <t>2019</t>
        </is>
      </c>
      <c r="G7999" s="40" t="n">
        <v>0</v>
      </c>
    </row>
    <row r="8000" ht="12" customHeight="1">
      <c r="A8000" s="30" t="inlineStr">
        <is>
          <t>ITG</t>
        </is>
      </c>
      <c r="B8000" s="30" t="inlineStr">
        <is>
          <t>Itaguai</t>
        </is>
      </c>
      <c r="C8000" s="30" t="n">
        <v>86144891</v>
      </c>
      <c r="D8000" s="30">
        <f>"02352264000130"</f>
        <v/>
      </c>
      <c r="E8000" s="30" t="inlineStr">
        <is>
          <t>RAPIDO TRIUNFO TRANSPORTES &amp; TURISMO LTDA</t>
        </is>
      </c>
      <c r="F8000" s="30" t="inlineStr">
        <is>
          <t>2020</t>
        </is>
      </c>
      <c r="G8000" s="40" t="n">
        <v>0</v>
      </c>
    </row>
    <row r="8001" ht="12" customHeight="1">
      <c r="A8001" s="30" t="inlineStr">
        <is>
          <t>ITG</t>
        </is>
      </c>
      <c r="B8001" s="30" t="inlineStr">
        <is>
          <t>Itaguai</t>
        </is>
      </c>
      <c r="C8001" s="30" t="n">
        <v>86144891</v>
      </c>
      <c r="D8001" s="30">
        <f>"02352264000130"</f>
        <v/>
      </c>
      <c r="E8001" s="30" t="inlineStr">
        <is>
          <t>RAPIDO TRIUNFO TRANSPORTES &amp; TURISMO LTDA</t>
        </is>
      </c>
      <c r="F8001" s="30" t="inlineStr">
        <is>
          <t>2021</t>
        </is>
      </c>
      <c r="G8001" s="40" t="n">
        <v>0</v>
      </c>
    </row>
    <row r="8002" ht="12" customHeight="1">
      <c r="A8002" s="30" t="inlineStr">
        <is>
          <t>ITG</t>
        </is>
      </c>
      <c r="B8002" s="30" t="inlineStr">
        <is>
          <t>Itaguai</t>
        </is>
      </c>
      <c r="C8002" s="30" t="n">
        <v>86144891</v>
      </c>
      <c r="D8002" s="30">
        <f>"02352264000130"</f>
        <v/>
      </c>
      <c r="E8002" s="30" t="inlineStr">
        <is>
          <t>RAPIDO TRIUNFO TRANSPORTES &amp; TURISMO LTDA</t>
        </is>
      </c>
      <c r="F8002" s="30" t="inlineStr">
        <is>
          <t>2022</t>
        </is>
      </c>
      <c r="G8002" s="40" t="n">
        <v>0</v>
      </c>
    </row>
    <row r="8003" ht="12" customHeight="1">
      <c r="A8003" s="30" t="inlineStr">
        <is>
          <t>ITG</t>
        </is>
      </c>
      <c r="B8003" s="30" t="inlineStr">
        <is>
          <t>Itaguai</t>
        </is>
      </c>
      <c r="C8003" s="30" t="n">
        <v>86144891</v>
      </c>
      <c r="D8003" s="30">
        <f>"02352264000130"</f>
        <v/>
      </c>
      <c r="E8003" s="30" t="inlineStr">
        <is>
          <t>RAPIDO TRIUNFO TRANSPORTES &amp; TURISMO LTDA</t>
        </is>
      </c>
      <c r="F8003" s="30" t="inlineStr">
        <is>
          <t>2023</t>
        </is>
      </c>
      <c r="G8003" s="40" t="n">
        <v>0</v>
      </c>
    </row>
    <row r="8004" ht="12" customHeight="1">
      <c r="A8004" s="30" t="inlineStr">
        <is>
          <t>ITG</t>
        </is>
      </c>
      <c r="B8004" s="30" t="inlineStr">
        <is>
          <t>Itaguai</t>
        </is>
      </c>
      <c r="C8004" s="30" t="n">
        <v>86145057</v>
      </c>
      <c r="D8004" s="30">
        <f>"03526694000193"</f>
        <v/>
      </c>
      <c r="E8004" s="30" t="inlineStr">
        <is>
          <t>ITALIMP BAZAR EIRELI ME</t>
        </is>
      </c>
      <c r="F8004" s="30" t="inlineStr">
        <is>
          <t>2017</t>
        </is>
      </c>
      <c r="G8004" s="40" t="n">
        <v>1473401.36</v>
      </c>
    </row>
    <row r="8005" ht="12" customHeight="1">
      <c r="A8005" s="30" t="inlineStr">
        <is>
          <t>ITG</t>
        </is>
      </c>
      <c r="B8005" s="30" t="inlineStr">
        <is>
          <t>Itaguai</t>
        </is>
      </c>
      <c r="C8005" s="30" t="n">
        <v>86145057</v>
      </c>
      <c r="D8005" s="30">
        <f>"03526694000193"</f>
        <v/>
      </c>
      <c r="E8005" s="30" t="inlineStr">
        <is>
          <t>ITALIMP BAZAR EIRELI ME</t>
        </is>
      </c>
      <c r="F8005" s="30" t="inlineStr">
        <is>
          <t>2018</t>
        </is>
      </c>
      <c r="G8005" s="40" t="n">
        <v>1312037.64</v>
      </c>
    </row>
    <row r="8006" ht="12" customHeight="1">
      <c r="A8006" s="30" t="inlineStr">
        <is>
          <t>ITG</t>
        </is>
      </c>
      <c r="B8006" s="30" t="inlineStr">
        <is>
          <t>Itaguai</t>
        </is>
      </c>
      <c r="C8006" s="30" t="n">
        <v>86145057</v>
      </c>
      <c r="D8006" s="30">
        <f>"03526694000193"</f>
        <v/>
      </c>
      <c r="E8006" s="30" t="inlineStr">
        <is>
          <t>ITALIMP BAZAR EIRELI ME</t>
        </is>
      </c>
      <c r="F8006" s="30" t="inlineStr">
        <is>
          <t>2019</t>
        </is>
      </c>
      <c r="G8006" s="40" t="n">
        <v>1873361.67</v>
      </c>
    </row>
    <row r="8007" ht="12" customHeight="1">
      <c r="A8007" s="30" t="inlineStr">
        <is>
          <t>ITG</t>
        </is>
      </c>
      <c r="B8007" s="30" t="inlineStr">
        <is>
          <t>Itaguai</t>
        </is>
      </c>
      <c r="C8007" s="30" t="n">
        <v>86145057</v>
      </c>
      <c r="D8007" s="30">
        <f>"03526694000193"</f>
        <v/>
      </c>
      <c r="E8007" s="30" t="inlineStr">
        <is>
          <t>ITALIMP BAZAR EIRELI ME</t>
        </is>
      </c>
      <c r="F8007" s="30" t="inlineStr">
        <is>
          <t>2020</t>
        </is>
      </c>
      <c r="G8007" s="40" t="n">
        <v>1184302.86</v>
      </c>
    </row>
    <row r="8008" ht="12" customHeight="1">
      <c r="A8008" s="30" t="inlineStr">
        <is>
          <t>ITG</t>
        </is>
      </c>
      <c r="B8008" s="30" t="inlineStr">
        <is>
          <t>Itaguai</t>
        </is>
      </c>
      <c r="C8008" s="30" t="n">
        <v>86145057</v>
      </c>
      <c r="D8008" s="30">
        <f>"03526694000193"</f>
        <v/>
      </c>
      <c r="E8008" s="30" t="inlineStr">
        <is>
          <t>ITALIMP BAZAR EIRELI ME</t>
        </is>
      </c>
      <c r="F8008" s="30" t="inlineStr">
        <is>
          <t>2021</t>
        </is>
      </c>
      <c r="G8008" s="40" t="n">
        <v>2016526.51</v>
      </c>
    </row>
    <row r="8009" ht="12" customHeight="1">
      <c r="A8009" s="30" t="inlineStr">
        <is>
          <t>ITG</t>
        </is>
      </c>
      <c r="B8009" s="30" t="inlineStr">
        <is>
          <t>Itaguai</t>
        </is>
      </c>
      <c r="C8009" s="30" t="n">
        <v>86145057</v>
      </c>
      <c r="D8009" s="30">
        <f>"03526694000193"</f>
        <v/>
      </c>
      <c r="E8009" s="30" t="inlineStr">
        <is>
          <t>ITALIMP BAZAR EIRELI ME</t>
        </is>
      </c>
      <c r="F8009" s="30" t="inlineStr">
        <is>
          <t>2022</t>
        </is>
      </c>
      <c r="G8009" s="40" t="n">
        <v>1046143.61</v>
      </c>
    </row>
    <row r="8010" ht="12" customHeight="1">
      <c r="A8010" s="30" t="inlineStr">
        <is>
          <t>ITG</t>
        </is>
      </c>
      <c r="B8010" s="30" t="inlineStr">
        <is>
          <t>Itaguai</t>
        </is>
      </c>
      <c r="C8010" s="30" t="n">
        <v>86145057</v>
      </c>
      <c r="D8010" s="30">
        <f>"03526694000193"</f>
        <v/>
      </c>
      <c r="E8010" s="30" t="inlineStr">
        <is>
          <t>ITALIMP BAZAR EIRELI ME</t>
        </is>
      </c>
      <c r="F8010" s="30" t="inlineStr">
        <is>
          <t>2023</t>
        </is>
      </c>
      <c r="G8010" s="40" t="n">
        <v>2181912.83</v>
      </c>
    </row>
    <row r="8011" ht="12" customHeight="1">
      <c r="A8011" s="30" t="inlineStr">
        <is>
          <t>ITG</t>
        </is>
      </c>
      <c r="B8011" s="30" t="inlineStr">
        <is>
          <t>Itaguai</t>
        </is>
      </c>
      <c r="C8011" s="30" t="n">
        <v>86145227</v>
      </c>
      <c r="D8011" s="30">
        <f>"03546620000119"</f>
        <v/>
      </c>
      <c r="E8011" s="30" t="inlineStr">
        <is>
          <t>BRASIL 2000 COMBUSTIVEIS LTDA</t>
        </is>
      </c>
      <c r="F8011" s="30" t="inlineStr">
        <is>
          <t>2017</t>
        </is>
      </c>
      <c r="G8011" s="40" t="n">
        <v>1260489.02</v>
      </c>
    </row>
    <row r="8012" ht="12" customHeight="1">
      <c r="A8012" s="30" t="inlineStr">
        <is>
          <t>ITG</t>
        </is>
      </c>
      <c r="B8012" s="30" t="inlineStr">
        <is>
          <t>Itaguai</t>
        </is>
      </c>
      <c r="C8012" s="30" t="n">
        <v>86145227</v>
      </c>
      <c r="D8012" s="30">
        <f>"03546620000119"</f>
        <v/>
      </c>
      <c r="E8012" s="30" t="inlineStr">
        <is>
          <t>BRASIL 2000 COMBUSTIVEIS LTDA</t>
        </is>
      </c>
      <c r="F8012" s="30" t="inlineStr">
        <is>
          <t>2018</t>
        </is>
      </c>
      <c r="G8012" s="40" t="n">
        <v>2993288.41</v>
      </c>
    </row>
    <row r="8013" ht="12" customHeight="1">
      <c r="A8013" s="30" t="inlineStr">
        <is>
          <t>ITG</t>
        </is>
      </c>
      <c r="B8013" s="30" t="inlineStr">
        <is>
          <t>Itaguai</t>
        </is>
      </c>
      <c r="C8013" s="30" t="n">
        <v>86145227</v>
      </c>
      <c r="D8013" s="30">
        <f>"03546620000119"</f>
        <v/>
      </c>
      <c r="E8013" s="30" t="inlineStr">
        <is>
          <t>BRASIL 2000 COMBUSTIVEIS LTDA</t>
        </is>
      </c>
      <c r="F8013" s="30" t="inlineStr">
        <is>
          <t>2019</t>
        </is>
      </c>
      <c r="G8013" s="40" t="n">
        <v>1511019.23</v>
      </c>
    </row>
    <row r="8014" ht="12" customHeight="1">
      <c r="A8014" s="30" t="inlineStr">
        <is>
          <t>ITG</t>
        </is>
      </c>
      <c r="B8014" s="30" t="inlineStr">
        <is>
          <t>Itaguai</t>
        </is>
      </c>
      <c r="C8014" s="30" t="n">
        <v>86145227</v>
      </c>
      <c r="D8014" s="30">
        <f>"03546620000119"</f>
        <v/>
      </c>
      <c r="E8014" s="30" t="inlineStr">
        <is>
          <t>BRASIL 2000 COMBUSTIVEIS LTDA</t>
        </is>
      </c>
      <c r="F8014" s="30" t="inlineStr">
        <is>
          <t>2020</t>
        </is>
      </c>
      <c r="G8014" s="40" t="n">
        <v>1592555.43</v>
      </c>
    </row>
    <row r="8015" ht="12" customHeight="1">
      <c r="A8015" s="30" t="inlineStr">
        <is>
          <t>ITG</t>
        </is>
      </c>
      <c r="B8015" s="30" t="inlineStr">
        <is>
          <t>Itaguai</t>
        </is>
      </c>
      <c r="C8015" s="30" t="n">
        <v>86145227</v>
      </c>
      <c r="D8015" s="30">
        <f>"03546620000119"</f>
        <v/>
      </c>
      <c r="E8015" s="30" t="inlineStr">
        <is>
          <t>BRASIL 2000 COMBUSTIVEIS LTDA</t>
        </is>
      </c>
      <c r="F8015" s="30" t="inlineStr">
        <is>
          <t>2021</t>
        </is>
      </c>
      <c r="G8015" s="40" t="n">
        <v>2492074.48</v>
      </c>
    </row>
    <row r="8016" ht="12" customHeight="1">
      <c r="A8016" s="30" t="inlineStr">
        <is>
          <t>ITG</t>
        </is>
      </c>
      <c r="B8016" s="30" t="inlineStr">
        <is>
          <t>Itaguai</t>
        </is>
      </c>
      <c r="C8016" s="30" t="n">
        <v>86145227</v>
      </c>
      <c r="D8016" s="30">
        <f>"03546620000119"</f>
        <v/>
      </c>
      <c r="E8016" s="30" t="inlineStr">
        <is>
          <t>BRASIL 2000 COMBUSTIVEIS LTDA</t>
        </is>
      </c>
      <c r="F8016" s="30" t="inlineStr">
        <is>
          <t>2022</t>
        </is>
      </c>
      <c r="G8016" s="40" t="n">
        <v>2304498.23</v>
      </c>
    </row>
    <row r="8017" ht="12" customHeight="1">
      <c r="A8017" s="30" t="inlineStr">
        <is>
          <t>ITG</t>
        </is>
      </c>
      <c r="B8017" s="30" t="inlineStr">
        <is>
          <t>Itaguai</t>
        </is>
      </c>
      <c r="C8017" s="30" t="n">
        <v>86145227</v>
      </c>
      <c r="D8017" s="30">
        <f>"03546620000119"</f>
        <v/>
      </c>
      <c r="E8017" s="30" t="inlineStr">
        <is>
          <t>BRASIL 2000 COMBUSTIVEIS LTDA</t>
        </is>
      </c>
      <c r="F8017" s="30" t="inlineStr">
        <is>
          <t>2023</t>
        </is>
      </c>
      <c r="G8017" s="40" t="n">
        <v>1955492.59</v>
      </c>
    </row>
    <row r="8018" ht="12" customHeight="1">
      <c r="A8018" s="30" t="inlineStr">
        <is>
          <t>ITG</t>
        </is>
      </c>
      <c r="B8018" s="30" t="inlineStr">
        <is>
          <t>Itaguai</t>
        </is>
      </c>
      <c r="C8018" s="30" t="n">
        <v>86160919</v>
      </c>
      <c r="D8018" s="30">
        <f>"01682917000186"</f>
        <v/>
      </c>
      <c r="E8018" s="30" t="inlineStr">
        <is>
          <t>COUTRANS TRANSPORTES E SERVICOS LTDA</t>
        </is>
      </c>
      <c r="F8018" s="30" t="inlineStr">
        <is>
          <t>2017</t>
        </is>
      </c>
      <c r="G8018" s="40" t="n">
        <v>0</v>
      </c>
    </row>
    <row r="8019" ht="12" customHeight="1">
      <c r="A8019" s="30" t="inlineStr">
        <is>
          <t>ITG</t>
        </is>
      </c>
      <c r="B8019" s="30" t="inlineStr">
        <is>
          <t>Itaguai</t>
        </is>
      </c>
      <c r="C8019" s="30" t="n">
        <v>86160919</v>
      </c>
      <c r="D8019" s="30">
        <f>"01682917000186"</f>
        <v/>
      </c>
      <c r="E8019" s="30" t="inlineStr">
        <is>
          <t>COUTRANS TRANSPORTES E SERVICOS LTDA</t>
        </is>
      </c>
      <c r="F8019" s="30" t="inlineStr">
        <is>
          <t>2018</t>
        </is>
      </c>
      <c r="G8019" s="40" t="n">
        <v>0</v>
      </c>
    </row>
    <row r="8020" ht="12" customHeight="1">
      <c r="A8020" s="30" t="inlineStr">
        <is>
          <t>ITG</t>
        </is>
      </c>
      <c r="B8020" s="30" t="inlineStr">
        <is>
          <t>Itaguai</t>
        </is>
      </c>
      <c r="C8020" s="30" t="n">
        <v>86160919</v>
      </c>
      <c r="D8020" s="30">
        <f>"01682917000186"</f>
        <v/>
      </c>
      <c r="E8020" s="30" t="inlineStr">
        <is>
          <t>COUTRANS TRANSPORTES E SERVICOS LTDA</t>
        </is>
      </c>
      <c r="F8020" s="30" t="inlineStr">
        <is>
          <t>2019</t>
        </is>
      </c>
      <c r="G8020" s="40" t="n">
        <v>4859.58</v>
      </c>
    </row>
    <row r="8021" ht="12" customHeight="1">
      <c r="A8021" s="30" t="inlineStr">
        <is>
          <t>ITG</t>
        </is>
      </c>
      <c r="B8021" s="30" t="inlineStr">
        <is>
          <t>Itaguai</t>
        </is>
      </c>
      <c r="C8021" s="30" t="n">
        <v>86160919</v>
      </c>
      <c r="D8021" s="30">
        <f>"01682917000186"</f>
        <v/>
      </c>
      <c r="E8021" s="30" t="inlineStr">
        <is>
          <t>COUTRANS TRANSPORTES E SERVICOS LTDA</t>
        </is>
      </c>
      <c r="F8021" s="30" t="inlineStr">
        <is>
          <t>2020</t>
        </is>
      </c>
      <c r="G8021" s="40" t="n">
        <v>0</v>
      </c>
    </row>
    <row r="8022" ht="12" customHeight="1">
      <c r="A8022" s="30" t="inlineStr">
        <is>
          <t>ITG</t>
        </is>
      </c>
      <c r="B8022" s="30" t="inlineStr">
        <is>
          <t>Itaguai</t>
        </is>
      </c>
      <c r="C8022" s="30" t="n">
        <v>86160919</v>
      </c>
      <c r="D8022" s="30">
        <f>"01682917000186"</f>
        <v/>
      </c>
      <c r="E8022" s="30" t="inlineStr">
        <is>
          <t>COUTRANS TRANSPORTES E SERVICOS LTDA</t>
        </is>
      </c>
      <c r="F8022" s="30" t="inlineStr">
        <is>
          <t>2021</t>
        </is>
      </c>
      <c r="G8022" s="40" t="n">
        <v>982.02</v>
      </c>
    </row>
    <row r="8023" ht="12" customHeight="1">
      <c r="A8023" s="30" t="inlineStr">
        <is>
          <t>ITG</t>
        </is>
      </c>
      <c r="B8023" s="30" t="inlineStr">
        <is>
          <t>Itaguai</t>
        </is>
      </c>
      <c r="C8023" s="30" t="n">
        <v>86160919</v>
      </c>
      <c r="D8023" s="30">
        <f>"01682917000186"</f>
        <v/>
      </c>
      <c r="E8023" s="30" t="inlineStr">
        <is>
          <t>COUTRANS TRANSPORTES E SERVICOS LTDA</t>
        </is>
      </c>
      <c r="F8023" s="30" t="inlineStr">
        <is>
          <t>2022</t>
        </is>
      </c>
      <c r="G8023" s="40" t="n">
        <v>0</v>
      </c>
    </row>
    <row r="8024" ht="12" customHeight="1">
      <c r="A8024" s="30" t="inlineStr">
        <is>
          <t>ITG</t>
        </is>
      </c>
      <c r="B8024" s="30" t="inlineStr">
        <is>
          <t>Itaguai</t>
        </is>
      </c>
      <c r="C8024" s="30" t="n">
        <v>86160919</v>
      </c>
      <c r="D8024" s="30">
        <f>"01682917000186"</f>
        <v/>
      </c>
      <c r="E8024" s="30" t="inlineStr">
        <is>
          <t>COUTRANS TRANSPORTES E SERVICOS LTDA</t>
        </is>
      </c>
      <c r="F8024" s="30" t="inlineStr">
        <is>
          <t>2023</t>
        </is>
      </c>
      <c r="G8024" s="40" t="n">
        <v>0</v>
      </c>
    </row>
    <row r="8025" ht="12" customHeight="1">
      <c r="A8025" s="30" t="inlineStr">
        <is>
          <t>ITG</t>
        </is>
      </c>
      <c r="B8025" s="30" t="inlineStr">
        <is>
          <t>Itaguai</t>
        </is>
      </c>
      <c r="C8025" s="30" t="n">
        <v>86161591</v>
      </c>
      <c r="D8025" s="30">
        <f>"02027952000124"</f>
        <v/>
      </c>
      <c r="E8025" s="30" t="inlineStr">
        <is>
          <t>COSTA VERDE TRANSPORTES LTDA</t>
        </is>
      </c>
      <c r="F8025" s="30" t="inlineStr">
        <is>
          <t>2017</t>
        </is>
      </c>
      <c r="G8025" s="40" t="n">
        <v>5606912.27</v>
      </c>
    </row>
    <row r="8026" ht="12" customHeight="1">
      <c r="A8026" s="30" t="inlineStr">
        <is>
          <t>ITG</t>
        </is>
      </c>
      <c r="B8026" s="30" t="inlineStr">
        <is>
          <t>Itaguai</t>
        </is>
      </c>
      <c r="C8026" s="30" t="n">
        <v>86161591</v>
      </c>
      <c r="D8026" s="30">
        <f>"02027952000124"</f>
        <v/>
      </c>
      <c r="E8026" s="30" t="inlineStr">
        <is>
          <t>COSTA VERDE TRANSPORTES LTDA</t>
        </is>
      </c>
      <c r="F8026" s="30" t="inlineStr">
        <is>
          <t>2018</t>
        </is>
      </c>
      <c r="G8026" s="40" t="n">
        <v>4358391.14</v>
      </c>
    </row>
    <row r="8027" ht="12" customHeight="1">
      <c r="A8027" s="30" t="inlineStr">
        <is>
          <t>ITG</t>
        </is>
      </c>
      <c r="B8027" s="30" t="inlineStr">
        <is>
          <t>Itaguai</t>
        </is>
      </c>
      <c r="C8027" s="30" t="n">
        <v>86161591</v>
      </c>
      <c r="D8027" s="30">
        <f>"02027952000124"</f>
        <v/>
      </c>
      <c r="E8027" s="30" t="inlineStr">
        <is>
          <t>COSTA VERDE TRANSPORTES LTDA</t>
        </is>
      </c>
      <c r="F8027" s="30" t="inlineStr">
        <is>
          <t>2019</t>
        </is>
      </c>
      <c r="G8027" s="40" t="n">
        <v>4302390.65</v>
      </c>
    </row>
    <row r="8028" ht="12" customHeight="1">
      <c r="A8028" s="30" t="inlineStr">
        <is>
          <t>ITG</t>
        </is>
      </c>
      <c r="B8028" s="30" t="inlineStr">
        <is>
          <t>Itaguai</t>
        </is>
      </c>
      <c r="C8028" s="30" t="n">
        <v>86161591</v>
      </c>
      <c r="D8028" s="30">
        <f>"02027952000124"</f>
        <v/>
      </c>
      <c r="E8028" s="30" t="inlineStr">
        <is>
          <t>COSTA VERDE TRANSPORTES LTDA</t>
        </is>
      </c>
      <c r="F8028" s="30" t="inlineStr">
        <is>
          <t>2020</t>
        </is>
      </c>
      <c r="G8028" s="40" t="n">
        <v>1690075.81</v>
      </c>
    </row>
    <row r="8029" ht="12" customHeight="1">
      <c r="A8029" s="30" t="inlineStr">
        <is>
          <t>ITG</t>
        </is>
      </c>
      <c r="B8029" s="30" t="inlineStr">
        <is>
          <t>Itaguai</t>
        </is>
      </c>
      <c r="C8029" s="30" t="n">
        <v>86161591</v>
      </c>
      <c r="D8029" s="30">
        <f>"02027952000124"</f>
        <v/>
      </c>
      <c r="E8029" s="30" t="inlineStr">
        <is>
          <t>COSTA VERDE TRANSPORTES LTDA</t>
        </is>
      </c>
      <c r="F8029" s="30" t="inlineStr">
        <is>
          <t>2021</t>
        </is>
      </c>
      <c r="G8029" s="40" t="n">
        <v>1939835.44</v>
      </c>
    </row>
    <row r="8030" ht="12" customHeight="1">
      <c r="A8030" s="30" t="inlineStr">
        <is>
          <t>ITG</t>
        </is>
      </c>
      <c r="B8030" s="30" t="inlineStr">
        <is>
          <t>Itaguai</t>
        </is>
      </c>
      <c r="C8030" s="30" t="n">
        <v>86161591</v>
      </c>
      <c r="D8030" s="30">
        <f>"02027952000124"</f>
        <v/>
      </c>
      <c r="E8030" s="30" t="inlineStr">
        <is>
          <t>COSTA VERDE TRANSPORTES LTDA</t>
        </is>
      </c>
      <c r="F8030" s="30" t="inlineStr">
        <is>
          <t>2022</t>
        </is>
      </c>
      <c r="G8030" s="40" t="n">
        <v>312837.35</v>
      </c>
    </row>
    <row r="8031" ht="12" customHeight="1">
      <c r="A8031" s="30" t="inlineStr">
        <is>
          <t>ITG</t>
        </is>
      </c>
      <c r="B8031" s="30" t="inlineStr">
        <is>
          <t>Itaguai</t>
        </is>
      </c>
      <c r="C8031" s="30" t="n">
        <v>86161591</v>
      </c>
      <c r="D8031" s="30">
        <f>"02027952000124"</f>
        <v/>
      </c>
      <c r="E8031" s="30" t="inlineStr">
        <is>
          <t>COSTA VERDE TRANSPORTES LTDA</t>
        </is>
      </c>
      <c r="F8031" s="30" t="inlineStr">
        <is>
          <t>2023</t>
        </is>
      </c>
      <c r="G8031" s="40" t="n">
        <v>427772.44</v>
      </c>
    </row>
    <row r="8032" ht="12" customHeight="1">
      <c r="A8032" s="30" t="inlineStr">
        <is>
          <t>ITG</t>
        </is>
      </c>
      <c r="B8032" s="30" t="inlineStr">
        <is>
          <t>Itaguai</t>
        </is>
      </c>
      <c r="C8032" s="30" t="n">
        <v>86163233</v>
      </c>
      <c r="D8032" s="30">
        <f>"32579302000152"</f>
        <v/>
      </c>
      <c r="E8032" s="30" t="inlineStr">
        <is>
          <t>PEDREIRA SEPETIBA LTDA</t>
        </is>
      </c>
      <c r="F8032" s="30" t="inlineStr">
        <is>
          <t>2017</t>
        </is>
      </c>
      <c r="G8032" s="40" t="n">
        <v>2902.16</v>
      </c>
    </row>
    <row r="8033" ht="12" customHeight="1">
      <c r="A8033" s="30" t="inlineStr">
        <is>
          <t>ITG</t>
        </is>
      </c>
      <c r="B8033" s="30" t="inlineStr">
        <is>
          <t>Itaguai</t>
        </is>
      </c>
      <c r="C8033" s="30" t="n">
        <v>86163233</v>
      </c>
      <c r="D8033" s="30">
        <f>"32579302000152"</f>
        <v/>
      </c>
      <c r="E8033" s="30" t="inlineStr">
        <is>
          <t>PEDREIRA SEPETIBA LTDA</t>
        </is>
      </c>
      <c r="F8033" s="30" t="inlineStr">
        <is>
          <t>2018</t>
        </is>
      </c>
      <c r="G8033" s="40" t="n">
        <v>99.17</v>
      </c>
    </row>
    <row r="8034" ht="12" customHeight="1">
      <c r="A8034" s="30" t="inlineStr">
        <is>
          <t>ITG</t>
        </is>
      </c>
      <c r="B8034" s="30" t="inlineStr">
        <is>
          <t>Itaguai</t>
        </is>
      </c>
      <c r="C8034" s="30" t="n">
        <v>86163233</v>
      </c>
      <c r="D8034" s="30">
        <f>"32579302000152"</f>
        <v/>
      </c>
      <c r="E8034" s="30" t="inlineStr">
        <is>
          <t>PEDREIRA SEPETIBA LTDA</t>
        </is>
      </c>
      <c r="F8034" s="30" t="inlineStr">
        <is>
          <t>2019</t>
        </is>
      </c>
      <c r="G8034" s="40" t="n">
        <v>3982.52</v>
      </c>
    </row>
    <row r="8035" ht="12" customHeight="1">
      <c r="A8035" s="30" t="inlineStr">
        <is>
          <t>ITG</t>
        </is>
      </c>
      <c r="B8035" s="30" t="inlineStr">
        <is>
          <t>Itaguai</t>
        </is>
      </c>
      <c r="C8035" s="30" t="n">
        <v>86163233</v>
      </c>
      <c r="D8035" s="30">
        <f>"32579302000152"</f>
        <v/>
      </c>
      <c r="E8035" s="30" t="inlineStr">
        <is>
          <t>PEDREIRA SEPETIBA LTDA</t>
        </is>
      </c>
      <c r="F8035" s="30" t="inlineStr">
        <is>
          <t>2020</t>
        </is>
      </c>
      <c r="G8035" s="40" t="n">
        <v>0</v>
      </c>
    </row>
    <row r="8036" ht="12" customHeight="1">
      <c r="A8036" s="30" t="inlineStr">
        <is>
          <t>ITG</t>
        </is>
      </c>
      <c r="B8036" s="30" t="inlineStr">
        <is>
          <t>Itaguai</t>
        </is>
      </c>
      <c r="C8036" s="30" t="n">
        <v>86163233</v>
      </c>
      <c r="D8036" s="30">
        <f>"32579302000152"</f>
        <v/>
      </c>
      <c r="E8036" s="30" t="inlineStr">
        <is>
          <t>PEDREIRA SEPETIBA LTDA</t>
        </is>
      </c>
      <c r="F8036" s="30" t="inlineStr">
        <is>
          <t>2021</t>
        </is>
      </c>
      <c r="G8036" s="40" t="n">
        <v>0</v>
      </c>
    </row>
    <row r="8037" ht="12" customHeight="1">
      <c r="A8037" s="30" t="inlineStr">
        <is>
          <t>ITG</t>
        </is>
      </c>
      <c r="B8037" s="30" t="inlineStr">
        <is>
          <t>Itaguai</t>
        </is>
      </c>
      <c r="C8037" s="30" t="n">
        <v>86163233</v>
      </c>
      <c r="D8037" s="30">
        <f>"32579302000152"</f>
        <v/>
      </c>
      <c r="E8037" s="30" t="inlineStr">
        <is>
          <t>PEDREIRA SEPETIBA LTDA</t>
        </is>
      </c>
      <c r="F8037" s="30" t="inlineStr">
        <is>
          <t>2022</t>
        </is>
      </c>
      <c r="G8037" s="40" t="n">
        <v>0</v>
      </c>
    </row>
    <row r="8038" ht="12" customHeight="1">
      <c r="A8038" s="30" t="inlineStr">
        <is>
          <t>ITG</t>
        </is>
      </c>
      <c r="B8038" s="30" t="inlineStr">
        <is>
          <t>Itaguai</t>
        </is>
      </c>
      <c r="C8038" s="30" t="n">
        <v>86163233</v>
      </c>
      <c r="D8038" s="30">
        <f>"32579302000152"</f>
        <v/>
      </c>
      <c r="E8038" s="30" t="inlineStr">
        <is>
          <t>PEDREIRA SEPETIBA LTDA</t>
        </is>
      </c>
      <c r="F8038" s="30" t="inlineStr">
        <is>
          <t>2023</t>
        </is>
      </c>
      <c r="G8038" s="40" t="n">
        <v>0</v>
      </c>
    </row>
    <row r="8039" ht="12" customHeight="1">
      <c r="A8039" s="30" t="inlineStr">
        <is>
          <t>ITG</t>
        </is>
      </c>
      <c r="B8039" s="30" t="inlineStr">
        <is>
          <t>Itaguai</t>
        </is>
      </c>
      <c r="C8039" s="30" t="n">
        <v>86168677</v>
      </c>
      <c r="D8039" s="30">
        <f>"01868396000156"</f>
        <v/>
      </c>
      <c r="E8039" s="30" t="inlineStr">
        <is>
          <t>SANTA LUZIA ENGENHARIA E CONSTRUCOES LTDA</t>
        </is>
      </c>
      <c r="F8039" s="30" t="inlineStr">
        <is>
          <t>2017</t>
        </is>
      </c>
      <c r="G8039" s="40" t="n">
        <v>0</v>
      </c>
    </row>
    <row r="8040" ht="12" customHeight="1">
      <c r="A8040" s="30" t="inlineStr">
        <is>
          <t>ITG</t>
        </is>
      </c>
      <c r="B8040" s="30" t="inlineStr">
        <is>
          <t>Itaguai</t>
        </is>
      </c>
      <c r="C8040" s="30" t="n">
        <v>86168677</v>
      </c>
      <c r="D8040" s="30">
        <f>"01868396000156"</f>
        <v/>
      </c>
      <c r="E8040" s="30" t="inlineStr">
        <is>
          <t>SANTA LUZIA ENGENHARIA E CONSTRUCOES LTDA</t>
        </is>
      </c>
      <c r="F8040" s="30" t="inlineStr">
        <is>
          <t>2018</t>
        </is>
      </c>
      <c r="G8040" s="40" t="n">
        <v>0</v>
      </c>
    </row>
    <row r="8041" ht="12" customHeight="1">
      <c r="A8041" s="30" t="inlineStr">
        <is>
          <t>ITG</t>
        </is>
      </c>
      <c r="B8041" s="30" t="inlineStr">
        <is>
          <t>Itaguai</t>
        </is>
      </c>
      <c r="C8041" s="30" t="n">
        <v>86168677</v>
      </c>
      <c r="D8041" s="30">
        <f>"01868396000156"</f>
        <v/>
      </c>
      <c r="E8041" s="30" t="inlineStr">
        <is>
          <t>SANTA LUZIA ENGENHARIA E CONSTRUCOES LTDA</t>
        </is>
      </c>
      <c r="F8041" s="30" t="inlineStr">
        <is>
          <t>2019</t>
        </is>
      </c>
      <c r="G8041" s="40" t="n">
        <v>0</v>
      </c>
    </row>
    <row r="8042" ht="12" customHeight="1">
      <c r="A8042" s="30" t="inlineStr">
        <is>
          <t>ITG</t>
        </is>
      </c>
      <c r="B8042" s="30" t="inlineStr">
        <is>
          <t>Itaguai</t>
        </is>
      </c>
      <c r="C8042" s="30" t="n">
        <v>86168677</v>
      </c>
      <c r="D8042" s="30">
        <f>"01868396000156"</f>
        <v/>
      </c>
      <c r="E8042" s="30" t="inlineStr">
        <is>
          <t>SANTA LUZIA ENGENHARIA E CONSTRUCOES LTDA</t>
        </is>
      </c>
      <c r="F8042" s="30" t="inlineStr">
        <is>
          <t>2020</t>
        </is>
      </c>
      <c r="G8042" s="40" t="n">
        <v>0</v>
      </c>
    </row>
    <row r="8043" ht="12" customHeight="1">
      <c r="A8043" s="30" t="inlineStr">
        <is>
          <t>ITG</t>
        </is>
      </c>
      <c r="B8043" s="30" t="inlineStr">
        <is>
          <t>Itaguai</t>
        </is>
      </c>
      <c r="C8043" s="30" t="n">
        <v>86168677</v>
      </c>
      <c r="D8043" s="30">
        <f>"01868396000156"</f>
        <v/>
      </c>
      <c r="E8043" s="30" t="inlineStr">
        <is>
          <t>SANTA LUZIA ENGENHARIA E CONSTRUCOES LTDA</t>
        </is>
      </c>
      <c r="F8043" s="30" t="inlineStr">
        <is>
          <t>2021</t>
        </is>
      </c>
      <c r="G8043" s="40" t="n">
        <v>0</v>
      </c>
    </row>
    <row r="8044" ht="12" customHeight="1">
      <c r="A8044" s="30" t="inlineStr">
        <is>
          <t>ITG</t>
        </is>
      </c>
      <c r="B8044" s="30" t="inlineStr">
        <is>
          <t>Itaguai</t>
        </is>
      </c>
      <c r="C8044" s="30" t="n">
        <v>86168677</v>
      </c>
      <c r="D8044" s="30">
        <f>"01868396000156"</f>
        <v/>
      </c>
      <c r="E8044" s="30" t="inlineStr">
        <is>
          <t>SANTA LUZIA ENGENHARIA E CONSTRUCOES LTDA</t>
        </is>
      </c>
      <c r="F8044" s="30" t="inlineStr">
        <is>
          <t>2022</t>
        </is>
      </c>
      <c r="G8044" s="40" t="n">
        <v>0</v>
      </c>
    </row>
    <row r="8045" ht="12" customHeight="1">
      <c r="A8045" s="30" t="inlineStr">
        <is>
          <t>ITG</t>
        </is>
      </c>
      <c r="B8045" s="30" t="inlineStr">
        <is>
          <t>Itaguai</t>
        </is>
      </c>
      <c r="C8045" s="30" t="n">
        <v>86168677</v>
      </c>
      <c r="D8045" s="30">
        <f>"01868396000156"</f>
        <v/>
      </c>
      <c r="E8045" s="30" t="inlineStr">
        <is>
          <t>SANTA LUZIA ENGENHARIA E CONSTRUCOES LTDA</t>
        </is>
      </c>
      <c r="F8045" s="30" t="inlineStr">
        <is>
          <t>2023</t>
        </is>
      </c>
      <c r="G8045" s="40" t="n">
        <v>0</v>
      </c>
    </row>
    <row r="8046" ht="12" customHeight="1">
      <c r="A8046" s="30" t="inlineStr">
        <is>
          <t>ITG</t>
        </is>
      </c>
      <c r="B8046" s="30" t="inlineStr">
        <is>
          <t>Itaguai</t>
        </is>
      </c>
      <c r="C8046" s="30" t="n">
        <v>86233703</v>
      </c>
      <c r="D8046" s="30">
        <f>"02357033000119"</f>
        <v/>
      </c>
      <c r="E8046" s="30" t="inlineStr">
        <is>
          <t>QUICKNET TELECOM LTDA EPP</t>
        </is>
      </c>
      <c r="F8046" s="30" t="inlineStr">
        <is>
          <t>2021</t>
        </is>
      </c>
      <c r="G8046" s="40" t="n">
        <v>0</v>
      </c>
    </row>
    <row r="8047" ht="12" customHeight="1">
      <c r="A8047" s="30" t="inlineStr">
        <is>
          <t>ITG</t>
        </is>
      </c>
      <c r="B8047" s="30" t="inlineStr">
        <is>
          <t>Itaguai</t>
        </is>
      </c>
      <c r="C8047" s="30" t="n">
        <v>86233703</v>
      </c>
      <c r="D8047" s="30">
        <f>"02357033000119"</f>
        <v/>
      </c>
      <c r="E8047" s="30" t="inlineStr">
        <is>
          <t>QUICKNET TELECOM LTDA EPP</t>
        </is>
      </c>
      <c r="F8047" s="30" t="inlineStr">
        <is>
          <t>2022</t>
        </is>
      </c>
      <c r="G8047" s="40" t="n">
        <v>0</v>
      </c>
    </row>
    <row r="8048" ht="12" customHeight="1">
      <c r="A8048" s="30" t="inlineStr">
        <is>
          <t>ITG</t>
        </is>
      </c>
      <c r="B8048" s="30" t="inlineStr">
        <is>
          <t>Itaguai</t>
        </is>
      </c>
      <c r="C8048" s="30" t="n">
        <v>86233703</v>
      </c>
      <c r="D8048" s="30">
        <f>"02357033000119"</f>
        <v/>
      </c>
      <c r="E8048" s="30" t="inlineStr">
        <is>
          <t>QUICKNET TELECOM LTDA EPP</t>
        </is>
      </c>
      <c r="F8048" s="30" t="inlineStr">
        <is>
          <t>2023</t>
        </is>
      </c>
      <c r="G8048" s="40" t="n">
        <v>3118.8</v>
      </c>
    </row>
    <row r="8049" ht="12" customHeight="1">
      <c r="A8049" s="30" t="inlineStr">
        <is>
          <t>ITG</t>
        </is>
      </c>
      <c r="B8049" s="30" t="inlineStr">
        <is>
          <t>Itaguai</t>
        </is>
      </c>
      <c r="C8049" s="30" t="n">
        <v>86273004</v>
      </c>
      <c r="D8049" s="30">
        <f>"03113442000132"</f>
        <v/>
      </c>
      <c r="E8049" s="30" t="inlineStr">
        <is>
          <t>AGMSBS TRANSPORTES LTDA</t>
        </is>
      </c>
      <c r="F8049" s="30" t="inlineStr">
        <is>
          <t>2017</t>
        </is>
      </c>
      <c r="G8049" s="40" t="n">
        <v>0</v>
      </c>
    </row>
    <row r="8050" ht="12" customHeight="1">
      <c r="A8050" s="30" t="inlineStr">
        <is>
          <t>ITG</t>
        </is>
      </c>
      <c r="B8050" s="30" t="inlineStr">
        <is>
          <t>Itaguai</t>
        </is>
      </c>
      <c r="C8050" s="30" t="n">
        <v>86273004</v>
      </c>
      <c r="D8050" s="30">
        <f>"03113442000132"</f>
        <v/>
      </c>
      <c r="E8050" s="30" t="inlineStr">
        <is>
          <t>AGMSBS TRANSPORTES LTDA</t>
        </is>
      </c>
      <c r="F8050" s="30" t="inlineStr">
        <is>
          <t>2018</t>
        </is>
      </c>
      <c r="G8050" s="40" t="n">
        <v>0</v>
      </c>
    </row>
    <row r="8051" ht="12" customHeight="1">
      <c r="A8051" s="30" t="inlineStr">
        <is>
          <t>ITG</t>
        </is>
      </c>
      <c r="B8051" s="30" t="inlineStr">
        <is>
          <t>Itaguai</t>
        </is>
      </c>
      <c r="C8051" s="30" t="n">
        <v>86273004</v>
      </c>
      <c r="D8051" s="30">
        <f>"03113442000132"</f>
        <v/>
      </c>
      <c r="E8051" s="30" t="inlineStr">
        <is>
          <t>AGMSBS TRANSPORTES LTDA</t>
        </is>
      </c>
      <c r="F8051" s="30" t="inlineStr">
        <is>
          <t>2019</t>
        </is>
      </c>
      <c r="G8051" s="40" t="n">
        <v>82.65000000000001</v>
      </c>
    </row>
    <row r="8052" ht="12" customHeight="1">
      <c r="A8052" s="30" t="inlineStr">
        <is>
          <t>ITG</t>
        </is>
      </c>
      <c r="B8052" s="30" t="inlineStr">
        <is>
          <t>Itaguai</t>
        </is>
      </c>
      <c r="C8052" s="30" t="n">
        <v>86273004</v>
      </c>
      <c r="D8052" s="30">
        <f>"03113442000132"</f>
        <v/>
      </c>
      <c r="E8052" s="30" t="inlineStr">
        <is>
          <t>AGMSBS TRANSPORTES LTDA</t>
        </is>
      </c>
      <c r="F8052" s="30" t="inlineStr">
        <is>
          <t>2020</t>
        </is>
      </c>
      <c r="G8052" s="40" t="n">
        <v>0</v>
      </c>
    </row>
    <row r="8053" ht="12" customHeight="1">
      <c r="A8053" s="30" t="inlineStr">
        <is>
          <t>ITG</t>
        </is>
      </c>
      <c r="B8053" s="30" t="inlineStr">
        <is>
          <t>Itaguai</t>
        </is>
      </c>
      <c r="C8053" s="30" t="n">
        <v>86273004</v>
      </c>
      <c r="D8053" s="30">
        <f>"03113442000132"</f>
        <v/>
      </c>
      <c r="E8053" s="30" t="inlineStr">
        <is>
          <t>AGMSBS TRANSPORTES LTDA</t>
        </is>
      </c>
      <c r="F8053" s="30" t="inlineStr">
        <is>
          <t>2021</t>
        </is>
      </c>
      <c r="G8053" s="40" t="n">
        <v>0</v>
      </c>
    </row>
    <row r="8054" ht="12" customHeight="1">
      <c r="A8054" s="30" t="inlineStr">
        <is>
          <t>ITG</t>
        </is>
      </c>
      <c r="B8054" s="30" t="inlineStr">
        <is>
          <t>Itaguai</t>
        </is>
      </c>
      <c r="C8054" s="30" t="n">
        <v>86288311</v>
      </c>
      <c r="D8054" s="30">
        <f>"00685759000155"</f>
        <v/>
      </c>
      <c r="E8054" s="30" t="inlineStr">
        <is>
          <t>GUIFI SERVIÇOS DE TRANSPORTES EIRELI</t>
        </is>
      </c>
      <c r="F8054" s="30" t="inlineStr">
        <is>
          <t>2017</t>
        </is>
      </c>
      <c r="G8054" s="40" t="n">
        <v>0</v>
      </c>
    </row>
    <row r="8055" ht="12" customHeight="1">
      <c r="A8055" s="30" t="inlineStr">
        <is>
          <t>ITG</t>
        </is>
      </c>
      <c r="B8055" s="30" t="inlineStr">
        <is>
          <t>Itaguai</t>
        </is>
      </c>
      <c r="C8055" s="30" t="n">
        <v>86288311</v>
      </c>
      <c r="D8055" s="30">
        <f>"00685759000155"</f>
        <v/>
      </c>
      <c r="E8055" s="30" t="inlineStr">
        <is>
          <t>GUIFI SERVIÇOS DE TRANSPORTES EIRELI</t>
        </is>
      </c>
      <c r="F8055" s="30" t="inlineStr">
        <is>
          <t>2018</t>
        </is>
      </c>
      <c r="G8055" s="40" t="n">
        <v>0</v>
      </c>
    </row>
    <row r="8056" ht="12" customHeight="1">
      <c r="A8056" s="30" t="inlineStr">
        <is>
          <t>ITG</t>
        </is>
      </c>
      <c r="B8056" s="30" t="inlineStr">
        <is>
          <t>Itaguai</t>
        </is>
      </c>
      <c r="C8056" s="30" t="n">
        <v>86288311</v>
      </c>
      <c r="D8056" s="30">
        <f>"00685759000155"</f>
        <v/>
      </c>
      <c r="E8056" s="30" t="inlineStr">
        <is>
          <t>GUIFI SERVIÇOS DE TRANSPORTES EIRELI</t>
        </is>
      </c>
      <c r="F8056" s="30" t="inlineStr">
        <is>
          <t>2019</t>
        </is>
      </c>
      <c r="G8056" s="40" t="n">
        <v>313250.32</v>
      </c>
    </row>
    <row r="8057" ht="12" customHeight="1">
      <c r="A8057" s="30" t="inlineStr">
        <is>
          <t>ITG</t>
        </is>
      </c>
      <c r="B8057" s="30" t="inlineStr">
        <is>
          <t>Itaguai</t>
        </is>
      </c>
      <c r="C8057" s="30" t="n">
        <v>86288311</v>
      </c>
      <c r="D8057" s="30">
        <f>"00685759000155"</f>
        <v/>
      </c>
      <c r="E8057" s="30" t="inlineStr">
        <is>
          <t>GUIFI SERVIÇOS DE TRANSPORTES EIRELI</t>
        </is>
      </c>
      <c r="F8057" s="30" t="inlineStr">
        <is>
          <t>2020</t>
        </is>
      </c>
      <c r="G8057" s="40" t="n">
        <v>0</v>
      </c>
    </row>
    <row r="8058" ht="12" customHeight="1">
      <c r="A8058" s="30" t="inlineStr">
        <is>
          <t>ITG</t>
        </is>
      </c>
      <c r="B8058" s="30" t="inlineStr">
        <is>
          <t>Itaguai</t>
        </is>
      </c>
      <c r="C8058" s="30" t="n">
        <v>86288311</v>
      </c>
      <c r="D8058" s="30">
        <f>"00685759000155"</f>
        <v/>
      </c>
      <c r="E8058" s="30" t="inlineStr">
        <is>
          <t>GUIFI SERVIÇOS DE TRANSPORTES EIRELI</t>
        </is>
      </c>
      <c r="F8058" s="30" t="inlineStr">
        <is>
          <t>2021</t>
        </is>
      </c>
      <c r="G8058" s="40" t="n">
        <v>0</v>
      </c>
    </row>
    <row r="8059" ht="12" customHeight="1">
      <c r="A8059" s="30" t="inlineStr">
        <is>
          <t>ITG</t>
        </is>
      </c>
      <c r="B8059" s="30" t="inlineStr">
        <is>
          <t>Itaguai</t>
        </is>
      </c>
      <c r="C8059" s="30" t="n">
        <v>86288796</v>
      </c>
      <c r="D8059" s="30">
        <f>"01679681000200"</f>
        <v/>
      </c>
      <c r="E8059" s="30" t="inlineStr">
        <is>
          <t>HAMBURGO CARGAS LTDA</t>
        </is>
      </c>
      <c r="F8059" s="30" t="inlineStr">
        <is>
          <t>2017</t>
        </is>
      </c>
      <c r="G8059" s="40" t="n">
        <v>4089.11</v>
      </c>
    </row>
    <row r="8060" ht="12" customHeight="1">
      <c r="A8060" s="30" t="inlineStr">
        <is>
          <t>ITG</t>
        </is>
      </c>
      <c r="B8060" s="30" t="inlineStr">
        <is>
          <t>Itaguai</t>
        </is>
      </c>
      <c r="C8060" s="30" t="n">
        <v>86288796</v>
      </c>
      <c r="D8060" s="30">
        <f>"01679681000200"</f>
        <v/>
      </c>
      <c r="E8060" s="30" t="inlineStr">
        <is>
          <t>HAMBURGO CARGAS LTDA</t>
        </is>
      </c>
      <c r="F8060" s="30" t="inlineStr">
        <is>
          <t>2018</t>
        </is>
      </c>
      <c r="G8060" s="40" t="n">
        <v>414.85</v>
      </c>
    </row>
    <row r="8061" ht="12" customHeight="1">
      <c r="A8061" s="30" t="inlineStr">
        <is>
          <t>ITG</t>
        </is>
      </c>
      <c r="B8061" s="30" t="inlineStr">
        <is>
          <t>Itaguai</t>
        </is>
      </c>
      <c r="C8061" s="30" t="n">
        <v>86288796</v>
      </c>
      <c r="D8061" s="30">
        <f>"01679681000200"</f>
        <v/>
      </c>
      <c r="E8061" s="30" t="inlineStr">
        <is>
          <t>HAMBURGO CARGAS LTDA</t>
        </is>
      </c>
      <c r="F8061" s="30" t="inlineStr">
        <is>
          <t>2019</t>
        </is>
      </c>
      <c r="G8061" s="40" t="n">
        <v>339.25</v>
      </c>
    </row>
    <row r="8062" ht="12" customHeight="1">
      <c r="A8062" s="30" t="inlineStr">
        <is>
          <t>ITG</t>
        </is>
      </c>
      <c r="B8062" s="30" t="inlineStr">
        <is>
          <t>Itaguai</t>
        </is>
      </c>
      <c r="C8062" s="30" t="n">
        <v>86288796</v>
      </c>
      <c r="D8062" s="30">
        <f>"01679681000200"</f>
        <v/>
      </c>
      <c r="E8062" s="30" t="inlineStr">
        <is>
          <t>HAMBURGO CARGAS LTDA</t>
        </is>
      </c>
      <c r="F8062" s="30" t="inlineStr">
        <is>
          <t>2020</t>
        </is>
      </c>
      <c r="G8062" s="40" t="n">
        <v>1078.57</v>
      </c>
    </row>
    <row r="8063" ht="12" customHeight="1">
      <c r="A8063" s="30" t="inlineStr">
        <is>
          <t>ITG</t>
        </is>
      </c>
      <c r="B8063" s="30" t="inlineStr">
        <is>
          <t>Itaguai</t>
        </is>
      </c>
      <c r="C8063" s="30" t="n">
        <v>86288796</v>
      </c>
      <c r="D8063" s="30">
        <f>"01679681000200"</f>
        <v/>
      </c>
      <c r="E8063" s="30" t="inlineStr">
        <is>
          <t>HAMBURGO CARGAS LTDA</t>
        </is>
      </c>
      <c r="F8063" s="30" t="inlineStr">
        <is>
          <t>2021</t>
        </is>
      </c>
      <c r="G8063" s="40" t="n">
        <v>3253.05</v>
      </c>
    </row>
    <row r="8064" ht="12" customHeight="1">
      <c r="A8064" s="30" t="inlineStr">
        <is>
          <t>ITG</t>
        </is>
      </c>
      <c r="B8064" s="30" t="inlineStr">
        <is>
          <t>Itaguai</t>
        </is>
      </c>
      <c r="C8064" s="30" t="n">
        <v>86288796</v>
      </c>
      <c r="D8064" s="30">
        <f>"01679681000200"</f>
        <v/>
      </c>
      <c r="E8064" s="30" t="inlineStr">
        <is>
          <t>HAMBURGO CARGAS LTDA</t>
        </is>
      </c>
      <c r="F8064" s="30" t="inlineStr">
        <is>
          <t>2022</t>
        </is>
      </c>
      <c r="G8064" s="40" t="n">
        <v>5582.67</v>
      </c>
    </row>
    <row r="8065" ht="12" customHeight="1">
      <c r="A8065" s="30" t="inlineStr">
        <is>
          <t>ITG</t>
        </is>
      </c>
      <c r="B8065" s="30" t="inlineStr">
        <is>
          <t>Itaguai</t>
        </is>
      </c>
      <c r="C8065" s="30" t="n">
        <v>86288796</v>
      </c>
      <c r="D8065" s="30">
        <f>"01679681000200"</f>
        <v/>
      </c>
      <c r="E8065" s="30" t="inlineStr">
        <is>
          <t>HAMBURGO CARGAS LTDA</t>
        </is>
      </c>
      <c r="F8065" s="30" t="inlineStr">
        <is>
          <t>2023</t>
        </is>
      </c>
      <c r="G8065" s="40" t="n">
        <v>5382.06</v>
      </c>
    </row>
    <row r="8066" ht="12" customHeight="1">
      <c r="A8066" s="30" t="inlineStr">
        <is>
          <t>ITG</t>
        </is>
      </c>
      <c r="B8066" s="30" t="inlineStr">
        <is>
          <t>Itaguai</t>
        </is>
      </c>
      <c r="C8066" s="30" t="n">
        <v>86319500</v>
      </c>
      <c r="D8066" s="30">
        <f>"60395589001330"</f>
        <v/>
      </c>
      <c r="E8066" s="30" t="inlineStr">
        <is>
          <t>BRAZUL TRANSPORTE DE VEICULOS LTDA</t>
        </is>
      </c>
      <c r="F8066" s="30" t="inlineStr">
        <is>
          <t>2017</t>
        </is>
      </c>
      <c r="G8066" s="40" t="n">
        <v>2433.58</v>
      </c>
    </row>
    <row r="8067" ht="12" customHeight="1">
      <c r="A8067" s="30" t="inlineStr">
        <is>
          <t>ITG</t>
        </is>
      </c>
      <c r="B8067" s="30" t="inlineStr">
        <is>
          <t>Itaguai</t>
        </is>
      </c>
      <c r="C8067" s="30" t="n">
        <v>86319500</v>
      </c>
      <c r="D8067" s="30">
        <f>"60395589001330"</f>
        <v/>
      </c>
      <c r="E8067" s="30" t="inlineStr">
        <is>
          <t>BRAZUL TRANSPORTE DE VEICULOS LTDA</t>
        </is>
      </c>
      <c r="F8067" s="30" t="inlineStr">
        <is>
          <t>2018</t>
        </is>
      </c>
      <c r="G8067" s="40" t="n">
        <v>0</v>
      </c>
    </row>
    <row r="8068" ht="12" customHeight="1">
      <c r="A8068" s="30" t="inlineStr">
        <is>
          <t>ITG</t>
        </is>
      </c>
      <c r="B8068" s="30" t="inlineStr">
        <is>
          <t>Itaguai</t>
        </is>
      </c>
      <c r="C8068" s="30" t="n">
        <v>86319500</v>
      </c>
      <c r="D8068" s="30">
        <f>"60395589001330"</f>
        <v/>
      </c>
      <c r="E8068" s="30" t="inlineStr">
        <is>
          <t>BRAZUL TRANSPORTE DE VEICULOS LTDA</t>
        </is>
      </c>
      <c r="F8068" s="30" t="inlineStr">
        <is>
          <t>2019</t>
        </is>
      </c>
      <c r="G8068" s="40" t="n">
        <v>72904.14999999999</v>
      </c>
    </row>
    <row r="8069" ht="12" customHeight="1">
      <c r="A8069" s="30" t="inlineStr">
        <is>
          <t>ITG</t>
        </is>
      </c>
      <c r="B8069" s="30" t="inlineStr">
        <is>
          <t>Itaguai</t>
        </is>
      </c>
      <c r="C8069" s="30" t="n">
        <v>86319500</v>
      </c>
      <c r="D8069" s="30">
        <f>"60395589001330"</f>
        <v/>
      </c>
      <c r="E8069" s="30" t="inlineStr">
        <is>
          <t>BRAZUL TRANSPORTE DE VEICULOS LTDA</t>
        </is>
      </c>
      <c r="F8069" s="30" t="inlineStr">
        <is>
          <t>2020</t>
        </is>
      </c>
      <c r="G8069" s="40" t="n">
        <v>0</v>
      </c>
    </row>
    <row r="8070" ht="12" customHeight="1">
      <c r="A8070" s="30" t="inlineStr">
        <is>
          <t>ITG</t>
        </is>
      </c>
      <c r="B8070" s="30" t="inlineStr">
        <is>
          <t>Itaguai</t>
        </is>
      </c>
      <c r="C8070" s="30" t="n">
        <v>86319500</v>
      </c>
      <c r="D8070" s="30">
        <f>"60395589001330"</f>
        <v/>
      </c>
      <c r="E8070" s="30" t="inlineStr">
        <is>
          <t>BRAZUL TRANSPORTE DE VEICULOS LTDA</t>
        </is>
      </c>
      <c r="F8070" s="30" t="inlineStr">
        <is>
          <t>2021</t>
        </is>
      </c>
      <c r="G8070" s="40" t="n">
        <v>0</v>
      </c>
    </row>
    <row r="8071" ht="12" customHeight="1">
      <c r="A8071" s="30" t="inlineStr">
        <is>
          <t>ITG</t>
        </is>
      </c>
      <c r="B8071" s="30" t="inlineStr">
        <is>
          <t>Itaguai</t>
        </is>
      </c>
      <c r="C8071" s="30" t="n">
        <v>86320053</v>
      </c>
      <c r="D8071" s="30">
        <f>"02445414000583"</f>
        <v/>
      </c>
      <c r="E8071" s="30" t="inlineStr">
        <is>
          <t>TRANSVIP TRANSPORTE DE VALORES E VIGILANCIA PATRIMONIAL LTDA</t>
        </is>
      </c>
      <c r="F8071" s="30" t="inlineStr">
        <is>
          <t>2017</t>
        </is>
      </c>
      <c r="G8071" s="40" t="n">
        <v>0</v>
      </c>
    </row>
    <row r="8072" ht="12" customHeight="1">
      <c r="A8072" s="30" t="inlineStr">
        <is>
          <t>ITG</t>
        </is>
      </c>
      <c r="B8072" s="30" t="inlineStr">
        <is>
          <t>Itaguai</t>
        </is>
      </c>
      <c r="C8072" s="30" t="n">
        <v>86320053</v>
      </c>
      <c r="D8072" s="30">
        <f>"02445414000583"</f>
        <v/>
      </c>
      <c r="E8072" s="30" t="inlineStr">
        <is>
          <t>TRANSVIP TRANSPORTE DE VALORES E VIGILANCIA PATRIMONIAL LTDA</t>
        </is>
      </c>
      <c r="F8072" s="30" t="inlineStr">
        <is>
          <t>2018</t>
        </is>
      </c>
      <c r="G8072" s="40" t="n">
        <v>172714.24</v>
      </c>
    </row>
    <row r="8073" ht="12" customHeight="1">
      <c r="A8073" s="30" t="inlineStr">
        <is>
          <t>ITG</t>
        </is>
      </c>
      <c r="B8073" s="30" t="inlineStr">
        <is>
          <t>Itaguai</t>
        </is>
      </c>
      <c r="C8073" s="30" t="n">
        <v>86320053</v>
      </c>
      <c r="D8073" s="30">
        <f>"02445414000583"</f>
        <v/>
      </c>
      <c r="E8073" s="30" t="inlineStr">
        <is>
          <t>TRANSVIP TRANSPORTE DE VALORES E VIGILANCIA PATRIMONIAL LTDA</t>
        </is>
      </c>
      <c r="F8073" s="30" t="inlineStr">
        <is>
          <t>2019</t>
        </is>
      </c>
      <c r="G8073" s="40" t="n">
        <v>754525.11</v>
      </c>
    </row>
    <row r="8074" ht="12" customHeight="1">
      <c r="A8074" s="30" t="inlineStr">
        <is>
          <t>ITG</t>
        </is>
      </c>
      <c r="B8074" s="30" t="inlineStr">
        <is>
          <t>Itaguai</t>
        </is>
      </c>
      <c r="C8074" s="30" t="n">
        <v>86320053</v>
      </c>
      <c r="D8074" s="30">
        <f>"02445414000583"</f>
        <v/>
      </c>
      <c r="E8074" s="30" t="inlineStr">
        <is>
          <t>TRANSVIP TRANSPORTE DE VALORES E VIGILANCIA PATRIMONIAL LTDA</t>
        </is>
      </c>
      <c r="F8074" s="30" t="inlineStr">
        <is>
          <t>2020</t>
        </is>
      </c>
      <c r="G8074" s="40" t="n">
        <v>0</v>
      </c>
    </row>
    <row r="8075" ht="12" customHeight="1">
      <c r="A8075" s="30" t="inlineStr">
        <is>
          <t>ITG</t>
        </is>
      </c>
      <c r="B8075" s="30" t="inlineStr">
        <is>
          <t>Itaguai</t>
        </is>
      </c>
      <c r="C8075" s="30" t="n">
        <v>86320053</v>
      </c>
      <c r="D8075" s="30">
        <f>"02445414000583"</f>
        <v/>
      </c>
      <c r="E8075" s="30" t="inlineStr">
        <is>
          <t>TRANSVIP TRANSPORTE DE VALORES E VIGILANCIA PATRIMONIAL LTDA</t>
        </is>
      </c>
      <c r="F8075" s="30" t="inlineStr">
        <is>
          <t>2021</t>
        </is>
      </c>
      <c r="G8075" s="40" t="n">
        <v>0</v>
      </c>
    </row>
    <row r="8076" ht="12" customHeight="1">
      <c r="A8076" s="30" t="inlineStr">
        <is>
          <t>ITG</t>
        </is>
      </c>
      <c r="B8076" s="30" t="inlineStr">
        <is>
          <t>Itaguai</t>
        </is>
      </c>
      <c r="C8076" s="30" t="n">
        <v>86344335</v>
      </c>
      <c r="D8076" s="30">
        <f>"02412371000106"</f>
        <v/>
      </c>
      <c r="E8076" s="30" t="inlineStr">
        <is>
          <t>TREVO LOCAR TRANSPORTES LTDA EPP</t>
        </is>
      </c>
      <c r="F8076" s="30" t="inlineStr">
        <is>
          <t>2017</t>
        </is>
      </c>
      <c r="G8076" s="40" t="n">
        <v>0</v>
      </c>
    </row>
    <row r="8077" ht="12" customHeight="1">
      <c r="A8077" s="30" t="inlineStr">
        <is>
          <t>ITG</t>
        </is>
      </c>
      <c r="B8077" s="30" t="inlineStr">
        <is>
          <t>Itaguai</t>
        </is>
      </c>
      <c r="C8077" s="30" t="n">
        <v>86344335</v>
      </c>
      <c r="D8077" s="30">
        <f>"02412371000106"</f>
        <v/>
      </c>
      <c r="E8077" s="30" t="inlineStr">
        <is>
          <t>TREVO LOCAR TRANSPORTES LTDA EPP</t>
        </is>
      </c>
      <c r="F8077" s="30" t="inlineStr">
        <is>
          <t>2018</t>
        </is>
      </c>
      <c r="G8077" s="40" t="n">
        <v>0</v>
      </c>
    </row>
    <row r="8078" ht="12" customHeight="1">
      <c r="A8078" s="30" t="inlineStr">
        <is>
          <t>ITG</t>
        </is>
      </c>
      <c r="B8078" s="30" t="inlineStr">
        <is>
          <t>Itaguai</t>
        </is>
      </c>
      <c r="C8078" s="30" t="n">
        <v>86344335</v>
      </c>
      <c r="D8078" s="30">
        <f>"02412371000106"</f>
        <v/>
      </c>
      <c r="E8078" s="30" t="inlineStr">
        <is>
          <t>TREVO LOCAR TRANSPORTES LTDA EPP</t>
        </is>
      </c>
      <c r="F8078" s="30" t="inlineStr">
        <is>
          <t>2019</t>
        </is>
      </c>
      <c r="G8078" s="40" t="n">
        <v>3675</v>
      </c>
    </row>
    <row r="8079" ht="12" customHeight="1">
      <c r="A8079" s="30" t="inlineStr">
        <is>
          <t>ITG</t>
        </is>
      </c>
      <c r="B8079" s="30" t="inlineStr">
        <is>
          <t>Itaguai</t>
        </is>
      </c>
      <c r="C8079" s="30" t="n">
        <v>86344335</v>
      </c>
      <c r="D8079" s="30">
        <f>"02412371000106"</f>
        <v/>
      </c>
      <c r="E8079" s="30" t="inlineStr">
        <is>
          <t>TREVO LOCAR TRANSPORTES LTDA EPP</t>
        </is>
      </c>
      <c r="F8079" s="30" t="inlineStr">
        <is>
          <t>2020</t>
        </is>
      </c>
      <c r="G8079" s="40" t="n">
        <v>14700</v>
      </c>
    </row>
    <row r="8080" ht="12" customHeight="1">
      <c r="A8080" s="30" t="inlineStr">
        <is>
          <t>ITG</t>
        </is>
      </c>
      <c r="B8080" s="30" t="inlineStr">
        <is>
          <t>Itaguai</t>
        </is>
      </c>
      <c r="C8080" s="30" t="n">
        <v>86344335</v>
      </c>
      <c r="D8080" s="30">
        <f>"02412371000106"</f>
        <v/>
      </c>
      <c r="E8080" s="30" t="inlineStr">
        <is>
          <t>TREVO LOCAR TRANSPORTES LTDA EPP</t>
        </is>
      </c>
      <c r="F8080" s="30" t="inlineStr">
        <is>
          <t>2021</t>
        </is>
      </c>
      <c r="G8080" s="40" t="n">
        <v>12862.5</v>
      </c>
    </row>
    <row r="8081" ht="12" customHeight="1">
      <c r="A8081" s="30" t="inlineStr">
        <is>
          <t>ITG</t>
        </is>
      </c>
      <c r="B8081" s="30" t="inlineStr">
        <is>
          <t>Itaguai</t>
        </is>
      </c>
      <c r="C8081" s="30" t="n">
        <v>86344335</v>
      </c>
      <c r="D8081" s="30">
        <f>"02412371000106"</f>
        <v/>
      </c>
      <c r="E8081" s="30" t="inlineStr">
        <is>
          <t>TREVO LOCAR TRANSPORTES LTDA EPP</t>
        </is>
      </c>
      <c r="F8081" s="30" t="inlineStr">
        <is>
          <t>2022</t>
        </is>
      </c>
      <c r="G8081" s="40" t="n">
        <v>0</v>
      </c>
    </row>
    <row r="8082" ht="12" customHeight="1">
      <c r="A8082" s="30" t="inlineStr">
        <is>
          <t>ITG</t>
        </is>
      </c>
      <c r="B8082" s="30" t="inlineStr">
        <is>
          <t>Itaguai</t>
        </is>
      </c>
      <c r="C8082" s="30" t="n">
        <v>86344335</v>
      </c>
      <c r="D8082" s="30">
        <f>"02412371000106"</f>
        <v/>
      </c>
      <c r="E8082" s="30" t="inlineStr">
        <is>
          <t>TREVO LOCAR TRANSPORTES LTDA EPP</t>
        </is>
      </c>
      <c r="F8082" s="30" t="inlineStr">
        <is>
          <t>2023</t>
        </is>
      </c>
      <c r="G8082" s="40" t="n">
        <v>0</v>
      </c>
    </row>
    <row r="8083" ht="12" customHeight="1">
      <c r="A8083" s="30" t="inlineStr">
        <is>
          <t>ITG</t>
        </is>
      </c>
      <c r="B8083" s="30" t="inlineStr">
        <is>
          <t>Itaguai</t>
        </is>
      </c>
      <c r="C8083" s="30" t="n">
        <v>86356953</v>
      </c>
      <c r="D8083" s="30">
        <f>"02191152000144"</f>
        <v/>
      </c>
      <c r="E8083" s="30" t="inlineStr">
        <is>
          <t>BELLA ROMA SECURITY DIGITAL LTDA ME</t>
        </is>
      </c>
      <c r="F8083" s="30" t="inlineStr">
        <is>
          <t>2017</t>
        </is>
      </c>
      <c r="G8083" s="40" t="n">
        <v>0</v>
      </c>
    </row>
    <row r="8084" ht="12" customHeight="1">
      <c r="A8084" s="30" t="inlineStr">
        <is>
          <t>ITG</t>
        </is>
      </c>
      <c r="B8084" s="30" t="inlineStr">
        <is>
          <t>Itaguai</t>
        </is>
      </c>
      <c r="C8084" s="30" t="n">
        <v>86356953</v>
      </c>
      <c r="D8084" s="30">
        <f>"02191152000144"</f>
        <v/>
      </c>
      <c r="E8084" s="30" t="inlineStr">
        <is>
          <t>BELLA ROMA SECURITY DIGITAL LTDA ME</t>
        </is>
      </c>
      <c r="F8084" s="30" t="inlineStr">
        <is>
          <t>2018</t>
        </is>
      </c>
      <c r="G8084" s="40" t="n">
        <v>0</v>
      </c>
    </row>
    <row r="8085" ht="12" customHeight="1">
      <c r="A8085" s="30" t="inlineStr">
        <is>
          <t>ITG</t>
        </is>
      </c>
      <c r="B8085" s="30" t="inlineStr">
        <is>
          <t>Itaguai</t>
        </is>
      </c>
      <c r="C8085" s="30" t="n">
        <v>86356953</v>
      </c>
      <c r="D8085" s="30">
        <f>"02191152000144"</f>
        <v/>
      </c>
      <c r="E8085" s="30" t="inlineStr">
        <is>
          <t>BELLA ROMA SECURITY DIGITAL LTDA ME</t>
        </is>
      </c>
      <c r="F8085" s="30" t="inlineStr">
        <is>
          <t>2019</t>
        </is>
      </c>
      <c r="G8085" s="40" t="n">
        <v>0</v>
      </c>
    </row>
    <row r="8086" ht="12" customHeight="1">
      <c r="A8086" s="30" t="inlineStr">
        <is>
          <t>ITG</t>
        </is>
      </c>
      <c r="B8086" s="30" t="inlineStr">
        <is>
          <t>Itaguai</t>
        </is>
      </c>
      <c r="C8086" s="30" t="n">
        <v>86356953</v>
      </c>
      <c r="D8086" s="30">
        <f>"02191152000144"</f>
        <v/>
      </c>
      <c r="E8086" s="30" t="inlineStr">
        <is>
          <t>BELLA ROMA SECURITY DIGITAL LTDA ME</t>
        </is>
      </c>
      <c r="F8086" s="30" t="inlineStr">
        <is>
          <t>2020</t>
        </is>
      </c>
      <c r="G8086" s="40" t="n">
        <v>0</v>
      </c>
    </row>
    <row r="8087" ht="12" customHeight="1">
      <c r="A8087" s="30" t="inlineStr">
        <is>
          <t>ITG</t>
        </is>
      </c>
      <c r="B8087" s="30" t="inlineStr">
        <is>
          <t>Itaguai</t>
        </is>
      </c>
      <c r="C8087" s="30" t="n">
        <v>86374005</v>
      </c>
      <c r="D8087" s="30">
        <f>"02277810000115"</f>
        <v/>
      </c>
      <c r="E8087" s="30" t="inlineStr">
        <is>
          <t>A L MONCAO PINTO ME</t>
        </is>
      </c>
      <c r="F8087" s="30" t="inlineStr">
        <is>
          <t>2019</t>
        </is>
      </c>
      <c r="G8087" s="40" t="n">
        <v>0</v>
      </c>
    </row>
    <row r="8088" ht="12" customHeight="1">
      <c r="A8088" s="30" t="inlineStr">
        <is>
          <t>ITG</t>
        </is>
      </c>
      <c r="B8088" s="30" t="inlineStr">
        <is>
          <t>Itaguai</t>
        </is>
      </c>
      <c r="C8088" s="30" t="n">
        <v>86374005</v>
      </c>
      <c r="D8088" s="30">
        <f>"02277810000115"</f>
        <v/>
      </c>
      <c r="E8088" s="30" t="inlineStr">
        <is>
          <t>A L MONCAO PINTO ME</t>
        </is>
      </c>
      <c r="F8088" s="30" t="inlineStr">
        <is>
          <t>2020</t>
        </is>
      </c>
      <c r="G8088" s="40" t="n">
        <v>0</v>
      </c>
    </row>
    <row r="8089" ht="12" customHeight="1">
      <c r="A8089" s="30" t="inlineStr">
        <is>
          <t>ITG</t>
        </is>
      </c>
      <c r="B8089" s="30" t="inlineStr">
        <is>
          <t>Itaguai</t>
        </is>
      </c>
      <c r="C8089" s="30" t="n">
        <v>86374005</v>
      </c>
      <c r="D8089" s="30">
        <f>"02277810000115"</f>
        <v/>
      </c>
      <c r="E8089" s="30" t="inlineStr">
        <is>
          <t>A L MONCAO PINTO ME</t>
        </is>
      </c>
      <c r="F8089" s="30" t="inlineStr">
        <is>
          <t>2021</t>
        </is>
      </c>
      <c r="G8089" s="40" t="n">
        <v>1800</v>
      </c>
    </row>
    <row r="8090" ht="12" customHeight="1">
      <c r="A8090" s="30" t="inlineStr">
        <is>
          <t>ITG</t>
        </is>
      </c>
      <c r="B8090" s="30" t="inlineStr">
        <is>
          <t>Itaguai</t>
        </is>
      </c>
      <c r="C8090" s="30" t="n">
        <v>86374005</v>
      </c>
      <c r="D8090" s="30">
        <f>"02277810000115"</f>
        <v/>
      </c>
      <c r="E8090" s="30" t="inlineStr">
        <is>
          <t>A L MONCAO PINTO ME</t>
        </is>
      </c>
      <c r="F8090" s="30" t="inlineStr">
        <is>
          <t>2022</t>
        </is>
      </c>
      <c r="G8090" s="40" t="n">
        <v>0</v>
      </c>
    </row>
    <row r="8091" ht="12" customHeight="1">
      <c r="A8091" s="30" t="inlineStr">
        <is>
          <t>ITG</t>
        </is>
      </c>
      <c r="B8091" s="30" t="inlineStr">
        <is>
          <t>Itaguai</t>
        </is>
      </c>
      <c r="C8091" s="30" t="n">
        <v>86374005</v>
      </c>
      <c r="D8091" s="30">
        <f>"02277810000115"</f>
        <v/>
      </c>
      <c r="E8091" s="30" t="inlineStr">
        <is>
          <t>A L MONCAO PINTO ME</t>
        </is>
      </c>
      <c r="F8091" s="30" t="inlineStr">
        <is>
          <t>2023</t>
        </is>
      </c>
      <c r="G8091" s="40" t="n">
        <v>0</v>
      </c>
    </row>
    <row r="8092" ht="12" customHeight="1">
      <c r="A8092" s="30" t="inlineStr">
        <is>
          <t>ITG</t>
        </is>
      </c>
      <c r="B8092" s="30" t="inlineStr">
        <is>
          <t>Itaguai</t>
        </is>
      </c>
      <c r="C8092" s="30" t="n">
        <v>86381397</v>
      </c>
      <c r="D8092" s="30">
        <f>"03415979000157"</f>
        <v/>
      </c>
      <c r="E8092" s="30" t="inlineStr">
        <is>
          <t>RESTAURANTE RECANTO DOS PESCADORES DE TERESOPOLIS EIRELI</t>
        </is>
      </c>
      <c r="F8092" s="30" t="inlineStr">
        <is>
          <t>2017</t>
        </is>
      </c>
      <c r="G8092" s="40" t="n">
        <v>0</v>
      </c>
    </row>
    <row r="8093" ht="12" customHeight="1">
      <c r="A8093" s="30" t="inlineStr">
        <is>
          <t>ITG</t>
        </is>
      </c>
      <c r="B8093" s="30" t="inlineStr">
        <is>
          <t>Itaguai</t>
        </is>
      </c>
      <c r="C8093" s="30" t="n">
        <v>86381397</v>
      </c>
      <c r="D8093" s="30">
        <f>"03415979000157"</f>
        <v/>
      </c>
      <c r="E8093" s="30" t="inlineStr">
        <is>
          <t>RESTAURANTE RECANTO DOS PESCADORES DE TERESOPOLIS EIRELI</t>
        </is>
      </c>
      <c r="F8093" s="30" t="inlineStr">
        <is>
          <t>2018</t>
        </is>
      </c>
      <c r="G8093" s="40" t="n">
        <v>0</v>
      </c>
    </row>
    <row r="8094" ht="12" customHeight="1">
      <c r="A8094" s="30" t="inlineStr">
        <is>
          <t>ITG</t>
        </is>
      </c>
      <c r="B8094" s="30" t="inlineStr">
        <is>
          <t>Itaguai</t>
        </is>
      </c>
      <c r="C8094" s="30" t="n">
        <v>86381397</v>
      </c>
      <c r="D8094" s="30">
        <f>"03415979000157"</f>
        <v/>
      </c>
      <c r="E8094" s="30" t="inlineStr">
        <is>
          <t>RESTAURANTE RECANTO DOS PESCADORES DE TERESOPOLIS EIRELI</t>
        </is>
      </c>
      <c r="F8094" s="30" t="inlineStr">
        <is>
          <t>2019</t>
        </is>
      </c>
      <c r="G8094" s="40" t="n">
        <v>64780</v>
      </c>
    </row>
    <row r="8095" ht="12" customHeight="1">
      <c r="A8095" s="30" t="inlineStr">
        <is>
          <t>ITG</t>
        </is>
      </c>
      <c r="B8095" s="30" t="inlineStr">
        <is>
          <t>Itaguai</t>
        </is>
      </c>
      <c r="C8095" s="30" t="n">
        <v>86381397</v>
      </c>
      <c r="D8095" s="30">
        <f>"03415979000157"</f>
        <v/>
      </c>
      <c r="E8095" s="30" t="inlineStr">
        <is>
          <t>RESTAURANTE RECANTO DOS PESCADORES DE TERESOPOLIS EIRELI</t>
        </is>
      </c>
      <c r="F8095" s="30" t="inlineStr">
        <is>
          <t>2020</t>
        </is>
      </c>
      <c r="G8095" s="40" t="n">
        <v>10892</v>
      </c>
    </row>
    <row r="8096" ht="12" customHeight="1">
      <c r="A8096" s="30" t="inlineStr">
        <is>
          <t>ITG</t>
        </is>
      </c>
      <c r="B8096" s="30" t="inlineStr">
        <is>
          <t>Itaguai</t>
        </is>
      </c>
      <c r="C8096" s="30" t="n">
        <v>86381397</v>
      </c>
      <c r="D8096" s="30">
        <f>"03415979000157"</f>
        <v/>
      </c>
      <c r="E8096" s="30" t="inlineStr">
        <is>
          <t>RESTAURANTE RECANTO DOS PESCADORES DE TERESOPOLIS EIRELI</t>
        </is>
      </c>
      <c r="F8096" s="30" t="inlineStr">
        <is>
          <t>2021</t>
        </is>
      </c>
      <c r="G8096" s="40" t="n">
        <v>0</v>
      </c>
    </row>
    <row r="8097" ht="12" customHeight="1">
      <c r="A8097" s="30" t="inlineStr">
        <is>
          <t>ITG</t>
        </is>
      </c>
      <c r="B8097" s="30" t="inlineStr">
        <is>
          <t>Itaguai</t>
        </is>
      </c>
      <c r="C8097" s="30" t="n">
        <v>86381397</v>
      </c>
      <c r="D8097" s="30">
        <f>"03415979000157"</f>
        <v/>
      </c>
      <c r="E8097" s="30" t="inlineStr">
        <is>
          <t>RESTAURANTE RECANTO DOS PESCADORES DE TERESOPOLIS EIRELI</t>
        </is>
      </c>
      <c r="F8097" s="30" t="inlineStr">
        <is>
          <t>2022</t>
        </is>
      </c>
      <c r="G8097" s="40" t="n">
        <v>0</v>
      </c>
    </row>
    <row r="8098" ht="12" customHeight="1">
      <c r="A8098" s="30" t="inlineStr">
        <is>
          <t>ITG</t>
        </is>
      </c>
      <c r="B8098" s="30" t="inlineStr">
        <is>
          <t>Itaguai</t>
        </is>
      </c>
      <c r="C8098" s="30" t="n">
        <v>86399393</v>
      </c>
      <c r="D8098" s="30">
        <f>"01489122000156"</f>
        <v/>
      </c>
      <c r="E8098" s="30" t="inlineStr">
        <is>
          <t>TJ4 TRANSPORTES EIRELI</t>
        </is>
      </c>
      <c r="F8098" s="30" t="inlineStr">
        <is>
          <t>2017</t>
        </is>
      </c>
      <c r="G8098" s="40" t="n">
        <v>0</v>
      </c>
    </row>
    <row r="8099" ht="12" customHeight="1">
      <c r="A8099" s="30" t="inlineStr">
        <is>
          <t>ITG</t>
        </is>
      </c>
      <c r="B8099" s="30" t="inlineStr">
        <is>
          <t>Itaguai</t>
        </is>
      </c>
      <c r="C8099" s="30" t="n">
        <v>86399393</v>
      </c>
      <c r="D8099" s="30">
        <f>"01489122000156"</f>
        <v/>
      </c>
      <c r="E8099" s="30" t="inlineStr">
        <is>
          <t>TJ4 TRANSPORTES EIRELI</t>
        </is>
      </c>
      <c r="F8099" s="30" t="inlineStr">
        <is>
          <t>2018</t>
        </is>
      </c>
      <c r="G8099" s="40" t="n">
        <v>97.63</v>
      </c>
    </row>
    <row r="8100" ht="12" customHeight="1">
      <c r="A8100" s="30" t="inlineStr">
        <is>
          <t>ITG</t>
        </is>
      </c>
      <c r="B8100" s="30" t="inlineStr">
        <is>
          <t>Itaguai</t>
        </is>
      </c>
      <c r="C8100" s="30" t="n">
        <v>86399393</v>
      </c>
      <c r="D8100" s="30">
        <f>"01489122000156"</f>
        <v/>
      </c>
      <c r="E8100" s="30" t="inlineStr">
        <is>
          <t>TJ4 TRANSPORTES EIRELI</t>
        </is>
      </c>
      <c r="F8100" s="30" t="inlineStr">
        <is>
          <t>2019</t>
        </is>
      </c>
      <c r="G8100" s="40" t="n">
        <v>105.52</v>
      </c>
    </row>
    <row r="8101" ht="12" customHeight="1">
      <c r="A8101" s="30" t="inlineStr">
        <is>
          <t>ITG</t>
        </is>
      </c>
      <c r="B8101" s="30" t="inlineStr">
        <is>
          <t>Itaguai</t>
        </is>
      </c>
      <c r="C8101" s="30" t="n">
        <v>86399393</v>
      </c>
      <c r="D8101" s="30">
        <f>"01489122000156"</f>
        <v/>
      </c>
      <c r="E8101" s="30" t="inlineStr">
        <is>
          <t>TJ4 TRANSPORTES EIRELI</t>
        </is>
      </c>
      <c r="F8101" s="30" t="inlineStr">
        <is>
          <t>2020</t>
        </is>
      </c>
      <c r="G8101" s="40" t="n">
        <v>0</v>
      </c>
    </row>
    <row r="8102" ht="12" customHeight="1">
      <c r="A8102" s="30" t="inlineStr">
        <is>
          <t>ITG</t>
        </is>
      </c>
      <c r="B8102" s="30" t="inlineStr">
        <is>
          <t>Itaguai</t>
        </is>
      </c>
      <c r="C8102" s="30" t="n">
        <v>86399393</v>
      </c>
      <c r="D8102" s="30">
        <f>"01489122000156"</f>
        <v/>
      </c>
      <c r="E8102" s="30" t="inlineStr">
        <is>
          <t>TJ4 TRANSPORTES EIRELI</t>
        </is>
      </c>
      <c r="F8102" s="30" t="inlineStr">
        <is>
          <t>2021</t>
        </is>
      </c>
      <c r="G8102" s="40" t="n">
        <v>0</v>
      </c>
    </row>
    <row r="8103" ht="12" customHeight="1">
      <c r="A8103" s="30" t="inlineStr">
        <is>
          <t>ITG</t>
        </is>
      </c>
      <c r="B8103" s="30" t="inlineStr">
        <is>
          <t>Itaguai</t>
        </is>
      </c>
      <c r="C8103" s="30" t="n">
        <v>86441071</v>
      </c>
      <c r="D8103" s="30">
        <f>"32492373002086"</f>
        <v/>
      </c>
      <c r="E8103" s="30" t="inlineStr">
        <is>
          <t>TRANSPORTE EXCELSIOR LTDA</t>
        </is>
      </c>
      <c r="F8103" s="30" t="inlineStr">
        <is>
          <t>2017</t>
        </is>
      </c>
      <c r="G8103" s="40" t="n">
        <v>1266</v>
      </c>
    </row>
    <row r="8104" ht="12" customHeight="1">
      <c r="A8104" s="30" t="inlineStr">
        <is>
          <t>ITG</t>
        </is>
      </c>
      <c r="B8104" s="30" t="inlineStr">
        <is>
          <t>Itaguai</t>
        </is>
      </c>
      <c r="C8104" s="30" t="n">
        <v>86441071</v>
      </c>
      <c r="D8104" s="30">
        <f>"32492373002086"</f>
        <v/>
      </c>
      <c r="E8104" s="30" t="inlineStr">
        <is>
          <t>TRANSPORTE EXCELSIOR LTDA</t>
        </is>
      </c>
      <c r="F8104" s="30" t="inlineStr">
        <is>
          <t>2018</t>
        </is>
      </c>
      <c r="G8104" s="40" t="n">
        <v>0</v>
      </c>
    </row>
    <row r="8105" ht="12" customHeight="1">
      <c r="A8105" s="30" t="inlineStr">
        <is>
          <t>ITG</t>
        </is>
      </c>
      <c r="B8105" s="30" t="inlineStr">
        <is>
          <t>Itaguai</t>
        </is>
      </c>
      <c r="C8105" s="30" t="n">
        <v>86441071</v>
      </c>
      <c r="D8105" s="30">
        <f>"32492373002086"</f>
        <v/>
      </c>
      <c r="E8105" s="30" t="inlineStr">
        <is>
          <t>TRANSPORTE EXCELSIOR LTDA</t>
        </is>
      </c>
      <c r="F8105" s="30" t="inlineStr">
        <is>
          <t>2019</t>
        </is>
      </c>
      <c r="G8105" s="40" t="n">
        <v>3032.15</v>
      </c>
    </row>
    <row r="8106" ht="12" customHeight="1">
      <c r="A8106" s="30" t="inlineStr">
        <is>
          <t>ITG</t>
        </is>
      </c>
      <c r="B8106" s="30" t="inlineStr">
        <is>
          <t>Itaguai</t>
        </is>
      </c>
      <c r="C8106" s="30" t="n">
        <v>86441071</v>
      </c>
      <c r="D8106" s="30">
        <f>"32492373002086"</f>
        <v/>
      </c>
      <c r="E8106" s="30" t="inlineStr">
        <is>
          <t>TRANSPORTE EXCELSIOR LTDA</t>
        </is>
      </c>
      <c r="F8106" s="30" t="inlineStr">
        <is>
          <t>2020</t>
        </is>
      </c>
      <c r="G8106" s="40" t="n">
        <v>0</v>
      </c>
    </row>
    <row r="8107" ht="12" customHeight="1">
      <c r="A8107" s="30" t="inlineStr">
        <is>
          <t>ITG</t>
        </is>
      </c>
      <c r="B8107" s="30" t="inlineStr">
        <is>
          <t>Itaguai</t>
        </is>
      </c>
      <c r="C8107" s="30" t="n">
        <v>86441071</v>
      </c>
      <c r="D8107" s="30">
        <f>"32492373002086"</f>
        <v/>
      </c>
      <c r="E8107" s="30" t="inlineStr">
        <is>
          <t>TRANSPORTE EXCELSIOR LTDA</t>
        </is>
      </c>
      <c r="F8107" s="30" t="inlineStr">
        <is>
          <t>2021</t>
        </is>
      </c>
      <c r="G8107" s="40" t="n">
        <v>10934.4</v>
      </c>
    </row>
    <row r="8108" ht="12" customHeight="1">
      <c r="A8108" s="30" t="inlineStr">
        <is>
          <t>ITG</t>
        </is>
      </c>
      <c r="B8108" s="30" t="inlineStr">
        <is>
          <t>Itaguai</t>
        </is>
      </c>
      <c r="C8108" s="30" t="n">
        <v>86441071</v>
      </c>
      <c r="D8108" s="30">
        <f>"32492373002086"</f>
        <v/>
      </c>
      <c r="E8108" s="30" t="inlineStr">
        <is>
          <t>TRANSPORTE EXCELSIOR LTDA</t>
        </is>
      </c>
      <c r="F8108" s="30" t="inlineStr">
        <is>
          <t>2022</t>
        </is>
      </c>
      <c r="G8108" s="40" t="n">
        <v>2153.41</v>
      </c>
    </row>
    <row r="8109" ht="12" customHeight="1">
      <c r="A8109" s="30" t="inlineStr">
        <is>
          <t>ITG</t>
        </is>
      </c>
      <c r="B8109" s="30" t="inlineStr">
        <is>
          <t>Itaguai</t>
        </is>
      </c>
      <c r="C8109" s="30" t="n">
        <v>86441071</v>
      </c>
      <c r="D8109" s="30">
        <f>"32492373002086"</f>
        <v/>
      </c>
      <c r="E8109" s="30" t="inlineStr">
        <is>
          <t>TRANSPORTE EXCELSIOR LTDA</t>
        </is>
      </c>
      <c r="F8109" s="30" t="inlineStr">
        <is>
          <t>2023</t>
        </is>
      </c>
      <c r="G8109" s="40" t="n">
        <v>0</v>
      </c>
    </row>
    <row r="8110" ht="12" customHeight="1">
      <c r="A8110" s="30" t="inlineStr">
        <is>
          <t>ITG</t>
        </is>
      </c>
      <c r="B8110" s="30" t="inlineStr">
        <is>
          <t>Itaguai</t>
        </is>
      </c>
      <c r="C8110" s="30" t="n">
        <v>86507129</v>
      </c>
      <c r="D8110" s="30">
        <f>"17349724000148"</f>
        <v/>
      </c>
      <c r="E8110" s="30" t="inlineStr">
        <is>
          <t>ARGAMASSAS SANTA LUZIA LTDA</t>
        </is>
      </c>
      <c r="F8110" s="30" t="inlineStr">
        <is>
          <t>2017</t>
        </is>
      </c>
      <c r="G8110" s="40" t="n">
        <v>0</v>
      </c>
    </row>
    <row r="8111" ht="12" customHeight="1">
      <c r="A8111" s="30" t="inlineStr">
        <is>
          <t>ITG</t>
        </is>
      </c>
      <c r="B8111" s="30" t="inlineStr">
        <is>
          <t>Itaguai</t>
        </is>
      </c>
      <c r="C8111" s="30" t="n">
        <v>86507129</v>
      </c>
      <c r="D8111" s="30">
        <f>"17349724000148"</f>
        <v/>
      </c>
      <c r="E8111" s="30" t="inlineStr">
        <is>
          <t>ARGAMASSAS SANTA LUZIA LTDA</t>
        </is>
      </c>
      <c r="F8111" s="30" t="inlineStr">
        <is>
          <t>2018</t>
        </is>
      </c>
      <c r="G8111" s="40" t="n">
        <v>0</v>
      </c>
    </row>
    <row r="8112" ht="12" customHeight="1">
      <c r="A8112" s="30" t="inlineStr">
        <is>
          <t>ITG</t>
        </is>
      </c>
      <c r="B8112" s="30" t="inlineStr">
        <is>
          <t>Itaguai</t>
        </is>
      </c>
      <c r="C8112" s="30" t="n">
        <v>86507129</v>
      </c>
      <c r="D8112" s="30">
        <f>"17349724000148"</f>
        <v/>
      </c>
      <c r="E8112" s="30" t="inlineStr">
        <is>
          <t>ARGAMASSAS SANTA LUZIA LTDA</t>
        </is>
      </c>
      <c r="F8112" s="30" t="inlineStr">
        <is>
          <t>2019</t>
        </is>
      </c>
      <c r="G8112" s="40" t="n">
        <v>635659.41</v>
      </c>
    </row>
    <row r="8113" ht="12" customHeight="1">
      <c r="A8113" s="30" t="inlineStr">
        <is>
          <t>ITG</t>
        </is>
      </c>
      <c r="B8113" s="30" t="inlineStr">
        <is>
          <t>Itaguai</t>
        </is>
      </c>
      <c r="C8113" s="30" t="n">
        <v>86507129</v>
      </c>
      <c r="D8113" s="30">
        <f>"17349724000148"</f>
        <v/>
      </c>
      <c r="E8113" s="30" t="inlineStr">
        <is>
          <t>ARGAMASSAS SANTA LUZIA LTDA</t>
        </is>
      </c>
      <c r="F8113" s="30" t="inlineStr">
        <is>
          <t>2020</t>
        </is>
      </c>
      <c r="G8113" s="40" t="n">
        <v>2022298.83</v>
      </c>
    </row>
    <row r="8114" ht="12" customHeight="1">
      <c r="A8114" s="30" t="inlineStr">
        <is>
          <t>ITG</t>
        </is>
      </c>
      <c r="B8114" s="30" t="inlineStr">
        <is>
          <t>Itaguai</t>
        </is>
      </c>
      <c r="C8114" s="30" t="n">
        <v>86507129</v>
      </c>
      <c r="D8114" s="30">
        <f>"17349724000148"</f>
        <v/>
      </c>
      <c r="E8114" s="30" t="inlineStr">
        <is>
          <t>ARGAMASSAS SANTA LUZIA LTDA</t>
        </is>
      </c>
      <c r="F8114" s="30" t="inlineStr">
        <is>
          <t>2021</t>
        </is>
      </c>
      <c r="G8114" s="40" t="n">
        <v>3402467.54</v>
      </c>
    </row>
    <row r="8115" ht="12" customHeight="1">
      <c r="A8115" s="30" t="inlineStr">
        <is>
          <t>ITG</t>
        </is>
      </c>
      <c r="B8115" s="30" t="inlineStr">
        <is>
          <t>Itaguai</t>
        </is>
      </c>
      <c r="C8115" s="30" t="n">
        <v>86507129</v>
      </c>
      <c r="D8115" s="30">
        <f>"17349724000148"</f>
        <v/>
      </c>
      <c r="E8115" s="30" t="inlineStr">
        <is>
          <t>ARGAMASSAS SANTA LUZIA LTDA</t>
        </is>
      </c>
      <c r="F8115" s="30" t="inlineStr">
        <is>
          <t>2022</t>
        </is>
      </c>
      <c r="G8115" s="40" t="n">
        <v>4164602.13</v>
      </c>
    </row>
    <row r="8116" ht="12" customHeight="1">
      <c r="A8116" s="30" t="inlineStr">
        <is>
          <t>ITG</t>
        </is>
      </c>
      <c r="B8116" s="30" t="inlineStr">
        <is>
          <t>Itaguai</t>
        </is>
      </c>
      <c r="C8116" s="30" t="n">
        <v>86507129</v>
      </c>
      <c r="D8116" s="30">
        <f>"17349724000148"</f>
        <v/>
      </c>
      <c r="E8116" s="30" t="inlineStr">
        <is>
          <t>ARGAMASSAS SANTA LUZIA LTDA</t>
        </is>
      </c>
      <c r="F8116" s="30" t="inlineStr">
        <is>
          <t>2023</t>
        </is>
      </c>
      <c r="G8116" s="40" t="n">
        <v>5862993.07</v>
      </c>
    </row>
    <row r="8117" ht="12" customHeight="1">
      <c r="A8117" s="30" t="inlineStr">
        <is>
          <t>ITG</t>
        </is>
      </c>
      <c r="B8117" s="30" t="inlineStr">
        <is>
          <t>Itaguai</t>
        </is>
      </c>
      <c r="C8117" s="30" t="n">
        <v>86515636</v>
      </c>
      <c r="D8117" s="30">
        <f>"18866553000197"</f>
        <v/>
      </c>
      <c r="E8117" s="30" t="inlineStr">
        <is>
          <t>SVF COMERCIO DE BEBIDAS E DESCARTAVEIS EIRELI</t>
        </is>
      </c>
      <c r="F8117" s="30" t="inlineStr">
        <is>
          <t>2017</t>
        </is>
      </c>
      <c r="G8117" s="40" t="n">
        <v>0</v>
      </c>
    </row>
    <row r="8118" ht="12" customHeight="1">
      <c r="A8118" s="30" t="inlineStr">
        <is>
          <t>ITG</t>
        </is>
      </c>
      <c r="B8118" s="30" t="inlineStr">
        <is>
          <t>Itaguai</t>
        </is>
      </c>
      <c r="C8118" s="30" t="n">
        <v>86515636</v>
      </c>
      <c r="D8118" s="30">
        <f>"18866553000197"</f>
        <v/>
      </c>
      <c r="E8118" s="30" t="inlineStr">
        <is>
          <t>SVF COMERCIO DE BEBIDAS E DESCARTAVEIS EIRELI</t>
        </is>
      </c>
      <c r="F8118" s="30" t="inlineStr">
        <is>
          <t>2018</t>
        </is>
      </c>
      <c r="G8118" s="40" t="n">
        <v>0</v>
      </c>
    </row>
    <row r="8119" ht="12" customHeight="1">
      <c r="A8119" s="30" t="inlineStr">
        <is>
          <t>ITG</t>
        </is>
      </c>
      <c r="B8119" s="30" t="inlineStr">
        <is>
          <t>Itaguai</t>
        </is>
      </c>
      <c r="C8119" s="30" t="n">
        <v>86515636</v>
      </c>
      <c r="D8119" s="30">
        <f>"18866553000197"</f>
        <v/>
      </c>
      <c r="E8119" s="30" t="inlineStr">
        <is>
          <t>SVF COMERCIO DE BEBIDAS E DESCARTAVEIS EIRELI</t>
        </is>
      </c>
      <c r="F8119" s="30" t="inlineStr">
        <is>
          <t>2019</t>
        </is>
      </c>
      <c r="G8119" s="40" t="n">
        <v>0</v>
      </c>
    </row>
    <row r="8120" ht="12" customHeight="1">
      <c r="A8120" s="30" t="inlineStr">
        <is>
          <t>ITG</t>
        </is>
      </c>
      <c r="B8120" s="30" t="inlineStr">
        <is>
          <t>Itaguai</t>
        </is>
      </c>
      <c r="C8120" s="30" t="n">
        <v>86515636</v>
      </c>
      <c r="D8120" s="30">
        <f>"18866553000197"</f>
        <v/>
      </c>
      <c r="E8120" s="30" t="inlineStr">
        <is>
          <t>SVF COMERCIO DE BEBIDAS E DESCARTAVEIS EIRELI</t>
        </is>
      </c>
      <c r="F8120" s="30" t="inlineStr">
        <is>
          <t>2020</t>
        </is>
      </c>
      <c r="G8120" s="40" t="n">
        <v>0</v>
      </c>
    </row>
    <row r="8121" ht="12" customHeight="1">
      <c r="A8121" s="30" t="inlineStr">
        <is>
          <t>ITG</t>
        </is>
      </c>
      <c r="B8121" s="30" t="inlineStr">
        <is>
          <t>Itaguai</t>
        </is>
      </c>
      <c r="C8121" s="30" t="n">
        <v>86518627</v>
      </c>
      <c r="D8121" s="30">
        <f>"09625212000210"</f>
        <v/>
      </c>
      <c r="E8121" s="30" t="inlineStr">
        <is>
          <t>PH MAR CONSULTORIA AMBIENTAL LTDA</t>
        </is>
      </c>
      <c r="F8121" s="30" t="inlineStr">
        <is>
          <t>2017</t>
        </is>
      </c>
      <c r="G8121" s="40" t="n">
        <v>0</v>
      </c>
    </row>
    <row r="8122" ht="12" customHeight="1">
      <c r="A8122" s="30" t="inlineStr">
        <is>
          <t>ITG</t>
        </is>
      </c>
      <c r="B8122" s="30" t="inlineStr">
        <is>
          <t>Itaguai</t>
        </is>
      </c>
      <c r="C8122" s="30" t="n">
        <v>86518627</v>
      </c>
      <c r="D8122" s="30">
        <f>"09625212000210"</f>
        <v/>
      </c>
      <c r="E8122" s="30" t="inlineStr">
        <is>
          <t>PH MAR CONSULTORIA AMBIENTAL LTDA</t>
        </is>
      </c>
      <c r="F8122" s="30" t="inlineStr">
        <is>
          <t>2018</t>
        </is>
      </c>
      <c r="G8122" s="40" t="n">
        <v>0</v>
      </c>
    </row>
    <row r="8123" ht="12" customHeight="1">
      <c r="A8123" s="30" t="inlineStr">
        <is>
          <t>ITG</t>
        </is>
      </c>
      <c r="B8123" s="30" t="inlineStr">
        <is>
          <t>Itaguai</t>
        </is>
      </c>
      <c r="C8123" s="30" t="n">
        <v>86518627</v>
      </c>
      <c r="D8123" s="30">
        <f>"09625212000210"</f>
        <v/>
      </c>
      <c r="E8123" s="30" t="inlineStr">
        <is>
          <t>PH MAR CONSULTORIA AMBIENTAL LTDA</t>
        </is>
      </c>
      <c r="F8123" s="30" t="inlineStr">
        <is>
          <t>2019</t>
        </is>
      </c>
      <c r="G8123" s="40" t="n">
        <v>0</v>
      </c>
    </row>
    <row r="8124" ht="12" customHeight="1">
      <c r="A8124" s="30" t="inlineStr">
        <is>
          <t>ITG</t>
        </is>
      </c>
      <c r="B8124" s="30" t="inlineStr">
        <is>
          <t>Itaguai</t>
        </is>
      </c>
      <c r="C8124" s="30" t="n">
        <v>86518627</v>
      </c>
      <c r="D8124" s="30">
        <f>"09625212000210"</f>
        <v/>
      </c>
      <c r="E8124" s="30" t="inlineStr">
        <is>
          <t>PH MAR CONSULTORIA AMBIENTAL LTDA</t>
        </is>
      </c>
      <c r="F8124" s="30" t="inlineStr">
        <is>
          <t>2020</t>
        </is>
      </c>
      <c r="G8124" s="40" t="n">
        <v>0</v>
      </c>
    </row>
    <row r="8125" ht="12" customHeight="1">
      <c r="A8125" s="30" t="inlineStr">
        <is>
          <t>ITG</t>
        </is>
      </c>
      <c r="B8125" s="30" t="inlineStr">
        <is>
          <t>Itaguai</t>
        </is>
      </c>
      <c r="C8125" s="30" t="n">
        <v>86521555</v>
      </c>
      <c r="D8125" s="30">
        <f>"18769316000108"</f>
        <v/>
      </c>
      <c r="E8125" s="30" t="inlineStr">
        <is>
          <t>COMERCIO VAREJISTA DE OLEOS LUBRIFICANTES ITAGUAI 1 EIRELI</t>
        </is>
      </c>
      <c r="F8125" s="30" t="inlineStr">
        <is>
          <t>2017</t>
        </is>
      </c>
      <c r="G8125" s="40" t="n">
        <v>0</v>
      </c>
    </row>
    <row r="8126" ht="12" customHeight="1">
      <c r="A8126" s="30" t="inlineStr">
        <is>
          <t>ITG</t>
        </is>
      </c>
      <c r="B8126" s="30" t="inlineStr">
        <is>
          <t>Itaguai</t>
        </is>
      </c>
      <c r="C8126" s="30" t="n">
        <v>86521555</v>
      </c>
      <c r="D8126" s="30">
        <f>"18769316000108"</f>
        <v/>
      </c>
      <c r="E8126" s="30" t="inlineStr">
        <is>
          <t>COMERCIO VAREJISTA DE OLEOS LUBRIFICANTES ITAGUAI 1 EIRELI</t>
        </is>
      </c>
      <c r="F8126" s="30" t="inlineStr">
        <is>
          <t>2018</t>
        </is>
      </c>
      <c r="G8126" s="40" t="n">
        <v>0</v>
      </c>
    </row>
    <row r="8127" ht="12" customHeight="1">
      <c r="A8127" s="30" t="inlineStr">
        <is>
          <t>ITG</t>
        </is>
      </c>
      <c r="B8127" s="30" t="inlineStr">
        <is>
          <t>Itaguai</t>
        </is>
      </c>
      <c r="C8127" s="30" t="n">
        <v>86521555</v>
      </c>
      <c r="D8127" s="30">
        <f>"18769316000108"</f>
        <v/>
      </c>
      <c r="E8127" s="30" t="inlineStr">
        <is>
          <t>COMERCIO VAREJISTA DE OLEOS LUBRIFICANTES ITAGUAI 1 EIRELI</t>
        </is>
      </c>
      <c r="F8127" s="30" t="inlineStr">
        <is>
          <t>2019</t>
        </is>
      </c>
      <c r="G8127" s="40" t="n">
        <v>150</v>
      </c>
    </row>
    <row r="8128" ht="12" customHeight="1">
      <c r="A8128" s="30" t="inlineStr">
        <is>
          <t>ITG</t>
        </is>
      </c>
      <c r="B8128" s="30" t="inlineStr">
        <is>
          <t>Itaguai</t>
        </is>
      </c>
      <c r="C8128" s="30" t="n">
        <v>86521555</v>
      </c>
      <c r="D8128" s="30">
        <f>"18769316000108"</f>
        <v/>
      </c>
      <c r="E8128" s="30" t="inlineStr">
        <is>
          <t>COMERCIO VAREJISTA DE OLEOS LUBRIFICANTES ITAGUAI 1 EIRELI</t>
        </is>
      </c>
      <c r="F8128" s="30" t="inlineStr">
        <is>
          <t>2020</t>
        </is>
      </c>
      <c r="G8128" s="40" t="n">
        <v>0</v>
      </c>
    </row>
    <row r="8129" ht="12" customHeight="1">
      <c r="A8129" s="30" t="inlineStr">
        <is>
          <t>ITG</t>
        </is>
      </c>
      <c r="B8129" s="30" t="inlineStr">
        <is>
          <t>Itaguai</t>
        </is>
      </c>
      <c r="C8129" s="30" t="n">
        <v>86521555</v>
      </c>
      <c r="D8129" s="30">
        <f>"18769316000108"</f>
        <v/>
      </c>
      <c r="E8129" s="30" t="inlineStr">
        <is>
          <t>COMERCIO VAREJISTA DE OLEOS LUBRIFICANTES ITAGUAI 1 EIRELI</t>
        </is>
      </c>
      <c r="F8129" s="30" t="inlineStr">
        <is>
          <t>2021</t>
        </is>
      </c>
      <c r="G8129" s="40" t="n">
        <v>0</v>
      </c>
    </row>
    <row r="8130" ht="12" customHeight="1">
      <c r="A8130" s="30" t="inlineStr">
        <is>
          <t>ITG</t>
        </is>
      </c>
      <c r="B8130" s="30" t="inlineStr">
        <is>
          <t>Itaguai</t>
        </is>
      </c>
      <c r="C8130" s="30" t="n">
        <v>86525712</v>
      </c>
      <c r="D8130" s="30">
        <f>"18872079000106"</f>
        <v/>
      </c>
      <c r="E8130" s="30" t="inlineStr">
        <is>
          <t>MERCADO DOS ANJOS LTDA</t>
        </is>
      </c>
      <c r="F8130" s="30" t="inlineStr">
        <is>
          <t>2017</t>
        </is>
      </c>
      <c r="G8130" s="40" t="n">
        <v>5480687.1</v>
      </c>
    </row>
    <row r="8131" ht="12" customHeight="1">
      <c r="A8131" s="30" t="inlineStr">
        <is>
          <t>ITG</t>
        </is>
      </c>
      <c r="B8131" s="30" t="inlineStr">
        <is>
          <t>Itaguai</t>
        </is>
      </c>
      <c r="C8131" s="30" t="n">
        <v>86525712</v>
      </c>
      <c r="D8131" s="30">
        <f>"18872079000106"</f>
        <v/>
      </c>
      <c r="E8131" s="30" t="inlineStr">
        <is>
          <t>MERCADO DOS ANJOS LTDA</t>
        </is>
      </c>
      <c r="F8131" s="30" t="inlineStr">
        <is>
          <t>2018</t>
        </is>
      </c>
      <c r="G8131" s="40" t="n">
        <v>5345873</v>
      </c>
    </row>
    <row r="8132" ht="12" customHeight="1">
      <c r="A8132" s="30" t="inlineStr">
        <is>
          <t>ITG</t>
        </is>
      </c>
      <c r="B8132" s="30" t="inlineStr">
        <is>
          <t>Itaguai</t>
        </is>
      </c>
      <c r="C8132" s="30" t="n">
        <v>86525712</v>
      </c>
      <c r="D8132" s="30">
        <f>"18872079000106"</f>
        <v/>
      </c>
      <c r="E8132" s="30" t="inlineStr">
        <is>
          <t>MERCADO DOS ANJOS LTDA</t>
        </is>
      </c>
      <c r="F8132" s="30" t="inlineStr">
        <is>
          <t>2019</t>
        </is>
      </c>
      <c r="G8132" s="40" t="n">
        <v>5413024.42</v>
      </c>
    </row>
    <row r="8133" ht="12" customHeight="1">
      <c r="A8133" s="30" t="inlineStr">
        <is>
          <t>ITG</t>
        </is>
      </c>
      <c r="B8133" s="30" t="inlineStr">
        <is>
          <t>Itaguai</t>
        </is>
      </c>
      <c r="C8133" s="30" t="n">
        <v>86525712</v>
      </c>
      <c r="D8133" s="30">
        <f>"18872079000106"</f>
        <v/>
      </c>
      <c r="E8133" s="30" t="inlineStr">
        <is>
          <t>MERCADO DOS ANJOS LTDA</t>
        </is>
      </c>
      <c r="F8133" s="30" t="inlineStr">
        <is>
          <t>2020</t>
        </is>
      </c>
      <c r="G8133" s="40" t="n">
        <v>6489233.24</v>
      </c>
    </row>
    <row r="8134" ht="12" customHeight="1">
      <c r="A8134" s="30" t="inlineStr">
        <is>
          <t>ITG</t>
        </is>
      </c>
      <c r="B8134" s="30" t="inlineStr">
        <is>
          <t>Itaguai</t>
        </is>
      </c>
      <c r="C8134" s="30" t="n">
        <v>86525712</v>
      </c>
      <c r="D8134" s="30">
        <f>"18872079000106"</f>
        <v/>
      </c>
      <c r="E8134" s="30" t="inlineStr">
        <is>
          <t>MERCADO DOS ANJOS LTDA</t>
        </is>
      </c>
      <c r="F8134" s="30" t="inlineStr">
        <is>
          <t>2021</t>
        </is>
      </c>
      <c r="G8134" s="40" t="n">
        <v>4964110.11</v>
      </c>
    </row>
    <row r="8135" ht="12" customHeight="1">
      <c r="A8135" s="30" t="inlineStr">
        <is>
          <t>ITG</t>
        </is>
      </c>
      <c r="B8135" s="30" t="inlineStr">
        <is>
          <t>Itaguai</t>
        </is>
      </c>
      <c r="C8135" s="30" t="n">
        <v>86525712</v>
      </c>
      <c r="D8135" s="30">
        <f>"18872079000106"</f>
        <v/>
      </c>
      <c r="E8135" s="30" t="inlineStr">
        <is>
          <t>MERCADO DOS ANJOS LTDA</t>
        </is>
      </c>
      <c r="F8135" s="30" t="inlineStr">
        <is>
          <t>2022</t>
        </is>
      </c>
      <c r="G8135" s="40" t="n">
        <v>4947008.76</v>
      </c>
    </row>
    <row r="8136" ht="12" customHeight="1">
      <c r="A8136" s="30" t="inlineStr">
        <is>
          <t>ITG</t>
        </is>
      </c>
      <c r="B8136" s="30" t="inlineStr">
        <is>
          <t>Itaguai</t>
        </is>
      </c>
      <c r="C8136" s="30" t="n">
        <v>86525712</v>
      </c>
      <c r="D8136" s="30">
        <f>"18872079000106"</f>
        <v/>
      </c>
      <c r="E8136" s="30" t="inlineStr">
        <is>
          <t>MERCADO DOS ANJOS LTDA</t>
        </is>
      </c>
      <c r="F8136" s="30" t="inlineStr">
        <is>
          <t>2023</t>
        </is>
      </c>
      <c r="G8136" s="40" t="n">
        <v>0</v>
      </c>
    </row>
    <row r="8137" ht="12" customHeight="1">
      <c r="A8137" s="30" t="inlineStr">
        <is>
          <t>ITG</t>
        </is>
      </c>
      <c r="B8137" s="30" t="inlineStr">
        <is>
          <t>Itaguai</t>
        </is>
      </c>
      <c r="C8137" s="30" t="n">
        <v>86532522</v>
      </c>
      <c r="D8137" s="30">
        <f>"11304945000385"</f>
        <v/>
      </c>
      <c r="E8137" s="30" t="inlineStr">
        <is>
          <t>MERCADO SAO FERNANDO 10 LTDA ME</t>
        </is>
      </c>
      <c r="F8137" s="30" t="inlineStr">
        <is>
          <t>2017</t>
        </is>
      </c>
      <c r="G8137" s="40" t="n">
        <v>3974550.01</v>
      </c>
    </row>
    <row r="8138" ht="12" customHeight="1">
      <c r="A8138" s="30" t="inlineStr">
        <is>
          <t>ITG</t>
        </is>
      </c>
      <c r="B8138" s="30" t="inlineStr">
        <is>
          <t>Itaguai</t>
        </is>
      </c>
      <c r="C8138" s="30" t="n">
        <v>86532522</v>
      </c>
      <c r="D8138" s="30">
        <f>"11304945000385"</f>
        <v/>
      </c>
      <c r="E8138" s="30" t="inlineStr">
        <is>
          <t>MERCADO SAO FERNANDO 10 LTDA ME</t>
        </is>
      </c>
      <c r="F8138" s="30" t="inlineStr">
        <is>
          <t>2018</t>
        </is>
      </c>
      <c r="G8138" s="40" t="n">
        <v>64513.87</v>
      </c>
    </row>
    <row r="8139" ht="12" customHeight="1">
      <c r="A8139" s="30" t="inlineStr">
        <is>
          <t>ITG</t>
        </is>
      </c>
      <c r="B8139" s="30" t="inlineStr">
        <is>
          <t>Itaguai</t>
        </is>
      </c>
      <c r="C8139" s="30" t="n">
        <v>86532522</v>
      </c>
      <c r="D8139" s="30">
        <f>"11304945000385"</f>
        <v/>
      </c>
      <c r="E8139" s="30" t="inlineStr">
        <is>
          <t>MERCADO SAO FERNANDO 10 LTDA ME</t>
        </is>
      </c>
      <c r="F8139" s="30" t="inlineStr">
        <is>
          <t>2019</t>
        </is>
      </c>
      <c r="G8139" s="40" t="n">
        <v>4210092.82</v>
      </c>
    </row>
    <row r="8140" ht="12" customHeight="1">
      <c r="A8140" s="30" t="inlineStr">
        <is>
          <t>ITG</t>
        </is>
      </c>
      <c r="B8140" s="30" t="inlineStr">
        <is>
          <t>Itaguai</t>
        </is>
      </c>
      <c r="C8140" s="30" t="n">
        <v>86532522</v>
      </c>
      <c r="D8140" s="30">
        <f>"11304945000385"</f>
        <v/>
      </c>
      <c r="E8140" s="30" t="inlineStr">
        <is>
          <t>MERCADO SAO FERNANDO 10 LTDA ME</t>
        </is>
      </c>
      <c r="F8140" s="30" t="inlineStr">
        <is>
          <t>2020</t>
        </is>
      </c>
      <c r="G8140" s="40" t="n">
        <v>5976843.46</v>
      </c>
    </row>
    <row r="8141" ht="12" customHeight="1">
      <c r="A8141" s="30" t="inlineStr">
        <is>
          <t>ITG</t>
        </is>
      </c>
      <c r="B8141" s="30" t="inlineStr">
        <is>
          <t>Itaguai</t>
        </is>
      </c>
      <c r="C8141" s="30" t="n">
        <v>86532522</v>
      </c>
      <c r="D8141" s="30">
        <f>"11304945000385"</f>
        <v/>
      </c>
      <c r="E8141" s="30" t="inlineStr">
        <is>
          <t>MERCADO SAO FERNANDO 10 LTDA ME</t>
        </is>
      </c>
      <c r="F8141" s="30" t="inlineStr">
        <is>
          <t>2021</t>
        </is>
      </c>
      <c r="G8141" s="40" t="n">
        <v>6774365.22</v>
      </c>
    </row>
    <row r="8142" ht="12" customHeight="1">
      <c r="A8142" s="30" t="inlineStr">
        <is>
          <t>ITG</t>
        </is>
      </c>
      <c r="B8142" s="30" t="inlineStr">
        <is>
          <t>Itaguai</t>
        </is>
      </c>
      <c r="C8142" s="30" t="n">
        <v>86532522</v>
      </c>
      <c r="D8142" s="30">
        <f>"11304945000385"</f>
        <v/>
      </c>
      <c r="E8142" s="30" t="inlineStr">
        <is>
          <t>MERCADO SAO FERNANDO 10 LTDA ME</t>
        </is>
      </c>
      <c r="F8142" s="30" t="inlineStr">
        <is>
          <t>2022</t>
        </is>
      </c>
      <c r="G8142" s="40" t="n">
        <v>7019364.02</v>
      </c>
    </row>
    <row r="8143" ht="12" customHeight="1">
      <c r="A8143" s="30" t="inlineStr">
        <is>
          <t>ITG</t>
        </is>
      </c>
      <c r="B8143" s="30" t="inlineStr">
        <is>
          <t>Itaguai</t>
        </is>
      </c>
      <c r="C8143" s="30" t="n">
        <v>86532522</v>
      </c>
      <c r="D8143" s="30">
        <f>"11304945000385"</f>
        <v/>
      </c>
      <c r="E8143" s="30" t="inlineStr">
        <is>
          <t>MERCADO SAO FERNANDO 10 LTDA ME</t>
        </is>
      </c>
      <c r="F8143" s="30" t="inlineStr">
        <is>
          <t>2023</t>
        </is>
      </c>
      <c r="G8143" s="40" t="n">
        <v>8808096.57</v>
      </c>
    </row>
    <row r="8144" ht="12" customHeight="1">
      <c r="A8144" s="30" t="inlineStr">
        <is>
          <t>ITG</t>
        </is>
      </c>
      <c r="B8144" s="30" t="inlineStr">
        <is>
          <t>Itaguai</t>
        </is>
      </c>
      <c r="C8144" s="30" t="n">
        <v>86535122</v>
      </c>
      <c r="D8144" s="30">
        <f>"38488987000299"</f>
        <v/>
      </c>
      <c r="E8144" s="30" t="inlineStr">
        <is>
          <t>MG - MINAS GERAIS LOCAÇOES  E SERVIÇOS LTDA</t>
        </is>
      </c>
      <c r="F8144" s="30" t="inlineStr">
        <is>
          <t>2017</t>
        </is>
      </c>
      <c r="G8144" s="40" t="n">
        <v>0</v>
      </c>
    </row>
    <row r="8145" ht="12" customHeight="1">
      <c r="A8145" s="30" t="inlineStr">
        <is>
          <t>ITG</t>
        </is>
      </c>
      <c r="B8145" s="30" t="inlineStr">
        <is>
          <t>Itaguai</t>
        </is>
      </c>
      <c r="C8145" s="30" t="n">
        <v>86535122</v>
      </c>
      <c r="D8145" s="30">
        <f>"38488987000299"</f>
        <v/>
      </c>
      <c r="E8145" s="30" t="inlineStr">
        <is>
          <t>MG - MINAS GERAIS LOCAÇOES  E SERVIÇOS LTDA</t>
        </is>
      </c>
      <c r="F8145" s="30" t="inlineStr">
        <is>
          <t>2018</t>
        </is>
      </c>
      <c r="G8145" s="40" t="n">
        <v>0</v>
      </c>
    </row>
    <row r="8146" ht="12" customHeight="1">
      <c r="A8146" s="30" t="inlineStr">
        <is>
          <t>ITG</t>
        </is>
      </c>
      <c r="B8146" s="30" t="inlineStr">
        <is>
          <t>Itaguai</t>
        </is>
      </c>
      <c r="C8146" s="30" t="n">
        <v>86535122</v>
      </c>
      <c r="D8146" s="30">
        <f>"38488987000299"</f>
        <v/>
      </c>
      <c r="E8146" s="30" t="inlineStr">
        <is>
          <t>MG - MINAS GERAIS LOCAÇOES  E SERVIÇOS LTDA</t>
        </is>
      </c>
      <c r="F8146" s="30" t="inlineStr">
        <is>
          <t>2019</t>
        </is>
      </c>
      <c r="G8146" s="40" t="n">
        <v>0</v>
      </c>
    </row>
    <row r="8147" ht="12" customHeight="1">
      <c r="A8147" s="30" t="inlineStr">
        <is>
          <t>ITG</t>
        </is>
      </c>
      <c r="B8147" s="30" t="inlineStr">
        <is>
          <t>Itaguai</t>
        </is>
      </c>
      <c r="C8147" s="30" t="n">
        <v>86535122</v>
      </c>
      <c r="D8147" s="30">
        <f>"38488987000299"</f>
        <v/>
      </c>
      <c r="E8147" s="30" t="inlineStr">
        <is>
          <t>MG - MINAS GERAIS LOCAÇOES  E SERVIÇOS LTDA</t>
        </is>
      </c>
      <c r="F8147" s="30" t="inlineStr">
        <is>
          <t>2020</t>
        </is>
      </c>
      <c r="G8147" s="40" t="n">
        <v>0</v>
      </c>
    </row>
    <row r="8148" ht="12" customHeight="1">
      <c r="A8148" s="30" t="inlineStr">
        <is>
          <t>ITG</t>
        </is>
      </c>
      <c r="B8148" s="30" t="inlineStr">
        <is>
          <t>Itaguai</t>
        </is>
      </c>
      <c r="C8148" s="30" t="n">
        <v>86535122</v>
      </c>
      <c r="D8148" s="30">
        <f>"38488987000299"</f>
        <v/>
      </c>
      <c r="E8148" s="30" t="inlineStr">
        <is>
          <t>MG - MINAS GERAIS LOCAÇOES  E SERVIÇOS LTDA</t>
        </is>
      </c>
      <c r="F8148" s="30" t="inlineStr">
        <is>
          <t>2021</t>
        </is>
      </c>
      <c r="G8148" s="40" t="n">
        <v>0</v>
      </c>
    </row>
    <row r="8149" ht="12" customHeight="1">
      <c r="A8149" s="30" t="inlineStr">
        <is>
          <t>ITG</t>
        </is>
      </c>
      <c r="B8149" s="30" t="inlineStr">
        <is>
          <t>Itaguai</t>
        </is>
      </c>
      <c r="C8149" s="30" t="n">
        <v>86535122</v>
      </c>
      <c r="D8149" s="30">
        <f>"38488987000299"</f>
        <v/>
      </c>
      <c r="E8149" s="30" t="inlineStr">
        <is>
          <t>MG - MINAS GERAIS LOCAÇOES  E SERVIÇOS LTDA</t>
        </is>
      </c>
      <c r="F8149" s="30" t="inlineStr">
        <is>
          <t>2022</t>
        </is>
      </c>
      <c r="G8149" s="40" t="n">
        <v>0</v>
      </c>
    </row>
    <row r="8150" ht="12" customHeight="1">
      <c r="A8150" s="30" t="inlineStr">
        <is>
          <t>ITG</t>
        </is>
      </c>
      <c r="B8150" s="30" t="inlineStr">
        <is>
          <t>Itaguai</t>
        </is>
      </c>
      <c r="C8150" s="30" t="n">
        <v>86535351</v>
      </c>
      <c r="D8150" s="30">
        <f>"18903804000166"</f>
        <v/>
      </c>
      <c r="E8150" s="30" t="inlineStr">
        <is>
          <t>JAVA APOIO ADMINISTRATIVO EIRELI</t>
        </is>
      </c>
      <c r="F8150" s="30" t="inlineStr">
        <is>
          <t>2017</t>
        </is>
      </c>
      <c r="G8150" s="40" t="n">
        <v>0</v>
      </c>
    </row>
    <row r="8151" ht="12" customHeight="1">
      <c r="A8151" s="30" t="inlineStr">
        <is>
          <t>ITG</t>
        </is>
      </c>
      <c r="B8151" s="30" t="inlineStr">
        <is>
          <t>Itaguai</t>
        </is>
      </c>
      <c r="C8151" s="30" t="n">
        <v>86535351</v>
      </c>
      <c r="D8151" s="30">
        <f>"18903804000166"</f>
        <v/>
      </c>
      <c r="E8151" s="30" t="inlineStr">
        <is>
          <t>JAVA APOIO ADMINISTRATIVO EIRELI</t>
        </is>
      </c>
      <c r="F8151" s="30" t="inlineStr">
        <is>
          <t>2018</t>
        </is>
      </c>
      <c r="G8151" s="40" t="n">
        <v>0</v>
      </c>
    </row>
    <row r="8152" ht="12" customHeight="1">
      <c r="A8152" s="30" t="inlineStr">
        <is>
          <t>ITG</t>
        </is>
      </c>
      <c r="B8152" s="30" t="inlineStr">
        <is>
          <t>Itaguai</t>
        </is>
      </c>
      <c r="C8152" s="30" t="n">
        <v>86535351</v>
      </c>
      <c r="D8152" s="30">
        <f>"18903804000166"</f>
        <v/>
      </c>
      <c r="E8152" s="30" t="inlineStr">
        <is>
          <t>JAVA APOIO ADMINISTRATIVO EIRELI</t>
        </is>
      </c>
      <c r="F8152" s="30" t="inlineStr">
        <is>
          <t>2019</t>
        </is>
      </c>
      <c r="G8152" s="40" t="n">
        <v>0</v>
      </c>
    </row>
    <row r="8153" ht="12" customHeight="1">
      <c r="A8153" s="30" t="inlineStr">
        <is>
          <t>ITG</t>
        </is>
      </c>
      <c r="B8153" s="30" t="inlineStr">
        <is>
          <t>Itaguai</t>
        </is>
      </c>
      <c r="C8153" s="30" t="n">
        <v>86541777</v>
      </c>
      <c r="D8153" s="30">
        <f>"13247991000234"</f>
        <v/>
      </c>
      <c r="E8153" s="30" t="inlineStr">
        <is>
          <t>KETLOG TRANSPORTE DE CARGAS LTDA</t>
        </is>
      </c>
      <c r="F8153" s="30" t="inlineStr">
        <is>
          <t>2017</t>
        </is>
      </c>
      <c r="G8153" s="40" t="n">
        <v>15503921.9</v>
      </c>
    </row>
    <row r="8154" ht="12" customHeight="1">
      <c r="A8154" s="30" t="inlineStr">
        <is>
          <t>ITG</t>
        </is>
      </c>
      <c r="B8154" s="30" t="inlineStr">
        <is>
          <t>Itaguai</t>
        </is>
      </c>
      <c r="C8154" s="30" t="n">
        <v>86541777</v>
      </c>
      <c r="D8154" s="30">
        <f>"13247991000234"</f>
        <v/>
      </c>
      <c r="E8154" s="30" t="inlineStr">
        <is>
          <t>KETLOG TRANSPORTE DE CARGAS LTDA</t>
        </is>
      </c>
      <c r="F8154" s="30" t="inlineStr">
        <is>
          <t>2018</t>
        </is>
      </c>
      <c r="G8154" s="40" t="n">
        <v>4659842.9</v>
      </c>
    </row>
    <row r="8155" ht="12" customHeight="1">
      <c r="A8155" s="30" t="inlineStr">
        <is>
          <t>ITG</t>
        </is>
      </c>
      <c r="B8155" s="30" t="inlineStr">
        <is>
          <t>Itaguai</t>
        </is>
      </c>
      <c r="C8155" s="30" t="n">
        <v>86541777</v>
      </c>
      <c r="D8155" s="30">
        <f>"13247991000234"</f>
        <v/>
      </c>
      <c r="E8155" s="30" t="inlineStr">
        <is>
          <t>KETLOG TRANSPORTE DE CARGAS LTDA</t>
        </is>
      </c>
      <c r="F8155" s="30" t="inlineStr">
        <is>
          <t>2019</t>
        </is>
      </c>
      <c r="G8155" s="40" t="n">
        <v>3348023.91</v>
      </c>
    </row>
    <row r="8156" ht="12" customHeight="1">
      <c r="A8156" s="30" t="inlineStr">
        <is>
          <t>ITG</t>
        </is>
      </c>
      <c r="B8156" s="30" t="inlineStr">
        <is>
          <t>Itaguai</t>
        </is>
      </c>
      <c r="C8156" s="30" t="n">
        <v>86541777</v>
      </c>
      <c r="D8156" s="30">
        <f>"13247991000234"</f>
        <v/>
      </c>
      <c r="E8156" s="30" t="inlineStr">
        <is>
          <t>KETLOG TRANSPORTE DE CARGAS LTDA</t>
        </is>
      </c>
      <c r="F8156" s="30" t="inlineStr">
        <is>
          <t>2020</t>
        </is>
      </c>
      <c r="G8156" s="40" t="n">
        <v>2132141.08</v>
      </c>
    </row>
    <row r="8157" ht="12" customHeight="1">
      <c r="A8157" s="30" t="inlineStr">
        <is>
          <t>ITG</t>
        </is>
      </c>
      <c r="B8157" s="30" t="inlineStr">
        <is>
          <t>Itaguai</t>
        </is>
      </c>
      <c r="C8157" s="30" t="n">
        <v>86541777</v>
      </c>
      <c r="D8157" s="30">
        <f>"13247991000234"</f>
        <v/>
      </c>
      <c r="E8157" s="30" t="inlineStr">
        <is>
          <t>KETLOG TRANSPORTE DE CARGAS LTDA</t>
        </is>
      </c>
      <c r="F8157" s="30" t="inlineStr">
        <is>
          <t>2021</t>
        </is>
      </c>
      <c r="G8157" s="40" t="n">
        <v>2597175.52</v>
      </c>
    </row>
    <row r="8158" ht="12" customHeight="1">
      <c r="A8158" s="30" t="inlineStr">
        <is>
          <t>ITG</t>
        </is>
      </c>
      <c r="B8158" s="30" t="inlineStr">
        <is>
          <t>Itaguai</t>
        </is>
      </c>
      <c r="C8158" s="30" t="n">
        <v>86541777</v>
      </c>
      <c r="D8158" s="30">
        <f>"13247991000234"</f>
        <v/>
      </c>
      <c r="E8158" s="30" t="inlineStr">
        <is>
          <t>KETLOG TRANSPORTE DE CARGAS LTDA</t>
        </is>
      </c>
      <c r="F8158" s="30" t="inlineStr">
        <is>
          <t>2022</t>
        </is>
      </c>
      <c r="G8158" s="40" t="n">
        <v>1745679.24</v>
      </c>
    </row>
    <row r="8159" ht="12" customHeight="1">
      <c r="A8159" s="30" t="inlineStr">
        <is>
          <t>ITG</t>
        </is>
      </c>
      <c r="B8159" s="30" t="inlineStr">
        <is>
          <t>Itaguai</t>
        </is>
      </c>
      <c r="C8159" s="30" t="n">
        <v>86541777</v>
      </c>
      <c r="D8159" s="30">
        <f>"13247991000234"</f>
        <v/>
      </c>
      <c r="E8159" s="30" t="inlineStr">
        <is>
          <t>KETLOG TRANSPORTE DE CARGAS LTDA</t>
        </is>
      </c>
      <c r="F8159" s="30" t="inlineStr">
        <is>
          <t>2023</t>
        </is>
      </c>
      <c r="G8159" s="40" t="n">
        <v>1685056.89</v>
      </c>
    </row>
    <row r="8160" ht="12" customHeight="1">
      <c r="A8160" s="30" t="inlineStr">
        <is>
          <t>ITG</t>
        </is>
      </c>
      <c r="B8160" s="30" t="inlineStr">
        <is>
          <t>Itaguai</t>
        </is>
      </c>
      <c r="C8160" s="30" t="n">
        <v>86542072</v>
      </c>
      <c r="D8160" s="30">
        <f>"08062253000444"</f>
        <v/>
      </c>
      <c r="E8160" s="30" t="inlineStr">
        <is>
          <t>CAMBRIDGE TELECOMUNICACOES LTDA</t>
        </is>
      </c>
      <c r="F8160" s="30" t="inlineStr">
        <is>
          <t>2017</t>
        </is>
      </c>
      <c r="G8160" s="40" t="n">
        <v>74704.39</v>
      </c>
    </row>
    <row r="8161" ht="12" customHeight="1">
      <c r="A8161" s="30" t="inlineStr">
        <is>
          <t>ITG</t>
        </is>
      </c>
      <c r="B8161" s="30" t="inlineStr">
        <is>
          <t>Itaguai</t>
        </is>
      </c>
      <c r="C8161" s="30" t="n">
        <v>86542072</v>
      </c>
      <c r="D8161" s="30">
        <f>"08062253000444"</f>
        <v/>
      </c>
      <c r="E8161" s="30" t="inlineStr">
        <is>
          <t>CAMBRIDGE TELECOMUNICACOES LTDA</t>
        </is>
      </c>
      <c r="F8161" s="30" t="inlineStr">
        <is>
          <t>2018</t>
        </is>
      </c>
      <c r="G8161" s="40" t="n">
        <v>4952.66</v>
      </c>
    </row>
    <row r="8162" ht="12" customHeight="1">
      <c r="A8162" s="30" t="inlineStr">
        <is>
          <t>ITG</t>
        </is>
      </c>
      <c r="B8162" s="30" t="inlineStr">
        <is>
          <t>Itaguai</t>
        </is>
      </c>
      <c r="C8162" s="30" t="n">
        <v>86542072</v>
      </c>
      <c r="D8162" s="30">
        <f>"08062253000444"</f>
        <v/>
      </c>
      <c r="E8162" s="30" t="inlineStr">
        <is>
          <t>CAMBRIDGE TELECOMUNICACOES LTDA</t>
        </is>
      </c>
      <c r="F8162" s="30" t="inlineStr">
        <is>
          <t>2019</t>
        </is>
      </c>
      <c r="G8162" s="40" t="n">
        <v>2456.31</v>
      </c>
    </row>
    <row r="8163" ht="12" customHeight="1">
      <c r="A8163" s="30" t="inlineStr">
        <is>
          <t>ITG</t>
        </is>
      </c>
      <c r="B8163" s="30" t="inlineStr">
        <is>
          <t>Itaguai</t>
        </is>
      </c>
      <c r="C8163" s="30" t="n">
        <v>86542072</v>
      </c>
      <c r="D8163" s="30">
        <f>"08062253000444"</f>
        <v/>
      </c>
      <c r="E8163" s="30" t="inlineStr">
        <is>
          <t>CAMBRIDGE TELECOMUNICACOES LTDA</t>
        </is>
      </c>
      <c r="F8163" s="30" t="inlineStr">
        <is>
          <t>2020</t>
        </is>
      </c>
      <c r="G8163" s="40" t="n">
        <v>0</v>
      </c>
    </row>
    <row r="8164" ht="12" customHeight="1">
      <c r="A8164" s="30" t="inlineStr">
        <is>
          <t>ITG</t>
        </is>
      </c>
      <c r="B8164" s="30" t="inlineStr">
        <is>
          <t>Itaguai</t>
        </is>
      </c>
      <c r="C8164" s="30" t="n">
        <v>86542072</v>
      </c>
      <c r="D8164" s="30">
        <f>"08062253000444"</f>
        <v/>
      </c>
      <c r="E8164" s="30" t="inlineStr">
        <is>
          <t>CAMBRIDGE TELECOMUNICACOES LTDA</t>
        </is>
      </c>
      <c r="F8164" s="30" t="inlineStr">
        <is>
          <t>2021</t>
        </is>
      </c>
      <c r="G8164" s="40" t="n">
        <v>0</v>
      </c>
    </row>
    <row r="8165" ht="12" customHeight="1">
      <c r="A8165" s="30" t="inlineStr">
        <is>
          <t>ITG</t>
        </is>
      </c>
      <c r="B8165" s="30" t="inlineStr">
        <is>
          <t>Itaguai</t>
        </is>
      </c>
      <c r="C8165" s="30" t="n">
        <v>86566877</v>
      </c>
      <c r="D8165" s="30">
        <f>"19223780000167"</f>
        <v/>
      </c>
      <c r="E8165" s="30" t="inlineStr">
        <is>
          <t>LLF MATHIAS VIAS DE TRANSPORTES RODOVI?RIOS EIRELI</t>
        </is>
      </c>
      <c r="F8165" s="30" t="inlineStr">
        <is>
          <t>2017</t>
        </is>
      </c>
      <c r="G8165" s="40" t="n">
        <v>650.03</v>
      </c>
    </row>
    <row r="8166" ht="12" customHeight="1">
      <c r="A8166" s="30" t="inlineStr">
        <is>
          <t>ITG</t>
        </is>
      </c>
      <c r="B8166" s="30" t="inlineStr">
        <is>
          <t>Itaguai</t>
        </is>
      </c>
      <c r="C8166" s="30" t="n">
        <v>86566877</v>
      </c>
      <c r="D8166" s="30">
        <f>"19223780000167"</f>
        <v/>
      </c>
      <c r="E8166" s="30" t="inlineStr">
        <is>
          <t>LLF MATHIAS VIAS DE TRANSPORTES RODOVI?RIOS EIRELI</t>
        </is>
      </c>
      <c r="F8166" s="30" t="inlineStr">
        <is>
          <t>2018</t>
        </is>
      </c>
      <c r="G8166" s="40" t="n">
        <v>222.24</v>
      </c>
    </row>
    <row r="8167" ht="12" customHeight="1">
      <c r="A8167" s="30" t="inlineStr">
        <is>
          <t>ITG</t>
        </is>
      </c>
      <c r="B8167" s="30" t="inlineStr">
        <is>
          <t>Itaguai</t>
        </is>
      </c>
      <c r="C8167" s="30" t="n">
        <v>86566877</v>
      </c>
      <c r="D8167" s="30">
        <f>"19223780000167"</f>
        <v/>
      </c>
      <c r="E8167" s="30" t="inlineStr">
        <is>
          <t>LLF MATHIAS VIAS DE TRANSPORTES RODOVI?RIOS EIRELI</t>
        </is>
      </c>
      <c r="F8167" s="30" t="inlineStr">
        <is>
          <t>2019</t>
        </is>
      </c>
      <c r="G8167" s="40" t="n">
        <v>507.67</v>
      </c>
    </row>
    <row r="8168" ht="12" customHeight="1">
      <c r="A8168" s="30" t="inlineStr">
        <is>
          <t>ITG</t>
        </is>
      </c>
      <c r="B8168" s="30" t="inlineStr">
        <is>
          <t>Itaguai</t>
        </is>
      </c>
      <c r="C8168" s="30" t="n">
        <v>86566877</v>
      </c>
      <c r="D8168" s="30">
        <f>"19223780000167"</f>
        <v/>
      </c>
      <c r="E8168" s="30" t="inlineStr">
        <is>
          <t>LLF MATHIAS VIAS DE TRANSPORTES RODOVI?RIOS EIRELI</t>
        </is>
      </c>
      <c r="F8168" s="30" t="inlineStr">
        <is>
          <t>2020</t>
        </is>
      </c>
      <c r="G8168" s="40" t="n">
        <v>0</v>
      </c>
    </row>
    <row r="8169" ht="12" customHeight="1">
      <c r="A8169" s="30" t="inlineStr">
        <is>
          <t>ITG</t>
        </is>
      </c>
      <c r="B8169" s="30" t="inlineStr">
        <is>
          <t>Itaguai</t>
        </is>
      </c>
      <c r="C8169" s="30" t="n">
        <v>86566877</v>
      </c>
      <c r="D8169" s="30">
        <f>"19223780000167"</f>
        <v/>
      </c>
      <c r="E8169" s="30" t="inlineStr">
        <is>
          <t>LLF MATHIAS VIAS DE TRANSPORTES RODOVI?RIOS EIRELI</t>
        </is>
      </c>
      <c r="F8169" s="30" t="inlineStr">
        <is>
          <t>2021</t>
        </is>
      </c>
      <c r="G8169" s="40" t="n">
        <v>0</v>
      </c>
    </row>
    <row r="8170" ht="12" customHeight="1">
      <c r="A8170" s="30" t="inlineStr">
        <is>
          <t>ITG</t>
        </is>
      </c>
      <c r="B8170" s="30" t="inlineStr">
        <is>
          <t>Itaguai</t>
        </is>
      </c>
      <c r="C8170" s="30" t="n">
        <v>86570734</v>
      </c>
      <c r="D8170" s="30">
        <f>"96178405000860"</f>
        <v/>
      </c>
      <c r="E8170" s="30" t="inlineStr">
        <is>
          <t>SANKYU LOGISTICS DESPACHOS ADUANEIROS LTDA</t>
        </is>
      </c>
      <c r="F8170" s="30" t="inlineStr">
        <is>
          <t>2017</t>
        </is>
      </c>
      <c r="G8170" s="40" t="n">
        <v>1176637.42</v>
      </c>
    </row>
    <row r="8171" ht="12" customHeight="1">
      <c r="A8171" s="30" t="inlineStr">
        <is>
          <t>ITG</t>
        </is>
      </c>
      <c r="B8171" s="30" t="inlineStr">
        <is>
          <t>Itaguai</t>
        </is>
      </c>
      <c r="C8171" s="30" t="n">
        <v>86570734</v>
      </c>
      <c r="D8171" s="30">
        <f>"96178405000860"</f>
        <v/>
      </c>
      <c r="E8171" s="30" t="inlineStr">
        <is>
          <t>SANKYU LOGISTICS DESPACHOS ADUANEIROS LTDA</t>
        </is>
      </c>
      <c r="F8171" s="30" t="inlineStr">
        <is>
          <t>2018</t>
        </is>
      </c>
      <c r="G8171" s="40" t="n">
        <v>1131215.66</v>
      </c>
    </row>
    <row r="8172" ht="12" customHeight="1">
      <c r="A8172" s="30" t="inlineStr">
        <is>
          <t>ITG</t>
        </is>
      </c>
      <c r="B8172" s="30" t="inlineStr">
        <is>
          <t>Itaguai</t>
        </is>
      </c>
      <c r="C8172" s="30" t="n">
        <v>86570734</v>
      </c>
      <c r="D8172" s="30">
        <f>"96178405000860"</f>
        <v/>
      </c>
      <c r="E8172" s="30" t="inlineStr">
        <is>
          <t>SANKYU LOGISTICS DESPACHOS ADUANEIROS LTDA</t>
        </is>
      </c>
      <c r="F8172" s="30" t="inlineStr">
        <is>
          <t>2019</t>
        </is>
      </c>
      <c r="G8172" s="40" t="n">
        <v>922672.86</v>
      </c>
    </row>
    <row r="8173" ht="12" customHeight="1">
      <c r="A8173" s="30" t="inlineStr">
        <is>
          <t>ITG</t>
        </is>
      </c>
      <c r="B8173" s="30" t="inlineStr">
        <is>
          <t>Itaguai</t>
        </is>
      </c>
      <c r="C8173" s="30" t="n">
        <v>86570734</v>
      </c>
      <c r="D8173" s="30">
        <f>"96178405000860"</f>
        <v/>
      </c>
      <c r="E8173" s="30" t="inlineStr">
        <is>
          <t>SANKYU LOGISTICS DESPACHOS ADUANEIROS LTDA</t>
        </is>
      </c>
      <c r="F8173" s="30" t="inlineStr">
        <is>
          <t>2020</t>
        </is>
      </c>
      <c r="G8173" s="40" t="n">
        <v>460000.7</v>
      </c>
    </row>
    <row r="8174" ht="12" customHeight="1">
      <c r="A8174" s="30" t="inlineStr">
        <is>
          <t>ITG</t>
        </is>
      </c>
      <c r="B8174" s="30" t="inlineStr">
        <is>
          <t>Itaguai</t>
        </is>
      </c>
      <c r="C8174" s="30" t="n">
        <v>86570734</v>
      </c>
      <c r="D8174" s="30">
        <f>"96178405000860"</f>
        <v/>
      </c>
      <c r="E8174" s="30" t="inlineStr">
        <is>
          <t>SANKYU LOGISTICS DESPACHOS ADUANEIROS LTDA</t>
        </is>
      </c>
      <c r="F8174" s="30" t="inlineStr">
        <is>
          <t>2021</t>
        </is>
      </c>
      <c r="G8174" s="40" t="n">
        <v>0</v>
      </c>
    </row>
    <row r="8175" ht="12" customHeight="1">
      <c r="A8175" s="30" t="inlineStr">
        <is>
          <t>ITG</t>
        </is>
      </c>
      <c r="B8175" s="30" t="inlineStr">
        <is>
          <t>Itaguai</t>
        </is>
      </c>
      <c r="C8175" s="30" t="n">
        <v>86570734</v>
      </c>
      <c r="D8175" s="30">
        <f>"96178405000860"</f>
        <v/>
      </c>
      <c r="E8175" s="30" t="inlineStr">
        <is>
          <t>SANKYU LOGISTICS DESPACHOS ADUANEIROS LTDA</t>
        </is>
      </c>
      <c r="F8175" s="30" t="inlineStr">
        <is>
          <t>2022</t>
        </is>
      </c>
      <c r="G8175" s="40" t="n">
        <v>0</v>
      </c>
    </row>
    <row r="8176" ht="12" customHeight="1">
      <c r="A8176" s="30" t="inlineStr">
        <is>
          <t>ITG</t>
        </is>
      </c>
      <c r="B8176" s="30" t="inlineStr">
        <is>
          <t>Itaguai</t>
        </is>
      </c>
      <c r="C8176" s="30" t="n">
        <v>86572761</v>
      </c>
      <c r="D8176" s="30">
        <f>"18828620000189"</f>
        <v/>
      </c>
      <c r="E8176" s="30" t="inlineStr">
        <is>
          <t>DRI CAR COMERCIO DE AUTOMOVEIS EIRELI</t>
        </is>
      </c>
      <c r="F8176" s="30" t="inlineStr">
        <is>
          <t>2017</t>
        </is>
      </c>
      <c r="G8176" s="40" t="n">
        <v>0</v>
      </c>
    </row>
    <row r="8177" ht="12" customHeight="1">
      <c r="A8177" s="30" t="inlineStr">
        <is>
          <t>ITG</t>
        </is>
      </c>
      <c r="B8177" s="30" t="inlineStr">
        <is>
          <t>Itaguai</t>
        </is>
      </c>
      <c r="C8177" s="30" t="n">
        <v>86572761</v>
      </c>
      <c r="D8177" s="30">
        <f>"18828620000189"</f>
        <v/>
      </c>
      <c r="E8177" s="30" t="inlineStr">
        <is>
          <t>DRI CAR COMERCIO DE AUTOMOVEIS EIRELI</t>
        </is>
      </c>
      <c r="F8177" s="30" t="inlineStr">
        <is>
          <t>2018</t>
        </is>
      </c>
      <c r="G8177" s="40" t="n">
        <v>0</v>
      </c>
    </row>
    <row r="8178" ht="12" customHeight="1">
      <c r="A8178" s="30" t="inlineStr">
        <is>
          <t>ITG</t>
        </is>
      </c>
      <c r="B8178" s="30" t="inlineStr">
        <is>
          <t>Itaguai</t>
        </is>
      </c>
      <c r="C8178" s="30" t="n">
        <v>86572761</v>
      </c>
      <c r="D8178" s="30">
        <f>"18828620000189"</f>
        <v/>
      </c>
      <c r="E8178" s="30" t="inlineStr">
        <is>
          <t>DRI CAR COMERCIO DE AUTOMOVEIS EIRELI</t>
        </is>
      </c>
      <c r="F8178" s="30" t="inlineStr">
        <is>
          <t>2019</t>
        </is>
      </c>
      <c r="G8178" s="40" t="n">
        <v>0</v>
      </c>
    </row>
    <row r="8179" ht="12" customHeight="1">
      <c r="A8179" s="30" t="inlineStr">
        <is>
          <t>ITG</t>
        </is>
      </c>
      <c r="B8179" s="30" t="inlineStr">
        <is>
          <t>Itaguai</t>
        </is>
      </c>
      <c r="C8179" s="30" t="n">
        <v>86572761</v>
      </c>
      <c r="D8179" s="30">
        <f>"18828620000189"</f>
        <v/>
      </c>
      <c r="E8179" s="30" t="inlineStr">
        <is>
          <t>DRI CAR COMERCIO DE AUTOMOVEIS EIRELI</t>
        </is>
      </c>
      <c r="F8179" s="30" t="inlineStr">
        <is>
          <t>2020</t>
        </is>
      </c>
      <c r="G8179" s="40" t="n">
        <v>0</v>
      </c>
    </row>
    <row r="8180" ht="12" customHeight="1">
      <c r="A8180" s="30" t="inlineStr">
        <is>
          <t>ITG</t>
        </is>
      </c>
      <c r="B8180" s="30" t="inlineStr">
        <is>
          <t>Itaguai</t>
        </is>
      </c>
      <c r="C8180" s="30" t="n">
        <v>86572761</v>
      </c>
      <c r="D8180" s="30">
        <f>"18828620000189"</f>
        <v/>
      </c>
      <c r="E8180" s="30" t="inlineStr">
        <is>
          <t>DRI CAR COMERCIO DE AUTOMOVEIS EIRELI</t>
        </is>
      </c>
      <c r="F8180" s="30" t="inlineStr">
        <is>
          <t>2021</t>
        </is>
      </c>
      <c r="G8180" s="40" t="n">
        <v>0</v>
      </c>
    </row>
    <row r="8181" ht="12" customHeight="1">
      <c r="A8181" s="30" t="inlineStr">
        <is>
          <t>ITG</t>
        </is>
      </c>
      <c r="B8181" s="30" t="inlineStr">
        <is>
          <t>Itaguai</t>
        </is>
      </c>
      <c r="C8181" s="30" t="n">
        <v>86572761</v>
      </c>
      <c r="D8181" s="30">
        <f>"18828620000189"</f>
        <v/>
      </c>
      <c r="E8181" s="30" t="inlineStr">
        <is>
          <t>DRI CAR COMERCIO DE AUTOMOVEIS EIRELI</t>
        </is>
      </c>
      <c r="F8181" s="30" t="inlineStr">
        <is>
          <t>2022</t>
        </is>
      </c>
      <c r="G8181" s="40" t="n">
        <v>0</v>
      </c>
    </row>
    <row r="8182" ht="12" customHeight="1">
      <c r="A8182" s="30" t="inlineStr">
        <is>
          <t>ITG</t>
        </is>
      </c>
      <c r="B8182" s="30" t="inlineStr">
        <is>
          <t>Itaguai</t>
        </is>
      </c>
      <c r="C8182" s="30" t="n">
        <v>86572761</v>
      </c>
      <c r="D8182" s="30">
        <f>"18828620000189"</f>
        <v/>
      </c>
      <c r="E8182" s="30" t="inlineStr">
        <is>
          <t>DRI CAR COMERCIO DE AUTOMOVEIS EIRELI</t>
        </is>
      </c>
      <c r="F8182" s="30" t="inlineStr">
        <is>
          <t>2023</t>
        </is>
      </c>
      <c r="G8182" s="40" t="n">
        <v>0</v>
      </c>
    </row>
    <row r="8183" ht="12" customHeight="1">
      <c r="A8183" s="30" t="inlineStr">
        <is>
          <t>ITG</t>
        </is>
      </c>
      <c r="B8183" s="30" t="inlineStr">
        <is>
          <t>Itaguai</t>
        </is>
      </c>
      <c r="C8183" s="30" t="n">
        <v>86581531</v>
      </c>
      <c r="D8183" s="30">
        <f>"33438250046825"</f>
        <v/>
      </c>
      <c r="E8183" s="30" t="inlineStr">
        <is>
          <t>DROGARIAS PACHECO S/A</t>
        </is>
      </c>
      <c r="F8183" s="30" t="inlineStr">
        <is>
          <t>2017</t>
        </is>
      </c>
      <c r="G8183" s="40" t="n">
        <v>1853534.6</v>
      </c>
    </row>
    <row r="8184" ht="12" customHeight="1">
      <c r="A8184" s="30" t="inlineStr">
        <is>
          <t>ITG</t>
        </is>
      </c>
      <c r="B8184" s="30" t="inlineStr">
        <is>
          <t>Itaguai</t>
        </is>
      </c>
      <c r="C8184" s="30" t="n">
        <v>86581531</v>
      </c>
      <c r="D8184" s="30">
        <f>"33438250046825"</f>
        <v/>
      </c>
      <c r="E8184" s="30" t="inlineStr">
        <is>
          <t>DROGARIAS PACHECO S/A</t>
        </is>
      </c>
      <c r="F8184" s="30" t="inlineStr">
        <is>
          <t>2018</t>
        </is>
      </c>
      <c r="G8184" s="40" t="n">
        <v>1794060.09</v>
      </c>
    </row>
    <row r="8185" ht="12" customHeight="1">
      <c r="A8185" s="30" t="inlineStr">
        <is>
          <t>ITG</t>
        </is>
      </c>
      <c r="B8185" s="30" t="inlineStr">
        <is>
          <t>Itaguai</t>
        </is>
      </c>
      <c r="C8185" s="30" t="n">
        <v>86581531</v>
      </c>
      <c r="D8185" s="30">
        <f>"33438250046825"</f>
        <v/>
      </c>
      <c r="E8185" s="30" t="inlineStr">
        <is>
          <t>DROGARIAS PACHECO S/A</t>
        </is>
      </c>
      <c r="F8185" s="30" t="inlineStr">
        <is>
          <t>2019</t>
        </is>
      </c>
      <c r="G8185" s="40" t="n">
        <v>2191251.21</v>
      </c>
    </row>
    <row r="8186" ht="12" customHeight="1">
      <c r="A8186" s="30" t="inlineStr">
        <is>
          <t>ITG</t>
        </is>
      </c>
      <c r="B8186" s="30" t="inlineStr">
        <is>
          <t>Itaguai</t>
        </is>
      </c>
      <c r="C8186" s="30" t="n">
        <v>86581531</v>
      </c>
      <c r="D8186" s="30">
        <f>"33438250046825"</f>
        <v/>
      </c>
      <c r="E8186" s="30" t="inlineStr">
        <is>
          <t>DROGARIAS PACHECO S/A</t>
        </is>
      </c>
      <c r="F8186" s="30" t="inlineStr">
        <is>
          <t>2020</t>
        </is>
      </c>
      <c r="G8186" s="40" t="n">
        <v>3018213.38</v>
      </c>
    </row>
    <row r="8187" ht="12" customHeight="1">
      <c r="A8187" s="30" t="inlineStr">
        <is>
          <t>ITG</t>
        </is>
      </c>
      <c r="B8187" s="30" t="inlineStr">
        <is>
          <t>Itaguai</t>
        </is>
      </c>
      <c r="C8187" s="30" t="n">
        <v>86581531</v>
      </c>
      <c r="D8187" s="30">
        <f>"33438250046825"</f>
        <v/>
      </c>
      <c r="E8187" s="30" t="inlineStr">
        <is>
          <t>DROGARIAS PACHECO S/A</t>
        </is>
      </c>
      <c r="F8187" s="30" t="inlineStr">
        <is>
          <t>2021</t>
        </is>
      </c>
      <c r="G8187" s="40" t="n">
        <v>1872595.35</v>
      </c>
    </row>
    <row r="8188" ht="12" customHeight="1">
      <c r="A8188" s="30" t="inlineStr">
        <is>
          <t>ITG</t>
        </is>
      </c>
      <c r="B8188" s="30" t="inlineStr">
        <is>
          <t>Itaguai</t>
        </is>
      </c>
      <c r="C8188" s="30" t="n">
        <v>86581531</v>
      </c>
      <c r="D8188" s="30">
        <f>"33438250046825"</f>
        <v/>
      </c>
      <c r="E8188" s="30" t="inlineStr">
        <is>
          <t>DROGARIAS PACHECO S/A</t>
        </is>
      </c>
      <c r="F8188" s="30" t="inlineStr">
        <is>
          <t>2022</t>
        </is>
      </c>
      <c r="G8188" s="40" t="n">
        <v>4329816.1</v>
      </c>
    </row>
    <row r="8189" ht="12" customHeight="1">
      <c r="A8189" s="30" t="inlineStr">
        <is>
          <t>ITG</t>
        </is>
      </c>
      <c r="B8189" s="30" t="inlineStr">
        <is>
          <t>Itaguai</t>
        </is>
      </c>
      <c r="C8189" s="30" t="n">
        <v>86581531</v>
      </c>
      <c r="D8189" s="30">
        <f>"33438250046825"</f>
        <v/>
      </c>
      <c r="E8189" s="30" t="inlineStr">
        <is>
          <t>DROGARIAS PACHECO S/A</t>
        </is>
      </c>
      <c r="F8189" s="30" t="inlineStr">
        <is>
          <t>2023</t>
        </is>
      </c>
      <c r="G8189" s="40" t="n">
        <v>2534791.63</v>
      </c>
    </row>
    <row r="8190" ht="12" customHeight="1">
      <c r="A8190" s="30" t="inlineStr">
        <is>
          <t>ITG</t>
        </is>
      </c>
      <c r="B8190" s="30" t="inlineStr">
        <is>
          <t>Itaguai</t>
        </is>
      </c>
      <c r="C8190" s="30" t="n">
        <v>86595125</v>
      </c>
      <c r="D8190" s="30">
        <f>"19321657000189"</f>
        <v/>
      </c>
      <c r="E8190" s="30" t="inlineStr">
        <is>
          <t>BETUN CONSTRUÇÕES E MANUTENÇÃO INDUSTRIAL LTDA</t>
        </is>
      </c>
      <c r="F8190" s="30" t="inlineStr">
        <is>
          <t>2018</t>
        </is>
      </c>
      <c r="G8190" s="40" t="n">
        <v>0</v>
      </c>
    </row>
    <row r="8191" ht="12" customHeight="1">
      <c r="A8191" s="30" t="inlineStr">
        <is>
          <t>ITG</t>
        </is>
      </c>
      <c r="B8191" s="30" t="inlineStr">
        <is>
          <t>Itaguai</t>
        </is>
      </c>
      <c r="C8191" s="30" t="n">
        <v>86595125</v>
      </c>
      <c r="D8191" s="30">
        <f>"19321657000189"</f>
        <v/>
      </c>
      <c r="E8191" s="30" t="inlineStr">
        <is>
          <t>BETUN CONSTRUÇÕES E MANUTENÇÃO INDUSTRIAL LTDA</t>
        </is>
      </c>
      <c r="F8191" s="30" t="inlineStr">
        <is>
          <t>2019</t>
        </is>
      </c>
      <c r="G8191" s="40" t="n">
        <v>0</v>
      </c>
    </row>
    <row r="8192" ht="12" customHeight="1">
      <c r="A8192" s="30" t="inlineStr">
        <is>
          <t>ITG</t>
        </is>
      </c>
      <c r="B8192" s="30" t="inlineStr">
        <is>
          <t>Itaguai</t>
        </is>
      </c>
      <c r="C8192" s="30" t="n">
        <v>86595125</v>
      </c>
      <c r="D8192" s="30">
        <f>"19321657000189"</f>
        <v/>
      </c>
      <c r="E8192" s="30" t="inlineStr">
        <is>
          <t>BETUN CONSTRUÇÕES E MANUTENÇÃO INDUSTRIAL LTDA</t>
        </is>
      </c>
      <c r="F8192" s="30" t="inlineStr">
        <is>
          <t>2020</t>
        </is>
      </c>
      <c r="G8192" s="40" t="n">
        <v>0</v>
      </c>
    </row>
    <row r="8193" ht="12" customHeight="1">
      <c r="A8193" s="30" t="inlineStr">
        <is>
          <t>ITG</t>
        </is>
      </c>
      <c r="B8193" s="30" t="inlineStr">
        <is>
          <t>Itaguai</t>
        </is>
      </c>
      <c r="C8193" s="30" t="n">
        <v>86595125</v>
      </c>
      <c r="D8193" s="30">
        <f>"19321657000189"</f>
        <v/>
      </c>
      <c r="E8193" s="30" t="inlineStr">
        <is>
          <t>BETUN CONSTRUÇÕES E MANUTENÇÃO INDUSTRIAL LTDA</t>
        </is>
      </c>
      <c r="F8193" s="30" t="inlineStr">
        <is>
          <t>2021</t>
        </is>
      </c>
      <c r="G8193" s="40" t="n">
        <v>0</v>
      </c>
    </row>
    <row r="8194" ht="12" customHeight="1">
      <c r="A8194" s="30" t="inlineStr">
        <is>
          <t>ITG</t>
        </is>
      </c>
      <c r="B8194" s="30" t="inlineStr">
        <is>
          <t>Itaguai</t>
        </is>
      </c>
      <c r="C8194" s="30" t="n">
        <v>86595125</v>
      </c>
      <c r="D8194" s="30">
        <f>"19321657000189"</f>
        <v/>
      </c>
      <c r="E8194" s="30" t="inlineStr">
        <is>
          <t>BETUN CONSTRUÇÕES E MANUTENÇÃO INDUSTRIAL LTDA</t>
        </is>
      </c>
      <c r="F8194" s="30" t="inlineStr">
        <is>
          <t>2022</t>
        </is>
      </c>
      <c r="G8194" s="40" t="n">
        <v>0</v>
      </c>
    </row>
    <row r="8195" ht="12" customHeight="1">
      <c r="A8195" s="30" t="inlineStr">
        <is>
          <t>ITG</t>
        </is>
      </c>
      <c r="B8195" s="30" t="inlineStr">
        <is>
          <t>Itaguai</t>
        </is>
      </c>
      <c r="C8195" s="30" t="n">
        <v>86595125</v>
      </c>
      <c r="D8195" s="30">
        <f>"19321657000189"</f>
        <v/>
      </c>
      <c r="E8195" s="30" t="inlineStr">
        <is>
          <t>BETUN CONSTRUÇÕES E MANUTENÇÃO INDUSTRIAL LTDA</t>
        </is>
      </c>
      <c r="F8195" s="30" t="inlineStr">
        <is>
          <t>2023</t>
        </is>
      </c>
      <c r="G8195" s="40" t="n">
        <v>0</v>
      </c>
    </row>
    <row r="8196" ht="12" customHeight="1">
      <c r="A8196" s="30" t="inlineStr">
        <is>
          <t>ITG</t>
        </is>
      </c>
      <c r="B8196" s="30" t="inlineStr">
        <is>
          <t>Itaguai</t>
        </is>
      </c>
      <c r="C8196" s="30" t="n">
        <v>86614707</v>
      </c>
      <c r="D8196" s="30">
        <f>"17814074000407"</f>
        <v/>
      </c>
      <c r="E8196" s="30" t="inlineStr">
        <is>
          <t>NORTES TRANSPORTE E COMERCIO E SERVICOS LTDA</t>
        </is>
      </c>
      <c r="F8196" s="30" t="inlineStr">
        <is>
          <t>2017</t>
        </is>
      </c>
      <c r="G8196" s="40" t="n">
        <v>91.84</v>
      </c>
    </row>
    <row r="8197" ht="12" customHeight="1">
      <c r="A8197" s="30" t="inlineStr">
        <is>
          <t>ITG</t>
        </is>
      </c>
      <c r="B8197" s="30" t="inlineStr">
        <is>
          <t>Itaguai</t>
        </is>
      </c>
      <c r="C8197" s="30" t="n">
        <v>86614707</v>
      </c>
      <c r="D8197" s="30">
        <f>"17814074000407"</f>
        <v/>
      </c>
      <c r="E8197" s="30" t="inlineStr">
        <is>
          <t>NORTES TRANSPORTE E COMERCIO E SERVICOS LTDA</t>
        </is>
      </c>
      <c r="F8197" s="30" t="inlineStr">
        <is>
          <t>2018</t>
        </is>
      </c>
      <c r="G8197" s="40" t="n">
        <v>0</v>
      </c>
    </row>
    <row r="8198" ht="12" customHeight="1">
      <c r="A8198" s="30" t="inlineStr">
        <is>
          <t>ITG</t>
        </is>
      </c>
      <c r="B8198" s="30" t="inlineStr">
        <is>
          <t>Itaguai</t>
        </is>
      </c>
      <c r="C8198" s="30" t="n">
        <v>86614707</v>
      </c>
      <c r="D8198" s="30">
        <f>"17814074000407"</f>
        <v/>
      </c>
      <c r="E8198" s="30" t="inlineStr">
        <is>
          <t>NORTES TRANSPORTE E COMERCIO E SERVICOS LTDA</t>
        </is>
      </c>
      <c r="F8198" s="30" t="inlineStr">
        <is>
          <t>2019</t>
        </is>
      </c>
      <c r="G8198" s="40" t="n">
        <v>0</v>
      </c>
    </row>
    <row r="8199" ht="12" customHeight="1">
      <c r="A8199" s="30" t="inlineStr">
        <is>
          <t>ITG</t>
        </is>
      </c>
      <c r="B8199" s="30" t="inlineStr">
        <is>
          <t>Itaguai</t>
        </is>
      </c>
      <c r="C8199" s="30" t="n">
        <v>86617536</v>
      </c>
      <c r="D8199" s="30">
        <f>"03831403001142"</f>
        <v/>
      </c>
      <c r="E8199" s="30" t="inlineStr">
        <is>
          <t>TRANSMARONI TRANSPORTES BRASIL RODOVIARIOS LTDA</t>
        </is>
      </c>
      <c r="F8199" s="30" t="inlineStr">
        <is>
          <t>2017</t>
        </is>
      </c>
      <c r="G8199" s="40" t="n">
        <v>170.96</v>
      </c>
    </row>
    <row r="8200" ht="12" customHeight="1">
      <c r="A8200" s="30" t="inlineStr">
        <is>
          <t>ITG</t>
        </is>
      </c>
      <c r="B8200" s="30" t="inlineStr">
        <is>
          <t>Itaguai</t>
        </is>
      </c>
      <c r="C8200" s="30" t="n">
        <v>86617536</v>
      </c>
      <c r="D8200" s="30">
        <f>"03831403001142"</f>
        <v/>
      </c>
      <c r="E8200" s="30" t="inlineStr">
        <is>
          <t>TRANSMARONI TRANSPORTES BRASIL RODOVIARIOS LTDA</t>
        </is>
      </c>
      <c r="F8200" s="30" t="inlineStr">
        <is>
          <t>2018</t>
        </is>
      </c>
      <c r="G8200" s="40" t="n">
        <v>0</v>
      </c>
    </row>
    <row r="8201" ht="12" customHeight="1">
      <c r="A8201" s="30" t="inlineStr">
        <is>
          <t>ITG</t>
        </is>
      </c>
      <c r="B8201" s="30" t="inlineStr">
        <is>
          <t>Itaguai</t>
        </is>
      </c>
      <c r="C8201" s="30" t="n">
        <v>86617536</v>
      </c>
      <c r="D8201" s="30">
        <f>"03831403001142"</f>
        <v/>
      </c>
      <c r="E8201" s="30" t="inlineStr">
        <is>
          <t>TRANSMARONI TRANSPORTES BRASIL RODOVIARIOS LTDA</t>
        </is>
      </c>
      <c r="F8201" s="30" t="inlineStr">
        <is>
          <t>2019</t>
        </is>
      </c>
      <c r="G8201" s="40" t="n">
        <v>0</v>
      </c>
    </row>
    <row r="8202" ht="12" customHeight="1">
      <c r="A8202" s="30" t="inlineStr">
        <is>
          <t>ITG</t>
        </is>
      </c>
      <c r="B8202" s="30" t="inlineStr">
        <is>
          <t>Itaguai</t>
        </is>
      </c>
      <c r="C8202" s="30" t="n">
        <v>86624206</v>
      </c>
      <c r="D8202" s="30">
        <f>"19576725000150"</f>
        <v/>
      </c>
      <c r="E8202" s="30" t="inlineStr">
        <is>
          <t>J L INSTITUTO DE LINGUAS LTDA - ME</t>
        </is>
      </c>
      <c r="F8202" s="30" t="inlineStr">
        <is>
          <t>2020</t>
        </is>
      </c>
      <c r="G8202" s="40" t="n">
        <v>0</v>
      </c>
    </row>
    <row r="8203" ht="12" customHeight="1">
      <c r="A8203" s="30" t="inlineStr">
        <is>
          <t>ITG</t>
        </is>
      </c>
      <c r="B8203" s="30" t="inlineStr">
        <is>
          <t>Itaguai</t>
        </is>
      </c>
      <c r="C8203" s="30" t="n">
        <v>86624206</v>
      </c>
      <c r="D8203" s="30">
        <f>"19576725000150"</f>
        <v/>
      </c>
      <c r="E8203" s="30" t="inlineStr">
        <is>
          <t>J L INSTITUTO DE LINGUAS LTDA - ME</t>
        </is>
      </c>
      <c r="F8203" s="30" t="inlineStr">
        <is>
          <t>2021</t>
        </is>
      </c>
      <c r="G8203" s="40" t="n">
        <v>0</v>
      </c>
    </row>
    <row r="8204" ht="12" customHeight="1">
      <c r="A8204" s="30" t="inlineStr">
        <is>
          <t>ITG</t>
        </is>
      </c>
      <c r="B8204" s="30" t="inlineStr">
        <is>
          <t>Itaguai</t>
        </is>
      </c>
      <c r="C8204" s="30" t="n">
        <v>86624206</v>
      </c>
      <c r="D8204" s="30">
        <f>"19576725000150"</f>
        <v/>
      </c>
      <c r="E8204" s="30" t="inlineStr">
        <is>
          <t>J L INSTITUTO DE LINGUAS LTDA - ME</t>
        </is>
      </c>
      <c r="F8204" s="30" t="inlineStr">
        <is>
          <t>2022</t>
        </is>
      </c>
      <c r="G8204" s="40" t="n">
        <v>0</v>
      </c>
    </row>
    <row r="8205" ht="12" customHeight="1">
      <c r="A8205" s="30" t="inlineStr">
        <is>
          <t>ITG</t>
        </is>
      </c>
      <c r="B8205" s="30" t="inlineStr">
        <is>
          <t>Itaguai</t>
        </is>
      </c>
      <c r="C8205" s="30" t="n">
        <v>86624206</v>
      </c>
      <c r="D8205" s="30">
        <f>"19576725000150"</f>
        <v/>
      </c>
      <c r="E8205" s="30" t="inlineStr">
        <is>
          <t>J L INSTITUTO DE LINGUAS LTDA - ME</t>
        </is>
      </c>
      <c r="F8205" s="30" t="inlineStr">
        <is>
          <t>2023</t>
        </is>
      </c>
      <c r="G8205" s="40" t="n">
        <v>0</v>
      </c>
    </row>
    <row r="8206" ht="12" customHeight="1">
      <c r="A8206" s="30" t="inlineStr">
        <is>
          <t>ITG</t>
        </is>
      </c>
      <c r="B8206" s="30" t="inlineStr">
        <is>
          <t>Itaguai</t>
        </is>
      </c>
      <c r="C8206" s="30" t="n">
        <v>86625520</v>
      </c>
      <c r="D8206" s="30">
        <f>"19422577000110"</f>
        <v/>
      </c>
      <c r="E8206" s="30" t="inlineStr">
        <is>
          <t>MB ROVERE TRANSPORTES, COMERCIO E SERVIÇOS LTDA</t>
        </is>
      </c>
      <c r="F8206" s="30" t="inlineStr">
        <is>
          <t>2019</t>
        </is>
      </c>
      <c r="G8206" s="40" t="n">
        <v>0</v>
      </c>
    </row>
    <row r="8207" ht="12" customHeight="1">
      <c r="A8207" s="30" t="inlineStr">
        <is>
          <t>ITG</t>
        </is>
      </c>
      <c r="B8207" s="30" t="inlineStr">
        <is>
          <t>Itaguai</t>
        </is>
      </c>
      <c r="C8207" s="30" t="n">
        <v>86625520</v>
      </c>
      <c r="D8207" s="30">
        <f>"19422577000110"</f>
        <v/>
      </c>
      <c r="E8207" s="30" t="inlineStr">
        <is>
          <t>MB ROVERE TRANSPORTES, COMERCIO E SERVIÇOS LTDA</t>
        </is>
      </c>
      <c r="F8207" s="30" t="inlineStr">
        <is>
          <t>2020</t>
        </is>
      </c>
      <c r="G8207" s="40" t="n">
        <v>0</v>
      </c>
    </row>
    <row r="8208" ht="12" customHeight="1">
      <c r="A8208" s="30" t="inlineStr">
        <is>
          <t>ITG</t>
        </is>
      </c>
      <c r="B8208" s="30" t="inlineStr">
        <is>
          <t>Itaguai</t>
        </is>
      </c>
      <c r="C8208" s="30" t="n">
        <v>86625520</v>
      </c>
      <c r="D8208" s="30">
        <f>"19422577000110"</f>
        <v/>
      </c>
      <c r="E8208" s="30" t="inlineStr">
        <is>
          <t>MB ROVERE TRANSPORTES, COMERCIO E SERVIÇOS LTDA</t>
        </is>
      </c>
      <c r="F8208" s="30" t="inlineStr">
        <is>
          <t>2021</t>
        </is>
      </c>
      <c r="G8208" s="40" t="n">
        <v>0</v>
      </c>
    </row>
    <row r="8209" ht="12" customHeight="1">
      <c r="A8209" s="30" t="inlineStr">
        <is>
          <t>ITG</t>
        </is>
      </c>
      <c r="B8209" s="30" t="inlineStr">
        <is>
          <t>Itaguai</t>
        </is>
      </c>
      <c r="C8209" s="30" t="n">
        <v>86625520</v>
      </c>
      <c r="D8209" s="30">
        <f>"19422577000110"</f>
        <v/>
      </c>
      <c r="E8209" s="30" t="inlineStr">
        <is>
          <t>MB ROVERE TRANSPORTES, COMERCIO E SERVIÇOS LTDA</t>
        </is>
      </c>
      <c r="F8209" s="30" t="inlineStr">
        <is>
          <t>2022</t>
        </is>
      </c>
      <c r="G8209" s="40" t="n">
        <v>0</v>
      </c>
    </row>
    <row r="8210" ht="12" customHeight="1">
      <c r="A8210" s="30" t="inlineStr">
        <is>
          <t>ITG</t>
        </is>
      </c>
      <c r="B8210" s="30" t="inlineStr">
        <is>
          <t>Itaguai</t>
        </is>
      </c>
      <c r="C8210" s="30" t="n">
        <v>86625520</v>
      </c>
      <c r="D8210" s="30">
        <f>"19422577000110"</f>
        <v/>
      </c>
      <c r="E8210" s="30" t="inlineStr">
        <is>
          <t>MB ROVERE TRANSPORTES, COMERCIO E SERVIÇOS LTDA</t>
        </is>
      </c>
      <c r="F8210" s="30" t="inlineStr">
        <is>
          <t>2023</t>
        </is>
      </c>
      <c r="G8210" s="40" t="n">
        <v>0</v>
      </c>
    </row>
    <row r="8211" ht="12" customHeight="1">
      <c r="A8211" s="30" t="inlineStr">
        <is>
          <t>ITG</t>
        </is>
      </c>
      <c r="B8211" s="30" t="inlineStr">
        <is>
          <t>Itaguai</t>
        </is>
      </c>
      <c r="C8211" s="30" t="n">
        <v>86628422</v>
      </c>
      <c r="D8211" s="30">
        <f>"11302511000265"</f>
        <v/>
      </c>
      <c r="E8211" s="30" t="inlineStr">
        <is>
          <t>BRASIL - TRANSPORTADORA E SERVICOS DE CONSTRUCAO LTDA ME</t>
        </is>
      </c>
      <c r="F8211" s="30" t="inlineStr">
        <is>
          <t>2017</t>
        </is>
      </c>
      <c r="G8211" s="40" t="n">
        <v>0</v>
      </c>
    </row>
    <row r="8212" ht="12" customHeight="1">
      <c r="A8212" s="30" t="inlineStr">
        <is>
          <t>ITG</t>
        </is>
      </c>
      <c r="B8212" s="30" t="inlineStr">
        <is>
          <t>Itaguai</t>
        </is>
      </c>
      <c r="C8212" s="30" t="n">
        <v>86628422</v>
      </c>
      <c r="D8212" s="30">
        <f>"11302511000265"</f>
        <v/>
      </c>
      <c r="E8212" s="30" t="inlineStr">
        <is>
          <t>BRASIL - TRANSPORTADORA E SERVICOS DE CONSTRUCAO LTDA ME</t>
        </is>
      </c>
      <c r="F8212" s="30" t="inlineStr">
        <is>
          <t>2018</t>
        </is>
      </c>
      <c r="G8212" s="40" t="n">
        <v>0</v>
      </c>
    </row>
    <row r="8213" ht="12" customHeight="1">
      <c r="A8213" s="30" t="inlineStr">
        <is>
          <t>ITG</t>
        </is>
      </c>
      <c r="B8213" s="30" t="inlineStr">
        <is>
          <t>Itaguai</t>
        </is>
      </c>
      <c r="C8213" s="30" t="n">
        <v>86628422</v>
      </c>
      <c r="D8213" s="30">
        <f>"11302511000265"</f>
        <v/>
      </c>
      <c r="E8213" s="30" t="inlineStr">
        <is>
          <t>BRASIL - TRANSPORTADORA E SERVICOS DE CONSTRUCAO LTDA ME</t>
        </is>
      </c>
      <c r="F8213" s="30" t="inlineStr">
        <is>
          <t>2019</t>
        </is>
      </c>
      <c r="G8213" s="40" t="n">
        <v>0</v>
      </c>
    </row>
    <row r="8214" ht="12" customHeight="1">
      <c r="A8214" s="30" t="inlineStr">
        <is>
          <t>ITG</t>
        </is>
      </c>
      <c r="B8214" s="30" t="inlineStr">
        <is>
          <t>Itaguai</t>
        </is>
      </c>
      <c r="C8214" s="30" t="n">
        <v>86628422</v>
      </c>
      <c r="D8214" s="30">
        <f>"11302511000265"</f>
        <v/>
      </c>
      <c r="E8214" s="30" t="inlineStr">
        <is>
          <t>BRASIL - TRANSPORTADORA E SERVICOS DE CONSTRUCAO LTDA ME</t>
        </is>
      </c>
      <c r="F8214" s="30" t="inlineStr">
        <is>
          <t>2020</t>
        </is>
      </c>
      <c r="G8214" s="40" t="n">
        <v>0</v>
      </c>
    </row>
    <row r="8215" ht="12" customHeight="1">
      <c r="A8215" s="30" t="inlineStr">
        <is>
          <t>ITG</t>
        </is>
      </c>
      <c r="B8215" s="30" t="inlineStr">
        <is>
          <t>Itaguai</t>
        </is>
      </c>
      <c r="C8215" s="30" t="n">
        <v>86628422</v>
      </c>
      <c r="D8215" s="30">
        <f>"11302511000265"</f>
        <v/>
      </c>
      <c r="E8215" s="30" t="inlineStr">
        <is>
          <t>BRASIL - TRANSPORTADORA E SERVICOS DE CONSTRUCAO LTDA ME</t>
        </is>
      </c>
      <c r="F8215" s="30" t="inlineStr">
        <is>
          <t>2021</t>
        </is>
      </c>
      <c r="G8215" s="40" t="n">
        <v>0</v>
      </c>
    </row>
    <row r="8216" ht="12" customHeight="1">
      <c r="A8216" s="30" t="inlineStr">
        <is>
          <t>ITG</t>
        </is>
      </c>
      <c r="B8216" s="30" t="inlineStr">
        <is>
          <t>Itaguai</t>
        </is>
      </c>
      <c r="C8216" s="30" t="n">
        <v>86628422</v>
      </c>
      <c r="D8216" s="30">
        <f>"11302511000265"</f>
        <v/>
      </c>
      <c r="E8216" s="30" t="inlineStr">
        <is>
          <t>BRASIL - TRANSPORTADORA E SERVICOS DE CONSTRUCAO LTDA ME</t>
        </is>
      </c>
      <c r="F8216" s="30" t="inlineStr">
        <is>
          <t>2022</t>
        </is>
      </c>
      <c r="G8216" s="40" t="n">
        <v>0</v>
      </c>
    </row>
    <row r="8217" ht="12" customHeight="1">
      <c r="A8217" s="30" t="inlineStr">
        <is>
          <t>ITG</t>
        </is>
      </c>
      <c r="B8217" s="30" t="inlineStr">
        <is>
          <t>Itaguai</t>
        </is>
      </c>
      <c r="C8217" s="30" t="n">
        <v>86641488</v>
      </c>
      <c r="D8217" s="30">
        <f>"19788547000121"</f>
        <v/>
      </c>
      <c r="E8217" s="30" t="inlineStr">
        <is>
          <t>VIANA FIRE INSTALACOES COMERCIO E SERVICOS EIRELI</t>
        </is>
      </c>
      <c r="F8217" s="30" t="inlineStr">
        <is>
          <t>2018</t>
        </is>
      </c>
      <c r="G8217" s="40" t="n">
        <v>0</v>
      </c>
    </row>
    <row r="8218" ht="12" customHeight="1">
      <c r="A8218" s="30" t="inlineStr">
        <is>
          <t>ITG</t>
        </is>
      </c>
      <c r="B8218" s="30" t="inlineStr">
        <is>
          <t>Itaguai</t>
        </is>
      </c>
      <c r="C8218" s="30" t="n">
        <v>86641488</v>
      </c>
      <c r="D8218" s="30">
        <f>"19788547000121"</f>
        <v/>
      </c>
      <c r="E8218" s="30" t="inlineStr">
        <is>
          <t>VIANA FIRE INSTALACOES COMERCIO E SERVICOS EIRELI</t>
        </is>
      </c>
      <c r="F8218" s="30" t="inlineStr">
        <is>
          <t>2019</t>
        </is>
      </c>
      <c r="G8218" s="40" t="n">
        <v>0</v>
      </c>
    </row>
    <row r="8219" ht="12" customHeight="1">
      <c r="A8219" s="30" t="inlineStr">
        <is>
          <t>ITG</t>
        </is>
      </c>
      <c r="B8219" s="30" t="inlineStr">
        <is>
          <t>Itaguai</t>
        </is>
      </c>
      <c r="C8219" s="30" t="n">
        <v>86641488</v>
      </c>
      <c r="D8219" s="30">
        <f>"19788547000121"</f>
        <v/>
      </c>
      <c r="E8219" s="30" t="inlineStr">
        <is>
          <t>VIANA FIRE INSTALACOES COMERCIO E SERVICOS EIRELI</t>
        </is>
      </c>
      <c r="F8219" s="30" t="inlineStr">
        <is>
          <t>2020</t>
        </is>
      </c>
      <c r="G8219" s="40" t="n">
        <v>0</v>
      </c>
    </row>
    <row r="8220" ht="12" customHeight="1">
      <c r="A8220" s="30" t="inlineStr">
        <is>
          <t>ITG</t>
        </is>
      </c>
      <c r="B8220" s="30" t="inlineStr">
        <is>
          <t>Itaguai</t>
        </is>
      </c>
      <c r="C8220" s="30" t="n">
        <v>86641488</v>
      </c>
      <c r="D8220" s="30">
        <f>"19788547000121"</f>
        <v/>
      </c>
      <c r="E8220" s="30" t="inlineStr">
        <is>
          <t>VIANA FIRE INSTALACOES COMERCIO E SERVICOS EIRELI</t>
        </is>
      </c>
      <c r="F8220" s="30" t="inlineStr">
        <is>
          <t>2021</t>
        </is>
      </c>
      <c r="G8220" s="40" t="n">
        <v>0</v>
      </c>
    </row>
    <row r="8221" ht="12" customHeight="1">
      <c r="A8221" s="30" t="inlineStr">
        <is>
          <t>ITG</t>
        </is>
      </c>
      <c r="B8221" s="30" t="inlineStr">
        <is>
          <t>Itaguai</t>
        </is>
      </c>
      <c r="C8221" s="30" t="n">
        <v>86641488</v>
      </c>
      <c r="D8221" s="30">
        <f>"19788547000121"</f>
        <v/>
      </c>
      <c r="E8221" s="30" t="inlineStr">
        <is>
          <t>VIANA FIRE INSTALACOES COMERCIO E SERVICOS EIRELI</t>
        </is>
      </c>
      <c r="F8221" s="30" t="inlineStr">
        <is>
          <t>2022</t>
        </is>
      </c>
      <c r="G8221" s="40" t="n">
        <v>0</v>
      </c>
    </row>
    <row r="8222" ht="12" customHeight="1">
      <c r="A8222" s="30" t="inlineStr">
        <is>
          <t>ITG</t>
        </is>
      </c>
      <c r="B8222" s="30" t="inlineStr">
        <is>
          <t>Itaguai</t>
        </is>
      </c>
      <c r="C8222" s="30" t="n">
        <v>86659069</v>
      </c>
      <c r="D8222" s="30">
        <f>"06235812000607"</f>
        <v/>
      </c>
      <c r="E8222" s="30" t="inlineStr">
        <is>
          <t>CESLOG - CESARI LOGISTICA LTDA</t>
        </is>
      </c>
      <c r="F8222" s="30" t="inlineStr">
        <is>
          <t>2017</t>
        </is>
      </c>
      <c r="G8222" s="40" t="n">
        <v>45277.87</v>
      </c>
    </row>
    <row r="8223" ht="12" customHeight="1">
      <c r="A8223" s="30" t="inlineStr">
        <is>
          <t>ITG</t>
        </is>
      </c>
      <c r="B8223" s="30" t="inlineStr">
        <is>
          <t>Itaguai</t>
        </is>
      </c>
      <c r="C8223" s="30" t="n">
        <v>86659069</v>
      </c>
      <c r="D8223" s="30">
        <f>"06235812000607"</f>
        <v/>
      </c>
      <c r="E8223" s="30" t="inlineStr">
        <is>
          <t>CESLOG - CESARI LOGISTICA LTDA</t>
        </is>
      </c>
      <c r="F8223" s="30" t="inlineStr">
        <is>
          <t>2018</t>
        </is>
      </c>
      <c r="G8223" s="40" t="n">
        <v>62763.38</v>
      </c>
    </row>
    <row r="8224" ht="12" customHeight="1">
      <c r="A8224" s="30" t="inlineStr">
        <is>
          <t>ITG</t>
        </is>
      </c>
      <c r="B8224" s="30" t="inlineStr">
        <is>
          <t>Itaguai</t>
        </is>
      </c>
      <c r="C8224" s="30" t="n">
        <v>86659069</v>
      </c>
      <c r="D8224" s="30">
        <f>"06235812000607"</f>
        <v/>
      </c>
      <c r="E8224" s="30" t="inlineStr">
        <is>
          <t>CESLOG - CESARI LOGISTICA LTDA</t>
        </is>
      </c>
      <c r="F8224" s="30" t="inlineStr">
        <is>
          <t>2019</t>
        </is>
      </c>
      <c r="G8224" s="40" t="n">
        <v>56880.4</v>
      </c>
    </row>
    <row r="8225" ht="12" customHeight="1">
      <c r="A8225" s="30" t="inlineStr">
        <is>
          <t>ITG</t>
        </is>
      </c>
      <c r="B8225" s="30" t="inlineStr">
        <is>
          <t>Itaguai</t>
        </is>
      </c>
      <c r="C8225" s="30" t="n">
        <v>86659069</v>
      </c>
      <c r="D8225" s="30">
        <f>"06235812000607"</f>
        <v/>
      </c>
      <c r="E8225" s="30" t="inlineStr">
        <is>
          <t>CESLOG - CESARI LOGISTICA LTDA</t>
        </is>
      </c>
      <c r="F8225" s="30" t="inlineStr">
        <is>
          <t>2020</t>
        </is>
      </c>
      <c r="G8225" s="40" t="n">
        <v>21359.29</v>
      </c>
    </row>
    <row r="8226" ht="12" customHeight="1">
      <c r="A8226" s="30" t="inlineStr">
        <is>
          <t>ITG</t>
        </is>
      </c>
      <c r="B8226" s="30" t="inlineStr">
        <is>
          <t>Itaguai</t>
        </is>
      </c>
      <c r="C8226" s="30" t="n">
        <v>86659069</v>
      </c>
      <c r="D8226" s="30">
        <f>"06235812000607"</f>
        <v/>
      </c>
      <c r="E8226" s="30" t="inlineStr">
        <is>
          <t>CESLOG - CESARI LOGISTICA LTDA</t>
        </is>
      </c>
      <c r="F8226" s="30" t="inlineStr">
        <is>
          <t>2021</t>
        </is>
      </c>
      <c r="G8226" s="40" t="n">
        <v>3719.49</v>
      </c>
    </row>
    <row r="8227" ht="12" customHeight="1">
      <c r="A8227" s="30" t="inlineStr">
        <is>
          <t>ITG</t>
        </is>
      </c>
      <c r="B8227" s="30" t="inlineStr">
        <is>
          <t>Itaguai</t>
        </is>
      </c>
      <c r="C8227" s="30" t="n">
        <v>86659069</v>
      </c>
      <c r="D8227" s="30">
        <f>"06235812000607"</f>
        <v/>
      </c>
      <c r="E8227" s="30" t="inlineStr">
        <is>
          <t>CESLOG - CESARI LOGISTICA LTDA</t>
        </is>
      </c>
      <c r="F8227" s="30" t="inlineStr">
        <is>
          <t>2022</t>
        </is>
      </c>
      <c r="G8227" s="40" t="n">
        <v>0</v>
      </c>
    </row>
    <row r="8228" ht="12" customHeight="1">
      <c r="A8228" s="30" t="inlineStr">
        <is>
          <t>ITG</t>
        </is>
      </c>
      <c r="B8228" s="30" t="inlineStr">
        <is>
          <t>Itaguai</t>
        </is>
      </c>
      <c r="C8228" s="30" t="n">
        <v>86659069</v>
      </c>
      <c r="D8228" s="30">
        <f>"06235812000607"</f>
        <v/>
      </c>
      <c r="E8228" s="30" t="inlineStr">
        <is>
          <t>CESLOG - CESARI LOGISTICA LTDA</t>
        </is>
      </c>
      <c r="F8228" s="30" t="inlineStr">
        <is>
          <t>2023</t>
        </is>
      </c>
      <c r="G8228" s="40" t="n">
        <v>0</v>
      </c>
    </row>
    <row r="8229" ht="12" customHeight="1">
      <c r="A8229" s="30" t="inlineStr">
        <is>
          <t>ITG</t>
        </is>
      </c>
      <c r="B8229" s="30" t="inlineStr">
        <is>
          <t>Itaguai</t>
        </is>
      </c>
      <c r="C8229" s="30" t="n">
        <v>86660121</v>
      </c>
      <c r="D8229" s="30">
        <f>"19964194000173"</f>
        <v/>
      </c>
      <c r="E8229" s="30" t="inlineStr">
        <is>
          <t>COMERCIO DE CARNES E DERIVADOS JCA EIRELI</t>
        </is>
      </c>
      <c r="F8229" s="30" t="inlineStr">
        <is>
          <t>2017</t>
        </is>
      </c>
      <c r="G8229" s="40" t="n">
        <v>1948243.99</v>
      </c>
    </row>
    <row r="8230" ht="12" customHeight="1">
      <c r="A8230" s="30" t="inlineStr">
        <is>
          <t>ITG</t>
        </is>
      </c>
      <c r="B8230" s="30" t="inlineStr">
        <is>
          <t>Itaguai</t>
        </is>
      </c>
      <c r="C8230" s="30" t="n">
        <v>86660121</v>
      </c>
      <c r="D8230" s="30">
        <f>"19964194000173"</f>
        <v/>
      </c>
      <c r="E8230" s="30" t="inlineStr">
        <is>
          <t>COMERCIO DE CARNES E DERIVADOS JCA EIRELI</t>
        </is>
      </c>
      <c r="F8230" s="30" t="inlineStr">
        <is>
          <t>2018</t>
        </is>
      </c>
      <c r="G8230" s="40" t="n">
        <v>0</v>
      </c>
    </row>
    <row r="8231" ht="12" customHeight="1">
      <c r="A8231" s="30" t="inlineStr">
        <is>
          <t>ITG</t>
        </is>
      </c>
      <c r="B8231" s="30" t="inlineStr">
        <is>
          <t>Itaguai</t>
        </is>
      </c>
      <c r="C8231" s="30" t="n">
        <v>86660121</v>
      </c>
      <c r="D8231" s="30">
        <f>"19964194000173"</f>
        <v/>
      </c>
      <c r="E8231" s="30" t="inlineStr">
        <is>
          <t>COMERCIO DE CARNES E DERIVADOS JCA EIRELI</t>
        </is>
      </c>
      <c r="F8231" s="30" t="inlineStr">
        <is>
          <t>2019</t>
        </is>
      </c>
      <c r="G8231" s="40" t="n">
        <v>0</v>
      </c>
    </row>
    <row r="8232" ht="12" customHeight="1">
      <c r="A8232" s="30" t="inlineStr">
        <is>
          <t>ITG</t>
        </is>
      </c>
      <c r="B8232" s="30" t="inlineStr">
        <is>
          <t>Itaguai</t>
        </is>
      </c>
      <c r="C8232" s="30" t="n">
        <v>86665913</v>
      </c>
      <c r="D8232" s="30">
        <f>"19727878000313"</f>
        <v/>
      </c>
      <c r="E8232" s="30" t="inlineStr">
        <is>
          <t>TOPCARGAS LOGISTICA E TRANSPORTE RODOVIARIO LTDA</t>
        </is>
      </c>
      <c r="F8232" s="30" t="inlineStr">
        <is>
          <t>2017</t>
        </is>
      </c>
      <c r="G8232" s="40" t="n">
        <v>0</v>
      </c>
    </row>
    <row r="8233" ht="12" customHeight="1">
      <c r="A8233" s="30" t="inlineStr">
        <is>
          <t>ITG</t>
        </is>
      </c>
      <c r="B8233" s="30" t="inlineStr">
        <is>
          <t>Itaguai</t>
        </is>
      </c>
      <c r="C8233" s="30" t="n">
        <v>86665913</v>
      </c>
      <c r="D8233" s="30">
        <f>"19727878000313"</f>
        <v/>
      </c>
      <c r="E8233" s="30" t="inlineStr">
        <is>
          <t>TOPCARGAS LOGISTICA E TRANSPORTE RODOVIARIO LTDA</t>
        </is>
      </c>
      <c r="F8233" s="30" t="inlineStr">
        <is>
          <t>2018</t>
        </is>
      </c>
      <c r="G8233" s="40" t="n">
        <v>0</v>
      </c>
    </row>
    <row r="8234" ht="12" customHeight="1">
      <c r="A8234" s="30" t="inlineStr">
        <is>
          <t>ITG</t>
        </is>
      </c>
      <c r="B8234" s="30" t="inlineStr">
        <is>
          <t>Itaguai</t>
        </is>
      </c>
      <c r="C8234" s="30" t="n">
        <v>86665913</v>
      </c>
      <c r="D8234" s="30">
        <f>"19727878000313"</f>
        <v/>
      </c>
      <c r="E8234" s="30" t="inlineStr">
        <is>
          <t>TOPCARGAS LOGISTICA E TRANSPORTE RODOVIARIO LTDA</t>
        </is>
      </c>
      <c r="F8234" s="30" t="inlineStr">
        <is>
          <t>2019</t>
        </is>
      </c>
      <c r="G8234" s="40" t="n">
        <v>312.1</v>
      </c>
    </row>
    <row r="8235" ht="12" customHeight="1">
      <c r="A8235" s="30" t="inlineStr">
        <is>
          <t>ITG</t>
        </is>
      </c>
      <c r="B8235" s="30" t="inlineStr">
        <is>
          <t>Itaguai</t>
        </is>
      </c>
      <c r="C8235" s="30" t="n">
        <v>86665913</v>
      </c>
      <c r="D8235" s="30">
        <f>"19727878000313"</f>
        <v/>
      </c>
      <c r="E8235" s="30" t="inlineStr">
        <is>
          <t>TOPCARGAS LOGISTICA E TRANSPORTE RODOVIARIO LTDA</t>
        </is>
      </c>
      <c r="F8235" s="30" t="inlineStr">
        <is>
          <t>2020</t>
        </is>
      </c>
      <c r="G8235" s="40" t="n">
        <v>0</v>
      </c>
    </row>
    <row r="8236" ht="12" customHeight="1">
      <c r="A8236" s="30" t="inlineStr">
        <is>
          <t>ITG</t>
        </is>
      </c>
      <c r="B8236" s="30" t="inlineStr">
        <is>
          <t>Itaguai</t>
        </is>
      </c>
      <c r="C8236" s="30" t="n">
        <v>86665913</v>
      </c>
      <c r="D8236" s="30">
        <f>"19727878000313"</f>
        <v/>
      </c>
      <c r="E8236" s="30" t="inlineStr">
        <is>
          <t>TOPCARGAS LOGISTICA E TRANSPORTE RODOVIARIO LTDA</t>
        </is>
      </c>
      <c r="F8236" s="30" t="inlineStr">
        <is>
          <t>2021</t>
        </is>
      </c>
      <c r="G8236" s="40" t="n">
        <v>0</v>
      </c>
    </row>
    <row r="8237" ht="12" customHeight="1">
      <c r="A8237" s="30" t="inlineStr">
        <is>
          <t>ITG</t>
        </is>
      </c>
      <c r="B8237" s="30" t="inlineStr">
        <is>
          <t>Itaguai</t>
        </is>
      </c>
      <c r="C8237" s="30" t="n">
        <v>86670038</v>
      </c>
      <c r="D8237" s="30">
        <f>"20063065000193"</f>
        <v/>
      </c>
      <c r="E8237" s="30" t="inlineStr">
        <is>
          <t>D &amp; J PRADO SERVICOS DE TRANSPORTES LTDA ME</t>
        </is>
      </c>
      <c r="F8237" s="30" t="inlineStr">
        <is>
          <t>2017</t>
        </is>
      </c>
      <c r="G8237" s="40" t="n">
        <v>0</v>
      </c>
    </row>
    <row r="8238" ht="12" customHeight="1">
      <c r="A8238" s="30" t="inlineStr">
        <is>
          <t>ITG</t>
        </is>
      </c>
      <c r="B8238" s="30" t="inlineStr">
        <is>
          <t>Itaguai</t>
        </is>
      </c>
      <c r="C8238" s="30" t="n">
        <v>86670038</v>
      </c>
      <c r="D8238" s="30">
        <f>"20063065000193"</f>
        <v/>
      </c>
      <c r="E8238" s="30" t="inlineStr">
        <is>
          <t>D &amp; J PRADO SERVICOS DE TRANSPORTES LTDA ME</t>
        </is>
      </c>
      <c r="F8238" s="30" t="inlineStr">
        <is>
          <t>2018</t>
        </is>
      </c>
      <c r="G8238" s="40" t="n">
        <v>0</v>
      </c>
    </row>
    <row r="8239" ht="12" customHeight="1">
      <c r="A8239" s="30" t="inlineStr">
        <is>
          <t>ITG</t>
        </is>
      </c>
      <c r="B8239" s="30" t="inlineStr">
        <is>
          <t>Itaguai</t>
        </is>
      </c>
      <c r="C8239" s="30" t="n">
        <v>86670038</v>
      </c>
      <c r="D8239" s="30">
        <f>"20063065000193"</f>
        <v/>
      </c>
      <c r="E8239" s="30" t="inlineStr">
        <is>
          <t>D &amp; J PRADO SERVICOS DE TRANSPORTES LTDA ME</t>
        </is>
      </c>
      <c r="F8239" s="30" t="inlineStr">
        <is>
          <t>2019</t>
        </is>
      </c>
      <c r="G8239" s="40" t="n">
        <v>3180</v>
      </c>
    </row>
    <row r="8240" ht="12" customHeight="1">
      <c r="A8240" s="30" t="inlineStr">
        <is>
          <t>ITG</t>
        </is>
      </c>
      <c r="B8240" s="30" t="inlineStr">
        <is>
          <t>Itaguai</t>
        </is>
      </c>
      <c r="C8240" s="30" t="n">
        <v>86670038</v>
      </c>
      <c r="D8240" s="30">
        <f>"20063065000193"</f>
        <v/>
      </c>
      <c r="E8240" s="30" t="inlineStr">
        <is>
          <t>D &amp; J PRADO SERVICOS DE TRANSPORTES LTDA ME</t>
        </is>
      </c>
      <c r="F8240" s="30" t="inlineStr">
        <is>
          <t>2020</t>
        </is>
      </c>
      <c r="G8240" s="40" t="n">
        <v>0</v>
      </c>
    </row>
    <row r="8241" ht="12" customHeight="1">
      <c r="A8241" s="30" t="inlineStr">
        <is>
          <t>ITG</t>
        </is>
      </c>
      <c r="B8241" s="30" t="inlineStr">
        <is>
          <t>Itaguai</t>
        </is>
      </c>
      <c r="C8241" s="30" t="n">
        <v>86670038</v>
      </c>
      <c r="D8241" s="30">
        <f>"20063065000193"</f>
        <v/>
      </c>
      <c r="E8241" s="30" t="inlineStr">
        <is>
          <t>D &amp; J PRADO SERVICOS DE TRANSPORTES LTDA ME</t>
        </is>
      </c>
      <c r="F8241" s="30" t="inlineStr">
        <is>
          <t>2021</t>
        </is>
      </c>
      <c r="G8241" s="40" t="n">
        <v>0</v>
      </c>
    </row>
    <row r="8242" ht="12" customHeight="1">
      <c r="A8242" s="30" t="inlineStr">
        <is>
          <t>ITG</t>
        </is>
      </c>
      <c r="B8242" s="30" t="inlineStr">
        <is>
          <t>Itaguai</t>
        </is>
      </c>
      <c r="C8242" s="30" t="n">
        <v>86678020</v>
      </c>
      <c r="D8242" s="30">
        <f>"02743895000694"</f>
        <v/>
      </c>
      <c r="E8242" s="30" t="inlineStr">
        <is>
          <t>WEST AIR CARGO LTDA</t>
        </is>
      </c>
      <c r="F8242" s="30" t="inlineStr">
        <is>
          <t>2020</t>
        </is>
      </c>
      <c r="G8242" s="40" t="n">
        <v>0</v>
      </c>
    </row>
    <row r="8243" ht="12" customHeight="1">
      <c r="A8243" s="30" t="inlineStr">
        <is>
          <t>ITG</t>
        </is>
      </c>
      <c r="B8243" s="30" t="inlineStr">
        <is>
          <t>Itaguai</t>
        </is>
      </c>
      <c r="C8243" s="30" t="n">
        <v>86678020</v>
      </c>
      <c r="D8243" s="30">
        <f>"02743895000694"</f>
        <v/>
      </c>
      <c r="E8243" s="30" t="inlineStr">
        <is>
          <t>WEST AIR CARGO LTDA</t>
        </is>
      </c>
      <c r="F8243" s="30" t="inlineStr">
        <is>
          <t>2021</t>
        </is>
      </c>
      <c r="G8243" s="40" t="n">
        <v>0</v>
      </c>
    </row>
    <row r="8244" ht="12" customHeight="1">
      <c r="A8244" s="30" t="inlineStr">
        <is>
          <t>ITG</t>
        </is>
      </c>
      <c r="B8244" s="30" t="inlineStr">
        <is>
          <t>Itaguai</t>
        </is>
      </c>
      <c r="C8244" s="30" t="n">
        <v>86678020</v>
      </c>
      <c r="D8244" s="30">
        <f>"02743895000694"</f>
        <v/>
      </c>
      <c r="E8244" s="30" t="inlineStr">
        <is>
          <t>WEST AIR CARGO LTDA</t>
        </is>
      </c>
      <c r="F8244" s="30" t="inlineStr">
        <is>
          <t>2022</t>
        </is>
      </c>
      <c r="G8244" s="40" t="n">
        <v>10758.03</v>
      </c>
    </row>
    <row r="8245" ht="12" customHeight="1">
      <c r="A8245" s="30" t="inlineStr">
        <is>
          <t>ITG</t>
        </is>
      </c>
      <c r="B8245" s="30" t="inlineStr">
        <is>
          <t>Itaguai</t>
        </is>
      </c>
      <c r="C8245" s="30" t="n">
        <v>86678020</v>
      </c>
      <c r="D8245" s="30">
        <f>"02743895000694"</f>
        <v/>
      </c>
      <c r="E8245" s="30" t="inlineStr">
        <is>
          <t>WEST AIR CARGO LTDA</t>
        </is>
      </c>
      <c r="F8245" s="30" t="inlineStr">
        <is>
          <t>2023</t>
        </is>
      </c>
      <c r="G8245" s="40" t="n">
        <v>0</v>
      </c>
    </row>
    <row r="8246" ht="12" customHeight="1">
      <c r="A8246" s="30" t="inlineStr">
        <is>
          <t>ITG</t>
        </is>
      </c>
      <c r="B8246" s="30" t="inlineStr">
        <is>
          <t>Itaguai</t>
        </is>
      </c>
      <c r="C8246" s="30" t="n">
        <v>86679787</v>
      </c>
      <c r="D8246" s="30">
        <f>"20164910000117"</f>
        <v/>
      </c>
      <c r="E8246" s="30" t="inlineStr">
        <is>
          <t>VISTA ALEGRE COMERCIO DE GAS LTDA ME</t>
        </is>
      </c>
      <c r="F8246" s="30" t="inlineStr">
        <is>
          <t>2017</t>
        </is>
      </c>
      <c r="G8246" s="40" t="n">
        <v>271411.67</v>
      </c>
    </row>
    <row r="8247" ht="12" customHeight="1">
      <c r="A8247" s="30" t="inlineStr">
        <is>
          <t>ITG</t>
        </is>
      </c>
      <c r="B8247" s="30" t="inlineStr">
        <is>
          <t>Itaguai</t>
        </is>
      </c>
      <c r="C8247" s="30" t="n">
        <v>86679787</v>
      </c>
      <c r="D8247" s="30">
        <f>"20164910000117"</f>
        <v/>
      </c>
      <c r="E8247" s="30" t="inlineStr">
        <is>
          <t>VISTA ALEGRE COMERCIO DE GAS LTDA ME</t>
        </is>
      </c>
      <c r="F8247" s="30" t="inlineStr">
        <is>
          <t>2018</t>
        </is>
      </c>
      <c r="G8247" s="40" t="n">
        <v>0</v>
      </c>
    </row>
    <row r="8248" ht="12" customHeight="1">
      <c r="A8248" s="30" t="inlineStr">
        <is>
          <t>ITG</t>
        </is>
      </c>
      <c r="B8248" s="30" t="inlineStr">
        <is>
          <t>Itaguai</t>
        </is>
      </c>
      <c r="C8248" s="30" t="n">
        <v>86679787</v>
      </c>
      <c r="D8248" s="30">
        <f>"20164910000117"</f>
        <v/>
      </c>
      <c r="E8248" s="30" t="inlineStr">
        <is>
          <t>VISTA ALEGRE COMERCIO DE GAS LTDA ME</t>
        </is>
      </c>
      <c r="F8248" s="30" t="inlineStr">
        <is>
          <t>2019</t>
        </is>
      </c>
      <c r="G8248" s="40" t="n">
        <v>0</v>
      </c>
    </row>
    <row r="8249" ht="12" customHeight="1">
      <c r="A8249" s="30" t="inlineStr">
        <is>
          <t>ITG</t>
        </is>
      </c>
      <c r="B8249" s="30" t="inlineStr">
        <is>
          <t>Itaguai</t>
        </is>
      </c>
      <c r="C8249" s="30" t="n">
        <v>86679787</v>
      </c>
      <c r="D8249" s="30">
        <f>"20164910000117"</f>
        <v/>
      </c>
      <c r="E8249" s="30" t="inlineStr">
        <is>
          <t>VISTA ALEGRE COMERCIO DE GAS LTDA ME</t>
        </is>
      </c>
      <c r="F8249" s="30" t="inlineStr">
        <is>
          <t>2020</t>
        </is>
      </c>
      <c r="G8249" s="40" t="n">
        <v>0</v>
      </c>
    </row>
    <row r="8250" ht="12" customHeight="1">
      <c r="A8250" s="30" t="inlineStr">
        <is>
          <t>ITG</t>
        </is>
      </c>
      <c r="B8250" s="30" t="inlineStr">
        <is>
          <t>Itaguai</t>
        </is>
      </c>
      <c r="C8250" s="30" t="n">
        <v>86679787</v>
      </c>
      <c r="D8250" s="30">
        <f>"20164910000117"</f>
        <v/>
      </c>
      <c r="E8250" s="30" t="inlineStr">
        <is>
          <t>VISTA ALEGRE COMERCIO DE GAS LTDA ME</t>
        </is>
      </c>
      <c r="F8250" s="30" t="inlineStr">
        <is>
          <t>2021</t>
        </is>
      </c>
      <c r="G8250" s="40" t="n">
        <v>20</v>
      </c>
    </row>
    <row r="8251" ht="12" customHeight="1">
      <c r="A8251" s="30" t="inlineStr">
        <is>
          <t>ITG</t>
        </is>
      </c>
      <c r="B8251" s="30" t="inlineStr">
        <is>
          <t>Itaguai</t>
        </is>
      </c>
      <c r="C8251" s="30" t="n">
        <v>86679787</v>
      </c>
      <c r="D8251" s="30">
        <f>"20164910000117"</f>
        <v/>
      </c>
      <c r="E8251" s="30" t="inlineStr">
        <is>
          <t>VISTA ALEGRE COMERCIO DE GAS LTDA ME</t>
        </is>
      </c>
      <c r="F8251" s="30" t="inlineStr">
        <is>
          <t>2022</t>
        </is>
      </c>
      <c r="G8251" s="40" t="n">
        <v>0</v>
      </c>
    </row>
    <row r="8252" ht="12" customHeight="1">
      <c r="A8252" s="30" t="inlineStr">
        <is>
          <t>ITG</t>
        </is>
      </c>
      <c r="B8252" s="30" t="inlineStr">
        <is>
          <t>Itaguai</t>
        </is>
      </c>
      <c r="C8252" s="30" t="n">
        <v>86679787</v>
      </c>
      <c r="D8252" s="30">
        <f>"20164910000117"</f>
        <v/>
      </c>
      <c r="E8252" s="30" t="inlineStr">
        <is>
          <t>VISTA ALEGRE COMERCIO DE GAS LTDA ME</t>
        </is>
      </c>
      <c r="F8252" s="30" t="inlineStr">
        <is>
          <t>2023</t>
        </is>
      </c>
      <c r="G8252" s="40" t="n">
        <v>0</v>
      </c>
    </row>
    <row r="8253" ht="12" customHeight="1">
      <c r="A8253" s="30" t="inlineStr">
        <is>
          <t>ITG</t>
        </is>
      </c>
      <c r="B8253" s="30" t="inlineStr">
        <is>
          <t>Itaguai</t>
        </is>
      </c>
      <c r="C8253" s="30" t="n">
        <v>86680270</v>
      </c>
      <c r="D8253" s="30">
        <f>"15334893000260"</f>
        <v/>
      </c>
      <c r="E8253" s="30" t="inlineStr">
        <is>
          <t>SERRA BRASIL TRANSPORTES LTDA</t>
        </is>
      </c>
      <c r="F8253" s="30" t="inlineStr">
        <is>
          <t>2018</t>
        </is>
      </c>
      <c r="G8253" s="40" t="n">
        <v>0</v>
      </c>
    </row>
    <row r="8254" ht="12" customHeight="1">
      <c r="A8254" s="30" t="inlineStr">
        <is>
          <t>ITG</t>
        </is>
      </c>
      <c r="B8254" s="30" t="inlineStr">
        <is>
          <t>Itaguai</t>
        </is>
      </c>
      <c r="C8254" s="30" t="n">
        <v>86680270</v>
      </c>
      <c r="D8254" s="30">
        <f>"15334893000260"</f>
        <v/>
      </c>
      <c r="E8254" s="30" t="inlineStr">
        <is>
          <t>SERRA BRASIL TRANSPORTES LTDA</t>
        </is>
      </c>
      <c r="F8254" s="30" t="inlineStr">
        <is>
          <t>2019</t>
        </is>
      </c>
      <c r="G8254" s="40" t="n">
        <v>0</v>
      </c>
    </row>
    <row r="8255" ht="12" customHeight="1">
      <c r="A8255" s="30" t="inlineStr">
        <is>
          <t>ITG</t>
        </is>
      </c>
      <c r="B8255" s="30" t="inlineStr">
        <is>
          <t>Itaguai</t>
        </is>
      </c>
      <c r="C8255" s="30" t="n">
        <v>86680270</v>
      </c>
      <c r="D8255" s="30">
        <f>"15334893000260"</f>
        <v/>
      </c>
      <c r="E8255" s="30" t="inlineStr">
        <is>
          <t>SERRA BRASIL TRANSPORTES LTDA</t>
        </is>
      </c>
      <c r="F8255" s="30" t="inlineStr">
        <is>
          <t>2020</t>
        </is>
      </c>
      <c r="G8255" s="40" t="n">
        <v>2077.31</v>
      </c>
    </row>
    <row r="8256" ht="12" customHeight="1">
      <c r="A8256" s="30" t="inlineStr">
        <is>
          <t>ITG</t>
        </is>
      </c>
      <c r="B8256" s="30" t="inlineStr">
        <is>
          <t>Itaguai</t>
        </is>
      </c>
      <c r="C8256" s="30" t="n">
        <v>86680270</v>
      </c>
      <c r="D8256" s="30">
        <f>"15334893000260"</f>
        <v/>
      </c>
      <c r="E8256" s="30" t="inlineStr">
        <is>
          <t>SERRA BRASIL TRANSPORTES LTDA</t>
        </is>
      </c>
      <c r="F8256" s="30" t="inlineStr">
        <is>
          <t>2021</t>
        </is>
      </c>
      <c r="G8256" s="40" t="n">
        <v>2458.66</v>
      </c>
    </row>
    <row r="8257" ht="12" customHeight="1">
      <c r="A8257" s="30" t="inlineStr">
        <is>
          <t>ITG</t>
        </is>
      </c>
      <c r="B8257" s="30" t="inlineStr">
        <is>
          <t>Itaguai</t>
        </is>
      </c>
      <c r="C8257" s="30" t="n">
        <v>86680270</v>
      </c>
      <c r="D8257" s="30">
        <f>"15334893000260"</f>
        <v/>
      </c>
      <c r="E8257" s="30" t="inlineStr">
        <is>
          <t>SERRA BRASIL TRANSPORTES LTDA</t>
        </is>
      </c>
      <c r="F8257" s="30" t="inlineStr">
        <is>
          <t>2022</t>
        </is>
      </c>
      <c r="G8257" s="40" t="n">
        <v>754.6</v>
      </c>
    </row>
    <row r="8258" ht="12" customHeight="1">
      <c r="A8258" s="30" t="inlineStr">
        <is>
          <t>ITG</t>
        </is>
      </c>
      <c r="B8258" s="30" t="inlineStr">
        <is>
          <t>Itaguai</t>
        </is>
      </c>
      <c r="C8258" s="30" t="n">
        <v>86680270</v>
      </c>
      <c r="D8258" s="30">
        <f>"15334893000260"</f>
        <v/>
      </c>
      <c r="E8258" s="30" t="inlineStr">
        <is>
          <t>SERRA BRASIL TRANSPORTES LTDA</t>
        </is>
      </c>
      <c r="F8258" s="30" t="inlineStr">
        <is>
          <t>2023</t>
        </is>
      </c>
      <c r="G8258" s="40" t="n">
        <v>0</v>
      </c>
    </row>
    <row r="8259" ht="12" customHeight="1">
      <c r="A8259" s="30" t="inlineStr">
        <is>
          <t>ITG</t>
        </is>
      </c>
      <c r="B8259" s="30" t="inlineStr">
        <is>
          <t>Itaguai</t>
        </is>
      </c>
      <c r="C8259" s="30" t="n">
        <v>86682060</v>
      </c>
      <c r="D8259" s="30">
        <f>"07956015000339"</f>
        <v/>
      </c>
      <c r="E8259" s="30" t="inlineStr">
        <is>
          <t>MARLOG BRASIL LOGISTICA E ARMAZENAGEM LTDA</t>
        </is>
      </c>
      <c r="F8259" s="30" t="inlineStr">
        <is>
          <t>2019</t>
        </is>
      </c>
      <c r="G8259" s="40" t="n">
        <v>0</v>
      </c>
    </row>
    <row r="8260" ht="12" customHeight="1">
      <c r="A8260" s="30" t="inlineStr">
        <is>
          <t>ITG</t>
        </is>
      </c>
      <c r="B8260" s="30" t="inlineStr">
        <is>
          <t>Itaguai</t>
        </is>
      </c>
      <c r="C8260" s="30" t="n">
        <v>86682060</v>
      </c>
      <c r="D8260" s="30">
        <f>"07956015000339"</f>
        <v/>
      </c>
      <c r="E8260" s="30" t="inlineStr">
        <is>
          <t>MARLOG BRASIL LOGISTICA E ARMAZENAGEM LTDA</t>
        </is>
      </c>
      <c r="F8260" s="30" t="inlineStr">
        <is>
          <t>2020</t>
        </is>
      </c>
      <c r="G8260" s="40" t="n">
        <v>0</v>
      </c>
    </row>
    <row r="8261" ht="12" customHeight="1">
      <c r="A8261" s="30" t="inlineStr">
        <is>
          <t>ITG</t>
        </is>
      </c>
      <c r="B8261" s="30" t="inlineStr">
        <is>
          <t>Itaguai</t>
        </is>
      </c>
      <c r="C8261" s="30" t="n">
        <v>86682060</v>
      </c>
      <c r="D8261" s="30">
        <f>"07956015000339"</f>
        <v/>
      </c>
      <c r="E8261" s="30" t="inlineStr">
        <is>
          <t>MARLOG BRASIL LOGISTICA E ARMAZENAGEM LTDA</t>
        </is>
      </c>
      <c r="F8261" s="30" t="inlineStr">
        <is>
          <t>2021</t>
        </is>
      </c>
      <c r="G8261" s="40" t="n">
        <v>96067.36</v>
      </c>
    </row>
    <row r="8262" ht="12" customHeight="1">
      <c r="A8262" s="30" t="inlineStr">
        <is>
          <t>ITG</t>
        </is>
      </c>
      <c r="B8262" s="30" t="inlineStr">
        <is>
          <t>Itaguai</t>
        </is>
      </c>
      <c r="C8262" s="30" t="n">
        <v>86682060</v>
      </c>
      <c r="D8262" s="30">
        <f>"07956015000339"</f>
        <v/>
      </c>
      <c r="E8262" s="30" t="inlineStr">
        <is>
          <t>MARLOG BRASIL LOGISTICA E ARMAZENAGEM LTDA</t>
        </is>
      </c>
      <c r="F8262" s="30" t="inlineStr">
        <is>
          <t>2022</t>
        </is>
      </c>
      <c r="G8262" s="40" t="n">
        <v>159835.26</v>
      </c>
    </row>
    <row r="8263" ht="12" customHeight="1">
      <c r="A8263" s="30" t="inlineStr">
        <is>
          <t>ITG</t>
        </is>
      </c>
      <c r="B8263" s="30" t="inlineStr">
        <is>
          <t>Itaguai</t>
        </is>
      </c>
      <c r="C8263" s="30" t="n">
        <v>86682060</v>
      </c>
      <c r="D8263" s="30">
        <f>"07956015000339"</f>
        <v/>
      </c>
      <c r="E8263" s="30" t="inlineStr">
        <is>
          <t>MARLOG BRASIL LOGISTICA E ARMAZENAGEM LTDA</t>
        </is>
      </c>
      <c r="F8263" s="30" t="inlineStr">
        <is>
          <t>2023</t>
        </is>
      </c>
      <c r="G8263" s="40" t="n">
        <v>0</v>
      </c>
    </row>
    <row r="8264" ht="12" customHeight="1">
      <c r="A8264" s="30" t="inlineStr">
        <is>
          <t>ITG</t>
        </is>
      </c>
      <c r="B8264" s="30" t="inlineStr">
        <is>
          <t>Itaguai</t>
        </is>
      </c>
      <c r="C8264" s="30" t="n">
        <v>86682320</v>
      </c>
      <c r="D8264" s="30">
        <f>"20165373000120"</f>
        <v/>
      </c>
      <c r="E8264" s="30" t="inlineStr">
        <is>
          <t>COSTA MATA ENTREPOSTO DE PESCADOS LTDA EPP</t>
        </is>
      </c>
      <c r="F8264" s="30" t="inlineStr">
        <is>
          <t>2017</t>
        </is>
      </c>
      <c r="G8264" s="40" t="n">
        <v>0</v>
      </c>
    </row>
    <row r="8265" ht="12" customHeight="1">
      <c r="A8265" s="30" t="inlineStr">
        <is>
          <t>ITG</t>
        </is>
      </c>
      <c r="B8265" s="30" t="inlineStr">
        <is>
          <t>Itaguai</t>
        </is>
      </c>
      <c r="C8265" s="30" t="n">
        <v>86682320</v>
      </c>
      <c r="D8265" s="30">
        <f>"20165373000120"</f>
        <v/>
      </c>
      <c r="E8265" s="30" t="inlineStr">
        <is>
          <t>COSTA MATA ENTREPOSTO DE PESCADOS LTDA EPP</t>
        </is>
      </c>
      <c r="F8265" s="30" t="inlineStr">
        <is>
          <t>2018</t>
        </is>
      </c>
      <c r="G8265" s="40" t="n">
        <v>0</v>
      </c>
    </row>
    <row r="8266" ht="12" customHeight="1">
      <c r="A8266" s="30" t="inlineStr">
        <is>
          <t>ITG</t>
        </is>
      </c>
      <c r="B8266" s="30" t="inlineStr">
        <is>
          <t>Itaguai</t>
        </is>
      </c>
      <c r="C8266" s="30" t="n">
        <v>86682320</v>
      </c>
      <c r="D8266" s="30">
        <f>"20165373000120"</f>
        <v/>
      </c>
      <c r="E8266" s="30" t="inlineStr">
        <is>
          <t>COSTA MATA ENTREPOSTO DE PESCADOS LTDA EPP</t>
        </is>
      </c>
      <c r="F8266" s="30" t="inlineStr">
        <is>
          <t>2019</t>
        </is>
      </c>
      <c r="G8266" s="40" t="n">
        <v>128877.7</v>
      </c>
    </row>
    <row r="8267" ht="12" customHeight="1">
      <c r="A8267" s="30" t="inlineStr">
        <is>
          <t>ITG</t>
        </is>
      </c>
      <c r="B8267" s="30" t="inlineStr">
        <is>
          <t>Itaguai</t>
        </is>
      </c>
      <c r="C8267" s="30" t="n">
        <v>86682320</v>
      </c>
      <c r="D8267" s="30">
        <f>"20165373000120"</f>
        <v/>
      </c>
      <c r="E8267" s="30" t="inlineStr">
        <is>
          <t>COSTA MATA ENTREPOSTO DE PESCADOS LTDA EPP</t>
        </is>
      </c>
      <c r="F8267" s="30" t="inlineStr">
        <is>
          <t>2020</t>
        </is>
      </c>
      <c r="G8267" s="40" t="n">
        <v>0</v>
      </c>
    </row>
    <row r="8268" ht="12" customHeight="1">
      <c r="A8268" s="30" t="inlineStr">
        <is>
          <t>ITG</t>
        </is>
      </c>
      <c r="B8268" s="30" t="inlineStr">
        <is>
          <t>Itaguai</t>
        </is>
      </c>
      <c r="C8268" s="30" t="n">
        <v>86682320</v>
      </c>
      <c r="D8268" s="30">
        <f>"20165373000120"</f>
        <v/>
      </c>
      <c r="E8268" s="30" t="inlineStr">
        <is>
          <t>COSTA MATA ENTREPOSTO DE PESCADOS LTDA EPP</t>
        </is>
      </c>
      <c r="F8268" s="30" t="inlineStr">
        <is>
          <t>2021</t>
        </is>
      </c>
      <c r="G8268" s="40" t="n">
        <v>0</v>
      </c>
    </row>
    <row r="8269" ht="12" customHeight="1">
      <c r="A8269" s="30" t="inlineStr">
        <is>
          <t>ITG</t>
        </is>
      </c>
      <c r="B8269" s="30" t="inlineStr">
        <is>
          <t>Itaguai</t>
        </is>
      </c>
      <c r="C8269" s="30" t="n">
        <v>86686783</v>
      </c>
      <c r="D8269" s="30">
        <f>"19275618000516"</f>
        <v/>
      </c>
      <c r="E8269" s="30" t="inlineStr">
        <is>
          <t>INOVA LOGISTICA INTEGRADA LTDA</t>
        </is>
      </c>
      <c r="F8269" s="30" t="inlineStr">
        <is>
          <t>2019</t>
        </is>
      </c>
      <c r="G8269" s="40" t="n">
        <v>0</v>
      </c>
    </row>
    <row r="8270" ht="12" customHeight="1">
      <c r="A8270" s="30" t="inlineStr">
        <is>
          <t>ITG</t>
        </is>
      </c>
      <c r="B8270" s="30" t="inlineStr">
        <is>
          <t>Itaguai</t>
        </is>
      </c>
      <c r="C8270" s="30" t="n">
        <v>86686783</v>
      </c>
      <c r="D8270" s="30">
        <f>"19275618000516"</f>
        <v/>
      </c>
      <c r="E8270" s="30" t="inlineStr">
        <is>
          <t>INOVA LOGISTICA INTEGRADA LTDA</t>
        </is>
      </c>
      <c r="F8270" s="30" t="inlineStr">
        <is>
          <t>2020</t>
        </is>
      </c>
      <c r="G8270" s="40" t="n">
        <v>0</v>
      </c>
    </row>
    <row r="8271" ht="12" customHeight="1">
      <c r="A8271" s="30" t="inlineStr">
        <is>
          <t>ITG</t>
        </is>
      </c>
      <c r="B8271" s="30" t="inlineStr">
        <is>
          <t>Itaguai</t>
        </is>
      </c>
      <c r="C8271" s="30" t="n">
        <v>86686783</v>
      </c>
      <c r="D8271" s="30">
        <f>"19275618000516"</f>
        <v/>
      </c>
      <c r="E8271" s="30" t="inlineStr">
        <is>
          <t>INOVA LOGISTICA INTEGRADA LTDA</t>
        </is>
      </c>
      <c r="F8271" s="30" t="inlineStr">
        <is>
          <t>2021</t>
        </is>
      </c>
      <c r="G8271" s="40" t="n">
        <v>2.17</v>
      </c>
    </row>
    <row r="8272" ht="12" customHeight="1">
      <c r="A8272" s="30" t="inlineStr">
        <is>
          <t>ITG</t>
        </is>
      </c>
      <c r="B8272" s="30" t="inlineStr">
        <is>
          <t>Itaguai</t>
        </is>
      </c>
      <c r="C8272" s="30" t="n">
        <v>86686783</v>
      </c>
      <c r="D8272" s="30">
        <f>"19275618000516"</f>
        <v/>
      </c>
      <c r="E8272" s="30" t="inlineStr">
        <is>
          <t>INOVA LOGISTICA INTEGRADA LTDA</t>
        </is>
      </c>
      <c r="F8272" s="30" t="inlineStr">
        <is>
          <t>2022</t>
        </is>
      </c>
      <c r="G8272" s="40" t="n">
        <v>2.49</v>
      </c>
    </row>
    <row r="8273" ht="12" customHeight="1">
      <c r="A8273" s="30" t="inlineStr">
        <is>
          <t>ITG</t>
        </is>
      </c>
      <c r="B8273" s="30" t="inlineStr">
        <is>
          <t>Itaguai</t>
        </is>
      </c>
      <c r="C8273" s="30" t="n">
        <v>86686783</v>
      </c>
      <c r="D8273" s="30">
        <f>"19275618000516"</f>
        <v/>
      </c>
      <c r="E8273" s="30" t="inlineStr">
        <is>
          <t>INOVA LOGISTICA INTEGRADA LTDA</t>
        </is>
      </c>
      <c r="F8273" s="30" t="inlineStr">
        <is>
          <t>2023</t>
        </is>
      </c>
      <c r="G8273" s="40" t="n">
        <v>0</v>
      </c>
    </row>
    <row r="8274" ht="12" customHeight="1">
      <c r="A8274" s="30" t="inlineStr">
        <is>
          <t>ITG</t>
        </is>
      </c>
      <c r="B8274" s="30" t="inlineStr">
        <is>
          <t>Itaguai</t>
        </is>
      </c>
      <c r="C8274" s="30" t="n">
        <v>86690900</v>
      </c>
      <c r="D8274" s="30">
        <f>"19972414000100"</f>
        <v/>
      </c>
      <c r="E8274" s="30" t="inlineStr">
        <is>
          <t>M O CORREA LOPES RECICLAGEM E SERVICOS ME</t>
        </is>
      </c>
      <c r="F8274" s="30" t="inlineStr">
        <is>
          <t>2021</t>
        </is>
      </c>
      <c r="G8274" s="40" t="n">
        <v>0</v>
      </c>
    </row>
    <row r="8275" ht="12" customHeight="1">
      <c r="A8275" s="30" t="inlineStr">
        <is>
          <t>ITG</t>
        </is>
      </c>
      <c r="B8275" s="30" t="inlineStr">
        <is>
          <t>Itaguai</t>
        </is>
      </c>
      <c r="C8275" s="30" t="n">
        <v>86690900</v>
      </c>
      <c r="D8275" s="30">
        <f>"19972414000100"</f>
        <v/>
      </c>
      <c r="E8275" s="30" t="inlineStr">
        <is>
          <t>M O CORREA LOPES RECICLAGEM E SERVICOS ME</t>
        </is>
      </c>
      <c r="F8275" s="30" t="inlineStr">
        <is>
          <t>2022</t>
        </is>
      </c>
      <c r="G8275" s="40" t="n">
        <v>0</v>
      </c>
    </row>
    <row r="8276" ht="12" customHeight="1">
      <c r="A8276" s="30" t="inlineStr">
        <is>
          <t>ITG</t>
        </is>
      </c>
      <c r="B8276" s="30" t="inlineStr">
        <is>
          <t>Itaguai</t>
        </is>
      </c>
      <c r="C8276" s="30" t="n">
        <v>86690900</v>
      </c>
      <c r="D8276" s="30">
        <f>"19972414000100"</f>
        <v/>
      </c>
      <c r="E8276" s="30" t="inlineStr">
        <is>
          <t>M O CORREA LOPES RECICLAGEM E SERVICOS ME</t>
        </is>
      </c>
      <c r="F8276" s="30" t="inlineStr">
        <is>
          <t>2023</t>
        </is>
      </c>
      <c r="G8276" s="40" t="n">
        <v>2216476.98</v>
      </c>
    </row>
    <row r="8277" ht="12" customHeight="1">
      <c r="A8277" s="30" t="inlineStr">
        <is>
          <t>ITG</t>
        </is>
      </c>
      <c r="B8277" s="30" t="inlineStr">
        <is>
          <t>Itaguai</t>
        </is>
      </c>
      <c r="C8277" s="30" t="n">
        <v>86691280</v>
      </c>
      <c r="D8277" s="30">
        <f>"04822971000178"</f>
        <v/>
      </c>
      <c r="E8277" s="30" t="inlineStr">
        <is>
          <t>RIO MAR LTDA EPP</t>
        </is>
      </c>
      <c r="F8277" s="30" t="inlineStr">
        <is>
          <t>2021</t>
        </is>
      </c>
      <c r="G8277" s="40" t="n">
        <v>0</v>
      </c>
    </row>
    <row r="8278" ht="12" customHeight="1">
      <c r="A8278" s="30" t="inlineStr">
        <is>
          <t>ITG</t>
        </is>
      </c>
      <c r="B8278" s="30" t="inlineStr">
        <is>
          <t>Itaguai</t>
        </is>
      </c>
      <c r="C8278" s="30" t="n">
        <v>86691280</v>
      </c>
      <c r="D8278" s="30">
        <f>"04822971000178"</f>
        <v/>
      </c>
      <c r="E8278" s="30" t="inlineStr">
        <is>
          <t>RIO MAR LTDA EPP</t>
        </is>
      </c>
      <c r="F8278" s="30" t="inlineStr">
        <is>
          <t>2022</t>
        </is>
      </c>
      <c r="G8278" s="40" t="n">
        <v>0</v>
      </c>
    </row>
    <row r="8279" ht="12" customHeight="1">
      <c r="A8279" s="30" t="inlineStr">
        <is>
          <t>ITG</t>
        </is>
      </c>
      <c r="B8279" s="30" t="inlineStr">
        <is>
          <t>Itaguai</t>
        </is>
      </c>
      <c r="C8279" s="30" t="n">
        <v>86691280</v>
      </c>
      <c r="D8279" s="30">
        <f>"04822971000178"</f>
        <v/>
      </c>
      <c r="E8279" s="30" t="inlineStr">
        <is>
          <t>RIO MAR LTDA EPP</t>
        </is>
      </c>
      <c r="F8279" s="30" t="inlineStr">
        <is>
          <t>2023</t>
        </is>
      </c>
      <c r="G8279" s="40" t="n">
        <v>236422.4</v>
      </c>
    </row>
    <row r="8280" ht="12" customHeight="1">
      <c r="A8280" s="30" t="inlineStr">
        <is>
          <t>ITG</t>
        </is>
      </c>
      <c r="B8280" s="30" t="inlineStr">
        <is>
          <t>Itaguai</t>
        </is>
      </c>
      <c r="C8280" s="30" t="n">
        <v>86700174</v>
      </c>
      <c r="D8280" s="30">
        <f>"20251370000109"</f>
        <v/>
      </c>
      <c r="E8280" s="30" t="inlineStr">
        <is>
          <t>VIEIRA E MORAES TURISMO E TRANSPORTE LTDA</t>
        </is>
      </c>
      <c r="F8280" s="30" t="inlineStr">
        <is>
          <t>2017</t>
        </is>
      </c>
      <c r="G8280" s="40" t="n">
        <v>250</v>
      </c>
    </row>
    <row r="8281" ht="12" customHeight="1">
      <c r="A8281" s="30" t="inlineStr">
        <is>
          <t>ITG</t>
        </is>
      </c>
      <c r="B8281" s="30" t="inlineStr">
        <is>
          <t>Itaguai</t>
        </is>
      </c>
      <c r="C8281" s="30" t="n">
        <v>86700174</v>
      </c>
      <c r="D8281" s="30">
        <f>"20251370000109"</f>
        <v/>
      </c>
      <c r="E8281" s="30" t="inlineStr">
        <is>
          <t>VIEIRA E MORAES TURISMO E TRANSPORTE LTDA</t>
        </is>
      </c>
      <c r="F8281" s="30" t="inlineStr">
        <is>
          <t>2018</t>
        </is>
      </c>
      <c r="G8281" s="40" t="n">
        <v>0</v>
      </c>
    </row>
    <row r="8282" ht="12" customHeight="1">
      <c r="A8282" s="30" t="inlineStr">
        <is>
          <t>ITG</t>
        </is>
      </c>
      <c r="B8282" s="30" t="inlineStr">
        <is>
          <t>Itaguai</t>
        </is>
      </c>
      <c r="C8282" s="30" t="n">
        <v>86700174</v>
      </c>
      <c r="D8282" s="30">
        <f>"20251370000109"</f>
        <v/>
      </c>
      <c r="E8282" s="30" t="inlineStr">
        <is>
          <t>VIEIRA E MORAES TURISMO E TRANSPORTE LTDA</t>
        </is>
      </c>
      <c r="F8282" s="30" t="inlineStr">
        <is>
          <t>2019</t>
        </is>
      </c>
      <c r="G8282" s="40" t="n">
        <v>0</v>
      </c>
    </row>
    <row r="8283" ht="12" customHeight="1">
      <c r="A8283" s="30" t="inlineStr">
        <is>
          <t>ITG</t>
        </is>
      </c>
      <c r="B8283" s="30" t="inlineStr">
        <is>
          <t>Itaguai</t>
        </is>
      </c>
      <c r="C8283" s="30" t="n">
        <v>86718774</v>
      </c>
      <c r="D8283" s="30">
        <f>"30689889000550"</f>
        <v/>
      </c>
      <c r="E8283" s="30" t="inlineStr">
        <is>
          <t>TRANSPORTES POLONI LTDA</t>
        </is>
      </c>
      <c r="F8283" s="30" t="inlineStr">
        <is>
          <t>2018</t>
        </is>
      </c>
      <c r="G8283" s="40" t="n">
        <v>0</v>
      </c>
    </row>
    <row r="8284" ht="12" customHeight="1">
      <c r="A8284" s="30" t="inlineStr">
        <is>
          <t>ITG</t>
        </is>
      </c>
      <c r="B8284" s="30" t="inlineStr">
        <is>
          <t>Itaguai</t>
        </is>
      </c>
      <c r="C8284" s="30" t="n">
        <v>86718774</v>
      </c>
      <c r="D8284" s="30">
        <f>"30689889000550"</f>
        <v/>
      </c>
      <c r="E8284" s="30" t="inlineStr">
        <is>
          <t>TRANSPORTES POLONI LTDA</t>
        </is>
      </c>
      <c r="F8284" s="30" t="inlineStr">
        <is>
          <t>2019</t>
        </is>
      </c>
      <c r="G8284" s="40" t="n">
        <v>0</v>
      </c>
    </row>
    <row r="8285" ht="12" customHeight="1">
      <c r="A8285" s="30" t="inlineStr">
        <is>
          <t>ITG</t>
        </is>
      </c>
      <c r="B8285" s="30" t="inlineStr">
        <is>
          <t>Itaguai</t>
        </is>
      </c>
      <c r="C8285" s="30" t="n">
        <v>86718774</v>
      </c>
      <c r="D8285" s="30">
        <f>"30689889000550"</f>
        <v/>
      </c>
      <c r="E8285" s="30" t="inlineStr">
        <is>
          <t>TRANSPORTES POLONI LTDA</t>
        </is>
      </c>
      <c r="F8285" s="30" t="inlineStr">
        <is>
          <t>2020</t>
        </is>
      </c>
      <c r="G8285" s="40" t="n">
        <v>1700</v>
      </c>
    </row>
    <row r="8286" ht="12" customHeight="1">
      <c r="A8286" s="30" t="inlineStr">
        <is>
          <t>ITG</t>
        </is>
      </c>
      <c r="B8286" s="30" t="inlineStr">
        <is>
          <t>Itaguai</t>
        </is>
      </c>
      <c r="C8286" s="30" t="n">
        <v>86718774</v>
      </c>
      <c r="D8286" s="30">
        <f>"30689889000550"</f>
        <v/>
      </c>
      <c r="E8286" s="30" t="inlineStr">
        <is>
          <t>TRANSPORTES POLONI LTDA</t>
        </is>
      </c>
      <c r="F8286" s="30" t="inlineStr">
        <is>
          <t>2021</t>
        </is>
      </c>
      <c r="G8286" s="40" t="n">
        <v>0</v>
      </c>
    </row>
    <row r="8287" ht="12" customHeight="1">
      <c r="A8287" s="30" t="inlineStr">
        <is>
          <t>ITG</t>
        </is>
      </c>
      <c r="B8287" s="30" t="inlineStr">
        <is>
          <t>Itaguai</t>
        </is>
      </c>
      <c r="C8287" s="30" t="n">
        <v>86718774</v>
      </c>
      <c r="D8287" s="30">
        <f>"30689889000550"</f>
        <v/>
      </c>
      <c r="E8287" s="30" t="inlineStr">
        <is>
          <t>TRANSPORTES POLONI LTDA</t>
        </is>
      </c>
      <c r="F8287" s="30" t="inlineStr">
        <is>
          <t>2022</t>
        </is>
      </c>
      <c r="G8287" s="40" t="n">
        <v>0</v>
      </c>
    </row>
    <row r="8288" ht="12" customHeight="1">
      <c r="A8288" s="30" t="inlineStr">
        <is>
          <t>ITG</t>
        </is>
      </c>
      <c r="B8288" s="30" t="inlineStr">
        <is>
          <t>Itaguai</t>
        </is>
      </c>
      <c r="C8288" s="30" t="n">
        <v>86721031</v>
      </c>
      <c r="D8288" s="30">
        <f>"07017993000153"</f>
        <v/>
      </c>
      <c r="E8288" s="30" t="inlineStr">
        <is>
          <t>L C ANTONIO COMERCIO DE PNEUS E PECAS</t>
        </is>
      </c>
      <c r="F8288" s="30" t="inlineStr">
        <is>
          <t>2017</t>
        </is>
      </c>
      <c r="G8288" s="40" t="n">
        <v>0</v>
      </c>
    </row>
    <row r="8289" ht="12" customHeight="1">
      <c r="A8289" s="30" t="inlineStr">
        <is>
          <t>ITG</t>
        </is>
      </c>
      <c r="B8289" s="30" t="inlineStr">
        <is>
          <t>Itaguai</t>
        </is>
      </c>
      <c r="C8289" s="30" t="n">
        <v>86721031</v>
      </c>
      <c r="D8289" s="30">
        <f>"07017993000153"</f>
        <v/>
      </c>
      <c r="E8289" s="30" t="inlineStr">
        <is>
          <t>L C ANTONIO COMERCIO DE PNEUS E PECAS</t>
        </is>
      </c>
      <c r="F8289" s="30" t="inlineStr">
        <is>
          <t>2018</t>
        </is>
      </c>
      <c r="G8289" s="40" t="n">
        <v>0</v>
      </c>
    </row>
    <row r="8290" ht="12" customHeight="1">
      <c r="A8290" s="30" t="inlineStr">
        <is>
          <t>ITG</t>
        </is>
      </c>
      <c r="B8290" s="30" t="inlineStr">
        <is>
          <t>Itaguai</t>
        </is>
      </c>
      <c r="C8290" s="30" t="n">
        <v>86721031</v>
      </c>
      <c r="D8290" s="30">
        <f>"07017993000153"</f>
        <v/>
      </c>
      <c r="E8290" s="30" t="inlineStr">
        <is>
          <t>L C ANTONIO COMERCIO DE PNEUS E PECAS</t>
        </is>
      </c>
      <c r="F8290" s="30" t="inlineStr">
        <is>
          <t>2019</t>
        </is>
      </c>
      <c r="G8290" s="40" t="n">
        <v>0</v>
      </c>
    </row>
    <row r="8291" ht="12" customHeight="1">
      <c r="A8291" s="30" t="inlineStr">
        <is>
          <t>ITG</t>
        </is>
      </c>
      <c r="B8291" s="30" t="inlineStr">
        <is>
          <t>Itaguai</t>
        </is>
      </c>
      <c r="C8291" s="30" t="n">
        <v>86721112</v>
      </c>
      <c r="D8291" s="30">
        <f>"20542207000103"</f>
        <v/>
      </c>
      <c r="E8291" s="30" t="inlineStr">
        <is>
          <t>MS SERVICOS DE APOIO MARITIMO E TURISMO EIRELI EPP</t>
        </is>
      </c>
      <c r="F8291" s="30" t="inlineStr">
        <is>
          <t>2017</t>
        </is>
      </c>
      <c r="G8291" s="40" t="n">
        <v>0</v>
      </c>
    </row>
    <row r="8292" ht="12" customHeight="1">
      <c r="A8292" s="30" t="inlineStr">
        <is>
          <t>ITG</t>
        </is>
      </c>
      <c r="B8292" s="30" t="inlineStr">
        <is>
          <t>Itaguai</t>
        </is>
      </c>
      <c r="C8292" s="30" t="n">
        <v>86721112</v>
      </c>
      <c r="D8292" s="30">
        <f>"20542207000103"</f>
        <v/>
      </c>
      <c r="E8292" s="30" t="inlineStr">
        <is>
          <t>MS SERVICOS DE APOIO MARITIMO E TURISMO EIRELI EPP</t>
        </is>
      </c>
      <c r="F8292" s="30" t="inlineStr">
        <is>
          <t>2018</t>
        </is>
      </c>
      <c r="G8292" s="40" t="n">
        <v>0</v>
      </c>
    </row>
    <row r="8293" ht="12" customHeight="1">
      <c r="A8293" s="30" t="inlineStr">
        <is>
          <t>ITG</t>
        </is>
      </c>
      <c r="B8293" s="30" t="inlineStr">
        <is>
          <t>Itaguai</t>
        </is>
      </c>
      <c r="C8293" s="30" t="n">
        <v>86721112</v>
      </c>
      <c r="D8293" s="30">
        <f>"20542207000103"</f>
        <v/>
      </c>
      <c r="E8293" s="30" t="inlineStr">
        <is>
          <t>MS SERVICOS DE APOIO MARITIMO E TURISMO EIRELI EPP</t>
        </is>
      </c>
      <c r="F8293" s="30" t="inlineStr">
        <is>
          <t>2019</t>
        </is>
      </c>
      <c r="G8293" s="40" t="n">
        <v>0</v>
      </c>
    </row>
    <row r="8294" ht="12" customHeight="1">
      <c r="A8294" s="30" t="inlineStr">
        <is>
          <t>ITG</t>
        </is>
      </c>
      <c r="B8294" s="30" t="inlineStr">
        <is>
          <t>Itaguai</t>
        </is>
      </c>
      <c r="C8294" s="30" t="n">
        <v>86721112</v>
      </c>
      <c r="D8294" s="30">
        <f>"20542207000103"</f>
        <v/>
      </c>
      <c r="E8294" s="30" t="inlineStr">
        <is>
          <t>MS SERVICOS DE APOIO MARITIMO E TURISMO EIRELI EPP</t>
        </is>
      </c>
      <c r="F8294" s="30" t="inlineStr">
        <is>
          <t>2020</t>
        </is>
      </c>
      <c r="G8294" s="40" t="n">
        <v>0</v>
      </c>
    </row>
    <row r="8295" ht="12" customHeight="1">
      <c r="A8295" s="30" t="inlineStr">
        <is>
          <t>ITG</t>
        </is>
      </c>
      <c r="B8295" s="30" t="inlineStr">
        <is>
          <t>Itaguai</t>
        </is>
      </c>
      <c r="C8295" s="30" t="n">
        <v>86721112</v>
      </c>
      <c r="D8295" s="30">
        <f>"20542207000103"</f>
        <v/>
      </c>
      <c r="E8295" s="30" t="inlineStr">
        <is>
          <t>MS SERVICOS DE APOIO MARITIMO E TURISMO EIRELI EPP</t>
        </is>
      </c>
      <c r="F8295" s="30" t="inlineStr">
        <is>
          <t>2021</t>
        </is>
      </c>
      <c r="G8295" s="40" t="n">
        <v>0</v>
      </c>
    </row>
    <row r="8296" ht="12" customHeight="1">
      <c r="A8296" s="30" t="inlineStr">
        <is>
          <t>ITG</t>
        </is>
      </c>
      <c r="B8296" s="30" t="inlineStr">
        <is>
          <t>Itaguai</t>
        </is>
      </c>
      <c r="C8296" s="30" t="n">
        <v>86721112</v>
      </c>
      <c r="D8296" s="30">
        <f>"20542207000103"</f>
        <v/>
      </c>
      <c r="E8296" s="30" t="inlineStr">
        <is>
          <t>MS SERVICOS DE APOIO MARITIMO E TURISMO EIRELI EPP</t>
        </is>
      </c>
      <c r="F8296" s="30" t="inlineStr">
        <is>
          <t>2022</t>
        </is>
      </c>
      <c r="G8296" s="40" t="n">
        <v>0</v>
      </c>
    </row>
    <row r="8297" ht="12" customHeight="1">
      <c r="A8297" s="30" t="inlineStr">
        <is>
          <t>ITG</t>
        </is>
      </c>
      <c r="B8297" s="30" t="inlineStr">
        <is>
          <t>Itaguai</t>
        </is>
      </c>
      <c r="C8297" s="30" t="n">
        <v>86721112</v>
      </c>
      <c r="D8297" s="30">
        <f>"20542207000103"</f>
        <v/>
      </c>
      <c r="E8297" s="30" t="inlineStr">
        <is>
          <t>MS SERVICOS DE APOIO MARITIMO E TURISMO EIRELI EPP</t>
        </is>
      </c>
      <c r="F8297" s="30" t="inlineStr">
        <is>
          <t>2023</t>
        </is>
      </c>
      <c r="G8297" s="40" t="n">
        <v>0</v>
      </c>
    </row>
    <row r="8298" ht="12" customHeight="1">
      <c r="A8298" s="30" t="inlineStr">
        <is>
          <t>ITG</t>
        </is>
      </c>
      <c r="B8298" s="30" t="inlineStr">
        <is>
          <t>Itaguai</t>
        </is>
      </c>
      <c r="C8298" s="30" t="n">
        <v>86722887</v>
      </c>
      <c r="D8298" s="30">
        <f>"20511491000142"</f>
        <v/>
      </c>
      <c r="E8298" s="30" t="inlineStr">
        <is>
          <t>REMIL - RETIFICA DE MOTORES ITAGUAI LTDA</t>
        </is>
      </c>
      <c r="F8298" s="30" t="inlineStr">
        <is>
          <t>2020</t>
        </is>
      </c>
      <c r="G8298" s="40" t="n">
        <v>0</v>
      </c>
    </row>
    <row r="8299" ht="12" customHeight="1">
      <c r="A8299" s="30" t="inlineStr">
        <is>
          <t>ITG</t>
        </is>
      </c>
      <c r="B8299" s="30" t="inlineStr">
        <is>
          <t>Itaguai</t>
        </is>
      </c>
      <c r="C8299" s="30" t="n">
        <v>86722887</v>
      </c>
      <c r="D8299" s="30">
        <f>"20511491000142"</f>
        <v/>
      </c>
      <c r="E8299" s="30" t="inlineStr">
        <is>
          <t>REMIL - RETIFICA DE MOTORES ITAGUAI LTDA</t>
        </is>
      </c>
      <c r="F8299" s="30" t="inlineStr">
        <is>
          <t>2021</t>
        </is>
      </c>
      <c r="G8299" s="40" t="n">
        <v>0</v>
      </c>
    </row>
    <row r="8300" ht="12" customHeight="1">
      <c r="A8300" s="30" t="inlineStr">
        <is>
          <t>ITG</t>
        </is>
      </c>
      <c r="B8300" s="30" t="inlineStr">
        <is>
          <t>Itaguai</t>
        </is>
      </c>
      <c r="C8300" s="30" t="n">
        <v>86722887</v>
      </c>
      <c r="D8300" s="30">
        <f>"20511491000142"</f>
        <v/>
      </c>
      <c r="E8300" s="30" t="inlineStr">
        <is>
          <t>REMIL - RETIFICA DE MOTORES ITAGUAI LTDA</t>
        </is>
      </c>
      <c r="F8300" s="30" t="inlineStr">
        <is>
          <t>2022</t>
        </is>
      </c>
      <c r="G8300" s="40" t="n">
        <v>0</v>
      </c>
    </row>
    <row r="8301" ht="12" customHeight="1">
      <c r="A8301" s="30" t="inlineStr">
        <is>
          <t>ITG</t>
        </is>
      </c>
      <c r="B8301" s="30" t="inlineStr">
        <is>
          <t>Itaguai</t>
        </is>
      </c>
      <c r="C8301" s="30" t="n">
        <v>86722887</v>
      </c>
      <c r="D8301" s="30">
        <f>"20511491000142"</f>
        <v/>
      </c>
      <c r="E8301" s="30" t="inlineStr">
        <is>
          <t>REMIL - RETIFICA DE MOTORES ITAGUAI LTDA</t>
        </is>
      </c>
      <c r="F8301" s="30" t="inlineStr">
        <is>
          <t>2023</t>
        </is>
      </c>
      <c r="G8301" s="40" t="n">
        <v>0</v>
      </c>
    </row>
    <row r="8302" ht="12" customHeight="1">
      <c r="A8302" s="30" t="inlineStr">
        <is>
          <t>ITG</t>
        </is>
      </c>
      <c r="B8302" s="30" t="inlineStr">
        <is>
          <t>Itaguai</t>
        </is>
      </c>
      <c r="C8302" s="30" t="n">
        <v>86724081</v>
      </c>
      <c r="D8302" s="30">
        <f>"20412721000116"</f>
        <v/>
      </c>
      <c r="E8302" s="30" t="inlineStr">
        <is>
          <t>HTM LOCAÇÃO TRANSPORTE E LOGÍSTICA EIRELI</t>
        </is>
      </c>
      <c r="F8302" s="30" t="inlineStr">
        <is>
          <t>2020</t>
        </is>
      </c>
      <c r="G8302" s="40" t="n">
        <v>0</v>
      </c>
    </row>
    <row r="8303" ht="12" customHeight="1">
      <c r="A8303" s="30" t="inlineStr">
        <is>
          <t>ITG</t>
        </is>
      </c>
      <c r="B8303" s="30" t="inlineStr">
        <is>
          <t>Itaguai</t>
        </is>
      </c>
      <c r="C8303" s="30" t="n">
        <v>86724081</v>
      </c>
      <c r="D8303" s="30">
        <f>"20412721000116"</f>
        <v/>
      </c>
      <c r="E8303" s="30" t="inlineStr">
        <is>
          <t>HTM LOCAÇÃO TRANSPORTE E LOGÍSTICA EIRELI</t>
        </is>
      </c>
      <c r="F8303" s="30" t="inlineStr">
        <is>
          <t>2021</t>
        </is>
      </c>
      <c r="G8303" s="40" t="n">
        <v>0</v>
      </c>
    </row>
    <row r="8304" ht="12" customHeight="1">
      <c r="A8304" s="30" t="inlineStr">
        <is>
          <t>ITG</t>
        </is>
      </c>
      <c r="B8304" s="30" t="inlineStr">
        <is>
          <t>Itaguai</t>
        </is>
      </c>
      <c r="C8304" s="30" t="n">
        <v>86724081</v>
      </c>
      <c r="D8304" s="30">
        <f>"20412721000116"</f>
        <v/>
      </c>
      <c r="E8304" s="30" t="inlineStr">
        <is>
          <t>HTM LOCAÇÃO TRANSPORTE E LOGÍSTICA EIRELI</t>
        </is>
      </c>
      <c r="F8304" s="30" t="inlineStr">
        <is>
          <t>2022</t>
        </is>
      </c>
      <c r="G8304" s="40" t="n">
        <v>1188.44</v>
      </c>
    </row>
    <row r="8305" ht="12" customHeight="1">
      <c r="A8305" s="30" t="inlineStr">
        <is>
          <t>ITG</t>
        </is>
      </c>
      <c r="B8305" s="30" t="inlineStr">
        <is>
          <t>Itaguai</t>
        </is>
      </c>
      <c r="C8305" s="30" t="n">
        <v>86724081</v>
      </c>
      <c r="D8305" s="30">
        <f>"20412721000116"</f>
        <v/>
      </c>
      <c r="E8305" s="30" t="inlineStr">
        <is>
          <t>HTM LOCAÇÃO TRANSPORTE E LOGÍSTICA EIRELI</t>
        </is>
      </c>
      <c r="F8305" s="30" t="inlineStr">
        <is>
          <t>2023</t>
        </is>
      </c>
      <c r="G8305" s="40" t="n">
        <v>0</v>
      </c>
    </row>
    <row r="8306" ht="12" customHeight="1">
      <c r="A8306" s="30" t="inlineStr">
        <is>
          <t>ITG</t>
        </is>
      </c>
      <c r="B8306" s="30" t="inlineStr">
        <is>
          <t>Itaguai</t>
        </is>
      </c>
      <c r="C8306" s="30" t="n">
        <v>86725223</v>
      </c>
      <c r="D8306" s="30">
        <f>"09554862000130"</f>
        <v/>
      </c>
      <c r="E8306" s="30" t="inlineStr">
        <is>
          <t>ITAGUAI DESMONTE DE ROCHA LTDA</t>
        </is>
      </c>
      <c r="F8306" s="30" t="inlineStr">
        <is>
          <t>2017</t>
        </is>
      </c>
      <c r="G8306" s="40" t="n">
        <v>0</v>
      </c>
    </row>
    <row r="8307" ht="12" customHeight="1">
      <c r="A8307" s="30" t="inlineStr">
        <is>
          <t>ITG</t>
        </is>
      </c>
      <c r="B8307" s="30" t="inlineStr">
        <is>
          <t>Itaguai</t>
        </is>
      </c>
      <c r="C8307" s="30" t="n">
        <v>86725223</v>
      </c>
      <c r="D8307" s="30">
        <f>"09554862000130"</f>
        <v/>
      </c>
      <c r="E8307" s="30" t="inlineStr">
        <is>
          <t>ITAGUAI DESMONTE DE ROCHA LTDA</t>
        </is>
      </c>
      <c r="F8307" s="30" t="inlineStr">
        <is>
          <t>2018</t>
        </is>
      </c>
      <c r="G8307" s="40" t="n">
        <v>0</v>
      </c>
    </row>
    <row r="8308" ht="12" customHeight="1">
      <c r="A8308" s="30" t="inlineStr">
        <is>
          <t>ITG</t>
        </is>
      </c>
      <c r="B8308" s="30" t="inlineStr">
        <is>
          <t>Itaguai</t>
        </is>
      </c>
      <c r="C8308" s="30" t="n">
        <v>86725223</v>
      </c>
      <c r="D8308" s="30">
        <f>"09554862000130"</f>
        <v/>
      </c>
      <c r="E8308" s="30" t="inlineStr">
        <is>
          <t>ITAGUAI DESMONTE DE ROCHA LTDA</t>
        </is>
      </c>
      <c r="F8308" s="30" t="inlineStr">
        <is>
          <t>2019</t>
        </is>
      </c>
      <c r="G8308" s="40" t="n">
        <v>0</v>
      </c>
    </row>
    <row r="8309" ht="12" customHeight="1">
      <c r="A8309" s="30" t="inlineStr">
        <is>
          <t>ITG</t>
        </is>
      </c>
      <c r="B8309" s="30" t="inlineStr">
        <is>
          <t>Itaguai</t>
        </is>
      </c>
      <c r="C8309" s="30" t="n">
        <v>86725223</v>
      </c>
      <c r="D8309" s="30">
        <f>"09554862000130"</f>
        <v/>
      </c>
      <c r="E8309" s="30" t="inlineStr">
        <is>
          <t>ITAGUAI DESMONTE DE ROCHA LTDA</t>
        </is>
      </c>
      <c r="F8309" s="30" t="inlineStr">
        <is>
          <t>2020</t>
        </is>
      </c>
      <c r="G8309" s="40" t="n">
        <v>0</v>
      </c>
    </row>
    <row r="8310" ht="12" customHeight="1">
      <c r="A8310" s="30" t="inlineStr">
        <is>
          <t>ITG</t>
        </is>
      </c>
      <c r="B8310" s="30" t="inlineStr">
        <is>
          <t>Itaguai</t>
        </is>
      </c>
      <c r="C8310" s="30" t="n">
        <v>86725223</v>
      </c>
      <c r="D8310" s="30">
        <f>"09554862000130"</f>
        <v/>
      </c>
      <c r="E8310" s="30" t="inlineStr">
        <is>
          <t>ITAGUAI DESMONTE DE ROCHA LTDA</t>
        </is>
      </c>
      <c r="F8310" s="30" t="inlineStr">
        <is>
          <t>2021</t>
        </is>
      </c>
      <c r="G8310" s="40" t="n">
        <v>0</v>
      </c>
    </row>
    <row r="8311" ht="12" customHeight="1">
      <c r="A8311" s="30" t="inlineStr">
        <is>
          <t>ITG</t>
        </is>
      </c>
      <c r="B8311" s="30" t="inlineStr">
        <is>
          <t>Itaguai</t>
        </is>
      </c>
      <c r="C8311" s="30" t="n">
        <v>86725223</v>
      </c>
      <c r="D8311" s="30">
        <f>"09554862000130"</f>
        <v/>
      </c>
      <c r="E8311" s="30" t="inlineStr">
        <is>
          <t>ITAGUAI DESMONTE DE ROCHA LTDA</t>
        </is>
      </c>
      <c r="F8311" s="30" t="inlineStr">
        <is>
          <t>2022</t>
        </is>
      </c>
      <c r="G8311" s="40" t="n">
        <v>0</v>
      </c>
    </row>
    <row r="8312" ht="12" customHeight="1">
      <c r="A8312" s="30" t="inlineStr">
        <is>
          <t>ITG</t>
        </is>
      </c>
      <c r="B8312" s="30" t="inlineStr">
        <is>
          <t>Itaguai</t>
        </is>
      </c>
      <c r="C8312" s="30" t="n">
        <v>86725223</v>
      </c>
      <c r="D8312" s="30">
        <f>"09554862000130"</f>
        <v/>
      </c>
      <c r="E8312" s="30" t="inlineStr">
        <is>
          <t>ITAGUAI DESMONTE DE ROCHA LTDA</t>
        </is>
      </c>
      <c r="F8312" s="30" t="inlineStr">
        <is>
          <t>2023</t>
        </is>
      </c>
      <c r="G8312" s="40" t="n">
        <v>0</v>
      </c>
    </row>
    <row r="8313" ht="12" customHeight="1">
      <c r="A8313" s="30" t="inlineStr">
        <is>
          <t>ITG</t>
        </is>
      </c>
      <c r="B8313" s="30" t="inlineStr">
        <is>
          <t>Itaguai</t>
        </is>
      </c>
      <c r="C8313" s="30" t="n">
        <v>86728915</v>
      </c>
      <c r="D8313" s="30">
        <f>"20632141000134"</f>
        <v/>
      </c>
      <c r="E8313" s="30" t="inlineStr">
        <is>
          <t>TRANSPORTADORA EXPRESSO ELOIM EIRELI ME</t>
        </is>
      </c>
      <c r="F8313" s="30" t="inlineStr">
        <is>
          <t>2021</t>
        </is>
      </c>
      <c r="G8313" s="40" t="n">
        <v>0</v>
      </c>
    </row>
    <row r="8314" ht="12" customHeight="1">
      <c r="A8314" s="30" t="inlineStr">
        <is>
          <t>ITG</t>
        </is>
      </c>
      <c r="B8314" s="30" t="inlineStr">
        <is>
          <t>Itaguai</t>
        </is>
      </c>
      <c r="C8314" s="30" t="n">
        <v>86728915</v>
      </c>
      <c r="D8314" s="30">
        <f>"20632141000134"</f>
        <v/>
      </c>
      <c r="E8314" s="30" t="inlineStr">
        <is>
          <t>TRANSPORTADORA EXPRESSO ELOIM EIRELI ME</t>
        </is>
      </c>
      <c r="F8314" s="30" t="inlineStr">
        <is>
          <t>2022</t>
        </is>
      </c>
      <c r="G8314" s="40" t="n">
        <v>0</v>
      </c>
    </row>
    <row r="8315" ht="12" customHeight="1">
      <c r="A8315" s="30" t="inlineStr">
        <is>
          <t>ITG</t>
        </is>
      </c>
      <c r="B8315" s="30" t="inlineStr">
        <is>
          <t>Itaguai</t>
        </is>
      </c>
      <c r="C8315" s="30" t="n">
        <v>86728915</v>
      </c>
      <c r="D8315" s="30">
        <f>"20632141000134"</f>
        <v/>
      </c>
      <c r="E8315" s="30" t="inlineStr">
        <is>
          <t>TRANSPORTADORA EXPRESSO ELOIM EIRELI ME</t>
        </is>
      </c>
      <c r="F8315" s="30" t="inlineStr">
        <is>
          <t>2023</t>
        </is>
      </c>
      <c r="G8315" s="40" t="n">
        <v>350</v>
      </c>
    </row>
    <row r="8316" ht="12" customHeight="1">
      <c r="A8316" s="30" t="inlineStr">
        <is>
          <t>ITG</t>
        </is>
      </c>
      <c r="B8316" s="30" t="inlineStr">
        <is>
          <t>Itaguai</t>
        </is>
      </c>
      <c r="C8316" s="30" t="n">
        <v>86736314</v>
      </c>
      <c r="D8316" s="30">
        <f>"12200343000189"</f>
        <v/>
      </c>
      <c r="E8316" s="30" t="inlineStr">
        <is>
          <t>PC DE SOUSA RESTAURANTE - ME</t>
        </is>
      </c>
      <c r="F8316" s="30" t="inlineStr">
        <is>
          <t>2017</t>
        </is>
      </c>
      <c r="G8316" s="40" t="n">
        <v>92835.3</v>
      </c>
    </row>
    <row r="8317" ht="12" customHeight="1">
      <c r="A8317" s="30" t="inlineStr">
        <is>
          <t>ITG</t>
        </is>
      </c>
      <c r="B8317" s="30" t="inlineStr">
        <is>
          <t>Itaguai</t>
        </is>
      </c>
      <c r="C8317" s="30" t="n">
        <v>86736314</v>
      </c>
      <c r="D8317" s="30">
        <f>"12200343000189"</f>
        <v/>
      </c>
      <c r="E8317" s="30" t="inlineStr">
        <is>
          <t>PC DE SOUSA RESTAURANTE - ME</t>
        </is>
      </c>
      <c r="F8317" s="30" t="inlineStr">
        <is>
          <t>2018</t>
        </is>
      </c>
      <c r="G8317" s="40" t="n">
        <v>0</v>
      </c>
    </row>
    <row r="8318" ht="12" customHeight="1">
      <c r="A8318" s="30" t="inlineStr">
        <is>
          <t>ITG</t>
        </is>
      </c>
      <c r="B8318" s="30" t="inlineStr">
        <is>
          <t>Itaguai</t>
        </is>
      </c>
      <c r="C8318" s="30" t="n">
        <v>86736314</v>
      </c>
      <c r="D8318" s="30">
        <f>"12200343000189"</f>
        <v/>
      </c>
      <c r="E8318" s="30" t="inlineStr">
        <is>
          <t>PC DE SOUSA RESTAURANTE - ME</t>
        </is>
      </c>
      <c r="F8318" s="30" t="inlineStr">
        <is>
          <t>2019</t>
        </is>
      </c>
      <c r="G8318" s="40" t="n">
        <v>0</v>
      </c>
    </row>
    <row r="8319" ht="12" customHeight="1">
      <c r="A8319" s="30" t="inlineStr">
        <is>
          <t>ITG</t>
        </is>
      </c>
      <c r="B8319" s="30" t="inlineStr">
        <is>
          <t>Itaguai</t>
        </is>
      </c>
      <c r="C8319" s="30" t="n">
        <v>86741407</v>
      </c>
      <c r="D8319" s="30">
        <f>"05053441005053"</f>
        <v/>
      </c>
      <c r="E8319" s="30" t="inlineStr">
        <is>
          <t>RASTRECALL REPRESENTACOES COMERCIAIS DE TELECOMUNICACOES LTDA</t>
        </is>
      </c>
      <c r="F8319" s="30" t="inlineStr">
        <is>
          <t>2017</t>
        </is>
      </c>
      <c r="G8319" s="40" t="n">
        <v>648482.1</v>
      </c>
    </row>
    <row r="8320" ht="12" customHeight="1">
      <c r="A8320" s="30" t="inlineStr">
        <is>
          <t>ITG</t>
        </is>
      </c>
      <c r="B8320" s="30" t="inlineStr">
        <is>
          <t>Itaguai</t>
        </is>
      </c>
      <c r="C8320" s="30" t="n">
        <v>86741407</v>
      </c>
      <c r="D8320" s="30">
        <f>"05053441005053"</f>
        <v/>
      </c>
      <c r="E8320" s="30" t="inlineStr">
        <is>
          <t>RASTRECALL REPRESENTACOES COMERCIAIS DE TELECOMUNICACOES LTDA</t>
        </is>
      </c>
      <c r="F8320" s="30" t="inlineStr">
        <is>
          <t>2018</t>
        </is>
      </c>
      <c r="G8320" s="40" t="n">
        <v>322426.73</v>
      </c>
    </row>
    <row r="8321" ht="12" customHeight="1">
      <c r="A8321" s="30" t="inlineStr">
        <is>
          <t>ITG</t>
        </is>
      </c>
      <c r="B8321" s="30" t="inlineStr">
        <is>
          <t>Itaguai</t>
        </is>
      </c>
      <c r="C8321" s="30" t="n">
        <v>86741407</v>
      </c>
      <c r="D8321" s="30">
        <f>"05053441005053"</f>
        <v/>
      </c>
      <c r="E8321" s="30" t="inlineStr">
        <is>
          <t>RASTRECALL REPRESENTACOES COMERCIAIS DE TELECOMUNICACOES LTDA</t>
        </is>
      </c>
      <c r="F8321" s="30" t="inlineStr">
        <is>
          <t>2019</t>
        </is>
      </c>
      <c r="G8321" s="40" t="n">
        <v>423935.74</v>
      </c>
    </row>
    <row r="8322" ht="12" customHeight="1">
      <c r="A8322" s="30" t="inlineStr">
        <is>
          <t>ITG</t>
        </is>
      </c>
      <c r="B8322" s="30" t="inlineStr">
        <is>
          <t>Itaguai</t>
        </is>
      </c>
      <c r="C8322" s="30" t="n">
        <v>86741407</v>
      </c>
      <c r="D8322" s="30">
        <f>"05053441005053"</f>
        <v/>
      </c>
      <c r="E8322" s="30" t="inlineStr">
        <is>
          <t>RASTRECALL REPRESENTACOES COMERCIAIS DE TELECOMUNICACOES LTDA</t>
        </is>
      </c>
      <c r="F8322" s="30" t="inlineStr">
        <is>
          <t>2020</t>
        </is>
      </c>
      <c r="G8322" s="40" t="n">
        <v>528527.38</v>
      </c>
    </row>
    <row r="8323" ht="12" customHeight="1">
      <c r="A8323" s="30" t="inlineStr">
        <is>
          <t>ITG</t>
        </is>
      </c>
      <c r="B8323" s="30" t="inlineStr">
        <is>
          <t>Itaguai</t>
        </is>
      </c>
      <c r="C8323" s="30" t="n">
        <v>86741407</v>
      </c>
      <c r="D8323" s="30">
        <f>"05053441005053"</f>
        <v/>
      </c>
      <c r="E8323" s="30" t="inlineStr">
        <is>
          <t>RASTRECALL REPRESENTACOES COMERCIAIS DE TELECOMUNICACOES LTDA</t>
        </is>
      </c>
      <c r="F8323" s="30" t="inlineStr">
        <is>
          <t>2021</t>
        </is>
      </c>
      <c r="G8323" s="40" t="n">
        <v>159364.94</v>
      </c>
    </row>
    <row r="8324" ht="12" customHeight="1">
      <c r="A8324" s="30" t="inlineStr">
        <is>
          <t>ITG</t>
        </is>
      </c>
      <c r="B8324" s="30" t="inlineStr">
        <is>
          <t>Itaguai</t>
        </is>
      </c>
      <c r="C8324" s="30" t="n">
        <v>86741407</v>
      </c>
      <c r="D8324" s="30">
        <f>"05053441005053"</f>
        <v/>
      </c>
      <c r="E8324" s="30" t="inlineStr">
        <is>
          <t>RASTRECALL REPRESENTACOES COMERCIAIS DE TELECOMUNICACOES LTDA</t>
        </is>
      </c>
      <c r="F8324" s="30" t="inlineStr">
        <is>
          <t>2022</t>
        </is>
      </c>
      <c r="G8324" s="40" t="n">
        <v>116690.36</v>
      </c>
    </row>
    <row r="8325" ht="12" customHeight="1">
      <c r="A8325" s="30" t="inlineStr">
        <is>
          <t>ITG</t>
        </is>
      </c>
      <c r="B8325" s="30" t="inlineStr">
        <is>
          <t>Itaguai</t>
        </is>
      </c>
      <c r="C8325" s="30" t="n">
        <v>86741407</v>
      </c>
      <c r="D8325" s="30">
        <f>"05053441005053"</f>
        <v/>
      </c>
      <c r="E8325" s="30" t="inlineStr">
        <is>
          <t>RASTRECALL REPRESENTACOES COMERCIAIS DE TELECOMUNICACOES LTDA</t>
        </is>
      </c>
      <c r="F8325" s="30" t="inlineStr">
        <is>
          <t>2023</t>
        </is>
      </c>
      <c r="G8325" s="40" t="n">
        <v>0</v>
      </c>
    </row>
    <row r="8326" ht="12" customHeight="1">
      <c r="A8326" s="30" t="inlineStr">
        <is>
          <t>ITG</t>
        </is>
      </c>
      <c r="B8326" s="30" t="inlineStr">
        <is>
          <t>Itaguai</t>
        </is>
      </c>
      <c r="C8326" s="30" t="n">
        <v>86753375</v>
      </c>
      <c r="D8326" s="30">
        <f>"04933986000103"</f>
        <v/>
      </c>
      <c r="E8326" s="30" t="inlineStr">
        <is>
          <t>FREE ENERGY SERVICOS EIRELI</t>
        </is>
      </c>
      <c r="F8326" s="30" t="inlineStr">
        <is>
          <t>2017</t>
        </is>
      </c>
      <c r="G8326" s="40" t="n">
        <v>0</v>
      </c>
    </row>
    <row r="8327" ht="12" customHeight="1">
      <c r="A8327" s="30" t="inlineStr">
        <is>
          <t>ITG</t>
        </is>
      </c>
      <c r="B8327" s="30" t="inlineStr">
        <is>
          <t>Itaguai</t>
        </is>
      </c>
      <c r="C8327" s="30" t="n">
        <v>86753375</v>
      </c>
      <c r="D8327" s="30">
        <f>"04933986000103"</f>
        <v/>
      </c>
      <c r="E8327" s="30" t="inlineStr">
        <is>
          <t>FREE ENERGY SERVICOS EIRELI</t>
        </is>
      </c>
      <c r="F8327" s="30" t="inlineStr">
        <is>
          <t>2018</t>
        </is>
      </c>
      <c r="G8327" s="40" t="n">
        <v>0</v>
      </c>
    </row>
    <row r="8328" ht="12" customHeight="1">
      <c r="A8328" s="30" t="inlineStr">
        <is>
          <t>ITG</t>
        </is>
      </c>
      <c r="B8328" s="30" t="inlineStr">
        <is>
          <t>Itaguai</t>
        </is>
      </c>
      <c r="C8328" s="30" t="n">
        <v>86753375</v>
      </c>
      <c r="D8328" s="30">
        <f>"04933986000103"</f>
        <v/>
      </c>
      <c r="E8328" s="30" t="inlineStr">
        <is>
          <t>FREE ENERGY SERVICOS EIRELI</t>
        </is>
      </c>
      <c r="F8328" s="30" t="inlineStr">
        <is>
          <t>2019</t>
        </is>
      </c>
      <c r="G8328" s="40" t="n">
        <v>0</v>
      </c>
    </row>
    <row r="8329" ht="12" customHeight="1">
      <c r="A8329" s="30" t="inlineStr">
        <is>
          <t>ITG</t>
        </is>
      </c>
      <c r="B8329" s="30" t="inlineStr">
        <is>
          <t>Itaguai</t>
        </is>
      </c>
      <c r="C8329" s="30" t="n">
        <v>86755823</v>
      </c>
      <c r="D8329" s="30">
        <f>"00193687000803"</f>
        <v/>
      </c>
      <c r="E8329" s="30" t="inlineStr">
        <is>
          <t>TROCA TRANSPORTES EIRELI</t>
        </is>
      </c>
      <c r="F8329" s="30" t="inlineStr">
        <is>
          <t>2017</t>
        </is>
      </c>
      <c r="G8329" s="40" t="n">
        <v>536.8200000000001</v>
      </c>
    </row>
    <row r="8330" ht="12" customHeight="1">
      <c r="A8330" s="30" t="inlineStr">
        <is>
          <t>ITG</t>
        </is>
      </c>
      <c r="B8330" s="30" t="inlineStr">
        <is>
          <t>Itaguai</t>
        </is>
      </c>
      <c r="C8330" s="30" t="n">
        <v>86755823</v>
      </c>
      <c r="D8330" s="30">
        <f>"00193687000803"</f>
        <v/>
      </c>
      <c r="E8330" s="30" t="inlineStr">
        <is>
          <t>TROCA TRANSPORTES EIRELI</t>
        </is>
      </c>
      <c r="F8330" s="30" t="inlineStr">
        <is>
          <t>2018</t>
        </is>
      </c>
      <c r="G8330" s="40" t="n">
        <v>265.6</v>
      </c>
    </row>
    <row r="8331" ht="12" customHeight="1">
      <c r="A8331" s="30" t="inlineStr">
        <is>
          <t>ITG</t>
        </is>
      </c>
      <c r="B8331" s="30" t="inlineStr">
        <is>
          <t>Itaguai</t>
        </is>
      </c>
      <c r="C8331" s="30" t="n">
        <v>86755823</v>
      </c>
      <c r="D8331" s="30">
        <f>"00193687000803"</f>
        <v/>
      </c>
      <c r="E8331" s="30" t="inlineStr">
        <is>
          <t>TROCA TRANSPORTES EIRELI</t>
        </is>
      </c>
      <c r="F8331" s="30" t="inlineStr">
        <is>
          <t>2019</t>
        </is>
      </c>
      <c r="G8331" s="40" t="n">
        <v>944.2</v>
      </c>
    </row>
    <row r="8332" ht="12" customHeight="1">
      <c r="A8332" s="30" t="inlineStr">
        <is>
          <t>ITG</t>
        </is>
      </c>
      <c r="B8332" s="30" t="inlineStr">
        <is>
          <t>Itaguai</t>
        </is>
      </c>
      <c r="C8332" s="30" t="n">
        <v>86755823</v>
      </c>
      <c r="D8332" s="30">
        <f>"00193687000803"</f>
        <v/>
      </c>
      <c r="E8332" s="30" t="inlineStr">
        <is>
          <t>TROCA TRANSPORTES EIRELI</t>
        </is>
      </c>
      <c r="F8332" s="30" t="inlineStr">
        <is>
          <t>2020</t>
        </is>
      </c>
      <c r="G8332" s="40" t="n">
        <v>0</v>
      </c>
    </row>
    <row r="8333" ht="12" customHeight="1">
      <c r="A8333" s="30" t="inlineStr">
        <is>
          <t>ITG</t>
        </is>
      </c>
      <c r="B8333" s="30" t="inlineStr">
        <is>
          <t>Itaguai</t>
        </is>
      </c>
      <c r="C8333" s="30" t="n">
        <v>86755823</v>
      </c>
      <c r="D8333" s="30">
        <f>"00193687000803"</f>
        <v/>
      </c>
      <c r="E8333" s="30" t="inlineStr">
        <is>
          <t>TROCA TRANSPORTES EIRELI</t>
        </is>
      </c>
      <c r="F8333" s="30" t="inlineStr">
        <is>
          <t>2021</t>
        </is>
      </c>
      <c r="G8333" s="40" t="n">
        <v>0</v>
      </c>
    </row>
    <row r="8334" ht="12" customHeight="1">
      <c r="A8334" s="30" t="inlineStr">
        <is>
          <t>ITG</t>
        </is>
      </c>
      <c r="B8334" s="30" t="inlineStr">
        <is>
          <t>Itaguai</t>
        </is>
      </c>
      <c r="C8334" s="30" t="n">
        <v>86755823</v>
      </c>
      <c r="D8334" s="30">
        <f>"00193687000803"</f>
        <v/>
      </c>
      <c r="E8334" s="30" t="inlineStr">
        <is>
          <t>TROCA TRANSPORTES EIRELI</t>
        </is>
      </c>
      <c r="F8334" s="30" t="inlineStr">
        <is>
          <t>2022</t>
        </is>
      </c>
      <c r="G8334" s="40" t="n">
        <v>1441.6</v>
      </c>
    </row>
    <row r="8335" ht="12" customHeight="1">
      <c r="A8335" s="30" t="inlineStr">
        <is>
          <t>ITG</t>
        </is>
      </c>
      <c r="B8335" s="30" t="inlineStr">
        <is>
          <t>Itaguai</t>
        </is>
      </c>
      <c r="C8335" s="30" t="n">
        <v>86755823</v>
      </c>
      <c r="D8335" s="30">
        <f>"00193687000803"</f>
        <v/>
      </c>
      <c r="E8335" s="30" t="inlineStr">
        <is>
          <t>TROCA TRANSPORTES EIRELI</t>
        </is>
      </c>
      <c r="F8335" s="30" t="inlineStr">
        <is>
          <t>2023</t>
        </is>
      </c>
      <c r="G8335" s="40" t="n">
        <v>339.32</v>
      </c>
    </row>
    <row r="8336" ht="12" customHeight="1">
      <c r="A8336" s="30" t="inlineStr">
        <is>
          <t>ITG</t>
        </is>
      </c>
      <c r="B8336" s="30" t="inlineStr">
        <is>
          <t>Itaguai</t>
        </is>
      </c>
      <c r="C8336" s="30" t="n">
        <v>86777401</v>
      </c>
      <c r="D8336" s="30">
        <f>"04763393000227"</f>
        <v/>
      </c>
      <c r="E8336" s="30" t="inlineStr">
        <is>
          <t>ALLI LOGISTICA INTEGRADA LTDA</t>
        </is>
      </c>
      <c r="F8336" s="30" t="inlineStr">
        <is>
          <t>2018</t>
        </is>
      </c>
      <c r="G8336" s="40" t="n">
        <v>0</v>
      </c>
    </row>
    <row r="8337" ht="12" customHeight="1">
      <c r="A8337" s="30" t="inlineStr">
        <is>
          <t>ITG</t>
        </is>
      </c>
      <c r="B8337" s="30" t="inlineStr">
        <is>
          <t>Itaguai</t>
        </is>
      </c>
      <c r="C8337" s="30" t="n">
        <v>86777401</v>
      </c>
      <c r="D8337" s="30">
        <f>"04763393000227"</f>
        <v/>
      </c>
      <c r="E8337" s="30" t="inlineStr">
        <is>
          <t>ALLI LOGISTICA INTEGRADA LTDA</t>
        </is>
      </c>
      <c r="F8337" s="30" t="inlineStr">
        <is>
          <t>2019</t>
        </is>
      </c>
      <c r="G8337" s="40" t="n">
        <v>0</v>
      </c>
    </row>
    <row r="8338" ht="12" customHeight="1">
      <c r="A8338" s="30" t="inlineStr">
        <is>
          <t>ITG</t>
        </is>
      </c>
      <c r="B8338" s="30" t="inlineStr">
        <is>
          <t>Itaguai</t>
        </is>
      </c>
      <c r="C8338" s="30" t="n">
        <v>86777401</v>
      </c>
      <c r="D8338" s="30">
        <f>"04763393000227"</f>
        <v/>
      </c>
      <c r="E8338" s="30" t="inlineStr">
        <is>
          <t>ALLI LOGISTICA INTEGRADA LTDA</t>
        </is>
      </c>
      <c r="F8338" s="30" t="inlineStr">
        <is>
          <t>2020</t>
        </is>
      </c>
      <c r="G8338" s="40" t="n">
        <v>0</v>
      </c>
    </row>
    <row r="8339" ht="12" customHeight="1">
      <c r="A8339" s="30" t="inlineStr">
        <is>
          <t>ITG</t>
        </is>
      </c>
      <c r="B8339" s="30" t="inlineStr">
        <is>
          <t>Itaguai</t>
        </is>
      </c>
      <c r="C8339" s="30" t="n">
        <v>86777401</v>
      </c>
      <c r="D8339" s="30">
        <f>"04763393000227"</f>
        <v/>
      </c>
      <c r="E8339" s="30" t="inlineStr">
        <is>
          <t>ALLI LOGISTICA INTEGRADA LTDA</t>
        </is>
      </c>
      <c r="F8339" s="30" t="inlineStr">
        <is>
          <t>2021</t>
        </is>
      </c>
      <c r="G8339" s="40" t="n">
        <v>0</v>
      </c>
    </row>
    <row r="8340" ht="12" customHeight="1">
      <c r="A8340" s="30" t="inlineStr">
        <is>
          <t>ITG</t>
        </is>
      </c>
      <c r="B8340" s="30" t="inlineStr">
        <is>
          <t>Itaguai</t>
        </is>
      </c>
      <c r="C8340" s="30" t="n">
        <v>86777401</v>
      </c>
      <c r="D8340" s="30">
        <f>"04763393000227"</f>
        <v/>
      </c>
      <c r="E8340" s="30" t="inlineStr">
        <is>
          <t>ALLI LOGISTICA INTEGRADA LTDA</t>
        </is>
      </c>
      <c r="F8340" s="30" t="inlineStr">
        <is>
          <t>2022</t>
        </is>
      </c>
      <c r="G8340" s="40" t="n">
        <v>0</v>
      </c>
    </row>
    <row r="8341" ht="12" customHeight="1">
      <c r="A8341" s="30" t="inlineStr">
        <is>
          <t>ITG</t>
        </is>
      </c>
      <c r="B8341" s="30" t="inlineStr">
        <is>
          <t>Itaguai</t>
        </is>
      </c>
      <c r="C8341" s="30" t="n">
        <v>86777401</v>
      </c>
      <c r="D8341" s="30">
        <f>"04763393000227"</f>
        <v/>
      </c>
      <c r="E8341" s="30" t="inlineStr">
        <is>
          <t>ALLI LOGISTICA INTEGRADA LTDA</t>
        </is>
      </c>
      <c r="F8341" s="30" t="inlineStr">
        <is>
          <t>2023</t>
        </is>
      </c>
      <c r="G8341" s="40" t="n">
        <v>0</v>
      </c>
    </row>
    <row r="8342" ht="12" customHeight="1">
      <c r="A8342" s="30" t="inlineStr">
        <is>
          <t>ITG</t>
        </is>
      </c>
      <c r="B8342" s="30" t="inlineStr">
        <is>
          <t>Itaguai</t>
        </is>
      </c>
      <c r="C8342" s="30" t="n">
        <v>86778238</v>
      </c>
      <c r="D8342" s="30">
        <f>"07452156001043"</f>
        <v/>
      </c>
      <c r="E8342" s="30" t="inlineStr">
        <is>
          <t>SALVADOR LOGISTICA E TRANSPORTES LTDA</t>
        </is>
      </c>
      <c r="F8342" s="30" t="inlineStr">
        <is>
          <t>2017</t>
        </is>
      </c>
      <c r="G8342" s="40" t="n">
        <v>917594.7</v>
      </c>
    </row>
    <row r="8343" ht="12" customHeight="1">
      <c r="A8343" s="30" t="inlineStr">
        <is>
          <t>ITG</t>
        </is>
      </c>
      <c r="B8343" s="30" t="inlineStr">
        <is>
          <t>Itaguai</t>
        </is>
      </c>
      <c r="C8343" s="30" t="n">
        <v>86778238</v>
      </c>
      <c r="D8343" s="30">
        <f>"07452156001043"</f>
        <v/>
      </c>
      <c r="E8343" s="30" t="inlineStr">
        <is>
          <t>SALVADOR LOGISTICA E TRANSPORTES LTDA</t>
        </is>
      </c>
      <c r="F8343" s="30" t="inlineStr">
        <is>
          <t>2018</t>
        </is>
      </c>
      <c r="G8343" s="40" t="n">
        <v>709167.45</v>
      </c>
    </row>
    <row r="8344" ht="12" customHeight="1">
      <c r="A8344" s="30" t="inlineStr">
        <is>
          <t>ITG</t>
        </is>
      </c>
      <c r="B8344" s="30" t="inlineStr">
        <is>
          <t>Itaguai</t>
        </is>
      </c>
      <c r="C8344" s="30" t="n">
        <v>86778238</v>
      </c>
      <c r="D8344" s="30">
        <f>"07452156001043"</f>
        <v/>
      </c>
      <c r="E8344" s="30" t="inlineStr">
        <is>
          <t>SALVADOR LOGISTICA E TRANSPORTES LTDA</t>
        </is>
      </c>
      <c r="F8344" s="30" t="inlineStr">
        <is>
          <t>2019</t>
        </is>
      </c>
      <c r="G8344" s="40" t="n">
        <v>0</v>
      </c>
    </row>
    <row r="8345" ht="12" customHeight="1">
      <c r="A8345" s="30" t="inlineStr">
        <is>
          <t>ITG</t>
        </is>
      </c>
      <c r="B8345" s="30" t="inlineStr">
        <is>
          <t>Itaguai</t>
        </is>
      </c>
      <c r="C8345" s="30" t="n">
        <v>86778238</v>
      </c>
      <c r="D8345" s="30">
        <f>"07452156001043"</f>
        <v/>
      </c>
      <c r="E8345" s="30" t="inlineStr">
        <is>
          <t>SALVADOR LOGISTICA E TRANSPORTES LTDA</t>
        </is>
      </c>
      <c r="F8345" s="30" t="inlineStr">
        <is>
          <t>2020</t>
        </is>
      </c>
      <c r="G8345" s="40" t="n">
        <v>0</v>
      </c>
    </row>
    <row r="8346" ht="12" customHeight="1">
      <c r="A8346" s="30" t="inlineStr">
        <is>
          <t>ITG</t>
        </is>
      </c>
      <c r="B8346" s="30" t="inlineStr">
        <is>
          <t>Itaguai</t>
        </is>
      </c>
      <c r="C8346" s="30" t="n">
        <v>86779625</v>
      </c>
      <c r="D8346" s="30">
        <f>"21004121000181"</f>
        <v/>
      </c>
      <c r="E8346" s="30" t="inlineStr">
        <is>
          <t>A C R ALVES JUNIOR ARMARINHO E BAZAR-ME</t>
        </is>
      </c>
      <c r="F8346" s="30" t="inlineStr">
        <is>
          <t>2017</t>
        </is>
      </c>
      <c r="G8346" s="40" t="n">
        <v>0</v>
      </c>
    </row>
    <row r="8347" ht="12" customHeight="1">
      <c r="A8347" s="30" t="inlineStr">
        <is>
          <t>ITG</t>
        </is>
      </c>
      <c r="B8347" s="30" t="inlineStr">
        <is>
          <t>Itaguai</t>
        </is>
      </c>
      <c r="C8347" s="30" t="n">
        <v>86779625</v>
      </c>
      <c r="D8347" s="30">
        <f>"21004121000181"</f>
        <v/>
      </c>
      <c r="E8347" s="30" t="inlineStr">
        <is>
          <t>A C R ALVES JUNIOR ARMARINHO E BAZAR-ME</t>
        </is>
      </c>
      <c r="F8347" s="30" t="inlineStr">
        <is>
          <t>2018</t>
        </is>
      </c>
      <c r="G8347" s="40" t="n">
        <v>0</v>
      </c>
    </row>
    <row r="8348" ht="12" customHeight="1">
      <c r="A8348" s="30" t="inlineStr">
        <is>
          <t>ITG</t>
        </is>
      </c>
      <c r="B8348" s="30" t="inlineStr">
        <is>
          <t>Itaguai</t>
        </is>
      </c>
      <c r="C8348" s="30" t="n">
        <v>86779625</v>
      </c>
      <c r="D8348" s="30">
        <f>"21004121000181"</f>
        <v/>
      </c>
      <c r="E8348" s="30" t="inlineStr">
        <is>
          <t>A C R ALVES JUNIOR ARMARINHO E BAZAR-ME</t>
        </is>
      </c>
      <c r="F8348" s="30" t="inlineStr">
        <is>
          <t>2019</t>
        </is>
      </c>
      <c r="G8348" s="40" t="n">
        <v>0</v>
      </c>
    </row>
    <row r="8349" ht="12" customHeight="1">
      <c r="A8349" s="30" t="inlineStr">
        <is>
          <t>ITG</t>
        </is>
      </c>
      <c r="B8349" s="30" t="inlineStr">
        <is>
          <t>Itaguai</t>
        </is>
      </c>
      <c r="C8349" s="30" t="n">
        <v>86779625</v>
      </c>
      <c r="D8349" s="30">
        <f>"21004121000181"</f>
        <v/>
      </c>
      <c r="E8349" s="30" t="inlineStr">
        <is>
          <t>A C R ALVES JUNIOR ARMARINHO E BAZAR-ME</t>
        </is>
      </c>
      <c r="F8349" s="30" t="inlineStr">
        <is>
          <t>2020</t>
        </is>
      </c>
      <c r="G8349" s="40" t="n">
        <v>0</v>
      </c>
    </row>
    <row r="8350" ht="12" customHeight="1">
      <c r="A8350" s="30" t="inlineStr">
        <is>
          <t>ITG</t>
        </is>
      </c>
      <c r="B8350" s="30" t="inlineStr">
        <is>
          <t>Itaguai</t>
        </is>
      </c>
      <c r="C8350" s="30" t="n">
        <v>86779625</v>
      </c>
      <c r="D8350" s="30">
        <f>"21004121000181"</f>
        <v/>
      </c>
      <c r="E8350" s="30" t="inlineStr">
        <is>
          <t>A C R ALVES JUNIOR ARMARINHO E BAZAR-ME</t>
        </is>
      </c>
      <c r="F8350" s="30" t="inlineStr">
        <is>
          <t>2021</t>
        </is>
      </c>
      <c r="G8350" s="40" t="n">
        <v>0</v>
      </c>
    </row>
    <row r="8351" ht="12" customHeight="1">
      <c r="A8351" s="30" t="inlineStr">
        <is>
          <t>ITG</t>
        </is>
      </c>
      <c r="B8351" s="30" t="inlineStr">
        <is>
          <t>Itaguai</t>
        </is>
      </c>
      <c r="C8351" s="30" t="n">
        <v>86780330</v>
      </c>
      <c r="D8351" s="30">
        <f>"21080792000121"</f>
        <v/>
      </c>
      <c r="E8351" s="30" t="inlineStr">
        <is>
          <t>W S JOANINI COMERCIO E SERVICOS NAUTICOS ME</t>
        </is>
      </c>
      <c r="F8351" s="30" t="inlineStr">
        <is>
          <t>2017</t>
        </is>
      </c>
      <c r="G8351" s="40" t="n">
        <v>0</v>
      </c>
    </row>
    <row r="8352" ht="12" customHeight="1">
      <c r="A8352" s="30" t="inlineStr">
        <is>
          <t>ITG</t>
        </is>
      </c>
      <c r="B8352" s="30" t="inlineStr">
        <is>
          <t>Itaguai</t>
        </is>
      </c>
      <c r="C8352" s="30" t="n">
        <v>86780330</v>
      </c>
      <c r="D8352" s="30">
        <f>"21080792000121"</f>
        <v/>
      </c>
      <c r="E8352" s="30" t="inlineStr">
        <is>
          <t>W S JOANINI COMERCIO E SERVICOS NAUTICOS ME</t>
        </is>
      </c>
      <c r="F8352" s="30" t="inlineStr">
        <is>
          <t>2018</t>
        </is>
      </c>
      <c r="G8352" s="40" t="n">
        <v>0</v>
      </c>
    </row>
    <row r="8353" ht="12" customHeight="1">
      <c r="A8353" s="30" t="inlineStr">
        <is>
          <t>ITG</t>
        </is>
      </c>
      <c r="B8353" s="30" t="inlineStr">
        <is>
          <t>Itaguai</t>
        </is>
      </c>
      <c r="C8353" s="30" t="n">
        <v>86780330</v>
      </c>
      <c r="D8353" s="30">
        <f>"21080792000121"</f>
        <v/>
      </c>
      <c r="E8353" s="30" t="inlineStr">
        <is>
          <t>W S JOANINI COMERCIO E SERVICOS NAUTICOS ME</t>
        </is>
      </c>
      <c r="F8353" s="30" t="inlineStr">
        <is>
          <t>2019</t>
        </is>
      </c>
      <c r="G8353" s="40" t="n">
        <v>0</v>
      </c>
    </row>
    <row r="8354" ht="12" customHeight="1">
      <c r="A8354" s="30" t="inlineStr">
        <is>
          <t>ITG</t>
        </is>
      </c>
      <c r="B8354" s="30" t="inlineStr">
        <is>
          <t>Itaguai</t>
        </is>
      </c>
      <c r="C8354" s="30" t="n">
        <v>86780330</v>
      </c>
      <c r="D8354" s="30">
        <f>"21080792000121"</f>
        <v/>
      </c>
      <c r="E8354" s="30" t="inlineStr">
        <is>
          <t>W S JOANINI COMERCIO E SERVICOS NAUTICOS ME</t>
        </is>
      </c>
      <c r="F8354" s="30" t="inlineStr">
        <is>
          <t>2020</t>
        </is>
      </c>
      <c r="G8354" s="40" t="n">
        <v>130200.54</v>
      </c>
    </row>
    <row r="8355" ht="12" customHeight="1">
      <c r="A8355" s="30" t="inlineStr">
        <is>
          <t>ITG</t>
        </is>
      </c>
      <c r="B8355" s="30" t="inlineStr">
        <is>
          <t>Itaguai</t>
        </is>
      </c>
      <c r="C8355" s="30" t="n">
        <v>86780330</v>
      </c>
      <c r="D8355" s="30">
        <f>"21080792000121"</f>
        <v/>
      </c>
      <c r="E8355" s="30" t="inlineStr">
        <is>
          <t>W S JOANINI COMERCIO E SERVICOS NAUTICOS ME</t>
        </is>
      </c>
      <c r="F8355" s="30" t="inlineStr">
        <is>
          <t>2021</t>
        </is>
      </c>
      <c r="G8355" s="40" t="n">
        <v>0</v>
      </c>
    </row>
    <row r="8356" ht="12" customHeight="1">
      <c r="A8356" s="30" t="inlineStr">
        <is>
          <t>ITG</t>
        </is>
      </c>
      <c r="B8356" s="30" t="inlineStr">
        <is>
          <t>Itaguai</t>
        </is>
      </c>
      <c r="C8356" s="30" t="n">
        <v>86780330</v>
      </c>
      <c r="D8356" s="30">
        <f>"21080792000121"</f>
        <v/>
      </c>
      <c r="E8356" s="30" t="inlineStr">
        <is>
          <t>W S JOANINI COMERCIO E SERVICOS NAUTICOS ME</t>
        </is>
      </c>
      <c r="F8356" s="30" t="inlineStr">
        <is>
          <t>2022</t>
        </is>
      </c>
      <c r="G8356" s="40" t="n">
        <v>0</v>
      </c>
    </row>
    <row r="8357" ht="12" customHeight="1">
      <c r="A8357" s="30" t="inlineStr">
        <is>
          <t>ITG</t>
        </is>
      </c>
      <c r="B8357" s="30" t="inlineStr">
        <is>
          <t>Itaguai</t>
        </is>
      </c>
      <c r="C8357" s="30" t="n">
        <v>86780330</v>
      </c>
      <c r="D8357" s="30">
        <f>"21080792000121"</f>
        <v/>
      </c>
      <c r="E8357" s="30" t="inlineStr">
        <is>
          <t>W S JOANINI COMERCIO E SERVICOS NAUTICOS ME</t>
        </is>
      </c>
      <c r="F8357" s="30" t="inlineStr">
        <is>
          <t>2023</t>
        </is>
      </c>
      <c r="G8357" s="40" t="n">
        <v>0</v>
      </c>
    </row>
    <row r="8358" ht="12" customHeight="1">
      <c r="A8358" s="30" t="inlineStr">
        <is>
          <t>ITG</t>
        </is>
      </c>
      <c r="B8358" s="30" t="inlineStr">
        <is>
          <t>Itaguai</t>
        </is>
      </c>
      <c r="C8358" s="30" t="n">
        <v>86781930</v>
      </c>
      <c r="D8358" s="30">
        <f>"18476854000457"</f>
        <v/>
      </c>
      <c r="E8358" s="30" t="inlineStr">
        <is>
          <t>C S VIDAL - REFEICOES COLETIVAS - EIRELI ME</t>
        </is>
      </c>
      <c r="F8358" s="30" t="inlineStr">
        <is>
          <t>2017</t>
        </is>
      </c>
      <c r="G8358" s="40" t="n">
        <v>0</v>
      </c>
    </row>
    <row r="8359" ht="12" customHeight="1">
      <c r="A8359" s="30" t="inlineStr">
        <is>
          <t>ITG</t>
        </is>
      </c>
      <c r="B8359" s="30" t="inlineStr">
        <is>
          <t>Itaguai</t>
        </is>
      </c>
      <c r="C8359" s="30" t="n">
        <v>86781930</v>
      </c>
      <c r="D8359" s="30">
        <f>"18476854000457"</f>
        <v/>
      </c>
      <c r="E8359" s="30" t="inlineStr">
        <is>
          <t>C S VIDAL - REFEICOES COLETIVAS - EIRELI ME</t>
        </is>
      </c>
      <c r="F8359" s="30" t="inlineStr">
        <is>
          <t>2018</t>
        </is>
      </c>
      <c r="G8359" s="40" t="n">
        <v>0</v>
      </c>
    </row>
    <row r="8360" ht="12" customHeight="1">
      <c r="A8360" s="30" t="inlineStr">
        <is>
          <t>ITG</t>
        </is>
      </c>
      <c r="B8360" s="30" t="inlineStr">
        <is>
          <t>Itaguai</t>
        </is>
      </c>
      <c r="C8360" s="30" t="n">
        <v>86781930</v>
      </c>
      <c r="D8360" s="30">
        <f>"18476854000457"</f>
        <v/>
      </c>
      <c r="E8360" s="30" t="inlineStr">
        <is>
          <t>C S VIDAL - REFEICOES COLETIVAS - EIRELI ME</t>
        </is>
      </c>
      <c r="F8360" s="30" t="inlineStr">
        <is>
          <t>2019</t>
        </is>
      </c>
      <c r="G8360" s="40" t="n">
        <v>0</v>
      </c>
    </row>
    <row r="8361" ht="12" customHeight="1">
      <c r="A8361" s="30" t="inlineStr">
        <is>
          <t>ITG</t>
        </is>
      </c>
      <c r="B8361" s="30" t="inlineStr">
        <is>
          <t>Itaguai</t>
        </is>
      </c>
      <c r="C8361" s="30" t="n">
        <v>86781930</v>
      </c>
      <c r="D8361" s="30">
        <f>"18476854000457"</f>
        <v/>
      </c>
      <c r="E8361" s="30" t="inlineStr">
        <is>
          <t>C S VIDAL - REFEICOES COLETIVAS - EIRELI ME</t>
        </is>
      </c>
      <c r="F8361" s="30" t="inlineStr">
        <is>
          <t>2020</t>
        </is>
      </c>
      <c r="G8361" s="40" t="n">
        <v>0</v>
      </c>
    </row>
    <row r="8362" ht="12" customHeight="1">
      <c r="A8362" s="30" t="inlineStr">
        <is>
          <t>ITG</t>
        </is>
      </c>
      <c r="B8362" s="30" t="inlineStr">
        <is>
          <t>Itaguai</t>
        </is>
      </c>
      <c r="C8362" s="30" t="n">
        <v>86781930</v>
      </c>
      <c r="D8362" s="30">
        <f>"18476854000457"</f>
        <v/>
      </c>
      <c r="E8362" s="30" t="inlineStr">
        <is>
          <t>C S VIDAL - REFEICOES COLETIVAS - EIRELI ME</t>
        </is>
      </c>
      <c r="F8362" s="30" t="inlineStr">
        <is>
          <t>2021</t>
        </is>
      </c>
      <c r="G8362" s="40" t="n">
        <v>0</v>
      </c>
    </row>
    <row r="8363" ht="12" customHeight="1">
      <c r="A8363" s="30" t="inlineStr">
        <is>
          <t>ITG</t>
        </is>
      </c>
      <c r="B8363" s="30" t="inlineStr">
        <is>
          <t>Itaguai</t>
        </is>
      </c>
      <c r="C8363" s="30" t="n">
        <v>86781930</v>
      </c>
      <c r="D8363" s="30">
        <f>"18476854000457"</f>
        <v/>
      </c>
      <c r="E8363" s="30" t="inlineStr">
        <is>
          <t>C S VIDAL - REFEICOES COLETIVAS - EIRELI ME</t>
        </is>
      </c>
      <c r="F8363" s="30" t="inlineStr">
        <is>
          <t>2022</t>
        </is>
      </c>
      <c r="G8363" s="40" t="n">
        <v>0</v>
      </c>
    </row>
    <row r="8364" ht="12" customHeight="1">
      <c r="A8364" s="30" t="inlineStr">
        <is>
          <t>ITG</t>
        </is>
      </c>
      <c r="B8364" s="30" t="inlineStr">
        <is>
          <t>Itaguai</t>
        </is>
      </c>
      <c r="C8364" s="30" t="n">
        <v>86783398</v>
      </c>
      <c r="D8364" s="30">
        <f>"07347626000207"</f>
        <v/>
      </c>
      <c r="E8364" s="30" t="inlineStr">
        <is>
          <t>FUTURA TRANSPORTES LTDA</t>
        </is>
      </c>
      <c r="F8364" s="30" t="inlineStr">
        <is>
          <t>2017</t>
        </is>
      </c>
      <c r="G8364" s="40" t="n">
        <v>0</v>
      </c>
    </row>
    <row r="8365" ht="12" customHeight="1">
      <c r="A8365" s="30" t="inlineStr">
        <is>
          <t>ITG</t>
        </is>
      </c>
      <c r="B8365" s="30" t="inlineStr">
        <is>
          <t>Itaguai</t>
        </is>
      </c>
      <c r="C8365" s="30" t="n">
        <v>86783398</v>
      </c>
      <c r="D8365" s="30">
        <f>"07347626000207"</f>
        <v/>
      </c>
      <c r="E8365" s="30" t="inlineStr">
        <is>
          <t>FUTURA TRANSPORTES LTDA</t>
        </is>
      </c>
      <c r="F8365" s="30" t="inlineStr">
        <is>
          <t>2018</t>
        </is>
      </c>
      <c r="G8365" s="40" t="n">
        <v>0</v>
      </c>
    </row>
    <row r="8366" ht="12" customHeight="1">
      <c r="A8366" s="30" t="inlineStr">
        <is>
          <t>ITG</t>
        </is>
      </c>
      <c r="B8366" s="30" t="inlineStr">
        <is>
          <t>Itaguai</t>
        </is>
      </c>
      <c r="C8366" s="30" t="n">
        <v>86783398</v>
      </c>
      <c r="D8366" s="30">
        <f>"07347626000207"</f>
        <v/>
      </c>
      <c r="E8366" s="30" t="inlineStr">
        <is>
          <t>FUTURA TRANSPORTES LTDA</t>
        </is>
      </c>
      <c r="F8366" s="30" t="inlineStr">
        <is>
          <t>2019</t>
        </is>
      </c>
      <c r="G8366" s="40" t="n">
        <v>0</v>
      </c>
    </row>
    <row r="8367" ht="12" customHeight="1">
      <c r="A8367" s="30" t="inlineStr">
        <is>
          <t>ITG</t>
        </is>
      </c>
      <c r="B8367" s="30" t="inlineStr">
        <is>
          <t>Itaguai</t>
        </is>
      </c>
      <c r="C8367" s="30" t="n">
        <v>86783398</v>
      </c>
      <c r="D8367" s="30">
        <f>"07347626000207"</f>
        <v/>
      </c>
      <c r="E8367" s="30" t="inlineStr">
        <is>
          <t>FUTURA TRANSPORTES LTDA</t>
        </is>
      </c>
      <c r="F8367" s="30" t="inlineStr">
        <is>
          <t>2020</t>
        </is>
      </c>
      <c r="G8367" s="40" t="n">
        <v>0</v>
      </c>
    </row>
    <row r="8368" ht="12" customHeight="1">
      <c r="A8368" s="30" t="inlineStr">
        <is>
          <t>ITG</t>
        </is>
      </c>
      <c r="B8368" s="30" t="inlineStr">
        <is>
          <t>Itaguai</t>
        </is>
      </c>
      <c r="C8368" s="30" t="n">
        <v>86783398</v>
      </c>
      <c r="D8368" s="30">
        <f>"07347626000207"</f>
        <v/>
      </c>
      <c r="E8368" s="30" t="inlineStr">
        <is>
          <t>FUTURA TRANSPORTES LTDA</t>
        </is>
      </c>
      <c r="F8368" s="30" t="inlineStr">
        <is>
          <t>2021</t>
        </is>
      </c>
      <c r="G8368" s="40" t="n">
        <v>0</v>
      </c>
    </row>
    <row r="8369" ht="12" customHeight="1">
      <c r="A8369" s="30" t="inlineStr">
        <is>
          <t>ITG</t>
        </is>
      </c>
      <c r="B8369" s="30" t="inlineStr">
        <is>
          <t>Itaguai</t>
        </is>
      </c>
      <c r="C8369" s="30" t="n">
        <v>86783398</v>
      </c>
      <c r="D8369" s="30">
        <f>"07347626000207"</f>
        <v/>
      </c>
      <c r="E8369" s="30" t="inlineStr">
        <is>
          <t>FUTURA TRANSPORTES LTDA</t>
        </is>
      </c>
      <c r="F8369" s="30" t="inlineStr">
        <is>
          <t>2022</t>
        </is>
      </c>
      <c r="G8369" s="40" t="n">
        <v>0</v>
      </c>
    </row>
    <row r="8370" ht="12" customHeight="1">
      <c r="A8370" s="30" t="inlineStr">
        <is>
          <t>ITG</t>
        </is>
      </c>
      <c r="B8370" s="30" t="inlineStr">
        <is>
          <t>Itaguai</t>
        </is>
      </c>
      <c r="C8370" s="30" t="n">
        <v>86793229</v>
      </c>
      <c r="D8370" s="30">
        <f>"21185633000191"</f>
        <v/>
      </c>
      <c r="E8370" s="30" t="inlineStr">
        <is>
          <t>TRANSPORTES SOUZA ARAUJO LOGISTICA E PROJETOS LTDA</t>
        </is>
      </c>
      <c r="F8370" s="30" t="inlineStr">
        <is>
          <t>2020</t>
        </is>
      </c>
      <c r="G8370" s="40" t="n">
        <v>0</v>
      </c>
    </row>
    <row r="8371" ht="12" customHeight="1">
      <c r="A8371" s="30" t="inlineStr">
        <is>
          <t>ITG</t>
        </is>
      </c>
      <c r="B8371" s="30" t="inlineStr">
        <is>
          <t>Itaguai</t>
        </is>
      </c>
      <c r="C8371" s="30" t="n">
        <v>86793229</v>
      </c>
      <c r="D8371" s="30">
        <f>"21185633000191"</f>
        <v/>
      </c>
      <c r="E8371" s="30" t="inlineStr">
        <is>
          <t>TRANSPORTES SOUZA ARAUJO LOGISTICA E PROJETOS LTDA</t>
        </is>
      </c>
      <c r="F8371" s="30" t="inlineStr">
        <is>
          <t>2021</t>
        </is>
      </c>
      <c r="G8371" s="40" t="n">
        <v>0</v>
      </c>
    </row>
    <row r="8372" ht="12" customHeight="1">
      <c r="A8372" s="30" t="inlineStr">
        <is>
          <t>ITG</t>
        </is>
      </c>
      <c r="B8372" s="30" t="inlineStr">
        <is>
          <t>Itaguai</t>
        </is>
      </c>
      <c r="C8372" s="30" t="n">
        <v>86793229</v>
      </c>
      <c r="D8372" s="30">
        <f>"21185633000191"</f>
        <v/>
      </c>
      <c r="E8372" s="30" t="inlineStr">
        <is>
          <t>TRANSPORTES SOUZA ARAUJO LOGISTICA E PROJETOS LTDA</t>
        </is>
      </c>
      <c r="F8372" s="30" t="inlineStr">
        <is>
          <t>2022</t>
        </is>
      </c>
      <c r="G8372" s="40" t="n">
        <v>9603.92</v>
      </c>
    </row>
    <row r="8373" ht="12" customHeight="1">
      <c r="A8373" s="30" t="inlineStr">
        <is>
          <t>ITG</t>
        </is>
      </c>
      <c r="B8373" s="30" t="inlineStr">
        <is>
          <t>Itaguai</t>
        </is>
      </c>
      <c r="C8373" s="30" t="n">
        <v>86793229</v>
      </c>
      <c r="D8373" s="30">
        <f>"21185633000191"</f>
        <v/>
      </c>
      <c r="E8373" s="30" t="inlineStr">
        <is>
          <t>TRANSPORTES SOUZA ARAUJO LOGISTICA E PROJETOS LTDA</t>
        </is>
      </c>
      <c r="F8373" s="30" t="inlineStr">
        <is>
          <t>2023</t>
        </is>
      </c>
      <c r="G8373" s="40" t="n">
        <v>0</v>
      </c>
    </row>
    <row r="8374" ht="12" customHeight="1">
      <c r="A8374" s="30" t="inlineStr">
        <is>
          <t>ITG</t>
        </is>
      </c>
      <c r="B8374" s="30" t="inlineStr">
        <is>
          <t>Itaguai</t>
        </is>
      </c>
      <c r="C8374" s="30" t="n">
        <v>86803810</v>
      </c>
      <c r="D8374" s="30">
        <f>"21188698000190"</f>
        <v/>
      </c>
      <c r="E8374" s="30" t="inlineStr">
        <is>
          <t>EDSON A DOS SANTOS PEIXARIA ME</t>
        </is>
      </c>
      <c r="F8374" s="30" t="inlineStr">
        <is>
          <t>2017</t>
        </is>
      </c>
      <c r="G8374" s="40" t="n">
        <v>0</v>
      </c>
    </row>
    <row r="8375" ht="12" customHeight="1">
      <c r="A8375" s="30" t="inlineStr">
        <is>
          <t>ITG</t>
        </is>
      </c>
      <c r="B8375" s="30" t="inlineStr">
        <is>
          <t>Itaguai</t>
        </is>
      </c>
      <c r="C8375" s="30" t="n">
        <v>86803810</v>
      </c>
      <c r="D8375" s="30">
        <f>"21188698000190"</f>
        <v/>
      </c>
      <c r="E8375" s="30" t="inlineStr">
        <is>
          <t>EDSON A DOS SANTOS PEIXARIA ME</t>
        </is>
      </c>
      <c r="F8375" s="30" t="inlineStr">
        <is>
          <t>2018</t>
        </is>
      </c>
      <c r="G8375" s="40" t="n">
        <v>0</v>
      </c>
    </row>
    <row r="8376" ht="12" customHeight="1">
      <c r="A8376" s="30" t="inlineStr">
        <is>
          <t>ITG</t>
        </is>
      </c>
      <c r="B8376" s="30" t="inlineStr">
        <is>
          <t>Itaguai</t>
        </is>
      </c>
      <c r="C8376" s="30" t="n">
        <v>86803810</v>
      </c>
      <c r="D8376" s="30">
        <f>"21188698000190"</f>
        <v/>
      </c>
      <c r="E8376" s="30" t="inlineStr">
        <is>
          <t>EDSON A DOS SANTOS PEIXARIA ME</t>
        </is>
      </c>
      <c r="F8376" s="30" t="inlineStr">
        <is>
          <t>2019</t>
        </is>
      </c>
      <c r="G8376" s="40" t="n">
        <v>0</v>
      </c>
    </row>
    <row r="8377" ht="12" customHeight="1">
      <c r="A8377" s="30" t="inlineStr">
        <is>
          <t>ITG</t>
        </is>
      </c>
      <c r="B8377" s="30" t="inlineStr">
        <is>
          <t>Itaguai</t>
        </is>
      </c>
      <c r="C8377" s="30" t="n">
        <v>86803810</v>
      </c>
      <c r="D8377" s="30">
        <f>"21188698000190"</f>
        <v/>
      </c>
      <c r="E8377" s="30" t="inlineStr">
        <is>
          <t>EDSON A DOS SANTOS PEIXARIA ME</t>
        </is>
      </c>
      <c r="F8377" s="30" t="inlineStr">
        <is>
          <t>2020</t>
        </is>
      </c>
      <c r="G8377" s="40" t="n">
        <v>0</v>
      </c>
    </row>
    <row r="8378" ht="12" customHeight="1">
      <c r="A8378" s="30" t="inlineStr">
        <is>
          <t>ITG</t>
        </is>
      </c>
      <c r="B8378" s="30" t="inlineStr">
        <is>
          <t>Itaguai</t>
        </is>
      </c>
      <c r="C8378" s="30" t="n">
        <v>86806070</v>
      </c>
      <c r="D8378" s="30">
        <f>"27811892000400"</f>
        <v/>
      </c>
      <c r="E8378" s="30" t="inlineStr">
        <is>
          <t>EDURIC COMERCIO E INDUSTRIA DE ARTEFATOS DE CIMENTOS LTDA</t>
        </is>
      </c>
      <c r="F8378" s="30" t="inlineStr">
        <is>
          <t>2017</t>
        </is>
      </c>
      <c r="G8378" s="40" t="n">
        <v>0</v>
      </c>
    </row>
    <row r="8379" ht="12" customHeight="1">
      <c r="A8379" s="30" t="inlineStr">
        <is>
          <t>ITG</t>
        </is>
      </c>
      <c r="B8379" s="30" t="inlineStr">
        <is>
          <t>Itaguai</t>
        </is>
      </c>
      <c r="C8379" s="30" t="n">
        <v>86806070</v>
      </c>
      <c r="D8379" s="30">
        <f>"27811892000400"</f>
        <v/>
      </c>
      <c r="E8379" s="30" t="inlineStr">
        <is>
          <t>EDURIC COMERCIO E INDUSTRIA DE ARTEFATOS DE CIMENTOS LTDA</t>
        </is>
      </c>
      <c r="F8379" s="30" t="inlineStr">
        <is>
          <t>2018</t>
        </is>
      </c>
      <c r="G8379" s="40" t="n">
        <v>0</v>
      </c>
    </row>
    <row r="8380" ht="12" customHeight="1">
      <c r="A8380" s="30" t="inlineStr">
        <is>
          <t>ITG</t>
        </is>
      </c>
      <c r="B8380" s="30" t="inlineStr">
        <is>
          <t>Itaguai</t>
        </is>
      </c>
      <c r="C8380" s="30" t="n">
        <v>86806070</v>
      </c>
      <c r="D8380" s="30">
        <f>"27811892000400"</f>
        <v/>
      </c>
      <c r="E8380" s="30" t="inlineStr">
        <is>
          <t>EDURIC COMERCIO E INDUSTRIA DE ARTEFATOS DE CIMENTOS LTDA</t>
        </is>
      </c>
      <c r="F8380" s="30" t="inlineStr">
        <is>
          <t>2019</t>
        </is>
      </c>
      <c r="G8380" s="40" t="n">
        <v>0</v>
      </c>
    </row>
    <row r="8381" ht="12" customHeight="1">
      <c r="A8381" s="30" t="inlineStr">
        <is>
          <t>ITG</t>
        </is>
      </c>
      <c r="B8381" s="30" t="inlineStr">
        <is>
          <t>Itaguai</t>
        </is>
      </c>
      <c r="C8381" s="30" t="n">
        <v>86806070</v>
      </c>
      <c r="D8381" s="30">
        <f>"27811892000400"</f>
        <v/>
      </c>
      <c r="E8381" s="30" t="inlineStr">
        <is>
          <t>EDURIC COMERCIO E INDUSTRIA DE ARTEFATOS DE CIMENTOS LTDA</t>
        </is>
      </c>
      <c r="F8381" s="30" t="inlineStr">
        <is>
          <t>2020</t>
        </is>
      </c>
      <c r="G8381" s="40" t="n">
        <v>0</v>
      </c>
    </row>
    <row r="8382" ht="12" customHeight="1">
      <c r="A8382" s="30" t="inlineStr">
        <is>
          <t>ITG</t>
        </is>
      </c>
      <c r="B8382" s="30" t="inlineStr">
        <is>
          <t>Itaguai</t>
        </is>
      </c>
      <c r="C8382" s="30" t="n">
        <v>86806070</v>
      </c>
      <c r="D8382" s="30">
        <f>"27811892000400"</f>
        <v/>
      </c>
      <c r="E8382" s="30" t="inlineStr">
        <is>
          <t>EDURIC COMERCIO E INDUSTRIA DE ARTEFATOS DE CIMENTOS LTDA</t>
        </is>
      </c>
      <c r="F8382" s="30" t="inlineStr">
        <is>
          <t>2021</t>
        </is>
      </c>
      <c r="G8382" s="40" t="n">
        <v>0</v>
      </c>
    </row>
    <row r="8383" ht="12" customHeight="1">
      <c r="A8383" s="30" t="inlineStr">
        <is>
          <t>ITG</t>
        </is>
      </c>
      <c r="B8383" s="30" t="inlineStr">
        <is>
          <t>Itaguai</t>
        </is>
      </c>
      <c r="C8383" s="30" t="n">
        <v>86806070</v>
      </c>
      <c r="D8383" s="30">
        <f>"27811892000400"</f>
        <v/>
      </c>
      <c r="E8383" s="30" t="inlineStr">
        <is>
          <t>EDURIC COMERCIO E INDUSTRIA DE ARTEFATOS DE CIMENTOS LTDA</t>
        </is>
      </c>
      <c r="F8383" s="30" t="inlineStr">
        <is>
          <t>2022</t>
        </is>
      </c>
      <c r="G8383" s="40" t="n">
        <v>0</v>
      </c>
    </row>
    <row r="8384" ht="12" customHeight="1">
      <c r="A8384" s="30" t="inlineStr">
        <is>
          <t>ITG</t>
        </is>
      </c>
      <c r="B8384" s="30" t="inlineStr">
        <is>
          <t>Itaguai</t>
        </is>
      </c>
      <c r="C8384" s="30" t="n">
        <v>86806070</v>
      </c>
      <c r="D8384" s="30">
        <f>"27811892000400"</f>
        <v/>
      </c>
      <c r="E8384" s="30" t="inlineStr">
        <is>
          <t>EDURIC COMERCIO E INDUSTRIA DE ARTEFATOS DE CIMENTOS LTDA</t>
        </is>
      </c>
      <c r="F8384" s="30" t="inlineStr">
        <is>
          <t>2023</t>
        </is>
      </c>
      <c r="G8384" s="40" t="n">
        <v>0</v>
      </c>
    </row>
    <row r="8385" ht="12" customHeight="1">
      <c r="A8385" s="30" t="inlineStr">
        <is>
          <t>ITG</t>
        </is>
      </c>
      <c r="B8385" s="30" t="inlineStr">
        <is>
          <t>Itaguai</t>
        </is>
      </c>
      <c r="C8385" s="30" t="n">
        <v>86810999</v>
      </c>
      <c r="D8385" s="30">
        <f>"03867580005095"</f>
        <v/>
      </c>
      <c r="E8385" s="30" t="inlineStr">
        <is>
          <t>PRONTO EXPRESS LOGISTICA SA</t>
        </is>
      </c>
      <c r="F8385" s="30" t="inlineStr">
        <is>
          <t>2017</t>
        </is>
      </c>
      <c r="G8385" s="40" t="n">
        <v>474.76</v>
      </c>
    </row>
    <row r="8386" ht="12" customHeight="1">
      <c r="A8386" s="30" t="inlineStr">
        <is>
          <t>ITG</t>
        </is>
      </c>
      <c r="B8386" s="30" t="inlineStr">
        <is>
          <t>Itaguai</t>
        </is>
      </c>
      <c r="C8386" s="30" t="n">
        <v>86810999</v>
      </c>
      <c r="D8386" s="30">
        <f>"03867580005095"</f>
        <v/>
      </c>
      <c r="E8386" s="30" t="inlineStr">
        <is>
          <t>PRONTO EXPRESS LOGISTICA SA</t>
        </is>
      </c>
      <c r="F8386" s="30" t="inlineStr">
        <is>
          <t>2018</t>
        </is>
      </c>
      <c r="G8386" s="40" t="n">
        <v>0</v>
      </c>
    </row>
    <row r="8387" ht="12" customHeight="1">
      <c r="A8387" s="30" t="inlineStr">
        <is>
          <t>ITG</t>
        </is>
      </c>
      <c r="B8387" s="30" t="inlineStr">
        <is>
          <t>Itaguai</t>
        </is>
      </c>
      <c r="C8387" s="30" t="n">
        <v>86810999</v>
      </c>
      <c r="D8387" s="30">
        <f>"03867580005095"</f>
        <v/>
      </c>
      <c r="E8387" s="30" t="inlineStr">
        <is>
          <t>PRONTO EXPRESS LOGISTICA SA</t>
        </is>
      </c>
      <c r="F8387" s="30" t="inlineStr">
        <is>
          <t>2019</t>
        </is>
      </c>
      <c r="G8387" s="40" t="n">
        <v>0</v>
      </c>
    </row>
    <row r="8388" ht="12" customHeight="1">
      <c r="A8388" s="30" t="inlineStr">
        <is>
          <t>ITG</t>
        </is>
      </c>
      <c r="B8388" s="30" t="inlineStr">
        <is>
          <t>Itaguai</t>
        </is>
      </c>
      <c r="C8388" s="30" t="n">
        <v>86813327</v>
      </c>
      <c r="D8388" s="30">
        <f>"31238678000211"</f>
        <v/>
      </c>
      <c r="E8388" s="30" t="inlineStr">
        <is>
          <t>MERCEARIA MARVI DE ITAGUAI LTDA</t>
        </is>
      </c>
      <c r="F8388" s="30" t="inlineStr">
        <is>
          <t>2017</t>
        </is>
      </c>
      <c r="G8388" s="40" t="n">
        <v>712586.73</v>
      </c>
    </row>
    <row r="8389" ht="12" customHeight="1">
      <c r="A8389" s="30" t="inlineStr">
        <is>
          <t>ITG</t>
        </is>
      </c>
      <c r="B8389" s="30" t="inlineStr">
        <is>
          <t>Itaguai</t>
        </is>
      </c>
      <c r="C8389" s="30" t="n">
        <v>86813327</v>
      </c>
      <c r="D8389" s="30">
        <f>"31238678000211"</f>
        <v/>
      </c>
      <c r="E8389" s="30" t="inlineStr">
        <is>
          <t>MERCEARIA MARVI DE ITAGUAI LTDA</t>
        </is>
      </c>
      <c r="F8389" s="30" t="inlineStr">
        <is>
          <t>2018</t>
        </is>
      </c>
      <c r="G8389" s="40" t="n">
        <v>0</v>
      </c>
    </row>
    <row r="8390" ht="12" customHeight="1">
      <c r="A8390" s="30" t="inlineStr">
        <is>
          <t>ITG</t>
        </is>
      </c>
      <c r="B8390" s="30" t="inlineStr">
        <is>
          <t>Itaguai</t>
        </is>
      </c>
      <c r="C8390" s="30" t="n">
        <v>86813327</v>
      </c>
      <c r="D8390" s="30">
        <f>"31238678000211"</f>
        <v/>
      </c>
      <c r="E8390" s="30" t="inlineStr">
        <is>
          <t>MERCEARIA MARVI DE ITAGUAI LTDA</t>
        </is>
      </c>
      <c r="F8390" s="30" t="inlineStr">
        <is>
          <t>2019</t>
        </is>
      </c>
      <c r="G8390" s="40" t="n">
        <v>0</v>
      </c>
    </row>
    <row r="8391" ht="12" customHeight="1">
      <c r="A8391" s="30" t="inlineStr">
        <is>
          <t>ITG</t>
        </is>
      </c>
      <c r="B8391" s="30" t="inlineStr">
        <is>
          <t>Itaguai</t>
        </is>
      </c>
      <c r="C8391" s="30" t="n">
        <v>86822229</v>
      </c>
      <c r="D8391" s="30">
        <f>"08259544000850"</f>
        <v/>
      </c>
      <c r="E8391" s="30" t="inlineStr">
        <is>
          <t>TOPICO LOCACOES DE GALPOES E EQUIPAMENTOS PARA INDUSTRIAS S A</t>
        </is>
      </c>
      <c r="F8391" s="30" t="inlineStr">
        <is>
          <t>2018</t>
        </is>
      </c>
      <c r="G8391" s="40" t="n">
        <v>0</v>
      </c>
    </row>
    <row r="8392" ht="12" customHeight="1">
      <c r="A8392" s="30" t="inlineStr">
        <is>
          <t>ITG</t>
        </is>
      </c>
      <c r="B8392" s="30" t="inlineStr">
        <is>
          <t>Itaguai</t>
        </is>
      </c>
      <c r="C8392" s="30" t="n">
        <v>86822229</v>
      </c>
      <c r="D8392" s="30">
        <f>"08259544000850"</f>
        <v/>
      </c>
      <c r="E8392" s="30" t="inlineStr">
        <is>
          <t>TOPICO LOCACOES DE GALPOES E EQUIPAMENTOS PARA INDUSTRIAS S A</t>
        </is>
      </c>
      <c r="F8392" s="30" t="inlineStr">
        <is>
          <t>2019</t>
        </is>
      </c>
      <c r="G8392" s="40" t="n">
        <v>0</v>
      </c>
    </row>
    <row r="8393" ht="12" customHeight="1">
      <c r="A8393" s="30" t="inlineStr">
        <is>
          <t>ITG</t>
        </is>
      </c>
      <c r="B8393" s="30" t="inlineStr">
        <is>
          <t>Itaguai</t>
        </is>
      </c>
      <c r="C8393" s="30" t="n">
        <v>86822229</v>
      </c>
      <c r="D8393" s="30">
        <f>"08259544000850"</f>
        <v/>
      </c>
      <c r="E8393" s="30" t="inlineStr">
        <is>
          <t>TOPICO LOCACOES DE GALPOES E EQUIPAMENTOS PARA INDUSTRIAS S A</t>
        </is>
      </c>
      <c r="F8393" s="30" t="inlineStr">
        <is>
          <t>2020</t>
        </is>
      </c>
      <c r="G8393" s="40" t="n">
        <v>24239.2</v>
      </c>
    </row>
    <row r="8394" ht="12" customHeight="1">
      <c r="A8394" s="30" t="inlineStr">
        <is>
          <t>ITG</t>
        </is>
      </c>
      <c r="B8394" s="30" t="inlineStr">
        <is>
          <t>Itaguai</t>
        </is>
      </c>
      <c r="C8394" s="30" t="n">
        <v>86822229</v>
      </c>
      <c r="D8394" s="30">
        <f>"08259544000850"</f>
        <v/>
      </c>
      <c r="E8394" s="30" t="inlineStr">
        <is>
          <t>TOPICO LOCACOES DE GALPOES E EQUIPAMENTOS PARA INDUSTRIAS S A</t>
        </is>
      </c>
      <c r="F8394" s="30" t="inlineStr">
        <is>
          <t>2021</t>
        </is>
      </c>
      <c r="G8394" s="40" t="n">
        <v>0</v>
      </c>
    </row>
    <row r="8395" ht="12" customHeight="1">
      <c r="A8395" s="30" t="inlineStr">
        <is>
          <t>ITG</t>
        </is>
      </c>
      <c r="B8395" s="30" t="inlineStr">
        <is>
          <t>Itaguai</t>
        </is>
      </c>
      <c r="C8395" s="30" t="n">
        <v>86822229</v>
      </c>
      <c r="D8395" s="30">
        <f>"08259544000850"</f>
        <v/>
      </c>
      <c r="E8395" s="30" t="inlineStr">
        <is>
          <t>TOPICO LOCACOES DE GALPOES E EQUIPAMENTOS PARA INDUSTRIAS S A</t>
        </is>
      </c>
      <c r="F8395" s="30" t="inlineStr">
        <is>
          <t>2022</t>
        </is>
      </c>
      <c r="G8395" s="40" t="n">
        <v>0</v>
      </c>
    </row>
    <row r="8396" ht="12" customHeight="1">
      <c r="A8396" s="30" t="inlineStr">
        <is>
          <t>ITG</t>
        </is>
      </c>
      <c r="B8396" s="30" t="inlineStr">
        <is>
          <t>Itaguai</t>
        </is>
      </c>
      <c r="C8396" s="30" t="n">
        <v>86822229</v>
      </c>
      <c r="D8396" s="30">
        <f>"08259544000850"</f>
        <v/>
      </c>
      <c r="E8396" s="30" t="inlineStr">
        <is>
          <t>TOPICO LOCACOES DE GALPOES E EQUIPAMENTOS PARA INDUSTRIAS S A</t>
        </is>
      </c>
      <c r="F8396" s="30" t="inlineStr">
        <is>
          <t>2023</t>
        </is>
      </c>
      <c r="G8396" s="40" t="n">
        <v>0</v>
      </c>
    </row>
    <row r="8397" ht="12" customHeight="1">
      <c r="A8397" s="30" t="inlineStr">
        <is>
          <t>ITG</t>
        </is>
      </c>
      <c r="B8397" s="30" t="inlineStr">
        <is>
          <t>Itaguai</t>
        </is>
      </c>
      <c r="C8397" s="30" t="n">
        <v>86828383</v>
      </c>
      <c r="D8397" s="30">
        <f>"00497373002082"</f>
        <v/>
      </c>
      <c r="E8397" s="30" t="inlineStr">
        <is>
          <t>SKY SERVICOS DE BANDA LARGA LTDA.</t>
        </is>
      </c>
      <c r="F8397" s="30" t="inlineStr">
        <is>
          <t>2017</t>
        </is>
      </c>
      <c r="G8397" s="40" t="n">
        <v>570.37</v>
      </c>
    </row>
    <row r="8398" ht="12" customHeight="1">
      <c r="A8398" s="30" t="inlineStr">
        <is>
          <t>ITG</t>
        </is>
      </c>
      <c r="B8398" s="30" t="inlineStr">
        <is>
          <t>Itaguai</t>
        </is>
      </c>
      <c r="C8398" s="30" t="n">
        <v>86828383</v>
      </c>
      <c r="D8398" s="30">
        <f>"00497373002082"</f>
        <v/>
      </c>
      <c r="E8398" s="30" t="inlineStr">
        <is>
          <t>SKY SERVICOS DE BANDA LARGA LTDA.</t>
        </is>
      </c>
      <c r="F8398" s="30" t="inlineStr">
        <is>
          <t>2018</t>
        </is>
      </c>
      <c r="G8398" s="40" t="n">
        <v>1477.47</v>
      </c>
    </row>
    <row r="8399" ht="12" customHeight="1">
      <c r="A8399" s="30" t="inlineStr">
        <is>
          <t>ITG</t>
        </is>
      </c>
      <c r="B8399" s="30" t="inlineStr">
        <is>
          <t>Itaguai</t>
        </is>
      </c>
      <c r="C8399" s="30" t="n">
        <v>86828383</v>
      </c>
      <c r="D8399" s="30">
        <f>"00497373002082"</f>
        <v/>
      </c>
      <c r="E8399" s="30" t="inlineStr">
        <is>
          <t>SKY SERVICOS DE BANDA LARGA LTDA.</t>
        </is>
      </c>
      <c r="F8399" s="30" t="inlineStr">
        <is>
          <t>2019</t>
        </is>
      </c>
      <c r="G8399" s="40" t="n">
        <v>1016.7</v>
      </c>
    </row>
    <row r="8400" ht="12" customHeight="1">
      <c r="A8400" s="30" t="inlineStr">
        <is>
          <t>ITG</t>
        </is>
      </c>
      <c r="B8400" s="30" t="inlineStr">
        <is>
          <t>Itaguai</t>
        </is>
      </c>
      <c r="C8400" s="30" t="n">
        <v>86828383</v>
      </c>
      <c r="D8400" s="30">
        <f>"00497373002082"</f>
        <v/>
      </c>
      <c r="E8400" s="30" t="inlineStr">
        <is>
          <t>SKY SERVICOS DE BANDA LARGA LTDA.</t>
        </is>
      </c>
      <c r="F8400" s="30" t="inlineStr">
        <is>
          <t>2020</t>
        </is>
      </c>
      <c r="G8400" s="40" t="n">
        <v>314.98</v>
      </c>
    </row>
    <row r="8401" ht="12" customHeight="1">
      <c r="A8401" s="30" t="inlineStr">
        <is>
          <t>ITG</t>
        </is>
      </c>
      <c r="B8401" s="30" t="inlineStr">
        <is>
          <t>Itaguai</t>
        </is>
      </c>
      <c r="C8401" s="30" t="n">
        <v>86828383</v>
      </c>
      <c r="D8401" s="30">
        <f>"00497373002082"</f>
        <v/>
      </c>
      <c r="E8401" s="30" t="inlineStr">
        <is>
          <t>SKY SERVICOS DE BANDA LARGA LTDA.</t>
        </is>
      </c>
      <c r="F8401" s="30" t="inlineStr">
        <is>
          <t>2021</t>
        </is>
      </c>
      <c r="G8401" s="40" t="n">
        <v>842.61</v>
      </c>
    </row>
    <row r="8402" ht="12" customHeight="1">
      <c r="A8402" s="30" t="inlineStr">
        <is>
          <t>ITG</t>
        </is>
      </c>
      <c r="B8402" s="30" t="inlineStr">
        <is>
          <t>Itaguai</t>
        </is>
      </c>
      <c r="C8402" s="30" t="n">
        <v>86828383</v>
      </c>
      <c r="D8402" s="30">
        <f>"00497373002082"</f>
        <v/>
      </c>
      <c r="E8402" s="30" t="inlineStr">
        <is>
          <t>SKY SERVICOS DE BANDA LARGA LTDA.</t>
        </is>
      </c>
      <c r="F8402" s="30" t="inlineStr">
        <is>
          <t>2022</t>
        </is>
      </c>
      <c r="G8402" s="40" t="n">
        <v>6882.55</v>
      </c>
    </row>
    <row r="8403" ht="12" customHeight="1">
      <c r="A8403" s="30" t="inlineStr">
        <is>
          <t>ITG</t>
        </is>
      </c>
      <c r="B8403" s="30" t="inlineStr">
        <is>
          <t>Itaguai</t>
        </is>
      </c>
      <c r="C8403" s="30" t="n">
        <v>86828383</v>
      </c>
      <c r="D8403" s="30">
        <f>"00497373002082"</f>
        <v/>
      </c>
      <c r="E8403" s="30" t="inlineStr">
        <is>
          <t>SKY SERVICOS DE BANDA LARGA LTDA.</t>
        </is>
      </c>
      <c r="F8403" s="30" t="inlineStr">
        <is>
          <t>2023</t>
        </is>
      </c>
      <c r="G8403" s="40" t="n">
        <v>569.2</v>
      </c>
    </row>
    <row r="8404" ht="12" customHeight="1">
      <c r="A8404" s="30" t="inlineStr">
        <is>
          <t>ITG</t>
        </is>
      </c>
      <c r="B8404" s="30" t="inlineStr">
        <is>
          <t>Itaguai</t>
        </is>
      </c>
      <c r="C8404" s="30" t="n">
        <v>86831295</v>
      </c>
      <c r="D8404" s="30">
        <f>"03509101000180"</f>
        <v/>
      </c>
      <c r="E8404" s="30" t="inlineStr">
        <is>
          <t>BRASIPAN SERVIÇOS E LOGÍSTICA EIRELI</t>
        </is>
      </c>
      <c r="F8404" s="30" t="inlineStr">
        <is>
          <t>2020</t>
        </is>
      </c>
      <c r="G8404" s="40" t="n">
        <v>0</v>
      </c>
    </row>
    <row r="8405" ht="12" customHeight="1">
      <c r="A8405" s="30" t="inlineStr">
        <is>
          <t>ITG</t>
        </is>
      </c>
      <c r="B8405" s="30" t="inlineStr">
        <is>
          <t>Itaguai</t>
        </is>
      </c>
      <c r="C8405" s="30" t="n">
        <v>86831295</v>
      </c>
      <c r="D8405" s="30">
        <f>"03509101000180"</f>
        <v/>
      </c>
      <c r="E8405" s="30" t="inlineStr">
        <is>
          <t>BRASIPAN SERVIÇOS E LOGÍSTICA EIRELI</t>
        </is>
      </c>
      <c r="F8405" s="30" t="inlineStr">
        <is>
          <t>2021</t>
        </is>
      </c>
      <c r="G8405" s="40" t="n">
        <v>0</v>
      </c>
    </row>
    <row r="8406" ht="12" customHeight="1">
      <c r="A8406" s="30" t="inlineStr">
        <is>
          <t>ITG</t>
        </is>
      </c>
      <c r="B8406" s="30" t="inlineStr">
        <is>
          <t>Itaguai</t>
        </is>
      </c>
      <c r="C8406" s="30" t="n">
        <v>86831295</v>
      </c>
      <c r="D8406" s="30">
        <f>"03509101000180"</f>
        <v/>
      </c>
      <c r="E8406" s="30" t="inlineStr">
        <is>
          <t>BRASIPAN SERVIÇOS E LOGÍSTICA EIRELI</t>
        </is>
      </c>
      <c r="F8406" s="30" t="inlineStr">
        <is>
          <t>2022</t>
        </is>
      </c>
      <c r="G8406" s="40" t="n">
        <v>22369.7</v>
      </c>
    </row>
    <row r="8407" ht="12" customHeight="1">
      <c r="A8407" s="30" t="inlineStr">
        <is>
          <t>ITG</t>
        </is>
      </c>
      <c r="B8407" s="30" t="inlineStr">
        <is>
          <t>Itaguai</t>
        </is>
      </c>
      <c r="C8407" s="30" t="n">
        <v>86831295</v>
      </c>
      <c r="D8407" s="30">
        <f>"03509101000180"</f>
        <v/>
      </c>
      <c r="E8407" s="30" t="inlineStr">
        <is>
          <t>BRASIPAN SERVIÇOS E LOGÍSTICA EIRELI</t>
        </is>
      </c>
      <c r="F8407" s="30" t="inlineStr">
        <is>
          <t>2023</t>
        </is>
      </c>
      <c r="G8407" s="40" t="n">
        <v>0</v>
      </c>
    </row>
    <row r="8408" ht="12" customHeight="1">
      <c r="A8408" s="30" t="inlineStr">
        <is>
          <t>ITG</t>
        </is>
      </c>
      <c r="B8408" s="30" t="inlineStr">
        <is>
          <t>Itaguai</t>
        </is>
      </c>
      <c r="C8408" s="30" t="n">
        <v>86832194</v>
      </c>
      <c r="D8408" s="30">
        <f>"16884492000599"</f>
        <v/>
      </c>
      <c r="E8408" s="30" t="inlineStr">
        <is>
          <t>TDM TRANSPORTES LTDA</t>
        </is>
      </c>
      <c r="F8408" s="30" t="inlineStr">
        <is>
          <t>2018</t>
        </is>
      </c>
      <c r="G8408" s="40" t="n">
        <v>0</v>
      </c>
    </row>
    <row r="8409" ht="12" customHeight="1">
      <c r="A8409" s="30" t="inlineStr">
        <is>
          <t>ITG</t>
        </is>
      </c>
      <c r="B8409" s="30" t="inlineStr">
        <is>
          <t>Itaguai</t>
        </is>
      </c>
      <c r="C8409" s="30" t="n">
        <v>86832194</v>
      </c>
      <c r="D8409" s="30">
        <f>"16884492000599"</f>
        <v/>
      </c>
      <c r="E8409" s="30" t="inlineStr">
        <is>
          <t>TDM TRANSPORTES LTDA</t>
        </is>
      </c>
      <c r="F8409" s="30" t="inlineStr">
        <is>
          <t>2019</t>
        </is>
      </c>
      <c r="G8409" s="40" t="n">
        <v>0</v>
      </c>
    </row>
    <row r="8410" ht="12" customHeight="1">
      <c r="A8410" s="30" t="inlineStr">
        <is>
          <t>ITG</t>
        </is>
      </c>
      <c r="B8410" s="30" t="inlineStr">
        <is>
          <t>Itaguai</t>
        </is>
      </c>
      <c r="C8410" s="30" t="n">
        <v>86832194</v>
      </c>
      <c r="D8410" s="30">
        <f>"16884492000599"</f>
        <v/>
      </c>
      <c r="E8410" s="30" t="inlineStr">
        <is>
          <t>TDM TRANSPORTES LTDA</t>
        </is>
      </c>
      <c r="F8410" s="30" t="inlineStr">
        <is>
          <t>2020</t>
        </is>
      </c>
      <c r="G8410" s="40" t="n">
        <v>8006642.2</v>
      </c>
    </row>
    <row r="8411" ht="12" customHeight="1">
      <c r="A8411" s="30" t="inlineStr">
        <is>
          <t>ITG</t>
        </is>
      </c>
      <c r="B8411" s="30" t="inlineStr">
        <is>
          <t>Itaguai</t>
        </is>
      </c>
      <c r="C8411" s="30" t="n">
        <v>86832194</v>
      </c>
      <c r="D8411" s="30">
        <f>"16884492000599"</f>
        <v/>
      </c>
      <c r="E8411" s="30" t="inlineStr">
        <is>
          <t>TDM TRANSPORTES LTDA</t>
        </is>
      </c>
      <c r="F8411" s="30" t="inlineStr">
        <is>
          <t>2021</t>
        </is>
      </c>
      <c r="G8411" s="40" t="n">
        <v>0</v>
      </c>
    </row>
    <row r="8412" ht="12" customHeight="1">
      <c r="A8412" s="30" t="inlineStr">
        <is>
          <t>ITG</t>
        </is>
      </c>
      <c r="B8412" s="30" t="inlineStr">
        <is>
          <t>Itaguai</t>
        </is>
      </c>
      <c r="C8412" s="30" t="n">
        <v>86832194</v>
      </c>
      <c r="D8412" s="30">
        <f>"16884492000599"</f>
        <v/>
      </c>
      <c r="E8412" s="30" t="inlineStr">
        <is>
          <t>TDM TRANSPORTES LTDA</t>
        </is>
      </c>
      <c r="F8412" s="30" t="inlineStr">
        <is>
          <t>2022</t>
        </is>
      </c>
      <c r="G8412" s="40" t="n">
        <v>0</v>
      </c>
    </row>
    <row r="8413" ht="12" customHeight="1">
      <c r="A8413" s="30" t="inlineStr">
        <is>
          <t>ITG</t>
        </is>
      </c>
      <c r="B8413" s="30" t="inlineStr">
        <is>
          <t>Itaguai</t>
        </is>
      </c>
      <c r="C8413" s="30" t="n">
        <v>86832194</v>
      </c>
      <c r="D8413" s="30">
        <f>"16884492000599"</f>
        <v/>
      </c>
      <c r="E8413" s="30" t="inlineStr">
        <is>
          <t>TDM TRANSPORTES LTDA</t>
        </is>
      </c>
      <c r="F8413" s="30" t="inlineStr">
        <is>
          <t>2023</t>
        </is>
      </c>
      <c r="G8413" s="40" t="n">
        <v>3696.85</v>
      </c>
    </row>
    <row r="8414" ht="12" customHeight="1">
      <c r="A8414" s="30" t="inlineStr">
        <is>
          <t>ITG</t>
        </is>
      </c>
      <c r="B8414" s="30" t="inlineStr">
        <is>
          <t>Itaguai</t>
        </is>
      </c>
      <c r="C8414" s="30" t="n">
        <v>86832461</v>
      </c>
      <c r="D8414" s="30">
        <f>"73860777000361"</f>
        <v/>
      </c>
      <c r="E8414" s="30" t="inlineStr">
        <is>
          <t>ALBERTONI TRANSPORTES DE CARGAS LTDA</t>
        </is>
      </c>
      <c r="F8414" s="30" t="inlineStr">
        <is>
          <t>2017</t>
        </is>
      </c>
      <c r="G8414" s="40" t="n">
        <v>10981540.14</v>
      </c>
    </row>
    <row r="8415" ht="12" customHeight="1">
      <c r="A8415" s="30" t="inlineStr">
        <is>
          <t>ITG</t>
        </is>
      </c>
      <c r="B8415" s="30" t="inlineStr">
        <is>
          <t>Itaguai</t>
        </is>
      </c>
      <c r="C8415" s="30" t="n">
        <v>86832461</v>
      </c>
      <c r="D8415" s="30">
        <f>"73860777000361"</f>
        <v/>
      </c>
      <c r="E8415" s="30" t="inlineStr">
        <is>
          <t>ALBERTONI TRANSPORTES DE CARGAS LTDA</t>
        </is>
      </c>
      <c r="F8415" s="30" t="inlineStr">
        <is>
          <t>2018</t>
        </is>
      </c>
      <c r="G8415" s="40" t="n">
        <v>0</v>
      </c>
    </row>
    <row r="8416" ht="12" customHeight="1">
      <c r="A8416" s="30" t="inlineStr">
        <is>
          <t>ITG</t>
        </is>
      </c>
      <c r="B8416" s="30" t="inlineStr">
        <is>
          <t>Itaguai</t>
        </is>
      </c>
      <c r="C8416" s="30" t="n">
        <v>86832461</v>
      </c>
      <c r="D8416" s="30">
        <f>"73860777000361"</f>
        <v/>
      </c>
      <c r="E8416" s="30" t="inlineStr">
        <is>
          <t>ALBERTONI TRANSPORTES DE CARGAS LTDA</t>
        </is>
      </c>
      <c r="F8416" s="30" t="inlineStr">
        <is>
          <t>2019</t>
        </is>
      </c>
      <c r="G8416" s="40" t="n">
        <v>0</v>
      </c>
    </row>
    <row r="8417" ht="12" customHeight="1">
      <c r="A8417" s="30" t="inlineStr">
        <is>
          <t>ITG</t>
        </is>
      </c>
      <c r="B8417" s="30" t="inlineStr">
        <is>
          <t>Itaguai</t>
        </is>
      </c>
      <c r="C8417" s="30" t="n">
        <v>86832461</v>
      </c>
      <c r="D8417" s="30">
        <f>"73860777000361"</f>
        <v/>
      </c>
      <c r="E8417" s="30" t="inlineStr">
        <is>
          <t>ALBERTONI TRANSPORTES DE CARGAS LTDA</t>
        </is>
      </c>
      <c r="F8417" s="30" t="inlineStr">
        <is>
          <t>2020</t>
        </is>
      </c>
      <c r="G8417" s="40" t="n">
        <v>0</v>
      </c>
    </row>
    <row r="8418" ht="12" customHeight="1">
      <c r="A8418" s="30" t="inlineStr">
        <is>
          <t>ITG</t>
        </is>
      </c>
      <c r="B8418" s="30" t="inlineStr">
        <is>
          <t>Itaguai</t>
        </is>
      </c>
      <c r="C8418" s="30" t="n">
        <v>86834480</v>
      </c>
      <c r="D8418" s="30">
        <f>"20967779000207"</f>
        <v/>
      </c>
      <c r="E8418" s="30" t="inlineStr">
        <is>
          <t>BRILHANTE DO ACO COMERCIO VAREJISTA LTDA</t>
        </is>
      </c>
      <c r="F8418" s="30" t="inlineStr">
        <is>
          <t>2017</t>
        </is>
      </c>
      <c r="G8418" s="40" t="n">
        <v>0</v>
      </c>
    </row>
    <row r="8419" ht="12" customHeight="1">
      <c r="A8419" s="30" t="inlineStr">
        <is>
          <t>ITG</t>
        </is>
      </c>
      <c r="B8419" s="30" t="inlineStr">
        <is>
          <t>Itaguai</t>
        </is>
      </c>
      <c r="C8419" s="30" t="n">
        <v>86834480</v>
      </c>
      <c r="D8419" s="30">
        <f>"20967779000207"</f>
        <v/>
      </c>
      <c r="E8419" s="30" t="inlineStr">
        <is>
          <t>BRILHANTE DO ACO COMERCIO VAREJISTA LTDA</t>
        </is>
      </c>
      <c r="F8419" s="30" t="inlineStr">
        <is>
          <t>2018</t>
        </is>
      </c>
      <c r="G8419" s="40" t="n">
        <v>0</v>
      </c>
    </row>
    <row r="8420" ht="12" customHeight="1">
      <c r="A8420" s="30" t="inlineStr">
        <is>
          <t>ITG</t>
        </is>
      </c>
      <c r="B8420" s="30" t="inlineStr">
        <is>
          <t>Itaguai</t>
        </is>
      </c>
      <c r="C8420" s="30" t="n">
        <v>86834480</v>
      </c>
      <c r="D8420" s="30">
        <f>"20967779000207"</f>
        <v/>
      </c>
      <c r="E8420" s="30" t="inlineStr">
        <is>
          <t>BRILHANTE DO ACO COMERCIO VAREJISTA LTDA</t>
        </is>
      </c>
      <c r="F8420" s="30" t="inlineStr">
        <is>
          <t>2019</t>
        </is>
      </c>
      <c r="G8420" s="40" t="n">
        <v>0</v>
      </c>
    </row>
    <row r="8421" ht="12" customHeight="1">
      <c r="A8421" s="30" t="inlineStr">
        <is>
          <t>ITG</t>
        </is>
      </c>
      <c r="B8421" s="30" t="inlineStr">
        <is>
          <t>Itaguai</t>
        </is>
      </c>
      <c r="C8421" s="30" t="n">
        <v>86834480</v>
      </c>
      <c r="D8421" s="30">
        <f>"20967779000207"</f>
        <v/>
      </c>
      <c r="E8421" s="30" t="inlineStr">
        <is>
          <t>BRILHANTE DO ACO COMERCIO VAREJISTA LTDA</t>
        </is>
      </c>
      <c r="F8421" s="30" t="inlineStr">
        <is>
          <t>2020</t>
        </is>
      </c>
      <c r="G8421" s="40" t="n">
        <v>0</v>
      </c>
    </row>
    <row r="8422" ht="12" customHeight="1">
      <c r="A8422" s="30" t="inlineStr">
        <is>
          <t>ITG</t>
        </is>
      </c>
      <c r="B8422" s="30" t="inlineStr">
        <is>
          <t>Itaguai</t>
        </is>
      </c>
      <c r="C8422" s="30" t="n">
        <v>86837552</v>
      </c>
      <c r="D8422" s="30">
        <f>"20948262000190"</f>
        <v/>
      </c>
      <c r="E8422" s="30" t="inlineStr">
        <is>
          <t>M S TOLEDO COMERCIO E REPRESENTACOES EIRELI ME</t>
        </is>
      </c>
      <c r="F8422" s="30" t="inlineStr">
        <is>
          <t>2017</t>
        </is>
      </c>
      <c r="G8422" s="40" t="n">
        <v>0</v>
      </c>
    </row>
    <row r="8423" ht="12" customHeight="1">
      <c r="A8423" s="30" t="inlineStr">
        <is>
          <t>ITG</t>
        </is>
      </c>
      <c r="B8423" s="30" t="inlineStr">
        <is>
          <t>Itaguai</t>
        </is>
      </c>
      <c r="C8423" s="30" t="n">
        <v>86837552</v>
      </c>
      <c r="D8423" s="30">
        <f>"20948262000190"</f>
        <v/>
      </c>
      <c r="E8423" s="30" t="inlineStr">
        <is>
          <t>M S TOLEDO COMERCIO E REPRESENTACOES EIRELI ME</t>
        </is>
      </c>
      <c r="F8423" s="30" t="inlineStr">
        <is>
          <t>2018</t>
        </is>
      </c>
      <c r="G8423" s="40" t="n">
        <v>0</v>
      </c>
    </row>
    <row r="8424" ht="12" customHeight="1">
      <c r="A8424" s="30" t="inlineStr">
        <is>
          <t>ITG</t>
        </is>
      </c>
      <c r="B8424" s="30" t="inlineStr">
        <is>
          <t>Itaguai</t>
        </is>
      </c>
      <c r="C8424" s="30" t="n">
        <v>86837552</v>
      </c>
      <c r="D8424" s="30">
        <f>"20948262000190"</f>
        <v/>
      </c>
      <c r="E8424" s="30" t="inlineStr">
        <is>
          <t>M S TOLEDO COMERCIO E REPRESENTACOES EIRELI ME</t>
        </is>
      </c>
      <c r="F8424" s="30" t="inlineStr">
        <is>
          <t>2019</t>
        </is>
      </c>
      <c r="G8424" s="40" t="n">
        <v>0</v>
      </c>
    </row>
    <row r="8425" ht="12" customHeight="1">
      <c r="A8425" s="30" t="inlineStr">
        <is>
          <t>ITG</t>
        </is>
      </c>
      <c r="B8425" s="30" t="inlineStr">
        <is>
          <t>Itaguai</t>
        </is>
      </c>
      <c r="C8425" s="30" t="n">
        <v>86837552</v>
      </c>
      <c r="D8425" s="30">
        <f>"20948262000190"</f>
        <v/>
      </c>
      <c r="E8425" s="30" t="inlineStr">
        <is>
          <t>M S TOLEDO COMERCIO E REPRESENTACOES EIRELI ME</t>
        </is>
      </c>
      <c r="F8425" s="30" t="inlineStr">
        <is>
          <t>2020</t>
        </is>
      </c>
      <c r="G8425" s="40" t="n">
        <v>0</v>
      </c>
    </row>
    <row r="8426" ht="12" customHeight="1">
      <c r="A8426" s="30" t="inlineStr">
        <is>
          <t>ITG</t>
        </is>
      </c>
      <c r="B8426" s="30" t="inlineStr">
        <is>
          <t>Itaguai</t>
        </is>
      </c>
      <c r="C8426" s="30" t="n">
        <v>86837552</v>
      </c>
      <c r="D8426" s="30">
        <f>"20948262000190"</f>
        <v/>
      </c>
      <c r="E8426" s="30" t="inlineStr">
        <is>
          <t>M S TOLEDO COMERCIO E REPRESENTACOES EIRELI ME</t>
        </is>
      </c>
      <c r="F8426" s="30" t="inlineStr">
        <is>
          <t>2021</t>
        </is>
      </c>
      <c r="G8426" s="40" t="n">
        <v>0</v>
      </c>
    </row>
    <row r="8427" ht="12" customHeight="1">
      <c r="A8427" s="30" t="inlineStr">
        <is>
          <t>ITG</t>
        </is>
      </c>
      <c r="B8427" s="30" t="inlineStr">
        <is>
          <t>Itaguai</t>
        </is>
      </c>
      <c r="C8427" s="30" t="n">
        <v>86837552</v>
      </c>
      <c r="D8427" s="30">
        <f>"20948262000190"</f>
        <v/>
      </c>
      <c r="E8427" s="30" t="inlineStr">
        <is>
          <t>M S TOLEDO COMERCIO E REPRESENTACOES EIRELI ME</t>
        </is>
      </c>
      <c r="F8427" s="30" t="inlineStr">
        <is>
          <t>2022</t>
        </is>
      </c>
      <c r="G8427" s="40" t="n">
        <v>0</v>
      </c>
    </row>
    <row r="8428" ht="12" customHeight="1">
      <c r="A8428" s="30" t="inlineStr">
        <is>
          <t>ITG</t>
        </is>
      </c>
      <c r="B8428" s="30" t="inlineStr">
        <is>
          <t>Itaguai</t>
        </is>
      </c>
      <c r="C8428" s="30" t="n">
        <v>86848449</v>
      </c>
      <c r="D8428" s="30">
        <f>"18384930000232"</f>
        <v/>
      </c>
      <c r="E8428" s="30" t="inlineStr">
        <is>
          <t>DATORA MOBILE TELECOMUNICACOES S A</t>
        </is>
      </c>
      <c r="F8428" s="30" t="inlineStr">
        <is>
          <t>2021</t>
        </is>
      </c>
      <c r="G8428" s="40" t="n">
        <v>0</v>
      </c>
    </row>
    <row r="8429" ht="12" customHeight="1">
      <c r="A8429" s="30" t="inlineStr">
        <is>
          <t>ITG</t>
        </is>
      </c>
      <c r="B8429" s="30" t="inlineStr">
        <is>
          <t>Itaguai</t>
        </is>
      </c>
      <c r="C8429" s="30" t="n">
        <v>86848449</v>
      </c>
      <c r="D8429" s="30">
        <f>"18384930000232"</f>
        <v/>
      </c>
      <c r="E8429" s="30" t="inlineStr">
        <is>
          <t>DATORA MOBILE TELECOMUNICACOES S A</t>
        </is>
      </c>
      <c r="F8429" s="30" t="inlineStr">
        <is>
          <t>2022</t>
        </is>
      </c>
      <c r="G8429" s="40" t="n">
        <v>0</v>
      </c>
    </row>
    <row r="8430" ht="12" customHeight="1">
      <c r="A8430" s="30" t="inlineStr">
        <is>
          <t>ITG</t>
        </is>
      </c>
      <c r="B8430" s="30" t="inlineStr">
        <is>
          <t>Itaguai</t>
        </is>
      </c>
      <c r="C8430" s="30" t="n">
        <v>86848449</v>
      </c>
      <c r="D8430" s="30">
        <f>"18384930000232"</f>
        <v/>
      </c>
      <c r="E8430" s="30" t="inlineStr">
        <is>
          <t>DATORA MOBILE TELECOMUNICACOES S A</t>
        </is>
      </c>
      <c r="F8430" s="30" t="inlineStr">
        <is>
          <t>2023</t>
        </is>
      </c>
      <c r="G8430" s="40" t="n">
        <v>30.48</v>
      </c>
    </row>
    <row r="8431" ht="12" customHeight="1">
      <c r="A8431" s="30" t="inlineStr">
        <is>
          <t>ITG</t>
        </is>
      </c>
      <c r="B8431" s="30" t="inlineStr">
        <is>
          <t>Itaguai</t>
        </is>
      </c>
      <c r="C8431" s="30" t="n">
        <v>86861801</v>
      </c>
      <c r="D8431" s="30">
        <f>"20692890000157"</f>
        <v/>
      </c>
      <c r="E8431" s="30" t="inlineStr">
        <is>
          <t>ENZO ITAGUAI LTDA</t>
        </is>
      </c>
      <c r="F8431" s="30" t="inlineStr">
        <is>
          <t>2017</t>
        </is>
      </c>
      <c r="G8431" s="40" t="n">
        <v>344644.78</v>
      </c>
    </row>
    <row r="8432" ht="12" customHeight="1">
      <c r="A8432" s="30" t="inlineStr">
        <is>
          <t>ITG</t>
        </is>
      </c>
      <c r="B8432" s="30" t="inlineStr">
        <is>
          <t>Itaguai</t>
        </is>
      </c>
      <c r="C8432" s="30" t="n">
        <v>86861801</v>
      </c>
      <c r="D8432" s="30">
        <f>"20692890000157"</f>
        <v/>
      </c>
      <c r="E8432" s="30" t="inlineStr">
        <is>
          <t>ENZO ITAGUAI LTDA</t>
        </is>
      </c>
      <c r="F8432" s="30" t="inlineStr">
        <is>
          <t>2018</t>
        </is>
      </c>
      <c r="G8432" s="40" t="n">
        <v>881546.6800000001</v>
      </c>
    </row>
    <row r="8433" ht="12" customHeight="1">
      <c r="A8433" s="30" t="inlineStr">
        <is>
          <t>ITG</t>
        </is>
      </c>
      <c r="B8433" s="30" t="inlineStr">
        <is>
          <t>Itaguai</t>
        </is>
      </c>
      <c r="C8433" s="30" t="n">
        <v>86861801</v>
      </c>
      <c r="D8433" s="30">
        <f>"20692890000157"</f>
        <v/>
      </c>
      <c r="E8433" s="30" t="inlineStr">
        <is>
          <t>ENZO ITAGUAI LTDA</t>
        </is>
      </c>
      <c r="F8433" s="30" t="inlineStr">
        <is>
          <t>2019</t>
        </is>
      </c>
      <c r="G8433" s="40" t="n">
        <v>1084036.69</v>
      </c>
    </row>
    <row r="8434" ht="12" customHeight="1">
      <c r="A8434" s="30" t="inlineStr">
        <is>
          <t>ITG</t>
        </is>
      </c>
      <c r="B8434" s="30" t="inlineStr">
        <is>
          <t>Itaguai</t>
        </is>
      </c>
      <c r="C8434" s="30" t="n">
        <v>86861801</v>
      </c>
      <c r="D8434" s="30">
        <f>"20692890000157"</f>
        <v/>
      </c>
      <c r="E8434" s="30" t="inlineStr">
        <is>
          <t>ENZO ITAGUAI LTDA</t>
        </is>
      </c>
      <c r="F8434" s="30" t="inlineStr">
        <is>
          <t>2020</t>
        </is>
      </c>
      <c r="G8434" s="40" t="n">
        <v>2653164.56</v>
      </c>
    </row>
    <row r="8435" ht="12" customHeight="1">
      <c r="A8435" s="30" t="inlineStr">
        <is>
          <t>ITG</t>
        </is>
      </c>
      <c r="B8435" s="30" t="inlineStr">
        <is>
          <t>Itaguai</t>
        </is>
      </c>
      <c r="C8435" s="30" t="n">
        <v>86861801</v>
      </c>
      <c r="D8435" s="30">
        <f>"20692890000157"</f>
        <v/>
      </c>
      <c r="E8435" s="30" t="inlineStr">
        <is>
          <t>ENZO ITAGUAI LTDA</t>
        </is>
      </c>
      <c r="F8435" s="30" t="inlineStr">
        <is>
          <t>2021</t>
        </is>
      </c>
      <c r="G8435" s="40" t="n">
        <v>0</v>
      </c>
    </row>
    <row r="8436" ht="12" customHeight="1">
      <c r="A8436" s="30" t="inlineStr">
        <is>
          <t>ITG</t>
        </is>
      </c>
      <c r="B8436" s="30" t="inlineStr">
        <is>
          <t>Itaguai</t>
        </is>
      </c>
      <c r="C8436" s="30" t="n">
        <v>86861801</v>
      </c>
      <c r="D8436" s="30">
        <f>"20692890000157"</f>
        <v/>
      </c>
      <c r="E8436" s="30" t="inlineStr">
        <is>
          <t>ENZO ITAGUAI LTDA</t>
        </is>
      </c>
      <c r="F8436" s="30" t="inlineStr">
        <is>
          <t>2022</t>
        </is>
      </c>
      <c r="G8436" s="40" t="n">
        <v>0</v>
      </c>
    </row>
    <row r="8437" ht="12" customHeight="1">
      <c r="A8437" s="30" t="inlineStr">
        <is>
          <t>ITG</t>
        </is>
      </c>
      <c r="B8437" s="30" t="inlineStr">
        <is>
          <t>Itaguai</t>
        </is>
      </c>
      <c r="C8437" s="30" t="n">
        <v>86861801</v>
      </c>
      <c r="D8437" s="30">
        <f>"20692890000157"</f>
        <v/>
      </c>
      <c r="E8437" s="30" t="inlineStr">
        <is>
          <t>ENZO ITAGUAI LTDA</t>
        </is>
      </c>
      <c r="F8437" s="30" t="inlineStr">
        <is>
          <t>2023</t>
        </is>
      </c>
      <c r="G8437" s="40" t="n">
        <v>0</v>
      </c>
    </row>
    <row r="8438" ht="12" customHeight="1">
      <c r="A8438" s="30" t="inlineStr">
        <is>
          <t>ITG</t>
        </is>
      </c>
      <c r="B8438" s="30" t="inlineStr">
        <is>
          <t>Itaguai</t>
        </is>
      </c>
      <c r="C8438" s="30" t="n">
        <v>86866803</v>
      </c>
      <c r="D8438" s="30">
        <f>"09469384000403"</f>
        <v/>
      </c>
      <c r="E8438" s="30" t="inlineStr">
        <is>
          <t>DTL EXPRESSO E LOGISTICA EIRELI</t>
        </is>
      </c>
      <c r="F8438" s="30" t="inlineStr">
        <is>
          <t>2017</t>
        </is>
      </c>
      <c r="G8438" s="40" t="n">
        <v>0</v>
      </c>
    </row>
    <row r="8439" ht="12" customHeight="1">
      <c r="A8439" s="30" t="inlineStr">
        <is>
          <t>ITG</t>
        </is>
      </c>
      <c r="B8439" s="30" t="inlineStr">
        <is>
          <t>Itaguai</t>
        </is>
      </c>
      <c r="C8439" s="30" t="n">
        <v>86866803</v>
      </c>
      <c r="D8439" s="30">
        <f>"09469384000403"</f>
        <v/>
      </c>
      <c r="E8439" s="30" t="inlineStr">
        <is>
          <t>DTL EXPRESSO E LOGISTICA EIRELI</t>
        </is>
      </c>
      <c r="F8439" s="30" t="inlineStr">
        <is>
          <t>2018</t>
        </is>
      </c>
      <c r="G8439" s="40" t="n">
        <v>0</v>
      </c>
    </row>
    <row r="8440" ht="12" customHeight="1">
      <c r="A8440" s="30" t="inlineStr">
        <is>
          <t>ITG</t>
        </is>
      </c>
      <c r="B8440" s="30" t="inlineStr">
        <is>
          <t>Itaguai</t>
        </is>
      </c>
      <c r="C8440" s="30" t="n">
        <v>86866803</v>
      </c>
      <c r="D8440" s="30">
        <f>"09469384000403"</f>
        <v/>
      </c>
      <c r="E8440" s="30" t="inlineStr">
        <is>
          <t>DTL EXPRESSO E LOGISTICA EIRELI</t>
        </is>
      </c>
      <c r="F8440" s="30" t="inlineStr">
        <is>
          <t>2019</t>
        </is>
      </c>
      <c r="G8440" s="40" t="n">
        <v>0</v>
      </c>
    </row>
    <row r="8441" ht="12" customHeight="1">
      <c r="A8441" s="30" t="inlineStr">
        <is>
          <t>ITG</t>
        </is>
      </c>
      <c r="B8441" s="30" t="inlineStr">
        <is>
          <t>Itaguai</t>
        </is>
      </c>
      <c r="C8441" s="30" t="n">
        <v>86866803</v>
      </c>
      <c r="D8441" s="30">
        <f>"09469384000403"</f>
        <v/>
      </c>
      <c r="E8441" s="30" t="inlineStr">
        <is>
          <t>DTL EXPRESSO E LOGISTICA EIRELI</t>
        </is>
      </c>
      <c r="F8441" s="30" t="inlineStr">
        <is>
          <t>2020</t>
        </is>
      </c>
      <c r="G8441" s="40" t="n">
        <v>0</v>
      </c>
    </row>
    <row r="8442" ht="12" customHeight="1">
      <c r="A8442" s="30" t="inlineStr">
        <is>
          <t>ITG</t>
        </is>
      </c>
      <c r="B8442" s="30" t="inlineStr">
        <is>
          <t>Itaguai</t>
        </is>
      </c>
      <c r="C8442" s="30" t="n">
        <v>86866803</v>
      </c>
      <c r="D8442" s="30">
        <f>"09469384000403"</f>
        <v/>
      </c>
      <c r="E8442" s="30" t="inlineStr">
        <is>
          <t>DTL EXPRESSO E LOGISTICA EIRELI</t>
        </is>
      </c>
      <c r="F8442" s="30" t="inlineStr">
        <is>
          <t>2021</t>
        </is>
      </c>
      <c r="G8442" s="40" t="n">
        <v>0</v>
      </c>
    </row>
    <row r="8443" ht="12" customHeight="1">
      <c r="A8443" s="30" t="inlineStr">
        <is>
          <t>ITG</t>
        </is>
      </c>
      <c r="B8443" s="30" t="inlineStr">
        <is>
          <t>Itaguai</t>
        </is>
      </c>
      <c r="C8443" s="30" t="n">
        <v>86866803</v>
      </c>
      <c r="D8443" s="30">
        <f>"09469384000403"</f>
        <v/>
      </c>
      <c r="E8443" s="30" t="inlineStr">
        <is>
          <t>DTL EXPRESSO E LOGISTICA EIRELI</t>
        </is>
      </c>
      <c r="F8443" s="30" t="inlineStr">
        <is>
          <t>2022</t>
        </is>
      </c>
      <c r="G8443" s="40" t="n">
        <v>0</v>
      </c>
    </row>
    <row r="8444" ht="12" customHeight="1">
      <c r="A8444" s="30" t="inlineStr">
        <is>
          <t>ITG</t>
        </is>
      </c>
      <c r="B8444" s="30" t="inlineStr">
        <is>
          <t>Itaguai</t>
        </is>
      </c>
      <c r="C8444" s="30" t="n">
        <v>86866803</v>
      </c>
      <c r="D8444" s="30">
        <f>"09469384000403"</f>
        <v/>
      </c>
      <c r="E8444" s="30" t="inlineStr">
        <is>
          <t>DTL EXPRESSO E LOGISTICA EIRELI</t>
        </is>
      </c>
      <c r="F8444" s="30" t="inlineStr">
        <is>
          <t>2023</t>
        </is>
      </c>
      <c r="G8444" s="40" t="n">
        <v>0</v>
      </c>
    </row>
    <row r="8445" ht="12" customHeight="1">
      <c r="A8445" s="30" t="inlineStr">
        <is>
          <t>ITG</t>
        </is>
      </c>
      <c r="B8445" s="30" t="inlineStr">
        <is>
          <t>Itaguai</t>
        </is>
      </c>
      <c r="C8445" s="30" t="n">
        <v>86873079</v>
      </c>
      <c r="D8445" s="30">
        <f>"20694572000125"</f>
        <v/>
      </c>
      <c r="E8445" s="30" t="inlineStr">
        <is>
          <t>PORTO SUDESTE EXPORTAÇÃO E COMÉRCIO S.A.</t>
        </is>
      </c>
      <c r="F8445" s="30" t="inlineStr">
        <is>
          <t>2017</t>
        </is>
      </c>
      <c r="G8445" s="40" t="n">
        <v>0</v>
      </c>
    </row>
    <row r="8446" ht="12" customHeight="1">
      <c r="A8446" s="30" t="inlineStr">
        <is>
          <t>ITG</t>
        </is>
      </c>
      <c r="B8446" s="30" t="inlineStr">
        <is>
          <t>Itaguai</t>
        </is>
      </c>
      <c r="C8446" s="30" t="n">
        <v>86873079</v>
      </c>
      <c r="D8446" s="30">
        <f>"20694572000125"</f>
        <v/>
      </c>
      <c r="E8446" s="30" t="inlineStr">
        <is>
          <t>PORTO SUDESTE EXPORTAÇÃO E COMÉRCIO S.A.</t>
        </is>
      </c>
      <c r="F8446" s="30" t="inlineStr">
        <is>
          <t>2018</t>
        </is>
      </c>
      <c r="G8446" s="40" t="n">
        <v>0</v>
      </c>
    </row>
    <row r="8447" ht="12" customHeight="1">
      <c r="A8447" s="30" t="inlineStr">
        <is>
          <t>ITG</t>
        </is>
      </c>
      <c r="B8447" s="30" t="inlineStr">
        <is>
          <t>Itaguai</t>
        </is>
      </c>
      <c r="C8447" s="30" t="n">
        <v>86873079</v>
      </c>
      <c r="D8447" s="30">
        <f>"20694572000125"</f>
        <v/>
      </c>
      <c r="E8447" s="30" t="inlineStr">
        <is>
          <t>PORTO SUDESTE EXPORTAÇÃO E COMÉRCIO S.A.</t>
        </is>
      </c>
      <c r="F8447" s="30" t="inlineStr">
        <is>
          <t>2019</t>
        </is>
      </c>
      <c r="G8447" s="40" t="n">
        <v>74187683.92</v>
      </c>
    </row>
    <row r="8448" ht="12" customHeight="1">
      <c r="A8448" s="30" t="inlineStr">
        <is>
          <t>ITG</t>
        </is>
      </c>
      <c r="B8448" s="30" t="inlineStr">
        <is>
          <t>Itaguai</t>
        </is>
      </c>
      <c r="C8448" s="30" t="n">
        <v>86873079</v>
      </c>
      <c r="D8448" s="30">
        <f>"20694572000125"</f>
        <v/>
      </c>
      <c r="E8448" s="30" t="inlineStr">
        <is>
          <t>PORTO SUDESTE EXPORTAÇÃO E COMÉRCIO S.A.</t>
        </is>
      </c>
      <c r="F8448" s="30" t="inlineStr">
        <is>
          <t>2020</t>
        </is>
      </c>
      <c r="G8448" s="40" t="n">
        <v>342565730.09</v>
      </c>
    </row>
    <row r="8449" ht="12" customHeight="1">
      <c r="A8449" s="30" t="inlineStr">
        <is>
          <t>ITG</t>
        </is>
      </c>
      <c r="B8449" s="30" t="inlineStr">
        <is>
          <t>Itaguai</t>
        </is>
      </c>
      <c r="C8449" s="30" t="n">
        <v>86873079</v>
      </c>
      <c r="D8449" s="30">
        <f>"20694572000125"</f>
        <v/>
      </c>
      <c r="E8449" s="30" t="inlineStr">
        <is>
          <t>PORTO SUDESTE EXPORTAÇÃO E COMÉRCIO S.A.</t>
        </is>
      </c>
      <c r="F8449" s="30" t="inlineStr">
        <is>
          <t>2021</t>
        </is>
      </c>
      <c r="G8449" s="40" t="n">
        <v>670738093.12</v>
      </c>
    </row>
    <row r="8450" ht="12" customHeight="1">
      <c r="A8450" s="30" t="inlineStr">
        <is>
          <t>ITG</t>
        </is>
      </c>
      <c r="B8450" s="30" t="inlineStr">
        <is>
          <t>Itaguai</t>
        </is>
      </c>
      <c r="C8450" s="30" t="n">
        <v>86873079</v>
      </c>
      <c r="D8450" s="30">
        <f>"20694572000125"</f>
        <v/>
      </c>
      <c r="E8450" s="30" t="inlineStr">
        <is>
          <t>PORTO SUDESTE EXPORTAÇÃO E COMÉRCIO S.A.</t>
        </is>
      </c>
      <c r="F8450" s="30" t="inlineStr">
        <is>
          <t>2022</t>
        </is>
      </c>
      <c r="G8450" s="40" t="n">
        <v>167049850.05</v>
      </c>
    </row>
    <row r="8451" ht="12" customHeight="1">
      <c r="A8451" s="30" t="inlineStr">
        <is>
          <t>ITG</t>
        </is>
      </c>
      <c r="B8451" s="30" t="inlineStr">
        <is>
          <t>Itaguai</t>
        </is>
      </c>
      <c r="C8451" s="30" t="n">
        <v>86873079</v>
      </c>
      <c r="D8451" s="30">
        <f>"20694572000125"</f>
        <v/>
      </c>
      <c r="E8451" s="30" t="inlineStr">
        <is>
          <t>PORTO SUDESTE EXPORTAÇÃO E COMÉRCIO S.A.</t>
        </is>
      </c>
      <c r="F8451" s="30" t="inlineStr">
        <is>
          <t>2023</t>
        </is>
      </c>
      <c r="G8451" s="40" t="n">
        <v>247872528.41</v>
      </c>
    </row>
    <row r="8452" ht="12" customHeight="1">
      <c r="A8452" s="30" t="inlineStr">
        <is>
          <t>ITG</t>
        </is>
      </c>
      <c r="B8452" s="30" t="inlineStr">
        <is>
          <t>Itaguai</t>
        </is>
      </c>
      <c r="C8452" s="30" t="n">
        <v>86874334</v>
      </c>
      <c r="D8452" s="30">
        <f>"21896625000153"</f>
        <v/>
      </c>
      <c r="E8452" s="30" t="inlineStr">
        <is>
          <t>WGAT TRANSPORTE DE CARGAS - EIRELI</t>
        </is>
      </c>
      <c r="F8452" s="30" t="inlineStr">
        <is>
          <t>2017</t>
        </is>
      </c>
      <c r="G8452" s="40" t="n">
        <v>0</v>
      </c>
    </row>
    <row r="8453" ht="12" customHeight="1">
      <c r="A8453" s="30" t="inlineStr">
        <is>
          <t>ITG</t>
        </is>
      </c>
      <c r="B8453" s="30" t="inlineStr">
        <is>
          <t>Itaguai</t>
        </is>
      </c>
      <c r="C8453" s="30" t="n">
        <v>86874334</v>
      </c>
      <c r="D8453" s="30">
        <f>"21896625000153"</f>
        <v/>
      </c>
      <c r="E8453" s="30" t="inlineStr">
        <is>
          <t>WGAT TRANSPORTE DE CARGAS - EIRELI</t>
        </is>
      </c>
      <c r="F8453" s="30" t="inlineStr">
        <is>
          <t>2018</t>
        </is>
      </c>
      <c r="G8453" s="40" t="n">
        <v>0</v>
      </c>
    </row>
    <row r="8454" ht="12" customHeight="1">
      <c r="A8454" s="30" t="inlineStr">
        <is>
          <t>ITG</t>
        </is>
      </c>
      <c r="B8454" s="30" t="inlineStr">
        <is>
          <t>Itaguai</t>
        </is>
      </c>
      <c r="C8454" s="30" t="n">
        <v>86874334</v>
      </c>
      <c r="D8454" s="30">
        <f>"21896625000153"</f>
        <v/>
      </c>
      <c r="E8454" s="30" t="inlineStr">
        <is>
          <t>WGAT TRANSPORTE DE CARGAS - EIRELI</t>
        </is>
      </c>
      <c r="F8454" s="30" t="inlineStr">
        <is>
          <t>2019</t>
        </is>
      </c>
      <c r="G8454" s="40" t="n">
        <v>360933.35</v>
      </c>
    </row>
    <row r="8455" ht="12" customHeight="1">
      <c r="A8455" s="30" t="inlineStr">
        <is>
          <t>ITG</t>
        </is>
      </c>
      <c r="B8455" s="30" t="inlineStr">
        <is>
          <t>Itaguai</t>
        </is>
      </c>
      <c r="C8455" s="30" t="n">
        <v>86874334</v>
      </c>
      <c r="D8455" s="30">
        <f>"21896625000153"</f>
        <v/>
      </c>
      <c r="E8455" s="30" t="inlineStr">
        <is>
          <t>WGAT TRANSPORTE DE CARGAS - EIRELI</t>
        </is>
      </c>
      <c r="F8455" s="30" t="inlineStr">
        <is>
          <t>2020</t>
        </is>
      </c>
      <c r="G8455" s="40" t="n">
        <v>0</v>
      </c>
    </row>
    <row r="8456" ht="12" customHeight="1">
      <c r="A8456" s="30" t="inlineStr">
        <is>
          <t>ITG</t>
        </is>
      </c>
      <c r="B8456" s="30" t="inlineStr">
        <is>
          <t>Itaguai</t>
        </is>
      </c>
      <c r="C8456" s="30" t="n">
        <v>86874334</v>
      </c>
      <c r="D8456" s="30">
        <f>"21896625000153"</f>
        <v/>
      </c>
      <c r="E8456" s="30" t="inlineStr">
        <is>
          <t>WGAT TRANSPORTE DE CARGAS - EIRELI</t>
        </is>
      </c>
      <c r="F8456" s="30" t="inlineStr">
        <is>
          <t>2021</t>
        </is>
      </c>
      <c r="G8456" s="40" t="n">
        <v>0</v>
      </c>
    </row>
    <row r="8457" ht="12" customHeight="1">
      <c r="A8457" s="30" t="inlineStr">
        <is>
          <t>ITG</t>
        </is>
      </c>
      <c r="B8457" s="30" t="inlineStr">
        <is>
          <t>Itaguai</t>
        </is>
      </c>
      <c r="C8457" s="30" t="n">
        <v>86874334</v>
      </c>
      <c r="D8457" s="30">
        <f>"21896625000153"</f>
        <v/>
      </c>
      <c r="E8457" s="30" t="inlineStr">
        <is>
          <t>WGAT TRANSPORTE DE CARGAS - EIRELI</t>
        </is>
      </c>
      <c r="F8457" s="30" t="inlineStr">
        <is>
          <t>2022</t>
        </is>
      </c>
      <c r="G8457" s="40" t="n">
        <v>41357.87</v>
      </c>
    </row>
    <row r="8458" ht="12" customHeight="1">
      <c r="A8458" s="30" t="inlineStr">
        <is>
          <t>ITG</t>
        </is>
      </c>
      <c r="B8458" s="30" t="inlineStr">
        <is>
          <t>Itaguai</t>
        </is>
      </c>
      <c r="C8458" s="30" t="n">
        <v>86874334</v>
      </c>
      <c r="D8458" s="30">
        <f>"21896625000153"</f>
        <v/>
      </c>
      <c r="E8458" s="30" t="inlineStr">
        <is>
          <t>WGAT TRANSPORTE DE CARGAS - EIRELI</t>
        </is>
      </c>
      <c r="F8458" s="30" t="inlineStr">
        <is>
          <t>2023</t>
        </is>
      </c>
      <c r="G8458" s="40" t="n">
        <v>0</v>
      </c>
    </row>
    <row r="8459" ht="12" customHeight="1">
      <c r="A8459" s="30" t="inlineStr">
        <is>
          <t>ITG</t>
        </is>
      </c>
      <c r="B8459" s="30" t="inlineStr">
        <is>
          <t>Itaguai</t>
        </is>
      </c>
      <c r="C8459" s="30" t="n">
        <v>86876906</v>
      </c>
      <c r="D8459" s="30">
        <f>"33200056039789"</f>
        <v/>
      </c>
      <c r="E8459" s="30" t="inlineStr">
        <is>
          <t>LOJAS RIACHUELO SA</t>
        </is>
      </c>
      <c r="F8459" s="30" t="inlineStr">
        <is>
          <t>2017</t>
        </is>
      </c>
      <c r="G8459" s="40" t="n">
        <v>4622877.4</v>
      </c>
    </row>
    <row r="8460" ht="12" customHeight="1">
      <c r="A8460" s="30" t="inlineStr">
        <is>
          <t>ITG</t>
        </is>
      </c>
      <c r="B8460" s="30" t="inlineStr">
        <is>
          <t>Itaguai</t>
        </is>
      </c>
      <c r="C8460" s="30" t="n">
        <v>86876906</v>
      </c>
      <c r="D8460" s="30">
        <f>"33200056039789"</f>
        <v/>
      </c>
      <c r="E8460" s="30" t="inlineStr">
        <is>
          <t>LOJAS RIACHUELO SA</t>
        </is>
      </c>
      <c r="F8460" s="30" t="inlineStr">
        <is>
          <t>2018</t>
        </is>
      </c>
      <c r="G8460" s="40" t="n">
        <v>4318433.91</v>
      </c>
    </row>
    <row r="8461" ht="12" customHeight="1">
      <c r="A8461" s="30" t="inlineStr">
        <is>
          <t>ITG</t>
        </is>
      </c>
      <c r="B8461" s="30" t="inlineStr">
        <is>
          <t>Itaguai</t>
        </is>
      </c>
      <c r="C8461" s="30" t="n">
        <v>86876906</v>
      </c>
      <c r="D8461" s="30">
        <f>"33200056039789"</f>
        <v/>
      </c>
      <c r="E8461" s="30" t="inlineStr">
        <is>
          <t>LOJAS RIACHUELO SA</t>
        </is>
      </c>
      <c r="F8461" s="30" t="inlineStr">
        <is>
          <t>2019</t>
        </is>
      </c>
      <c r="G8461" s="40" t="n">
        <v>3829353.92</v>
      </c>
    </row>
    <row r="8462" ht="12" customHeight="1">
      <c r="A8462" s="30" t="inlineStr">
        <is>
          <t>ITG</t>
        </is>
      </c>
      <c r="B8462" s="30" t="inlineStr">
        <is>
          <t>Itaguai</t>
        </is>
      </c>
      <c r="C8462" s="30" t="n">
        <v>86876906</v>
      </c>
      <c r="D8462" s="30">
        <f>"33200056039789"</f>
        <v/>
      </c>
      <c r="E8462" s="30" t="inlineStr">
        <is>
          <t>LOJAS RIACHUELO SA</t>
        </is>
      </c>
      <c r="F8462" s="30" t="inlineStr">
        <is>
          <t>2020</t>
        </is>
      </c>
      <c r="G8462" s="40" t="n">
        <v>3415495.91</v>
      </c>
    </row>
    <row r="8463" ht="12" customHeight="1">
      <c r="A8463" s="30" t="inlineStr">
        <is>
          <t>ITG</t>
        </is>
      </c>
      <c r="B8463" s="30" t="inlineStr">
        <is>
          <t>Itaguai</t>
        </is>
      </c>
      <c r="C8463" s="30" t="n">
        <v>86876906</v>
      </c>
      <c r="D8463" s="30">
        <f>"33200056039789"</f>
        <v/>
      </c>
      <c r="E8463" s="30" t="inlineStr">
        <is>
          <t>LOJAS RIACHUELO SA</t>
        </is>
      </c>
      <c r="F8463" s="30" t="inlineStr">
        <is>
          <t>2021</t>
        </is>
      </c>
      <c r="G8463" s="40" t="n">
        <v>4497060.47</v>
      </c>
    </row>
    <row r="8464" ht="12" customHeight="1">
      <c r="A8464" s="30" t="inlineStr">
        <is>
          <t>ITG</t>
        </is>
      </c>
      <c r="B8464" s="30" t="inlineStr">
        <is>
          <t>Itaguai</t>
        </is>
      </c>
      <c r="C8464" s="30" t="n">
        <v>86876906</v>
      </c>
      <c r="D8464" s="30">
        <f>"33200056039789"</f>
        <v/>
      </c>
      <c r="E8464" s="30" t="inlineStr">
        <is>
          <t>LOJAS RIACHUELO SA</t>
        </is>
      </c>
      <c r="F8464" s="30" t="inlineStr">
        <is>
          <t>2022</t>
        </is>
      </c>
      <c r="G8464" s="40" t="n">
        <v>4595394.71</v>
      </c>
    </row>
    <row r="8465" ht="12" customHeight="1">
      <c r="A8465" s="30" t="inlineStr">
        <is>
          <t>ITG</t>
        </is>
      </c>
      <c r="B8465" s="30" t="inlineStr">
        <is>
          <t>Itaguai</t>
        </is>
      </c>
      <c r="C8465" s="30" t="n">
        <v>86876906</v>
      </c>
      <c r="D8465" s="30">
        <f>"33200056039789"</f>
        <v/>
      </c>
      <c r="E8465" s="30" t="inlineStr">
        <is>
          <t>LOJAS RIACHUELO SA</t>
        </is>
      </c>
      <c r="F8465" s="30" t="inlineStr">
        <is>
          <t>2023</t>
        </is>
      </c>
      <c r="G8465" s="40" t="n">
        <v>4927284.64</v>
      </c>
    </row>
    <row r="8466" ht="12" customHeight="1">
      <c r="A8466" s="30" t="inlineStr">
        <is>
          <t>ITG</t>
        </is>
      </c>
      <c r="B8466" s="30" t="inlineStr">
        <is>
          <t>Itaguai</t>
        </is>
      </c>
      <c r="C8466" s="30" t="n">
        <v>86877600</v>
      </c>
      <c r="D8466" s="30">
        <f>"03887324000858"</f>
        <v/>
      </c>
      <c r="E8466" s="30" t="inlineStr">
        <is>
          <t>ADIMAX - INDUSTRIA E COMERCIO DE ALIMENTOS LTDA</t>
        </is>
      </c>
      <c r="F8466" s="30" t="inlineStr">
        <is>
          <t>2017</t>
        </is>
      </c>
      <c r="G8466" s="40" t="n">
        <v>3469902.14</v>
      </c>
    </row>
    <row r="8467" ht="12" customHeight="1">
      <c r="A8467" s="30" t="inlineStr">
        <is>
          <t>ITG</t>
        </is>
      </c>
      <c r="B8467" s="30" t="inlineStr">
        <is>
          <t>Itaguai</t>
        </is>
      </c>
      <c r="C8467" s="30" t="n">
        <v>86877600</v>
      </c>
      <c r="D8467" s="30">
        <f>"03887324000858"</f>
        <v/>
      </c>
      <c r="E8467" s="30" t="inlineStr">
        <is>
          <t>ADIMAX - INDUSTRIA E COMERCIO DE ALIMENTOS LTDA</t>
        </is>
      </c>
      <c r="F8467" s="30" t="inlineStr">
        <is>
          <t>2018</t>
        </is>
      </c>
      <c r="G8467" s="40" t="n">
        <v>0</v>
      </c>
    </row>
    <row r="8468" ht="12" customHeight="1">
      <c r="A8468" s="30" t="inlineStr">
        <is>
          <t>ITG</t>
        </is>
      </c>
      <c r="B8468" s="30" t="inlineStr">
        <is>
          <t>Itaguai</t>
        </is>
      </c>
      <c r="C8468" s="30" t="n">
        <v>86877600</v>
      </c>
      <c r="D8468" s="30">
        <f>"03887324000858"</f>
        <v/>
      </c>
      <c r="E8468" s="30" t="inlineStr">
        <is>
          <t>ADIMAX - INDUSTRIA E COMERCIO DE ALIMENTOS LTDA</t>
        </is>
      </c>
      <c r="F8468" s="30" t="inlineStr">
        <is>
          <t>2019</t>
        </is>
      </c>
      <c r="G8468" s="40" t="n">
        <v>0</v>
      </c>
    </row>
    <row r="8469" ht="12" customHeight="1">
      <c r="A8469" s="30" t="inlineStr">
        <is>
          <t>ITG</t>
        </is>
      </c>
      <c r="B8469" s="30" t="inlineStr">
        <is>
          <t>Itaguai</t>
        </is>
      </c>
      <c r="C8469" s="30" t="n">
        <v>86877600</v>
      </c>
      <c r="D8469" s="30">
        <f>"03887324000858"</f>
        <v/>
      </c>
      <c r="E8469" s="30" t="inlineStr">
        <is>
          <t>ADIMAX - INDUSTRIA E COMERCIO DE ALIMENTOS LTDA</t>
        </is>
      </c>
      <c r="F8469" s="30" t="inlineStr">
        <is>
          <t>2020</t>
        </is>
      </c>
      <c r="G8469" s="40" t="n">
        <v>0</v>
      </c>
    </row>
    <row r="8470" ht="12" customHeight="1">
      <c r="A8470" s="30" t="inlineStr">
        <is>
          <t>ITG</t>
        </is>
      </c>
      <c r="B8470" s="30" t="inlineStr">
        <is>
          <t>Itaguai</t>
        </is>
      </c>
      <c r="C8470" s="30" t="n">
        <v>86877732</v>
      </c>
      <c r="D8470" s="30">
        <f>"21899800000166"</f>
        <v/>
      </c>
      <c r="E8470" s="30" t="inlineStr">
        <is>
          <t>LOPES E SILVA COMERCIO DE VEICULOS LTDA ME</t>
        </is>
      </c>
      <c r="F8470" s="30" t="inlineStr">
        <is>
          <t>2017</t>
        </is>
      </c>
      <c r="G8470" s="40" t="n">
        <v>0</v>
      </c>
    </row>
    <row r="8471" ht="12" customHeight="1">
      <c r="A8471" s="30" t="inlineStr">
        <is>
          <t>ITG</t>
        </is>
      </c>
      <c r="B8471" s="30" t="inlineStr">
        <is>
          <t>Itaguai</t>
        </is>
      </c>
      <c r="C8471" s="30" t="n">
        <v>86877732</v>
      </c>
      <c r="D8471" s="30">
        <f>"21899800000166"</f>
        <v/>
      </c>
      <c r="E8471" s="30" t="inlineStr">
        <is>
          <t>LOPES E SILVA COMERCIO DE VEICULOS LTDA ME</t>
        </is>
      </c>
      <c r="F8471" s="30" t="inlineStr">
        <is>
          <t>2018</t>
        </is>
      </c>
      <c r="G8471" s="40" t="n">
        <v>0</v>
      </c>
    </row>
    <row r="8472" ht="12" customHeight="1">
      <c r="A8472" s="30" t="inlineStr">
        <is>
          <t>ITG</t>
        </is>
      </c>
      <c r="B8472" s="30" t="inlineStr">
        <is>
          <t>Itaguai</t>
        </is>
      </c>
      <c r="C8472" s="30" t="n">
        <v>86877732</v>
      </c>
      <c r="D8472" s="30">
        <f>"21899800000166"</f>
        <v/>
      </c>
      <c r="E8472" s="30" t="inlineStr">
        <is>
          <t>LOPES E SILVA COMERCIO DE VEICULOS LTDA ME</t>
        </is>
      </c>
      <c r="F8472" s="30" t="inlineStr">
        <is>
          <t>2019</t>
        </is>
      </c>
      <c r="G8472" s="40" t="n">
        <v>0</v>
      </c>
    </row>
    <row r="8473" ht="12" customHeight="1">
      <c r="A8473" s="30" t="inlineStr">
        <is>
          <t>ITG</t>
        </is>
      </c>
      <c r="B8473" s="30" t="inlineStr">
        <is>
          <t>Itaguai</t>
        </is>
      </c>
      <c r="C8473" s="30" t="n">
        <v>86877732</v>
      </c>
      <c r="D8473" s="30">
        <f>"21899800000166"</f>
        <v/>
      </c>
      <c r="E8473" s="30" t="inlineStr">
        <is>
          <t>LOPES E SILVA COMERCIO DE VEICULOS LTDA ME</t>
        </is>
      </c>
      <c r="F8473" s="30" t="inlineStr">
        <is>
          <t>2020</t>
        </is>
      </c>
      <c r="G8473" s="40" t="n">
        <v>0</v>
      </c>
    </row>
    <row r="8474" ht="12" customHeight="1">
      <c r="A8474" s="30" t="inlineStr">
        <is>
          <t>ITG</t>
        </is>
      </c>
      <c r="B8474" s="30" t="inlineStr">
        <is>
          <t>Itaguai</t>
        </is>
      </c>
      <c r="C8474" s="30" t="n">
        <v>86877732</v>
      </c>
      <c r="D8474" s="30">
        <f>"21899800000166"</f>
        <v/>
      </c>
      <c r="E8474" s="30" t="inlineStr">
        <is>
          <t>LOPES E SILVA COMERCIO DE VEICULOS LTDA ME</t>
        </is>
      </c>
      <c r="F8474" s="30" t="inlineStr">
        <is>
          <t>2021</t>
        </is>
      </c>
      <c r="G8474" s="40" t="n">
        <v>0</v>
      </c>
    </row>
    <row r="8475" ht="12" customHeight="1">
      <c r="A8475" s="30" t="inlineStr">
        <is>
          <t>ITG</t>
        </is>
      </c>
      <c r="B8475" s="30" t="inlineStr">
        <is>
          <t>Itaguai</t>
        </is>
      </c>
      <c r="C8475" s="30" t="n">
        <v>86877732</v>
      </c>
      <c r="D8475" s="30">
        <f>"21899800000166"</f>
        <v/>
      </c>
      <c r="E8475" s="30" t="inlineStr">
        <is>
          <t>LOPES E SILVA COMERCIO DE VEICULOS LTDA ME</t>
        </is>
      </c>
      <c r="F8475" s="30" t="inlineStr">
        <is>
          <t>2022</t>
        </is>
      </c>
      <c r="G8475" s="40" t="n">
        <v>0</v>
      </c>
    </row>
    <row r="8476" ht="12" customHeight="1">
      <c r="A8476" s="30" t="inlineStr">
        <is>
          <t>ITG</t>
        </is>
      </c>
      <c r="B8476" s="30" t="inlineStr">
        <is>
          <t>Itaguai</t>
        </is>
      </c>
      <c r="C8476" s="30" t="n">
        <v>86877732</v>
      </c>
      <c r="D8476" s="30">
        <f>"21899800000166"</f>
        <v/>
      </c>
      <c r="E8476" s="30" t="inlineStr">
        <is>
          <t>LOPES E SILVA COMERCIO DE VEICULOS LTDA ME</t>
        </is>
      </c>
      <c r="F8476" s="30" t="inlineStr">
        <is>
          <t>2023</t>
        </is>
      </c>
      <c r="G8476" s="40" t="n">
        <v>0</v>
      </c>
    </row>
    <row r="8477" ht="12" customHeight="1">
      <c r="A8477" s="30" t="inlineStr">
        <is>
          <t>ITG</t>
        </is>
      </c>
      <c r="B8477" s="30" t="inlineStr">
        <is>
          <t>Itaguai</t>
        </is>
      </c>
      <c r="C8477" s="30" t="n">
        <v>86877759</v>
      </c>
      <c r="D8477" s="30">
        <f>"21892618000183"</f>
        <v/>
      </c>
      <c r="E8477" s="30" t="inlineStr">
        <is>
          <t>C O RIBEIRO ROMANELI RESTAURANTE</t>
        </is>
      </c>
      <c r="F8477" s="30" t="inlineStr">
        <is>
          <t>2018</t>
        </is>
      </c>
      <c r="G8477" s="40" t="n">
        <v>0</v>
      </c>
    </row>
    <row r="8478" ht="12" customHeight="1">
      <c r="A8478" s="30" t="inlineStr">
        <is>
          <t>ITG</t>
        </is>
      </c>
      <c r="B8478" s="30" t="inlineStr">
        <is>
          <t>Itaguai</t>
        </is>
      </c>
      <c r="C8478" s="30" t="n">
        <v>86877759</v>
      </c>
      <c r="D8478" s="30">
        <f>"21892618000183"</f>
        <v/>
      </c>
      <c r="E8478" s="30" t="inlineStr">
        <is>
          <t>C O RIBEIRO ROMANELI RESTAURANTE</t>
        </is>
      </c>
      <c r="F8478" s="30" t="inlineStr">
        <is>
          <t>2019</t>
        </is>
      </c>
      <c r="G8478" s="40" t="n">
        <v>0</v>
      </c>
    </row>
    <row r="8479" ht="12" customHeight="1">
      <c r="A8479" s="30" t="inlineStr">
        <is>
          <t>ITG</t>
        </is>
      </c>
      <c r="B8479" s="30" t="inlineStr">
        <is>
          <t>Itaguai</t>
        </is>
      </c>
      <c r="C8479" s="30" t="n">
        <v>86877759</v>
      </c>
      <c r="D8479" s="30">
        <f>"21892618000183"</f>
        <v/>
      </c>
      <c r="E8479" s="30" t="inlineStr">
        <is>
          <t>C O RIBEIRO ROMANELI RESTAURANTE</t>
        </is>
      </c>
      <c r="F8479" s="30" t="inlineStr">
        <is>
          <t>2020</t>
        </is>
      </c>
      <c r="G8479" s="40" t="n">
        <v>0</v>
      </c>
    </row>
    <row r="8480" ht="12" customHeight="1">
      <c r="A8480" s="30" t="inlineStr">
        <is>
          <t>ITG</t>
        </is>
      </c>
      <c r="B8480" s="30" t="inlineStr">
        <is>
          <t>Itaguai</t>
        </is>
      </c>
      <c r="C8480" s="30" t="n">
        <v>86877759</v>
      </c>
      <c r="D8480" s="30">
        <f>"21892618000183"</f>
        <v/>
      </c>
      <c r="E8480" s="30" t="inlineStr">
        <is>
          <t>C O RIBEIRO ROMANELI RESTAURANTE</t>
        </is>
      </c>
      <c r="F8480" s="30" t="inlineStr">
        <is>
          <t>2021</t>
        </is>
      </c>
      <c r="G8480" s="40" t="n">
        <v>0</v>
      </c>
    </row>
    <row r="8481" ht="12" customHeight="1">
      <c r="A8481" s="30" t="inlineStr">
        <is>
          <t>ITG</t>
        </is>
      </c>
      <c r="B8481" s="30" t="inlineStr">
        <is>
          <t>Itaguai</t>
        </is>
      </c>
      <c r="C8481" s="30" t="n">
        <v>86877759</v>
      </c>
      <c r="D8481" s="30">
        <f>"21892618000183"</f>
        <v/>
      </c>
      <c r="E8481" s="30" t="inlineStr">
        <is>
          <t>C O RIBEIRO ROMANELI RESTAURANTE</t>
        </is>
      </c>
      <c r="F8481" s="30" t="inlineStr">
        <is>
          <t>2022</t>
        </is>
      </c>
      <c r="G8481" s="40" t="n">
        <v>0</v>
      </c>
    </row>
    <row r="8482" ht="12" customHeight="1">
      <c r="A8482" s="30" t="inlineStr">
        <is>
          <t>ITG</t>
        </is>
      </c>
      <c r="B8482" s="30" t="inlineStr">
        <is>
          <t>Itaguai</t>
        </is>
      </c>
      <c r="C8482" s="30" t="n">
        <v>86877759</v>
      </c>
      <c r="D8482" s="30">
        <f>"21892618000183"</f>
        <v/>
      </c>
      <c r="E8482" s="30" t="inlineStr">
        <is>
          <t>C O RIBEIRO ROMANELI RESTAURANTE</t>
        </is>
      </c>
      <c r="F8482" s="30" t="inlineStr">
        <is>
          <t>2023</t>
        </is>
      </c>
      <c r="G8482" s="40" t="n">
        <v>0</v>
      </c>
    </row>
    <row r="8483" ht="12" customHeight="1">
      <c r="A8483" s="30" t="inlineStr">
        <is>
          <t>ITG</t>
        </is>
      </c>
      <c r="B8483" s="30" t="inlineStr">
        <is>
          <t>Itaguai</t>
        </is>
      </c>
      <c r="C8483" s="30" t="n">
        <v>86879344</v>
      </c>
      <c r="D8483" s="30">
        <f>"05886614003666"</f>
        <v/>
      </c>
      <c r="E8483" s="30" t="inlineStr">
        <is>
          <t>DIRECT EXPRESS LOGISTICA INTEGRADA S/A</t>
        </is>
      </c>
      <c r="F8483" s="30" t="inlineStr">
        <is>
          <t>2017</t>
        </is>
      </c>
      <c r="G8483" s="40" t="n">
        <v>923.71</v>
      </c>
    </row>
    <row r="8484" ht="12" customHeight="1">
      <c r="A8484" s="30" t="inlineStr">
        <is>
          <t>ITG</t>
        </is>
      </c>
      <c r="B8484" s="30" t="inlineStr">
        <is>
          <t>Itaguai</t>
        </is>
      </c>
      <c r="C8484" s="30" t="n">
        <v>86879344</v>
      </c>
      <c r="D8484" s="30">
        <f>"05886614003666"</f>
        <v/>
      </c>
      <c r="E8484" s="30" t="inlineStr">
        <is>
          <t>DIRECT EXPRESS LOGISTICA INTEGRADA S/A</t>
        </is>
      </c>
      <c r="F8484" s="30" t="inlineStr">
        <is>
          <t>2018</t>
        </is>
      </c>
      <c r="G8484" s="40" t="n">
        <v>0</v>
      </c>
    </row>
    <row r="8485" ht="12" customHeight="1">
      <c r="A8485" s="30" t="inlineStr">
        <is>
          <t>ITG</t>
        </is>
      </c>
      <c r="B8485" s="30" t="inlineStr">
        <is>
          <t>Itaguai</t>
        </is>
      </c>
      <c r="C8485" s="30" t="n">
        <v>86879344</v>
      </c>
      <c r="D8485" s="30">
        <f>"05886614003666"</f>
        <v/>
      </c>
      <c r="E8485" s="30" t="inlineStr">
        <is>
          <t>DIRECT EXPRESS LOGISTICA INTEGRADA S/A</t>
        </is>
      </c>
      <c r="F8485" s="30" t="inlineStr">
        <is>
          <t>2019</t>
        </is>
      </c>
      <c r="G8485" s="40" t="n">
        <v>0</v>
      </c>
    </row>
    <row r="8486" ht="12" customHeight="1">
      <c r="A8486" s="30" t="inlineStr">
        <is>
          <t>ITG</t>
        </is>
      </c>
      <c r="B8486" s="30" t="inlineStr">
        <is>
          <t>Itaguai</t>
        </is>
      </c>
      <c r="C8486" s="30" t="n">
        <v>86882566</v>
      </c>
      <c r="D8486" s="30">
        <f>"08680888001134"</f>
        <v/>
      </c>
      <c r="E8486" s="30" t="inlineStr">
        <is>
          <t>MSC MEDITERRANEAN LOGISTICA LTDA</t>
        </is>
      </c>
      <c r="F8486" s="30" t="inlineStr">
        <is>
          <t>2017</t>
        </is>
      </c>
      <c r="G8486" s="40" t="n">
        <v>0</v>
      </c>
    </row>
    <row r="8487" ht="12" customHeight="1">
      <c r="A8487" s="30" t="inlineStr">
        <is>
          <t>ITG</t>
        </is>
      </c>
      <c r="B8487" s="30" t="inlineStr">
        <is>
          <t>Itaguai</t>
        </is>
      </c>
      <c r="C8487" s="30" t="n">
        <v>86882566</v>
      </c>
      <c r="D8487" s="30">
        <f>"08680888001134"</f>
        <v/>
      </c>
      <c r="E8487" s="30" t="inlineStr">
        <is>
          <t>MSC MEDITERRANEAN LOGISTICA LTDA</t>
        </is>
      </c>
      <c r="F8487" s="30" t="inlineStr">
        <is>
          <t>2018</t>
        </is>
      </c>
      <c r="G8487" s="40" t="n">
        <v>3043.32</v>
      </c>
    </row>
    <row r="8488" ht="12" customHeight="1">
      <c r="A8488" s="30" t="inlineStr">
        <is>
          <t>ITG</t>
        </is>
      </c>
      <c r="B8488" s="30" t="inlineStr">
        <is>
          <t>Itaguai</t>
        </is>
      </c>
      <c r="C8488" s="30" t="n">
        <v>86882566</v>
      </c>
      <c r="D8488" s="30">
        <f>"08680888001134"</f>
        <v/>
      </c>
      <c r="E8488" s="30" t="inlineStr">
        <is>
          <t>MSC MEDITERRANEAN LOGISTICA LTDA</t>
        </is>
      </c>
      <c r="F8488" s="30" t="inlineStr">
        <is>
          <t>2019</t>
        </is>
      </c>
      <c r="G8488" s="40" t="n">
        <v>0</v>
      </c>
    </row>
    <row r="8489" ht="12" customHeight="1">
      <c r="A8489" s="30" t="inlineStr">
        <is>
          <t>ITG</t>
        </is>
      </c>
      <c r="B8489" s="30" t="inlineStr">
        <is>
          <t>Itaguai</t>
        </is>
      </c>
      <c r="C8489" s="30" t="n">
        <v>86882566</v>
      </c>
      <c r="D8489" s="30">
        <f>"08680888001134"</f>
        <v/>
      </c>
      <c r="E8489" s="30" t="inlineStr">
        <is>
          <t>MSC MEDITERRANEAN LOGISTICA LTDA</t>
        </is>
      </c>
      <c r="F8489" s="30" t="inlineStr">
        <is>
          <t>2020</t>
        </is>
      </c>
      <c r="G8489" s="40" t="n">
        <v>650</v>
      </c>
    </row>
    <row r="8490" ht="12" customHeight="1">
      <c r="A8490" s="30" t="inlineStr">
        <is>
          <t>ITG</t>
        </is>
      </c>
      <c r="B8490" s="30" t="inlineStr">
        <is>
          <t>Itaguai</t>
        </is>
      </c>
      <c r="C8490" s="30" t="n">
        <v>86882566</v>
      </c>
      <c r="D8490" s="30">
        <f>"08680888001134"</f>
        <v/>
      </c>
      <c r="E8490" s="30" t="inlineStr">
        <is>
          <t>MSC MEDITERRANEAN LOGISTICA LTDA</t>
        </is>
      </c>
      <c r="F8490" s="30" t="inlineStr">
        <is>
          <t>2021</t>
        </is>
      </c>
      <c r="G8490" s="40" t="n">
        <v>0</v>
      </c>
    </row>
    <row r="8491" ht="12" customHeight="1">
      <c r="A8491" s="30" t="inlineStr">
        <is>
          <t>ITG</t>
        </is>
      </c>
      <c r="B8491" s="30" t="inlineStr">
        <is>
          <t>Itaguai</t>
        </is>
      </c>
      <c r="C8491" s="30" t="n">
        <v>86882566</v>
      </c>
      <c r="D8491" s="30">
        <f>"08680888001134"</f>
        <v/>
      </c>
      <c r="E8491" s="30" t="inlineStr">
        <is>
          <t>MSC MEDITERRANEAN LOGISTICA LTDA</t>
        </is>
      </c>
      <c r="F8491" s="30" t="inlineStr">
        <is>
          <t>2022</t>
        </is>
      </c>
      <c r="G8491" s="40" t="n">
        <v>0</v>
      </c>
    </row>
    <row r="8492" ht="12" customHeight="1">
      <c r="A8492" s="30" t="inlineStr">
        <is>
          <t>ITG</t>
        </is>
      </c>
      <c r="B8492" s="30" t="inlineStr">
        <is>
          <t>Itaguai</t>
        </is>
      </c>
      <c r="C8492" s="30" t="n">
        <v>86893320</v>
      </c>
      <c r="D8492" s="30">
        <f>"56105166000208"</f>
        <v/>
      </c>
      <c r="E8492" s="30" t="inlineStr">
        <is>
          <t>LORENVEL TRANSPORTES LTDA</t>
        </is>
      </c>
      <c r="F8492" s="30" t="inlineStr">
        <is>
          <t>2017</t>
        </is>
      </c>
      <c r="G8492" s="40" t="n">
        <v>0</v>
      </c>
    </row>
    <row r="8493" ht="12" customHeight="1">
      <c r="A8493" s="30" t="inlineStr">
        <is>
          <t>ITG</t>
        </is>
      </c>
      <c r="B8493" s="30" t="inlineStr">
        <is>
          <t>Itaguai</t>
        </is>
      </c>
      <c r="C8493" s="30" t="n">
        <v>86893320</v>
      </c>
      <c r="D8493" s="30">
        <f>"56105166000208"</f>
        <v/>
      </c>
      <c r="E8493" s="30" t="inlineStr">
        <is>
          <t>LORENVEL TRANSPORTES LTDA</t>
        </is>
      </c>
      <c r="F8493" s="30" t="inlineStr">
        <is>
          <t>2018</t>
        </is>
      </c>
      <c r="G8493" s="40" t="n">
        <v>9600</v>
      </c>
    </row>
    <row r="8494" ht="12" customHeight="1">
      <c r="A8494" s="30" t="inlineStr">
        <is>
          <t>ITG</t>
        </is>
      </c>
      <c r="B8494" s="30" t="inlineStr">
        <is>
          <t>Itaguai</t>
        </is>
      </c>
      <c r="C8494" s="30" t="n">
        <v>86893320</v>
      </c>
      <c r="D8494" s="30">
        <f>"56105166000208"</f>
        <v/>
      </c>
      <c r="E8494" s="30" t="inlineStr">
        <is>
          <t>LORENVEL TRANSPORTES LTDA</t>
        </is>
      </c>
      <c r="F8494" s="30" t="inlineStr">
        <is>
          <t>2019</t>
        </is>
      </c>
      <c r="G8494" s="40" t="n">
        <v>1200</v>
      </c>
    </row>
    <row r="8495" ht="12" customHeight="1">
      <c r="A8495" s="30" t="inlineStr">
        <is>
          <t>ITG</t>
        </is>
      </c>
      <c r="B8495" s="30" t="inlineStr">
        <is>
          <t>Itaguai</t>
        </is>
      </c>
      <c r="C8495" s="30" t="n">
        <v>86893320</v>
      </c>
      <c r="D8495" s="30">
        <f>"56105166000208"</f>
        <v/>
      </c>
      <c r="E8495" s="30" t="inlineStr">
        <is>
          <t>LORENVEL TRANSPORTES LTDA</t>
        </is>
      </c>
      <c r="F8495" s="30" t="inlineStr">
        <is>
          <t>2020</t>
        </is>
      </c>
      <c r="G8495" s="40" t="n">
        <v>0</v>
      </c>
    </row>
    <row r="8496" ht="12" customHeight="1">
      <c r="A8496" s="30" t="inlineStr">
        <is>
          <t>ITG</t>
        </is>
      </c>
      <c r="B8496" s="30" t="inlineStr">
        <is>
          <t>Itaguai</t>
        </is>
      </c>
      <c r="C8496" s="30" t="n">
        <v>86893320</v>
      </c>
      <c r="D8496" s="30">
        <f>"56105166000208"</f>
        <v/>
      </c>
      <c r="E8496" s="30" t="inlineStr">
        <is>
          <t>LORENVEL TRANSPORTES LTDA</t>
        </is>
      </c>
      <c r="F8496" s="30" t="inlineStr">
        <is>
          <t>2021</t>
        </is>
      </c>
      <c r="G8496" s="40" t="n">
        <v>0</v>
      </c>
    </row>
    <row r="8497" ht="12" customHeight="1">
      <c r="A8497" s="30" t="inlineStr">
        <is>
          <t>ITG</t>
        </is>
      </c>
      <c r="B8497" s="30" t="inlineStr">
        <is>
          <t>Itaguai</t>
        </is>
      </c>
      <c r="C8497" s="30" t="n">
        <v>86901684</v>
      </c>
      <c r="D8497" s="30">
        <f>"22199023000100"</f>
        <v/>
      </c>
      <c r="E8497" s="30" t="inlineStr">
        <is>
          <t>CONSCIENTIZE SOLUCOES AMBIENTAIS LTDA</t>
        </is>
      </c>
      <c r="F8497" s="30" t="inlineStr">
        <is>
          <t>2017</t>
        </is>
      </c>
      <c r="G8497" s="40" t="n">
        <v>0</v>
      </c>
    </row>
    <row r="8498" ht="12" customHeight="1">
      <c r="A8498" s="30" t="inlineStr">
        <is>
          <t>ITG</t>
        </is>
      </c>
      <c r="B8498" s="30" t="inlineStr">
        <is>
          <t>Itaguai</t>
        </is>
      </c>
      <c r="C8498" s="30" t="n">
        <v>86901684</v>
      </c>
      <c r="D8498" s="30">
        <f>"22199023000100"</f>
        <v/>
      </c>
      <c r="E8498" s="30" t="inlineStr">
        <is>
          <t>CONSCIENTIZE SOLUCOES AMBIENTAIS LTDA</t>
        </is>
      </c>
      <c r="F8498" s="30" t="inlineStr">
        <is>
          <t>2018</t>
        </is>
      </c>
      <c r="G8498" s="40" t="n">
        <v>0</v>
      </c>
    </row>
    <row r="8499" ht="12" customHeight="1">
      <c r="A8499" s="30" t="inlineStr">
        <is>
          <t>ITG</t>
        </is>
      </c>
      <c r="B8499" s="30" t="inlineStr">
        <is>
          <t>Itaguai</t>
        </is>
      </c>
      <c r="C8499" s="30" t="n">
        <v>86901684</v>
      </c>
      <c r="D8499" s="30">
        <f>"22199023000100"</f>
        <v/>
      </c>
      <c r="E8499" s="30" t="inlineStr">
        <is>
          <t>CONSCIENTIZE SOLUCOES AMBIENTAIS LTDA</t>
        </is>
      </c>
      <c r="F8499" s="30" t="inlineStr">
        <is>
          <t>2019</t>
        </is>
      </c>
      <c r="G8499" s="40" t="n">
        <v>800</v>
      </c>
    </row>
    <row r="8500" ht="12" customHeight="1">
      <c r="A8500" s="30" t="inlineStr">
        <is>
          <t>ITG</t>
        </is>
      </c>
      <c r="B8500" s="30" t="inlineStr">
        <is>
          <t>Itaguai</t>
        </is>
      </c>
      <c r="C8500" s="30" t="n">
        <v>86901684</v>
      </c>
      <c r="D8500" s="30">
        <f>"22199023000100"</f>
        <v/>
      </c>
      <c r="E8500" s="30" t="inlineStr">
        <is>
          <t>CONSCIENTIZE SOLUCOES AMBIENTAIS LTDA</t>
        </is>
      </c>
      <c r="F8500" s="30" t="inlineStr">
        <is>
          <t>2020</t>
        </is>
      </c>
      <c r="G8500" s="40" t="n">
        <v>0</v>
      </c>
    </row>
    <row r="8501" ht="12" customHeight="1">
      <c r="A8501" s="30" t="inlineStr">
        <is>
          <t>ITG</t>
        </is>
      </c>
      <c r="B8501" s="30" t="inlineStr">
        <is>
          <t>Itaguai</t>
        </is>
      </c>
      <c r="C8501" s="30" t="n">
        <v>86901684</v>
      </c>
      <c r="D8501" s="30">
        <f>"22199023000100"</f>
        <v/>
      </c>
      <c r="E8501" s="30" t="inlineStr">
        <is>
          <t>CONSCIENTIZE SOLUCOES AMBIENTAIS LTDA</t>
        </is>
      </c>
      <c r="F8501" s="30" t="inlineStr">
        <is>
          <t>2021</t>
        </is>
      </c>
      <c r="G8501" s="40" t="n">
        <v>0</v>
      </c>
    </row>
    <row r="8502" ht="12" customHeight="1">
      <c r="A8502" s="30" t="inlineStr">
        <is>
          <t>ITG</t>
        </is>
      </c>
      <c r="B8502" s="30" t="inlineStr">
        <is>
          <t>Itaguai</t>
        </is>
      </c>
      <c r="C8502" s="30" t="n">
        <v>86903733</v>
      </c>
      <c r="D8502" s="30">
        <f>"13872662000950"</f>
        <v/>
      </c>
      <c r="E8502" s="30" t="inlineStr">
        <is>
          <t>ORSI LOGISTICA S.A.</t>
        </is>
      </c>
      <c r="F8502" s="30" t="inlineStr">
        <is>
          <t>2017</t>
        </is>
      </c>
      <c r="G8502" s="40" t="n">
        <v>17378.56</v>
      </c>
    </row>
    <row r="8503" ht="12" customHeight="1">
      <c r="A8503" s="30" t="inlineStr">
        <is>
          <t>ITG</t>
        </is>
      </c>
      <c r="B8503" s="30" t="inlineStr">
        <is>
          <t>Itaguai</t>
        </is>
      </c>
      <c r="C8503" s="30" t="n">
        <v>86903733</v>
      </c>
      <c r="D8503" s="30">
        <f>"13872662000950"</f>
        <v/>
      </c>
      <c r="E8503" s="30" t="inlineStr">
        <is>
          <t>ORSI LOGISTICA S.A.</t>
        </is>
      </c>
      <c r="F8503" s="30" t="inlineStr">
        <is>
          <t>2018</t>
        </is>
      </c>
      <c r="G8503" s="40" t="n">
        <v>0</v>
      </c>
    </row>
    <row r="8504" ht="12" customHeight="1">
      <c r="A8504" s="30" t="inlineStr">
        <is>
          <t>ITG</t>
        </is>
      </c>
      <c r="B8504" s="30" t="inlineStr">
        <is>
          <t>Itaguai</t>
        </is>
      </c>
      <c r="C8504" s="30" t="n">
        <v>86903733</v>
      </c>
      <c r="D8504" s="30">
        <f>"13872662000950"</f>
        <v/>
      </c>
      <c r="E8504" s="30" t="inlineStr">
        <is>
          <t>ORSI LOGISTICA S.A.</t>
        </is>
      </c>
      <c r="F8504" s="30" t="inlineStr">
        <is>
          <t>2019</t>
        </is>
      </c>
      <c r="G8504" s="40" t="n">
        <v>35507.88</v>
      </c>
    </row>
    <row r="8505" ht="12" customHeight="1">
      <c r="A8505" s="30" t="inlineStr">
        <is>
          <t>ITG</t>
        </is>
      </c>
      <c r="B8505" s="30" t="inlineStr">
        <is>
          <t>Itaguai</t>
        </is>
      </c>
      <c r="C8505" s="30" t="n">
        <v>86903733</v>
      </c>
      <c r="D8505" s="30">
        <f>"13872662000950"</f>
        <v/>
      </c>
      <c r="E8505" s="30" t="inlineStr">
        <is>
          <t>ORSI LOGISTICA S.A.</t>
        </is>
      </c>
      <c r="F8505" s="30" t="inlineStr">
        <is>
          <t>2020</t>
        </is>
      </c>
      <c r="G8505" s="40" t="n">
        <v>4284.93</v>
      </c>
    </row>
    <row r="8506" ht="12" customHeight="1">
      <c r="A8506" s="30" t="inlineStr">
        <is>
          <t>ITG</t>
        </is>
      </c>
      <c r="B8506" s="30" t="inlineStr">
        <is>
          <t>Itaguai</t>
        </is>
      </c>
      <c r="C8506" s="30" t="n">
        <v>86903733</v>
      </c>
      <c r="D8506" s="30">
        <f>"13872662000950"</f>
        <v/>
      </c>
      <c r="E8506" s="30" t="inlineStr">
        <is>
          <t>ORSI LOGISTICA S.A.</t>
        </is>
      </c>
      <c r="F8506" s="30" t="inlineStr">
        <is>
          <t>2021</t>
        </is>
      </c>
      <c r="G8506" s="40" t="n">
        <v>230408.55</v>
      </c>
    </row>
    <row r="8507" ht="12" customHeight="1">
      <c r="A8507" s="30" t="inlineStr">
        <is>
          <t>ITG</t>
        </is>
      </c>
      <c r="B8507" s="30" t="inlineStr">
        <is>
          <t>Itaguai</t>
        </is>
      </c>
      <c r="C8507" s="30" t="n">
        <v>86903733</v>
      </c>
      <c r="D8507" s="30">
        <f>"13872662000950"</f>
        <v/>
      </c>
      <c r="E8507" s="30" t="inlineStr">
        <is>
          <t>ORSI LOGISTICA S.A.</t>
        </is>
      </c>
      <c r="F8507" s="30" t="inlineStr">
        <is>
          <t>2022</t>
        </is>
      </c>
      <c r="G8507" s="40" t="n">
        <v>0</v>
      </c>
    </row>
    <row r="8508" ht="12" customHeight="1">
      <c r="A8508" s="30" t="inlineStr">
        <is>
          <t>ITG</t>
        </is>
      </c>
      <c r="B8508" s="30" t="inlineStr">
        <is>
          <t>Itaguai</t>
        </is>
      </c>
      <c r="C8508" s="30" t="n">
        <v>86903733</v>
      </c>
      <c r="D8508" s="30">
        <f>"13872662000950"</f>
        <v/>
      </c>
      <c r="E8508" s="30" t="inlineStr">
        <is>
          <t>ORSI LOGISTICA S.A.</t>
        </is>
      </c>
      <c r="F8508" s="30" t="inlineStr">
        <is>
          <t>2023</t>
        </is>
      </c>
      <c r="G8508" s="40" t="n">
        <v>0</v>
      </c>
    </row>
    <row r="8509" ht="12" customHeight="1">
      <c r="A8509" s="30" t="inlineStr">
        <is>
          <t>ITG</t>
        </is>
      </c>
      <c r="B8509" s="30" t="inlineStr">
        <is>
          <t>Itaguai</t>
        </is>
      </c>
      <c r="C8509" s="30" t="n">
        <v>86906350</v>
      </c>
      <c r="D8509" s="30">
        <f>"06185738000157"</f>
        <v/>
      </c>
      <c r="E8509" s="30" t="inlineStr">
        <is>
          <t>C&amp;T LOGISTICS AGENTE DE CARGA E TRANSPORTE LTDA</t>
        </is>
      </c>
      <c r="F8509" s="30" t="inlineStr">
        <is>
          <t>2017</t>
        </is>
      </c>
      <c r="G8509" s="40" t="n">
        <v>0</v>
      </c>
    </row>
    <row r="8510" ht="12" customHeight="1">
      <c r="A8510" s="30" t="inlineStr">
        <is>
          <t>ITG</t>
        </is>
      </c>
      <c r="B8510" s="30" t="inlineStr">
        <is>
          <t>Itaguai</t>
        </is>
      </c>
      <c r="C8510" s="30" t="n">
        <v>86906350</v>
      </c>
      <c r="D8510" s="30">
        <f>"06185738000157"</f>
        <v/>
      </c>
      <c r="E8510" s="30" t="inlineStr">
        <is>
          <t>C&amp;T LOGISTICS AGENTE DE CARGA E TRANSPORTE LTDA</t>
        </is>
      </c>
      <c r="F8510" s="30" t="inlineStr">
        <is>
          <t>2018</t>
        </is>
      </c>
      <c r="G8510" s="40" t="n">
        <v>0</v>
      </c>
    </row>
    <row r="8511" ht="12" customHeight="1">
      <c r="A8511" s="30" t="inlineStr">
        <is>
          <t>ITG</t>
        </is>
      </c>
      <c r="B8511" s="30" t="inlineStr">
        <is>
          <t>Itaguai</t>
        </is>
      </c>
      <c r="C8511" s="30" t="n">
        <v>86906350</v>
      </c>
      <c r="D8511" s="30">
        <f>"06185738000157"</f>
        <v/>
      </c>
      <c r="E8511" s="30" t="inlineStr">
        <is>
          <t>C&amp;T LOGISTICS AGENTE DE CARGA E TRANSPORTE LTDA</t>
        </is>
      </c>
      <c r="F8511" s="30" t="inlineStr">
        <is>
          <t>2019</t>
        </is>
      </c>
      <c r="G8511" s="40" t="n">
        <v>1280.88</v>
      </c>
    </row>
    <row r="8512" ht="12" customHeight="1">
      <c r="A8512" s="30" t="inlineStr">
        <is>
          <t>ITG</t>
        </is>
      </c>
      <c r="B8512" s="30" t="inlineStr">
        <is>
          <t>Itaguai</t>
        </is>
      </c>
      <c r="C8512" s="30" t="n">
        <v>86906350</v>
      </c>
      <c r="D8512" s="30">
        <f>"06185738000157"</f>
        <v/>
      </c>
      <c r="E8512" s="30" t="inlineStr">
        <is>
          <t>C&amp;T LOGISTICS AGENTE DE CARGA E TRANSPORTE LTDA</t>
        </is>
      </c>
      <c r="F8512" s="30" t="inlineStr">
        <is>
          <t>2020</t>
        </is>
      </c>
      <c r="G8512" s="40" t="n">
        <v>0</v>
      </c>
    </row>
    <row r="8513" ht="12" customHeight="1">
      <c r="A8513" s="30" t="inlineStr">
        <is>
          <t>ITG</t>
        </is>
      </c>
      <c r="B8513" s="30" t="inlineStr">
        <is>
          <t>Itaguai</t>
        </is>
      </c>
      <c r="C8513" s="30" t="n">
        <v>86906350</v>
      </c>
      <c r="D8513" s="30">
        <f>"06185738000157"</f>
        <v/>
      </c>
      <c r="E8513" s="30" t="inlineStr">
        <is>
          <t>C&amp;T LOGISTICS AGENTE DE CARGA E TRANSPORTE LTDA</t>
        </is>
      </c>
      <c r="F8513" s="30" t="inlineStr">
        <is>
          <t>2021</t>
        </is>
      </c>
      <c r="G8513" s="40" t="n">
        <v>0</v>
      </c>
    </row>
    <row r="8514" ht="12" customHeight="1">
      <c r="A8514" s="30" t="inlineStr">
        <is>
          <t>ITG</t>
        </is>
      </c>
      <c r="B8514" s="30" t="inlineStr">
        <is>
          <t>Itaguai</t>
        </is>
      </c>
      <c r="C8514" s="30" t="n">
        <v>86906350</v>
      </c>
      <c r="D8514" s="30">
        <f>"06185738000157"</f>
        <v/>
      </c>
      <c r="E8514" s="30" t="inlineStr">
        <is>
          <t>C&amp;T LOGISTICS AGENTE DE CARGA E TRANSPORTE LTDA</t>
        </is>
      </c>
      <c r="F8514" s="30" t="inlineStr">
        <is>
          <t>2022</t>
        </is>
      </c>
      <c r="G8514" s="40" t="n">
        <v>3952.43</v>
      </c>
    </row>
    <row r="8515" ht="12" customHeight="1">
      <c r="A8515" s="30" t="inlineStr">
        <is>
          <t>ITG</t>
        </is>
      </c>
      <c r="B8515" s="30" t="inlineStr">
        <is>
          <t>Itaguai</t>
        </is>
      </c>
      <c r="C8515" s="30" t="n">
        <v>86906350</v>
      </c>
      <c r="D8515" s="30">
        <f>"06185738000157"</f>
        <v/>
      </c>
      <c r="E8515" s="30" t="inlineStr">
        <is>
          <t>C&amp;T LOGISTICS AGENTE DE CARGA E TRANSPORTE LTDA</t>
        </is>
      </c>
      <c r="F8515" s="30" t="inlineStr">
        <is>
          <t>2023</t>
        </is>
      </c>
      <c r="G8515" s="40" t="n">
        <v>0</v>
      </c>
    </row>
    <row r="8516" ht="12" customHeight="1">
      <c r="A8516" s="30" t="inlineStr">
        <is>
          <t>ITG</t>
        </is>
      </c>
      <c r="B8516" s="30" t="inlineStr">
        <is>
          <t>Itaguai</t>
        </is>
      </c>
      <c r="C8516" s="30" t="n">
        <v>86907917</v>
      </c>
      <c r="D8516" s="30">
        <f>"72189988001242"</f>
        <v/>
      </c>
      <c r="E8516" s="30" t="inlineStr">
        <is>
          <t>EMPRESA DE ONIBUS ROSA LTDA</t>
        </is>
      </c>
      <c r="F8516" s="30" t="inlineStr">
        <is>
          <t>2017</t>
        </is>
      </c>
      <c r="G8516" s="40" t="n">
        <v>0</v>
      </c>
    </row>
    <row r="8517" ht="12" customHeight="1">
      <c r="A8517" s="30" t="inlineStr">
        <is>
          <t>ITG</t>
        </is>
      </c>
      <c r="B8517" s="30" t="inlineStr">
        <is>
          <t>Itaguai</t>
        </is>
      </c>
      <c r="C8517" s="30" t="n">
        <v>86907917</v>
      </c>
      <c r="D8517" s="30">
        <f>"72189988001242"</f>
        <v/>
      </c>
      <c r="E8517" s="30" t="inlineStr">
        <is>
          <t>EMPRESA DE ONIBUS ROSA LTDA</t>
        </is>
      </c>
      <c r="F8517" s="30" t="inlineStr">
        <is>
          <t>2018</t>
        </is>
      </c>
      <c r="G8517" s="40" t="n">
        <v>0</v>
      </c>
    </row>
    <row r="8518" ht="12" customHeight="1">
      <c r="A8518" s="30" t="inlineStr">
        <is>
          <t>ITG</t>
        </is>
      </c>
      <c r="B8518" s="30" t="inlineStr">
        <is>
          <t>Itaguai</t>
        </is>
      </c>
      <c r="C8518" s="30" t="n">
        <v>86907917</v>
      </c>
      <c r="D8518" s="30">
        <f>"72189988001242"</f>
        <v/>
      </c>
      <c r="E8518" s="30" t="inlineStr">
        <is>
          <t>EMPRESA DE ONIBUS ROSA LTDA</t>
        </is>
      </c>
      <c r="F8518" s="30" t="inlineStr">
        <is>
          <t>2019</t>
        </is>
      </c>
      <c r="G8518" s="40" t="n">
        <v>0</v>
      </c>
    </row>
    <row r="8519" ht="12" customHeight="1">
      <c r="A8519" s="30" t="inlineStr">
        <is>
          <t>ITG</t>
        </is>
      </c>
      <c r="B8519" s="30" t="inlineStr">
        <is>
          <t>Itaguai</t>
        </is>
      </c>
      <c r="C8519" s="30" t="n">
        <v>86907917</v>
      </c>
      <c r="D8519" s="30">
        <f>"72189988001242"</f>
        <v/>
      </c>
      <c r="E8519" s="30" t="inlineStr">
        <is>
          <t>EMPRESA DE ONIBUS ROSA LTDA</t>
        </is>
      </c>
      <c r="F8519" s="30" t="inlineStr">
        <is>
          <t>2020</t>
        </is>
      </c>
      <c r="G8519" s="40" t="n">
        <v>0</v>
      </c>
    </row>
    <row r="8520" ht="12" customHeight="1">
      <c r="A8520" s="30" t="inlineStr">
        <is>
          <t>ITG</t>
        </is>
      </c>
      <c r="B8520" s="30" t="inlineStr">
        <is>
          <t>Itaguai</t>
        </is>
      </c>
      <c r="C8520" s="30" t="n">
        <v>86907917</v>
      </c>
      <c r="D8520" s="30">
        <f>"72189988001242"</f>
        <v/>
      </c>
      <c r="E8520" s="30" t="inlineStr">
        <is>
          <t>EMPRESA DE ONIBUS ROSA LTDA</t>
        </is>
      </c>
      <c r="F8520" s="30" t="inlineStr">
        <is>
          <t>2021</t>
        </is>
      </c>
      <c r="G8520" s="40" t="n">
        <v>0</v>
      </c>
    </row>
    <row r="8521" ht="12" customHeight="1">
      <c r="A8521" s="30" t="inlineStr">
        <is>
          <t>ITG</t>
        </is>
      </c>
      <c r="B8521" s="30" t="inlineStr">
        <is>
          <t>Itaguai</t>
        </is>
      </c>
      <c r="C8521" s="30" t="n">
        <v>86907917</v>
      </c>
      <c r="D8521" s="30">
        <f>"72189988001242"</f>
        <v/>
      </c>
      <c r="E8521" s="30" t="inlineStr">
        <is>
          <t>EMPRESA DE ONIBUS ROSA LTDA</t>
        </is>
      </c>
      <c r="F8521" s="30" t="inlineStr">
        <is>
          <t>2022</t>
        </is>
      </c>
      <c r="G8521" s="40" t="n">
        <v>0</v>
      </c>
    </row>
    <row r="8522" ht="12" customHeight="1">
      <c r="A8522" s="30" t="inlineStr">
        <is>
          <t>ITG</t>
        </is>
      </c>
      <c r="B8522" s="30" t="inlineStr">
        <is>
          <t>Itaguai</t>
        </is>
      </c>
      <c r="C8522" s="30" t="n">
        <v>86907917</v>
      </c>
      <c r="D8522" s="30">
        <f>"72189988001242"</f>
        <v/>
      </c>
      <c r="E8522" s="30" t="inlineStr">
        <is>
          <t>EMPRESA DE ONIBUS ROSA LTDA</t>
        </is>
      </c>
      <c r="F8522" s="30" t="inlineStr">
        <is>
          <t>2023</t>
        </is>
      </c>
      <c r="G8522" s="40" t="n">
        <v>0</v>
      </c>
    </row>
    <row r="8523" ht="12" customHeight="1">
      <c r="A8523" s="30" t="inlineStr">
        <is>
          <t>ITG</t>
        </is>
      </c>
      <c r="B8523" s="30" t="inlineStr">
        <is>
          <t>Itaguai</t>
        </is>
      </c>
      <c r="C8523" s="30" t="n">
        <v>86908816</v>
      </c>
      <c r="D8523" s="30">
        <f>"22162793000188"</f>
        <v/>
      </c>
      <c r="E8523" s="30" t="inlineStr">
        <is>
          <t>CORREA &amp; LIMA CONSTRUTORA LTDA ME</t>
        </is>
      </c>
      <c r="F8523" s="30" t="inlineStr">
        <is>
          <t>2021</t>
        </is>
      </c>
      <c r="G8523" s="40" t="n">
        <v>0</v>
      </c>
    </row>
    <row r="8524" ht="12" customHeight="1">
      <c r="A8524" s="30" t="inlineStr">
        <is>
          <t>ITG</t>
        </is>
      </c>
      <c r="B8524" s="30" t="inlineStr">
        <is>
          <t>Itaguai</t>
        </is>
      </c>
      <c r="C8524" s="30" t="n">
        <v>86908816</v>
      </c>
      <c r="D8524" s="30">
        <f>"22162793000188"</f>
        <v/>
      </c>
      <c r="E8524" s="30" t="inlineStr">
        <is>
          <t>CORREA &amp; LIMA CONSTRUTORA LTDA ME</t>
        </is>
      </c>
      <c r="F8524" s="30" t="inlineStr">
        <is>
          <t>2022</t>
        </is>
      </c>
      <c r="G8524" s="40" t="n">
        <v>0</v>
      </c>
    </row>
    <row r="8525" ht="12" customHeight="1">
      <c r="A8525" s="30" t="inlineStr">
        <is>
          <t>ITG</t>
        </is>
      </c>
      <c r="B8525" s="30" t="inlineStr">
        <is>
          <t>Itaguai</t>
        </is>
      </c>
      <c r="C8525" s="30" t="n">
        <v>86908816</v>
      </c>
      <c r="D8525" s="30">
        <f>"22162793000188"</f>
        <v/>
      </c>
      <c r="E8525" s="30" t="inlineStr">
        <is>
          <t>CORREA &amp; LIMA CONSTRUTORA LTDA ME</t>
        </is>
      </c>
      <c r="F8525" s="30" t="inlineStr">
        <is>
          <t>2023</t>
        </is>
      </c>
      <c r="G8525" s="40" t="n">
        <v>303173.81</v>
      </c>
    </row>
    <row r="8526" ht="12" customHeight="1">
      <c r="A8526" s="30" t="inlineStr">
        <is>
          <t>ITG</t>
        </is>
      </c>
      <c r="B8526" s="30" t="inlineStr">
        <is>
          <t>Itaguai</t>
        </is>
      </c>
      <c r="C8526" s="30" t="n">
        <v>86911922</v>
      </c>
      <c r="D8526" s="30">
        <f>"05593147000660"</f>
        <v/>
      </c>
      <c r="E8526" s="30" t="inlineStr">
        <is>
          <t>VELTEN LOGISTICA E TRANSPORTE LTDA EPP</t>
        </is>
      </c>
      <c r="F8526" s="30" t="inlineStr">
        <is>
          <t>2017</t>
        </is>
      </c>
      <c r="G8526" s="40" t="n">
        <v>124.18</v>
      </c>
    </row>
    <row r="8527" ht="12" customHeight="1">
      <c r="A8527" s="30" t="inlineStr">
        <is>
          <t>ITG</t>
        </is>
      </c>
      <c r="B8527" s="30" t="inlineStr">
        <is>
          <t>Itaguai</t>
        </is>
      </c>
      <c r="C8527" s="30" t="n">
        <v>86911922</v>
      </c>
      <c r="D8527" s="30">
        <f>"05593147000660"</f>
        <v/>
      </c>
      <c r="E8527" s="30" t="inlineStr">
        <is>
          <t>VELTEN LOGISTICA E TRANSPORTE LTDA EPP</t>
        </is>
      </c>
      <c r="F8527" s="30" t="inlineStr">
        <is>
          <t>2018</t>
        </is>
      </c>
      <c r="G8527" s="40" t="n">
        <v>335.12</v>
      </c>
    </row>
    <row r="8528" ht="12" customHeight="1">
      <c r="A8528" s="30" t="inlineStr">
        <is>
          <t>ITG</t>
        </is>
      </c>
      <c r="B8528" s="30" t="inlineStr">
        <is>
          <t>Itaguai</t>
        </is>
      </c>
      <c r="C8528" s="30" t="n">
        <v>86911922</v>
      </c>
      <c r="D8528" s="30">
        <f>"05593147000660"</f>
        <v/>
      </c>
      <c r="E8528" s="30" t="inlineStr">
        <is>
          <t>VELTEN LOGISTICA E TRANSPORTE LTDA EPP</t>
        </is>
      </c>
      <c r="F8528" s="30" t="inlineStr">
        <is>
          <t>2019</t>
        </is>
      </c>
      <c r="G8528" s="40" t="n">
        <v>33.31</v>
      </c>
    </row>
    <row r="8529" ht="12" customHeight="1">
      <c r="A8529" s="30" t="inlineStr">
        <is>
          <t>ITG</t>
        </is>
      </c>
      <c r="B8529" s="30" t="inlineStr">
        <is>
          <t>Itaguai</t>
        </is>
      </c>
      <c r="C8529" s="30" t="n">
        <v>86911922</v>
      </c>
      <c r="D8529" s="30">
        <f>"05593147000660"</f>
        <v/>
      </c>
      <c r="E8529" s="30" t="inlineStr">
        <is>
          <t>VELTEN LOGISTICA E TRANSPORTE LTDA EPP</t>
        </is>
      </c>
      <c r="F8529" s="30" t="inlineStr">
        <is>
          <t>2020</t>
        </is>
      </c>
      <c r="G8529" s="40" t="n">
        <v>0</v>
      </c>
    </row>
    <row r="8530" ht="12" customHeight="1">
      <c r="A8530" s="30" t="inlineStr">
        <is>
          <t>ITG</t>
        </is>
      </c>
      <c r="B8530" s="30" t="inlineStr">
        <is>
          <t>Itaguai</t>
        </is>
      </c>
      <c r="C8530" s="30" t="n">
        <v>86911922</v>
      </c>
      <c r="D8530" s="30">
        <f>"05593147000660"</f>
        <v/>
      </c>
      <c r="E8530" s="30" t="inlineStr">
        <is>
          <t>VELTEN LOGISTICA E TRANSPORTE LTDA EPP</t>
        </is>
      </c>
      <c r="F8530" s="30" t="inlineStr">
        <is>
          <t>2021</t>
        </is>
      </c>
      <c r="G8530" s="40" t="n">
        <v>0</v>
      </c>
    </row>
    <row r="8531" ht="12" customHeight="1">
      <c r="A8531" s="30" t="inlineStr">
        <is>
          <t>ITG</t>
        </is>
      </c>
      <c r="B8531" s="30" t="inlineStr">
        <is>
          <t>Itaguai</t>
        </is>
      </c>
      <c r="C8531" s="30" t="n">
        <v>86932067</v>
      </c>
      <c r="D8531" s="30">
        <f>"22397790000123"</f>
        <v/>
      </c>
      <c r="E8531" s="30" t="inlineStr">
        <is>
          <t>TRANSPORTADORA KARAPITO LTDA</t>
        </is>
      </c>
      <c r="F8531" s="30" t="inlineStr">
        <is>
          <t>2017</t>
        </is>
      </c>
      <c r="G8531" s="40" t="n">
        <v>1740.88</v>
      </c>
    </row>
    <row r="8532" ht="12" customHeight="1">
      <c r="A8532" s="30" t="inlineStr">
        <is>
          <t>ITG</t>
        </is>
      </c>
      <c r="B8532" s="30" t="inlineStr">
        <is>
          <t>Itaguai</t>
        </is>
      </c>
      <c r="C8532" s="30" t="n">
        <v>86932067</v>
      </c>
      <c r="D8532" s="30">
        <f>"22397790000123"</f>
        <v/>
      </c>
      <c r="E8532" s="30" t="inlineStr">
        <is>
          <t>TRANSPORTADORA KARAPITO LTDA</t>
        </is>
      </c>
      <c r="F8532" s="30" t="inlineStr">
        <is>
          <t>2018</t>
        </is>
      </c>
      <c r="G8532" s="40" t="n">
        <v>0</v>
      </c>
    </row>
    <row r="8533" ht="12" customHeight="1">
      <c r="A8533" s="30" t="inlineStr">
        <is>
          <t>ITG</t>
        </is>
      </c>
      <c r="B8533" s="30" t="inlineStr">
        <is>
          <t>Itaguai</t>
        </is>
      </c>
      <c r="C8533" s="30" t="n">
        <v>86932067</v>
      </c>
      <c r="D8533" s="30">
        <f>"22397790000123"</f>
        <v/>
      </c>
      <c r="E8533" s="30" t="inlineStr">
        <is>
          <t>TRANSPORTADORA KARAPITO LTDA</t>
        </is>
      </c>
      <c r="F8533" s="30" t="inlineStr">
        <is>
          <t>2019</t>
        </is>
      </c>
      <c r="G8533" s="40" t="n">
        <v>0</v>
      </c>
    </row>
    <row r="8534" ht="12" customHeight="1">
      <c r="A8534" s="30" t="inlineStr">
        <is>
          <t>ITG</t>
        </is>
      </c>
      <c r="B8534" s="30" t="inlineStr">
        <is>
          <t>Itaguai</t>
        </is>
      </c>
      <c r="C8534" s="30" t="n">
        <v>86932172</v>
      </c>
      <c r="D8534" s="30">
        <f>"21268307000229"</f>
        <v/>
      </c>
      <c r="E8534" s="30" t="inlineStr">
        <is>
          <t>PAUL WURTH DO BRASIL MONTAGENS E MANUTENCAO INDUSTRIAL LTDA</t>
        </is>
      </c>
      <c r="F8534" s="30" t="inlineStr">
        <is>
          <t>2017</t>
        </is>
      </c>
      <c r="G8534" s="40" t="n">
        <v>0</v>
      </c>
    </row>
    <row r="8535" ht="12" customHeight="1">
      <c r="A8535" s="30" t="inlineStr">
        <is>
          <t>ITG</t>
        </is>
      </c>
      <c r="B8535" s="30" t="inlineStr">
        <is>
          <t>Itaguai</t>
        </is>
      </c>
      <c r="C8535" s="30" t="n">
        <v>86932172</v>
      </c>
      <c r="D8535" s="30">
        <f>"21268307000229"</f>
        <v/>
      </c>
      <c r="E8535" s="30" t="inlineStr">
        <is>
          <t>PAUL WURTH DO BRASIL MONTAGENS E MANUTENCAO INDUSTRIAL LTDA</t>
        </is>
      </c>
      <c r="F8535" s="30" t="inlineStr">
        <is>
          <t>2018</t>
        </is>
      </c>
      <c r="G8535" s="40" t="n">
        <v>0</v>
      </c>
    </row>
    <row r="8536" ht="12" customHeight="1">
      <c r="A8536" s="30" t="inlineStr">
        <is>
          <t>ITG</t>
        </is>
      </c>
      <c r="B8536" s="30" t="inlineStr">
        <is>
          <t>Itaguai</t>
        </is>
      </c>
      <c r="C8536" s="30" t="n">
        <v>86932172</v>
      </c>
      <c r="D8536" s="30">
        <f>"21268307000229"</f>
        <v/>
      </c>
      <c r="E8536" s="30" t="inlineStr">
        <is>
          <t>PAUL WURTH DO BRASIL MONTAGENS E MANUTENCAO INDUSTRIAL LTDA</t>
        </is>
      </c>
      <c r="F8536" s="30" t="inlineStr">
        <is>
          <t>2019</t>
        </is>
      </c>
      <c r="G8536" s="40" t="n">
        <v>0</v>
      </c>
    </row>
    <row r="8537" ht="12" customHeight="1">
      <c r="A8537" s="30" t="inlineStr">
        <is>
          <t>ITG</t>
        </is>
      </c>
      <c r="B8537" s="30" t="inlineStr">
        <is>
          <t>Itaguai</t>
        </is>
      </c>
      <c r="C8537" s="30" t="n">
        <v>86937832</v>
      </c>
      <c r="D8537" s="30">
        <f>"12367372000130"</f>
        <v/>
      </c>
      <c r="E8537" s="30" t="inlineStr">
        <is>
          <t>NDC PROVEDOR DE INTERNET LTDA</t>
        </is>
      </c>
      <c r="F8537" s="30" t="inlineStr">
        <is>
          <t>2019</t>
        </is>
      </c>
      <c r="G8537" s="40" t="n">
        <v>0</v>
      </c>
    </row>
    <row r="8538" ht="12" customHeight="1">
      <c r="A8538" s="30" t="inlineStr">
        <is>
          <t>ITG</t>
        </is>
      </c>
      <c r="B8538" s="30" t="inlineStr">
        <is>
          <t>Itaguai</t>
        </is>
      </c>
      <c r="C8538" s="30" t="n">
        <v>86937832</v>
      </c>
      <c r="D8538" s="30">
        <f>"12367372000130"</f>
        <v/>
      </c>
      <c r="E8538" s="30" t="inlineStr">
        <is>
          <t>NDC PROVEDOR DE INTERNET LTDA</t>
        </is>
      </c>
      <c r="F8538" s="30" t="inlineStr">
        <is>
          <t>2020</t>
        </is>
      </c>
      <c r="G8538" s="40" t="n">
        <v>0</v>
      </c>
    </row>
    <row r="8539" ht="12" customHeight="1">
      <c r="A8539" s="30" t="inlineStr">
        <is>
          <t>ITG</t>
        </is>
      </c>
      <c r="B8539" s="30" t="inlineStr">
        <is>
          <t>Itaguai</t>
        </is>
      </c>
      <c r="C8539" s="30" t="n">
        <v>86937832</v>
      </c>
      <c r="D8539" s="30">
        <f>"12367372000130"</f>
        <v/>
      </c>
      <c r="E8539" s="30" t="inlineStr">
        <is>
          <t>NDC PROVEDOR DE INTERNET LTDA</t>
        </is>
      </c>
      <c r="F8539" s="30" t="inlineStr">
        <is>
          <t>2021</t>
        </is>
      </c>
      <c r="G8539" s="40" t="n">
        <v>1358125.08</v>
      </c>
    </row>
    <row r="8540" ht="12" customHeight="1">
      <c r="A8540" s="30" t="inlineStr">
        <is>
          <t>ITG</t>
        </is>
      </c>
      <c r="B8540" s="30" t="inlineStr">
        <is>
          <t>Itaguai</t>
        </is>
      </c>
      <c r="C8540" s="30" t="n">
        <v>86937832</v>
      </c>
      <c r="D8540" s="30">
        <f>"12367372000130"</f>
        <v/>
      </c>
      <c r="E8540" s="30" t="inlineStr">
        <is>
          <t>NDC PROVEDOR DE INTERNET LTDA</t>
        </is>
      </c>
      <c r="F8540" s="30" t="inlineStr">
        <is>
          <t>2022</t>
        </is>
      </c>
      <c r="G8540" s="40" t="n">
        <v>1117671.88</v>
      </c>
    </row>
    <row r="8541" ht="12" customHeight="1">
      <c r="A8541" s="30" t="inlineStr">
        <is>
          <t>ITG</t>
        </is>
      </c>
      <c r="B8541" s="30" t="inlineStr">
        <is>
          <t>Itaguai</t>
        </is>
      </c>
      <c r="C8541" s="30" t="n">
        <v>86937832</v>
      </c>
      <c r="D8541" s="30">
        <f>"12367372000130"</f>
        <v/>
      </c>
      <c r="E8541" s="30" t="inlineStr">
        <is>
          <t>NDC PROVEDOR DE INTERNET LTDA</t>
        </is>
      </c>
      <c r="F8541" s="30" t="inlineStr">
        <is>
          <t>2023</t>
        </is>
      </c>
      <c r="G8541" s="40" t="n">
        <v>1986990.99</v>
      </c>
    </row>
    <row r="8542" ht="12" customHeight="1">
      <c r="A8542" s="30" t="inlineStr">
        <is>
          <t>ITG</t>
        </is>
      </c>
      <c r="B8542" s="30" t="inlineStr">
        <is>
          <t>Itaguai</t>
        </is>
      </c>
      <c r="C8542" s="30" t="n">
        <v>86947870</v>
      </c>
      <c r="D8542" s="30">
        <f>"15472037000270"</f>
        <v/>
      </c>
      <c r="E8542" s="30" t="inlineStr">
        <is>
          <t>MERCADO CENTRAL DE ITACURUCA LTDA</t>
        </is>
      </c>
      <c r="F8542" s="30" t="inlineStr">
        <is>
          <t>2017</t>
        </is>
      </c>
      <c r="G8542" s="40" t="n">
        <v>0</v>
      </c>
    </row>
    <row r="8543" ht="12" customHeight="1">
      <c r="A8543" s="30" t="inlineStr">
        <is>
          <t>ITG</t>
        </is>
      </c>
      <c r="B8543" s="30" t="inlineStr">
        <is>
          <t>Itaguai</t>
        </is>
      </c>
      <c r="C8543" s="30" t="n">
        <v>86947870</v>
      </c>
      <c r="D8543" s="30">
        <f>"15472037000270"</f>
        <v/>
      </c>
      <c r="E8543" s="30" t="inlineStr">
        <is>
          <t>MERCADO CENTRAL DE ITACURUCA LTDA</t>
        </is>
      </c>
      <c r="F8543" s="30" t="inlineStr">
        <is>
          <t>2018</t>
        </is>
      </c>
      <c r="G8543" s="40" t="n">
        <v>0</v>
      </c>
    </row>
    <row r="8544" ht="12" customHeight="1">
      <c r="A8544" s="30" t="inlineStr">
        <is>
          <t>ITG</t>
        </is>
      </c>
      <c r="B8544" s="30" t="inlineStr">
        <is>
          <t>Itaguai</t>
        </is>
      </c>
      <c r="C8544" s="30" t="n">
        <v>86947870</v>
      </c>
      <c r="D8544" s="30">
        <f>"15472037000270"</f>
        <v/>
      </c>
      <c r="E8544" s="30" t="inlineStr">
        <is>
          <t>MERCADO CENTRAL DE ITACURUCA LTDA</t>
        </is>
      </c>
      <c r="F8544" s="30" t="inlineStr">
        <is>
          <t>2019</t>
        </is>
      </c>
      <c r="G8544" s="40" t="n">
        <v>0</v>
      </c>
    </row>
    <row r="8545" ht="12" customHeight="1">
      <c r="A8545" s="30" t="inlineStr">
        <is>
          <t>ITG</t>
        </is>
      </c>
      <c r="B8545" s="30" t="inlineStr">
        <is>
          <t>Itaguai</t>
        </is>
      </c>
      <c r="C8545" s="30" t="n">
        <v>86948524</v>
      </c>
      <c r="D8545" s="30">
        <f>"22706756000193"</f>
        <v/>
      </c>
      <c r="E8545" s="30" t="inlineStr">
        <is>
          <t>SANDRO LIDER AGUA E GELO EIRELI</t>
        </is>
      </c>
      <c r="F8545" s="30" t="inlineStr">
        <is>
          <t>2021</t>
        </is>
      </c>
      <c r="G8545" s="40" t="n">
        <v>0</v>
      </c>
    </row>
    <row r="8546" ht="12" customHeight="1">
      <c r="A8546" s="30" t="inlineStr">
        <is>
          <t>ITG</t>
        </is>
      </c>
      <c r="B8546" s="30" t="inlineStr">
        <is>
          <t>Itaguai</t>
        </is>
      </c>
      <c r="C8546" s="30" t="n">
        <v>86948524</v>
      </c>
      <c r="D8546" s="30">
        <f>"22706756000193"</f>
        <v/>
      </c>
      <c r="E8546" s="30" t="inlineStr">
        <is>
          <t>SANDRO LIDER AGUA E GELO EIRELI</t>
        </is>
      </c>
      <c r="F8546" s="30" t="inlineStr">
        <is>
          <t>2022</t>
        </is>
      </c>
      <c r="G8546" s="40" t="n">
        <v>0</v>
      </c>
    </row>
    <row r="8547" ht="12" customHeight="1">
      <c r="A8547" s="30" t="inlineStr">
        <is>
          <t>ITG</t>
        </is>
      </c>
      <c r="B8547" s="30" t="inlineStr">
        <is>
          <t>Itaguai</t>
        </is>
      </c>
      <c r="C8547" s="30" t="n">
        <v>86948524</v>
      </c>
      <c r="D8547" s="30">
        <f>"22706756000193"</f>
        <v/>
      </c>
      <c r="E8547" s="30" t="inlineStr">
        <is>
          <t>SANDRO LIDER AGUA E GELO EIRELI</t>
        </is>
      </c>
      <c r="F8547" s="30" t="inlineStr">
        <is>
          <t>2023</t>
        </is>
      </c>
      <c r="G8547" s="40" t="n">
        <v>0</v>
      </c>
    </row>
    <row r="8548" ht="12" customHeight="1">
      <c r="A8548" s="30" t="inlineStr">
        <is>
          <t>ITG</t>
        </is>
      </c>
      <c r="B8548" s="30" t="inlineStr">
        <is>
          <t>Itaguai</t>
        </is>
      </c>
      <c r="C8548" s="30" t="n">
        <v>86949016</v>
      </c>
      <c r="D8548" s="30">
        <f>"22711611000180"</f>
        <v/>
      </c>
      <c r="E8548" s="30" t="inlineStr">
        <is>
          <t>ITAGUAI POINT COMERCIO DE ALIMENTOS LTDA</t>
        </is>
      </c>
      <c r="F8548" s="30" t="inlineStr">
        <is>
          <t>2017</t>
        </is>
      </c>
      <c r="G8548" s="40" t="n">
        <v>993225.59</v>
      </c>
    </row>
    <row r="8549" ht="12" customHeight="1">
      <c r="A8549" s="30" t="inlineStr">
        <is>
          <t>ITG</t>
        </is>
      </c>
      <c r="B8549" s="30" t="inlineStr">
        <is>
          <t>Itaguai</t>
        </is>
      </c>
      <c r="C8549" s="30" t="n">
        <v>86949016</v>
      </c>
      <c r="D8549" s="30">
        <f>"22711611000180"</f>
        <v/>
      </c>
      <c r="E8549" s="30" t="inlineStr">
        <is>
          <t>ITAGUAI POINT COMERCIO DE ALIMENTOS LTDA</t>
        </is>
      </c>
      <c r="F8549" s="30" t="inlineStr">
        <is>
          <t>2018</t>
        </is>
      </c>
      <c r="G8549" s="40" t="n">
        <v>0</v>
      </c>
    </row>
    <row r="8550" ht="12" customHeight="1">
      <c r="A8550" s="30" t="inlineStr">
        <is>
          <t>ITG</t>
        </is>
      </c>
      <c r="B8550" s="30" t="inlineStr">
        <is>
          <t>Itaguai</t>
        </is>
      </c>
      <c r="C8550" s="30" t="n">
        <v>86949016</v>
      </c>
      <c r="D8550" s="30">
        <f>"22711611000180"</f>
        <v/>
      </c>
      <c r="E8550" s="30" t="inlineStr">
        <is>
          <t>ITAGUAI POINT COMERCIO DE ALIMENTOS LTDA</t>
        </is>
      </c>
      <c r="F8550" s="30" t="inlineStr">
        <is>
          <t>2019</t>
        </is>
      </c>
      <c r="G8550" s="40" t="n">
        <v>0</v>
      </c>
    </row>
    <row r="8551" ht="12" customHeight="1">
      <c r="A8551" s="30" t="inlineStr">
        <is>
          <t>ITG</t>
        </is>
      </c>
      <c r="B8551" s="30" t="inlineStr">
        <is>
          <t>Itaguai</t>
        </is>
      </c>
      <c r="C8551" s="30" t="n">
        <v>86949016</v>
      </c>
      <c r="D8551" s="30">
        <f>"22711611000180"</f>
        <v/>
      </c>
      <c r="E8551" s="30" t="inlineStr">
        <is>
          <t>ITAGUAI POINT COMERCIO DE ALIMENTOS LTDA</t>
        </is>
      </c>
      <c r="F8551" s="30" t="inlineStr">
        <is>
          <t>2020</t>
        </is>
      </c>
      <c r="G8551" s="40" t="n">
        <v>0</v>
      </c>
    </row>
    <row r="8552" ht="12" customHeight="1">
      <c r="A8552" s="30" t="inlineStr">
        <is>
          <t>ITG</t>
        </is>
      </c>
      <c r="B8552" s="30" t="inlineStr">
        <is>
          <t>Itaguai</t>
        </is>
      </c>
      <c r="C8552" s="30" t="n">
        <v>86949016</v>
      </c>
      <c r="D8552" s="30">
        <f>"22711611000180"</f>
        <v/>
      </c>
      <c r="E8552" s="30" t="inlineStr">
        <is>
          <t>ITAGUAI POINT COMERCIO DE ALIMENTOS LTDA</t>
        </is>
      </c>
      <c r="F8552" s="30" t="inlineStr">
        <is>
          <t>2021</t>
        </is>
      </c>
      <c r="G8552" s="40" t="n">
        <v>0</v>
      </c>
    </row>
    <row r="8553" ht="12" customHeight="1">
      <c r="A8553" s="30" t="inlineStr">
        <is>
          <t>ITG</t>
        </is>
      </c>
      <c r="B8553" s="30" t="inlineStr">
        <is>
          <t>Itaguai</t>
        </is>
      </c>
      <c r="C8553" s="30" t="n">
        <v>86949016</v>
      </c>
      <c r="D8553" s="30">
        <f>"22711611000180"</f>
        <v/>
      </c>
      <c r="E8553" s="30" t="inlineStr">
        <is>
          <t>ITAGUAI POINT COMERCIO DE ALIMENTOS LTDA</t>
        </is>
      </c>
      <c r="F8553" s="30" t="inlineStr">
        <is>
          <t>2022</t>
        </is>
      </c>
      <c r="G8553" s="40" t="n">
        <v>0</v>
      </c>
    </row>
    <row r="8554" ht="12" customHeight="1">
      <c r="A8554" s="30" t="inlineStr">
        <is>
          <t>ITG</t>
        </is>
      </c>
      <c r="B8554" s="30" t="inlineStr">
        <is>
          <t>Itaguai</t>
        </is>
      </c>
      <c r="C8554" s="30" t="n">
        <v>86949016</v>
      </c>
      <c r="D8554" s="30">
        <f>"22711611000180"</f>
        <v/>
      </c>
      <c r="E8554" s="30" t="inlineStr">
        <is>
          <t>ITAGUAI POINT COMERCIO DE ALIMENTOS LTDA</t>
        </is>
      </c>
      <c r="F8554" s="30" t="inlineStr">
        <is>
          <t>2023</t>
        </is>
      </c>
      <c r="G8554" s="40" t="n">
        <v>0</v>
      </c>
    </row>
    <row r="8555" ht="12" customHeight="1">
      <c r="A8555" s="30" t="inlineStr">
        <is>
          <t>ITG</t>
        </is>
      </c>
      <c r="B8555" s="30" t="inlineStr">
        <is>
          <t>Itaguai</t>
        </is>
      </c>
      <c r="C8555" s="30" t="n">
        <v>86949423</v>
      </c>
      <c r="D8555" s="30">
        <f>"02964147001956"</f>
        <v/>
      </c>
      <c r="E8555" s="30" t="inlineStr">
        <is>
          <t>PACIFICO LOG LOGISTICA E TRANSPORTES EIRELI</t>
        </is>
      </c>
      <c r="F8555" s="30" t="inlineStr">
        <is>
          <t>2017</t>
        </is>
      </c>
      <c r="G8555" s="40" t="n">
        <v>0</v>
      </c>
    </row>
    <row r="8556" ht="12" customHeight="1">
      <c r="A8556" s="30" t="inlineStr">
        <is>
          <t>ITG</t>
        </is>
      </c>
      <c r="B8556" s="30" t="inlineStr">
        <is>
          <t>Itaguai</t>
        </is>
      </c>
      <c r="C8556" s="30" t="n">
        <v>86949423</v>
      </c>
      <c r="D8556" s="30">
        <f>"02964147001956"</f>
        <v/>
      </c>
      <c r="E8556" s="30" t="inlineStr">
        <is>
          <t>PACIFICO LOG LOGISTICA E TRANSPORTES EIRELI</t>
        </is>
      </c>
      <c r="F8556" s="30" t="inlineStr">
        <is>
          <t>2018</t>
        </is>
      </c>
      <c r="G8556" s="40" t="n">
        <v>363.1</v>
      </c>
    </row>
    <row r="8557" ht="12" customHeight="1">
      <c r="A8557" s="30" t="inlineStr">
        <is>
          <t>ITG</t>
        </is>
      </c>
      <c r="B8557" s="30" t="inlineStr">
        <is>
          <t>Itaguai</t>
        </is>
      </c>
      <c r="C8557" s="30" t="n">
        <v>86949423</v>
      </c>
      <c r="D8557" s="30">
        <f>"02964147001956"</f>
        <v/>
      </c>
      <c r="E8557" s="30" t="inlineStr">
        <is>
          <t>PACIFICO LOG LOGISTICA E TRANSPORTES EIRELI</t>
        </is>
      </c>
      <c r="F8557" s="30" t="inlineStr">
        <is>
          <t>2019</t>
        </is>
      </c>
      <c r="G8557" s="40" t="n">
        <v>0</v>
      </c>
    </row>
    <row r="8558" ht="12" customHeight="1">
      <c r="A8558" s="30" t="inlineStr">
        <is>
          <t>ITG</t>
        </is>
      </c>
      <c r="B8558" s="30" t="inlineStr">
        <is>
          <t>Itaguai</t>
        </is>
      </c>
      <c r="C8558" s="30" t="n">
        <v>86949423</v>
      </c>
      <c r="D8558" s="30">
        <f>"02964147001956"</f>
        <v/>
      </c>
      <c r="E8558" s="30" t="inlineStr">
        <is>
          <t>PACIFICO LOG LOGISTICA E TRANSPORTES EIRELI</t>
        </is>
      </c>
      <c r="F8558" s="30" t="inlineStr">
        <is>
          <t>2020</t>
        </is>
      </c>
      <c r="G8558" s="40" t="n">
        <v>0</v>
      </c>
    </row>
    <row r="8559" ht="12" customHeight="1">
      <c r="A8559" s="30" t="inlineStr">
        <is>
          <t>ITG</t>
        </is>
      </c>
      <c r="B8559" s="30" t="inlineStr">
        <is>
          <t>Itaguai</t>
        </is>
      </c>
      <c r="C8559" s="30" t="n">
        <v>86952718</v>
      </c>
      <c r="D8559" s="30">
        <f>"22125221000129"</f>
        <v/>
      </c>
      <c r="E8559" s="30" t="inlineStr">
        <is>
          <t>M SHIOSE MANUTENCAO DE MAQUINAS E EQUIPAMENTOS</t>
        </is>
      </c>
      <c r="F8559" s="30" t="inlineStr">
        <is>
          <t>2018</t>
        </is>
      </c>
      <c r="G8559" s="40" t="n">
        <v>0</v>
      </c>
    </row>
    <row r="8560" ht="12" customHeight="1">
      <c r="A8560" s="30" t="inlineStr">
        <is>
          <t>ITG</t>
        </is>
      </c>
      <c r="B8560" s="30" t="inlineStr">
        <is>
          <t>Itaguai</t>
        </is>
      </c>
      <c r="C8560" s="30" t="n">
        <v>86952718</v>
      </c>
      <c r="D8560" s="30">
        <f>"22125221000129"</f>
        <v/>
      </c>
      <c r="E8560" s="30" t="inlineStr">
        <is>
          <t>M SHIOSE MANUTENCAO DE MAQUINAS E EQUIPAMENTOS</t>
        </is>
      </c>
      <c r="F8560" s="30" t="inlineStr">
        <is>
          <t>2019</t>
        </is>
      </c>
      <c r="G8560" s="40" t="n">
        <v>0</v>
      </c>
    </row>
    <row r="8561" ht="12" customHeight="1">
      <c r="A8561" s="30" t="inlineStr">
        <is>
          <t>ITG</t>
        </is>
      </c>
      <c r="B8561" s="30" t="inlineStr">
        <is>
          <t>Itaguai</t>
        </is>
      </c>
      <c r="C8561" s="30" t="n">
        <v>86952718</v>
      </c>
      <c r="D8561" s="30">
        <f>"22125221000129"</f>
        <v/>
      </c>
      <c r="E8561" s="30" t="inlineStr">
        <is>
          <t>M SHIOSE MANUTENCAO DE MAQUINAS E EQUIPAMENTOS</t>
        </is>
      </c>
      <c r="F8561" s="30" t="inlineStr">
        <is>
          <t>2020</t>
        </is>
      </c>
      <c r="G8561" s="40" t="n">
        <v>0</v>
      </c>
    </row>
    <row r="8562" ht="12" customHeight="1">
      <c r="A8562" s="30" t="inlineStr">
        <is>
          <t>ITG</t>
        </is>
      </c>
      <c r="B8562" s="30" t="inlineStr">
        <is>
          <t>Itaguai</t>
        </is>
      </c>
      <c r="C8562" s="30" t="n">
        <v>86952718</v>
      </c>
      <c r="D8562" s="30">
        <f>"22125221000129"</f>
        <v/>
      </c>
      <c r="E8562" s="30" t="inlineStr">
        <is>
          <t>M SHIOSE MANUTENCAO DE MAQUINAS E EQUIPAMENTOS</t>
        </is>
      </c>
      <c r="F8562" s="30" t="inlineStr">
        <is>
          <t>2021</t>
        </is>
      </c>
      <c r="G8562" s="40" t="n">
        <v>0</v>
      </c>
    </row>
    <row r="8563" ht="12" customHeight="1">
      <c r="A8563" s="30" t="inlineStr">
        <is>
          <t>ITG</t>
        </is>
      </c>
      <c r="B8563" s="30" t="inlineStr">
        <is>
          <t>Itaguai</t>
        </is>
      </c>
      <c r="C8563" s="30" t="n">
        <v>86952718</v>
      </c>
      <c r="D8563" s="30">
        <f>"22125221000129"</f>
        <v/>
      </c>
      <c r="E8563" s="30" t="inlineStr">
        <is>
          <t>M SHIOSE MANUTENCAO DE MAQUINAS E EQUIPAMENTOS</t>
        </is>
      </c>
      <c r="F8563" s="30" t="inlineStr">
        <is>
          <t>2022</t>
        </is>
      </c>
      <c r="G8563" s="40" t="n">
        <v>0</v>
      </c>
    </row>
    <row r="8564" ht="12" customHeight="1">
      <c r="A8564" s="30" t="inlineStr">
        <is>
          <t>ITG</t>
        </is>
      </c>
      <c r="B8564" s="30" t="inlineStr">
        <is>
          <t>Itaguai</t>
        </is>
      </c>
      <c r="C8564" s="30" t="n">
        <v>86952718</v>
      </c>
      <c r="D8564" s="30">
        <f>"22125221000129"</f>
        <v/>
      </c>
      <c r="E8564" s="30" t="inlineStr">
        <is>
          <t>M SHIOSE MANUTENCAO DE MAQUINAS E EQUIPAMENTOS</t>
        </is>
      </c>
      <c r="F8564" s="30" t="inlineStr">
        <is>
          <t>2023</t>
        </is>
      </c>
      <c r="G8564" s="40" t="n">
        <v>0</v>
      </c>
    </row>
    <row r="8565" ht="12" customHeight="1">
      <c r="A8565" s="30" t="inlineStr">
        <is>
          <t>ITG</t>
        </is>
      </c>
      <c r="B8565" s="30" t="inlineStr">
        <is>
          <t>Itaguai</t>
        </is>
      </c>
      <c r="C8565" s="30" t="n">
        <v>86961768</v>
      </c>
      <c r="D8565" s="30">
        <f>"22830892000190"</f>
        <v/>
      </c>
      <c r="E8565" s="30" t="inlineStr">
        <is>
          <t>TEC 2016 COMERCIO E REPRESENTACOES EIRELI ME</t>
        </is>
      </c>
      <c r="F8565" s="30" t="inlineStr">
        <is>
          <t>2017</t>
        </is>
      </c>
      <c r="G8565" s="40" t="n">
        <v>0</v>
      </c>
    </row>
    <row r="8566" ht="12" customHeight="1">
      <c r="A8566" s="30" t="inlineStr">
        <is>
          <t>ITG</t>
        </is>
      </c>
      <c r="B8566" s="30" t="inlineStr">
        <is>
          <t>Itaguai</t>
        </is>
      </c>
      <c r="C8566" s="30" t="n">
        <v>86961768</v>
      </c>
      <c r="D8566" s="30">
        <f>"22830892000190"</f>
        <v/>
      </c>
      <c r="E8566" s="30" t="inlineStr">
        <is>
          <t>TEC 2016 COMERCIO E REPRESENTACOES EIRELI ME</t>
        </is>
      </c>
      <c r="F8566" s="30" t="inlineStr">
        <is>
          <t>2018</t>
        </is>
      </c>
      <c r="G8566" s="40" t="n">
        <v>0</v>
      </c>
    </row>
    <row r="8567" ht="12" customHeight="1">
      <c r="A8567" s="30" t="inlineStr">
        <is>
          <t>ITG</t>
        </is>
      </c>
      <c r="B8567" s="30" t="inlineStr">
        <is>
          <t>Itaguai</t>
        </is>
      </c>
      <c r="C8567" s="30" t="n">
        <v>86961768</v>
      </c>
      <c r="D8567" s="30">
        <f>"22830892000190"</f>
        <v/>
      </c>
      <c r="E8567" s="30" t="inlineStr">
        <is>
          <t>TEC 2016 COMERCIO E REPRESENTACOES EIRELI ME</t>
        </is>
      </c>
      <c r="F8567" s="30" t="inlineStr">
        <is>
          <t>2019</t>
        </is>
      </c>
      <c r="G8567" s="40" t="n">
        <v>0</v>
      </c>
    </row>
    <row r="8568" ht="12" customHeight="1">
      <c r="A8568" s="30" t="inlineStr">
        <is>
          <t>ITG</t>
        </is>
      </c>
      <c r="B8568" s="30" t="inlineStr">
        <is>
          <t>Itaguai</t>
        </is>
      </c>
      <c r="C8568" s="30" t="n">
        <v>86961768</v>
      </c>
      <c r="D8568" s="30">
        <f>"22830892000190"</f>
        <v/>
      </c>
      <c r="E8568" s="30" t="inlineStr">
        <is>
          <t>TEC 2016 COMERCIO E REPRESENTACOES EIRELI ME</t>
        </is>
      </c>
      <c r="F8568" s="30" t="inlineStr">
        <is>
          <t>2020</t>
        </is>
      </c>
      <c r="G8568" s="40" t="n">
        <v>0</v>
      </c>
    </row>
    <row r="8569" ht="12" customHeight="1">
      <c r="A8569" s="30" t="inlineStr">
        <is>
          <t>ITG</t>
        </is>
      </c>
      <c r="B8569" s="30" t="inlineStr">
        <is>
          <t>Itaguai</t>
        </is>
      </c>
      <c r="C8569" s="30" t="n">
        <v>86964007</v>
      </c>
      <c r="D8569" s="30">
        <f>"57642431000330"</f>
        <v/>
      </c>
      <c r="E8569" s="30" t="inlineStr">
        <is>
          <t>TRANSPORTADORA NOVA BRASILIA EIRELI</t>
        </is>
      </c>
      <c r="F8569" s="30" t="inlineStr">
        <is>
          <t>2017</t>
        </is>
      </c>
      <c r="G8569" s="40" t="n">
        <v>285.02</v>
      </c>
    </row>
    <row r="8570" ht="12" customHeight="1">
      <c r="A8570" s="30" t="inlineStr">
        <is>
          <t>ITG</t>
        </is>
      </c>
      <c r="B8570" s="30" t="inlineStr">
        <is>
          <t>Itaguai</t>
        </is>
      </c>
      <c r="C8570" s="30" t="n">
        <v>86964007</v>
      </c>
      <c r="D8570" s="30">
        <f>"57642431000330"</f>
        <v/>
      </c>
      <c r="E8570" s="30" t="inlineStr">
        <is>
          <t>TRANSPORTADORA NOVA BRASILIA EIRELI</t>
        </is>
      </c>
      <c r="F8570" s="30" t="inlineStr">
        <is>
          <t>2018</t>
        </is>
      </c>
      <c r="G8570" s="40" t="n">
        <v>0</v>
      </c>
    </row>
    <row r="8571" ht="12" customHeight="1">
      <c r="A8571" s="30" t="inlineStr">
        <is>
          <t>ITG</t>
        </is>
      </c>
      <c r="B8571" s="30" t="inlineStr">
        <is>
          <t>Itaguai</t>
        </is>
      </c>
      <c r="C8571" s="30" t="n">
        <v>86964007</v>
      </c>
      <c r="D8571" s="30">
        <f>"57642431000330"</f>
        <v/>
      </c>
      <c r="E8571" s="30" t="inlineStr">
        <is>
          <t>TRANSPORTADORA NOVA BRASILIA EIRELI</t>
        </is>
      </c>
      <c r="F8571" s="30" t="inlineStr">
        <is>
          <t>2019</t>
        </is>
      </c>
      <c r="G8571" s="40" t="n">
        <v>0</v>
      </c>
    </row>
    <row r="8572" ht="12" customHeight="1">
      <c r="A8572" s="30" t="inlineStr">
        <is>
          <t>ITG</t>
        </is>
      </c>
      <c r="B8572" s="30" t="inlineStr">
        <is>
          <t>Itaguai</t>
        </is>
      </c>
      <c r="C8572" s="30" t="n">
        <v>86967316</v>
      </c>
      <c r="D8572" s="30">
        <f>"22888964000150"</f>
        <v/>
      </c>
      <c r="E8572" s="30" t="inlineStr">
        <is>
          <t>LT LOGISTICA, TRANSPORTE E DISTRIBUIDORA LTDA - ME</t>
        </is>
      </c>
      <c r="F8572" s="30" t="inlineStr">
        <is>
          <t>2020</t>
        </is>
      </c>
      <c r="G8572" s="40" t="n">
        <v>0</v>
      </c>
    </row>
    <row r="8573" ht="12" customHeight="1">
      <c r="A8573" s="30" t="inlineStr">
        <is>
          <t>ITG</t>
        </is>
      </c>
      <c r="B8573" s="30" t="inlineStr">
        <is>
          <t>Itaguai</t>
        </is>
      </c>
      <c r="C8573" s="30" t="n">
        <v>86967316</v>
      </c>
      <c r="D8573" s="30">
        <f>"22888964000150"</f>
        <v/>
      </c>
      <c r="E8573" s="30" t="inlineStr">
        <is>
          <t>LT LOGISTICA, TRANSPORTE E DISTRIBUIDORA LTDA - ME</t>
        </is>
      </c>
      <c r="F8573" s="30" t="inlineStr">
        <is>
          <t>2021</t>
        </is>
      </c>
      <c r="G8573" s="40" t="n">
        <v>0</v>
      </c>
    </row>
    <row r="8574" ht="12" customHeight="1">
      <c r="A8574" s="30" t="inlineStr">
        <is>
          <t>ITG</t>
        </is>
      </c>
      <c r="B8574" s="30" t="inlineStr">
        <is>
          <t>Itaguai</t>
        </is>
      </c>
      <c r="C8574" s="30" t="n">
        <v>86967316</v>
      </c>
      <c r="D8574" s="30">
        <f>"22888964000150"</f>
        <v/>
      </c>
      <c r="E8574" s="30" t="inlineStr">
        <is>
          <t>LT LOGISTICA, TRANSPORTE E DISTRIBUIDORA LTDA - ME</t>
        </is>
      </c>
      <c r="F8574" s="30" t="inlineStr">
        <is>
          <t>2022</t>
        </is>
      </c>
      <c r="G8574" s="40" t="n">
        <v>58697.4</v>
      </c>
    </row>
    <row r="8575" ht="12" customHeight="1">
      <c r="A8575" s="30" t="inlineStr">
        <is>
          <t>ITG</t>
        </is>
      </c>
      <c r="B8575" s="30" t="inlineStr">
        <is>
          <t>Itaguai</t>
        </is>
      </c>
      <c r="C8575" s="30" t="n">
        <v>86967316</v>
      </c>
      <c r="D8575" s="30">
        <f>"22888964000150"</f>
        <v/>
      </c>
      <c r="E8575" s="30" t="inlineStr">
        <is>
          <t>LT LOGISTICA, TRANSPORTE E DISTRIBUIDORA LTDA - ME</t>
        </is>
      </c>
      <c r="F8575" s="30" t="inlineStr">
        <is>
          <t>2023</t>
        </is>
      </c>
      <c r="G8575" s="40" t="n">
        <v>0</v>
      </c>
    </row>
    <row r="8576" ht="12" customHeight="1">
      <c r="A8576" s="30" t="inlineStr">
        <is>
          <t>ITG</t>
        </is>
      </c>
      <c r="B8576" s="30" t="inlineStr">
        <is>
          <t>Itaguai</t>
        </is>
      </c>
      <c r="C8576" s="30" t="n">
        <v>86976722</v>
      </c>
      <c r="D8576" s="30">
        <f>"04370759000117"</f>
        <v/>
      </c>
      <c r="E8576" s="30" t="inlineStr">
        <is>
          <t>LIDER RIO CENTRO AUTOMOTIVO LTDA ME</t>
        </is>
      </c>
      <c r="F8576" s="30" t="inlineStr">
        <is>
          <t>2017</t>
        </is>
      </c>
      <c r="G8576" s="40" t="n">
        <v>0</v>
      </c>
    </row>
    <row r="8577" ht="12" customHeight="1">
      <c r="A8577" s="30" t="inlineStr">
        <is>
          <t>ITG</t>
        </is>
      </c>
      <c r="B8577" s="30" t="inlineStr">
        <is>
          <t>Itaguai</t>
        </is>
      </c>
      <c r="C8577" s="30" t="n">
        <v>86976722</v>
      </c>
      <c r="D8577" s="30">
        <f>"04370759000117"</f>
        <v/>
      </c>
      <c r="E8577" s="30" t="inlineStr">
        <is>
          <t>LIDER RIO CENTRO AUTOMOTIVO LTDA ME</t>
        </is>
      </c>
      <c r="F8577" s="30" t="inlineStr">
        <is>
          <t>2018</t>
        </is>
      </c>
      <c r="G8577" s="40" t="n">
        <v>80884.78</v>
      </c>
    </row>
    <row r="8578" ht="12" customHeight="1">
      <c r="A8578" s="30" t="inlineStr">
        <is>
          <t>ITG</t>
        </is>
      </c>
      <c r="B8578" s="30" t="inlineStr">
        <is>
          <t>Itaguai</t>
        </is>
      </c>
      <c r="C8578" s="30" t="n">
        <v>86976722</v>
      </c>
      <c r="D8578" s="30">
        <f>"04370759000117"</f>
        <v/>
      </c>
      <c r="E8578" s="30" t="inlineStr">
        <is>
          <t>LIDER RIO CENTRO AUTOMOTIVO LTDA ME</t>
        </is>
      </c>
      <c r="F8578" s="30" t="inlineStr">
        <is>
          <t>2019</t>
        </is>
      </c>
      <c r="G8578" s="40" t="n">
        <v>0</v>
      </c>
    </row>
    <row r="8579" ht="12" customHeight="1">
      <c r="A8579" s="30" t="inlineStr">
        <is>
          <t>ITG</t>
        </is>
      </c>
      <c r="B8579" s="30" t="inlineStr">
        <is>
          <t>Itaguai</t>
        </is>
      </c>
      <c r="C8579" s="30" t="n">
        <v>86976722</v>
      </c>
      <c r="D8579" s="30">
        <f>"04370759000117"</f>
        <v/>
      </c>
      <c r="E8579" s="30" t="inlineStr">
        <is>
          <t>LIDER RIO CENTRO AUTOMOTIVO LTDA ME</t>
        </is>
      </c>
      <c r="F8579" s="30" t="inlineStr">
        <is>
          <t>2020</t>
        </is>
      </c>
      <c r="G8579" s="40" t="n">
        <v>0</v>
      </c>
    </row>
    <row r="8580" ht="12" customHeight="1">
      <c r="A8580" s="30" t="inlineStr">
        <is>
          <t>ITG</t>
        </is>
      </c>
      <c r="B8580" s="30" t="inlineStr">
        <is>
          <t>Itaguai</t>
        </is>
      </c>
      <c r="C8580" s="30" t="n">
        <v>86976722</v>
      </c>
      <c r="D8580" s="30">
        <f>"04370759000117"</f>
        <v/>
      </c>
      <c r="E8580" s="30" t="inlineStr">
        <is>
          <t>LIDER RIO CENTRO AUTOMOTIVO LTDA ME</t>
        </is>
      </c>
      <c r="F8580" s="30" t="inlineStr">
        <is>
          <t>2021</t>
        </is>
      </c>
      <c r="G8580" s="40" t="n">
        <v>0</v>
      </c>
    </row>
    <row r="8581" ht="12" customHeight="1">
      <c r="A8581" s="30" t="inlineStr">
        <is>
          <t>ITG</t>
        </is>
      </c>
      <c r="B8581" s="30" t="inlineStr">
        <is>
          <t>Itaguai</t>
        </is>
      </c>
      <c r="C8581" s="30" t="n">
        <v>86982420</v>
      </c>
      <c r="D8581" s="30">
        <f>"07568880000227"</f>
        <v/>
      </c>
      <c r="E8581" s="30" t="inlineStr">
        <is>
          <t>EXPRESSO RECREIO TRANSPORTE DE PASSAGEIROS LTDA</t>
        </is>
      </c>
      <c r="F8581" s="30" t="inlineStr">
        <is>
          <t>2017</t>
        </is>
      </c>
      <c r="G8581" s="40" t="n">
        <v>0</v>
      </c>
    </row>
    <row r="8582" ht="12" customHeight="1">
      <c r="A8582" s="30" t="inlineStr">
        <is>
          <t>ITG</t>
        </is>
      </c>
      <c r="B8582" s="30" t="inlineStr">
        <is>
          <t>Itaguai</t>
        </is>
      </c>
      <c r="C8582" s="30" t="n">
        <v>86982420</v>
      </c>
      <c r="D8582" s="30">
        <f>"07568880000227"</f>
        <v/>
      </c>
      <c r="E8582" s="30" t="inlineStr">
        <is>
          <t>EXPRESSO RECREIO TRANSPORTE DE PASSAGEIROS LTDA</t>
        </is>
      </c>
      <c r="F8582" s="30" t="inlineStr">
        <is>
          <t>2018</t>
        </is>
      </c>
      <c r="G8582" s="40" t="n">
        <v>0</v>
      </c>
    </row>
    <row r="8583" ht="12" customHeight="1">
      <c r="A8583" s="30" t="inlineStr">
        <is>
          <t>ITG</t>
        </is>
      </c>
      <c r="B8583" s="30" t="inlineStr">
        <is>
          <t>Itaguai</t>
        </is>
      </c>
      <c r="C8583" s="30" t="n">
        <v>86982420</v>
      </c>
      <c r="D8583" s="30">
        <f>"07568880000227"</f>
        <v/>
      </c>
      <c r="E8583" s="30" t="inlineStr">
        <is>
          <t>EXPRESSO RECREIO TRANSPORTE DE PASSAGEIROS LTDA</t>
        </is>
      </c>
      <c r="F8583" s="30" t="inlineStr">
        <is>
          <t>2019</t>
        </is>
      </c>
      <c r="G8583" s="40" t="n">
        <v>0</v>
      </c>
    </row>
    <row r="8584" ht="12" customHeight="1">
      <c r="A8584" s="30" t="inlineStr">
        <is>
          <t>ITG</t>
        </is>
      </c>
      <c r="B8584" s="30" t="inlineStr">
        <is>
          <t>Itaguai</t>
        </is>
      </c>
      <c r="C8584" s="30" t="n">
        <v>86982420</v>
      </c>
      <c r="D8584" s="30">
        <f>"07568880000227"</f>
        <v/>
      </c>
      <c r="E8584" s="30" t="inlineStr">
        <is>
          <t>EXPRESSO RECREIO TRANSPORTE DE PASSAGEIROS LTDA</t>
        </is>
      </c>
      <c r="F8584" s="30" t="inlineStr">
        <is>
          <t>2020</t>
        </is>
      </c>
      <c r="G8584" s="40" t="n">
        <v>0</v>
      </c>
    </row>
    <row r="8585" ht="12" customHeight="1">
      <c r="A8585" s="30" t="inlineStr">
        <is>
          <t>ITG</t>
        </is>
      </c>
      <c r="B8585" s="30" t="inlineStr">
        <is>
          <t>Itaguai</t>
        </is>
      </c>
      <c r="C8585" s="30" t="n">
        <v>86982420</v>
      </c>
      <c r="D8585" s="30">
        <f>"07568880000227"</f>
        <v/>
      </c>
      <c r="E8585" s="30" t="inlineStr">
        <is>
          <t>EXPRESSO RECREIO TRANSPORTE DE PASSAGEIROS LTDA</t>
        </is>
      </c>
      <c r="F8585" s="30" t="inlineStr">
        <is>
          <t>2021</t>
        </is>
      </c>
      <c r="G8585" s="40" t="n">
        <v>0</v>
      </c>
    </row>
    <row r="8586" ht="12" customHeight="1">
      <c r="A8586" s="30" t="inlineStr">
        <is>
          <t>ITG</t>
        </is>
      </c>
      <c r="B8586" s="30" t="inlineStr">
        <is>
          <t>Itaguai</t>
        </is>
      </c>
      <c r="C8586" s="30" t="n">
        <v>86982420</v>
      </c>
      <c r="D8586" s="30">
        <f>"07568880000227"</f>
        <v/>
      </c>
      <c r="E8586" s="30" t="inlineStr">
        <is>
          <t>EXPRESSO RECREIO TRANSPORTE DE PASSAGEIROS LTDA</t>
        </is>
      </c>
      <c r="F8586" s="30" t="inlineStr">
        <is>
          <t>2022</t>
        </is>
      </c>
      <c r="G8586" s="40" t="n">
        <v>0</v>
      </c>
    </row>
    <row r="8587" ht="12" customHeight="1">
      <c r="A8587" s="30" t="inlineStr">
        <is>
          <t>ITG</t>
        </is>
      </c>
      <c r="B8587" s="30" t="inlineStr">
        <is>
          <t>Itaguai</t>
        </is>
      </c>
      <c r="C8587" s="30" t="n">
        <v>86982641</v>
      </c>
      <c r="D8587" s="30">
        <f>"23030038000102"</f>
        <v/>
      </c>
      <c r="E8587" s="30" t="inlineStr">
        <is>
          <t>ARS BRISAMAR MADEIRAS EIRELI</t>
        </is>
      </c>
      <c r="F8587" s="30" t="inlineStr">
        <is>
          <t>2021</t>
        </is>
      </c>
      <c r="G8587" s="40" t="n">
        <v>0</v>
      </c>
    </row>
    <row r="8588" ht="12" customHeight="1">
      <c r="A8588" s="30" t="inlineStr">
        <is>
          <t>ITG</t>
        </is>
      </c>
      <c r="B8588" s="30" t="inlineStr">
        <is>
          <t>Itaguai</t>
        </is>
      </c>
      <c r="C8588" s="30" t="n">
        <v>86982641</v>
      </c>
      <c r="D8588" s="30">
        <f>"23030038000102"</f>
        <v/>
      </c>
      <c r="E8588" s="30" t="inlineStr">
        <is>
          <t>ARS BRISAMAR MADEIRAS EIRELI</t>
        </is>
      </c>
      <c r="F8588" s="30" t="inlineStr">
        <is>
          <t>2022</t>
        </is>
      </c>
      <c r="G8588" s="40" t="n">
        <v>0</v>
      </c>
    </row>
    <row r="8589" ht="12" customHeight="1">
      <c r="A8589" s="30" t="inlineStr">
        <is>
          <t>ITG</t>
        </is>
      </c>
      <c r="B8589" s="30" t="inlineStr">
        <is>
          <t>Itaguai</t>
        </is>
      </c>
      <c r="C8589" s="30" t="n">
        <v>86982641</v>
      </c>
      <c r="D8589" s="30">
        <f>"23030038000102"</f>
        <v/>
      </c>
      <c r="E8589" s="30" t="inlineStr">
        <is>
          <t>ARS BRISAMAR MADEIRAS EIRELI</t>
        </is>
      </c>
      <c r="F8589" s="30" t="inlineStr">
        <is>
          <t>2023</t>
        </is>
      </c>
      <c r="G8589" s="40" t="n">
        <v>0</v>
      </c>
    </row>
    <row r="8590" ht="12" customHeight="1">
      <c r="A8590" s="30" t="inlineStr">
        <is>
          <t>ITG</t>
        </is>
      </c>
      <c r="B8590" s="30" t="inlineStr">
        <is>
          <t>Itaguai</t>
        </is>
      </c>
      <c r="C8590" s="30" t="n">
        <v>86982927</v>
      </c>
      <c r="D8590" s="30">
        <f>"22847052000130"</f>
        <v/>
      </c>
      <c r="E8590" s="30" t="inlineStr">
        <is>
          <t>NJG TRANSPORTES DE CARGAS LTDA</t>
        </is>
      </c>
      <c r="F8590" s="30" t="inlineStr">
        <is>
          <t>2019</t>
        </is>
      </c>
      <c r="G8590" s="40" t="n">
        <v>0</v>
      </c>
    </row>
    <row r="8591" ht="12" customHeight="1">
      <c r="A8591" s="30" t="inlineStr">
        <is>
          <t>ITG</t>
        </is>
      </c>
      <c r="B8591" s="30" t="inlineStr">
        <is>
          <t>Itaguai</t>
        </is>
      </c>
      <c r="C8591" s="30" t="n">
        <v>86982927</v>
      </c>
      <c r="D8591" s="30">
        <f>"22847052000130"</f>
        <v/>
      </c>
      <c r="E8591" s="30" t="inlineStr">
        <is>
          <t>NJG TRANSPORTES DE CARGAS LTDA</t>
        </is>
      </c>
      <c r="F8591" s="30" t="inlineStr">
        <is>
          <t>2020</t>
        </is>
      </c>
      <c r="G8591" s="40" t="n">
        <v>0</v>
      </c>
    </row>
    <row r="8592" ht="12" customHeight="1">
      <c r="A8592" s="30" t="inlineStr">
        <is>
          <t>ITG</t>
        </is>
      </c>
      <c r="B8592" s="30" t="inlineStr">
        <is>
          <t>Itaguai</t>
        </is>
      </c>
      <c r="C8592" s="30" t="n">
        <v>86982927</v>
      </c>
      <c r="D8592" s="30">
        <f>"22847052000130"</f>
        <v/>
      </c>
      <c r="E8592" s="30" t="inlineStr">
        <is>
          <t>NJG TRANSPORTES DE CARGAS LTDA</t>
        </is>
      </c>
      <c r="F8592" s="30" t="inlineStr">
        <is>
          <t>2021</t>
        </is>
      </c>
      <c r="G8592" s="40" t="n">
        <v>1</v>
      </c>
    </row>
    <row r="8593" ht="12" customHeight="1">
      <c r="A8593" s="30" t="inlineStr">
        <is>
          <t>ITG</t>
        </is>
      </c>
      <c r="B8593" s="30" t="inlineStr">
        <is>
          <t>Itaguai</t>
        </is>
      </c>
      <c r="C8593" s="30" t="n">
        <v>86982927</v>
      </c>
      <c r="D8593" s="30">
        <f>"22847052000130"</f>
        <v/>
      </c>
      <c r="E8593" s="30" t="inlineStr">
        <is>
          <t>NJG TRANSPORTES DE CARGAS LTDA</t>
        </is>
      </c>
      <c r="F8593" s="30" t="inlineStr">
        <is>
          <t>2022</t>
        </is>
      </c>
      <c r="G8593" s="40" t="n">
        <v>0</v>
      </c>
    </row>
    <row r="8594" ht="12" customHeight="1">
      <c r="A8594" s="30" t="inlineStr">
        <is>
          <t>ITG</t>
        </is>
      </c>
      <c r="B8594" s="30" t="inlineStr">
        <is>
          <t>Itaguai</t>
        </is>
      </c>
      <c r="C8594" s="30" t="n">
        <v>86982927</v>
      </c>
      <c r="D8594" s="30">
        <f>"22847052000130"</f>
        <v/>
      </c>
      <c r="E8594" s="30" t="inlineStr">
        <is>
          <t>NJG TRANSPORTES DE CARGAS LTDA</t>
        </is>
      </c>
      <c r="F8594" s="30" t="inlineStr">
        <is>
          <t>2023</t>
        </is>
      </c>
      <c r="G8594" s="40" t="n">
        <v>0</v>
      </c>
    </row>
    <row r="8595" ht="12" customHeight="1">
      <c r="A8595" s="30" t="inlineStr">
        <is>
          <t>ITG</t>
        </is>
      </c>
      <c r="B8595" s="30" t="inlineStr">
        <is>
          <t>Itaguai</t>
        </is>
      </c>
      <c r="C8595" s="30" t="n">
        <v>86989891</v>
      </c>
      <c r="D8595" s="30">
        <f>"23035935000109"</f>
        <v/>
      </c>
      <c r="E8595" s="30" t="inlineStr">
        <is>
          <t>PEIXARIA J N DE ITAGUAI LTDA ME</t>
        </is>
      </c>
      <c r="F8595" s="30" t="inlineStr">
        <is>
          <t>2017</t>
        </is>
      </c>
      <c r="G8595" s="40" t="n">
        <v>0</v>
      </c>
    </row>
    <row r="8596" ht="12" customHeight="1">
      <c r="A8596" s="30" t="inlineStr">
        <is>
          <t>ITG</t>
        </is>
      </c>
      <c r="B8596" s="30" t="inlineStr">
        <is>
          <t>Itaguai</t>
        </is>
      </c>
      <c r="C8596" s="30" t="n">
        <v>86989891</v>
      </c>
      <c r="D8596" s="30">
        <f>"23035935000109"</f>
        <v/>
      </c>
      <c r="E8596" s="30" t="inlineStr">
        <is>
          <t>PEIXARIA J N DE ITAGUAI LTDA ME</t>
        </is>
      </c>
      <c r="F8596" s="30" t="inlineStr">
        <is>
          <t>2018</t>
        </is>
      </c>
      <c r="G8596" s="40" t="n">
        <v>0</v>
      </c>
    </row>
    <row r="8597" ht="12" customHeight="1">
      <c r="A8597" s="30" t="inlineStr">
        <is>
          <t>ITG</t>
        </is>
      </c>
      <c r="B8597" s="30" t="inlineStr">
        <is>
          <t>Itaguai</t>
        </is>
      </c>
      <c r="C8597" s="30" t="n">
        <v>86989891</v>
      </c>
      <c r="D8597" s="30">
        <f>"23035935000109"</f>
        <v/>
      </c>
      <c r="E8597" s="30" t="inlineStr">
        <is>
          <t>PEIXARIA J N DE ITAGUAI LTDA ME</t>
        </is>
      </c>
      <c r="F8597" s="30" t="inlineStr">
        <is>
          <t>2019</t>
        </is>
      </c>
      <c r="G8597" s="40" t="n">
        <v>82277.32000000001</v>
      </c>
    </row>
    <row r="8598" ht="12" customHeight="1">
      <c r="A8598" s="30" t="inlineStr">
        <is>
          <t>ITG</t>
        </is>
      </c>
      <c r="B8598" s="30" t="inlineStr">
        <is>
          <t>Itaguai</t>
        </is>
      </c>
      <c r="C8598" s="30" t="n">
        <v>86989891</v>
      </c>
      <c r="D8598" s="30">
        <f>"23035935000109"</f>
        <v/>
      </c>
      <c r="E8598" s="30" t="inlineStr">
        <is>
          <t>PEIXARIA J N DE ITAGUAI LTDA ME</t>
        </is>
      </c>
      <c r="F8598" s="30" t="inlineStr">
        <is>
          <t>2020</t>
        </is>
      </c>
      <c r="G8598" s="40" t="n">
        <v>0</v>
      </c>
    </row>
    <row r="8599" ht="12" customHeight="1">
      <c r="A8599" s="30" t="inlineStr">
        <is>
          <t>ITG</t>
        </is>
      </c>
      <c r="B8599" s="30" t="inlineStr">
        <is>
          <t>Itaguai</t>
        </is>
      </c>
      <c r="C8599" s="30" t="n">
        <v>86989891</v>
      </c>
      <c r="D8599" s="30">
        <f>"23035935000109"</f>
        <v/>
      </c>
      <c r="E8599" s="30" t="inlineStr">
        <is>
          <t>PEIXARIA J N DE ITAGUAI LTDA ME</t>
        </is>
      </c>
      <c r="F8599" s="30" t="inlineStr">
        <is>
          <t>2021</t>
        </is>
      </c>
      <c r="G8599" s="40" t="n">
        <v>0</v>
      </c>
    </row>
    <row r="8600" ht="12" customHeight="1">
      <c r="A8600" s="30" t="inlineStr">
        <is>
          <t>ITG</t>
        </is>
      </c>
      <c r="B8600" s="30" t="inlineStr">
        <is>
          <t>Itaguai</t>
        </is>
      </c>
      <c r="C8600" s="30" t="n">
        <v>86994178</v>
      </c>
      <c r="D8600" s="30">
        <f>"53237962003140"</f>
        <v/>
      </c>
      <c r="E8600" s="30" t="inlineStr">
        <is>
          <t>EMPRESA DE TRANSPORTES PAJUCARA LTDA</t>
        </is>
      </c>
      <c r="F8600" s="30" t="inlineStr">
        <is>
          <t>2017</t>
        </is>
      </c>
      <c r="G8600" s="40" t="n">
        <v>3227.2</v>
      </c>
    </row>
    <row r="8601" ht="12" customHeight="1">
      <c r="A8601" s="30" t="inlineStr">
        <is>
          <t>ITG</t>
        </is>
      </c>
      <c r="B8601" s="30" t="inlineStr">
        <is>
          <t>Itaguai</t>
        </is>
      </c>
      <c r="C8601" s="30" t="n">
        <v>86994178</v>
      </c>
      <c r="D8601" s="30">
        <f>"53237962003140"</f>
        <v/>
      </c>
      <c r="E8601" s="30" t="inlineStr">
        <is>
          <t>EMPRESA DE TRANSPORTES PAJUCARA LTDA</t>
        </is>
      </c>
      <c r="F8601" s="30" t="inlineStr">
        <is>
          <t>2018</t>
        </is>
      </c>
      <c r="G8601" s="40" t="n">
        <v>5038.36</v>
      </c>
    </row>
    <row r="8602" ht="12" customHeight="1">
      <c r="A8602" s="30" t="inlineStr">
        <is>
          <t>ITG</t>
        </is>
      </c>
      <c r="B8602" s="30" t="inlineStr">
        <is>
          <t>Itaguai</t>
        </is>
      </c>
      <c r="C8602" s="30" t="n">
        <v>86994178</v>
      </c>
      <c r="D8602" s="30">
        <f>"53237962003140"</f>
        <v/>
      </c>
      <c r="E8602" s="30" t="inlineStr">
        <is>
          <t>EMPRESA DE TRANSPORTES PAJUCARA LTDA</t>
        </is>
      </c>
      <c r="F8602" s="30" t="inlineStr">
        <is>
          <t>2019</t>
        </is>
      </c>
      <c r="G8602" s="40" t="n">
        <v>6548.86</v>
      </c>
    </row>
    <row r="8603" ht="12" customHeight="1">
      <c r="A8603" s="30" t="inlineStr">
        <is>
          <t>ITG</t>
        </is>
      </c>
      <c r="B8603" s="30" t="inlineStr">
        <is>
          <t>Itaguai</t>
        </is>
      </c>
      <c r="C8603" s="30" t="n">
        <v>86994178</v>
      </c>
      <c r="D8603" s="30">
        <f>"53237962003140"</f>
        <v/>
      </c>
      <c r="E8603" s="30" t="inlineStr">
        <is>
          <t>EMPRESA DE TRANSPORTES PAJUCARA LTDA</t>
        </is>
      </c>
      <c r="F8603" s="30" t="inlineStr">
        <is>
          <t>2020</t>
        </is>
      </c>
      <c r="G8603" s="40" t="n">
        <v>2396.77</v>
      </c>
    </row>
    <row r="8604" ht="12" customHeight="1">
      <c r="A8604" s="30" t="inlineStr">
        <is>
          <t>ITG</t>
        </is>
      </c>
      <c r="B8604" s="30" t="inlineStr">
        <is>
          <t>Itaguai</t>
        </is>
      </c>
      <c r="C8604" s="30" t="n">
        <v>86994178</v>
      </c>
      <c r="D8604" s="30">
        <f>"53237962003140"</f>
        <v/>
      </c>
      <c r="E8604" s="30" t="inlineStr">
        <is>
          <t>EMPRESA DE TRANSPORTES PAJUCARA LTDA</t>
        </is>
      </c>
      <c r="F8604" s="30" t="inlineStr">
        <is>
          <t>2021</t>
        </is>
      </c>
      <c r="G8604" s="40" t="n">
        <v>2656.17</v>
      </c>
    </row>
    <row r="8605" ht="12" customHeight="1">
      <c r="A8605" s="30" t="inlineStr">
        <is>
          <t>ITG</t>
        </is>
      </c>
      <c r="B8605" s="30" t="inlineStr">
        <is>
          <t>Itaguai</t>
        </is>
      </c>
      <c r="C8605" s="30" t="n">
        <v>86994178</v>
      </c>
      <c r="D8605" s="30">
        <f>"53237962003140"</f>
        <v/>
      </c>
      <c r="E8605" s="30" t="inlineStr">
        <is>
          <t>EMPRESA DE TRANSPORTES PAJUCARA LTDA</t>
        </is>
      </c>
      <c r="F8605" s="30" t="inlineStr">
        <is>
          <t>2022</t>
        </is>
      </c>
      <c r="G8605" s="40" t="n">
        <v>3830.12</v>
      </c>
    </row>
    <row r="8606" ht="12" customHeight="1">
      <c r="A8606" s="30" t="inlineStr">
        <is>
          <t>ITG</t>
        </is>
      </c>
      <c r="B8606" s="30" t="inlineStr">
        <is>
          <t>Itaguai</t>
        </is>
      </c>
      <c r="C8606" s="30" t="n">
        <v>86994178</v>
      </c>
      <c r="D8606" s="30">
        <f>"53237962003140"</f>
        <v/>
      </c>
      <c r="E8606" s="30" t="inlineStr">
        <is>
          <t>EMPRESA DE TRANSPORTES PAJUCARA LTDA</t>
        </is>
      </c>
      <c r="F8606" s="30" t="inlineStr">
        <is>
          <t>2023</t>
        </is>
      </c>
      <c r="G8606" s="40" t="n">
        <v>1324.85</v>
      </c>
    </row>
    <row r="8607" ht="12" customHeight="1">
      <c r="A8607" s="30" t="inlineStr">
        <is>
          <t>ITG</t>
        </is>
      </c>
      <c r="B8607" s="30" t="inlineStr">
        <is>
          <t>Itaguai</t>
        </is>
      </c>
      <c r="C8607" s="30" t="n">
        <v>86997177</v>
      </c>
      <c r="D8607" s="30">
        <f>"23126330000123"</f>
        <v/>
      </c>
      <c r="E8607" s="30" t="inlineStr">
        <is>
          <t>TRANSFUTURO LOGISTICA LTDA</t>
        </is>
      </c>
      <c r="F8607" s="30" t="inlineStr">
        <is>
          <t>2020</t>
        </is>
      </c>
      <c r="G8607" s="40" t="n">
        <v>0</v>
      </c>
    </row>
    <row r="8608" ht="12" customHeight="1">
      <c r="A8608" s="30" t="inlineStr">
        <is>
          <t>ITG</t>
        </is>
      </c>
      <c r="B8608" s="30" t="inlineStr">
        <is>
          <t>Itaguai</t>
        </is>
      </c>
      <c r="C8608" s="30" t="n">
        <v>86997177</v>
      </c>
      <c r="D8608" s="30">
        <f>"23126330000123"</f>
        <v/>
      </c>
      <c r="E8608" s="30" t="inlineStr">
        <is>
          <t>TRANSFUTURO LOGISTICA LTDA</t>
        </is>
      </c>
      <c r="F8608" s="30" t="inlineStr">
        <is>
          <t>2021</t>
        </is>
      </c>
      <c r="G8608" s="40" t="n">
        <v>0</v>
      </c>
    </row>
    <row r="8609" ht="12" customHeight="1">
      <c r="A8609" s="30" t="inlineStr">
        <is>
          <t>ITG</t>
        </is>
      </c>
      <c r="B8609" s="30" t="inlineStr">
        <is>
          <t>Itaguai</t>
        </is>
      </c>
      <c r="C8609" s="30" t="n">
        <v>86997177</v>
      </c>
      <c r="D8609" s="30">
        <f>"23126330000123"</f>
        <v/>
      </c>
      <c r="E8609" s="30" t="inlineStr">
        <is>
          <t>TRANSFUTURO LOGISTICA LTDA</t>
        </is>
      </c>
      <c r="F8609" s="30" t="inlineStr">
        <is>
          <t>2022</t>
        </is>
      </c>
      <c r="G8609" s="40" t="n">
        <v>750316.23</v>
      </c>
    </row>
    <row r="8610" ht="12" customHeight="1">
      <c r="A8610" s="30" t="inlineStr">
        <is>
          <t>ITG</t>
        </is>
      </c>
      <c r="B8610" s="30" t="inlineStr">
        <is>
          <t>Itaguai</t>
        </is>
      </c>
      <c r="C8610" s="30" t="n">
        <v>86997177</v>
      </c>
      <c r="D8610" s="30">
        <f>"23126330000123"</f>
        <v/>
      </c>
      <c r="E8610" s="30" t="inlineStr">
        <is>
          <t>TRANSFUTURO LOGISTICA LTDA</t>
        </is>
      </c>
      <c r="F8610" s="30" t="inlineStr">
        <is>
          <t>2023</t>
        </is>
      </c>
      <c r="G8610" s="40" t="n">
        <v>0</v>
      </c>
    </row>
    <row r="8611" ht="12" customHeight="1">
      <c r="A8611" s="30" t="inlineStr">
        <is>
          <t>ITG</t>
        </is>
      </c>
      <c r="B8611" s="30" t="inlineStr">
        <is>
          <t>Itaguai</t>
        </is>
      </c>
      <c r="C8611" s="30" t="n">
        <v>86998734</v>
      </c>
      <c r="D8611" s="30">
        <f>"16416528000186"</f>
        <v/>
      </c>
      <c r="E8611" s="30" t="inlineStr">
        <is>
          <t>VALCOMEX EQUIPAMENTOS TECNICOS E MATERIAIS LTDA</t>
        </is>
      </c>
      <c r="F8611" s="30" t="inlineStr">
        <is>
          <t>2017</t>
        </is>
      </c>
      <c r="G8611" s="40" t="n">
        <v>0</v>
      </c>
    </row>
    <row r="8612" ht="12" customHeight="1">
      <c r="A8612" s="30" t="inlineStr">
        <is>
          <t>ITG</t>
        </is>
      </c>
      <c r="B8612" s="30" t="inlineStr">
        <is>
          <t>Itaguai</t>
        </is>
      </c>
      <c r="C8612" s="30" t="n">
        <v>86998734</v>
      </c>
      <c r="D8612" s="30">
        <f>"16416528000186"</f>
        <v/>
      </c>
      <c r="E8612" s="30" t="inlineStr">
        <is>
          <t>VALCOMEX EQUIPAMENTOS TECNICOS E MATERIAIS LTDA</t>
        </is>
      </c>
      <c r="F8612" s="30" t="inlineStr">
        <is>
          <t>2018</t>
        </is>
      </c>
      <c r="G8612" s="40" t="n">
        <v>0</v>
      </c>
    </row>
    <row r="8613" ht="12" customHeight="1">
      <c r="A8613" s="30" t="inlineStr">
        <is>
          <t>ITG</t>
        </is>
      </c>
      <c r="B8613" s="30" t="inlineStr">
        <is>
          <t>Itaguai</t>
        </is>
      </c>
      <c r="C8613" s="30" t="n">
        <v>86998734</v>
      </c>
      <c r="D8613" s="30">
        <f>"16416528000186"</f>
        <v/>
      </c>
      <c r="E8613" s="30" t="inlineStr">
        <is>
          <t>VALCOMEX EQUIPAMENTOS TECNICOS E MATERIAIS LTDA</t>
        </is>
      </c>
      <c r="F8613" s="30" t="inlineStr">
        <is>
          <t>2019</t>
        </is>
      </c>
      <c r="G8613" s="40" t="n">
        <v>0</v>
      </c>
    </row>
    <row r="8614" ht="12" customHeight="1">
      <c r="A8614" s="30" t="inlineStr">
        <is>
          <t>ITG</t>
        </is>
      </c>
      <c r="B8614" s="30" t="inlineStr">
        <is>
          <t>Itaguai</t>
        </is>
      </c>
      <c r="C8614" s="30" t="n">
        <v>87000060</v>
      </c>
      <c r="D8614" s="30">
        <f>"23196759000197"</f>
        <v/>
      </c>
      <c r="E8614" s="30" t="inlineStr">
        <is>
          <t>AZZURRA FRANCE VEICULOS LTDA</t>
        </is>
      </c>
      <c r="F8614" s="30" t="inlineStr">
        <is>
          <t>2017</t>
        </is>
      </c>
      <c r="G8614" s="40" t="n">
        <v>541407.52</v>
      </c>
    </row>
    <row r="8615" ht="12" customHeight="1">
      <c r="A8615" s="30" t="inlineStr">
        <is>
          <t>ITG</t>
        </is>
      </c>
      <c r="B8615" s="30" t="inlineStr">
        <is>
          <t>Itaguai</t>
        </is>
      </c>
      <c r="C8615" s="30" t="n">
        <v>87000060</v>
      </c>
      <c r="D8615" s="30">
        <f>"23196759000197"</f>
        <v/>
      </c>
      <c r="E8615" s="30" t="inlineStr">
        <is>
          <t>AZZURRA FRANCE VEICULOS LTDA</t>
        </is>
      </c>
      <c r="F8615" s="30" t="inlineStr">
        <is>
          <t>2018</t>
        </is>
      </c>
      <c r="G8615" s="40" t="n">
        <v>13672453.5</v>
      </c>
    </row>
    <row r="8616" ht="12" customHeight="1">
      <c r="A8616" s="30" t="inlineStr">
        <is>
          <t>ITG</t>
        </is>
      </c>
      <c r="B8616" s="30" t="inlineStr">
        <is>
          <t>Itaguai</t>
        </is>
      </c>
      <c r="C8616" s="30" t="n">
        <v>87000060</v>
      </c>
      <c r="D8616" s="30">
        <f>"23196759000197"</f>
        <v/>
      </c>
      <c r="E8616" s="30" t="inlineStr">
        <is>
          <t>AZZURRA FRANCE VEICULOS LTDA</t>
        </is>
      </c>
      <c r="F8616" s="30" t="inlineStr">
        <is>
          <t>2019</t>
        </is>
      </c>
      <c r="G8616" s="40" t="n">
        <v>6254472.28</v>
      </c>
    </row>
    <row r="8617" ht="12" customHeight="1">
      <c r="A8617" s="30" t="inlineStr">
        <is>
          <t>ITG</t>
        </is>
      </c>
      <c r="B8617" s="30" t="inlineStr">
        <is>
          <t>Itaguai</t>
        </is>
      </c>
      <c r="C8617" s="30" t="n">
        <v>87000060</v>
      </c>
      <c r="D8617" s="30">
        <f>"23196759000197"</f>
        <v/>
      </c>
      <c r="E8617" s="30" t="inlineStr">
        <is>
          <t>AZZURRA FRANCE VEICULOS LTDA</t>
        </is>
      </c>
      <c r="F8617" s="30" t="inlineStr">
        <is>
          <t>2020</t>
        </is>
      </c>
      <c r="G8617" s="40" t="n">
        <v>346989.5</v>
      </c>
    </row>
    <row r="8618" ht="12" customHeight="1">
      <c r="A8618" s="30" t="inlineStr">
        <is>
          <t>ITG</t>
        </is>
      </c>
      <c r="B8618" s="30" t="inlineStr">
        <is>
          <t>Itaguai</t>
        </is>
      </c>
      <c r="C8618" s="30" t="n">
        <v>87000060</v>
      </c>
      <c r="D8618" s="30">
        <f>"23196759000197"</f>
        <v/>
      </c>
      <c r="E8618" s="30" t="inlineStr">
        <is>
          <t>AZZURRA FRANCE VEICULOS LTDA</t>
        </is>
      </c>
      <c r="F8618" s="30" t="inlineStr">
        <is>
          <t>2021</t>
        </is>
      </c>
      <c r="G8618" s="40" t="n">
        <v>2689519.87</v>
      </c>
    </row>
    <row r="8619" ht="12" customHeight="1">
      <c r="A8619" s="30" t="inlineStr">
        <is>
          <t>ITG</t>
        </is>
      </c>
      <c r="B8619" s="30" t="inlineStr">
        <is>
          <t>Itaguai</t>
        </is>
      </c>
      <c r="C8619" s="30" t="n">
        <v>87000060</v>
      </c>
      <c r="D8619" s="30">
        <f>"23196759000197"</f>
        <v/>
      </c>
      <c r="E8619" s="30" t="inlineStr">
        <is>
          <t>AZZURRA FRANCE VEICULOS LTDA</t>
        </is>
      </c>
      <c r="F8619" s="30" t="inlineStr">
        <is>
          <t>2022</t>
        </is>
      </c>
      <c r="G8619" s="40" t="n">
        <v>3285769.85</v>
      </c>
    </row>
    <row r="8620" ht="12" customHeight="1">
      <c r="A8620" s="30" t="inlineStr">
        <is>
          <t>ITG</t>
        </is>
      </c>
      <c r="B8620" s="30" t="inlineStr">
        <is>
          <t>Itaguai</t>
        </is>
      </c>
      <c r="C8620" s="30" t="n">
        <v>87000060</v>
      </c>
      <c r="D8620" s="30">
        <f>"23196759000197"</f>
        <v/>
      </c>
      <c r="E8620" s="30" t="inlineStr">
        <is>
          <t>AZZURRA FRANCE VEICULOS LTDA</t>
        </is>
      </c>
      <c r="F8620" s="30" t="inlineStr">
        <is>
          <t>2023</t>
        </is>
      </c>
      <c r="G8620" s="40" t="n">
        <v>0</v>
      </c>
    </row>
    <row r="8621" ht="12" customHeight="1">
      <c r="A8621" s="30" t="inlineStr">
        <is>
          <t>ITG</t>
        </is>
      </c>
      <c r="B8621" s="30" t="inlineStr">
        <is>
          <t>Itaguai</t>
        </is>
      </c>
      <c r="C8621" s="30" t="n">
        <v>87006298</v>
      </c>
      <c r="D8621" s="30">
        <f>"28670958000370"</f>
        <v/>
      </c>
      <c r="E8621" s="30" t="inlineStr">
        <is>
          <t>VIACAO CIDADE DO ACO LTDA</t>
        </is>
      </c>
      <c r="F8621" s="30" t="inlineStr">
        <is>
          <t>2020</t>
        </is>
      </c>
      <c r="G8621" s="40" t="n">
        <v>0</v>
      </c>
    </row>
    <row r="8622" ht="12" customHeight="1">
      <c r="A8622" s="30" t="inlineStr">
        <is>
          <t>ITG</t>
        </is>
      </c>
      <c r="B8622" s="30" t="inlineStr">
        <is>
          <t>Itaguai</t>
        </is>
      </c>
      <c r="C8622" s="30" t="n">
        <v>87006298</v>
      </c>
      <c r="D8622" s="30">
        <f>"28670958000370"</f>
        <v/>
      </c>
      <c r="E8622" s="30" t="inlineStr">
        <is>
          <t>VIACAO CIDADE DO ACO LTDA</t>
        </is>
      </c>
      <c r="F8622" s="30" t="inlineStr">
        <is>
          <t>2021</t>
        </is>
      </c>
      <c r="G8622" s="40" t="n">
        <v>0</v>
      </c>
    </row>
    <row r="8623" ht="12" customHeight="1">
      <c r="A8623" s="30" t="inlineStr">
        <is>
          <t>ITG</t>
        </is>
      </c>
      <c r="B8623" s="30" t="inlineStr">
        <is>
          <t>Itaguai</t>
        </is>
      </c>
      <c r="C8623" s="30" t="n">
        <v>87006298</v>
      </c>
      <c r="D8623" s="30">
        <f>"28670958000370"</f>
        <v/>
      </c>
      <c r="E8623" s="30" t="inlineStr">
        <is>
          <t>VIACAO CIDADE DO ACO LTDA</t>
        </is>
      </c>
      <c r="F8623" s="30" t="inlineStr">
        <is>
          <t>2022</t>
        </is>
      </c>
      <c r="G8623" s="40" t="n">
        <v>3115.28</v>
      </c>
    </row>
    <row r="8624" ht="12" customHeight="1">
      <c r="A8624" s="30" t="inlineStr">
        <is>
          <t>ITG</t>
        </is>
      </c>
      <c r="B8624" s="30" t="inlineStr">
        <is>
          <t>Itaguai</t>
        </is>
      </c>
      <c r="C8624" s="30" t="n">
        <v>87006298</v>
      </c>
      <c r="D8624" s="30">
        <f>"28670958000370"</f>
        <v/>
      </c>
      <c r="E8624" s="30" t="inlineStr">
        <is>
          <t>VIACAO CIDADE DO ACO LTDA</t>
        </is>
      </c>
      <c r="F8624" s="30" t="inlineStr">
        <is>
          <t>2023</t>
        </is>
      </c>
      <c r="G8624" s="40" t="n">
        <v>1975.96</v>
      </c>
    </row>
    <row r="8625" ht="12" customHeight="1">
      <c r="A8625" s="30" t="inlineStr">
        <is>
          <t>ITG</t>
        </is>
      </c>
      <c r="B8625" s="30" t="inlineStr">
        <is>
          <t>Itaguai</t>
        </is>
      </c>
      <c r="C8625" s="30" t="n">
        <v>87010287</v>
      </c>
      <c r="D8625" s="30">
        <f>"11114284012331"</f>
        <v/>
      </c>
      <c r="E8625" s="30" t="inlineStr">
        <is>
          <t>CASA &amp; VIDEO RIO DE JANEIRO S A</t>
        </is>
      </c>
      <c r="F8625" s="30" t="inlineStr">
        <is>
          <t>2017</t>
        </is>
      </c>
      <c r="G8625" s="40" t="n">
        <v>1285246.94</v>
      </c>
    </row>
    <row r="8626" ht="12" customHeight="1">
      <c r="A8626" s="30" t="inlineStr">
        <is>
          <t>ITG</t>
        </is>
      </c>
      <c r="B8626" s="30" t="inlineStr">
        <is>
          <t>Itaguai</t>
        </is>
      </c>
      <c r="C8626" s="30" t="n">
        <v>87010287</v>
      </c>
      <c r="D8626" s="30">
        <f>"11114284012331"</f>
        <v/>
      </c>
      <c r="E8626" s="30" t="inlineStr">
        <is>
          <t>CASA &amp; VIDEO RIO DE JANEIRO S A</t>
        </is>
      </c>
      <c r="F8626" s="30" t="inlineStr">
        <is>
          <t>2018</t>
        </is>
      </c>
      <c r="G8626" s="40" t="n">
        <v>1299687.33</v>
      </c>
    </row>
    <row r="8627" ht="12" customHeight="1">
      <c r="A8627" s="30" t="inlineStr">
        <is>
          <t>ITG</t>
        </is>
      </c>
      <c r="B8627" s="30" t="inlineStr">
        <is>
          <t>Itaguai</t>
        </is>
      </c>
      <c r="C8627" s="30" t="n">
        <v>87010287</v>
      </c>
      <c r="D8627" s="30">
        <f>"11114284012331"</f>
        <v/>
      </c>
      <c r="E8627" s="30" t="inlineStr">
        <is>
          <t>CASA &amp; VIDEO RIO DE JANEIRO S A</t>
        </is>
      </c>
      <c r="F8627" s="30" t="inlineStr">
        <is>
          <t>2019</t>
        </is>
      </c>
      <c r="G8627" s="40" t="n">
        <v>1358938.06</v>
      </c>
    </row>
    <row r="8628" ht="12" customHeight="1">
      <c r="A8628" s="30" t="inlineStr">
        <is>
          <t>ITG</t>
        </is>
      </c>
      <c r="B8628" s="30" t="inlineStr">
        <is>
          <t>Itaguai</t>
        </is>
      </c>
      <c r="C8628" s="30" t="n">
        <v>87010287</v>
      </c>
      <c r="D8628" s="30">
        <f>"11114284012331"</f>
        <v/>
      </c>
      <c r="E8628" s="30" t="inlineStr">
        <is>
          <t>CASA &amp; VIDEO RIO DE JANEIRO S A</t>
        </is>
      </c>
      <c r="F8628" s="30" t="inlineStr">
        <is>
          <t>2020</t>
        </is>
      </c>
      <c r="G8628" s="40" t="n">
        <v>1433222.17</v>
      </c>
    </row>
    <row r="8629" ht="12" customHeight="1">
      <c r="A8629" s="30" t="inlineStr">
        <is>
          <t>ITG</t>
        </is>
      </c>
      <c r="B8629" s="30" t="inlineStr">
        <is>
          <t>Itaguai</t>
        </is>
      </c>
      <c r="C8629" s="30" t="n">
        <v>87010287</v>
      </c>
      <c r="D8629" s="30">
        <f>"11114284012331"</f>
        <v/>
      </c>
      <c r="E8629" s="30" t="inlineStr">
        <is>
          <t>CASA &amp; VIDEO RIO DE JANEIRO S A</t>
        </is>
      </c>
      <c r="F8629" s="30" t="inlineStr">
        <is>
          <t>2021</t>
        </is>
      </c>
      <c r="G8629" s="40" t="n">
        <v>1157666.67</v>
      </c>
    </row>
    <row r="8630" ht="12" customHeight="1">
      <c r="A8630" s="30" t="inlineStr">
        <is>
          <t>ITG</t>
        </is>
      </c>
      <c r="B8630" s="30" t="inlineStr">
        <is>
          <t>Itaguai</t>
        </is>
      </c>
      <c r="C8630" s="30" t="n">
        <v>87010287</v>
      </c>
      <c r="D8630" s="30">
        <f>"11114284012331"</f>
        <v/>
      </c>
      <c r="E8630" s="30" t="inlineStr">
        <is>
          <t>CASA &amp; VIDEO RIO DE JANEIRO S A</t>
        </is>
      </c>
      <c r="F8630" s="30" t="inlineStr">
        <is>
          <t>2022</t>
        </is>
      </c>
      <c r="G8630" s="40" t="n">
        <v>1291233.72</v>
      </c>
    </row>
    <row r="8631" ht="12" customHeight="1">
      <c r="A8631" s="30" t="inlineStr">
        <is>
          <t>ITG</t>
        </is>
      </c>
      <c r="B8631" s="30" t="inlineStr">
        <is>
          <t>Itaguai</t>
        </is>
      </c>
      <c r="C8631" s="30" t="n">
        <v>87010287</v>
      </c>
      <c r="D8631" s="30">
        <f>"11114284012331"</f>
        <v/>
      </c>
      <c r="E8631" s="30" t="inlineStr">
        <is>
          <t>CASA &amp; VIDEO RIO DE JANEIRO S A</t>
        </is>
      </c>
      <c r="F8631" s="30" t="inlineStr">
        <is>
          <t>2023</t>
        </is>
      </c>
      <c r="G8631" s="40" t="n">
        <v>1352202.16</v>
      </c>
    </row>
    <row r="8632" ht="12" customHeight="1">
      <c r="A8632" s="30" t="inlineStr">
        <is>
          <t>ITG</t>
        </is>
      </c>
      <c r="B8632" s="30" t="inlineStr">
        <is>
          <t>Itaguai</t>
        </is>
      </c>
      <c r="C8632" s="30" t="n">
        <v>87012000</v>
      </c>
      <c r="D8632" s="30">
        <f>"02990003000226"</f>
        <v/>
      </c>
      <c r="E8632" s="30" t="inlineStr">
        <is>
          <t>SUPRAMAR DE IGUACU LTDA</t>
        </is>
      </c>
      <c r="F8632" s="30" t="inlineStr">
        <is>
          <t>2017</t>
        </is>
      </c>
      <c r="G8632" s="40" t="n">
        <v>1100</v>
      </c>
    </row>
    <row r="8633" ht="12" customHeight="1">
      <c r="A8633" s="30" t="inlineStr">
        <is>
          <t>ITG</t>
        </is>
      </c>
      <c r="B8633" s="30" t="inlineStr">
        <is>
          <t>Itaguai</t>
        </is>
      </c>
      <c r="C8633" s="30" t="n">
        <v>87012000</v>
      </c>
      <c r="D8633" s="30">
        <f>"02990003000226"</f>
        <v/>
      </c>
      <c r="E8633" s="30" t="inlineStr">
        <is>
          <t>SUPRAMAR DE IGUACU LTDA</t>
        </is>
      </c>
      <c r="F8633" s="30" t="inlineStr">
        <is>
          <t>2018</t>
        </is>
      </c>
      <c r="G8633" s="40" t="n">
        <v>0</v>
      </c>
    </row>
    <row r="8634" ht="12" customHeight="1">
      <c r="A8634" s="30" t="inlineStr">
        <is>
          <t>ITG</t>
        </is>
      </c>
      <c r="B8634" s="30" t="inlineStr">
        <is>
          <t>Itaguai</t>
        </is>
      </c>
      <c r="C8634" s="30" t="n">
        <v>87012000</v>
      </c>
      <c r="D8634" s="30">
        <f>"02990003000226"</f>
        <v/>
      </c>
      <c r="E8634" s="30" t="inlineStr">
        <is>
          <t>SUPRAMAR DE IGUACU LTDA</t>
        </is>
      </c>
      <c r="F8634" s="30" t="inlineStr">
        <is>
          <t>2019</t>
        </is>
      </c>
      <c r="G8634" s="40" t="n">
        <v>0</v>
      </c>
    </row>
    <row r="8635" ht="12" customHeight="1">
      <c r="A8635" s="30" t="inlineStr">
        <is>
          <t>ITG</t>
        </is>
      </c>
      <c r="B8635" s="30" t="inlineStr">
        <is>
          <t>Itaguai</t>
        </is>
      </c>
      <c r="C8635" s="30" t="n">
        <v>87013952</v>
      </c>
      <c r="D8635" s="30">
        <f>"05886614003585"</f>
        <v/>
      </c>
      <c r="E8635" s="30" t="inlineStr">
        <is>
          <t>DIRECT EXPRESS LOGISTICA INTEGRADA S/A</t>
        </is>
      </c>
      <c r="F8635" s="30" t="inlineStr">
        <is>
          <t>2017</t>
        </is>
      </c>
      <c r="G8635" s="40" t="n">
        <v>9036.889999999999</v>
      </c>
    </row>
    <row r="8636" ht="12" customHeight="1">
      <c r="A8636" s="30" t="inlineStr">
        <is>
          <t>ITG</t>
        </is>
      </c>
      <c r="B8636" s="30" t="inlineStr">
        <is>
          <t>Itaguai</t>
        </is>
      </c>
      <c r="C8636" s="30" t="n">
        <v>87013952</v>
      </c>
      <c r="D8636" s="30">
        <f>"05886614003585"</f>
        <v/>
      </c>
      <c r="E8636" s="30" t="inlineStr">
        <is>
          <t>DIRECT EXPRESS LOGISTICA INTEGRADA S/A</t>
        </is>
      </c>
      <c r="F8636" s="30" t="inlineStr">
        <is>
          <t>2018</t>
        </is>
      </c>
      <c r="G8636" s="40" t="n">
        <v>0</v>
      </c>
    </row>
    <row r="8637" ht="12" customHeight="1">
      <c r="A8637" s="30" t="inlineStr">
        <is>
          <t>ITG</t>
        </is>
      </c>
      <c r="B8637" s="30" t="inlineStr">
        <is>
          <t>Itaguai</t>
        </is>
      </c>
      <c r="C8637" s="30" t="n">
        <v>87013952</v>
      </c>
      <c r="D8637" s="30">
        <f>"05886614003585"</f>
        <v/>
      </c>
      <c r="E8637" s="30" t="inlineStr">
        <is>
          <t>DIRECT EXPRESS LOGISTICA INTEGRADA S/A</t>
        </is>
      </c>
      <c r="F8637" s="30" t="inlineStr">
        <is>
          <t>2019</t>
        </is>
      </c>
      <c r="G8637" s="40" t="n">
        <v>0</v>
      </c>
    </row>
    <row r="8638" ht="12" customHeight="1">
      <c r="A8638" s="30" t="inlineStr">
        <is>
          <t>ITG</t>
        </is>
      </c>
      <c r="B8638" s="30" t="inlineStr">
        <is>
          <t>Itaguai</t>
        </is>
      </c>
      <c r="C8638" s="30" t="n">
        <v>87015025</v>
      </c>
      <c r="D8638" s="30">
        <f>"10329139000218"</f>
        <v/>
      </c>
      <c r="E8638" s="30" t="inlineStr">
        <is>
          <t>DOXS LOGISTICA INTEGRADA LTDA</t>
        </is>
      </c>
      <c r="F8638" s="30" t="inlineStr">
        <is>
          <t>2019</t>
        </is>
      </c>
      <c r="G8638" s="40" t="n">
        <v>0</v>
      </c>
    </row>
    <row r="8639" ht="12" customHeight="1">
      <c r="A8639" s="30" t="inlineStr">
        <is>
          <t>ITG</t>
        </is>
      </c>
      <c r="B8639" s="30" t="inlineStr">
        <is>
          <t>Itaguai</t>
        </is>
      </c>
      <c r="C8639" s="30" t="n">
        <v>87015025</v>
      </c>
      <c r="D8639" s="30">
        <f>"10329139000218"</f>
        <v/>
      </c>
      <c r="E8639" s="30" t="inlineStr">
        <is>
          <t>DOXS LOGISTICA INTEGRADA LTDA</t>
        </is>
      </c>
      <c r="F8639" s="30" t="inlineStr">
        <is>
          <t>2020</t>
        </is>
      </c>
      <c r="G8639" s="40" t="n">
        <v>0</v>
      </c>
    </row>
    <row r="8640" ht="12" customHeight="1">
      <c r="A8640" s="30" t="inlineStr">
        <is>
          <t>ITG</t>
        </is>
      </c>
      <c r="B8640" s="30" t="inlineStr">
        <is>
          <t>Itaguai</t>
        </is>
      </c>
      <c r="C8640" s="30" t="n">
        <v>87015025</v>
      </c>
      <c r="D8640" s="30">
        <f>"10329139000218"</f>
        <v/>
      </c>
      <c r="E8640" s="30" t="inlineStr">
        <is>
          <t>DOXS LOGISTICA INTEGRADA LTDA</t>
        </is>
      </c>
      <c r="F8640" s="30" t="inlineStr">
        <is>
          <t>2021</t>
        </is>
      </c>
      <c r="G8640" s="40" t="n">
        <v>85.7</v>
      </c>
    </row>
    <row r="8641" ht="12" customHeight="1">
      <c r="A8641" s="30" t="inlineStr">
        <is>
          <t>ITG</t>
        </is>
      </c>
      <c r="B8641" s="30" t="inlineStr">
        <is>
          <t>Itaguai</t>
        </is>
      </c>
      <c r="C8641" s="30" t="n">
        <v>87015025</v>
      </c>
      <c r="D8641" s="30">
        <f>"10329139000218"</f>
        <v/>
      </c>
      <c r="E8641" s="30" t="inlineStr">
        <is>
          <t>DOXS LOGISTICA INTEGRADA LTDA</t>
        </is>
      </c>
      <c r="F8641" s="30" t="inlineStr">
        <is>
          <t>2022</t>
        </is>
      </c>
      <c r="G8641" s="40" t="n">
        <v>0</v>
      </c>
    </row>
    <row r="8642" ht="12" customHeight="1">
      <c r="A8642" s="30" t="inlineStr">
        <is>
          <t>ITG</t>
        </is>
      </c>
      <c r="B8642" s="30" t="inlineStr">
        <is>
          <t>Itaguai</t>
        </is>
      </c>
      <c r="C8642" s="30" t="n">
        <v>87015025</v>
      </c>
      <c r="D8642" s="30">
        <f>"10329139000218"</f>
        <v/>
      </c>
      <c r="E8642" s="30" t="inlineStr">
        <is>
          <t>DOXS LOGISTICA INTEGRADA LTDA</t>
        </is>
      </c>
      <c r="F8642" s="30" t="inlineStr">
        <is>
          <t>2023</t>
        </is>
      </c>
      <c r="G8642" s="40" t="n">
        <v>0</v>
      </c>
    </row>
    <row r="8643" ht="12" customHeight="1">
      <c r="A8643" s="30" t="inlineStr">
        <is>
          <t>ITG</t>
        </is>
      </c>
      <c r="B8643" s="30" t="inlineStr">
        <is>
          <t>Itaguai</t>
        </is>
      </c>
      <c r="C8643" s="30" t="n">
        <v>87021700</v>
      </c>
      <c r="D8643" s="30">
        <f>"28670958000290"</f>
        <v/>
      </c>
      <c r="E8643" s="30" t="inlineStr">
        <is>
          <t>VIACAO CIDADE DO ACO LTDA</t>
        </is>
      </c>
      <c r="F8643" s="30" t="inlineStr">
        <is>
          <t>2020</t>
        </is>
      </c>
      <c r="G8643" s="40" t="n">
        <v>0</v>
      </c>
    </row>
    <row r="8644" ht="12" customHeight="1">
      <c r="A8644" s="30" t="inlineStr">
        <is>
          <t>ITG</t>
        </is>
      </c>
      <c r="B8644" s="30" t="inlineStr">
        <is>
          <t>Itaguai</t>
        </is>
      </c>
      <c r="C8644" s="30" t="n">
        <v>87021700</v>
      </c>
      <c r="D8644" s="30">
        <f>"28670958000290"</f>
        <v/>
      </c>
      <c r="E8644" s="30" t="inlineStr">
        <is>
          <t>VIACAO CIDADE DO ACO LTDA</t>
        </is>
      </c>
      <c r="F8644" s="30" t="inlineStr">
        <is>
          <t>2021</t>
        </is>
      </c>
      <c r="G8644" s="40" t="n">
        <v>0</v>
      </c>
    </row>
    <row r="8645" ht="12" customHeight="1">
      <c r="A8645" s="30" t="inlineStr">
        <is>
          <t>ITG</t>
        </is>
      </c>
      <c r="B8645" s="30" t="inlineStr">
        <is>
          <t>Itaguai</t>
        </is>
      </c>
      <c r="C8645" s="30" t="n">
        <v>87021700</v>
      </c>
      <c r="D8645" s="30">
        <f>"28670958000290"</f>
        <v/>
      </c>
      <c r="E8645" s="30" t="inlineStr">
        <is>
          <t>VIACAO CIDADE DO ACO LTDA</t>
        </is>
      </c>
      <c r="F8645" s="30" t="inlineStr">
        <is>
          <t>2022</t>
        </is>
      </c>
      <c r="G8645" s="40" t="n">
        <v>10900</v>
      </c>
    </row>
    <row r="8646" ht="12" customHeight="1">
      <c r="A8646" s="30" t="inlineStr">
        <is>
          <t>ITG</t>
        </is>
      </c>
      <c r="B8646" s="30" t="inlineStr">
        <is>
          <t>Itaguai</t>
        </is>
      </c>
      <c r="C8646" s="30" t="n">
        <v>87021700</v>
      </c>
      <c r="D8646" s="30">
        <f>"28670958000290"</f>
        <v/>
      </c>
      <c r="E8646" s="30" t="inlineStr">
        <is>
          <t>VIACAO CIDADE DO ACO LTDA</t>
        </is>
      </c>
      <c r="F8646" s="30" t="inlineStr">
        <is>
          <t>2023</t>
        </is>
      </c>
      <c r="G8646" s="40" t="n">
        <v>39800</v>
      </c>
    </row>
    <row r="8647" ht="12" customHeight="1">
      <c r="A8647" s="30" t="inlineStr">
        <is>
          <t>ITG</t>
        </is>
      </c>
      <c r="B8647" s="30" t="inlineStr">
        <is>
          <t>Itaguai</t>
        </is>
      </c>
      <c r="C8647" s="30" t="n">
        <v>87029271</v>
      </c>
      <c r="D8647" s="30">
        <f>"30620298000446"</f>
        <v/>
      </c>
      <c r="E8647" s="30" t="inlineStr">
        <is>
          <t>EXPRESSO RIO DE JANEIRO LTDA</t>
        </is>
      </c>
      <c r="F8647" s="30" t="inlineStr">
        <is>
          <t>2021</t>
        </is>
      </c>
      <c r="G8647" s="40" t="n">
        <v>0</v>
      </c>
    </row>
    <row r="8648" ht="12" customHeight="1">
      <c r="A8648" s="30" t="inlineStr">
        <is>
          <t>ITG</t>
        </is>
      </c>
      <c r="B8648" s="30" t="inlineStr">
        <is>
          <t>Itaguai</t>
        </is>
      </c>
      <c r="C8648" s="30" t="n">
        <v>87029271</v>
      </c>
      <c r="D8648" s="30">
        <f>"30620298000446"</f>
        <v/>
      </c>
      <c r="E8648" s="30" t="inlineStr">
        <is>
          <t>EXPRESSO RIO DE JANEIRO LTDA</t>
        </is>
      </c>
      <c r="F8648" s="30" t="inlineStr">
        <is>
          <t>2022</t>
        </is>
      </c>
      <c r="G8648" s="40" t="n">
        <v>0</v>
      </c>
    </row>
    <row r="8649" ht="12" customHeight="1">
      <c r="A8649" s="30" t="inlineStr">
        <is>
          <t>ITG</t>
        </is>
      </c>
      <c r="B8649" s="30" t="inlineStr">
        <is>
          <t>Itaguai</t>
        </is>
      </c>
      <c r="C8649" s="30" t="n">
        <v>87029271</v>
      </c>
      <c r="D8649" s="30">
        <f>"30620298000446"</f>
        <v/>
      </c>
      <c r="E8649" s="30" t="inlineStr">
        <is>
          <t>EXPRESSO RIO DE JANEIRO LTDA</t>
        </is>
      </c>
      <c r="F8649" s="30" t="inlineStr">
        <is>
          <t>2023</t>
        </is>
      </c>
      <c r="G8649" s="40" t="n">
        <v>7690</v>
      </c>
    </row>
    <row r="8650" ht="12" customHeight="1">
      <c r="A8650" s="30" t="inlineStr">
        <is>
          <t>ITG</t>
        </is>
      </c>
      <c r="B8650" s="30" t="inlineStr">
        <is>
          <t>Itaguai</t>
        </is>
      </c>
      <c r="C8650" s="30" t="n">
        <v>87031993</v>
      </c>
      <c r="D8650" s="30">
        <f>"23236527000115"</f>
        <v/>
      </c>
      <c r="E8650" s="30" t="inlineStr">
        <is>
          <t>E AZEVEDO TRANSPORTE E LOGISTICA LTDA ME</t>
        </is>
      </c>
      <c r="F8650" s="30" t="inlineStr">
        <is>
          <t>2017</t>
        </is>
      </c>
      <c r="G8650" s="40" t="n">
        <v>0</v>
      </c>
    </row>
    <row r="8651" ht="12" customHeight="1">
      <c r="A8651" s="30" t="inlineStr">
        <is>
          <t>ITG</t>
        </is>
      </c>
      <c r="B8651" s="30" t="inlineStr">
        <is>
          <t>Itaguai</t>
        </is>
      </c>
      <c r="C8651" s="30" t="n">
        <v>87031993</v>
      </c>
      <c r="D8651" s="30">
        <f>"23236527000115"</f>
        <v/>
      </c>
      <c r="E8651" s="30" t="inlineStr">
        <is>
          <t>E AZEVEDO TRANSPORTE E LOGISTICA LTDA ME</t>
        </is>
      </c>
      <c r="F8651" s="30" t="inlineStr">
        <is>
          <t>2018</t>
        </is>
      </c>
      <c r="G8651" s="40" t="n">
        <v>3774</v>
      </c>
    </row>
    <row r="8652" ht="12" customHeight="1">
      <c r="A8652" s="30" t="inlineStr">
        <is>
          <t>ITG</t>
        </is>
      </c>
      <c r="B8652" s="30" t="inlineStr">
        <is>
          <t>Itaguai</t>
        </is>
      </c>
      <c r="C8652" s="30" t="n">
        <v>87031993</v>
      </c>
      <c r="D8652" s="30">
        <f>"23236527000115"</f>
        <v/>
      </c>
      <c r="E8652" s="30" t="inlineStr">
        <is>
          <t>E AZEVEDO TRANSPORTE E LOGISTICA LTDA ME</t>
        </is>
      </c>
      <c r="F8652" s="30" t="inlineStr">
        <is>
          <t>2019</t>
        </is>
      </c>
      <c r="G8652" s="40" t="n">
        <v>0</v>
      </c>
    </row>
    <row r="8653" ht="12" customHeight="1">
      <c r="A8653" s="30" t="inlineStr">
        <is>
          <t>ITG</t>
        </is>
      </c>
      <c r="B8653" s="30" t="inlineStr">
        <is>
          <t>Itaguai</t>
        </is>
      </c>
      <c r="C8653" s="30" t="n">
        <v>87031993</v>
      </c>
      <c r="D8653" s="30">
        <f>"23236527000115"</f>
        <v/>
      </c>
      <c r="E8653" s="30" t="inlineStr">
        <is>
          <t>E AZEVEDO TRANSPORTE E LOGISTICA LTDA ME</t>
        </is>
      </c>
      <c r="F8653" s="30" t="inlineStr">
        <is>
          <t>2020</t>
        </is>
      </c>
      <c r="G8653" s="40" t="n">
        <v>0</v>
      </c>
    </row>
    <row r="8654" ht="12" customHeight="1">
      <c r="A8654" s="30" t="inlineStr">
        <is>
          <t>ITG</t>
        </is>
      </c>
      <c r="B8654" s="30" t="inlineStr">
        <is>
          <t>Itaguai</t>
        </is>
      </c>
      <c r="C8654" s="30" t="n">
        <v>87034607</v>
      </c>
      <c r="D8654" s="30">
        <f>"16654626003410"</f>
        <v/>
      </c>
      <c r="E8654" s="30" t="inlineStr">
        <is>
          <t>COOK EMPREENDIMENTOS EM ALIMENTACAO COLETIVA LTDA</t>
        </is>
      </c>
      <c r="F8654" s="30" t="inlineStr">
        <is>
          <t>2017</t>
        </is>
      </c>
      <c r="G8654" s="40" t="n">
        <v>3831108.05</v>
      </c>
    </row>
    <row r="8655" ht="12" customHeight="1">
      <c r="A8655" s="30" t="inlineStr">
        <is>
          <t>ITG</t>
        </is>
      </c>
      <c r="B8655" s="30" t="inlineStr">
        <is>
          <t>Itaguai</t>
        </is>
      </c>
      <c r="C8655" s="30" t="n">
        <v>87034607</v>
      </c>
      <c r="D8655" s="30">
        <f>"16654626003410"</f>
        <v/>
      </c>
      <c r="E8655" s="30" t="inlineStr">
        <is>
          <t>COOK EMPREENDIMENTOS EM ALIMENTACAO COLETIVA LTDA</t>
        </is>
      </c>
      <c r="F8655" s="30" t="inlineStr">
        <is>
          <t>2018</t>
        </is>
      </c>
      <c r="G8655" s="40" t="n">
        <v>0</v>
      </c>
    </row>
    <row r="8656" ht="12" customHeight="1">
      <c r="A8656" s="30" t="inlineStr">
        <is>
          <t>ITG</t>
        </is>
      </c>
      <c r="B8656" s="30" t="inlineStr">
        <is>
          <t>Itaguai</t>
        </is>
      </c>
      <c r="C8656" s="30" t="n">
        <v>87034607</v>
      </c>
      <c r="D8656" s="30">
        <f>"16654626003410"</f>
        <v/>
      </c>
      <c r="E8656" s="30" t="inlineStr">
        <is>
          <t>COOK EMPREENDIMENTOS EM ALIMENTACAO COLETIVA LTDA</t>
        </is>
      </c>
      <c r="F8656" s="30" t="inlineStr">
        <is>
          <t>2019</t>
        </is>
      </c>
      <c r="G8656" s="40" t="n">
        <v>0</v>
      </c>
    </row>
    <row r="8657" ht="12" customHeight="1">
      <c r="A8657" s="30" t="inlineStr">
        <is>
          <t>ITG</t>
        </is>
      </c>
      <c r="B8657" s="30" t="inlineStr">
        <is>
          <t>Itaguai</t>
        </is>
      </c>
      <c r="C8657" s="30" t="n">
        <v>87034607</v>
      </c>
      <c r="D8657" s="30">
        <f>"16654626003410"</f>
        <v/>
      </c>
      <c r="E8657" s="30" t="inlineStr">
        <is>
          <t>COOK EMPREENDIMENTOS EM ALIMENTACAO COLETIVA LTDA</t>
        </is>
      </c>
      <c r="F8657" s="30" t="inlineStr">
        <is>
          <t>2020</t>
        </is>
      </c>
      <c r="G8657" s="40" t="n">
        <v>0</v>
      </c>
    </row>
    <row r="8658" ht="12" customHeight="1">
      <c r="A8658" s="30" t="inlineStr">
        <is>
          <t>ITG</t>
        </is>
      </c>
      <c r="B8658" s="30" t="inlineStr">
        <is>
          <t>Itaguai</t>
        </is>
      </c>
      <c r="C8658" s="30" t="n">
        <v>87034607</v>
      </c>
      <c r="D8658" s="30">
        <f>"16654626003410"</f>
        <v/>
      </c>
      <c r="E8658" s="30" t="inlineStr">
        <is>
          <t>COOK EMPREENDIMENTOS EM ALIMENTACAO COLETIVA LTDA</t>
        </is>
      </c>
      <c r="F8658" s="30" t="inlineStr">
        <is>
          <t>2021</t>
        </is>
      </c>
      <c r="G8658" s="40" t="n">
        <v>0</v>
      </c>
    </row>
    <row r="8659" ht="12" customHeight="1">
      <c r="A8659" s="30" t="inlineStr">
        <is>
          <t>ITG</t>
        </is>
      </c>
      <c r="B8659" s="30" t="inlineStr">
        <is>
          <t>Itaguai</t>
        </is>
      </c>
      <c r="C8659" s="30" t="n">
        <v>87034607</v>
      </c>
      <c r="D8659" s="30">
        <f>"16654626003410"</f>
        <v/>
      </c>
      <c r="E8659" s="30" t="inlineStr">
        <is>
          <t>COOK EMPREENDIMENTOS EM ALIMENTACAO COLETIVA LTDA</t>
        </is>
      </c>
      <c r="F8659" s="30" t="inlineStr">
        <is>
          <t>2022</t>
        </is>
      </c>
      <c r="G8659" s="40" t="n">
        <v>0</v>
      </c>
    </row>
    <row r="8660" ht="12" customHeight="1">
      <c r="A8660" s="30" t="inlineStr">
        <is>
          <t>ITG</t>
        </is>
      </c>
      <c r="B8660" s="30" t="inlineStr">
        <is>
          <t>Itaguai</t>
        </is>
      </c>
      <c r="C8660" s="30" t="n">
        <v>87034607</v>
      </c>
      <c r="D8660" s="30">
        <f>"16654626003410"</f>
        <v/>
      </c>
      <c r="E8660" s="30" t="inlineStr">
        <is>
          <t>COOK EMPREENDIMENTOS EM ALIMENTACAO COLETIVA LTDA</t>
        </is>
      </c>
      <c r="F8660" s="30" t="inlineStr">
        <is>
          <t>2023</t>
        </is>
      </c>
      <c r="G8660" s="40" t="n">
        <v>0</v>
      </c>
    </row>
    <row r="8661" ht="12" customHeight="1">
      <c r="A8661" s="30" t="inlineStr">
        <is>
          <t>ITG</t>
        </is>
      </c>
      <c r="B8661" s="30" t="inlineStr">
        <is>
          <t>Itaguai</t>
        </is>
      </c>
      <c r="C8661" s="30" t="n">
        <v>87035794</v>
      </c>
      <c r="D8661" s="30">
        <f>"05872814000300"</f>
        <v/>
      </c>
      <c r="E8661" s="30" t="inlineStr">
        <is>
          <t>VOGEL SOLUCOES EM TELECOMUNICACOES E INFORMATICA S.A.</t>
        </is>
      </c>
      <c r="F8661" s="30" t="inlineStr">
        <is>
          <t>2020</t>
        </is>
      </c>
      <c r="G8661" s="40" t="n">
        <v>0</v>
      </c>
    </row>
    <row r="8662" ht="12" customHeight="1">
      <c r="A8662" s="30" t="inlineStr">
        <is>
          <t>ITG</t>
        </is>
      </c>
      <c r="B8662" s="30" t="inlineStr">
        <is>
          <t>Itaguai</t>
        </is>
      </c>
      <c r="C8662" s="30" t="n">
        <v>87035794</v>
      </c>
      <c r="D8662" s="30">
        <f>"05872814000300"</f>
        <v/>
      </c>
      <c r="E8662" s="30" t="inlineStr">
        <is>
          <t>VOGEL SOLUCOES EM TELECOMUNICACOES E INFORMATICA S.A.</t>
        </is>
      </c>
      <c r="F8662" s="30" t="inlineStr">
        <is>
          <t>2021</t>
        </is>
      </c>
      <c r="G8662" s="40" t="n">
        <v>0</v>
      </c>
    </row>
    <row r="8663" ht="12" customHeight="1">
      <c r="A8663" s="30" t="inlineStr">
        <is>
          <t>ITG</t>
        </is>
      </c>
      <c r="B8663" s="30" t="inlineStr">
        <is>
          <t>Itaguai</t>
        </is>
      </c>
      <c r="C8663" s="30" t="n">
        <v>87035794</v>
      </c>
      <c r="D8663" s="30">
        <f>"05872814000300"</f>
        <v/>
      </c>
      <c r="E8663" s="30" t="inlineStr">
        <is>
          <t>VOGEL SOLUCOES EM TELECOMUNICACOES E INFORMATICA S.A.</t>
        </is>
      </c>
      <c r="F8663" s="30" t="inlineStr">
        <is>
          <t>2022</t>
        </is>
      </c>
      <c r="G8663" s="40" t="n">
        <v>15691.91</v>
      </c>
    </row>
    <row r="8664" ht="12" customHeight="1">
      <c r="A8664" s="30" t="inlineStr">
        <is>
          <t>ITG</t>
        </is>
      </c>
      <c r="B8664" s="30" t="inlineStr">
        <is>
          <t>Itaguai</t>
        </is>
      </c>
      <c r="C8664" s="30" t="n">
        <v>87035794</v>
      </c>
      <c r="D8664" s="30">
        <f>"05872814000300"</f>
        <v/>
      </c>
      <c r="E8664" s="30" t="inlineStr">
        <is>
          <t>VOGEL SOLUCOES EM TELECOMUNICACOES E INFORMATICA S.A.</t>
        </is>
      </c>
      <c r="F8664" s="30" t="inlineStr">
        <is>
          <t>2023</t>
        </is>
      </c>
      <c r="G8664" s="40" t="n">
        <v>182833.67</v>
      </c>
    </row>
    <row r="8665" ht="12" customHeight="1">
      <c r="A8665" s="30" t="inlineStr">
        <is>
          <t>ITG</t>
        </is>
      </c>
      <c r="B8665" s="30" t="inlineStr">
        <is>
          <t>Itaguai</t>
        </is>
      </c>
      <c r="C8665" s="30" t="n">
        <v>87038645</v>
      </c>
      <c r="D8665" s="30">
        <f>"44772937000665"</f>
        <v/>
      </c>
      <c r="E8665" s="30" t="inlineStr">
        <is>
          <t>TELEMATICA SISTEMAS INTELIGENTES LTDA</t>
        </is>
      </c>
      <c r="F8665" s="30" t="inlineStr">
        <is>
          <t>2017</t>
        </is>
      </c>
      <c r="G8665" s="40" t="n">
        <v>41118.06</v>
      </c>
    </row>
    <row r="8666" ht="12" customHeight="1">
      <c r="A8666" s="30" t="inlineStr">
        <is>
          <t>ITG</t>
        </is>
      </c>
      <c r="B8666" s="30" t="inlineStr">
        <is>
          <t>Itaguai</t>
        </is>
      </c>
      <c r="C8666" s="30" t="n">
        <v>87038645</v>
      </c>
      <c r="D8666" s="30">
        <f>"44772937000665"</f>
        <v/>
      </c>
      <c r="E8666" s="30" t="inlineStr">
        <is>
          <t>TELEMATICA SISTEMAS INTELIGENTES LTDA</t>
        </is>
      </c>
      <c r="F8666" s="30" t="inlineStr">
        <is>
          <t>2018</t>
        </is>
      </c>
      <c r="G8666" s="40" t="n">
        <v>0</v>
      </c>
    </row>
    <row r="8667" ht="12" customHeight="1">
      <c r="A8667" s="30" t="inlineStr">
        <is>
          <t>ITG</t>
        </is>
      </c>
      <c r="B8667" s="30" t="inlineStr">
        <is>
          <t>Itaguai</t>
        </is>
      </c>
      <c r="C8667" s="30" t="n">
        <v>87038645</v>
      </c>
      <c r="D8667" s="30">
        <f>"44772937000665"</f>
        <v/>
      </c>
      <c r="E8667" s="30" t="inlineStr">
        <is>
          <t>TELEMATICA SISTEMAS INTELIGENTES LTDA</t>
        </is>
      </c>
      <c r="F8667" s="30" t="inlineStr">
        <is>
          <t>2019</t>
        </is>
      </c>
      <c r="G8667" s="40" t="n">
        <v>0</v>
      </c>
    </row>
    <row r="8668" ht="12" customHeight="1">
      <c r="A8668" s="30" t="inlineStr">
        <is>
          <t>ITG</t>
        </is>
      </c>
      <c r="B8668" s="30" t="inlineStr">
        <is>
          <t>Itaguai</t>
        </is>
      </c>
      <c r="C8668" s="30" t="n">
        <v>87038645</v>
      </c>
      <c r="D8668" s="30">
        <f>"44772937000665"</f>
        <v/>
      </c>
      <c r="E8668" s="30" t="inlineStr">
        <is>
          <t>TELEMATICA SISTEMAS INTELIGENTES LTDA</t>
        </is>
      </c>
      <c r="F8668" s="30" t="inlineStr">
        <is>
          <t>2020</t>
        </is>
      </c>
      <c r="G8668" s="40" t="n">
        <v>0</v>
      </c>
    </row>
    <row r="8669" ht="12" customHeight="1">
      <c r="A8669" s="30" t="inlineStr">
        <is>
          <t>ITG</t>
        </is>
      </c>
      <c r="B8669" s="30" t="inlineStr">
        <is>
          <t>Itaguai</t>
        </is>
      </c>
      <c r="C8669" s="30" t="n">
        <v>87038645</v>
      </c>
      <c r="D8669" s="30">
        <f>"44772937000665"</f>
        <v/>
      </c>
      <c r="E8669" s="30" t="inlineStr">
        <is>
          <t>TELEMATICA SISTEMAS INTELIGENTES LTDA</t>
        </is>
      </c>
      <c r="F8669" s="30" t="inlineStr">
        <is>
          <t>2021</t>
        </is>
      </c>
      <c r="G8669" s="40" t="n">
        <v>0</v>
      </c>
    </row>
    <row r="8670" ht="12" customHeight="1">
      <c r="A8670" s="30" t="inlineStr">
        <is>
          <t>ITG</t>
        </is>
      </c>
      <c r="B8670" s="30" t="inlineStr">
        <is>
          <t>Itaguai</t>
        </is>
      </c>
      <c r="C8670" s="30" t="n">
        <v>87038645</v>
      </c>
      <c r="D8670" s="30">
        <f>"44772937000665"</f>
        <v/>
      </c>
      <c r="E8670" s="30" t="inlineStr">
        <is>
          <t>TELEMATICA SISTEMAS INTELIGENTES LTDA</t>
        </is>
      </c>
      <c r="F8670" s="30" t="inlineStr">
        <is>
          <t>2022</t>
        </is>
      </c>
      <c r="G8670" s="40" t="n">
        <v>0</v>
      </c>
    </row>
    <row r="8671" ht="12" customHeight="1">
      <c r="A8671" s="30" t="inlineStr">
        <is>
          <t>ITG</t>
        </is>
      </c>
      <c r="B8671" s="30" t="inlineStr">
        <is>
          <t>Itaguai</t>
        </is>
      </c>
      <c r="C8671" s="30" t="n">
        <v>87038645</v>
      </c>
      <c r="D8671" s="30">
        <f>"44772937000665"</f>
        <v/>
      </c>
      <c r="E8671" s="30" t="inlineStr">
        <is>
          <t>TELEMATICA SISTEMAS INTELIGENTES LTDA</t>
        </is>
      </c>
      <c r="F8671" s="30" t="inlineStr">
        <is>
          <t>2023</t>
        </is>
      </c>
      <c r="G8671" s="40" t="n">
        <v>0</v>
      </c>
    </row>
    <row r="8672" ht="12" customHeight="1">
      <c r="A8672" s="30" t="inlineStr">
        <is>
          <t>ITG</t>
        </is>
      </c>
      <c r="B8672" s="30" t="inlineStr">
        <is>
          <t>Itaguai</t>
        </is>
      </c>
      <c r="C8672" s="30" t="n">
        <v>87051048</v>
      </c>
      <c r="D8672" s="30">
        <f>"23671660000108"</f>
        <v/>
      </c>
      <c r="E8672" s="30" t="inlineStr">
        <is>
          <t>GLOG TRANSPORTES EIRELI</t>
        </is>
      </c>
      <c r="F8672" s="30" t="inlineStr">
        <is>
          <t>2018</t>
        </is>
      </c>
      <c r="G8672" s="40" t="n">
        <v>0</v>
      </c>
    </row>
    <row r="8673" ht="12" customHeight="1">
      <c r="A8673" s="30" t="inlineStr">
        <is>
          <t>ITG</t>
        </is>
      </c>
      <c r="B8673" s="30" t="inlineStr">
        <is>
          <t>Itaguai</t>
        </is>
      </c>
      <c r="C8673" s="30" t="n">
        <v>87051048</v>
      </c>
      <c r="D8673" s="30">
        <f>"23671660000108"</f>
        <v/>
      </c>
      <c r="E8673" s="30" t="inlineStr">
        <is>
          <t>GLOG TRANSPORTES EIRELI</t>
        </is>
      </c>
      <c r="F8673" s="30" t="inlineStr">
        <is>
          <t>2019</t>
        </is>
      </c>
      <c r="G8673" s="40" t="n">
        <v>0</v>
      </c>
    </row>
    <row r="8674" ht="12" customHeight="1">
      <c r="A8674" s="30" t="inlineStr">
        <is>
          <t>ITG</t>
        </is>
      </c>
      <c r="B8674" s="30" t="inlineStr">
        <is>
          <t>Itaguai</t>
        </is>
      </c>
      <c r="C8674" s="30" t="n">
        <v>87051048</v>
      </c>
      <c r="D8674" s="30">
        <f>"23671660000108"</f>
        <v/>
      </c>
      <c r="E8674" s="30" t="inlineStr">
        <is>
          <t>GLOG TRANSPORTES EIRELI</t>
        </is>
      </c>
      <c r="F8674" s="30" t="inlineStr">
        <is>
          <t>2020</t>
        </is>
      </c>
      <c r="G8674" s="40" t="n">
        <v>25065.94</v>
      </c>
    </row>
    <row r="8675" ht="12" customHeight="1">
      <c r="A8675" s="30" t="inlineStr">
        <is>
          <t>ITG</t>
        </is>
      </c>
      <c r="B8675" s="30" t="inlineStr">
        <is>
          <t>Itaguai</t>
        </is>
      </c>
      <c r="C8675" s="30" t="n">
        <v>87051048</v>
      </c>
      <c r="D8675" s="30">
        <f>"23671660000108"</f>
        <v/>
      </c>
      <c r="E8675" s="30" t="inlineStr">
        <is>
          <t>GLOG TRANSPORTES EIRELI</t>
        </is>
      </c>
      <c r="F8675" s="30" t="inlineStr">
        <is>
          <t>2021</t>
        </is>
      </c>
      <c r="G8675" s="40" t="n">
        <v>0</v>
      </c>
    </row>
    <row r="8676" ht="12" customHeight="1">
      <c r="A8676" s="30" t="inlineStr">
        <is>
          <t>ITG</t>
        </is>
      </c>
      <c r="B8676" s="30" t="inlineStr">
        <is>
          <t>Itaguai</t>
        </is>
      </c>
      <c r="C8676" s="30" t="n">
        <v>87051048</v>
      </c>
      <c r="D8676" s="30">
        <f>"23671660000108"</f>
        <v/>
      </c>
      <c r="E8676" s="30" t="inlineStr">
        <is>
          <t>GLOG TRANSPORTES EIRELI</t>
        </is>
      </c>
      <c r="F8676" s="30" t="inlineStr">
        <is>
          <t>2022</t>
        </is>
      </c>
      <c r="G8676" s="40" t="n">
        <v>0</v>
      </c>
    </row>
    <row r="8677" ht="12" customHeight="1">
      <c r="A8677" s="30" t="inlineStr">
        <is>
          <t>ITG</t>
        </is>
      </c>
      <c r="B8677" s="30" t="inlineStr">
        <is>
          <t>Itaguai</t>
        </is>
      </c>
      <c r="C8677" s="30" t="n">
        <v>87056805</v>
      </c>
      <c r="D8677" s="30">
        <f>"23723970000110"</f>
        <v/>
      </c>
      <c r="E8677" s="30" t="inlineStr">
        <is>
          <t>HALTER TECH ACADEMIA LTDA ME</t>
        </is>
      </c>
      <c r="F8677" s="30" t="inlineStr">
        <is>
          <t>2017</t>
        </is>
      </c>
      <c r="G8677" s="40" t="n">
        <v>0</v>
      </c>
    </row>
    <row r="8678" ht="12" customHeight="1">
      <c r="A8678" s="30" t="inlineStr">
        <is>
          <t>ITG</t>
        </is>
      </c>
      <c r="B8678" s="30" t="inlineStr">
        <is>
          <t>Itaguai</t>
        </is>
      </c>
      <c r="C8678" s="30" t="n">
        <v>87056805</v>
      </c>
      <c r="D8678" s="30">
        <f>"23723970000110"</f>
        <v/>
      </c>
      <c r="E8678" s="30" t="inlineStr">
        <is>
          <t>HALTER TECH ACADEMIA LTDA ME</t>
        </is>
      </c>
      <c r="F8678" s="30" t="inlineStr">
        <is>
          <t>2018</t>
        </is>
      </c>
      <c r="G8678" s="40" t="n">
        <v>0</v>
      </c>
    </row>
    <row r="8679" ht="12" customHeight="1">
      <c r="A8679" s="30" t="inlineStr">
        <is>
          <t>ITG</t>
        </is>
      </c>
      <c r="B8679" s="30" t="inlineStr">
        <is>
          <t>Itaguai</t>
        </is>
      </c>
      <c r="C8679" s="30" t="n">
        <v>87056805</v>
      </c>
      <c r="D8679" s="30">
        <f>"23723970000110"</f>
        <v/>
      </c>
      <c r="E8679" s="30" t="inlineStr">
        <is>
          <t>HALTER TECH ACADEMIA LTDA ME</t>
        </is>
      </c>
      <c r="F8679" s="30" t="inlineStr">
        <is>
          <t>2019</t>
        </is>
      </c>
      <c r="G8679" s="40" t="n">
        <v>0</v>
      </c>
    </row>
    <row r="8680" ht="12" customHeight="1">
      <c r="A8680" s="30" t="inlineStr">
        <is>
          <t>ITG</t>
        </is>
      </c>
      <c r="B8680" s="30" t="inlineStr">
        <is>
          <t>Itaguai</t>
        </is>
      </c>
      <c r="C8680" s="30" t="n">
        <v>87056805</v>
      </c>
      <c r="D8680" s="30">
        <f>"23723970000110"</f>
        <v/>
      </c>
      <c r="E8680" s="30" t="inlineStr">
        <is>
          <t>HALTER TECH ACADEMIA LTDA ME</t>
        </is>
      </c>
      <c r="F8680" s="30" t="inlineStr">
        <is>
          <t>2020</t>
        </is>
      </c>
      <c r="G8680" s="40" t="n">
        <v>0</v>
      </c>
    </row>
    <row r="8681" ht="12" customHeight="1">
      <c r="A8681" s="30" t="inlineStr">
        <is>
          <t>ITG</t>
        </is>
      </c>
      <c r="B8681" s="30" t="inlineStr">
        <is>
          <t>Itaguai</t>
        </is>
      </c>
      <c r="C8681" s="30" t="n">
        <v>87058182</v>
      </c>
      <c r="D8681" s="30">
        <f>"23734062000122"</f>
        <v/>
      </c>
      <c r="E8681" s="30" t="inlineStr">
        <is>
          <t>J T CALIL COMERCIO DE JOIAS EIRELI</t>
        </is>
      </c>
      <c r="F8681" s="30" t="inlineStr">
        <is>
          <t>2017</t>
        </is>
      </c>
      <c r="G8681" s="40" t="n">
        <v>2493669.29</v>
      </c>
    </row>
    <row r="8682" ht="12" customHeight="1">
      <c r="A8682" s="30" t="inlineStr">
        <is>
          <t>ITG</t>
        </is>
      </c>
      <c r="B8682" s="30" t="inlineStr">
        <is>
          <t>Itaguai</t>
        </is>
      </c>
      <c r="C8682" s="30" t="n">
        <v>87058182</v>
      </c>
      <c r="D8682" s="30">
        <f>"23734062000122"</f>
        <v/>
      </c>
      <c r="E8682" s="30" t="inlineStr">
        <is>
          <t>J T CALIL COMERCIO DE JOIAS EIRELI</t>
        </is>
      </c>
      <c r="F8682" s="30" t="inlineStr">
        <is>
          <t>2018</t>
        </is>
      </c>
      <c r="G8682" s="40" t="n">
        <v>1850685.07</v>
      </c>
    </row>
    <row r="8683" ht="12" customHeight="1">
      <c r="A8683" s="30" t="inlineStr">
        <is>
          <t>ITG</t>
        </is>
      </c>
      <c r="B8683" s="30" t="inlineStr">
        <is>
          <t>Itaguai</t>
        </is>
      </c>
      <c r="C8683" s="30" t="n">
        <v>87058182</v>
      </c>
      <c r="D8683" s="30">
        <f>"23734062000122"</f>
        <v/>
      </c>
      <c r="E8683" s="30" t="inlineStr">
        <is>
          <t>J T CALIL COMERCIO DE JOIAS EIRELI</t>
        </is>
      </c>
      <c r="F8683" s="30" t="inlineStr">
        <is>
          <t>2019</t>
        </is>
      </c>
      <c r="G8683" s="40" t="n">
        <v>2231860.75</v>
      </c>
    </row>
    <row r="8684" ht="12" customHeight="1">
      <c r="A8684" s="30" t="inlineStr">
        <is>
          <t>ITG</t>
        </is>
      </c>
      <c r="B8684" s="30" t="inlineStr">
        <is>
          <t>Itaguai</t>
        </is>
      </c>
      <c r="C8684" s="30" t="n">
        <v>87058182</v>
      </c>
      <c r="D8684" s="30">
        <f>"23734062000122"</f>
        <v/>
      </c>
      <c r="E8684" s="30" t="inlineStr">
        <is>
          <t>J T CALIL COMERCIO DE JOIAS EIRELI</t>
        </is>
      </c>
      <c r="F8684" s="30" t="inlineStr">
        <is>
          <t>2020</t>
        </is>
      </c>
      <c r="G8684" s="40" t="n">
        <v>2071249.94</v>
      </c>
    </row>
    <row r="8685" ht="12" customHeight="1">
      <c r="A8685" s="30" t="inlineStr">
        <is>
          <t>ITG</t>
        </is>
      </c>
      <c r="B8685" s="30" t="inlineStr">
        <is>
          <t>Itaguai</t>
        </is>
      </c>
      <c r="C8685" s="30" t="n">
        <v>87058182</v>
      </c>
      <c r="D8685" s="30">
        <f>"23734062000122"</f>
        <v/>
      </c>
      <c r="E8685" s="30" t="inlineStr">
        <is>
          <t>J T CALIL COMERCIO DE JOIAS EIRELI</t>
        </is>
      </c>
      <c r="F8685" s="30" t="inlineStr">
        <is>
          <t>2021</t>
        </is>
      </c>
      <c r="G8685" s="40" t="n">
        <v>3244437.11</v>
      </c>
    </row>
    <row r="8686" ht="12" customHeight="1">
      <c r="A8686" s="30" t="inlineStr">
        <is>
          <t>ITG</t>
        </is>
      </c>
      <c r="B8686" s="30" t="inlineStr">
        <is>
          <t>Itaguai</t>
        </is>
      </c>
      <c r="C8686" s="30" t="n">
        <v>87058182</v>
      </c>
      <c r="D8686" s="30">
        <f>"23734062000122"</f>
        <v/>
      </c>
      <c r="E8686" s="30" t="inlineStr">
        <is>
          <t>J T CALIL COMERCIO DE JOIAS EIRELI</t>
        </is>
      </c>
      <c r="F8686" s="30" t="inlineStr">
        <is>
          <t>2022</t>
        </is>
      </c>
      <c r="G8686" s="40" t="n">
        <v>1912372.62</v>
      </c>
    </row>
    <row r="8687" ht="12" customHeight="1">
      <c r="A8687" s="30" t="inlineStr">
        <is>
          <t>ITG</t>
        </is>
      </c>
      <c r="B8687" s="30" t="inlineStr">
        <is>
          <t>Itaguai</t>
        </is>
      </c>
      <c r="C8687" s="30" t="n">
        <v>87058182</v>
      </c>
      <c r="D8687" s="30">
        <f>"23734062000122"</f>
        <v/>
      </c>
      <c r="E8687" s="30" t="inlineStr">
        <is>
          <t>J T CALIL COMERCIO DE JOIAS EIRELI</t>
        </is>
      </c>
      <c r="F8687" s="30" t="inlineStr">
        <is>
          <t>2023</t>
        </is>
      </c>
      <c r="G8687" s="40" t="n">
        <v>1554190.26</v>
      </c>
    </row>
    <row r="8688" ht="12" customHeight="1">
      <c r="A8688" s="30" t="inlineStr">
        <is>
          <t>ITG</t>
        </is>
      </c>
      <c r="B8688" s="30" t="inlineStr">
        <is>
          <t>Itaguai</t>
        </is>
      </c>
      <c r="C8688" s="30" t="n">
        <v>87062554</v>
      </c>
      <c r="D8688" s="30">
        <f>"17252128000145"</f>
        <v/>
      </c>
      <c r="E8688" s="30" t="inlineStr">
        <is>
          <t>REVOLUTION SOM ILUMINACAO E IMAGEM EIRELI ME</t>
        </is>
      </c>
      <c r="F8688" s="30" t="inlineStr">
        <is>
          <t>2021</t>
        </is>
      </c>
      <c r="G8688" s="40" t="n">
        <v>0</v>
      </c>
    </row>
    <row r="8689" ht="12" customHeight="1">
      <c r="A8689" s="30" t="inlineStr">
        <is>
          <t>ITG</t>
        </is>
      </c>
      <c r="B8689" s="30" t="inlineStr">
        <is>
          <t>Itaguai</t>
        </is>
      </c>
      <c r="C8689" s="30" t="n">
        <v>87062554</v>
      </c>
      <c r="D8689" s="30">
        <f>"17252128000145"</f>
        <v/>
      </c>
      <c r="E8689" s="30" t="inlineStr">
        <is>
          <t>REVOLUTION SOM ILUMINACAO E IMAGEM EIRELI ME</t>
        </is>
      </c>
      <c r="F8689" s="30" t="inlineStr">
        <is>
          <t>2022</t>
        </is>
      </c>
      <c r="G8689" s="40" t="n">
        <v>0</v>
      </c>
    </row>
    <row r="8690" ht="12" customHeight="1">
      <c r="A8690" s="30" t="inlineStr">
        <is>
          <t>ITG</t>
        </is>
      </c>
      <c r="B8690" s="30" t="inlineStr">
        <is>
          <t>Itaguai</t>
        </is>
      </c>
      <c r="C8690" s="30" t="n">
        <v>87062554</v>
      </c>
      <c r="D8690" s="30">
        <f>"17252128000145"</f>
        <v/>
      </c>
      <c r="E8690" s="30" t="inlineStr">
        <is>
          <t>REVOLUTION SOM ILUMINACAO E IMAGEM EIRELI ME</t>
        </is>
      </c>
      <c r="F8690" s="30" t="inlineStr">
        <is>
          <t>2023</t>
        </is>
      </c>
      <c r="G8690" s="40" t="n">
        <v>0</v>
      </c>
    </row>
    <row r="8691" ht="12" customHeight="1">
      <c r="A8691" s="30" t="inlineStr">
        <is>
          <t>ITG</t>
        </is>
      </c>
      <c r="B8691" s="30" t="inlineStr">
        <is>
          <t>Itaguai</t>
        </is>
      </c>
      <c r="C8691" s="30" t="n">
        <v>87067998</v>
      </c>
      <c r="D8691" s="30">
        <f>"06695952000234"</f>
        <v/>
      </c>
      <c r="E8691" s="30" t="inlineStr">
        <is>
          <t>ACL CARGO TRANSPORTES LTDA EPP</t>
        </is>
      </c>
      <c r="F8691" s="30" t="inlineStr">
        <is>
          <t>2018</t>
        </is>
      </c>
      <c r="G8691" s="40" t="n">
        <v>0</v>
      </c>
    </row>
    <row r="8692" ht="12" customHeight="1">
      <c r="A8692" s="30" t="inlineStr">
        <is>
          <t>ITG</t>
        </is>
      </c>
      <c r="B8692" s="30" t="inlineStr">
        <is>
          <t>Itaguai</t>
        </is>
      </c>
      <c r="C8692" s="30" t="n">
        <v>87067998</v>
      </c>
      <c r="D8692" s="30">
        <f>"06695952000234"</f>
        <v/>
      </c>
      <c r="E8692" s="30" t="inlineStr">
        <is>
          <t>ACL CARGO TRANSPORTES LTDA EPP</t>
        </is>
      </c>
      <c r="F8692" s="30" t="inlineStr">
        <is>
          <t>2019</t>
        </is>
      </c>
      <c r="G8692" s="40" t="n">
        <v>0</v>
      </c>
    </row>
    <row r="8693" ht="12" customHeight="1">
      <c r="A8693" s="30" t="inlineStr">
        <is>
          <t>ITG</t>
        </is>
      </c>
      <c r="B8693" s="30" t="inlineStr">
        <is>
          <t>Itaguai</t>
        </is>
      </c>
      <c r="C8693" s="30" t="n">
        <v>87067998</v>
      </c>
      <c r="D8693" s="30">
        <f>"06695952000234"</f>
        <v/>
      </c>
      <c r="E8693" s="30" t="inlineStr">
        <is>
          <t>ACL CARGO TRANSPORTES LTDA EPP</t>
        </is>
      </c>
      <c r="F8693" s="30" t="inlineStr">
        <is>
          <t>2020</t>
        </is>
      </c>
      <c r="G8693" s="40" t="n">
        <v>344928.61</v>
      </c>
    </row>
    <row r="8694" ht="12" customHeight="1">
      <c r="A8694" s="30" t="inlineStr">
        <is>
          <t>ITG</t>
        </is>
      </c>
      <c r="B8694" s="30" t="inlineStr">
        <is>
          <t>Itaguai</t>
        </is>
      </c>
      <c r="C8694" s="30" t="n">
        <v>87067998</v>
      </c>
      <c r="D8694" s="30">
        <f>"06695952000234"</f>
        <v/>
      </c>
      <c r="E8694" s="30" t="inlineStr">
        <is>
          <t>ACL CARGO TRANSPORTES LTDA EPP</t>
        </is>
      </c>
      <c r="F8694" s="30" t="inlineStr">
        <is>
          <t>2021</t>
        </is>
      </c>
      <c r="G8694" s="40" t="n">
        <v>0</v>
      </c>
    </row>
    <row r="8695" ht="12" customHeight="1">
      <c r="A8695" s="30" t="inlineStr">
        <is>
          <t>ITG</t>
        </is>
      </c>
      <c r="B8695" s="30" t="inlineStr">
        <is>
          <t>Itaguai</t>
        </is>
      </c>
      <c r="C8695" s="30" t="n">
        <v>87067998</v>
      </c>
      <c r="D8695" s="30">
        <f>"06695952000234"</f>
        <v/>
      </c>
      <c r="E8695" s="30" t="inlineStr">
        <is>
          <t>ACL CARGO TRANSPORTES LTDA EPP</t>
        </is>
      </c>
      <c r="F8695" s="30" t="inlineStr">
        <is>
          <t>2022</t>
        </is>
      </c>
      <c r="G8695" s="40" t="n">
        <v>216248.59</v>
      </c>
    </row>
    <row r="8696" ht="12" customHeight="1">
      <c r="A8696" s="30" t="inlineStr">
        <is>
          <t>ITG</t>
        </is>
      </c>
      <c r="B8696" s="30" t="inlineStr">
        <is>
          <t>Itaguai</t>
        </is>
      </c>
      <c r="C8696" s="30" t="n">
        <v>87067998</v>
      </c>
      <c r="D8696" s="30">
        <f>"06695952000234"</f>
        <v/>
      </c>
      <c r="E8696" s="30" t="inlineStr">
        <is>
          <t>ACL CARGO TRANSPORTES LTDA EPP</t>
        </is>
      </c>
      <c r="F8696" s="30" t="inlineStr">
        <is>
          <t>2023</t>
        </is>
      </c>
      <c r="G8696" s="40" t="n">
        <v>0</v>
      </c>
    </row>
    <row r="8697" ht="12" customHeight="1">
      <c r="A8697" s="30" t="inlineStr">
        <is>
          <t>ITG</t>
        </is>
      </c>
      <c r="B8697" s="30" t="inlineStr">
        <is>
          <t>Itaguai</t>
        </is>
      </c>
      <c r="C8697" s="30" t="n">
        <v>87069273</v>
      </c>
      <c r="D8697" s="30">
        <f>"03572841000242"</f>
        <v/>
      </c>
      <c r="E8697" s="30" t="inlineStr">
        <is>
          <t>ULTRASOL AMBIENTAL LTDA</t>
        </is>
      </c>
      <c r="F8697" s="30" t="inlineStr">
        <is>
          <t>2017</t>
        </is>
      </c>
      <c r="G8697" s="40" t="n">
        <v>0</v>
      </c>
    </row>
    <row r="8698" ht="12" customHeight="1">
      <c r="A8698" s="30" t="inlineStr">
        <is>
          <t>ITG</t>
        </is>
      </c>
      <c r="B8698" s="30" t="inlineStr">
        <is>
          <t>Itaguai</t>
        </is>
      </c>
      <c r="C8698" s="30" t="n">
        <v>87069273</v>
      </c>
      <c r="D8698" s="30">
        <f>"03572841000242"</f>
        <v/>
      </c>
      <c r="E8698" s="30" t="inlineStr">
        <is>
          <t>ULTRASOL AMBIENTAL LTDA</t>
        </is>
      </c>
      <c r="F8698" s="30" t="inlineStr">
        <is>
          <t>2018</t>
        </is>
      </c>
      <c r="G8698" s="40" t="n">
        <v>2682</v>
      </c>
    </row>
    <row r="8699" ht="12" customHeight="1">
      <c r="A8699" s="30" t="inlineStr">
        <is>
          <t>ITG</t>
        </is>
      </c>
      <c r="B8699" s="30" t="inlineStr">
        <is>
          <t>Itaguai</t>
        </is>
      </c>
      <c r="C8699" s="30" t="n">
        <v>87069273</v>
      </c>
      <c r="D8699" s="30">
        <f>"03572841000242"</f>
        <v/>
      </c>
      <c r="E8699" s="30" t="inlineStr">
        <is>
          <t>ULTRASOL AMBIENTAL LTDA</t>
        </is>
      </c>
      <c r="F8699" s="30" t="inlineStr">
        <is>
          <t>2019</t>
        </is>
      </c>
      <c r="G8699" s="40" t="n">
        <v>4377</v>
      </c>
    </row>
    <row r="8700" ht="12" customHeight="1">
      <c r="A8700" s="30" t="inlineStr">
        <is>
          <t>ITG</t>
        </is>
      </c>
      <c r="B8700" s="30" t="inlineStr">
        <is>
          <t>Itaguai</t>
        </is>
      </c>
      <c r="C8700" s="30" t="n">
        <v>87069273</v>
      </c>
      <c r="D8700" s="30">
        <f>"03572841000242"</f>
        <v/>
      </c>
      <c r="E8700" s="30" t="inlineStr">
        <is>
          <t>ULTRASOL AMBIENTAL LTDA</t>
        </is>
      </c>
      <c r="F8700" s="30" t="inlineStr">
        <is>
          <t>2020</t>
        </is>
      </c>
      <c r="G8700" s="40" t="n">
        <v>708.27</v>
      </c>
    </row>
    <row r="8701" ht="12" customHeight="1">
      <c r="A8701" s="30" t="inlineStr">
        <is>
          <t>ITG</t>
        </is>
      </c>
      <c r="B8701" s="30" t="inlineStr">
        <is>
          <t>Itaguai</t>
        </is>
      </c>
      <c r="C8701" s="30" t="n">
        <v>87069273</v>
      </c>
      <c r="D8701" s="30">
        <f>"03572841000242"</f>
        <v/>
      </c>
      <c r="E8701" s="30" t="inlineStr">
        <is>
          <t>ULTRASOL AMBIENTAL LTDA</t>
        </is>
      </c>
      <c r="F8701" s="30" t="inlineStr">
        <is>
          <t>2021</t>
        </is>
      </c>
      <c r="G8701" s="40" t="n">
        <v>0</v>
      </c>
    </row>
    <row r="8702" ht="12" customHeight="1">
      <c r="A8702" s="30" t="inlineStr">
        <is>
          <t>ITG</t>
        </is>
      </c>
      <c r="B8702" s="30" t="inlineStr">
        <is>
          <t>Itaguai</t>
        </is>
      </c>
      <c r="C8702" s="30" t="n">
        <v>87069273</v>
      </c>
      <c r="D8702" s="30">
        <f>"03572841000242"</f>
        <v/>
      </c>
      <c r="E8702" s="30" t="inlineStr">
        <is>
          <t>ULTRASOL AMBIENTAL LTDA</t>
        </is>
      </c>
      <c r="F8702" s="30" t="inlineStr">
        <is>
          <t>2022</t>
        </is>
      </c>
      <c r="G8702" s="40" t="n">
        <v>0</v>
      </c>
    </row>
    <row r="8703" ht="12" customHeight="1">
      <c r="A8703" s="30" t="inlineStr">
        <is>
          <t>ITG</t>
        </is>
      </c>
      <c r="B8703" s="30" t="inlineStr">
        <is>
          <t>Itaguai</t>
        </is>
      </c>
      <c r="C8703" s="30" t="n">
        <v>87077187</v>
      </c>
      <c r="D8703" s="30">
        <f>"01599101002056"</f>
        <v/>
      </c>
      <c r="E8703" s="30" t="inlineStr">
        <is>
          <t>SEQUOIA LOGISTICA E TRANSPORTES S.A.</t>
        </is>
      </c>
      <c r="F8703" s="30" t="inlineStr">
        <is>
          <t>2018</t>
        </is>
      </c>
      <c r="G8703" s="40" t="n">
        <v>0</v>
      </c>
    </row>
    <row r="8704" ht="12" customHeight="1">
      <c r="A8704" s="30" t="inlineStr">
        <is>
          <t>ITG</t>
        </is>
      </c>
      <c r="B8704" s="30" t="inlineStr">
        <is>
          <t>Itaguai</t>
        </is>
      </c>
      <c r="C8704" s="30" t="n">
        <v>87077187</v>
      </c>
      <c r="D8704" s="30">
        <f>"01599101002056"</f>
        <v/>
      </c>
      <c r="E8704" s="30" t="inlineStr">
        <is>
          <t>SEQUOIA LOGISTICA E TRANSPORTES S.A.</t>
        </is>
      </c>
      <c r="F8704" s="30" t="inlineStr">
        <is>
          <t>2019</t>
        </is>
      </c>
      <c r="G8704" s="40" t="n">
        <v>0</v>
      </c>
    </row>
    <row r="8705" ht="12" customHeight="1">
      <c r="A8705" s="30" t="inlineStr">
        <is>
          <t>ITG</t>
        </is>
      </c>
      <c r="B8705" s="30" t="inlineStr">
        <is>
          <t>Itaguai</t>
        </is>
      </c>
      <c r="C8705" s="30" t="n">
        <v>87077187</v>
      </c>
      <c r="D8705" s="30">
        <f>"01599101002056"</f>
        <v/>
      </c>
      <c r="E8705" s="30" t="inlineStr">
        <is>
          <t>SEQUOIA LOGISTICA E TRANSPORTES S.A.</t>
        </is>
      </c>
      <c r="F8705" s="30" t="inlineStr">
        <is>
          <t>2020</t>
        </is>
      </c>
      <c r="G8705" s="40" t="n">
        <v>35.49</v>
      </c>
    </row>
    <row r="8706" ht="12" customHeight="1">
      <c r="A8706" s="30" t="inlineStr">
        <is>
          <t>ITG</t>
        </is>
      </c>
      <c r="B8706" s="30" t="inlineStr">
        <is>
          <t>Itaguai</t>
        </is>
      </c>
      <c r="C8706" s="30" t="n">
        <v>87077187</v>
      </c>
      <c r="D8706" s="30">
        <f>"01599101002056"</f>
        <v/>
      </c>
      <c r="E8706" s="30" t="inlineStr">
        <is>
          <t>SEQUOIA LOGISTICA E TRANSPORTES S.A.</t>
        </is>
      </c>
      <c r="F8706" s="30" t="inlineStr">
        <is>
          <t>2021</t>
        </is>
      </c>
      <c r="G8706" s="40" t="n">
        <v>1644.82</v>
      </c>
    </row>
    <row r="8707" ht="12" customHeight="1">
      <c r="A8707" s="30" t="inlineStr">
        <is>
          <t>ITG</t>
        </is>
      </c>
      <c r="B8707" s="30" t="inlineStr">
        <is>
          <t>Itaguai</t>
        </is>
      </c>
      <c r="C8707" s="30" t="n">
        <v>87077187</v>
      </c>
      <c r="D8707" s="30">
        <f>"01599101002056"</f>
        <v/>
      </c>
      <c r="E8707" s="30" t="inlineStr">
        <is>
          <t>SEQUOIA LOGISTICA E TRANSPORTES S.A.</t>
        </is>
      </c>
      <c r="F8707" s="30" t="inlineStr">
        <is>
          <t>2022</t>
        </is>
      </c>
      <c r="G8707" s="40" t="n">
        <v>325015.73</v>
      </c>
    </row>
    <row r="8708" ht="12" customHeight="1">
      <c r="A8708" s="30" t="inlineStr">
        <is>
          <t>ITG</t>
        </is>
      </c>
      <c r="B8708" s="30" t="inlineStr">
        <is>
          <t>Itaguai</t>
        </is>
      </c>
      <c r="C8708" s="30" t="n">
        <v>87077187</v>
      </c>
      <c r="D8708" s="30">
        <f>"01599101002056"</f>
        <v/>
      </c>
      <c r="E8708" s="30" t="inlineStr">
        <is>
          <t>SEQUOIA LOGISTICA E TRANSPORTES S.A.</t>
        </is>
      </c>
      <c r="F8708" s="30" t="inlineStr">
        <is>
          <t>2023</t>
        </is>
      </c>
      <c r="G8708" s="40" t="n">
        <v>84681.39999999999</v>
      </c>
    </row>
    <row r="8709" ht="12" customHeight="1">
      <c r="A8709" s="30" t="inlineStr">
        <is>
          <t>ITG</t>
        </is>
      </c>
      <c r="B8709" s="30" t="inlineStr">
        <is>
          <t>Itaguai</t>
        </is>
      </c>
      <c r="C8709" s="30" t="n">
        <v>87100375</v>
      </c>
      <c r="D8709" s="30">
        <f>"19938420000222"</f>
        <v/>
      </c>
      <c r="E8709" s="30" t="inlineStr">
        <is>
          <t>BEGUR TRANSPORTE RODOVIARIO LOGISTICA E SERVICOS LTDA</t>
        </is>
      </c>
      <c r="F8709" s="30" t="inlineStr">
        <is>
          <t>2021</t>
        </is>
      </c>
      <c r="G8709" s="40" t="n">
        <v>0</v>
      </c>
    </row>
    <row r="8710" ht="12" customHeight="1">
      <c r="A8710" s="30" t="inlineStr">
        <is>
          <t>ITG</t>
        </is>
      </c>
      <c r="B8710" s="30" t="inlineStr">
        <is>
          <t>Itaguai</t>
        </is>
      </c>
      <c r="C8710" s="30" t="n">
        <v>87100375</v>
      </c>
      <c r="D8710" s="30">
        <f>"19938420000222"</f>
        <v/>
      </c>
      <c r="E8710" s="30" t="inlineStr">
        <is>
          <t>BEGUR TRANSPORTE RODOVIARIO LOGISTICA E SERVICOS LTDA</t>
        </is>
      </c>
      <c r="F8710" s="30" t="inlineStr">
        <is>
          <t>2022</t>
        </is>
      </c>
      <c r="G8710" s="40" t="n">
        <v>0</v>
      </c>
    </row>
    <row r="8711" ht="12" customHeight="1">
      <c r="A8711" s="30" t="inlineStr">
        <is>
          <t>ITG</t>
        </is>
      </c>
      <c r="B8711" s="30" t="inlineStr">
        <is>
          <t>Itaguai</t>
        </is>
      </c>
      <c r="C8711" s="30" t="n">
        <v>87100375</v>
      </c>
      <c r="D8711" s="30">
        <f>"19938420000222"</f>
        <v/>
      </c>
      <c r="E8711" s="30" t="inlineStr">
        <is>
          <t>BEGUR TRANSPORTE RODOVIARIO LOGISTICA E SERVICOS LTDA</t>
        </is>
      </c>
      <c r="F8711" s="30" t="inlineStr">
        <is>
          <t>2023</t>
        </is>
      </c>
      <c r="G8711" s="40" t="n">
        <v>70</v>
      </c>
    </row>
    <row r="8712" ht="12" customHeight="1">
      <c r="A8712" s="30" t="inlineStr">
        <is>
          <t>ITG</t>
        </is>
      </c>
      <c r="B8712" s="30" t="inlineStr">
        <is>
          <t>Itaguai</t>
        </is>
      </c>
      <c r="C8712" s="30" t="n">
        <v>87102580</v>
      </c>
      <c r="D8712" s="30">
        <f>"24229493000102"</f>
        <v/>
      </c>
      <c r="E8712" s="30" t="inlineStr">
        <is>
          <t>F P COMERCIO VAREJISTA DE AUTO PECAS E ACESSORIOS LTDA</t>
        </is>
      </c>
      <c r="F8712" s="30" t="inlineStr">
        <is>
          <t>2017</t>
        </is>
      </c>
      <c r="G8712" s="40" t="n">
        <v>2962194.11</v>
      </c>
    </row>
    <row r="8713" ht="12" customHeight="1">
      <c r="A8713" s="30" t="inlineStr">
        <is>
          <t>ITG</t>
        </is>
      </c>
      <c r="B8713" s="30" t="inlineStr">
        <is>
          <t>Itaguai</t>
        </is>
      </c>
      <c r="C8713" s="30" t="n">
        <v>87102580</v>
      </c>
      <c r="D8713" s="30">
        <f>"24229493000102"</f>
        <v/>
      </c>
      <c r="E8713" s="30" t="inlineStr">
        <is>
          <t>F P COMERCIO VAREJISTA DE AUTO PECAS E ACESSORIOS LTDA</t>
        </is>
      </c>
      <c r="F8713" s="30" t="inlineStr">
        <is>
          <t>2018</t>
        </is>
      </c>
      <c r="G8713" s="40" t="n">
        <v>2337248.99</v>
      </c>
    </row>
    <row r="8714" ht="12" customHeight="1">
      <c r="A8714" s="30" t="inlineStr">
        <is>
          <t>ITG</t>
        </is>
      </c>
      <c r="B8714" s="30" t="inlineStr">
        <is>
          <t>Itaguai</t>
        </is>
      </c>
      <c r="C8714" s="30" t="n">
        <v>87102580</v>
      </c>
      <c r="D8714" s="30">
        <f>"24229493000102"</f>
        <v/>
      </c>
      <c r="E8714" s="30" t="inlineStr">
        <is>
          <t>F P COMERCIO VAREJISTA DE AUTO PECAS E ACESSORIOS LTDA</t>
        </is>
      </c>
      <c r="F8714" s="30" t="inlineStr">
        <is>
          <t>2019</t>
        </is>
      </c>
      <c r="G8714" s="40" t="n">
        <v>3520229.39</v>
      </c>
    </row>
    <row r="8715" ht="12" customHeight="1">
      <c r="A8715" s="30" t="inlineStr">
        <is>
          <t>ITG</t>
        </is>
      </c>
      <c r="B8715" s="30" t="inlineStr">
        <is>
          <t>Itaguai</t>
        </is>
      </c>
      <c r="C8715" s="30" t="n">
        <v>87102580</v>
      </c>
      <c r="D8715" s="30">
        <f>"24229493000102"</f>
        <v/>
      </c>
      <c r="E8715" s="30" t="inlineStr">
        <is>
          <t>F P COMERCIO VAREJISTA DE AUTO PECAS E ACESSORIOS LTDA</t>
        </is>
      </c>
      <c r="F8715" s="30" t="inlineStr">
        <is>
          <t>2020</t>
        </is>
      </c>
      <c r="G8715" s="40" t="n">
        <v>4474032.16</v>
      </c>
    </row>
    <row r="8716" ht="12" customHeight="1">
      <c r="A8716" s="30" t="inlineStr">
        <is>
          <t>ITG</t>
        </is>
      </c>
      <c r="B8716" s="30" t="inlineStr">
        <is>
          <t>Itaguai</t>
        </is>
      </c>
      <c r="C8716" s="30" t="n">
        <v>87102580</v>
      </c>
      <c r="D8716" s="30">
        <f>"24229493000102"</f>
        <v/>
      </c>
      <c r="E8716" s="30" t="inlineStr">
        <is>
          <t>F P COMERCIO VAREJISTA DE AUTO PECAS E ACESSORIOS LTDA</t>
        </is>
      </c>
      <c r="F8716" s="30" t="inlineStr">
        <is>
          <t>2021</t>
        </is>
      </c>
      <c r="G8716" s="40" t="n">
        <v>4638943.95</v>
      </c>
    </row>
    <row r="8717" ht="12" customHeight="1">
      <c r="A8717" s="30" t="inlineStr">
        <is>
          <t>ITG</t>
        </is>
      </c>
      <c r="B8717" s="30" t="inlineStr">
        <is>
          <t>Itaguai</t>
        </is>
      </c>
      <c r="C8717" s="30" t="n">
        <v>87102580</v>
      </c>
      <c r="D8717" s="30">
        <f>"24229493000102"</f>
        <v/>
      </c>
      <c r="E8717" s="30" t="inlineStr">
        <is>
          <t>F P COMERCIO VAREJISTA DE AUTO PECAS E ACESSORIOS LTDA</t>
        </is>
      </c>
      <c r="F8717" s="30" t="inlineStr">
        <is>
          <t>2022</t>
        </is>
      </c>
      <c r="G8717" s="40" t="n">
        <v>5237211.22</v>
      </c>
    </row>
    <row r="8718" ht="12" customHeight="1">
      <c r="A8718" s="30" t="inlineStr">
        <is>
          <t>ITG</t>
        </is>
      </c>
      <c r="B8718" s="30" t="inlineStr">
        <is>
          <t>Itaguai</t>
        </is>
      </c>
      <c r="C8718" s="30" t="n">
        <v>87102580</v>
      </c>
      <c r="D8718" s="30">
        <f>"24229493000102"</f>
        <v/>
      </c>
      <c r="E8718" s="30" t="inlineStr">
        <is>
          <t>F P COMERCIO VAREJISTA DE AUTO PECAS E ACESSORIOS LTDA</t>
        </is>
      </c>
      <c r="F8718" s="30" t="inlineStr">
        <is>
          <t>2023</t>
        </is>
      </c>
      <c r="G8718" s="40" t="n">
        <v>5074793.38</v>
      </c>
    </row>
    <row r="8719" ht="12" customHeight="1">
      <c r="A8719" s="30" t="inlineStr">
        <is>
          <t>ITG</t>
        </is>
      </c>
      <c r="B8719" s="30" t="inlineStr">
        <is>
          <t>Itaguai</t>
        </is>
      </c>
      <c r="C8719" s="30" t="n">
        <v>87105938</v>
      </c>
      <c r="D8719" s="30">
        <f>"17619009000773"</f>
        <v/>
      </c>
      <c r="E8719" s="30" t="inlineStr">
        <is>
          <t>VENKON EXPRESS TRANSPORTES EIRELI EPP</t>
        </is>
      </c>
      <c r="F8719" s="30" t="inlineStr">
        <is>
          <t>2018</t>
        </is>
      </c>
      <c r="G8719" s="40" t="n">
        <v>0</v>
      </c>
    </row>
    <row r="8720" ht="12" customHeight="1">
      <c r="A8720" s="30" t="inlineStr">
        <is>
          <t>ITG</t>
        </is>
      </c>
      <c r="B8720" s="30" t="inlineStr">
        <is>
          <t>Itaguai</t>
        </is>
      </c>
      <c r="C8720" s="30" t="n">
        <v>87105938</v>
      </c>
      <c r="D8720" s="30">
        <f>"17619009000773"</f>
        <v/>
      </c>
      <c r="E8720" s="30" t="inlineStr">
        <is>
          <t>VENKON EXPRESS TRANSPORTES EIRELI EPP</t>
        </is>
      </c>
      <c r="F8720" s="30" t="inlineStr">
        <is>
          <t>2019</t>
        </is>
      </c>
      <c r="G8720" s="40" t="n">
        <v>0</v>
      </c>
    </row>
    <row r="8721" ht="12" customHeight="1">
      <c r="A8721" s="30" t="inlineStr">
        <is>
          <t>ITG</t>
        </is>
      </c>
      <c r="B8721" s="30" t="inlineStr">
        <is>
          <t>Itaguai</t>
        </is>
      </c>
      <c r="C8721" s="30" t="n">
        <v>87105938</v>
      </c>
      <c r="D8721" s="30">
        <f>"17619009000773"</f>
        <v/>
      </c>
      <c r="E8721" s="30" t="inlineStr">
        <is>
          <t>VENKON EXPRESS TRANSPORTES EIRELI EPP</t>
        </is>
      </c>
      <c r="F8721" s="30" t="inlineStr">
        <is>
          <t>2020</t>
        </is>
      </c>
      <c r="G8721" s="40" t="n">
        <v>59388.69</v>
      </c>
    </row>
    <row r="8722" ht="12" customHeight="1">
      <c r="A8722" s="30" t="inlineStr">
        <is>
          <t>ITG</t>
        </is>
      </c>
      <c r="B8722" s="30" t="inlineStr">
        <is>
          <t>Itaguai</t>
        </is>
      </c>
      <c r="C8722" s="30" t="n">
        <v>87105938</v>
      </c>
      <c r="D8722" s="30">
        <f>"17619009000773"</f>
        <v/>
      </c>
      <c r="E8722" s="30" t="inlineStr">
        <is>
          <t>VENKON EXPRESS TRANSPORTES EIRELI EPP</t>
        </is>
      </c>
      <c r="F8722" s="30" t="inlineStr">
        <is>
          <t>2021</t>
        </is>
      </c>
      <c r="G8722" s="40" t="n">
        <v>47961.87</v>
      </c>
    </row>
    <row r="8723" ht="12" customHeight="1">
      <c r="A8723" s="30" t="inlineStr">
        <is>
          <t>ITG</t>
        </is>
      </c>
      <c r="B8723" s="30" t="inlineStr">
        <is>
          <t>Itaguai</t>
        </is>
      </c>
      <c r="C8723" s="30" t="n">
        <v>87105938</v>
      </c>
      <c r="D8723" s="30">
        <f>"17619009000773"</f>
        <v/>
      </c>
      <c r="E8723" s="30" t="inlineStr">
        <is>
          <t>VENKON EXPRESS TRANSPORTES EIRELI EPP</t>
        </is>
      </c>
      <c r="F8723" s="30" t="inlineStr">
        <is>
          <t>2022</t>
        </is>
      </c>
      <c r="G8723" s="40" t="n">
        <v>0</v>
      </c>
    </row>
    <row r="8724" ht="12" customHeight="1">
      <c r="A8724" s="30" t="inlineStr">
        <is>
          <t>ITG</t>
        </is>
      </c>
      <c r="B8724" s="30" t="inlineStr">
        <is>
          <t>Itaguai</t>
        </is>
      </c>
      <c r="C8724" s="30" t="n">
        <v>87105938</v>
      </c>
      <c r="D8724" s="30">
        <f>"17619009000773"</f>
        <v/>
      </c>
      <c r="E8724" s="30" t="inlineStr">
        <is>
          <t>VENKON EXPRESS TRANSPORTES EIRELI EPP</t>
        </is>
      </c>
      <c r="F8724" s="30" t="inlineStr">
        <is>
          <t>2023</t>
        </is>
      </c>
      <c r="G8724" s="40" t="n">
        <v>0</v>
      </c>
    </row>
    <row r="8725" ht="12" customHeight="1">
      <c r="A8725" s="30" t="inlineStr">
        <is>
          <t>ITG</t>
        </is>
      </c>
      <c r="B8725" s="30" t="inlineStr">
        <is>
          <t>Itaguai</t>
        </is>
      </c>
      <c r="C8725" s="30" t="n">
        <v>87107094</v>
      </c>
      <c r="D8725" s="30">
        <f>"07677731001278"</f>
        <v/>
      </c>
      <c r="E8725" s="30" t="inlineStr">
        <is>
          <t>AUTOPORT TRANSPORTES E LOGISTICA LTDA</t>
        </is>
      </c>
      <c r="F8725" s="30" t="inlineStr">
        <is>
          <t>2019</t>
        </is>
      </c>
      <c r="G8725" s="40" t="n">
        <v>0</v>
      </c>
    </row>
    <row r="8726" ht="12" customHeight="1">
      <c r="A8726" s="30" t="inlineStr">
        <is>
          <t>ITG</t>
        </is>
      </c>
      <c r="B8726" s="30" t="inlineStr">
        <is>
          <t>Itaguai</t>
        </is>
      </c>
      <c r="C8726" s="30" t="n">
        <v>87107094</v>
      </c>
      <c r="D8726" s="30">
        <f>"07677731001278"</f>
        <v/>
      </c>
      <c r="E8726" s="30" t="inlineStr">
        <is>
          <t>AUTOPORT TRANSPORTES E LOGISTICA LTDA</t>
        </is>
      </c>
      <c r="F8726" s="30" t="inlineStr">
        <is>
          <t>2020</t>
        </is>
      </c>
      <c r="G8726" s="40" t="n">
        <v>0</v>
      </c>
    </row>
    <row r="8727" ht="12" customHeight="1">
      <c r="A8727" s="30" t="inlineStr">
        <is>
          <t>ITG</t>
        </is>
      </c>
      <c r="B8727" s="30" t="inlineStr">
        <is>
          <t>Itaguai</t>
        </is>
      </c>
      <c r="C8727" s="30" t="n">
        <v>87107094</v>
      </c>
      <c r="D8727" s="30">
        <f>"07677731001278"</f>
        <v/>
      </c>
      <c r="E8727" s="30" t="inlineStr">
        <is>
          <t>AUTOPORT TRANSPORTES E LOGISTICA LTDA</t>
        </is>
      </c>
      <c r="F8727" s="30" t="inlineStr">
        <is>
          <t>2021</t>
        </is>
      </c>
      <c r="G8727" s="40" t="n">
        <v>15194.49</v>
      </c>
    </row>
    <row r="8728" ht="12" customHeight="1">
      <c r="A8728" s="30" t="inlineStr">
        <is>
          <t>ITG</t>
        </is>
      </c>
      <c r="B8728" s="30" t="inlineStr">
        <is>
          <t>Itaguai</t>
        </is>
      </c>
      <c r="C8728" s="30" t="n">
        <v>87107094</v>
      </c>
      <c r="D8728" s="30">
        <f>"07677731001278"</f>
        <v/>
      </c>
      <c r="E8728" s="30" t="inlineStr">
        <is>
          <t>AUTOPORT TRANSPORTES E LOGISTICA LTDA</t>
        </is>
      </c>
      <c r="F8728" s="30" t="inlineStr">
        <is>
          <t>2022</t>
        </is>
      </c>
      <c r="G8728" s="40" t="n">
        <v>0</v>
      </c>
    </row>
    <row r="8729" ht="12" customHeight="1">
      <c r="A8729" s="30" t="inlineStr">
        <is>
          <t>ITG</t>
        </is>
      </c>
      <c r="B8729" s="30" t="inlineStr">
        <is>
          <t>Itaguai</t>
        </is>
      </c>
      <c r="C8729" s="30" t="n">
        <v>87107094</v>
      </c>
      <c r="D8729" s="30">
        <f>"07677731001278"</f>
        <v/>
      </c>
      <c r="E8729" s="30" t="inlineStr">
        <is>
          <t>AUTOPORT TRANSPORTES E LOGISTICA LTDA</t>
        </is>
      </c>
      <c r="F8729" s="30" t="inlineStr">
        <is>
          <t>2023</t>
        </is>
      </c>
      <c r="G8729" s="40" t="n">
        <v>0</v>
      </c>
    </row>
    <row r="8730" ht="12" customHeight="1">
      <c r="A8730" s="30" t="inlineStr">
        <is>
          <t>ITG</t>
        </is>
      </c>
      <c r="B8730" s="30" t="inlineStr">
        <is>
          <t>Itaguai</t>
        </is>
      </c>
      <c r="C8730" s="30" t="n">
        <v>87107957</v>
      </c>
      <c r="D8730" s="30">
        <f>"13156593000121"</f>
        <v/>
      </c>
      <c r="E8730" s="30" t="inlineStr">
        <is>
          <t>D F DOS SANTOS JARDINAGEM ME</t>
        </is>
      </c>
      <c r="F8730" s="30" t="inlineStr">
        <is>
          <t>2017</t>
        </is>
      </c>
      <c r="G8730" s="40" t="n">
        <v>0</v>
      </c>
    </row>
    <row r="8731" ht="12" customHeight="1">
      <c r="A8731" s="30" t="inlineStr">
        <is>
          <t>ITG</t>
        </is>
      </c>
      <c r="B8731" s="30" t="inlineStr">
        <is>
          <t>Itaguai</t>
        </is>
      </c>
      <c r="C8731" s="30" t="n">
        <v>87107957</v>
      </c>
      <c r="D8731" s="30">
        <f>"13156593000121"</f>
        <v/>
      </c>
      <c r="E8731" s="30" t="inlineStr">
        <is>
          <t>D F DOS SANTOS JARDINAGEM ME</t>
        </is>
      </c>
      <c r="F8731" s="30" t="inlineStr">
        <is>
          <t>2018</t>
        </is>
      </c>
      <c r="G8731" s="40" t="n">
        <v>0</v>
      </c>
    </row>
    <row r="8732" ht="12" customHeight="1">
      <c r="A8732" s="30" t="inlineStr">
        <is>
          <t>ITG</t>
        </is>
      </c>
      <c r="B8732" s="30" t="inlineStr">
        <is>
          <t>Itaguai</t>
        </is>
      </c>
      <c r="C8732" s="30" t="n">
        <v>87107957</v>
      </c>
      <c r="D8732" s="30">
        <f>"13156593000121"</f>
        <v/>
      </c>
      <c r="E8732" s="30" t="inlineStr">
        <is>
          <t>D F DOS SANTOS JARDINAGEM ME</t>
        </is>
      </c>
      <c r="F8732" s="30" t="inlineStr">
        <is>
          <t>2019</t>
        </is>
      </c>
      <c r="G8732" s="40" t="n">
        <v>0</v>
      </c>
    </row>
    <row r="8733" ht="12" customHeight="1">
      <c r="A8733" s="30" t="inlineStr">
        <is>
          <t>ITG</t>
        </is>
      </c>
      <c r="B8733" s="30" t="inlineStr">
        <is>
          <t>Itaguai</t>
        </is>
      </c>
      <c r="C8733" s="30" t="n">
        <v>87107957</v>
      </c>
      <c r="D8733" s="30">
        <f>"13156593000121"</f>
        <v/>
      </c>
      <c r="E8733" s="30" t="inlineStr">
        <is>
          <t>D F DOS SANTOS JARDINAGEM ME</t>
        </is>
      </c>
      <c r="F8733" s="30" t="inlineStr">
        <is>
          <t>2020</t>
        </is>
      </c>
      <c r="G8733" s="40" t="n">
        <v>0</v>
      </c>
    </row>
    <row r="8734" ht="12" customHeight="1">
      <c r="A8734" s="30" t="inlineStr">
        <is>
          <t>ITG</t>
        </is>
      </c>
      <c r="B8734" s="30" t="inlineStr">
        <is>
          <t>Itaguai</t>
        </is>
      </c>
      <c r="C8734" s="30" t="n">
        <v>87108643</v>
      </c>
      <c r="D8734" s="30">
        <f>"24209386000104"</f>
        <v/>
      </c>
      <c r="E8734" s="30" t="inlineStr">
        <is>
          <t>SIBÉRIA COMÉRCIO E SERVIÇOS EIRELI</t>
        </is>
      </c>
      <c r="F8734" s="30" t="inlineStr">
        <is>
          <t>2018</t>
        </is>
      </c>
      <c r="G8734" s="40" t="n">
        <v>0</v>
      </c>
    </row>
    <row r="8735" ht="12" customHeight="1">
      <c r="A8735" s="30" t="inlineStr">
        <is>
          <t>ITG</t>
        </is>
      </c>
      <c r="B8735" s="30" t="inlineStr">
        <is>
          <t>Itaguai</t>
        </is>
      </c>
      <c r="C8735" s="30" t="n">
        <v>87108643</v>
      </c>
      <c r="D8735" s="30">
        <f>"24209386000104"</f>
        <v/>
      </c>
      <c r="E8735" s="30" t="inlineStr">
        <is>
          <t>SIBÉRIA COMÉRCIO E SERVIÇOS EIRELI</t>
        </is>
      </c>
      <c r="F8735" s="30" t="inlineStr">
        <is>
          <t>2019</t>
        </is>
      </c>
      <c r="G8735" s="40" t="n">
        <v>0</v>
      </c>
    </row>
    <row r="8736" ht="12" customHeight="1">
      <c r="A8736" s="30" t="inlineStr">
        <is>
          <t>ITG</t>
        </is>
      </c>
      <c r="B8736" s="30" t="inlineStr">
        <is>
          <t>Itaguai</t>
        </is>
      </c>
      <c r="C8736" s="30" t="n">
        <v>87108643</v>
      </c>
      <c r="D8736" s="30">
        <f>"24209386000104"</f>
        <v/>
      </c>
      <c r="E8736" s="30" t="inlineStr">
        <is>
          <t>SIBÉRIA COMÉRCIO E SERVIÇOS EIRELI</t>
        </is>
      </c>
      <c r="F8736" s="30" t="inlineStr">
        <is>
          <t>2020</t>
        </is>
      </c>
      <c r="G8736" s="40" t="n">
        <v>315304.9</v>
      </c>
    </row>
    <row r="8737" ht="12" customHeight="1">
      <c r="A8737" s="30" t="inlineStr">
        <is>
          <t>ITG</t>
        </is>
      </c>
      <c r="B8737" s="30" t="inlineStr">
        <is>
          <t>Itaguai</t>
        </is>
      </c>
      <c r="C8737" s="30" t="n">
        <v>87108643</v>
      </c>
      <c r="D8737" s="30">
        <f>"24209386000104"</f>
        <v/>
      </c>
      <c r="E8737" s="30" t="inlineStr">
        <is>
          <t>SIBÉRIA COMÉRCIO E SERVIÇOS EIRELI</t>
        </is>
      </c>
      <c r="F8737" s="30" t="inlineStr">
        <is>
          <t>2021</t>
        </is>
      </c>
      <c r="G8737" s="40" t="n">
        <v>0</v>
      </c>
    </row>
    <row r="8738" ht="12" customHeight="1">
      <c r="A8738" s="30" t="inlineStr">
        <is>
          <t>ITG</t>
        </is>
      </c>
      <c r="B8738" s="30" t="inlineStr">
        <is>
          <t>Itaguai</t>
        </is>
      </c>
      <c r="C8738" s="30" t="n">
        <v>87108643</v>
      </c>
      <c r="D8738" s="30">
        <f>"24209386000104"</f>
        <v/>
      </c>
      <c r="E8738" s="30" t="inlineStr">
        <is>
          <t>SIBÉRIA COMÉRCIO E SERVIÇOS EIRELI</t>
        </is>
      </c>
      <c r="F8738" s="30" t="inlineStr">
        <is>
          <t>2022</t>
        </is>
      </c>
      <c r="G8738" s="40" t="n">
        <v>0</v>
      </c>
    </row>
    <row r="8739" ht="12" customHeight="1">
      <c r="A8739" s="30" t="inlineStr">
        <is>
          <t>ITG</t>
        </is>
      </c>
      <c r="B8739" s="30" t="inlineStr">
        <is>
          <t>Itaguai</t>
        </is>
      </c>
      <c r="C8739" s="30" t="n">
        <v>87116760</v>
      </c>
      <c r="D8739" s="30">
        <f>"01125797002089"</f>
        <v/>
      </c>
      <c r="E8739" s="30" t="inlineStr">
        <is>
          <t>ATIVA DISTRIBUICAO E LOGISTICA LTDA</t>
        </is>
      </c>
      <c r="F8739" s="30" t="inlineStr">
        <is>
          <t>2017</t>
        </is>
      </c>
      <c r="G8739" s="40" t="n">
        <v>114.67</v>
      </c>
    </row>
    <row r="8740" ht="12" customHeight="1">
      <c r="A8740" s="30" t="inlineStr">
        <is>
          <t>ITG</t>
        </is>
      </c>
      <c r="B8740" s="30" t="inlineStr">
        <is>
          <t>Itaguai</t>
        </is>
      </c>
      <c r="C8740" s="30" t="n">
        <v>87116760</v>
      </c>
      <c r="D8740" s="30">
        <f>"01125797002089"</f>
        <v/>
      </c>
      <c r="E8740" s="30" t="inlineStr">
        <is>
          <t>ATIVA DISTRIBUICAO E LOGISTICA LTDA</t>
        </is>
      </c>
      <c r="F8740" s="30" t="inlineStr">
        <is>
          <t>2018</t>
        </is>
      </c>
      <c r="G8740" s="40" t="n">
        <v>0</v>
      </c>
    </row>
    <row r="8741" ht="12" customHeight="1">
      <c r="A8741" s="30" t="inlineStr">
        <is>
          <t>ITG</t>
        </is>
      </c>
      <c r="B8741" s="30" t="inlineStr">
        <is>
          <t>Itaguai</t>
        </is>
      </c>
      <c r="C8741" s="30" t="n">
        <v>87116760</v>
      </c>
      <c r="D8741" s="30">
        <f>"01125797002089"</f>
        <v/>
      </c>
      <c r="E8741" s="30" t="inlineStr">
        <is>
          <t>ATIVA DISTRIBUICAO E LOGISTICA LTDA</t>
        </is>
      </c>
      <c r="F8741" s="30" t="inlineStr">
        <is>
          <t>2019</t>
        </is>
      </c>
      <c r="G8741" s="40" t="n">
        <v>0</v>
      </c>
    </row>
    <row r="8742" ht="12" customHeight="1">
      <c r="A8742" s="30" t="inlineStr">
        <is>
          <t>ITG</t>
        </is>
      </c>
      <c r="B8742" s="30" t="inlineStr">
        <is>
          <t>Itaguai</t>
        </is>
      </c>
      <c r="C8742" s="30" t="n">
        <v>87129985</v>
      </c>
      <c r="D8742" s="30">
        <f>"04577959000226"</f>
        <v/>
      </c>
      <c r="E8742" s="30" t="inlineStr">
        <is>
          <t>BAT TRANSPORTES, LOGÍSTICA E ARMAZENAGEM EIRELI</t>
        </is>
      </c>
      <c r="F8742" s="30" t="inlineStr">
        <is>
          <t>2018</t>
        </is>
      </c>
      <c r="G8742" s="40" t="n">
        <v>0</v>
      </c>
    </row>
    <row r="8743" ht="12" customHeight="1">
      <c r="A8743" s="30" t="inlineStr">
        <is>
          <t>ITG</t>
        </is>
      </c>
      <c r="B8743" s="30" t="inlineStr">
        <is>
          <t>Itaguai</t>
        </is>
      </c>
      <c r="C8743" s="30" t="n">
        <v>87129985</v>
      </c>
      <c r="D8743" s="30">
        <f>"04577959000226"</f>
        <v/>
      </c>
      <c r="E8743" s="30" t="inlineStr">
        <is>
          <t>BAT TRANSPORTES, LOGÍSTICA E ARMAZENAGEM EIRELI</t>
        </is>
      </c>
      <c r="F8743" s="30" t="inlineStr">
        <is>
          <t>2019</t>
        </is>
      </c>
      <c r="G8743" s="40" t="n">
        <v>0</v>
      </c>
    </row>
    <row r="8744" ht="12" customHeight="1">
      <c r="A8744" s="30" t="inlineStr">
        <is>
          <t>ITG</t>
        </is>
      </c>
      <c r="B8744" s="30" t="inlineStr">
        <is>
          <t>Itaguai</t>
        </is>
      </c>
      <c r="C8744" s="30" t="n">
        <v>87129985</v>
      </c>
      <c r="D8744" s="30">
        <f>"04577959000226"</f>
        <v/>
      </c>
      <c r="E8744" s="30" t="inlineStr">
        <is>
          <t>BAT TRANSPORTES, LOGÍSTICA E ARMAZENAGEM EIRELI</t>
        </is>
      </c>
      <c r="F8744" s="30" t="inlineStr">
        <is>
          <t>2020</t>
        </is>
      </c>
      <c r="G8744" s="40" t="n">
        <v>512</v>
      </c>
    </row>
    <row r="8745" ht="12" customHeight="1">
      <c r="A8745" s="30" t="inlineStr">
        <is>
          <t>ITG</t>
        </is>
      </c>
      <c r="B8745" s="30" t="inlineStr">
        <is>
          <t>Itaguai</t>
        </is>
      </c>
      <c r="C8745" s="30" t="n">
        <v>87129985</v>
      </c>
      <c r="D8745" s="30">
        <f>"04577959000226"</f>
        <v/>
      </c>
      <c r="E8745" s="30" t="inlineStr">
        <is>
          <t>BAT TRANSPORTES, LOGÍSTICA E ARMAZENAGEM EIRELI</t>
        </is>
      </c>
      <c r="F8745" s="30" t="inlineStr">
        <is>
          <t>2021</t>
        </is>
      </c>
      <c r="G8745" s="40" t="n">
        <v>0</v>
      </c>
    </row>
    <row r="8746" ht="12" customHeight="1">
      <c r="A8746" s="30" t="inlineStr">
        <is>
          <t>ITG</t>
        </is>
      </c>
      <c r="B8746" s="30" t="inlineStr">
        <is>
          <t>Itaguai</t>
        </is>
      </c>
      <c r="C8746" s="30" t="n">
        <v>87129985</v>
      </c>
      <c r="D8746" s="30">
        <f>"04577959000226"</f>
        <v/>
      </c>
      <c r="E8746" s="30" t="inlineStr">
        <is>
          <t>BAT TRANSPORTES, LOGÍSTICA E ARMAZENAGEM EIRELI</t>
        </is>
      </c>
      <c r="F8746" s="30" t="inlineStr">
        <is>
          <t>2022</t>
        </is>
      </c>
      <c r="G8746" s="40" t="n">
        <v>0</v>
      </c>
    </row>
    <row r="8747" ht="12" customHeight="1">
      <c r="A8747" s="30" t="inlineStr">
        <is>
          <t>ITG</t>
        </is>
      </c>
      <c r="B8747" s="30" t="inlineStr">
        <is>
          <t>Itaguai</t>
        </is>
      </c>
      <c r="C8747" s="30" t="n">
        <v>87132536</v>
      </c>
      <c r="D8747" s="30">
        <f>"24487405000164"</f>
        <v/>
      </c>
      <c r="E8747" s="30" t="inlineStr">
        <is>
          <t>CONSTRUTORA E MATERIAL DE CONSTRUCAO CRISTINA EIRELI EPP</t>
        </is>
      </c>
      <c r="F8747" s="30" t="inlineStr">
        <is>
          <t>2018</t>
        </is>
      </c>
      <c r="G8747" s="40" t="n">
        <v>0</v>
      </c>
    </row>
    <row r="8748" ht="12" customHeight="1">
      <c r="A8748" s="30" t="inlineStr">
        <is>
          <t>ITG</t>
        </is>
      </c>
      <c r="B8748" s="30" t="inlineStr">
        <is>
          <t>Itaguai</t>
        </is>
      </c>
      <c r="C8748" s="30" t="n">
        <v>87132536</v>
      </c>
      <c r="D8748" s="30">
        <f>"24487405000164"</f>
        <v/>
      </c>
      <c r="E8748" s="30" t="inlineStr">
        <is>
          <t>CONSTRUTORA E MATERIAL DE CONSTRUCAO CRISTINA EIRELI EPP</t>
        </is>
      </c>
      <c r="F8748" s="30" t="inlineStr">
        <is>
          <t>2019</t>
        </is>
      </c>
      <c r="G8748" s="40" t="n">
        <v>0</v>
      </c>
    </row>
    <row r="8749" ht="12" customHeight="1">
      <c r="A8749" s="30" t="inlineStr">
        <is>
          <t>ITG</t>
        </is>
      </c>
      <c r="B8749" s="30" t="inlineStr">
        <is>
          <t>Itaguai</t>
        </is>
      </c>
      <c r="C8749" s="30" t="n">
        <v>87132536</v>
      </c>
      <c r="D8749" s="30">
        <f>"24487405000164"</f>
        <v/>
      </c>
      <c r="E8749" s="30" t="inlineStr">
        <is>
          <t>CONSTRUTORA E MATERIAL DE CONSTRUCAO CRISTINA EIRELI EPP</t>
        </is>
      </c>
      <c r="F8749" s="30" t="inlineStr">
        <is>
          <t>2020</t>
        </is>
      </c>
      <c r="G8749" s="40" t="n">
        <v>0</v>
      </c>
    </row>
    <row r="8750" ht="12" customHeight="1">
      <c r="A8750" s="30" t="inlineStr">
        <is>
          <t>ITG</t>
        </is>
      </c>
      <c r="B8750" s="30" t="inlineStr">
        <is>
          <t>Itaguai</t>
        </is>
      </c>
      <c r="C8750" s="30" t="n">
        <v>87132536</v>
      </c>
      <c r="D8750" s="30">
        <f>"24487405000164"</f>
        <v/>
      </c>
      <c r="E8750" s="30" t="inlineStr">
        <is>
          <t>CONSTRUTORA E MATERIAL DE CONSTRUCAO CRISTINA EIRELI EPP</t>
        </is>
      </c>
      <c r="F8750" s="30" t="inlineStr">
        <is>
          <t>2021</t>
        </is>
      </c>
      <c r="G8750" s="40" t="n">
        <v>0</v>
      </c>
    </row>
    <row r="8751" ht="12" customHeight="1">
      <c r="A8751" s="30" t="inlineStr">
        <is>
          <t>ITG</t>
        </is>
      </c>
      <c r="B8751" s="30" t="inlineStr">
        <is>
          <t>Itaguai</t>
        </is>
      </c>
      <c r="C8751" s="30" t="n">
        <v>87132536</v>
      </c>
      <c r="D8751" s="30">
        <f>"24487405000164"</f>
        <v/>
      </c>
      <c r="E8751" s="30" t="inlineStr">
        <is>
          <t>CONSTRUTORA E MATERIAL DE CONSTRUCAO CRISTINA EIRELI EPP</t>
        </is>
      </c>
      <c r="F8751" s="30" t="inlineStr">
        <is>
          <t>2022</t>
        </is>
      </c>
      <c r="G8751" s="40" t="n">
        <v>0</v>
      </c>
    </row>
    <row r="8752" ht="12" customHeight="1">
      <c r="A8752" s="30" t="inlineStr">
        <is>
          <t>ITG</t>
        </is>
      </c>
      <c r="B8752" s="30" t="inlineStr">
        <is>
          <t>Itaguai</t>
        </is>
      </c>
      <c r="C8752" s="30" t="n">
        <v>87132811</v>
      </c>
      <c r="D8752" s="30">
        <f>"24388056000123"</f>
        <v/>
      </c>
      <c r="E8752" s="30" t="inlineStr">
        <is>
          <t>IMPERIAL COSMETICOS DE ITAGUAI LTDA</t>
        </is>
      </c>
      <c r="F8752" s="30" t="inlineStr">
        <is>
          <t>2017</t>
        </is>
      </c>
      <c r="G8752" s="40" t="n">
        <v>0</v>
      </c>
    </row>
    <row r="8753" ht="12" customHeight="1">
      <c r="A8753" s="30" t="inlineStr">
        <is>
          <t>ITG</t>
        </is>
      </c>
      <c r="B8753" s="30" t="inlineStr">
        <is>
          <t>Itaguai</t>
        </is>
      </c>
      <c r="C8753" s="30" t="n">
        <v>87132811</v>
      </c>
      <c r="D8753" s="30">
        <f>"24388056000123"</f>
        <v/>
      </c>
      <c r="E8753" s="30" t="inlineStr">
        <is>
          <t>IMPERIAL COSMETICOS DE ITAGUAI LTDA</t>
        </is>
      </c>
      <c r="F8753" s="30" t="inlineStr">
        <is>
          <t>2018</t>
        </is>
      </c>
      <c r="G8753" s="40" t="n">
        <v>1161901.88</v>
      </c>
    </row>
    <row r="8754" ht="12" customHeight="1">
      <c r="A8754" s="30" t="inlineStr">
        <is>
          <t>ITG</t>
        </is>
      </c>
      <c r="B8754" s="30" t="inlineStr">
        <is>
          <t>Itaguai</t>
        </is>
      </c>
      <c r="C8754" s="30" t="n">
        <v>87132811</v>
      </c>
      <c r="D8754" s="30">
        <f>"24388056000123"</f>
        <v/>
      </c>
      <c r="E8754" s="30" t="inlineStr">
        <is>
          <t>IMPERIAL COSMETICOS DE ITAGUAI LTDA</t>
        </is>
      </c>
      <c r="F8754" s="30" t="inlineStr">
        <is>
          <t>2019</t>
        </is>
      </c>
      <c r="G8754" s="40" t="n">
        <v>0</v>
      </c>
    </row>
    <row r="8755" ht="12" customHeight="1">
      <c r="A8755" s="30" t="inlineStr">
        <is>
          <t>ITG</t>
        </is>
      </c>
      <c r="B8755" s="30" t="inlineStr">
        <is>
          <t>Itaguai</t>
        </is>
      </c>
      <c r="C8755" s="30" t="n">
        <v>87132811</v>
      </c>
      <c r="D8755" s="30">
        <f>"24388056000123"</f>
        <v/>
      </c>
      <c r="E8755" s="30" t="inlineStr">
        <is>
          <t>IMPERIAL COSMETICOS DE ITAGUAI LTDA</t>
        </is>
      </c>
      <c r="F8755" s="30" t="inlineStr">
        <is>
          <t>2020</t>
        </is>
      </c>
      <c r="G8755" s="40" t="n">
        <v>0</v>
      </c>
    </row>
    <row r="8756" ht="12" customHeight="1">
      <c r="A8756" s="30" t="inlineStr">
        <is>
          <t>ITG</t>
        </is>
      </c>
      <c r="B8756" s="30" t="inlineStr">
        <is>
          <t>Itaguai</t>
        </is>
      </c>
      <c r="C8756" s="30" t="n">
        <v>87132862</v>
      </c>
      <c r="D8756" s="30">
        <f>"16754063000173"</f>
        <v/>
      </c>
      <c r="E8756" s="30" t="inlineStr">
        <is>
          <t>CASAL LOCACOES DE MAQUINAS E EQUIPAMENTOS LTDA</t>
        </is>
      </c>
      <c r="F8756" s="30" t="inlineStr">
        <is>
          <t>2017</t>
        </is>
      </c>
      <c r="G8756" s="40" t="n">
        <v>0</v>
      </c>
    </row>
    <row r="8757" ht="12" customHeight="1">
      <c r="A8757" s="30" t="inlineStr">
        <is>
          <t>ITG</t>
        </is>
      </c>
      <c r="B8757" s="30" t="inlineStr">
        <is>
          <t>Itaguai</t>
        </is>
      </c>
      <c r="C8757" s="30" t="n">
        <v>87132862</v>
      </c>
      <c r="D8757" s="30">
        <f>"16754063000173"</f>
        <v/>
      </c>
      <c r="E8757" s="30" t="inlineStr">
        <is>
          <t>CASAL LOCACOES DE MAQUINAS E EQUIPAMENTOS LTDA</t>
        </is>
      </c>
      <c r="F8757" s="30" t="inlineStr">
        <is>
          <t>2018</t>
        </is>
      </c>
      <c r="G8757" s="40" t="n">
        <v>0</v>
      </c>
    </row>
    <row r="8758" ht="12" customHeight="1">
      <c r="A8758" s="30" t="inlineStr">
        <is>
          <t>ITG</t>
        </is>
      </c>
      <c r="B8758" s="30" t="inlineStr">
        <is>
          <t>Itaguai</t>
        </is>
      </c>
      <c r="C8758" s="30" t="n">
        <v>87132862</v>
      </c>
      <c r="D8758" s="30">
        <f>"16754063000173"</f>
        <v/>
      </c>
      <c r="E8758" s="30" t="inlineStr">
        <is>
          <t>CASAL LOCACOES DE MAQUINAS E EQUIPAMENTOS LTDA</t>
        </is>
      </c>
      <c r="F8758" s="30" t="inlineStr">
        <is>
          <t>2019</t>
        </is>
      </c>
      <c r="G8758" s="40" t="n">
        <v>0</v>
      </c>
    </row>
    <row r="8759" ht="12" customHeight="1">
      <c r="A8759" s="30" t="inlineStr">
        <is>
          <t>ITG</t>
        </is>
      </c>
      <c r="B8759" s="30" t="inlineStr">
        <is>
          <t>Itaguai</t>
        </is>
      </c>
      <c r="C8759" s="30" t="n">
        <v>87132862</v>
      </c>
      <c r="D8759" s="30">
        <f>"16754063000173"</f>
        <v/>
      </c>
      <c r="E8759" s="30" t="inlineStr">
        <is>
          <t>CASAL LOCACOES DE MAQUINAS E EQUIPAMENTOS LTDA</t>
        </is>
      </c>
      <c r="F8759" s="30" t="inlineStr">
        <is>
          <t>2020</t>
        </is>
      </c>
      <c r="G8759" s="40" t="n">
        <v>0</v>
      </c>
    </row>
    <row r="8760" ht="12" customHeight="1">
      <c r="A8760" s="30" t="inlineStr">
        <is>
          <t>ITG</t>
        </is>
      </c>
      <c r="B8760" s="30" t="inlineStr">
        <is>
          <t>Itaguai</t>
        </is>
      </c>
      <c r="C8760" s="30" t="n">
        <v>87132862</v>
      </c>
      <c r="D8760" s="30">
        <f>"16754063000173"</f>
        <v/>
      </c>
      <c r="E8760" s="30" t="inlineStr">
        <is>
          <t>CASAL LOCACOES DE MAQUINAS E EQUIPAMENTOS LTDA</t>
        </is>
      </c>
      <c r="F8760" s="30" t="inlineStr">
        <is>
          <t>2021</t>
        </is>
      </c>
      <c r="G8760" s="40" t="n">
        <v>0</v>
      </c>
    </row>
    <row r="8761" ht="12" customHeight="1">
      <c r="A8761" s="30" t="inlineStr">
        <is>
          <t>ITG</t>
        </is>
      </c>
      <c r="B8761" s="30" t="inlineStr">
        <is>
          <t>Itaguai</t>
        </is>
      </c>
      <c r="C8761" s="30" t="n">
        <v>87132862</v>
      </c>
      <c r="D8761" s="30">
        <f>"16754063000173"</f>
        <v/>
      </c>
      <c r="E8761" s="30" t="inlineStr">
        <is>
          <t>CASAL LOCACOES DE MAQUINAS E EQUIPAMENTOS LTDA</t>
        </is>
      </c>
      <c r="F8761" s="30" t="inlineStr">
        <is>
          <t>2022</t>
        </is>
      </c>
      <c r="G8761" s="40" t="n">
        <v>0</v>
      </c>
    </row>
    <row r="8762" ht="12" customHeight="1">
      <c r="A8762" s="30" t="inlineStr">
        <is>
          <t>ITG</t>
        </is>
      </c>
      <c r="B8762" s="30" t="inlineStr">
        <is>
          <t>Itaguai</t>
        </is>
      </c>
      <c r="C8762" s="30" t="n">
        <v>87132862</v>
      </c>
      <c r="D8762" s="30">
        <f>"16754063000173"</f>
        <v/>
      </c>
      <c r="E8762" s="30" t="inlineStr">
        <is>
          <t>CASAL LOCACOES DE MAQUINAS E EQUIPAMENTOS LTDA</t>
        </is>
      </c>
      <c r="F8762" s="30" t="inlineStr">
        <is>
          <t>2023</t>
        </is>
      </c>
      <c r="G8762" s="40" t="n">
        <v>0</v>
      </c>
    </row>
    <row r="8763" ht="12" customHeight="1">
      <c r="A8763" s="30" t="inlineStr">
        <is>
          <t>ITG</t>
        </is>
      </c>
      <c r="B8763" s="30" t="inlineStr">
        <is>
          <t>Itaguai</t>
        </is>
      </c>
      <c r="C8763" s="30" t="n">
        <v>87132919</v>
      </c>
      <c r="D8763" s="30">
        <f>"11132060000184"</f>
        <v/>
      </c>
      <c r="E8763" s="30" t="inlineStr">
        <is>
          <t>JJAPA TRANSPORTES E LOGISTICA EIRELI</t>
        </is>
      </c>
      <c r="F8763" s="30" t="inlineStr">
        <is>
          <t>2018</t>
        </is>
      </c>
      <c r="G8763" s="40" t="n">
        <v>0</v>
      </c>
    </row>
    <row r="8764" ht="12" customHeight="1">
      <c r="A8764" s="30" t="inlineStr">
        <is>
          <t>ITG</t>
        </is>
      </c>
      <c r="B8764" s="30" t="inlineStr">
        <is>
          <t>Itaguai</t>
        </is>
      </c>
      <c r="C8764" s="30" t="n">
        <v>87132919</v>
      </c>
      <c r="D8764" s="30">
        <f>"11132060000184"</f>
        <v/>
      </c>
      <c r="E8764" s="30" t="inlineStr">
        <is>
          <t>JJAPA TRANSPORTES E LOGISTICA EIRELI</t>
        </is>
      </c>
      <c r="F8764" s="30" t="inlineStr">
        <is>
          <t>2019</t>
        </is>
      </c>
      <c r="G8764" s="40" t="n">
        <v>0</v>
      </c>
    </row>
    <row r="8765" ht="12" customHeight="1">
      <c r="A8765" s="30" t="inlineStr">
        <is>
          <t>ITG</t>
        </is>
      </c>
      <c r="B8765" s="30" t="inlineStr">
        <is>
          <t>Itaguai</t>
        </is>
      </c>
      <c r="C8765" s="30" t="n">
        <v>87132919</v>
      </c>
      <c r="D8765" s="30">
        <f>"11132060000184"</f>
        <v/>
      </c>
      <c r="E8765" s="30" t="inlineStr">
        <is>
          <t>JJAPA TRANSPORTES E LOGISTICA EIRELI</t>
        </is>
      </c>
      <c r="F8765" s="30" t="inlineStr">
        <is>
          <t>2020</t>
        </is>
      </c>
      <c r="G8765" s="40" t="n">
        <v>35.9</v>
      </c>
    </row>
    <row r="8766" ht="12" customHeight="1">
      <c r="A8766" s="30" t="inlineStr">
        <is>
          <t>ITG</t>
        </is>
      </c>
      <c r="B8766" s="30" t="inlineStr">
        <is>
          <t>Itaguai</t>
        </is>
      </c>
      <c r="C8766" s="30" t="n">
        <v>87132919</v>
      </c>
      <c r="D8766" s="30">
        <f>"11132060000184"</f>
        <v/>
      </c>
      <c r="E8766" s="30" t="inlineStr">
        <is>
          <t>JJAPA TRANSPORTES E LOGISTICA EIRELI</t>
        </is>
      </c>
      <c r="F8766" s="30" t="inlineStr">
        <is>
          <t>2021</t>
        </is>
      </c>
      <c r="G8766" s="40" t="n">
        <v>1154.6</v>
      </c>
    </row>
    <row r="8767" ht="12" customHeight="1">
      <c r="A8767" s="30" t="inlineStr">
        <is>
          <t>ITG</t>
        </is>
      </c>
      <c r="B8767" s="30" t="inlineStr">
        <is>
          <t>Itaguai</t>
        </is>
      </c>
      <c r="C8767" s="30" t="n">
        <v>87132919</v>
      </c>
      <c r="D8767" s="30">
        <f>"11132060000184"</f>
        <v/>
      </c>
      <c r="E8767" s="30" t="inlineStr">
        <is>
          <t>JJAPA TRANSPORTES E LOGISTICA EIRELI</t>
        </is>
      </c>
      <c r="F8767" s="30" t="inlineStr">
        <is>
          <t>2022</t>
        </is>
      </c>
      <c r="G8767" s="40" t="n">
        <v>0</v>
      </c>
    </row>
    <row r="8768" ht="12" customHeight="1">
      <c r="A8768" s="30" t="inlineStr">
        <is>
          <t>ITG</t>
        </is>
      </c>
      <c r="B8768" s="30" t="inlineStr">
        <is>
          <t>Itaguai</t>
        </is>
      </c>
      <c r="C8768" s="30" t="n">
        <v>87132919</v>
      </c>
      <c r="D8768" s="30">
        <f>"11132060000184"</f>
        <v/>
      </c>
      <c r="E8768" s="30" t="inlineStr">
        <is>
          <t>JJAPA TRANSPORTES E LOGISTICA EIRELI</t>
        </is>
      </c>
      <c r="F8768" s="30" t="inlineStr">
        <is>
          <t>2023</t>
        </is>
      </c>
      <c r="G8768" s="40" t="n">
        <v>0</v>
      </c>
    </row>
    <row r="8769" ht="12" customHeight="1">
      <c r="A8769" s="30" t="inlineStr">
        <is>
          <t>ITG</t>
        </is>
      </c>
      <c r="B8769" s="30" t="inlineStr">
        <is>
          <t>Itaguai</t>
        </is>
      </c>
      <c r="C8769" s="30" t="n">
        <v>87135357</v>
      </c>
      <c r="D8769" s="30">
        <f>"60319985000225"</f>
        <v/>
      </c>
      <c r="E8769" s="30" t="inlineStr">
        <is>
          <t>JOMED TRANSPORTE E LOGISTICA EIRELI</t>
        </is>
      </c>
      <c r="F8769" s="30" t="inlineStr">
        <is>
          <t>2017</t>
        </is>
      </c>
      <c r="G8769" s="40" t="n">
        <v>161.8</v>
      </c>
    </row>
    <row r="8770" ht="12" customHeight="1">
      <c r="A8770" s="30" t="inlineStr">
        <is>
          <t>ITG</t>
        </is>
      </c>
      <c r="B8770" s="30" t="inlineStr">
        <is>
          <t>Itaguai</t>
        </is>
      </c>
      <c r="C8770" s="30" t="n">
        <v>87135357</v>
      </c>
      <c r="D8770" s="30">
        <f>"60319985000225"</f>
        <v/>
      </c>
      <c r="E8770" s="30" t="inlineStr">
        <is>
          <t>JOMED TRANSPORTE E LOGISTICA EIRELI</t>
        </is>
      </c>
      <c r="F8770" s="30" t="inlineStr">
        <is>
          <t>2018</t>
        </is>
      </c>
      <c r="G8770" s="40" t="n">
        <v>0</v>
      </c>
    </row>
    <row r="8771" ht="12" customHeight="1">
      <c r="A8771" s="30" t="inlineStr">
        <is>
          <t>ITG</t>
        </is>
      </c>
      <c r="B8771" s="30" t="inlineStr">
        <is>
          <t>Itaguai</t>
        </is>
      </c>
      <c r="C8771" s="30" t="n">
        <v>87135357</v>
      </c>
      <c r="D8771" s="30">
        <f>"60319985000225"</f>
        <v/>
      </c>
      <c r="E8771" s="30" t="inlineStr">
        <is>
          <t>JOMED TRANSPORTE E LOGISTICA EIRELI</t>
        </is>
      </c>
      <c r="F8771" s="30" t="inlineStr">
        <is>
          <t>2019</t>
        </is>
      </c>
      <c r="G8771" s="40" t="n">
        <v>107850</v>
      </c>
    </row>
    <row r="8772" ht="12" customHeight="1">
      <c r="A8772" s="30" t="inlineStr">
        <is>
          <t>ITG</t>
        </is>
      </c>
      <c r="B8772" s="30" t="inlineStr">
        <is>
          <t>Itaguai</t>
        </is>
      </c>
      <c r="C8772" s="30" t="n">
        <v>87135357</v>
      </c>
      <c r="D8772" s="30">
        <f>"60319985000225"</f>
        <v/>
      </c>
      <c r="E8772" s="30" t="inlineStr">
        <is>
          <t>JOMED TRANSPORTE E LOGISTICA EIRELI</t>
        </is>
      </c>
      <c r="F8772" s="30" t="inlineStr">
        <is>
          <t>2020</t>
        </is>
      </c>
      <c r="G8772" s="40" t="n">
        <v>0</v>
      </c>
    </row>
    <row r="8773" ht="12" customHeight="1">
      <c r="A8773" s="30" t="inlineStr">
        <is>
          <t>ITG</t>
        </is>
      </c>
      <c r="B8773" s="30" t="inlineStr">
        <is>
          <t>Itaguai</t>
        </is>
      </c>
      <c r="C8773" s="30" t="n">
        <v>87135357</v>
      </c>
      <c r="D8773" s="30">
        <f>"60319985000225"</f>
        <v/>
      </c>
      <c r="E8773" s="30" t="inlineStr">
        <is>
          <t>JOMED TRANSPORTE E LOGISTICA EIRELI</t>
        </is>
      </c>
      <c r="F8773" s="30" t="inlineStr">
        <is>
          <t>2021</t>
        </is>
      </c>
      <c r="G8773" s="40" t="n">
        <v>9548.389999999999</v>
      </c>
    </row>
    <row r="8774" ht="12" customHeight="1">
      <c r="A8774" s="30" t="inlineStr">
        <is>
          <t>ITG</t>
        </is>
      </c>
      <c r="B8774" s="30" t="inlineStr">
        <is>
          <t>Itaguai</t>
        </is>
      </c>
      <c r="C8774" s="30" t="n">
        <v>87135357</v>
      </c>
      <c r="D8774" s="30">
        <f>"60319985000225"</f>
        <v/>
      </c>
      <c r="E8774" s="30" t="inlineStr">
        <is>
          <t>JOMED TRANSPORTE E LOGISTICA EIRELI</t>
        </is>
      </c>
      <c r="F8774" s="30" t="inlineStr">
        <is>
          <t>2022</t>
        </is>
      </c>
      <c r="G8774" s="40" t="n">
        <v>0</v>
      </c>
    </row>
    <row r="8775" ht="12" customHeight="1">
      <c r="A8775" s="30" t="inlineStr">
        <is>
          <t>ITG</t>
        </is>
      </c>
      <c r="B8775" s="30" t="inlineStr">
        <is>
          <t>Itaguai</t>
        </is>
      </c>
      <c r="C8775" s="30" t="n">
        <v>87135357</v>
      </c>
      <c r="D8775" s="30">
        <f>"60319985000225"</f>
        <v/>
      </c>
      <c r="E8775" s="30" t="inlineStr">
        <is>
          <t>JOMED TRANSPORTE E LOGISTICA EIRELI</t>
        </is>
      </c>
      <c r="F8775" s="30" t="inlineStr">
        <is>
          <t>2023</t>
        </is>
      </c>
      <c r="G8775" s="40" t="n">
        <v>0</v>
      </c>
    </row>
    <row r="8776" ht="12" customHeight="1">
      <c r="A8776" s="30" t="inlineStr">
        <is>
          <t>ITG</t>
        </is>
      </c>
      <c r="B8776" s="30" t="inlineStr">
        <is>
          <t>Itaguai</t>
        </is>
      </c>
      <c r="C8776" s="30" t="n">
        <v>87139670</v>
      </c>
      <c r="D8776" s="30">
        <f>"01240034000116"</f>
        <v/>
      </c>
      <c r="E8776" s="30" t="inlineStr">
        <is>
          <t>COOPERATIVA DOS MOTORISTAS AUTONOMOS DA COSTA VERDE</t>
        </is>
      </c>
      <c r="F8776" s="30" t="inlineStr">
        <is>
          <t>2017</t>
        </is>
      </c>
      <c r="G8776" s="40" t="n">
        <v>0</v>
      </c>
    </row>
    <row r="8777" ht="12" customHeight="1">
      <c r="A8777" s="30" t="inlineStr">
        <is>
          <t>ITG</t>
        </is>
      </c>
      <c r="B8777" s="30" t="inlineStr">
        <is>
          <t>Itaguai</t>
        </is>
      </c>
      <c r="C8777" s="30" t="n">
        <v>87139670</v>
      </c>
      <c r="D8777" s="30">
        <f>"01240034000116"</f>
        <v/>
      </c>
      <c r="E8777" s="30" t="inlineStr">
        <is>
          <t>COOPERATIVA DOS MOTORISTAS AUTONOMOS DA COSTA VERDE</t>
        </is>
      </c>
      <c r="F8777" s="30" t="inlineStr">
        <is>
          <t>2018</t>
        </is>
      </c>
      <c r="G8777" s="40" t="n">
        <v>0</v>
      </c>
    </row>
    <row r="8778" ht="12" customHeight="1">
      <c r="A8778" s="30" t="inlineStr">
        <is>
          <t>ITG</t>
        </is>
      </c>
      <c r="B8778" s="30" t="inlineStr">
        <is>
          <t>Itaguai</t>
        </is>
      </c>
      <c r="C8778" s="30" t="n">
        <v>87139670</v>
      </c>
      <c r="D8778" s="30">
        <f>"01240034000116"</f>
        <v/>
      </c>
      <c r="E8778" s="30" t="inlineStr">
        <is>
          <t>COOPERATIVA DOS MOTORISTAS AUTONOMOS DA COSTA VERDE</t>
        </is>
      </c>
      <c r="F8778" s="30" t="inlineStr">
        <is>
          <t>2019</t>
        </is>
      </c>
      <c r="G8778" s="40" t="n">
        <v>0</v>
      </c>
    </row>
    <row r="8779" ht="12" customHeight="1">
      <c r="A8779" s="30" t="inlineStr">
        <is>
          <t>ITG</t>
        </is>
      </c>
      <c r="B8779" s="30" t="inlineStr">
        <is>
          <t>Itaguai</t>
        </is>
      </c>
      <c r="C8779" s="30" t="n">
        <v>87140377</v>
      </c>
      <c r="D8779" s="30">
        <f>"24092449000276"</f>
        <v/>
      </c>
      <c r="E8779" s="30" t="inlineStr">
        <is>
          <t>ACL LINE TRANSPORTES LTDA EPP</t>
        </is>
      </c>
      <c r="F8779" s="30" t="inlineStr">
        <is>
          <t>2017</t>
        </is>
      </c>
      <c r="G8779" s="40" t="n">
        <v>0</v>
      </c>
    </row>
    <row r="8780" ht="12" customHeight="1">
      <c r="A8780" s="30" t="inlineStr">
        <is>
          <t>ITG</t>
        </is>
      </c>
      <c r="B8780" s="30" t="inlineStr">
        <is>
          <t>Itaguai</t>
        </is>
      </c>
      <c r="C8780" s="30" t="n">
        <v>87140377</v>
      </c>
      <c r="D8780" s="30">
        <f>"24092449000276"</f>
        <v/>
      </c>
      <c r="E8780" s="30" t="inlineStr">
        <is>
          <t>ACL LINE TRANSPORTES LTDA EPP</t>
        </is>
      </c>
      <c r="F8780" s="30" t="inlineStr">
        <is>
          <t>2018</t>
        </is>
      </c>
      <c r="G8780" s="40" t="n">
        <v>619254.98</v>
      </c>
    </row>
    <row r="8781" ht="12" customHeight="1">
      <c r="A8781" s="30" t="inlineStr">
        <is>
          <t>ITG</t>
        </is>
      </c>
      <c r="B8781" s="30" t="inlineStr">
        <is>
          <t>Itaguai</t>
        </is>
      </c>
      <c r="C8781" s="30" t="n">
        <v>87140377</v>
      </c>
      <c r="D8781" s="30">
        <f>"24092449000276"</f>
        <v/>
      </c>
      <c r="E8781" s="30" t="inlineStr">
        <is>
          <t>ACL LINE TRANSPORTES LTDA EPP</t>
        </is>
      </c>
      <c r="F8781" s="30" t="inlineStr">
        <is>
          <t>2019</t>
        </is>
      </c>
      <c r="G8781" s="40" t="n">
        <v>1141051.27</v>
      </c>
    </row>
    <row r="8782" ht="12" customHeight="1">
      <c r="A8782" s="30" t="inlineStr">
        <is>
          <t>ITG</t>
        </is>
      </c>
      <c r="B8782" s="30" t="inlineStr">
        <is>
          <t>Itaguai</t>
        </is>
      </c>
      <c r="C8782" s="30" t="n">
        <v>87140377</v>
      </c>
      <c r="D8782" s="30">
        <f>"24092449000276"</f>
        <v/>
      </c>
      <c r="E8782" s="30" t="inlineStr">
        <is>
          <t>ACL LINE TRANSPORTES LTDA EPP</t>
        </is>
      </c>
      <c r="F8782" s="30" t="inlineStr">
        <is>
          <t>2020</t>
        </is>
      </c>
      <c r="G8782" s="40" t="n">
        <v>478735.47</v>
      </c>
    </row>
    <row r="8783" ht="12" customHeight="1">
      <c r="A8783" s="30" t="inlineStr">
        <is>
          <t>ITG</t>
        </is>
      </c>
      <c r="B8783" s="30" t="inlineStr">
        <is>
          <t>Itaguai</t>
        </is>
      </c>
      <c r="C8783" s="30" t="n">
        <v>87140377</v>
      </c>
      <c r="D8783" s="30">
        <f>"24092449000276"</f>
        <v/>
      </c>
      <c r="E8783" s="30" t="inlineStr">
        <is>
          <t>ACL LINE TRANSPORTES LTDA EPP</t>
        </is>
      </c>
      <c r="F8783" s="30" t="inlineStr">
        <is>
          <t>2021</t>
        </is>
      </c>
      <c r="G8783" s="40" t="n">
        <v>0</v>
      </c>
    </row>
    <row r="8784" ht="12" customHeight="1">
      <c r="A8784" s="30" t="inlineStr">
        <is>
          <t>ITG</t>
        </is>
      </c>
      <c r="B8784" s="30" t="inlineStr">
        <is>
          <t>Itaguai</t>
        </is>
      </c>
      <c r="C8784" s="30" t="n">
        <v>87140377</v>
      </c>
      <c r="D8784" s="30">
        <f>"24092449000276"</f>
        <v/>
      </c>
      <c r="E8784" s="30" t="inlineStr">
        <is>
          <t>ACL LINE TRANSPORTES LTDA EPP</t>
        </is>
      </c>
      <c r="F8784" s="30" t="inlineStr">
        <is>
          <t>2022</t>
        </is>
      </c>
      <c r="G8784" s="40" t="n">
        <v>0</v>
      </c>
    </row>
    <row r="8785" ht="12" customHeight="1">
      <c r="A8785" s="30" t="inlineStr">
        <is>
          <t>ITG</t>
        </is>
      </c>
      <c r="B8785" s="30" t="inlineStr">
        <is>
          <t>Itaguai</t>
        </is>
      </c>
      <c r="C8785" s="30" t="n">
        <v>87149340</v>
      </c>
      <c r="D8785" s="30">
        <f>"10509207000140"</f>
        <v/>
      </c>
      <c r="E8785" s="30" t="inlineStr">
        <is>
          <t>TOVA COMERCIO DE PNEUS LTDA</t>
        </is>
      </c>
      <c r="F8785" s="30" t="inlineStr">
        <is>
          <t>2017</t>
        </is>
      </c>
      <c r="G8785" s="40" t="n">
        <v>0</v>
      </c>
    </row>
    <row r="8786" ht="12" customHeight="1">
      <c r="A8786" s="30" t="inlineStr">
        <is>
          <t>ITG</t>
        </is>
      </c>
      <c r="B8786" s="30" t="inlineStr">
        <is>
          <t>Itaguai</t>
        </is>
      </c>
      <c r="C8786" s="30" t="n">
        <v>87149340</v>
      </c>
      <c r="D8786" s="30">
        <f>"10509207000140"</f>
        <v/>
      </c>
      <c r="E8786" s="30" t="inlineStr">
        <is>
          <t>TOVA COMERCIO DE PNEUS LTDA</t>
        </is>
      </c>
      <c r="F8786" s="30" t="inlineStr">
        <is>
          <t>2018</t>
        </is>
      </c>
      <c r="G8786" s="40" t="n">
        <v>0</v>
      </c>
    </row>
    <row r="8787" ht="12" customHeight="1">
      <c r="A8787" s="30" t="inlineStr">
        <is>
          <t>ITG</t>
        </is>
      </c>
      <c r="B8787" s="30" t="inlineStr">
        <is>
          <t>Itaguai</t>
        </is>
      </c>
      <c r="C8787" s="30" t="n">
        <v>87149340</v>
      </c>
      <c r="D8787" s="30">
        <f>"10509207000140"</f>
        <v/>
      </c>
      <c r="E8787" s="30" t="inlineStr">
        <is>
          <t>TOVA COMERCIO DE PNEUS LTDA</t>
        </is>
      </c>
      <c r="F8787" s="30" t="inlineStr">
        <is>
          <t>2019</t>
        </is>
      </c>
      <c r="G8787" s="40" t="n">
        <v>854540.38</v>
      </c>
    </row>
    <row r="8788" ht="12" customHeight="1">
      <c r="A8788" s="30" t="inlineStr">
        <is>
          <t>ITG</t>
        </is>
      </c>
      <c r="B8788" s="30" t="inlineStr">
        <is>
          <t>Itaguai</t>
        </is>
      </c>
      <c r="C8788" s="30" t="n">
        <v>87149340</v>
      </c>
      <c r="D8788" s="30">
        <f>"10509207000140"</f>
        <v/>
      </c>
      <c r="E8788" s="30" t="inlineStr">
        <is>
          <t>TOVA COMERCIO DE PNEUS LTDA</t>
        </is>
      </c>
      <c r="F8788" s="30" t="inlineStr">
        <is>
          <t>2020</t>
        </is>
      </c>
      <c r="G8788" s="40" t="n">
        <v>378542.6</v>
      </c>
    </row>
    <row r="8789" ht="12" customHeight="1">
      <c r="A8789" s="30" t="inlineStr">
        <is>
          <t>ITG</t>
        </is>
      </c>
      <c r="B8789" s="30" t="inlineStr">
        <is>
          <t>Itaguai</t>
        </is>
      </c>
      <c r="C8789" s="30" t="n">
        <v>87149340</v>
      </c>
      <c r="D8789" s="30">
        <f>"10509207000140"</f>
        <v/>
      </c>
      <c r="E8789" s="30" t="inlineStr">
        <is>
          <t>TOVA COMERCIO DE PNEUS LTDA</t>
        </is>
      </c>
      <c r="F8789" s="30" t="inlineStr">
        <is>
          <t>2021</t>
        </is>
      </c>
      <c r="G8789" s="40" t="n">
        <v>853121.15</v>
      </c>
    </row>
    <row r="8790" ht="12" customHeight="1">
      <c r="A8790" s="30" t="inlineStr">
        <is>
          <t>ITG</t>
        </is>
      </c>
      <c r="B8790" s="30" t="inlineStr">
        <is>
          <t>Itaguai</t>
        </is>
      </c>
      <c r="C8790" s="30" t="n">
        <v>87149340</v>
      </c>
      <c r="D8790" s="30">
        <f>"10509207000140"</f>
        <v/>
      </c>
      <c r="E8790" s="30" t="inlineStr">
        <is>
          <t>TOVA COMERCIO DE PNEUS LTDA</t>
        </is>
      </c>
      <c r="F8790" s="30" t="inlineStr">
        <is>
          <t>2022</t>
        </is>
      </c>
      <c r="G8790" s="40" t="n">
        <v>893671.45</v>
      </c>
    </row>
    <row r="8791" ht="12" customHeight="1">
      <c r="A8791" s="30" t="inlineStr">
        <is>
          <t>ITG</t>
        </is>
      </c>
      <c r="B8791" s="30" t="inlineStr">
        <is>
          <t>Itaguai</t>
        </is>
      </c>
      <c r="C8791" s="30" t="n">
        <v>87149340</v>
      </c>
      <c r="D8791" s="30">
        <f>"10509207000140"</f>
        <v/>
      </c>
      <c r="E8791" s="30" t="inlineStr">
        <is>
          <t>TOVA COMERCIO DE PNEUS LTDA</t>
        </is>
      </c>
      <c r="F8791" s="30" t="inlineStr">
        <is>
          <t>2023</t>
        </is>
      </c>
      <c r="G8791" s="40" t="n">
        <v>1312762.93</v>
      </c>
    </row>
    <row r="8792" ht="12" customHeight="1">
      <c r="A8792" s="30" t="inlineStr">
        <is>
          <t>ITG</t>
        </is>
      </c>
      <c r="B8792" s="30" t="inlineStr">
        <is>
          <t>Itaguai</t>
        </is>
      </c>
      <c r="C8792" s="30" t="n">
        <v>87158071</v>
      </c>
      <c r="D8792" s="30">
        <f>"68558600000103"</f>
        <v/>
      </c>
      <c r="E8792" s="30" t="inlineStr">
        <is>
          <t>A F COMERCIO E REPRESENTA?AO DE BEBIDASE TECIDOS LTDA</t>
        </is>
      </c>
      <c r="F8792" s="30" t="inlineStr">
        <is>
          <t>2017</t>
        </is>
      </c>
      <c r="G8792" s="40" t="n">
        <v>0</v>
      </c>
    </row>
    <row r="8793" ht="12" customHeight="1">
      <c r="A8793" s="30" t="inlineStr">
        <is>
          <t>ITG</t>
        </is>
      </c>
      <c r="B8793" s="30" t="inlineStr">
        <is>
          <t>Itaguai</t>
        </is>
      </c>
      <c r="C8793" s="30" t="n">
        <v>87158071</v>
      </c>
      <c r="D8793" s="30">
        <f>"68558600000103"</f>
        <v/>
      </c>
      <c r="E8793" s="30" t="inlineStr">
        <is>
          <t>A F COMERCIO E REPRESENTA?AO DE BEBIDASE TECIDOS LTDA</t>
        </is>
      </c>
      <c r="F8793" s="30" t="inlineStr">
        <is>
          <t>2018</t>
        </is>
      </c>
      <c r="G8793" s="40" t="n">
        <v>0</v>
      </c>
    </row>
    <row r="8794" ht="12" customHeight="1">
      <c r="A8794" s="30" t="inlineStr">
        <is>
          <t>ITG</t>
        </is>
      </c>
      <c r="B8794" s="30" t="inlineStr">
        <is>
          <t>Itaguai</t>
        </is>
      </c>
      <c r="C8794" s="30" t="n">
        <v>87158071</v>
      </c>
      <c r="D8794" s="30">
        <f>"68558600000103"</f>
        <v/>
      </c>
      <c r="E8794" s="30" t="inlineStr">
        <is>
          <t>A F COMERCIO E REPRESENTA?AO DE BEBIDASE TECIDOS LTDA</t>
        </is>
      </c>
      <c r="F8794" s="30" t="inlineStr">
        <is>
          <t>2019</t>
        </is>
      </c>
      <c r="G8794" s="40" t="n">
        <v>0</v>
      </c>
    </row>
    <row r="8795" ht="12" customHeight="1">
      <c r="A8795" s="30" t="inlineStr">
        <is>
          <t>ITG</t>
        </is>
      </c>
      <c r="B8795" s="30" t="inlineStr">
        <is>
          <t>Itaguai</t>
        </is>
      </c>
      <c r="C8795" s="30" t="n">
        <v>87158071</v>
      </c>
      <c r="D8795" s="30">
        <f>"68558600000103"</f>
        <v/>
      </c>
      <c r="E8795" s="30" t="inlineStr">
        <is>
          <t>A F COMERCIO E REPRESENTA?AO DE BEBIDASE TECIDOS LTDA</t>
        </is>
      </c>
      <c r="F8795" s="30" t="inlineStr">
        <is>
          <t>2020</t>
        </is>
      </c>
      <c r="G8795" s="40" t="n">
        <v>0</v>
      </c>
    </row>
    <row r="8796" ht="12" customHeight="1">
      <c r="A8796" s="30" t="inlineStr">
        <is>
          <t>ITG</t>
        </is>
      </c>
      <c r="B8796" s="30" t="inlineStr">
        <is>
          <t>Itaguai</t>
        </is>
      </c>
      <c r="C8796" s="30" t="n">
        <v>87159183</v>
      </c>
      <c r="D8796" s="30">
        <f>"22044907000276"</f>
        <v/>
      </c>
      <c r="E8796" s="30" t="inlineStr">
        <is>
          <t>LOGMED RIO ARMAZENAGEM E TRANSPORTE LTDA</t>
        </is>
      </c>
      <c r="F8796" s="30" t="inlineStr">
        <is>
          <t>2018</t>
        </is>
      </c>
      <c r="G8796" s="40" t="n">
        <v>0</v>
      </c>
    </row>
    <row r="8797" ht="12" customHeight="1">
      <c r="A8797" s="30" t="inlineStr">
        <is>
          <t>ITG</t>
        </is>
      </c>
      <c r="B8797" s="30" t="inlineStr">
        <is>
          <t>Itaguai</t>
        </is>
      </c>
      <c r="C8797" s="30" t="n">
        <v>87159183</v>
      </c>
      <c r="D8797" s="30">
        <f>"22044907000276"</f>
        <v/>
      </c>
      <c r="E8797" s="30" t="inlineStr">
        <is>
          <t>LOGMED RIO ARMAZENAGEM E TRANSPORTE LTDA</t>
        </is>
      </c>
      <c r="F8797" s="30" t="inlineStr">
        <is>
          <t>2019</t>
        </is>
      </c>
      <c r="G8797" s="40" t="n">
        <v>0</v>
      </c>
    </row>
    <row r="8798" ht="12" customHeight="1">
      <c r="A8798" s="30" t="inlineStr">
        <is>
          <t>ITG</t>
        </is>
      </c>
      <c r="B8798" s="30" t="inlineStr">
        <is>
          <t>Itaguai</t>
        </is>
      </c>
      <c r="C8798" s="30" t="n">
        <v>87159183</v>
      </c>
      <c r="D8798" s="30">
        <f>"22044907000276"</f>
        <v/>
      </c>
      <c r="E8798" s="30" t="inlineStr">
        <is>
          <t>LOGMED RIO ARMAZENAGEM E TRANSPORTE LTDA</t>
        </is>
      </c>
      <c r="F8798" s="30" t="inlineStr">
        <is>
          <t>2020</t>
        </is>
      </c>
      <c r="G8798" s="40" t="n">
        <v>622.45</v>
      </c>
    </row>
    <row r="8799" ht="12" customHeight="1">
      <c r="A8799" s="30" t="inlineStr">
        <is>
          <t>ITG</t>
        </is>
      </c>
      <c r="B8799" s="30" t="inlineStr">
        <is>
          <t>Itaguai</t>
        </is>
      </c>
      <c r="C8799" s="30" t="n">
        <v>87159183</v>
      </c>
      <c r="D8799" s="30">
        <f>"22044907000276"</f>
        <v/>
      </c>
      <c r="E8799" s="30" t="inlineStr">
        <is>
          <t>LOGMED RIO ARMAZENAGEM E TRANSPORTE LTDA</t>
        </is>
      </c>
      <c r="F8799" s="30" t="inlineStr">
        <is>
          <t>2021</t>
        </is>
      </c>
      <c r="G8799" s="40" t="n">
        <v>282.81</v>
      </c>
    </row>
    <row r="8800" ht="12" customHeight="1">
      <c r="A8800" s="30" t="inlineStr">
        <is>
          <t>ITG</t>
        </is>
      </c>
      <c r="B8800" s="30" t="inlineStr">
        <is>
          <t>Itaguai</t>
        </is>
      </c>
      <c r="C8800" s="30" t="n">
        <v>87159183</v>
      </c>
      <c r="D8800" s="30">
        <f>"22044907000276"</f>
        <v/>
      </c>
      <c r="E8800" s="30" t="inlineStr">
        <is>
          <t>LOGMED RIO ARMAZENAGEM E TRANSPORTE LTDA</t>
        </is>
      </c>
      <c r="F8800" s="30" t="inlineStr">
        <is>
          <t>2022</t>
        </is>
      </c>
      <c r="G8800" s="40" t="n">
        <v>1061.4</v>
      </c>
    </row>
    <row r="8801" ht="12" customHeight="1">
      <c r="A8801" s="30" t="inlineStr">
        <is>
          <t>ITG</t>
        </is>
      </c>
      <c r="B8801" s="30" t="inlineStr">
        <is>
          <t>Itaguai</t>
        </is>
      </c>
      <c r="C8801" s="30" t="n">
        <v>87159183</v>
      </c>
      <c r="D8801" s="30">
        <f>"22044907000276"</f>
        <v/>
      </c>
      <c r="E8801" s="30" t="inlineStr">
        <is>
          <t>LOGMED RIO ARMAZENAGEM E TRANSPORTE LTDA</t>
        </is>
      </c>
      <c r="F8801" s="30" t="inlineStr">
        <is>
          <t>2023</t>
        </is>
      </c>
      <c r="G8801" s="40" t="n">
        <v>3449.64</v>
      </c>
    </row>
    <row r="8802" ht="12" customHeight="1">
      <c r="A8802" s="30" t="inlineStr">
        <is>
          <t>ITG</t>
        </is>
      </c>
      <c r="B8802" s="30" t="inlineStr">
        <is>
          <t>Itaguai</t>
        </is>
      </c>
      <c r="C8802" s="30" t="n">
        <v>87159337</v>
      </c>
      <c r="D8802" s="30">
        <f>"24975220000107"</f>
        <v/>
      </c>
      <c r="E8802" s="30" t="inlineStr">
        <is>
          <t>SHOPMUSIC INSTRUMENTOS MUSICAIS LTDA</t>
        </is>
      </c>
      <c r="F8802" s="30" t="inlineStr">
        <is>
          <t>2017</t>
        </is>
      </c>
      <c r="G8802" s="40" t="n">
        <v>0</v>
      </c>
    </row>
    <row r="8803" ht="12" customHeight="1">
      <c r="A8803" s="30" t="inlineStr">
        <is>
          <t>ITG</t>
        </is>
      </c>
      <c r="B8803" s="30" t="inlineStr">
        <is>
          <t>Itaguai</t>
        </is>
      </c>
      <c r="C8803" s="30" t="n">
        <v>87159337</v>
      </c>
      <c r="D8803" s="30">
        <f>"24975220000107"</f>
        <v/>
      </c>
      <c r="E8803" s="30" t="inlineStr">
        <is>
          <t>SHOPMUSIC INSTRUMENTOS MUSICAIS LTDA</t>
        </is>
      </c>
      <c r="F8803" s="30" t="inlineStr">
        <is>
          <t>2018</t>
        </is>
      </c>
      <c r="G8803" s="40" t="n">
        <v>0</v>
      </c>
    </row>
    <row r="8804" ht="12" customHeight="1">
      <c r="A8804" s="30" t="inlineStr">
        <is>
          <t>ITG</t>
        </is>
      </c>
      <c r="B8804" s="30" t="inlineStr">
        <is>
          <t>Itaguai</t>
        </is>
      </c>
      <c r="C8804" s="30" t="n">
        <v>87159337</v>
      </c>
      <c r="D8804" s="30">
        <f>"24975220000107"</f>
        <v/>
      </c>
      <c r="E8804" s="30" t="inlineStr">
        <is>
          <t>SHOPMUSIC INSTRUMENTOS MUSICAIS LTDA</t>
        </is>
      </c>
      <c r="F8804" s="30" t="inlineStr">
        <is>
          <t>2019</t>
        </is>
      </c>
      <c r="G8804" s="40" t="n">
        <v>0</v>
      </c>
    </row>
    <row r="8805" ht="12" customHeight="1">
      <c r="A8805" s="30" t="inlineStr">
        <is>
          <t>ITG</t>
        </is>
      </c>
      <c r="B8805" s="30" t="inlineStr">
        <is>
          <t>Itaguai</t>
        </is>
      </c>
      <c r="C8805" s="30" t="n">
        <v>87159337</v>
      </c>
      <c r="D8805" s="30">
        <f>"24975220000107"</f>
        <v/>
      </c>
      <c r="E8805" s="30" t="inlineStr">
        <is>
          <t>SHOPMUSIC INSTRUMENTOS MUSICAIS LTDA</t>
        </is>
      </c>
      <c r="F8805" s="30" t="inlineStr">
        <is>
          <t>2020</t>
        </is>
      </c>
      <c r="G8805" s="40" t="n">
        <v>0</v>
      </c>
    </row>
    <row r="8806" ht="12" customHeight="1">
      <c r="A8806" s="30" t="inlineStr">
        <is>
          <t>ITG</t>
        </is>
      </c>
      <c r="B8806" s="30" t="inlineStr">
        <is>
          <t>Itaguai</t>
        </is>
      </c>
      <c r="C8806" s="30" t="n">
        <v>87159604</v>
      </c>
      <c r="D8806" s="30">
        <f>"16897144000475"</f>
        <v/>
      </c>
      <c r="E8806" s="30" t="inlineStr">
        <is>
          <t>GEODIS LOGISTICA DO BRASIL LTDA</t>
        </is>
      </c>
      <c r="F8806" s="30" t="inlineStr">
        <is>
          <t>2017</t>
        </is>
      </c>
      <c r="G8806" s="40" t="n">
        <v>129.14</v>
      </c>
    </row>
    <row r="8807" ht="12" customHeight="1">
      <c r="A8807" s="30" t="inlineStr">
        <is>
          <t>ITG</t>
        </is>
      </c>
      <c r="B8807" s="30" t="inlineStr">
        <is>
          <t>Itaguai</t>
        </is>
      </c>
      <c r="C8807" s="30" t="n">
        <v>87159604</v>
      </c>
      <c r="D8807" s="30">
        <f>"16897144000475"</f>
        <v/>
      </c>
      <c r="E8807" s="30" t="inlineStr">
        <is>
          <t>GEODIS LOGISTICA DO BRASIL LTDA</t>
        </is>
      </c>
      <c r="F8807" s="30" t="inlineStr">
        <is>
          <t>2018</t>
        </is>
      </c>
      <c r="G8807" s="40" t="n">
        <v>0</v>
      </c>
    </row>
    <row r="8808" ht="12" customHeight="1">
      <c r="A8808" s="30" t="inlineStr">
        <is>
          <t>ITG</t>
        </is>
      </c>
      <c r="B8808" s="30" t="inlineStr">
        <is>
          <t>Itaguai</t>
        </is>
      </c>
      <c r="C8808" s="30" t="n">
        <v>87159604</v>
      </c>
      <c r="D8808" s="30">
        <f>"16897144000475"</f>
        <v/>
      </c>
      <c r="E8808" s="30" t="inlineStr">
        <is>
          <t>GEODIS LOGISTICA DO BRASIL LTDA</t>
        </is>
      </c>
      <c r="F8808" s="30" t="inlineStr">
        <is>
          <t>2019</t>
        </is>
      </c>
      <c r="G8808" s="40" t="n">
        <v>0</v>
      </c>
    </row>
    <row r="8809" ht="12" customHeight="1">
      <c r="A8809" s="30" t="inlineStr">
        <is>
          <t>ITG</t>
        </is>
      </c>
      <c r="B8809" s="30" t="inlineStr">
        <is>
          <t>Itaguai</t>
        </is>
      </c>
      <c r="C8809" s="30" t="n">
        <v>87162389</v>
      </c>
      <c r="D8809" s="30">
        <f>"15587873000543"</f>
        <v/>
      </c>
      <c r="E8809" s="30" t="inlineStr">
        <is>
          <t>TFT EXPRESS LOGISTICA E TRANSPORTES LTDA ME</t>
        </is>
      </c>
      <c r="F8809" s="30" t="inlineStr">
        <is>
          <t>2018</t>
        </is>
      </c>
      <c r="G8809" s="40" t="n">
        <v>0</v>
      </c>
    </row>
    <row r="8810" ht="12" customHeight="1">
      <c r="A8810" s="30" t="inlineStr">
        <is>
          <t>ITG</t>
        </is>
      </c>
      <c r="B8810" s="30" t="inlineStr">
        <is>
          <t>Itaguai</t>
        </is>
      </c>
      <c r="C8810" s="30" t="n">
        <v>87162389</v>
      </c>
      <c r="D8810" s="30">
        <f>"15587873000543"</f>
        <v/>
      </c>
      <c r="E8810" s="30" t="inlineStr">
        <is>
          <t>TFT EXPRESS LOGISTICA E TRANSPORTES LTDA ME</t>
        </is>
      </c>
      <c r="F8810" s="30" t="inlineStr">
        <is>
          <t>2019</t>
        </is>
      </c>
      <c r="G8810" s="40" t="n">
        <v>0</v>
      </c>
    </row>
    <row r="8811" ht="12" customHeight="1">
      <c r="A8811" s="30" t="inlineStr">
        <is>
          <t>ITG</t>
        </is>
      </c>
      <c r="B8811" s="30" t="inlineStr">
        <is>
          <t>Itaguai</t>
        </is>
      </c>
      <c r="C8811" s="30" t="n">
        <v>87162389</v>
      </c>
      <c r="D8811" s="30">
        <f>"15587873000543"</f>
        <v/>
      </c>
      <c r="E8811" s="30" t="inlineStr">
        <is>
          <t>TFT EXPRESS LOGISTICA E TRANSPORTES LTDA ME</t>
        </is>
      </c>
      <c r="F8811" s="30" t="inlineStr">
        <is>
          <t>2020</t>
        </is>
      </c>
      <c r="G8811" s="40" t="n">
        <v>1062.5</v>
      </c>
    </row>
    <row r="8812" ht="12" customHeight="1">
      <c r="A8812" s="30" t="inlineStr">
        <is>
          <t>ITG</t>
        </is>
      </c>
      <c r="B8812" s="30" t="inlineStr">
        <is>
          <t>Itaguai</t>
        </is>
      </c>
      <c r="C8812" s="30" t="n">
        <v>87162389</v>
      </c>
      <c r="D8812" s="30">
        <f>"15587873000543"</f>
        <v/>
      </c>
      <c r="E8812" s="30" t="inlineStr">
        <is>
          <t>TFT EXPRESS LOGISTICA E TRANSPORTES LTDA ME</t>
        </is>
      </c>
      <c r="F8812" s="30" t="inlineStr">
        <is>
          <t>2021</t>
        </is>
      </c>
      <c r="G8812" s="40" t="n">
        <v>0</v>
      </c>
    </row>
    <row r="8813" ht="12" customHeight="1">
      <c r="A8813" s="30" t="inlineStr">
        <is>
          <t>ITG</t>
        </is>
      </c>
      <c r="B8813" s="30" t="inlineStr">
        <is>
          <t>Itaguai</t>
        </is>
      </c>
      <c r="C8813" s="30" t="n">
        <v>87162389</v>
      </c>
      <c r="D8813" s="30">
        <f>"15587873000543"</f>
        <v/>
      </c>
      <c r="E8813" s="30" t="inlineStr">
        <is>
          <t>TFT EXPRESS LOGISTICA E TRANSPORTES LTDA ME</t>
        </is>
      </c>
      <c r="F8813" s="30" t="inlineStr">
        <is>
          <t>2022</t>
        </is>
      </c>
      <c r="G8813" s="40" t="n">
        <v>0</v>
      </c>
    </row>
    <row r="8814" ht="12" customHeight="1">
      <c r="A8814" s="30" t="inlineStr">
        <is>
          <t>ITG</t>
        </is>
      </c>
      <c r="B8814" s="30" t="inlineStr">
        <is>
          <t>Itaguai</t>
        </is>
      </c>
      <c r="C8814" s="30" t="n">
        <v>87169430</v>
      </c>
      <c r="D8814" s="30">
        <f>"25099719000152"</f>
        <v/>
      </c>
      <c r="E8814" s="30" t="inlineStr">
        <is>
          <t>MPC COMERCIO DE DOCES LTDA</t>
        </is>
      </c>
      <c r="F8814" s="30" t="inlineStr">
        <is>
          <t>2017</t>
        </is>
      </c>
      <c r="G8814" s="40" t="n">
        <v>0</v>
      </c>
    </row>
    <row r="8815" ht="12" customHeight="1">
      <c r="A8815" s="30" t="inlineStr">
        <is>
          <t>ITG</t>
        </is>
      </c>
      <c r="B8815" s="30" t="inlineStr">
        <is>
          <t>Itaguai</t>
        </is>
      </c>
      <c r="C8815" s="30" t="n">
        <v>87169430</v>
      </c>
      <c r="D8815" s="30">
        <f>"25099719000152"</f>
        <v/>
      </c>
      <c r="E8815" s="30" t="inlineStr">
        <is>
          <t>MPC COMERCIO DE DOCES LTDA</t>
        </is>
      </c>
      <c r="F8815" s="30" t="inlineStr">
        <is>
          <t>2018</t>
        </is>
      </c>
      <c r="G8815" s="40" t="n">
        <v>0</v>
      </c>
    </row>
    <row r="8816" ht="12" customHeight="1">
      <c r="A8816" s="30" t="inlineStr">
        <is>
          <t>ITG</t>
        </is>
      </c>
      <c r="B8816" s="30" t="inlineStr">
        <is>
          <t>Itaguai</t>
        </is>
      </c>
      <c r="C8816" s="30" t="n">
        <v>87169430</v>
      </c>
      <c r="D8816" s="30">
        <f>"25099719000152"</f>
        <v/>
      </c>
      <c r="E8816" s="30" t="inlineStr">
        <is>
          <t>MPC COMERCIO DE DOCES LTDA</t>
        </is>
      </c>
      <c r="F8816" s="30" t="inlineStr">
        <is>
          <t>2019</t>
        </is>
      </c>
      <c r="G8816" s="40" t="n">
        <v>0</v>
      </c>
    </row>
    <row r="8817" ht="12" customHeight="1">
      <c r="A8817" s="30" t="inlineStr">
        <is>
          <t>ITG</t>
        </is>
      </c>
      <c r="B8817" s="30" t="inlineStr">
        <is>
          <t>Itaguai</t>
        </is>
      </c>
      <c r="C8817" s="30" t="n">
        <v>87173585</v>
      </c>
      <c r="D8817" s="30">
        <f>"20854761000118"</f>
        <v/>
      </c>
      <c r="E8817" s="30" t="inlineStr">
        <is>
          <t>YAH TELECOMUNICACOES LTDA</t>
        </is>
      </c>
      <c r="F8817" s="30" t="inlineStr">
        <is>
          <t>2018</t>
        </is>
      </c>
      <c r="G8817" s="40" t="n">
        <v>0</v>
      </c>
    </row>
    <row r="8818" ht="12" customHeight="1">
      <c r="A8818" s="30" t="inlineStr">
        <is>
          <t>ITG</t>
        </is>
      </c>
      <c r="B8818" s="30" t="inlineStr">
        <is>
          <t>Itaguai</t>
        </is>
      </c>
      <c r="C8818" s="30" t="n">
        <v>87173585</v>
      </c>
      <c r="D8818" s="30">
        <f>"20854761000118"</f>
        <v/>
      </c>
      <c r="E8818" s="30" t="inlineStr">
        <is>
          <t>YAH TELECOMUNICACOES LTDA</t>
        </is>
      </c>
      <c r="F8818" s="30" t="inlineStr">
        <is>
          <t>2019</t>
        </is>
      </c>
      <c r="G8818" s="40" t="n">
        <v>0</v>
      </c>
    </row>
    <row r="8819" ht="12" customHeight="1">
      <c r="A8819" s="30" t="inlineStr">
        <is>
          <t>ITG</t>
        </is>
      </c>
      <c r="B8819" s="30" t="inlineStr">
        <is>
          <t>Itaguai</t>
        </is>
      </c>
      <c r="C8819" s="30" t="n">
        <v>87173585</v>
      </c>
      <c r="D8819" s="30">
        <f>"20854761000118"</f>
        <v/>
      </c>
      <c r="E8819" s="30" t="inlineStr">
        <is>
          <t>YAH TELECOMUNICACOES LTDA</t>
        </is>
      </c>
      <c r="F8819" s="30" t="inlineStr">
        <is>
          <t>2020</t>
        </is>
      </c>
      <c r="G8819" s="40" t="n">
        <v>1469.13</v>
      </c>
    </row>
    <row r="8820" ht="12" customHeight="1">
      <c r="A8820" s="30" t="inlineStr">
        <is>
          <t>ITG</t>
        </is>
      </c>
      <c r="B8820" s="30" t="inlineStr">
        <is>
          <t>Itaguai</t>
        </is>
      </c>
      <c r="C8820" s="30" t="n">
        <v>87173585</v>
      </c>
      <c r="D8820" s="30">
        <f>"20854761000118"</f>
        <v/>
      </c>
      <c r="E8820" s="30" t="inlineStr">
        <is>
          <t>YAH TELECOMUNICACOES LTDA</t>
        </is>
      </c>
      <c r="F8820" s="30" t="inlineStr">
        <is>
          <t>2021</t>
        </is>
      </c>
      <c r="G8820" s="40" t="n">
        <v>0</v>
      </c>
    </row>
    <row r="8821" ht="12" customHeight="1">
      <c r="A8821" s="30" t="inlineStr">
        <is>
          <t>ITG</t>
        </is>
      </c>
      <c r="B8821" s="30" t="inlineStr">
        <is>
          <t>Itaguai</t>
        </is>
      </c>
      <c r="C8821" s="30" t="n">
        <v>87173585</v>
      </c>
      <c r="D8821" s="30">
        <f>"20854761000118"</f>
        <v/>
      </c>
      <c r="E8821" s="30" t="inlineStr">
        <is>
          <t>YAH TELECOMUNICACOES LTDA</t>
        </is>
      </c>
      <c r="F8821" s="30" t="inlineStr">
        <is>
          <t>2022</t>
        </is>
      </c>
      <c r="G8821" s="40" t="n">
        <v>0</v>
      </c>
    </row>
    <row r="8822" ht="12" customHeight="1">
      <c r="A8822" s="30" t="inlineStr">
        <is>
          <t>ITG</t>
        </is>
      </c>
      <c r="B8822" s="30" t="inlineStr">
        <is>
          <t>Itaguai</t>
        </is>
      </c>
      <c r="C8822" s="30" t="n">
        <v>87174999</v>
      </c>
      <c r="D8822" s="30">
        <f>"25088887000142"</f>
        <v/>
      </c>
      <c r="E8822" s="30" t="inlineStr">
        <is>
          <t>J L DE MANGARATIBA INSTITUTO DE LINGUAS LTDA - ME</t>
        </is>
      </c>
      <c r="F8822" s="30" t="inlineStr">
        <is>
          <t>2020</t>
        </is>
      </c>
      <c r="G8822" s="40" t="n">
        <v>0</v>
      </c>
    </row>
    <row r="8823" ht="12" customHeight="1">
      <c r="A8823" s="30" t="inlineStr">
        <is>
          <t>ITG</t>
        </is>
      </c>
      <c r="B8823" s="30" t="inlineStr">
        <is>
          <t>Itaguai</t>
        </is>
      </c>
      <c r="C8823" s="30" t="n">
        <v>87174999</v>
      </c>
      <c r="D8823" s="30">
        <f>"25088887000142"</f>
        <v/>
      </c>
      <c r="E8823" s="30" t="inlineStr">
        <is>
          <t>J L DE MANGARATIBA INSTITUTO DE LINGUAS LTDA - ME</t>
        </is>
      </c>
      <c r="F8823" s="30" t="inlineStr">
        <is>
          <t>2021</t>
        </is>
      </c>
      <c r="G8823" s="40" t="n">
        <v>0</v>
      </c>
    </row>
    <row r="8824" ht="12" customHeight="1">
      <c r="A8824" s="30" t="inlineStr">
        <is>
          <t>ITG</t>
        </is>
      </c>
      <c r="B8824" s="30" t="inlineStr">
        <is>
          <t>Itaguai</t>
        </is>
      </c>
      <c r="C8824" s="30" t="n">
        <v>87174999</v>
      </c>
      <c r="D8824" s="30">
        <f>"25088887000142"</f>
        <v/>
      </c>
      <c r="E8824" s="30" t="inlineStr">
        <is>
          <t>J L DE MANGARATIBA INSTITUTO DE LINGUAS LTDA - ME</t>
        </is>
      </c>
      <c r="F8824" s="30" t="inlineStr">
        <is>
          <t>2022</t>
        </is>
      </c>
      <c r="G8824" s="40" t="n">
        <v>0</v>
      </c>
    </row>
    <row r="8825" ht="12" customHeight="1">
      <c r="A8825" s="30" t="inlineStr">
        <is>
          <t>ITG</t>
        </is>
      </c>
      <c r="B8825" s="30" t="inlineStr">
        <is>
          <t>Itaguai</t>
        </is>
      </c>
      <c r="C8825" s="30" t="n">
        <v>87174999</v>
      </c>
      <c r="D8825" s="30">
        <f>"25088887000142"</f>
        <v/>
      </c>
      <c r="E8825" s="30" t="inlineStr">
        <is>
          <t>J L DE MANGARATIBA INSTITUTO DE LINGUAS LTDA - ME</t>
        </is>
      </c>
      <c r="F8825" s="30" t="inlineStr">
        <is>
          <t>2023</t>
        </is>
      </c>
      <c r="G8825" s="40" t="n">
        <v>0</v>
      </c>
    </row>
    <row r="8826" ht="12" customHeight="1">
      <c r="A8826" s="30" t="inlineStr">
        <is>
          <t>ITG</t>
        </is>
      </c>
      <c r="B8826" s="30" t="inlineStr">
        <is>
          <t>Itaguai</t>
        </is>
      </c>
      <c r="C8826" s="30" t="n">
        <v>87183335</v>
      </c>
      <c r="D8826" s="30">
        <f>"08896056000935"</f>
        <v/>
      </c>
      <c r="E8826" s="30" t="inlineStr">
        <is>
          <t>AVAPEX TRANSPORTES LTDA - ME</t>
        </is>
      </c>
      <c r="F8826" s="30" t="inlineStr">
        <is>
          <t>2017</t>
        </is>
      </c>
      <c r="G8826" s="40" t="n">
        <v>2436.04</v>
      </c>
    </row>
    <row r="8827" ht="12" customHeight="1">
      <c r="A8827" s="30" t="inlineStr">
        <is>
          <t>ITG</t>
        </is>
      </c>
      <c r="B8827" s="30" t="inlineStr">
        <is>
          <t>Itaguai</t>
        </is>
      </c>
      <c r="C8827" s="30" t="n">
        <v>87183335</v>
      </c>
      <c r="D8827" s="30">
        <f>"08896056000935"</f>
        <v/>
      </c>
      <c r="E8827" s="30" t="inlineStr">
        <is>
          <t>AVAPEX TRANSPORTES LTDA - ME</t>
        </is>
      </c>
      <c r="F8827" s="30" t="inlineStr">
        <is>
          <t>2018</t>
        </is>
      </c>
      <c r="G8827" s="40" t="n">
        <v>0</v>
      </c>
    </row>
    <row r="8828" ht="12" customHeight="1">
      <c r="A8828" s="30" t="inlineStr">
        <is>
          <t>ITG</t>
        </is>
      </c>
      <c r="B8828" s="30" t="inlineStr">
        <is>
          <t>Itaguai</t>
        </is>
      </c>
      <c r="C8828" s="30" t="n">
        <v>87183335</v>
      </c>
      <c r="D8828" s="30">
        <f>"08896056000935"</f>
        <v/>
      </c>
      <c r="E8828" s="30" t="inlineStr">
        <is>
          <t>AVAPEX TRANSPORTES LTDA - ME</t>
        </is>
      </c>
      <c r="F8828" s="30" t="inlineStr">
        <is>
          <t>2019</t>
        </is>
      </c>
      <c r="G8828" s="40" t="n">
        <v>0</v>
      </c>
    </row>
    <row r="8829" ht="12" customHeight="1">
      <c r="A8829" s="30" t="inlineStr">
        <is>
          <t>ITG</t>
        </is>
      </c>
      <c r="B8829" s="30" t="inlineStr">
        <is>
          <t>Itaguai</t>
        </is>
      </c>
      <c r="C8829" s="30" t="n">
        <v>87183335</v>
      </c>
      <c r="D8829" s="30">
        <f>"08896056000935"</f>
        <v/>
      </c>
      <c r="E8829" s="30" t="inlineStr">
        <is>
          <t>AVAPEX TRANSPORTES LTDA - ME</t>
        </is>
      </c>
      <c r="F8829" s="30" t="inlineStr">
        <is>
          <t>2020</t>
        </is>
      </c>
      <c r="G8829" s="40" t="n">
        <v>0</v>
      </c>
    </row>
    <row r="8830" ht="12" customHeight="1">
      <c r="A8830" s="30" t="inlineStr">
        <is>
          <t>ITG</t>
        </is>
      </c>
      <c r="B8830" s="30" t="inlineStr">
        <is>
          <t>Itaguai</t>
        </is>
      </c>
      <c r="C8830" s="30" t="n">
        <v>87183335</v>
      </c>
      <c r="D8830" s="30">
        <f>"08896056000935"</f>
        <v/>
      </c>
      <c r="E8830" s="30" t="inlineStr">
        <is>
          <t>AVAPEX TRANSPORTES LTDA - ME</t>
        </is>
      </c>
      <c r="F8830" s="30" t="inlineStr">
        <is>
          <t>2021</t>
        </is>
      </c>
      <c r="G8830" s="40" t="n">
        <v>318472.93</v>
      </c>
    </row>
    <row r="8831" ht="12" customHeight="1">
      <c r="A8831" s="30" t="inlineStr">
        <is>
          <t>ITG</t>
        </is>
      </c>
      <c r="B8831" s="30" t="inlineStr">
        <is>
          <t>Itaguai</t>
        </is>
      </c>
      <c r="C8831" s="30" t="n">
        <v>87183335</v>
      </c>
      <c r="D8831" s="30">
        <f>"08896056000935"</f>
        <v/>
      </c>
      <c r="E8831" s="30" t="inlineStr">
        <is>
          <t>AVAPEX TRANSPORTES LTDA - ME</t>
        </is>
      </c>
      <c r="F8831" s="30" t="inlineStr">
        <is>
          <t>2022</t>
        </is>
      </c>
      <c r="G8831" s="40" t="n">
        <v>276049.01</v>
      </c>
    </row>
    <row r="8832" ht="12" customHeight="1">
      <c r="A8832" s="30" t="inlineStr">
        <is>
          <t>ITG</t>
        </is>
      </c>
      <c r="B8832" s="30" t="inlineStr">
        <is>
          <t>Itaguai</t>
        </is>
      </c>
      <c r="C8832" s="30" t="n">
        <v>87183335</v>
      </c>
      <c r="D8832" s="30">
        <f>"08896056000935"</f>
        <v/>
      </c>
      <c r="E8832" s="30" t="inlineStr">
        <is>
          <t>AVAPEX TRANSPORTES LTDA - ME</t>
        </is>
      </c>
      <c r="F8832" s="30" t="inlineStr">
        <is>
          <t>2023</t>
        </is>
      </c>
      <c r="G8832" s="40" t="n">
        <v>2203.83</v>
      </c>
    </row>
    <row r="8833" ht="12" customHeight="1">
      <c r="A8833" s="30" t="inlineStr">
        <is>
          <t>ITG</t>
        </is>
      </c>
      <c r="B8833" s="30" t="inlineStr">
        <is>
          <t>Itaguai</t>
        </is>
      </c>
      <c r="C8833" s="30" t="n">
        <v>87188817</v>
      </c>
      <c r="D8833" s="30">
        <f>"07275520000318"</f>
        <v/>
      </c>
      <c r="E8833" s="30" t="inlineStr">
        <is>
          <t>GT MINAS TRANSPORTES E DISTRIBUIDORA LTDA</t>
        </is>
      </c>
      <c r="F8833" s="30" t="inlineStr">
        <is>
          <t>2017</t>
        </is>
      </c>
      <c r="G8833" s="40" t="n">
        <v>235012.5</v>
      </c>
    </row>
    <row r="8834" ht="12" customHeight="1">
      <c r="A8834" s="30" t="inlineStr">
        <is>
          <t>ITG</t>
        </is>
      </c>
      <c r="B8834" s="30" t="inlineStr">
        <is>
          <t>Itaguai</t>
        </is>
      </c>
      <c r="C8834" s="30" t="n">
        <v>87188817</v>
      </c>
      <c r="D8834" s="30">
        <f>"07275520000318"</f>
        <v/>
      </c>
      <c r="E8834" s="30" t="inlineStr">
        <is>
          <t>GT MINAS TRANSPORTES E DISTRIBUIDORA LTDA</t>
        </is>
      </c>
      <c r="F8834" s="30" t="inlineStr">
        <is>
          <t>2018</t>
        </is>
      </c>
      <c r="G8834" s="40" t="n">
        <v>104900.34</v>
      </c>
    </row>
    <row r="8835" ht="12" customHeight="1">
      <c r="A8835" s="30" t="inlineStr">
        <is>
          <t>ITG</t>
        </is>
      </c>
      <c r="B8835" s="30" t="inlineStr">
        <is>
          <t>Itaguai</t>
        </is>
      </c>
      <c r="C8835" s="30" t="n">
        <v>87188817</v>
      </c>
      <c r="D8835" s="30">
        <f>"07275520000318"</f>
        <v/>
      </c>
      <c r="E8835" s="30" t="inlineStr">
        <is>
          <t>GT MINAS TRANSPORTES E DISTRIBUIDORA LTDA</t>
        </is>
      </c>
      <c r="F8835" s="30" t="inlineStr">
        <is>
          <t>2019</t>
        </is>
      </c>
      <c r="G8835" s="40" t="n">
        <v>80382.94</v>
      </c>
    </row>
    <row r="8836" ht="12" customHeight="1">
      <c r="A8836" s="30" t="inlineStr">
        <is>
          <t>ITG</t>
        </is>
      </c>
      <c r="B8836" s="30" t="inlineStr">
        <is>
          <t>Itaguai</t>
        </is>
      </c>
      <c r="C8836" s="30" t="n">
        <v>87188817</v>
      </c>
      <c r="D8836" s="30">
        <f>"07275520000318"</f>
        <v/>
      </c>
      <c r="E8836" s="30" t="inlineStr">
        <is>
          <t>GT MINAS TRANSPORTES E DISTRIBUIDORA LTDA</t>
        </is>
      </c>
      <c r="F8836" s="30" t="inlineStr">
        <is>
          <t>2020</t>
        </is>
      </c>
      <c r="G8836" s="40" t="n">
        <v>1648607.1</v>
      </c>
    </row>
    <row r="8837" ht="12" customHeight="1">
      <c r="A8837" s="30" t="inlineStr">
        <is>
          <t>ITG</t>
        </is>
      </c>
      <c r="B8837" s="30" t="inlineStr">
        <is>
          <t>Itaguai</t>
        </is>
      </c>
      <c r="C8837" s="30" t="n">
        <v>87188817</v>
      </c>
      <c r="D8837" s="30">
        <f>"07275520000318"</f>
        <v/>
      </c>
      <c r="E8837" s="30" t="inlineStr">
        <is>
          <t>GT MINAS TRANSPORTES E DISTRIBUIDORA LTDA</t>
        </is>
      </c>
      <c r="F8837" s="30" t="inlineStr">
        <is>
          <t>2021</t>
        </is>
      </c>
      <c r="G8837" s="40" t="n">
        <v>20826.96</v>
      </c>
    </row>
    <row r="8838" ht="12" customHeight="1">
      <c r="A8838" s="30" t="inlineStr">
        <is>
          <t>ITG</t>
        </is>
      </c>
      <c r="B8838" s="30" t="inlineStr">
        <is>
          <t>Itaguai</t>
        </is>
      </c>
      <c r="C8838" s="30" t="n">
        <v>87188817</v>
      </c>
      <c r="D8838" s="30">
        <f>"07275520000318"</f>
        <v/>
      </c>
      <c r="E8838" s="30" t="inlineStr">
        <is>
          <t>GT MINAS TRANSPORTES E DISTRIBUIDORA LTDA</t>
        </is>
      </c>
      <c r="F8838" s="30" t="inlineStr">
        <is>
          <t>2022</t>
        </is>
      </c>
      <c r="G8838" s="40" t="n">
        <v>88156.64</v>
      </c>
    </row>
    <row r="8839" ht="12" customHeight="1">
      <c r="A8839" s="30" t="inlineStr">
        <is>
          <t>ITG</t>
        </is>
      </c>
      <c r="B8839" s="30" t="inlineStr">
        <is>
          <t>Itaguai</t>
        </is>
      </c>
      <c r="C8839" s="30" t="n">
        <v>87188817</v>
      </c>
      <c r="D8839" s="30">
        <f>"07275520000318"</f>
        <v/>
      </c>
      <c r="E8839" s="30" t="inlineStr">
        <is>
          <t>GT MINAS TRANSPORTES E DISTRIBUIDORA LTDA</t>
        </is>
      </c>
      <c r="F8839" s="30" t="inlineStr">
        <is>
          <t>2023</t>
        </is>
      </c>
      <c r="G8839" s="40" t="n">
        <v>113827.72</v>
      </c>
    </row>
    <row r="8840" ht="12" customHeight="1">
      <c r="A8840" s="30" t="inlineStr">
        <is>
          <t>ITG</t>
        </is>
      </c>
      <c r="B8840" s="30" t="inlineStr">
        <is>
          <t>Itaguai</t>
        </is>
      </c>
      <c r="C8840" s="30" t="n">
        <v>87189562</v>
      </c>
      <c r="D8840" s="30">
        <f>"25165389000156"</f>
        <v/>
      </c>
      <c r="E8840" s="30" t="inlineStr">
        <is>
          <t>PHARMTECH DISTRIBUIDORA DE MEDICAMENTOS E MATERIAL HOSPITALAR LTDA EPP</t>
        </is>
      </c>
      <c r="F8840" s="30" t="inlineStr">
        <is>
          <t>2017</t>
        </is>
      </c>
      <c r="G8840" s="40" t="n">
        <v>0</v>
      </c>
    </row>
    <row r="8841" ht="12" customHeight="1">
      <c r="A8841" s="30" t="inlineStr">
        <is>
          <t>ITG</t>
        </is>
      </c>
      <c r="B8841" s="30" t="inlineStr">
        <is>
          <t>Itaguai</t>
        </is>
      </c>
      <c r="C8841" s="30" t="n">
        <v>87189562</v>
      </c>
      <c r="D8841" s="30">
        <f>"25165389000156"</f>
        <v/>
      </c>
      <c r="E8841" s="30" t="inlineStr">
        <is>
          <t>PHARMTECH DISTRIBUIDORA DE MEDICAMENTOS E MATERIAL HOSPITALAR LTDA EPP</t>
        </is>
      </c>
      <c r="F8841" s="30" t="inlineStr">
        <is>
          <t>2018</t>
        </is>
      </c>
      <c r="G8841" s="40" t="n">
        <v>10735</v>
      </c>
    </row>
    <row r="8842" ht="12" customHeight="1">
      <c r="A8842" s="30" t="inlineStr">
        <is>
          <t>ITG</t>
        </is>
      </c>
      <c r="B8842" s="30" t="inlineStr">
        <is>
          <t>Itaguai</t>
        </is>
      </c>
      <c r="C8842" s="30" t="n">
        <v>87189562</v>
      </c>
      <c r="D8842" s="30">
        <f>"25165389000156"</f>
        <v/>
      </c>
      <c r="E8842" s="30" t="inlineStr">
        <is>
          <t>PHARMTECH DISTRIBUIDORA DE MEDICAMENTOS E MATERIAL HOSPITALAR LTDA EPP</t>
        </is>
      </c>
      <c r="F8842" s="30" t="inlineStr">
        <is>
          <t>2019</t>
        </is>
      </c>
      <c r="G8842" s="40" t="n">
        <v>0</v>
      </c>
    </row>
    <row r="8843" ht="12" customHeight="1">
      <c r="A8843" s="30" t="inlineStr">
        <is>
          <t>ITG</t>
        </is>
      </c>
      <c r="B8843" s="30" t="inlineStr">
        <is>
          <t>Itaguai</t>
        </is>
      </c>
      <c r="C8843" s="30" t="n">
        <v>87189562</v>
      </c>
      <c r="D8843" s="30">
        <f>"25165389000156"</f>
        <v/>
      </c>
      <c r="E8843" s="30" t="inlineStr">
        <is>
          <t>PHARMTECH DISTRIBUIDORA DE MEDICAMENTOS E MATERIAL HOSPITALAR LTDA EPP</t>
        </is>
      </c>
      <c r="F8843" s="30" t="inlineStr">
        <is>
          <t>2020</t>
        </is>
      </c>
      <c r="G8843" s="40" t="n">
        <v>0</v>
      </c>
    </row>
    <row r="8844" ht="12" customHeight="1">
      <c r="A8844" s="30" t="inlineStr">
        <is>
          <t>ITG</t>
        </is>
      </c>
      <c r="B8844" s="30" t="inlineStr">
        <is>
          <t>Itaguai</t>
        </is>
      </c>
      <c r="C8844" s="30" t="n">
        <v>87189562</v>
      </c>
      <c r="D8844" s="30">
        <f>"25165389000156"</f>
        <v/>
      </c>
      <c r="E8844" s="30" t="inlineStr">
        <is>
          <t>PHARMTECH DISTRIBUIDORA DE MEDICAMENTOS E MATERIAL HOSPITALAR LTDA EPP</t>
        </is>
      </c>
      <c r="F8844" s="30" t="inlineStr">
        <is>
          <t>2021</t>
        </is>
      </c>
      <c r="G8844" s="40" t="n">
        <v>0</v>
      </c>
    </row>
    <row r="8845" ht="12" customHeight="1">
      <c r="A8845" s="30" t="inlineStr">
        <is>
          <t>ITG</t>
        </is>
      </c>
      <c r="B8845" s="30" t="inlineStr">
        <is>
          <t>Itaguai</t>
        </is>
      </c>
      <c r="C8845" s="30" t="n">
        <v>87189562</v>
      </c>
      <c r="D8845" s="30">
        <f>"25165389000156"</f>
        <v/>
      </c>
      <c r="E8845" s="30" t="inlineStr">
        <is>
          <t>PHARMTECH DISTRIBUIDORA DE MEDICAMENTOS E MATERIAL HOSPITALAR LTDA EPP</t>
        </is>
      </c>
      <c r="F8845" s="30" t="inlineStr">
        <is>
          <t>2022</t>
        </is>
      </c>
      <c r="G8845" s="40" t="n">
        <v>0</v>
      </c>
    </row>
    <row r="8846" ht="12" customHeight="1">
      <c r="A8846" s="30" t="inlineStr">
        <is>
          <t>ITG</t>
        </is>
      </c>
      <c r="B8846" s="30" t="inlineStr">
        <is>
          <t>Itaguai</t>
        </is>
      </c>
      <c r="C8846" s="30" t="n">
        <v>87189562</v>
      </c>
      <c r="D8846" s="30">
        <f>"25165389000156"</f>
        <v/>
      </c>
      <c r="E8846" s="30" t="inlineStr">
        <is>
          <t>PHARMTECH DISTRIBUIDORA DE MEDICAMENTOS E MATERIAL HOSPITALAR LTDA EPP</t>
        </is>
      </c>
      <c r="F8846" s="30" t="inlineStr">
        <is>
          <t>2023</t>
        </is>
      </c>
      <c r="G8846" s="40" t="n">
        <v>0</v>
      </c>
    </row>
    <row r="8847" ht="12" customHeight="1">
      <c r="A8847" s="30" t="inlineStr">
        <is>
          <t>ITG</t>
        </is>
      </c>
      <c r="B8847" s="30" t="inlineStr">
        <is>
          <t>Itaguai</t>
        </is>
      </c>
      <c r="C8847" s="30" t="n">
        <v>87190587</v>
      </c>
      <c r="D8847" s="30">
        <f>"09262608000754"</f>
        <v/>
      </c>
      <c r="E8847" s="30" t="inlineStr">
        <is>
          <t>TBFORTE SEGURANCA E TRANSPORTE DE VALORES LTDA</t>
        </is>
      </c>
      <c r="F8847" s="30" t="inlineStr">
        <is>
          <t>2017</t>
        </is>
      </c>
      <c r="G8847" s="40" t="n">
        <v>214824.58</v>
      </c>
    </row>
    <row r="8848" ht="12" customHeight="1">
      <c r="A8848" s="30" t="inlineStr">
        <is>
          <t>ITG</t>
        </is>
      </c>
      <c r="B8848" s="30" t="inlineStr">
        <is>
          <t>Itaguai</t>
        </is>
      </c>
      <c r="C8848" s="30" t="n">
        <v>87190587</v>
      </c>
      <c r="D8848" s="30">
        <f>"09262608000754"</f>
        <v/>
      </c>
      <c r="E8848" s="30" t="inlineStr">
        <is>
          <t>TBFORTE SEGURANCA E TRANSPORTE DE VALORES LTDA</t>
        </is>
      </c>
      <c r="F8848" s="30" t="inlineStr">
        <is>
          <t>2018</t>
        </is>
      </c>
      <c r="G8848" s="40" t="n">
        <v>302653.21</v>
      </c>
    </row>
    <row r="8849" ht="12" customHeight="1">
      <c r="A8849" s="30" t="inlineStr">
        <is>
          <t>ITG</t>
        </is>
      </c>
      <c r="B8849" s="30" t="inlineStr">
        <is>
          <t>Itaguai</t>
        </is>
      </c>
      <c r="C8849" s="30" t="n">
        <v>87190587</v>
      </c>
      <c r="D8849" s="30">
        <f>"09262608000754"</f>
        <v/>
      </c>
      <c r="E8849" s="30" t="inlineStr">
        <is>
          <t>TBFORTE SEGURANCA E TRANSPORTE DE VALORES LTDA</t>
        </is>
      </c>
      <c r="F8849" s="30" t="inlineStr">
        <is>
          <t>2019</t>
        </is>
      </c>
      <c r="G8849" s="40" t="n">
        <v>374085.87</v>
      </c>
    </row>
    <row r="8850" ht="12" customHeight="1">
      <c r="A8850" s="30" t="inlineStr">
        <is>
          <t>ITG</t>
        </is>
      </c>
      <c r="B8850" s="30" t="inlineStr">
        <is>
          <t>Itaguai</t>
        </is>
      </c>
      <c r="C8850" s="30" t="n">
        <v>87190587</v>
      </c>
      <c r="D8850" s="30">
        <f>"09262608000754"</f>
        <v/>
      </c>
      <c r="E8850" s="30" t="inlineStr">
        <is>
          <t>TBFORTE SEGURANCA E TRANSPORTE DE VALORES LTDA</t>
        </is>
      </c>
      <c r="F8850" s="30" t="inlineStr">
        <is>
          <t>2020</t>
        </is>
      </c>
      <c r="G8850" s="40" t="n">
        <v>539910.9300000001</v>
      </c>
    </row>
    <row r="8851" ht="12" customHeight="1">
      <c r="A8851" s="30" t="inlineStr">
        <is>
          <t>ITG</t>
        </is>
      </c>
      <c r="B8851" s="30" t="inlineStr">
        <is>
          <t>Itaguai</t>
        </is>
      </c>
      <c r="C8851" s="30" t="n">
        <v>87190587</v>
      </c>
      <c r="D8851" s="30">
        <f>"09262608000754"</f>
        <v/>
      </c>
      <c r="E8851" s="30" t="inlineStr">
        <is>
          <t>TBFORTE SEGURANCA E TRANSPORTE DE VALORES LTDA</t>
        </is>
      </c>
      <c r="F8851" s="30" t="inlineStr">
        <is>
          <t>2021</t>
        </is>
      </c>
      <c r="G8851" s="40" t="n">
        <v>531642.16</v>
      </c>
    </row>
    <row r="8852" ht="12" customHeight="1">
      <c r="A8852" s="30" t="inlineStr">
        <is>
          <t>ITG</t>
        </is>
      </c>
      <c r="B8852" s="30" t="inlineStr">
        <is>
          <t>Itaguai</t>
        </is>
      </c>
      <c r="C8852" s="30" t="n">
        <v>87190587</v>
      </c>
      <c r="D8852" s="30">
        <f>"09262608000754"</f>
        <v/>
      </c>
      <c r="E8852" s="30" t="inlineStr">
        <is>
          <t>TBFORTE SEGURANCA E TRANSPORTE DE VALORES LTDA</t>
        </is>
      </c>
      <c r="F8852" s="30" t="inlineStr">
        <is>
          <t>2022</t>
        </is>
      </c>
      <c r="G8852" s="40" t="n">
        <v>493365.21</v>
      </c>
    </row>
    <row r="8853" ht="12" customHeight="1">
      <c r="A8853" s="30" t="inlineStr">
        <is>
          <t>ITG</t>
        </is>
      </c>
      <c r="B8853" s="30" t="inlineStr">
        <is>
          <t>Itaguai</t>
        </is>
      </c>
      <c r="C8853" s="30" t="n">
        <v>87190587</v>
      </c>
      <c r="D8853" s="30">
        <f>"09262608000754"</f>
        <v/>
      </c>
      <c r="E8853" s="30" t="inlineStr">
        <is>
          <t>TBFORTE SEGURANCA E TRANSPORTE DE VALORES LTDA</t>
        </is>
      </c>
      <c r="F8853" s="30" t="inlineStr">
        <is>
          <t>2023</t>
        </is>
      </c>
      <c r="G8853" s="40" t="n">
        <v>509381.98</v>
      </c>
    </row>
    <row r="8854" ht="12" customHeight="1">
      <c r="A8854" s="30" t="inlineStr">
        <is>
          <t>ITG</t>
        </is>
      </c>
      <c r="B8854" s="30" t="inlineStr">
        <is>
          <t>Itaguai</t>
        </is>
      </c>
      <c r="C8854" s="30" t="n">
        <v>87194345</v>
      </c>
      <c r="D8854" s="30">
        <f>"46044913001425"</f>
        <v/>
      </c>
      <c r="E8854" s="30" t="inlineStr">
        <is>
          <t>DHL TRANSPORTES BRAZIL LTDA</t>
        </is>
      </c>
      <c r="F8854" s="30" t="inlineStr">
        <is>
          <t>2017</t>
        </is>
      </c>
      <c r="G8854" s="40" t="n">
        <v>389258.29</v>
      </c>
    </row>
    <row r="8855" ht="12" customHeight="1">
      <c r="A8855" s="30" t="inlineStr">
        <is>
          <t>ITG</t>
        </is>
      </c>
      <c r="B8855" s="30" t="inlineStr">
        <is>
          <t>Itaguai</t>
        </is>
      </c>
      <c r="C8855" s="30" t="n">
        <v>87194345</v>
      </c>
      <c r="D8855" s="30">
        <f>"46044913001425"</f>
        <v/>
      </c>
      <c r="E8855" s="30" t="inlineStr">
        <is>
          <t>DHL TRANSPORTES BRAZIL LTDA</t>
        </is>
      </c>
      <c r="F8855" s="30" t="inlineStr">
        <is>
          <t>2018</t>
        </is>
      </c>
      <c r="G8855" s="40" t="n">
        <v>164213.44</v>
      </c>
    </row>
    <row r="8856" ht="12" customHeight="1">
      <c r="A8856" s="30" t="inlineStr">
        <is>
          <t>ITG</t>
        </is>
      </c>
      <c r="B8856" s="30" t="inlineStr">
        <is>
          <t>Itaguai</t>
        </is>
      </c>
      <c r="C8856" s="30" t="n">
        <v>87194345</v>
      </c>
      <c r="D8856" s="30">
        <f>"46044913001425"</f>
        <v/>
      </c>
      <c r="E8856" s="30" t="inlineStr">
        <is>
          <t>DHL TRANSPORTES BRAZIL LTDA</t>
        </is>
      </c>
      <c r="F8856" s="30" t="inlineStr">
        <is>
          <t>2019</t>
        </is>
      </c>
      <c r="G8856" s="40" t="n">
        <v>0</v>
      </c>
    </row>
    <row r="8857" ht="12" customHeight="1">
      <c r="A8857" s="30" t="inlineStr">
        <is>
          <t>ITG</t>
        </is>
      </c>
      <c r="B8857" s="30" t="inlineStr">
        <is>
          <t>Itaguai</t>
        </is>
      </c>
      <c r="C8857" s="30" t="n">
        <v>87194345</v>
      </c>
      <c r="D8857" s="30">
        <f>"46044913001425"</f>
        <v/>
      </c>
      <c r="E8857" s="30" t="inlineStr">
        <is>
          <t>DHL TRANSPORTES BRAZIL LTDA</t>
        </is>
      </c>
      <c r="F8857" s="30" t="inlineStr">
        <is>
          <t>2020</t>
        </is>
      </c>
      <c r="G8857" s="40" t="n">
        <v>0</v>
      </c>
    </row>
    <row r="8858" ht="12" customHeight="1">
      <c r="A8858" s="30" t="inlineStr">
        <is>
          <t>ITG</t>
        </is>
      </c>
      <c r="B8858" s="30" t="inlineStr">
        <is>
          <t>Itaguai</t>
        </is>
      </c>
      <c r="C8858" s="30" t="n">
        <v>87197964</v>
      </c>
      <c r="D8858" s="30">
        <f>"24492359000191"</f>
        <v/>
      </c>
      <c r="E8858" s="30" t="inlineStr">
        <is>
          <t>COOPERATIVA DOS AGRICULTORES FAMILIARES DE ITAGUAI COOPAFIT</t>
        </is>
      </c>
      <c r="F8858" s="30" t="inlineStr">
        <is>
          <t>2017</t>
        </is>
      </c>
      <c r="G8858" s="40" t="n">
        <v>0</v>
      </c>
    </row>
    <row r="8859" ht="12" customHeight="1">
      <c r="A8859" s="30" t="inlineStr">
        <is>
          <t>ITG</t>
        </is>
      </c>
      <c r="B8859" s="30" t="inlineStr">
        <is>
          <t>Itaguai</t>
        </is>
      </c>
      <c r="C8859" s="30" t="n">
        <v>87197964</v>
      </c>
      <c r="D8859" s="30">
        <f>"24492359000191"</f>
        <v/>
      </c>
      <c r="E8859" s="30" t="inlineStr">
        <is>
          <t>COOPERATIVA DOS AGRICULTORES FAMILIARES DE ITAGUAI COOPAFIT</t>
        </is>
      </c>
      <c r="F8859" s="30" t="inlineStr">
        <is>
          <t>2018</t>
        </is>
      </c>
      <c r="G8859" s="40" t="n">
        <v>0</v>
      </c>
    </row>
    <row r="8860" ht="12" customHeight="1">
      <c r="A8860" s="30" t="inlineStr">
        <is>
          <t>ITG</t>
        </is>
      </c>
      <c r="B8860" s="30" t="inlineStr">
        <is>
          <t>Itaguai</t>
        </is>
      </c>
      <c r="C8860" s="30" t="n">
        <v>87197964</v>
      </c>
      <c r="D8860" s="30">
        <f>"24492359000191"</f>
        <v/>
      </c>
      <c r="E8860" s="30" t="inlineStr">
        <is>
          <t>COOPERATIVA DOS AGRICULTORES FAMILIARES DE ITAGUAI COOPAFIT</t>
        </is>
      </c>
      <c r="F8860" s="30" t="inlineStr">
        <is>
          <t>2019</t>
        </is>
      </c>
      <c r="G8860" s="40" t="n">
        <v>0</v>
      </c>
    </row>
    <row r="8861" ht="12" customHeight="1">
      <c r="A8861" s="30" t="inlineStr">
        <is>
          <t>ITG</t>
        </is>
      </c>
      <c r="B8861" s="30" t="inlineStr">
        <is>
          <t>Itaguai</t>
        </is>
      </c>
      <c r="C8861" s="30" t="n">
        <v>87197964</v>
      </c>
      <c r="D8861" s="30">
        <f>"24492359000191"</f>
        <v/>
      </c>
      <c r="E8861" s="30" t="inlineStr">
        <is>
          <t>COOPERATIVA DOS AGRICULTORES FAMILIARES DE ITAGUAI COOPAFIT</t>
        </is>
      </c>
      <c r="F8861" s="30" t="inlineStr">
        <is>
          <t>2020</t>
        </is>
      </c>
      <c r="G8861" s="40" t="n">
        <v>0</v>
      </c>
    </row>
    <row r="8862" ht="12" customHeight="1">
      <c r="A8862" s="30" t="inlineStr">
        <is>
          <t>ITG</t>
        </is>
      </c>
      <c r="B8862" s="30" t="inlineStr">
        <is>
          <t>Itaguai</t>
        </is>
      </c>
      <c r="C8862" s="30" t="n">
        <v>87197964</v>
      </c>
      <c r="D8862" s="30">
        <f>"24492359000191"</f>
        <v/>
      </c>
      <c r="E8862" s="30" t="inlineStr">
        <is>
          <t>COOPERATIVA DOS AGRICULTORES FAMILIARES DE ITAGUAI COOPAFIT</t>
        </is>
      </c>
      <c r="F8862" s="30" t="inlineStr">
        <is>
          <t>2021</t>
        </is>
      </c>
      <c r="G8862" s="40" t="n">
        <v>0</v>
      </c>
    </row>
    <row r="8863" ht="12" customHeight="1">
      <c r="A8863" s="30" t="inlineStr">
        <is>
          <t>ITG</t>
        </is>
      </c>
      <c r="B8863" s="30" t="inlineStr">
        <is>
          <t>Itaguai</t>
        </is>
      </c>
      <c r="C8863" s="30" t="n">
        <v>87197964</v>
      </c>
      <c r="D8863" s="30">
        <f>"24492359000191"</f>
        <v/>
      </c>
      <c r="E8863" s="30" t="inlineStr">
        <is>
          <t>COOPERATIVA DOS AGRICULTORES FAMILIARES DE ITAGUAI COOPAFIT</t>
        </is>
      </c>
      <c r="F8863" s="30" t="inlineStr">
        <is>
          <t>2022</t>
        </is>
      </c>
      <c r="G8863" s="40" t="n">
        <v>127862</v>
      </c>
    </row>
    <row r="8864" ht="12" customHeight="1">
      <c r="A8864" s="30" t="inlineStr">
        <is>
          <t>ITG</t>
        </is>
      </c>
      <c r="B8864" s="30" t="inlineStr">
        <is>
          <t>Itaguai</t>
        </is>
      </c>
      <c r="C8864" s="30" t="n">
        <v>87197964</v>
      </c>
      <c r="D8864" s="30">
        <f>"24492359000191"</f>
        <v/>
      </c>
      <c r="E8864" s="30" t="inlineStr">
        <is>
          <t>COOPERATIVA DOS AGRICULTORES FAMILIARES DE ITAGUAI COOPAFIT</t>
        </is>
      </c>
      <c r="F8864" s="30" t="inlineStr">
        <is>
          <t>2023</t>
        </is>
      </c>
      <c r="G8864" s="40" t="n">
        <v>46732.4</v>
      </c>
    </row>
    <row r="8865" ht="12" customHeight="1">
      <c r="A8865" s="30" t="inlineStr">
        <is>
          <t>ITG</t>
        </is>
      </c>
      <c r="B8865" s="30" t="inlineStr">
        <is>
          <t>Itaguai</t>
        </is>
      </c>
      <c r="C8865" s="30" t="n">
        <v>87198120</v>
      </c>
      <c r="D8865" s="30">
        <f>"23349580000475"</f>
        <v/>
      </c>
      <c r="E8865" s="30" t="inlineStr">
        <is>
          <t>LOTUS LOGISTICA INTEGRADA LTDA</t>
        </is>
      </c>
      <c r="F8865" s="30" t="inlineStr">
        <is>
          <t>2017</t>
        </is>
      </c>
      <c r="G8865" s="40" t="n">
        <v>1303.22</v>
      </c>
    </row>
    <row r="8866" ht="12" customHeight="1">
      <c r="A8866" s="30" t="inlineStr">
        <is>
          <t>ITG</t>
        </is>
      </c>
      <c r="B8866" s="30" t="inlineStr">
        <is>
          <t>Itaguai</t>
        </is>
      </c>
      <c r="C8866" s="30" t="n">
        <v>87198120</v>
      </c>
      <c r="D8866" s="30">
        <f>"23349580000475"</f>
        <v/>
      </c>
      <c r="E8866" s="30" t="inlineStr">
        <is>
          <t>LOTUS LOGISTICA INTEGRADA LTDA</t>
        </is>
      </c>
      <c r="F8866" s="30" t="inlineStr">
        <is>
          <t>2018</t>
        </is>
      </c>
      <c r="G8866" s="40" t="n">
        <v>1864.15</v>
      </c>
    </row>
    <row r="8867" ht="12" customHeight="1">
      <c r="A8867" s="30" t="inlineStr">
        <is>
          <t>ITG</t>
        </is>
      </c>
      <c r="B8867" s="30" t="inlineStr">
        <is>
          <t>Itaguai</t>
        </is>
      </c>
      <c r="C8867" s="30" t="n">
        <v>87198120</v>
      </c>
      <c r="D8867" s="30">
        <f>"23349580000475"</f>
        <v/>
      </c>
      <c r="E8867" s="30" t="inlineStr">
        <is>
          <t>LOTUS LOGISTICA INTEGRADA LTDA</t>
        </is>
      </c>
      <c r="F8867" s="30" t="inlineStr">
        <is>
          <t>2019</t>
        </is>
      </c>
      <c r="G8867" s="40" t="n">
        <v>0</v>
      </c>
    </row>
    <row r="8868" ht="12" customHeight="1">
      <c r="A8868" s="30" t="inlineStr">
        <is>
          <t>ITG</t>
        </is>
      </c>
      <c r="B8868" s="30" t="inlineStr">
        <is>
          <t>Itaguai</t>
        </is>
      </c>
      <c r="C8868" s="30" t="n">
        <v>87198120</v>
      </c>
      <c r="D8868" s="30">
        <f>"23349580000475"</f>
        <v/>
      </c>
      <c r="E8868" s="30" t="inlineStr">
        <is>
          <t>LOTUS LOGISTICA INTEGRADA LTDA</t>
        </is>
      </c>
      <c r="F8868" s="30" t="inlineStr">
        <is>
          <t>2020</t>
        </is>
      </c>
      <c r="G8868" s="40" t="n">
        <v>0</v>
      </c>
    </row>
    <row r="8869" ht="12" customHeight="1">
      <c r="A8869" s="30" t="inlineStr">
        <is>
          <t>ITG</t>
        </is>
      </c>
      <c r="B8869" s="30" t="inlineStr">
        <is>
          <t>Itaguai</t>
        </is>
      </c>
      <c r="C8869" s="30" t="n">
        <v>87199657</v>
      </c>
      <c r="D8869" s="30">
        <f>"25463085000175"</f>
        <v/>
      </c>
      <c r="E8869" s="30" t="inlineStr">
        <is>
          <t>A LUMINOSA ITAGUAI MATERIAL ELETRICO LTDA</t>
        </is>
      </c>
      <c r="F8869" s="30" t="inlineStr">
        <is>
          <t>2017</t>
        </is>
      </c>
      <c r="G8869" s="40" t="n">
        <v>0</v>
      </c>
    </row>
    <row r="8870" ht="12" customHeight="1">
      <c r="A8870" s="30" t="inlineStr">
        <is>
          <t>ITG</t>
        </is>
      </c>
      <c r="B8870" s="30" t="inlineStr">
        <is>
          <t>Itaguai</t>
        </is>
      </c>
      <c r="C8870" s="30" t="n">
        <v>87199657</v>
      </c>
      <c r="D8870" s="30">
        <f>"25463085000175"</f>
        <v/>
      </c>
      <c r="E8870" s="30" t="inlineStr">
        <is>
          <t>A LUMINOSA ITAGUAI MATERIAL ELETRICO LTDA</t>
        </is>
      </c>
      <c r="F8870" s="30" t="inlineStr">
        <is>
          <t>2018</t>
        </is>
      </c>
      <c r="G8870" s="40" t="n">
        <v>0</v>
      </c>
    </row>
    <row r="8871" ht="12" customHeight="1">
      <c r="A8871" s="30" t="inlineStr">
        <is>
          <t>ITG</t>
        </is>
      </c>
      <c r="B8871" s="30" t="inlineStr">
        <is>
          <t>Itaguai</t>
        </is>
      </c>
      <c r="C8871" s="30" t="n">
        <v>87199657</v>
      </c>
      <c r="D8871" s="30">
        <f>"25463085000175"</f>
        <v/>
      </c>
      <c r="E8871" s="30" t="inlineStr">
        <is>
          <t>A LUMINOSA ITAGUAI MATERIAL ELETRICO LTDA</t>
        </is>
      </c>
      <c r="F8871" s="30" t="inlineStr">
        <is>
          <t>2019</t>
        </is>
      </c>
      <c r="G8871" s="40" t="n">
        <v>659572.21</v>
      </c>
    </row>
    <row r="8872" ht="12" customHeight="1">
      <c r="A8872" s="30" t="inlineStr">
        <is>
          <t>ITG</t>
        </is>
      </c>
      <c r="B8872" s="30" t="inlineStr">
        <is>
          <t>Itaguai</t>
        </is>
      </c>
      <c r="C8872" s="30" t="n">
        <v>87199657</v>
      </c>
      <c r="D8872" s="30">
        <f>"25463085000175"</f>
        <v/>
      </c>
      <c r="E8872" s="30" t="inlineStr">
        <is>
          <t>A LUMINOSA ITAGUAI MATERIAL ELETRICO LTDA</t>
        </is>
      </c>
      <c r="F8872" s="30" t="inlineStr">
        <is>
          <t>2020</t>
        </is>
      </c>
      <c r="G8872" s="40" t="n">
        <v>1027566.38</v>
      </c>
    </row>
    <row r="8873" ht="12" customHeight="1">
      <c r="A8873" s="30" t="inlineStr">
        <is>
          <t>ITG</t>
        </is>
      </c>
      <c r="B8873" s="30" t="inlineStr">
        <is>
          <t>Itaguai</t>
        </is>
      </c>
      <c r="C8873" s="30" t="n">
        <v>87199657</v>
      </c>
      <c r="D8873" s="30">
        <f>"25463085000175"</f>
        <v/>
      </c>
      <c r="E8873" s="30" t="inlineStr">
        <is>
          <t>A LUMINOSA ITAGUAI MATERIAL ELETRICO LTDA</t>
        </is>
      </c>
      <c r="F8873" s="30" t="inlineStr">
        <is>
          <t>2021</t>
        </is>
      </c>
      <c r="G8873" s="40" t="n">
        <v>791274.09</v>
      </c>
    </row>
    <row r="8874" ht="12" customHeight="1">
      <c r="A8874" s="30" t="inlineStr">
        <is>
          <t>ITG</t>
        </is>
      </c>
      <c r="B8874" s="30" t="inlineStr">
        <is>
          <t>Itaguai</t>
        </is>
      </c>
      <c r="C8874" s="30" t="n">
        <v>87199657</v>
      </c>
      <c r="D8874" s="30">
        <f>"25463085000175"</f>
        <v/>
      </c>
      <c r="E8874" s="30" t="inlineStr">
        <is>
          <t>A LUMINOSA ITAGUAI MATERIAL ELETRICO LTDA</t>
        </is>
      </c>
      <c r="F8874" s="30" t="inlineStr">
        <is>
          <t>2022</t>
        </is>
      </c>
      <c r="G8874" s="40" t="n">
        <v>861466.16</v>
      </c>
    </row>
    <row r="8875" ht="12" customHeight="1">
      <c r="A8875" s="30" t="inlineStr">
        <is>
          <t>ITG</t>
        </is>
      </c>
      <c r="B8875" s="30" t="inlineStr">
        <is>
          <t>Itaguai</t>
        </is>
      </c>
      <c r="C8875" s="30" t="n">
        <v>87199657</v>
      </c>
      <c r="D8875" s="30">
        <f>"25463085000175"</f>
        <v/>
      </c>
      <c r="E8875" s="30" t="inlineStr">
        <is>
          <t>A LUMINOSA ITAGUAI MATERIAL ELETRICO LTDA</t>
        </is>
      </c>
      <c r="F8875" s="30" t="inlineStr">
        <is>
          <t>2023</t>
        </is>
      </c>
      <c r="G8875" s="40" t="n">
        <v>849388.65</v>
      </c>
    </row>
    <row r="8876" ht="12" customHeight="1">
      <c r="A8876" s="30" t="inlineStr">
        <is>
          <t>ITG</t>
        </is>
      </c>
      <c r="B8876" s="30" t="inlineStr">
        <is>
          <t>Itaguai</t>
        </is>
      </c>
      <c r="C8876" s="30" t="n">
        <v>87206432</v>
      </c>
      <c r="D8876" s="30">
        <f>"71698476000277"</f>
        <v/>
      </c>
      <c r="E8876" s="30" t="inlineStr">
        <is>
          <t>TRANSPO EXPRESS CONSULTORIA TRANSPOORTES E LOGISTICA LTDA</t>
        </is>
      </c>
      <c r="F8876" s="30" t="inlineStr">
        <is>
          <t>2018</t>
        </is>
      </c>
      <c r="G8876" s="40" t="n">
        <v>0</v>
      </c>
    </row>
    <row r="8877" ht="12" customHeight="1">
      <c r="A8877" s="30" t="inlineStr">
        <is>
          <t>ITG</t>
        </is>
      </c>
      <c r="B8877" s="30" t="inlineStr">
        <is>
          <t>Itaguai</t>
        </is>
      </c>
      <c r="C8877" s="30" t="n">
        <v>87206432</v>
      </c>
      <c r="D8877" s="30">
        <f>"71698476000277"</f>
        <v/>
      </c>
      <c r="E8877" s="30" t="inlineStr">
        <is>
          <t>TRANSPO EXPRESS CONSULTORIA TRANSPOORTES E LOGISTICA LTDA</t>
        </is>
      </c>
      <c r="F8877" s="30" t="inlineStr">
        <is>
          <t>2019</t>
        </is>
      </c>
      <c r="G8877" s="40" t="n">
        <v>0</v>
      </c>
    </row>
    <row r="8878" ht="12" customHeight="1">
      <c r="A8878" s="30" t="inlineStr">
        <is>
          <t>ITG</t>
        </is>
      </c>
      <c r="B8878" s="30" t="inlineStr">
        <is>
          <t>Itaguai</t>
        </is>
      </c>
      <c r="C8878" s="30" t="n">
        <v>87206432</v>
      </c>
      <c r="D8878" s="30">
        <f>"71698476000277"</f>
        <v/>
      </c>
      <c r="E8878" s="30" t="inlineStr">
        <is>
          <t>TRANSPO EXPRESS CONSULTORIA TRANSPOORTES E LOGISTICA LTDA</t>
        </is>
      </c>
      <c r="F8878" s="30" t="inlineStr">
        <is>
          <t>2020</t>
        </is>
      </c>
      <c r="G8878" s="40" t="n">
        <v>1015.42</v>
      </c>
    </row>
    <row r="8879" ht="12" customHeight="1">
      <c r="A8879" s="30" t="inlineStr">
        <is>
          <t>ITG</t>
        </is>
      </c>
      <c r="B8879" s="30" t="inlineStr">
        <is>
          <t>Itaguai</t>
        </is>
      </c>
      <c r="C8879" s="30" t="n">
        <v>87206432</v>
      </c>
      <c r="D8879" s="30">
        <f>"71698476000277"</f>
        <v/>
      </c>
      <c r="E8879" s="30" t="inlineStr">
        <is>
          <t>TRANSPO EXPRESS CONSULTORIA TRANSPOORTES E LOGISTICA LTDA</t>
        </is>
      </c>
      <c r="F8879" s="30" t="inlineStr">
        <is>
          <t>2021</t>
        </is>
      </c>
      <c r="G8879" s="40" t="n">
        <v>430.02</v>
      </c>
    </row>
    <row r="8880" ht="12" customHeight="1">
      <c r="A8880" s="30" t="inlineStr">
        <is>
          <t>ITG</t>
        </is>
      </c>
      <c r="B8880" s="30" t="inlineStr">
        <is>
          <t>Itaguai</t>
        </is>
      </c>
      <c r="C8880" s="30" t="n">
        <v>87206432</v>
      </c>
      <c r="D8880" s="30">
        <f>"71698476000277"</f>
        <v/>
      </c>
      <c r="E8880" s="30" t="inlineStr">
        <is>
          <t>TRANSPO EXPRESS CONSULTORIA TRANSPOORTES E LOGISTICA LTDA</t>
        </is>
      </c>
      <c r="F8880" s="30" t="inlineStr">
        <is>
          <t>2022</t>
        </is>
      </c>
      <c r="G8880" s="40" t="n">
        <v>0</v>
      </c>
    </row>
    <row r="8881" ht="12" customHeight="1">
      <c r="A8881" s="30" t="inlineStr">
        <is>
          <t>ITG</t>
        </is>
      </c>
      <c r="B8881" s="30" t="inlineStr">
        <is>
          <t>Itaguai</t>
        </is>
      </c>
      <c r="C8881" s="30" t="n">
        <v>87206432</v>
      </c>
      <c r="D8881" s="30">
        <f>"71698476000277"</f>
        <v/>
      </c>
      <c r="E8881" s="30" t="inlineStr">
        <is>
          <t>TRANSPO EXPRESS CONSULTORIA TRANSPOORTES E LOGISTICA LTDA</t>
        </is>
      </c>
      <c r="F8881" s="30" t="inlineStr">
        <is>
          <t>2023</t>
        </is>
      </c>
      <c r="G8881" s="40" t="n">
        <v>89.84</v>
      </c>
    </row>
    <row r="8882" ht="12" customHeight="1">
      <c r="A8882" s="30" t="inlineStr">
        <is>
          <t>ITG</t>
        </is>
      </c>
      <c r="B8882" s="30" t="inlineStr">
        <is>
          <t>Itaguai</t>
        </is>
      </c>
      <c r="C8882" s="30" t="n">
        <v>87207510</v>
      </c>
      <c r="D8882" s="30">
        <f>"25532600000121"</f>
        <v/>
      </c>
      <c r="E8882" s="30" t="inlineStr">
        <is>
          <t>DROGARIA CHAPERO EIRELI-ME</t>
        </is>
      </c>
      <c r="F8882" s="30" t="inlineStr">
        <is>
          <t>2017</t>
        </is>
      </c>
      <c r="G8882" s="40" t="n">
        <v>0</v>
      </c>
    </row>
    <row r="8883" ht="12" customHeight="1">
      <c r="A8883" s="30" t="inlineStr">
        <is>
          <t>ITG</t>
        </is>
      </c>
      <c r="B8883" s="30" t="inlineStr">
        <is>
          <t>Itaguai</t>
        </is>
      </c>
      <c r="C8883" s="30" t="n">
        <v>87207510</v>
      </c>
      <c r="D8883" s="30">
        <f>"25532600000121"</f>
        <v/>
      </c>
      <c r="E8883" s="30" t="inlineStr">
        <is>
          <t>DROGARIA CHAPERO EIRELI-ME</t>
        </is>
      </c>
      <c r="F8883" s="30" t="inlineStr">
        <is>
          <t>2018</t>
        </is>
      </c>
      <c r="G8883" s="40" t="n">
        <v>0</v>
      </c>
    </row>
    <row r="8884" ht="12" customHeight="1">
      <c r="A8884" s="30" t="inlineStr">
        <is>
          <t>ITG</t>
        </is>
      </c>
      <c r="B8884" s="30" t="inlineStr">
        <is>
          <t>Itaguai</t>
        </is>
      </c>
      <c r="C8884" s="30" t="n">
        <v>87207510</v>
      </c>
      <c r="D8884" s="30">
        <f>"25532600000121"</f>
        <v/>
      </c>
      <c r="E8884" s="30" t="inlineStr">
        <is>
          <t>DROGARIA CHAPERO EIRELI-ME</t>
        </is>
      </c>
      <c r="F8884" s="30" t="inlineStr">
        <is>
          <t>2019</t>
        </is>
      </c>
      <c r="G8884" s="40" t="n">
        <v>0</v>
      </c>
    </row>
    <row r="8885" ht="12" customHeight="1">
      <c r="A8885" s="30" t="inlineStr">
        <is>
          <t>ITG</t>
        </is>
      </c>
      <c r="B8885" s="30" t="inlineStr">
        <is>
          <t>Itaguai</t>
        </is>
      </c>
      <c r="C8885" s="30" t="n">
        <v>87207510</v>
      </c>
      <c r="D8885" s="30">
        <f>"25532600000121"</f>
        <v/>
      </c>
      <c r="E8885" s="30" t="inlineStr">
        <is>
          <t>DROGARIA CHAPERO EIRELI-ME</t>
        </is>
      </c>
      <c r="F8885" s="30" t="inlineStr">
        <is>
          <t>2020</t>
        </is>
      </c>
      <c r="G8885" s="40" t="n">
        <v>0</v>
      </c>
    </row>
    <row r="8886" ht="12" customHeight="1">
      <c r="A8886" s="30" t="inlineStr">
        <is>
          <t>ITG</t>
        </is>
      </c>
      <c r="B8886" s="30" t="inlineStr">
        <is>
          <t>Itaguai</t>
        </is>
      </c>
      <c r="C8886" s="30" t="n">
        <v>87214036</v>
      </c>
      <c r="D8886" s="30">
        <f>"26117009000170"</f>
        <v/>
      </c>
      <c r="E8886" s="30" t="inlineStr">
        <is>
          <t>ZION BRASIL TRADING COMPANY LTDA</t>
        </is>
      </c>
      <c r="F8886" s="30" t="inlineStr">
        <is>
          <t>2017</t>
        </is>
      </c>
      <c r="G8886" s="40" t="n">
        <v>0</v>
      </c>
    </row>
    <row r="8887" ht="12" customHeight="1">
      <c r="A8887" s="30" t="inlineStr">
        <is>
          <t>ITG</t>
        </is>
      </c>
      <c r="B8887" s="30" t="inlineStr">
        <is>
          <t>Itaguai</t>
        </is>
      </c>
      <c r="C8887" s="30" t="n">
        <v>87214036</v>
      </c>
      <c r="D8887" s="30">
        <f>"26117009000170"</f>
        <v/>
      </c>
      <c r="E8887" s="30" t="inlineStr">
        <is>
          <t>ZION BRASIL TRADING COMPANY LTDA</t>
        </is>
      </c>
      <c r="F8887" s="30" t="inlineStr">
        <is>
          <t>2018</t>
        </is>
      </c>
      <c r="G8887" s="40" t="n">
        <v>0</v>
      </c>
    </row>
    <row r="8888" ht="12" customHeight="1">
      <c r="A8888" s="30" t="inlineStr">
        <is>
          <t>ITG</t>
        </is>
      </c>
      <c r="B8888" s="30" t="inlineStr">
        <is>
          <t>Itaguai</t>
        </is>
      </c>
      <c r="C8888" s="30" t="n">
        <v>87214036</v>
      </c>
      <c r="D8888" s="30">
        <f>"26117009000170"</f>
        <v/>
      </c>
      <c r="E8888" s="30" t="inlineStr">
        <is>
          <t>ZION BRASIL TRADING COMPANY LTDA</t>
        </is>
      </c>
      <c r="F8888" s="30" t="inlineStr">
        <is>
          <t>2019</t>
        </is>
      </c>
      <c r="G8888" s="40" t="n">
        <v>0</v>
      </c>
    </row>
    <row r="8889" ht="12" customHeight="1">
      <c r="A8889" s="30" t="inlineStr">
        <is>
          <t>ITG</t>
        </is>
      </c>
      <c r="B8889" s="30" t="inlineStr">
        <is>
          <t>Itaguai</t>
        </is>
      </c>
      <c r="C8889" s="30" t="n">
        <v>87214036</v>
      </c>
      <c r="D8889" s="30">
        <f>"26117009000170"</f>
        <v/>
      </c>
      <c r="E8889" s="30" t="inlineStr">
        <is>
          <t>ZION BRASIL TRADING COMPANY LTDA</t>
        </is>
      </c>
      <c r="F8889" s="30" t="inlineStr">
        <is>
          <t>2020</t>
        </is>
      </c>
      <c r="G8889" s="40" t="n">
        <v>0</v>
      </c>
    </row>
    <row r="8890" ht="12" customHeight="1">
      <c r="A8890" s="30" t="inlineStr">
        <is>
          <t>ITG</t>
        </is>
      </c>
      <c r="B8890" s="30" t="inlineStr">
        <is>
          <t>Itaguai</t>
        </is>
      </c>
      <c r="C8890" s="30" t="n">
        <v>87220060</v>
      </c>
      <c r="D8890" s="30">
        <f>"23935309000500"</f>
        <v/>
      </c>
      <c r="E8890" s="30" t="inlineStr">
        <is>
          <t>RIO BEL MATRIZ COSMETICOS LTDA EPP</t>
        </is>
      </c>
      <c r="F8890" s="30" t="inlineStr">
        <is>
          <t>2017</t>
        </is>
      </c>
      <c r="G8890" s="40" t="n">
        <v>632339.14</v>
      </c>
    </row>
    <row r="8891" ht="12" customHeight="1">
      <c r="A8891" s="30" t="inlineStr">
        <is>
          <t>ITG</t>
        </is>
      </c>
      <c r="B8891" s="30" t="inlineStr">
        <is>
          <t>Itaguai</t>
        </is>
      </c>
      <c r="C8891" s="30" t="n">
        <v>87220060</v>
      </c>
      <c r="D8891" s="30">
        <f>"23935309000500"</f>
        <v/>
      </c>
      <c r="E8891" s="30" t="inlineStr">
        <is>
          <t>RIO BEL MATRIZ COSMETICOS LTDA EPP</t>
        </is>
      </c>
      <c r="F8891" s="30" t="inlineStr">
        <is>
          <t>2018</t>
        </is>
      </c>
      <c r="G8891" s="40" t="n">
        <v>566616.1</v>
      </c>
    </row>
    <row r="8892" ht="12" customHeight="1">
      <c r="A8892" s="30" t="inlineStr">
        <is>
          <t>ITG</t>
        </is>
      </c>
      <c r="B8892" s="30" t="inlineStr">
        <is>
          <t>Itaguai</t>
        </is>
      </c>
      <c r="C8892" s="30" t="n">
        <v>87220060</v>
      </c>
      <c r="D8892" s="30">
        <f>"23935309000500"</f>
        <v/>
      </c>
      <c r="E8892" s="30" t="inlineStr">
        <is>
          <t>RIO BEL MATRIZ COSMETICOS LTDA EPP</t>
        </is>
      </c>
      <c r="F8892" s="30" t="inlineStr">
        <is>
          <t>2019</t>
        </is>
      </c>
      <c r="G8892" s="40" t="n">
        <v>677211.55</v>
      </c>
    </row>
    <row r="8893" ht="12" customHeight="1">
      <c r="A8893" s="30" t="inlineStr">
        <is>
          <t>ITG</t>
        </is>
      </c>
      <c r="B8893" s="30" t="inlineStr">
        <is>
          <t>Itaguai</t>
        </is>
      </c>
      <c r="C8893" s="30" t="n">
        <v>87220060</v>
      </c>
      <c r="D8893" s="30">
        <f>"23935309000500"</f>
        <v/>
      </c>
      <c r="E8893" s="30" t="inlineStr">
        <is>
          <t>RIO BEL MATRIZ COSMETICOS LTDA EPP</t>
        </is>
      </c>
      <c r="F8893" s="30" t="inlineStr">
        <is>
          <t>2020</t>
        </is>
      </c>
      <c r="G8893" s="40" t="n">
        <v>733945.28</v>
      </c>
    </row>
    <row r="8894" ht="12" customHeight="1">
      <c r="A8894" s="30" t="inlineStr">
        <is>
          <t>ITG</t>
        </is>
      </c>
      <c r="B8894" s="30" t="inlineStr">
        <is>
          <t>Itaguai</t>
        </is>
      </c>
      <c r="C8894" s="30" t="n">
        <v>87220060</v>
      </c>
      <c r="D8894" s="30">
        <f>"23935309000500"</f>
        <v/>
      </c>
      <c r="E8894" s="30" t="inlineStr">
        <is>
          <t>RIO BEL MATRIZ COSMETICOS LTDA EPP</t>
        </is>
      </c>
      <c r="F8894" s="30" t="inlineStr">
        <is>
          <t>2021</t>
        </is>
      </c>
      <c r="G8894" s="40" t="n">
        <v>805116.01</v>
      </c>
    </row>
    <row r="8895" ht="12" customHeight="1">
      <c r="A8895" s="30" t="inlineStr">
        <is>
          <t>ITG</t>
        </is>
      </c>
      <c r="B8895" s="30" t="inlineStr">
        <is>
          <t>Itaguai</t>
        </is>
      </c>
      <c r="C8895" s="30" t="n">
        <v>87220060</v>
      </c>
      <c r="D8895" s="30">
        <f>"23935309000500"</f>
        <v/>
      </c>
      <c r="E8895" s="30" t="inlineStr">
        <is>
          <t>RIO BEL MATRIZ COSMETICOS LTDA EPP</t>
        </is>
      </c>
      <c r="F8895" s="30" t="inlineStr">
        <is>
          <t>2022</t>
        </is>
      </c>
      <c r="G8895" s="40" t="n">
        <v>897635.59</v>
      </c>
    </row>
    <row r="8896" ht="12" customHeight="1">
      <c r="A8896" s="30" t="inlineStr">
        <is>
          <t>ITG</t>
        </is>
      </c>
      <c r="B8896" s="30" t="inlineStr">
        <is>
          <t>Itaguai</t>
        </is>
      </c>
      <c r="C8896" s="30" t="n">
        <v>87220060</v>
      </c>
      <c r="D8896" s="30">
        <f>"23935309000500"</f>
        <v/>
      </c>
      <c r="E8896" s="30" t="inlineStr">
        <is>
          <t>RIO BEL MATRIZ COSMETICOS LTDA EPP</t>
        </is>
      </c>
      <c r="F8896" s="30" t="inlineStr">
        <is>
          <t>2023</t>
        </is>
      </c>
      <c r="G8896" s="40" t="n">
        <v>837939.4399999999</v>
      </c>
    </row>
    <row r="8897" ht="12" customHeight="1">
      <c r="A8897" s="30" t="inlineStr">
        <is>
          <t>ITG</t>
        </is>
      </c>
      <c r="B8897" s="30" t="inlineStr">
        <is>
          <t>Itaguai</t>
        </is>
      </c>
      <c r="C8897" s="30" t="n">
        <v>87222551</v>
      </c>
      <c r="D8897" s="30">
        <f>"04964100000199"</f>
        <v/>
      </c>
      <c r="E8897" s="30" t="inlineStr">
        <is>
          <t>R O S COMERCIO E CONSTRUCAO DE ESTRUTURA METALICA  EIRELI</t>
        </is>
      </c>
      <c r="F8897" s="30" t="inlineStr">
        <is>
          <t>2018</t>
        </is>
      </c>
      <c r="G8897" s="40" t="n">
        <v>0</v>
      </c>
    </row>
    <row r="8898" ht="12" customHeight="1">
      <c r="A8898" s="30" t="inlineStr">
        <is>
          <t>ITG</t>
        </is>
      </c>
      <c r="B8898" s="30" t="inlineStr">
        <is>
          <t>Itaguai</t>
        </is>
      </c>
      <c r="C8898" s="30" t="n">
        <v>87222551</v>
      </c>
      <c r="D8898" s="30">
        <f>"04964100000199"</f>
        <v/>
      </c>
      <c r="E8898" s="30" t="inlineStr">
        <is>
          <t>R O S COMERCIO E CONSTRUCAO DE ESTRUTURA METALICA  EIRELI</t>
        </is>
      </c>
      <c r="F8898" s="30" t="inlineStr">
        <is>
          <t>2019</t>
        </is>
      </c>
      <c r="G8898" s="40" t="n">
        <v>0</v>
      </c>
    </row>
    <row r="8899" ht="12" customHeight="1">
      <c r="A8899" s="30" t="inlineStr">
        <is>
          <t>ITG</t>
        </is>
      </c>
      <c r="B8899" s="30" t="inlineStr">
        <is>
          <t>Itaguai</t>
        </is>
      </c>
      <c r="C8899" s="30" t="n">
        <v>87222551</v>
      </c>
      <c r="D8899" s="30">
        <f>"04964100000199"</f>
        <v/>
      </c>
      <c r="E8899" s="30" t="inlineStr">
        <is>
          <t>R O S COMERCIO E CONSTRUCAO DE ESTRUTURA METALICA  EIRELI</t>
        </is>
      </c>
      <c r="F8899" s="30" t="inlineStr">
        <is>
          <t>2020</t>
        </is>
      </c>
      <c r="G8899" s="40" t="n">
        <v>667110.9300000001</v>
      </c>
    </row>
    <row r="8900" ht="12" customHeight="1">
      <c r="A8900" s="30" t="inlineStr">
        <is>
          <t>ITG</t>
        </is>
      </c>
      <c r="B8900" s="30" t="inlineStr">
        <is>
          <t>Itaguai</t>
        </is>
      </c>
      <c r="C8900" s="30" t="n">
        <v>87222551</v>
      </c>
      <c r="D8900" s="30">
        <f>"04964100000199"</f>
        <v/>
      </c>
      <c r="E8900" s="30" t="inlineStr">
        <is>
          <t>R O S COMERCIO E CONSTRUCAO DE ESTRUTURA METALICA  EIRELI</t>
        </is>
      </c>
      <c r="F8900" s="30" t="inlineStr">
        <is>
          <t>2021</t>
        </is>
      </c>
      <c r="G8900" s="40" t="n">
        <v>0</v>
      </c>
    </row>
    <row r="8901" ht="12" customHeight="1">
      <c r="A8901" s="30" t="inlineStr">
        <is>
          <t>ITG</t>
        </is>
      </c>
      <c r="B8901" s="30" t="inlineStr">
        <is>
          <t>Itaguai</t>
        </is>
      </c>
      <c r="C8901" s="30" t="n">
        <v>87222551</v>
      </c>
      <c r="D8901" s="30">
        <f>"04964100000199"</f>
        <v/>
      </c>
      <c r="E8901" s="30" t="inlineStr">
        <is>
          <t>R O S COMERCIO E CONSTRUCAO DE ESTRUTURA METALICA  EIRELI</t>
        </is>
      </c>
      <c r="F8901" s="30" t="inlineStr">
        <is>
          <t>2022</t>
        </is>
      </c>
      <c r="G8901" s="40" t="n">
        <v>0</v>
      </c>
    </row>
    <row r="8902" ht="12" customHeight="1">
      <c r="A8902" s="30" t="inlineStr">
        <is>
          <t>ITG</t>
        </is>
      </c>
      <c r="B8902" s="30" t="inlineStr">
        <is>
          <t>Itaguai</t>
        </is>
      </c>
      <c r="C8902" s="30" t="n">
        <v>87223035</v>
      </c>
      <c r="D8902" s="30">
        <f>"26198828000190"</f>
        <v/>
      </c>
      <c r="E8902" s="30" t="inlineStr">
        <is>
          <t>LOG RIO TRANSPORTE E TURISMO EIRELI ME</t>
        </is>
      </c>
      <c r="F8902" s="30" t="inlineStr">
        <is>
          <t>2021</t>
        </is>
      </c>
      <c r="G8902" s="40" t="n">
        <v>0</v>
      </c>
    </row>
    <row r="8903" ht="12" customHeight="1">
      <c r="A8903" s="30" t="inlineStr">
        <is>
          <t>ITG</t>
        </is>
      </c>
      <c r="B8903" s="30" t="inlineStr">
        <is>
          <t>Itaguai</t>
        </is>
      </c>
      <c r="C8903" s="30" t="n">
        <v>87223035</v>
      </c>
      <c r="D8903" s="30">
        <f>"26198828000190"</f>
        <v/>
      </c>
      <c r="E8903" s="30" t="inlineStr">
        <is>
          <t>LOG RIO TRANSPORTE E TURISMO EIRELI ME</t>
        </is>
      </c>
      <c r="F8903" s="30" t="inlineStr">
        <is>
          <t>2022</t>
        </is>
      </c>
      <c r="G8903" s="40" t="n">
        <v>0</v>
      </c>
    </row>
    <row r="8904" ht="12" customHeight="1">
      <c r="A8904" s="30" t="inlineStr">
        <is>
          <t>ITG</t>
        </is>
      </c>
      <c r="B8904" s="30" t="inlineStr">
        <is>
          <t>Itaguai</t>
        </is>
      </c>
      <c r="C8904" s="30" t="n">
        <v>87223035</v>
      </c>
      <c r="D8904" s="30">
        <f>"26198828000190"</f>
        <v/>
      </c>
      <c r="E8904" s="30" t="inlineStr">
        <is>
          <t>LOG RIO TRANSPORTE E TURISMO EIRELI ME</t>
        </is>
      </c>
      <c r="F8904" s="30" t="inlineStr">
        <is>
          <t>2023</t>
        </is>
      </c>
      <c r="G8904" s="40" t="n">
        <v>10500</v>
      </c>
    </row>
    <row r="8905" ht="12" customHeight="1">
      <c r="A8905" s="30" t="inlineStr">
        <is>
          <t>ITG</t>
        </is>
      </c>
      <c r="B8905" s="30" t="inlineStr">
        <is>
          <t>Itaguai</t>
        </is>
      </c>
      <c r="C8905" s="30" t="n">
        <v>87231607</v>
      </c>
      <c r="D8905" s="30">
        <f>"23429671000763"</f>
        <v/>
      </c>
      <c r="E8905" s="30" t="inlineStr">
        <is>
          <t>3PL BRASIL LOGISTICA S A</t>
        </is>
      </c>
      <c r="F8905" s="30" t="inlineStr">
        <is>
          <t>2020</t>
        </is>
      </c>
      <c r="G8905" s="40" t="n">
        <v>0</v>
      </c>
    </row>
    <row r="8906" ht="12" customHeight="1">
      <c r="A8906" s="30" t="inlineStr">
        <is>
          <t>ITG</t>
        </is>
      </c>
      <c r="B8906" s="30" t="inlineStr">
        <is>
          <t>Itaguai</t>
        </is>
      </c>
      <c r="C8906" s="30" t="n">
        <v>87231607</v>
      </c>
      <c r="D8906" s="30">
        <f>"23429671000763"</f>
        <v/>
      </c>
      <c r="E8906" s="30" t="inlineStr">
        <is>
          <t>3PL BRASIL LOGISTICA S A</t>
        </is>
      </c>
      <c r="F8906" s="30" t="inlineStr">
        <is>
          <t>2021</t>
        </is>
      </c>
      <c r="G8906" s="40" t="n">
        <v>0</v>
      </c>
    </row>
    <row r="8907" ht="12" customHeight="1">
      <c r="A8907" s="30" t="inlineStr">
        <is>
          <t>ITG</t>
        </is>
      </c>
      <c r="B8907" s="30" t="inlineStr">
        <is>
          <t>Itaguai</t>
        </is>
      </c>
      <c r="C8907" s="30" t="n">
        <v>87231607</v>
      </c>
      <c r="D8907" s="30">
        <f>"23429671000763"</f>
        <v/>
      </c>
      <c r="E8907" s="30" t="inlineStr">
        <is>
          <t>3PL BRASIL LOGISTICA S A</t>
        </is>
      </c>
      <c r="F8907" s="30" t="inlineStr">
        <is>
          <t>2022</t>
        </is>
      </c>
      <c r="G8907" s="40" t="n">
        <v>388353.94</v>
      </c>
    </row>
    <row r="8908" ht="12" customHeight="1">
      <c r="A8908" s="30" t="inlineStr">
        <is>
          <t>ITG</t>
        </is>
      </c>
      <c r="B8908" s="30" t="inlineStr">
        <is>
          <t>Itaguai</t>
        </is>
      </c>
      <c r="C8908" s="30" t="n">
        <v>87231607</v>
      </c>
      <c r="D8908" s="30">
        <f>"23429671000763"</f>
        <v/>
      </c>
      <c r="E8908" s="30" t="inlineStr">
        <is>
          <t>3PL BRASIL LOGISTICA S A</t>
        </is>
      </c>
      <c r="F8908" s="30" t="inlineStr">
        <is>
          <t>2023</t>
        </is>
      </c>
      <c r="G8908" s="40" t="n">
        <v>0</v>
      </c>
    </row>
    <row r="8909" ht="12" customHeight="1">
      <c r="A8909" s="30" t="inlineStr">
        <is>
          <t>ITG</t>
        </is>
      </c>
      <c r="B8909" s="30" t="inlineStr">
        <is>
          <t>Itaguai</t>
        </is>
      </c>
      <c r="C8909" s="30" t="n">
        <v>87233723</v>
      </c>
      <c r="D8909" s="30">
        <f>"26118507000138"</f>
        <v/>
      </c>
      <c r="E8909" s="30" t="inlineStr">
        <is>
          <t>D &amp; J COMERCIO DE MATERIAL RECICLAVEL LTDA - ME</t>
        </is>
      </c>
      <c r="F8909" s="30" t="inlineStr">
        <is>
          <t>2021</t>
        </is>
      </c>
      <c r="G8909" s="40" t="n">
        <v>0</v>
      </c>
    </row>
    <row r="8910" ht="12" customHeight="1">
      <c r="A8910" s="30" t="inlineStr">
        <is>
          <t>ITG</t>
        </is>
      </c>
      <c r="B8910" s="30" t="inlineStr">
        <is>
          <t>Itaguai</t>
        </is>
      </c>
      <c r="C8910" s="30" t="n">
        <v>87233723</v>
      </c>
      <c r="D8910" s="30">
        <f>"26118507000138"</f>
        <v/>
      </c>
      <c r="E8910" s="30" t="inlineStr">
        <is>
          <t>D &amp; J COMERCIO DE MATERIAL RECICLAVEL LTDA - ME</t>
        </is>
      </c>
      <c r="F8910" s="30" t="inlineStr">
        <is>
          <t>2022</t>
        </is>
      </c>
      <c r="G8910" s="40" t="n">
        <v>0</v>
      </c>
    </row>
    <row r="8911" ht="12" customHeight="1">
      <c r="A8911" s="30" t="inlineStr">
        <is>
          <t>ITG</t>
        </is>
      </c>
      <c r="B8911" s="30" t="inlineStr">
        <is>
          <t>Itaguai</t>
        </is>
      </c>
      <c r="C8911" s="30" t="n">
        <v>87233723</v>
      </c>
      <c r="D8911" s="30">
        <f>"26118507000138"</f>
        <v/>
      </c>
      <c r="E8911" s="30" t="inlineStr">
        <is>
          <t>D &amp; J COMERCIO DE MATERIAL RECICLAVEL LTDA - ME</t>
        </is>
      </c>
      <c r="F8911" s="30" t="inlineStr">
        <is>
          <t>2023</t>
        </is>
      </c>
      <c r="G8911" s="40" t="n">
        <v>1181498.65</v>
      </c>
    </row>
    <row r="8912" ht="12" customHeight="1">
      <c r="A8912" s="30" t="inlineStr">
        <is>
          <t>ITG</t>
        </is>
      </c>
      <c r="B8912" s="30" t="inlineStr">
        <is>
          <t>Itaguai</t>
        </is>
      </c>
      <c r="C8912" s="30" t="n">
        <v>87236080</v>
      </c>
      <c r="D8912" s="30">
        <f>"26253624000104"</f>
        <v/>
      </c>
      <c r="E8912" s="30" t="inlineStr">
        <is>
          <t>CMX SERVIÇO DE TRANSPORTE E LOGÍSTICA EIRELI</t>
        </is>
      </c>
      <c r="F8912" s="30" t="inlineStr">
        <is>
          <t>2020</t>
        </is>
      </c>
      <c r="G8912" s="40" t="n">
        <v>0</v>
      </c>
    </row>
    <row r="8913" ht="12" customHeight="1">
      <c r="A8913" s="30" t="inlineStr">
        <is>
          <t>ITG</t>
        </is>
      </c>
      <c r="B8913" s="30" t="inlineStr">
        <is>
          <t>Itaguai</t>
        </is>
      </c>
      <c r="C8913" s="30" t="n">
        <v>87236080</v>
      </c>
      <c r="D8913" s="30">
        <f>"26253624000104"</f>
        <v/>
      </c>
      <c r="E8913" s="30" t="inlineStr">
        <is>
          <t>CMX SERVIÇO DE TRANSPORTE E LOGÍSTICA EIRELI</t>
        </is>
      </c>
      <c r="F8913" s="30" t="inlineStr">
        <is>
          <t>2021</t>
        </is>
      </c>
      <c r="G8913" s="40" t="n">
        <v>0</v>
      </c>
    </row>
    <row r="8914" ht="12" customHeight="1">
      <c r="A8914" s="30" t="inlineStr">
        <is>
          <t>ITG</t>
        </is>
      </c>
      <c r="B8914" s="30" t="inlineStr">
        <is>
          <t>Itaguai</t>
        </is>
      </c>
      <c r="C8914" s="30" t="n">
        <v>87236080</v>
      </c>
      <c r="D8914" s="30">
        <f>"26253624000104"</f>
        <v/>
      </c>
      <c r="E8914" s="30" t="inlineStr">
        <is>
          <t>CMX SERVIÇO DE TRANSPORTE E LOGÍSTICA EIRELI</t>
        </is>
      </c>
      <c r="F8914" s="30" t="inlineStr">
        <is>
          <t>2022</t>
        </is>
      </c>
      <c r="G8914" s="40" t="n">
        <v>12875</v>
      </c>
    </row>
    <row r="8915" ht="12" customHeight="1">
      <c r="A8915" s="30" t="inlineStr">
        <is>
          <t>ITG</t>
        </is>
      </c>
      <c r="B8915" s="30" t="inlineStr">
        <is>
          <t>Itaguai</t>
        </is>
      </c>
      <c r="C8915" s="30" t="n">
        <v>87236080</v>
      </c>
      <c r="D8915" s="30">
        <f>"26253624000104"</f>
        <v/>
      </c>
      <c r="E8915" s="30" t="inlineStr">
        <is>
          <t>CMX SERVIÇO DE TRANSPORTE E LOGÍSTICA EIRELI</t>
        </is>
      </c>
      <c r="F8915" s="30" t="inlineStr">
        <is>
          <t>2023</t>
        </is>
      </c>
      <c r="G8915" s="40" t="n">
        <v>0</v>
      </c>
    </row>
    <row r="8916" ht="12" customHeight="1">
      <c r="A8916" s="30" t="inlineStr">
        <is>
          <t>ITG</t>
        </is>
      </c>
      <c r="B8916" s="30" t="inlineStr">
        <is>
          <t>Itaguai</t>
        </is>
      </c>
      <c r="C8916" s="30" t="n">
        <v>87244946</v>
      </c>
      <c r="D8916" s="30">
        <f>"26409645000176"</f>
        <v/>
      </c>
      <c r="E8916" s="30" t="inlineStr">
        <is>
          <t>BAZAR E PERFUMARIA ITAGUAI LTDA</t>
        </is>
      </c>
      <c r="F8916" s="30" t="inlineStr">
        <is>
          <t>2017</t>
        </is>
      </c>
      <c r="G8916" s="40" t="n">
        <v>310153.23</v>
      </c>
    </row>
    <row r="8917" ht="12" customHeight="1">
      <c r="A8917" s="30" t="inlineStr">
        <is>
          <t>ITG</t>
        </is>
      </c>
      <c r="B8917" s="30" t="inlineStr">
        <is>
          <t>Itaguai</t>
        </is>
      </c>
      <c r="C8917" s="30" t="n">
        <v>87244946</v>
      </c>
      <c r="D8917" s="30">
        <f>"26409645000176"</f>
        <v/>
      </c>
      <c r="E8917" s="30" t="inlineStr">
        <is>
          <t>BAZAR E PERFUMARIA ITAGUAI LTDA</t>
        </is>
      </c>
      <c r="F8917" s="30" t="inlineStr">
        <is>
          <t>2018</t>
        </is>
      </c>
      <c r="G8917" s="40" t="n">
        <v>612919.09</v>
      </c>
    </row>
    <row r="8918" ht="12" customHeight="1">
      <c r="A8918" s="30" t="inlineStr">
        <is>
          <t>ITG</t>
        </is>
      </c>
      <c r="B8918" s="30" t="inlineStr">
        <is>
          <t>Itaguai</t>
        </is>
      </c>
      <c r="C8918" s="30" t="n">
        <v>87244946</v>
      </c>
      <c r="D8918" s="30">
        <f>"26409645000176"</f>
        <v/>
      </c>
      <c r="E8918" s="30" t="inlineStr">
        <is>
          <t>BAZAR E PERFUMARIA ITAGUAI LTDA</t>
        </is>
      </c>
      <c r="F8918" s="30" t="inlineStr">
        <is>
          <t>2019</t>
        </is>
      </c>
      <c r="G8918" s="40" t="n">
        <v>1083303.45</v>
      </c>
    </row>
    <row r="8919" ht="12" customHeight="1">
      <c r="A8919" s="30" t="inlineStr">
        <is>
          <t>ITG</t>
        </is>
      </c>
      <c r="B8919" s="30" t="inlineStr">
        <is>
          <t>Itaguai</t>
        </is>
      </c>
      <c r="C8919" s="30" t="n">
        <v>87244946</v>
      </c>
      <c r="D8919" s="30">
        <f>"26409645000176"</f>
        <v/>
      </c>
      <c r="E8919" s="30" t="inlineStr">
        <is>
          <t>BAZAR E PERFUMARIA ITAGUAI LTDA</t>
        </is>
      </c>
      <c r="F8919" s="30" t="inlineStr">
        <is>
          <t>2020</t>
        </is>
      </c>
      <c r="G8919" s="40" t="n">
        <v>1647616.12</v>
      </c>
    </row>
    <row r="8920" ht="12" customHeight="1">
      <c r="A8920" s="30" t="inlineStr">
        <is>
          <t>ITG</t>
        </is>
      </c>
      <c r="B8920" s="30" t="inlineStr">
        <is>
          <t>Itaguai</t>
        </is>
      </c>
      <c r="C8920" s="30" t="n">
        <v>87244946</v>
      </c>
      <c r="D8920" s="30">
        <f>"26409645000176"</f>
        <v/>
      </c>
      <c r="E8920" s="30" t="inlineStr">
        <is>
          <t>BAZAR E PERFUMARIA ITAGUAI LTDA</t>
        </is>
      </c>
      <c r="F8920" s="30" t="inlineStr">
        <is>
          <t>2021</t>
        </is>
      </c>
      <c r="G8920" s="40" t="n">
        <v>1851483.28</v>
      </c>
    </row>
    <row r="8921" ht="12" customHeight="1">
      <c r="A8921" s="30" t="inlineStr">
        <is>
          <t>ITG</t>
        </is>
      </c>
      <c r="B8921" s="30" t="inlineStr">
        <is>
          <t>Itaguai</t>
        </is>
      </c>
      <c r="C8921" s="30" t="n">
        <v>87244946</v>
      </c>
      <c r="D8921" s="30">
        <f>"26409645000176"</f>
        <v/>
      </c>
      <c r="E8921" s="30" t="inlineStr">
        <is>
          <t>BAZAR E PERFUMARIA ITAGUAI LTDA</t>
        </is>
      </c>
      <c r="F8921" s="30" t="inlineStr">
        <is>
          <t>2022</t>
        </is>
      </c>
      <c r="G8921" s="40" t="n">
        <v>0</v>
      </c>
    </row>
    <row r="8922" ht="12" customHeight="1">
      <c r="A8922" s="30" t="inlineStr">
        <is>
          <t>ITG</t>
        </is>
      </c>
      <c r="B8922" s="30" t="inlineStr">
        <is>
          <t>Itaguai</t>
        </is>
      </c>
      <c r="C8922" s="30" t="n">
        <v>87244946</v>
      </c>
      <c r="D8922" s="30">
        <f>"26409645000176"</f>
        <v/>
      </c>
      <c r="E8922" s="30" t="inlineStr">
        <is>
          <t>BAZAR E PERFUMARIA ITAGUAI LTDA</t>
        </is>
      </c>
      <c r="F8922" s="30" t="inlineStr">
        <is>
          <t>2023</t>
        </is>
      </c>
      <c r="G8922" s="40" t="n">
        <v>0</v>
      </c>
    </row>
    <row r="8923" ht="12" customHeight="1">
      <c r="A8923" s="30" t="inlineStr">
        <is>
          <t>ITG</t>
        </is>
      </c>
      <c r="B8923" s="30" t="inlineStr">
        <is>
          <t>Itaguai</t>
        </is>
      </c>
      <c r="C8923" s="30" t="n">
        <v>87246299</v>
      </c>
      <c r="D8923" s="30">
        <f>"26379405000176"</f>
        <v/>
      </c>
      <c r="E8923" s="30" t="inlineStr">
        <is>
          <t>L M GASPAR TRANSPORTES LTDA</t>
        </is>
      </c>
      <c r="F8923" s="30" t="inlineStr">
        <is>
          <t>2021</t>
        </is>
      </c>
      <c r="G8923" s="40" t="n">
        <v>0</v>
      </c>
    </row>
    <row r="8924" ht="12" customHeight="1">
      <c r="A8924" s="30" t="inlineStr">
        <is>
          <t>ITG</t>
        </is>
      </c>
      <c r="B8924" s="30" t="inlineStr">
        <is>
          <t>Itaguai</t>
        </is>
      </c>
      <c r="C8924" s="30" t="n">
        <v>87246299</v>
      </c>
      <c r="D8924" s="30">
        <f>"26379405000176"</f>
        <v/>
      </c>
      <c r="E8924" s="30" t="inlineStr">
        <is>
          <t>L M GASPAR TRANSPORTES LTDA</t>
        </is>
      </c>
      <c r="F8924" s="30" t="inlineStr">
        <is>
          <t>2022</t>
        </is>
      </c>
      <c r="G8924" s="40" t="n">
        <v>0</v>
      </c>
    </row>
    <row r="8925" ht="12" customHeight="1">
      <c r="A8925" s="30" t="inlineStr">
        <is>
          <t>ITG</t>
        </is>
      </c>
      <c r="B8925" s="30" t="inlineStr">
        <is>
          <t>Itaguai</t>
        </is>
      </c>
      <c r="C8925" s="30" t="n">
        <v>87246299</v>
      </c>
      <c r="D8925" s="30">
        <f>"26379405000176"</f>
        <v/>
      </c>
      <c r="E8925" s="30" t="inlineStr">
        <is>
          <t>L M GASPAR TRANSPORTES LTDA</t>
        </is>
      </c>
      <c r="F8925" s="30" t="inlineStr">
        <is>
          <t>2023</t>
        </is>
      </c>
      <c r="G8925" s="40" t="n">
        <v>7900</v>
      </c>
    </row>
    <row r="8926" ht="12" customHeight="1">
      <c r="A8926" s="30" t="inlineStr">
        <is>
          <t>ITG</t>
        </is>
      </c>
      <c r="B8926" s="30" t="inlineStr">
        <is>
          <t>Itaguai</t>
        </is>
      </c>
      <c r="C8926" s="30" t="n">
        <v>87248364</v>
      </c>
      <c r="D8926" s="30">
        <f>"26272361000180"</f>
        <v/>
      </c>
      <c r="E8926" s="30" t="inlineStr">
        <is>
          <t>VICTORIA MODA JOVEM E CONFECCOES LTDA ME</t>
        </is>
      </c>
      <c r="F8926" s="30" t="inlineStr">
        <is>
          <t>2017</t>
        </is>
      </c>
      <c r="G8926" s="40" t="n">
        <v>0</v>
      </c>
    </row>
    <row r="8927" ht="12" customHeight="1">
      <c r="A8927" s="30" t="inlineStr">
        <is>
          <t>ITG</t>
        </is>
      </c>
      <c r="B8927" s="30" t="inlineStr">
        <is>
          <t>Itaguai</t>
        </is>
      </c>
      <c r="C8927" s="30" t="n">
        <v>87248364</v>
      </c>
      <c r="D8927" s="30">
        <f>"26272361000180"</f>
        <v/>
      </c>
      <c r="E8927" s="30" t="inlineStr">
        <is>
          <t>VICTORIA MODA JOVEM E CONFECCOES LTDA ME</t>
        </is>
      </c>
      <c r="F8927" s="30" t="inlineStr">
        <is>
          <t>2018</t>
        </is>
      </c>
      <c r="G8927" s="40" t="n">
        <v>0</v>
      </c>
    </row>
    <row r="8928" ht="12" customHeight="1">
      <c r="A8928" s="30" t="inlineStr">
        <is>
          <t>ITG</t>
        </is>
      </c>
      <c r="B8928" s="30" t="inlineStr">
        <is>
          <t>Itaguai</t>
        </is>
      </c>
      <c r="C8928" s="30" t="n">
        <v>87248364</v>
      </c>
      <c r="D8928" s="30">
        <f>"26272361000180"</f>
        <v/>
      </c>
      <c r="E8928" s="30" t="inlineStr">
        <is>
          <t>VICTORIA MODA JOVEM E CONFECCOES LTDA ME</t>
        </is>
      </c>
      <c r="F8928" s="30" t="inlineStr">
        <is>
          <t>2019</t>
        </is>
      </c>
      <c r="G8928" s="40" t="n">
        <v>0</v>
      </c>
    </row>
    <row r="8929" ht="12" customHeight="1">
      <c r="A8929" s="30" t="inlineStr">
        <is>
          <t>ITG</t>
        </is>
      </c>
      <c r="B8929" s="30" t="inlineStr">
        <is>
          <t>Itaguai</t>
        </is>
      </c>
      <c r="C8929" s="30" t="n">
        <v>87248364</v>
      </c>
      <c r="D8929" s="30">
        <f>"26272361000180"</f>
        <v/>
      </c>
      <c r="E8929" s="30" t="inlineStr">
        <is>
          <t>VICTORIA MODA JOVEM E CONFECCOES LTDA ME</t>
        </is>
      </c>
      <c r="F8929" s="30" t="inlineStr">
        <is>
          <t>2020</t>
        </is>
      </c>
      <c r="G8929" s="40" t="n">
        <v>0</v>
      </c>
    </row>
    <row r="8930" ht="12" customHeight="1">
      <c r="A8930" s="30" t="inlineStr">
        <is>
          <t>ITG</t>
        </is>
      </c>
      <c r="B8930" s="30" t="inlineStr">
        <is>
          <t>Itaguai</t>
        </is>
      </c>
      <c r="C8930" s="30" t="n">
        <v>87248364</v>
      </c>
      <c r="D8930" s="30">
        <f>"26272361000180"</f>
        <v/>
      </c>
      <c r="E8930" s="30" t="inlineStr">
        <is>
          <t>VICTORIA MODA JOVEM E CONFECCOES LTDA ME</t>
        </is>
      </c>
      <c r="F8930" s="30" t="inlineStr">
        <is>
          <t>2021</t>
        </is>
      </c>
      <c r="G8930" s="40" t="n">
        <v>0</v>
      </c>
    </row>
    <row r="8931" ht="12" customHeight="1">
      <c r="A8931" s="30" t="inlineStr">
        <is>
          <t>ITG</t>
        </is>
      </c>
      <c r="B8931" s="30" t="inlineStr">
        <is>
          <t>Itaguai</t>
        </is>
      </c>
      <c r="C8931" s="30" t="n">
        <v>87248992</v>
      </c>
      <c r="D8931" s="30">
        <f>"11423942000280"</f>
        <v/>
      </c>
      <c r="E8931" s="30" t="inlineStr">
        <is>
          <t>TTJB TRANSPORTES E LOGISTICA EIRELI</t>
        </is>
      </c>
      <c r="F8931" s="30" t="inlineStr">
        <is>
          <t>2019</t>
        </is>
      </c>
      <c r="G8931" s="40" t="n">
        <v>0</v>
      </c>
    </row>
    <row r="8932" ht="12" customHeight="1">
      <c r="A8932" s="30" t="inlineStr">
        <is>
          <t>ITG</t>
        </is>
      </c>
      <c r="B8932" s="30" t="inlineStr">
        <is>
          <t>Itaguai</t>
        </is>
      </c>
      <c r="C8932" s="30" t="n">
        <v>87248992</v>
      </c>
      <c r="D8932" s="30">
        <f>"11423942000280"</f>
        <v/>
      </c>
      <c r="E8932" s="30" t="inlineStr">
        <is>
          <t>TTJB TRANSPORTES E LOGISTICA EIRELI</t>
        </is>
      </c>
      <c r="F8932" s="30" t="inlineStr">
        <is>
          <t>2020</t>
        </is>
      </c>
      <c r="G8932" s="40" t="n">
        <v>0</v>
      </c>
    </row>
    <row r="8933" ht="12" customHeight="1">
      <c r="A8933" s="30" t="inlineStr">
        <is>
          <t>ITG</t>
        </is>
      </c>
      <c r="B8933" s="30" t="inlineStr">
        <is>
          <t>Itaguai</t>
        </is>
      </c>
      <c r="C8933" s="30" t="n">
        <v>87248992</v>
      </c>
      <c r="D8933" s="30">
        <f>"11423942000280"</f>
        <v/>
      </c>
      <c r="E8933" s="30" t="inlineStr">
        <is>
          <t>TTJB TRANSPORTES E LOGISTICA EIRELI</t>
        </is>
      </c>
      <c r="F8933" s="30" t="inlineStr">
        <is>
          <t>2021</t>
        </is>
      </c>
      <c r="G8933" s="40" t="n">
        <v>1039.54</v>
      </c>
    </row>
    <row r="8934" ht="12" customHeight="1">
      <c r="A8934" s="30" t="inlineStr">
        <is>
          <t>ITG</t>
        </is>
      </c>
      <c r="B8934" s="30" t="inlineStr">
        <is>
          <t>Itaguai</t>
        </is>
      </c>
      <c r="C8934" s="30" t="n">
        <v>87248992</v>
      </c>
      <c r="D8934" s="30">
        <f>"11423942000280"</f>
        <v/>
      </c>
      <c r="E8934" s="30" t="inlineStr">
        <is>
          <t>TTJB TRANSPORTES E LOGISTICA EIRELI</t>
        </is>
      </c>
      <c r="F8934" s="30" t="inlineStr">
        <is>
          <t>2022</t>
        </is>
      </c>
      <c r="G8934" s="40" t="n">
        <v>739.51</v>
      </c>
    </row>
    <row r="8935" ht="12" customHeight="1">
      <c r="A8935" s="30" t="inlineStr">
        <is>
          <t>ITG</t>
        </is>
      </c>
      <c r="B8935" s="30" t="inlineStr">
        <is>
          <t>Itaguai</t>
        </is>
      </c>
      <c r="C8935" s="30" t="n">
        <v>87248992</v>
      </c>
      <c r="D8935" s="30">
        <f>"11423942000280"</f>
        <v/>
      </c>
      <c r="E8935" s="30" t="inlineStr">
        <is>
          <t>TTJB TRANSPORTES E LOGISTICA EIRELI</t>
        </is>
      </c>
      <c r="F8935" s="30" t="inlineStr">
        <is>
          <t>2023</t>
        </is>
      </c>
      <c r="G8935" s="40" t="n">
        <v>651.08</v>
      </c>
    </row>
    <row r="8936" ht="12" customHeight="1">
      <c r="A8936" s="30" t="inlineStr">
        <is>
          <t>ITG</t>
        </is>
      </c>
      <c r="B8936" s="30" t="inlineStr">
        <is>
          <t>Itaguai</t>
        </is>
      </c>
      <c r="C8936" s="30" t="n">
        <v>87249417</v>
      </c>
      <c r="D8936" s="30">
        <f>"94001641000961"</f>
        <v/>
      </c>
      <c r="E8936" s="30" t="inlineStr">
        <is>
          <t>BRINGER DO BRASIL AGENCIAMENTO DE CARGAS NACIONAIS E INTERNACIONAIS LTDA EPP</t>
        </is>
      </c>
      <c r="F8936" s="30" t="inlineStr">
        <is>
          <t>2017</t>
        </is>
      </c>
      <c r="G8936" s="40" t="n">
        <v>0</v>
      </c>
    </row>
    <row r="8937" ht="12" customHeight="1">
      <c r="A8937" s="30" t="inlineStr">
        <is>
          <t>ITG</t>
        </is>
      </c>
      <c r="B8937" s="30" t="inlineStr">
        <is>
          <t>Itaguai</t>
        </is>
      </c>
      <c r="C8937" s="30" t="n">
        <v>87249417</v>
      </c>
      <c r="D8937" s="30">
        <f>"94001641000961"</f>
        <v/>
      </c>
      <c r="E8937" s="30" t="inlineStr">
        <is>
          <t>BRINGER DO BRASIL AGENCIAMENTO DE CARGAS NACIONAIS E INTERNACIONAIS LTDA EPP</t>
        </is>
      </c>
      <c r="F8937" s="30" t="inlineStr">
        <is>
          <t>2018</t>
        </is>
      </c>
      <c r="G8937" s="40" t="n">
        <v>5343.76</v>
      </c>
    </row>
    <row r="8938" ht="12" customHeight="1">
      <c r="A8938" s="30" t="inlineStr">
        <is>
          <t>ITG</t>
        </is>
      </c>
      <c r="B8938" s="30" t="inlineStr">
        <is>
          <t>Itaguai</t>
        </is>
      </c>
      <c r="C8938" s="30" t="n">
        <v>87249417</v>
      </c>
      <c r="D8938" s="30">
        <f>"94001641000961"</f>
        <v/>
      </c>
      <c r="E8938" s="30" t="inlineStr">
        <is>
          <t>BRINGER DO BRASIL AGENCIAMENTO DE CARGAS NACIONAIS E INTERNACIONAIS LTDA EPP</t>
        </is>
      </c>
      <c r="F8938" s="30" t="inlineStr">
        <is>
          <t>2019</t>
        </is>
      </c>
      <c r="G8938" s="40" t="n">
        <v>3913.57</v>
      </c>
    </row>
    <row r="8939" ht="12" customHeight="1">
      <c r="A8939" s="30" t="inlineStr">
        <is>
          <t>ITG</t>
        </is>
      </c>
      <c r="B8939" s="30" t="inlineStr">
        <is>
          <t>Itaguai</t>
        </is>
      </c>
      <c r="C8939" s="30" t="n">
        <v>87249417</v>
      </c>
      <c r="D8939" s="30">
        <f>"94001641000961"</f>
        <v/>
      </c>
      <c r="E8939" s="30" t="inlineStr">
        <is>
          <t>BRINGER DO BRASIL AGENCIAMENTO DE CARGAS NACIONAIS E INTERNACIONAIS LTDA EPP</t>
        </is>
      </c>
      <c r="F8939" s="30" t="inlineStr">
        <is>
          <t>2020</t>
        </is>
      </c>
      <c r="G8939" s="40" t="n">
        <v>2348.17</v>
      </c>
    </row>
    <row r="8940" ht="12" customHeight="1">
      <c r="A8940" s="30" t="inlineStr">
        <is>
          <t>ITG</t>
        </is>
      </c>
      <c r="B8940" s="30" t="inlineStr">
        <is>
          <t>Itaguai</t>
        </is>
      </c>
      <c r="C8940" s="30" t="n">
        <v>87249417</v>
      </c>
      <c r="D8940" s="30">
        <f>"94001641000961"</f>
        <v/>
      </c>
      <c r="E8940" s="30" t="inlineStr">
        <is>
          <t>BRINGER DO BRASIL AGENCIAMENTO DE CARGAS NACIONAIS E INTERNACIONAIS LTDA EPP</t>
        </is>
      </c>
      <c r="F8940" s="30" t="inlineStr">
        <is>
          <t>2021</t>
        </is>
      </c>
      <c r="G8940" s="40" t="n">
        <v>4455.34</v>
      </c>
    </row>
    <row r="8941" ht="12" customHeight="1">
      <c r="A8941" s="30" t="inlineStr">
        <is>
          <t>ITG</t>
        </is>
      </c>
      <c r="B8941" s="30" t="inlineStr">
        <is>
          <t>Itaguai</t>
        </is>
      </c>
      <c r="C8941" s="30" t="n">
        <v>87249417</v>
      </c>
      <c r="D8941" s="30">
        <f>"94001641000961"</f>
        <v/>
      </c>
      <c r="E8941" s="30" t="inlineStr">
        <is>
          <t>BRINGER DO BRASIL AGENCIAMENTO DE CARGAS NACIONAIS E INTERNACIONAIS LTDA EPP</t>
        </is>
      </c>
      <c r="F8941" s="30" t="inlineStr">
        <is>
          <t>2022</t>
        </is>
      </c>
      <c r="G8941" s="40" t="n">
        <v>0</v>
      </c>
    </row>
    <row r="8942" ht="12" customHeight="1">
      <c r="A8942" s="30" t="inlineStr">
        <is>
          <t>ITG</t>
        </is>
      </c>
      <c r="B8942" s="30" t="inlineStr">
        <is>
          <t>Itaguai</t>
        </is>
      </c>
      <c r="C8942" s="30" t="n">
        <v>87249417</v>
      </c>
      <c r="D8942" s="30">
        <f>"94001641000961"</f>
        <v/>
      </c>
      <c r="E8942" s="30" t="inlineStr">
        <is>
          <t>BRINGER DO BRASIL AGENCIAMENTO DE CARGAS NACIONAIS E INTERNACIONAIS LTDA EPP</t>
        </is>
      </c>
      <c r="F8942" s="30" t="inlineStr">
        <is>
          <t>2023</t>
        </is>
      </c>
      <c r="G8942" s="40" t="n">
        <v>0</v>
      </c>
    </row>
    <row r="8943" ht="12" customHeight="1">
      <c r="A8943" s="30" t="inlineStr">
        <is>
          <t>ITG</t>
        </is>
      </c>
      <c r="B8943" s="30" t="inlineStr">
        <is>
          <t>Itaguai</t>
        </is>
      </c>
      <c r="C8943" s="30" t="n">
        <v>87253910</v>
      </c>
      <c r="D8943" s="30">
        <f>"24400628000223"</f>
        <v/>
      </c>
      <c r="E8943" s="30" t="inlineStr">
        <is>
          <t>MACAN LOGÍSTICA E TRANSPORTES EIRELI</t>
        </is>
      </c>
      <c r="F8943" s="30" t="inlineStr">
        <is>
          <t>2018</t>
        </is>
      </c>
      <c r="G8943" s="40" t="n">
        <v>0</v>
      </c>
    </row>
    <row r="8944" ht="12" customHeight="1">
      <c r="A8944" s="30" t="inlineStr">
        <is>
          <t>ITG</t>
        </is>
      </c>
      <c r="B8944" s="30" t="inlineStr">
        <is>
          <t>Itaguai</t>
        </is>
      </c>
      <c r="C8944" s="30" t="n">
        <v>87253910</v>
      </c>
      <c r="D8944" s="30">
        <f>"24400628000223"</f>
        <v/>
      </c>
      <c r="E8944" s="30" t="inlineStr">
        <is>
          <t>MACAN LOGÍSTICA E TRANSPORTES EIRELI</t>
        </is>
      </c>
      <c r="F8944" s="30" t="inlineStr">
        <is>
          <t>2019</t>
        </is>
      </c>
      <c r="G8944" s="40" t="n">
        <v>0</v>
      </c>
    </row>
    <row r="8945" ht="12" customHeight="1">
      <c r="A8945" s="30" t="inlineStr">
        <is>
          <t>ITG</t>
        </is>
      </c>
      <c r="B8945" s="30" t="inlineStr">
        <is>
          <t>Itaguai</t>
        </is>
      </c>
      <c r="C8945" s="30" t="n">
        <v>87253910</v>
      </c>
      <c r="D8945" s="30">
        <f>"24400628000223"</f>
        <v/>
      </c>
      <c r="E8945" s="30" t="inlineStr">
        <is>
          <t>MACAN LOGÍSTICA E TRANSPORTES EIRELI</t>
        </is>
      </c>
      <c r="F8945" s="30" t="inlineStr">
        <is>
          <t>2020</t>
        </is>
      </c>
      <c r="G8945" s="40" t="n">
        <v>147.25</v>
      </c>
    </row>
    <row r="8946" ht="12" customHeight="1">
      <c r="A8946" s="30" t="inlineStr">
        <is>
          <t>ITG</t>
        </is>
      </c>
      <c r="B8946" s="30" t="inlineStr">
        <is>
          <t>Itaguai</t>
        </is>
      </c>
      <c r="C8946" s="30" t="n">
        <v>87253910</v>
      </c>
      <c r="D8946" s="30">
        <f>"24400628000223"</f>
        <v/>
      </c>
      <c r="E8946" s="30" t="inlineStr">
        <is>
          <t>MACAN LOGÍSTICA E TRANSPORTES EIRELI</t>
        </is>
      </c>
      <c r="F8946" s="30" t="inlineStr">
        <is>
          <t>2021</t>
        </is>
      </c>
      <c r="G8946" s="40" t="n">
        <v>0</v>
      </c>
    </row>
    <row r="8947" ht="12" customHeight="1">
      <c r="A8947" s="30" t="inlineStr">
        <is>
          <t>ITG</t>
        </is>
      </c>
      <c r="B8947" s="30" t="inlineStr">
        <is>
          <t>Itaguai</t>
        </is>
      </c>
      <c r="C8947" s="30" t="n">
        <v>87253910</v>
      </c>
      <c r="D8947" s="30">
        <f>"24400628000223"</f>
        <v/>
      </c>
      <c r="E8947" s="30" t="inlineStr">
        <is>
          <t>MACAN LOGÍSTICA E TRANSPORTES EIRELI</t>
        </is>
      </c>
      <c r="F8947" s="30" t="inlineStr">
        <is>
          <t>2022</t>
        </is>
      </c>
      <c r="G8947" s="40" t="n">
        <v>346.94</v>
      </c>
    </row>
    <row r="8948" ht="12" customHeight="1">
      <c r="A8948" s="30" t="inlineStr">
        <is>
          <t>ITG</t>
        </is>
      </c>
      <c r="B8948" s="30" t="inlineStr">
        <is>
          <t>Itaguai</t>
        </is>
      </c>
      <c r="C8948" s="30" t="n">
        <v>87253910</v>
      </c>
      <c r="D8948" s="30">
        <f>"24400628000223"</f>
        <v/>
      </c>
      <c r="E8948" s="30" t="inlineStr">
        <is>
          <t>MACAN LOGÍSTICA E TRANSPORTES EIRELI</t>
        </is>
      </c>
      <c r="F8948" s="30" t="inlineStr">
        <is>
          <t>2023</t>
        </is>
      </c>
      <c r="G8948" s="40" t="n">
        <v>0</v>
      </c>
    </row>
    <row r="8949" ht="12" customHeight="1">
      <c r="A8949" s="30" t="inlineStr">
        <is>
          <t>ITG</t>
        </is>
      </c>
      <c r="B8949" s="30" t="inlineStr">
        <is>
          <t>Itaguai</t>
        </is>
      </c>
      <c r="C8949" s="30" t="n">
        <v>87257045</v>
      </c>
      <c r="D8949" s="30">
        <f>"00507051000104"</f>
        <v/>
      </c>
      <c r="E8949" s="30" t="inlineStr">
        <is>
          <t>JOVINTER TRANSPORTES NACIONAIS E INTERNACIONAIS LTDA</t>
        </is>
      </c>
      <c r="F8949" s="30" t="inlineStr">
        <is>
          <t>2017</t>
        </is>
      </c>
      <c r="G8949" s="40" t="n">
        <v>286330.13</v>
      </c>
    </row>
    <row r="8950" ht="12" customHeight="1">
      <c r="A8950" s="30" t="inlineStr">
        <is>
          <t>ITG</t>
        </is>
      </c>
      <c r="B8950" s="30" t="inlineStr">
        <is>
          <t>Itaguai</t>
        </is>
      </c>
      <c r="C8950" s="30" t="n">
        <v>87257045</v>
      </c>
      <c r="D8950" s="30">
        <f>"00507051000104"</f>
        <v/>
      </c>
      <c r="E8950" s="30" t="inlineStr">
        <is>
          <t>JOVINTER TRANSPORTES NACIONAIS E INTERNACIONAIS LTDA</t>
        </is>
      </c>
      <c r="F8950" s="30" t="inlineStr">
        <is>
          <t>2018</t>
        </is>
      </c>
      <c r="G8950" s="40" t="n">
        <v>0</v>
      </c>
    </row>
    <row r="8951" ht="12" customHeight="1">
      <c r="A8951" s="30" t="inlineStr">
        <is>
          <t>ITG</t>
        </is>
      </c>
      <c r="B8951" s="30" t="inlineStr">
        <is>
          <t>Itaguai</t>
        </is>
      </c>
      <c r="C8951" s="30" t="n">
        <v>87257045</v>
      </c>
      <c r="D8951" s="30">
        <f>"00507051000104"</f>
        <v/>
      </c>
      <c r="E8951" s="30" t="inlineStr">
        <is>
          <t>JOVINTER TRANSPORTES NACIONAIS E INTERNACIONAIS LTDA</t>
        </is>
      </c>
      <c r="F8951" s="30" t="inlineStr">
        <is>
          <t>2019</t>
        </is>
      </c>
      <c r="G8951" s="40" t="n">
        <v>0</v>
      </c>
    </row>
    <row r="8952" ht="12" customHeight="1">
      <c r="A8952" s="30" t="inlineStr">
        <is>
          <t>ITG</t>
        </is>
      </c>
      <c r="B8952" s="30" t="inlineStr">
        <is>
          <t>Itaguai</t>
        </is>
      </c>
      <c r="C8952" s="30" t="n">
        <v>87260542</v>
      </c>
      <c r="D8952" s="30">
        <f>"08740044000593"</f>
        <v/>
      </c>
      <c r="E8952" s="30" t="inlineStr">
        <is>
          <t>SAPPORO INDUSTRIA E COMERCIO - SERVICOS LTDA</t>
        </is>
      </c>
      <c r="F8952" s="30" t="inlineStr">
        <is>
          <t>2017</t>
        </is>
      </c>
      <c r="G8952" s="40" t="n">
        <v>0</v>
      </c>
    </row>
    <row r="8953" ht="12" customHeight="1">
      <c r="A8953" s="30" t="inlineStr">
        <is>
          <t>ITG</t>
        </is>
      </c>
      <c r="B8953" s="30" t="inlineStr">
        <is>
          <t>Itaguai</t>
        </is>
      </c>
      <c r="C8953" s="30" t="n">
        <v>87260542</v>
      </c>
      <c r="D8953" s="30">
        <f>"08740044000593"</f>
        <v/>
      </c>
      <c r="E8953" s="30" t="inlineStr">
        <is>
          <t>SAPPORO INDUSTRIA E COMERCIO - SERVICOS LTDA</t>
        </is>
      </c>
      <c r="F8953" s="30" t="inlineStr">
        <is>
          <t>2018</t>
        </is>
      </c>
      <c r="G8953" s="40" t="n">
        <v>127.89</v>
      </c>
    </row>
    <row r="8954" ht="12" customHeight="1">
      <c r="A8954" s="30" t="inlineStr">
        <is>
          <t>ITG</t>
        </is>
      </c>
      <c r="B8954" s="30" t="inlineStr">
        <is>
          <t>Itaguai</t>
        </is>
      </c>
      <c r="C8954" s="30" t="n">
        <v>87260542</v>
      </c>
      <c r="D8954" s="30">
        <f>"08740044000593"</f>
        <v/>
      </c>
      <c r="E8954" s="30" t="inlineStr">
        <is>
          <t>SAPPORO INDUSTRIA E COMERCIO - SERVICOS LTDA</t>
        </is>
      </c>
      <c r="F8954" s="30" t="inlineStr">
        <is>
          <t>2019</t>
        </is>
      </c>
      <c r="G8954" s="40" t="n">
        <v>0</v>
      </c>
    </row>
    <row r="8955" ht="12" customHeight="1">
      <c r="A8955" s="30" t="inlineStr">
        <is>
          <t>ITG</t>
        </is>
      </c>
      <c r="B8955" s="30" t="inlineStr">
        <is>
          <t>Itaguai</t>
        </is>
      </c>
      <c r="C8955" s="30" t="n">
        <v>87260542</v>
      </c>
      <c r="D8955" s="30">
        <f>"08740044000593"</f>
        <v/>
      </c>
      <c r="E8955" s="30" t="inlineStr">
        <is>
          <t>SAPPORO INDUSTRIA E COMERCIO - SERVICOS LTDA</t>
        </is>
      </c>
      <c r="F8955" s="30" t="inlineStr">
        <is>
          <t>2020</t>
        </is>
      </c>
      <c r="G8955" s="40" t="n">
        <v>0</v>
      </c>
    </row>
    <row r="8956" ht="12" customHeight="1">
      <c r="A8956" s="30" t="inlineStr">
        <is>
          <t>ITG</t>
        </is>
      </c>
      <c r="B8956" s="30" t="inlineStr">
        <is>
          <t>Itaguai</t>
        </is>
      </c>
      <c r="C8956" s="30" t="n">
        <v>87260542</v>
      </c>
      <c r="D8956" s="30">
        <f>"08740044000593"</f>
        <v/>
      </c>
      <c r="E8956" s="30" t="inlineStr">
        <is>
          <t>SAPPORO INDUSTRIA E COMERCIO - SERVICOS LTDA</t>
        </is>
      </c>
      <c r="F8956" s="30" t="inlineStr">
        <is>
          <t>2021</t>
        </is>
      </c>
      <c r="G8956" s="40" t="n">
        <v>0</v>
      </c>
    </row>
    <row r="8957" ht="12" customHeight="1">
      <c r="A8957" s="30" t="inlineStr">
        <is>
          <t>ITG</t>
        </is>
      </c>
      <c r="B8957" s="30" t="inlineStr">
        <is>
          <t>Itaguai</t>
        </is>
      </c>
      <c r="C8957" s="30" t="n">
        <v>87260542</v>
      </c>
      <c r="D8957" s="30">
        <f>"08740044000593"</f>
        <v/>
      </c>
      <c r="E8957" s="30" t="inlineStr">
        <is>
          <t>SAPPORO INDUSTRIA E COMERCIO - SERVICOS LTDA</t>
        </is>
      </c>
      <c r="F8957" s="30" t="inlineStr">
        <is>
          <t>2022</t>
        </is>
      </c>
      <c r="G8957" s="40" t="n">
        <v>0</v>
      </c>
    </row>
    <row r="8958" ht="12" customHeight="1">
      <c r="A8958" s="30" t="inlineStr">
        <is>
          <t>ITG</t>
        </is>
      </c>
      <c r="B8958" s="30" t="inlineStr">
        <is>
          <t>Itaguai</t>
        </is>
      </c>
      <c r="C8958" s="30" t="n">
        <v>87260542</v>
      </c>
      <c r="D8958" s="30">
        <f>"08740044000593"</f>
        <v/>
      </c>
      <c r="E8958" s="30" t="inlineStr">
        <is>
          <t>SAPPORO INDUSTRIA E COMERCIO - SERVICOS LTDA</t>
        </is>
      </c>
      <c r="F8958" s="30" t="inlineStr">
        <is>
          <t>2023</t>
        </is>
      </c>
      <c r="G8958" s="40" t="n">
        <v>0</v>
      </c>
    </row>
    <row r="8959" ht="12" customHeight="1">
      <c r="A8959" s="30" t="inlineStr">
        <is>
          <t>ITG</t>
        </is>
      </c>
      <c r="B8959" s="30" t="inlineStr">
        <is>
          <t>Itaguai</t>
        </is>
      </c>
      <c r="C8959" s="30" t="n">
        <v>87274209</v>
      </c>
      <c r="D8959" s="30">
        <f>"26555329000102"</f>
        <v/>
      </c>
      <c r="E8959" s="30" t="inlineStr">
        <is>
          <t>GRAFENO INDUSTRIA, COMERCIO E SERVICOS EIRELI - EPP</t>
        </is>
      </c>
      <c r="F8959" s="30" t="inlineStr">
        <is>
          <t>2017</t>
        </is>
      </c>
      <c r="G8959" s="40" t="n">
        <v>0</v>
      </c>
    </row>
    <row r="8960" ht="12" customHeight="1">
      <c r="A8960" s="30" t="inlineStr">
        <is>
          <t>ITG</t>
        </is>
      </c>
      <c r="B8960" s="30" t="inlineStr">
        <is>
          <t>Itaguai</t>
        </is>
      </c>
      <c r="C8960" s="30" t="n">
        <v>87274209</v>
      </c>
      <c r="D8960" s="30">
        <f>"26555329000102"</f>
        <v/>
      </c>
      <c r="E8960" s="30" t="inlineStr">
        <is>
          <t>GRAFENO INDUSTRIA, COMERCIO E SERVICOS EIRELI - EPP</t>
        </is>
      </c>
      <c r="F8960" s="30" t="inlineStr">
        <is>
          <t>2018</t>
        </is>
      </c>
      <c r="G8960" s="40" t="n">
        <v>0</v>
      </c>
    </row>
    <row r="8961" ht="12" customHeight="1">
      <c r="A8961" s="30" t="inlineStr">
        <is>
          <t>ITG</t>
        </is>
      </c>
      <c r="B8961" s="30" t="inlineStr">
        <is>
          <t>Itaguai</t>
        </is>
      </c>
      <c r="C8961" s="30" t="n">
        <v>87274209</v>
      </c>
      <c r="D8961" s="30">
        <f>"26555329000102"</f>
        <v/>
      </c>
      <c r="E8961" s="30" t="inlineStr">
        <is>
          <t>GRAFENO INDUSTRIA, COMERCIO E SERVICOS EIRELI - EPP</t>
        </is>
      </c>
      <c r="F8961" s="30" t="inlineStr">
        <is>
          <t>2019</t>
        </is>
      </c>
      <c r="G8961" s="40" t="n">
        <v>517051.51</v>
      </c>
    </row>
    <row r="8962" ht="12" customHeight="1">
      <c r="A8962" s="30" t="inlineStr">
        <is>
          <t>ITG</t>
        </is>
      </c>
      <c r="B8962" s="30" t="inlineStr">
        <is>
          <t>Itaguai</t>
        </is>
      </c>
      <c r="C8962" s="30" t="n">
        <v>87274209</v>
      </c>
      <c r="D8962" s="30">
        <f>"26555329000102"</f>
        <v/>
      </c>
      <c r="E8962" s="30" t="inlineStr">
        <is>
          <t>GRAFENO INDUSTRIA, COMERCIO E SERVICOS EIRELI - EPP</t>
        </is>
      </c>
      <c r="F8962" s="30" t="inlineStr">
        <is>
          <t>2020</t>
        </is>
      </c>
      <c r="G8962" s="40" t="n">
        <v>1286970.82</v>
      </c>
    </row>
    <row r="8963" ht="12" customHeight="1">
      <c r="A8963" s="30" t="inlineStr">
        <is>
          <t>ITG</t>
        </is>
      </c>
      <c r="B8963" s="30" t="inlineStr">
        <is>
          <t>Itaguai</t>
        </is>
      </c>
      <c r="C8963" s="30" t="n">
        <v>87274209</v>
      </c>
      <c r="D8963" s="30">
        <f>"26555329000102"</f>
        <v/>
      </c>
      <c r="E8963" s="30" t="inlineStr">
        <is>
          <t>GRAFENO INDUSTRIA, COMERCIO E SERVICOS EIRELI - EPP</t>
        </is>
      </c>
      <c r="F8963" s="30" t="inlineStr">
        <is>
          <t>2021</t>
        </is>
      </c>
      <c r="G8963" s="40" t="n">
        <v>1559833.62</v>
      </c>
    </row>
    <row r="8964" ht="12" customHeight="1">
      <c r="A8964" s="30" t="inlineStr">
        <is>
          <t>ITG</t>
        </is>
      </c>
      <c r="B8964" s="30" t="inlineStr">
        <is>
          <t>Itaguai</t>
        </is>
      </c>
      <c r="C8964" s="30" t="n">
        <v>87274209</v>
      </c>
      <c r="D8964" s="30">
        <f>"26555329000102"</f>
        <v/>
      </c>
      <c r="E8964" s="30" t="inlineStr">
        <is>
          <t>GRAFENO INDUSTRIA, COMERCIO E SERVICOS EIRELI - EPP</t>
        </is>
      </c>
      <c r="F8964" s="30" t="inlineStr">
        <is>
          <t>2022</t>
        </is>
      </c>
      <c r="G8964" s="40" t="n">
        <v>787836.22</v>
      </c>
    </row>
    <row r="8965" ht="12" customHeight="1">
      <c r="A8965" s="30" t="inlineStr">
        <is>
          <t>ITG</t>
        </is>
      </c>
      <c r="B8965" s="30" t="inlineStr">
        <is>
          <t>Itaguai</t>
        </is>
      </c>
      <c r="C8965" s="30" t="n">
        <v>87274209</v>
      </c>
      <c r="D8965" s="30">
        <f>"26555329000102"</f>
        <v/>
      </c>
      <c r="E8965" s="30" t="inlineStr">
        <is>
          <t>GRAFENO INDUSTRIA, COMERCIO E SERVICOS EIRELI - EPP</t>
        </is>
      </c>
      <c r="F8965" s="30" t="inlineStr">
        <is>
          <t>2023</t>
        </is>
      </c>
      <c r="G8965" s="40" t="n">
        <v>502841.71</v>
      </c>
    </row>
    <row r="8966" ht="12" customHeight="1">
      <c r="A8966" s="30" t="inlineStr">
        <is>
          <t>ITG</t>
        </is>
      </c>
      <c r="B8966" s="30" t="inlineStr">
        <is>
          <t>Itaguai</t>
        </is>
      </c>
      <c r="C8966" s="30" t="n">
        <v>87274373</v>
      </c>
      <c r="D8966" s="30">
        <f>"13544467000144"</f>
        <v/>
      </c>
      <c r="E8966" s="30" t="inlineStr">
        <is>
          <t>RIVER SUB SERVICOS SUBAQUATICOS E MANUTENCOES EM GERAL LTDA ME</t>
        </is>
      </c>
      <c r="F8966" s="30" t="inlineStr">
        <is>
          <t>2021</t>
        </is>
      </c>
      <c r="G8966" s="40" t="n">
        <v>0</v>
      </c>
    </row>
    <row r="8967" ht="12" customHeight="1">
      <c r="A8967" s="30" t="inlineStr">
        <is>
          <t>ITG</t>
        </is>
      </c>
      <c r="B8967" s="30" t="inlineStr">
        <is>
          <t>Itaguai</t>
        </is>
      </c>
      <c r="C8967" s="30" t="n">
        <v>87274373</v>
      </c>
      <c r="D8967" s="30">
        <f>"13544467000144"</f>
        <v/>
      </c>
      <c r="E8967" s="30" t="inlineStr">
        <is>
          <t>RIVER SUB SERVICOS SUBAQUATICOS E MANUTENCOES EM GERAL LTDA ME</t>
        </is>
      </c>
      <c r="F8967" s="30" t="inlineStr">
        <is>
          <t>2022</t>
        </is>
      </c>
      <c r="G8967" s="40" t="n">
        <v>0</v>
      </c>
    </row>
    <row r="8968" ht="12" customHeight="1">
      <c r="A8968" s="30" t="inlineStr">
        <is>
          <t>ITG</t>
        </is>
      </c>
      <c r="B8968" s="30" t="inlineStr">
        <is>
          <t>Itaguai</t>
        </is>
      </c>
      <c r="C8968" s="30" t="n">
        <v>87274373</v>
      </c>
      <c r="D8968" s="30">
        <f>"13544467000144"</f>
        <v/>
      </c>
      <c r="E8968" s="30" t="inlineStr">
        <is>
          <t>RIVER SUB SERVICOS SUBAQUATICOS E MANUTENCOES EM GERAL LTDA ME</t>
        </is>
      </c>
      <c r="F8968" s="30" t="inlineStr">
        <is>
          <t>2023</t>
        </is>
      </c>
      <c r="G8968" s="40" t="n">
        <v>0</v>
      </c>
    </row>
    <row r="8969" ht="12" customHeight="1">
      <c r="A8969" s="30" t="inlineStr">
        <is>
          <t>ITG</t>
        </is>
      </c>
      <c r="B8969" s="30" t="inlineStr">
        <is>
          <t>Itaguai</t>
        </is>
      </c>
      <c r="C8969" s="30" t="n">
        <v>87280454</v>
      </c>
      <c r="D8969" s="30">
        <f>"22166193001160"</f>
        <v/>
      </c>
      <c r="E8969" s="30" t="inlineStr">
        <is>
          <t>ALGAR SOLUCOES EM TIC S A</t>
        </is>
      </c>
      <c r="F8969" s="30" t="inlineStr">
        <is>
          <t>2017</t>
        </is>
      </c>
      <c r="G8969" s="40" t="n">
        <v>0</v>
      </c>
    </row>
    <row r="8970" ht="12" customHeight="1">
      <c r="A8970" s="30" t="inlineStr">
        <is>
          <t>ITG</t>
        </is>
      </c>
      <c r="B8970" s="30" t="inlineStr">
        <is>
          <t>Itaguai</t>
        </is>
      </c>
      <c r="C8970" s="30" t="n">
        <v>87280454</v>
      </c>
      <c r="D8970" s="30">
        <f>"22166193001160"</f>
        <v/>
      </c>
      <c r="E8970" s="30" t="inlineStr">
        <is>
          <t>ALGAR SOLUCOES EM TIC S A</t>
        </is>
      </c>
      <c r="F8970" s="30" t="inlineStr">
        <is>
          <t>2018</t>
        </is>
      </c>
      <c r="G8970" s="40" t="n">
        <v>0</v>
      </c>
    </row>
    <row r="8971" ht="12" customHeight="1">
      <c r="A8971" s="30" t="inlineStr">
        <is>
          <t>ITG</t>
        </is>
      </c>
      <c r="B8971" s="30" t="inlineStr">
        <is>
          <t>Itaguai</t>
        </is>
      </c>
      <c r="C8971" s="30" t="n">
        <v>87280454</v>
      </c>
      <c r="D8971" s="30">
        <f>"22166193001160"</f>
        <v/>
      </c>
      <c r="E8971" s="30" t="inlineStr">
        <is>
          <t>ALGAR SOLUCOES EM TIC S A</t>
        </is>
      </c>
      <c r="F8971" s="30" t="inlineStr">
        <is>
          <t>2019</t>
        </is>
      </c>
      <c r="G8971" s="40" t="n">
        <v>69637.36</v>
      </c>
    </row>
    <row r="8972" ht="12" customHeight="1">
      <c r="A8972" s="30" t="inlineStr">
        <is>
          <t>ITG</t>
        </is>
      </c>
      <c r="B8972" s="30" t="inlineStr">
        <is>
          <t>Itaguai</t>
        </is>
      </c>
      <c r="C8972" s="30" t="n">
        <v>87280454</v>
      </c>
      <c r="D8972" s="30">
        <f>"22166193001160"</f>
        <v/>
      </c>
      <c r="E8972" s="30" t="inlineStr">
        <is>
          <t>ALGAR SOLUCOES EM TIC S A</t>
        </is>
      </c>
      <c r="F8972" s="30" t="inlineStr">
        <is>
          <t>2020</t>
        </is>
      </c>
      <c r="G8972" s="40" t="n">
        <v>145530.39</v>
      </c>
    </row>
    <row r="8973" ht="12" customHeight="1">
      <c r="A8973" s="30" t="inlineStr">
        <is>
          <t>ITG</t>
        </is>
      </c>
      <c r="B8973" s="30" t="inlineStr">
        <is>
          <t>Itaguai</t>
        </is>
      </c>
      <c r="C8973" s="30" t="n">
        <v>87280454</v>
      </c>
      <c r="D8973" s="30">
        <f>"22166193001160"</f>
        <v/>
      </c>
      <c r="E8973" s="30" t="inlineStr">
        <is>
          <t>ALGAR SOLUCOES EM TIC S A</t>
        </is>
      </c>
      <c r="F8973" s="30" t="inlineStr">
        <is>
          <t>2021</t>
        </is>
      </c>
      <c r="G8973" s="40" t="n">
        <v>121719.1</v>
      </c>
    </row>
    <row r="8974" ht="12" customHeight="1">
      <c r="A8974" s="30" t="inlineStr">
        <is>
          <t>ITG</t>
        </is>
      </c>
      <c r="B8974" s="30" t="inlineStr">
        <is>
          <t>Itaguai</t>
        </is>
      </c>
      <c r="C8974" s="30" t="n">
        <v>87280454</v>
      </c>
      <c r="D8974" s="30">
        <f>"22166193001160"</f>
        <v/>
      </c>
      <c r="E8974" s="30" t="inlineStr">
        <is>
          <t>ALGAR SOLUCOES EM TIC S A</t>
        </is>
      </c>
      <c r="F8974" s="30" t="inlineStr">
        <is>
          <t>2022</t>
        </is>
      </c>
      <c r="G8974" s="40" t="n">
        <v>219893.87</v>
      </c>
    </row>
    <row r="8975" ht="12" customHeight="1">
      <c r="A8975" s="30" t="inlineStr">
        <is>
          <t>ITG</t>
        </is>
      </c>
      <c r="B8975" s="30" t="inlineStr">
        <is>
          <t>Itaguai</t>
        </is>
      </c>
      <c r="C8975" s="30" t="n">
        <v>87280454</v>
      </c>
      <c r="D8975" s="30">
        <f>"22166193001160"</f>
        <v/>
      </c>
      <c r="E8975" s="30" t="inlineStr">
        <is>
          <t>ALGAR SOLUCOES EM TIC S A</t>
        </is>
      </c>
      <c r="F8975" s="30" t="inlineStr">
        <is>
          <t>2023</t>
        </is>
      </c>
      <c r="G8975" s="40" t="n">
        <v>0</v>
      </c>
    </row>
    <row r="8976" ht="12" customHeight="1">
      <c r="A8976" s="30" t="inlineStr">
        <is>
          <t>ITG</t>
        </is>
      </c>
      <c r="B8976" s="30" t="inlineStr">
        <is>
          <t>Itaguai</t>
        </is>
      </c>
      <c r="C8976" s="30" t="n">
        <v>87285880</v>
      </c>
      <c r="D8976" s="30">
        <f>"31368046000787"</f>
        <v/>
      </c>
      <c r="E8976" s="30" t="inlineStr">
        <is>
          <t>TUPI RIO TRANSPORTES SA</t>
        </is>
      </c>
      <c r="F8976" s="30" t="inlineStr">
        <is>
          <t>2017</t>
        </is>
      </c>
      <c r="G8976" s="40" t="n">
        <v>1909.66</v>
      </c>
    </row>
    <row r="8977" ht="12" customHeight="1">
      <c r="A8977" s="30" t="inlineStr">
        <is>
          <t>ITG</t>
        </is>
      </c>
      <c r="B8977" s="30" t="inlineStr">
        <is>
          <t>Itaguai</t>
        </is>
      </c>
      <c r="C8977" s="30" t="n">
        <v>87285880</v>
      </c>
      <c r="D8977" s="30">
        <f>"31368046000787"</f>
        <v/>
      </c>
      <c r="E8977" s="30" t="inlineStr">
        <is>
          <t>TUPI RIO TRANSPORTES SA</t>
        </is>
      </c>
      <c r="F8977" s="30" t="inlineStr">
        <is>
          <t>2018</t>
        </is>
      </c>
      <c r="G8977" s="40" t="n">
        <v>4285.22</v>
      </c>
    </row>
    <row r="8978" ht="12" customHeight="1">
      <c r="A8978" s="30" t="inlineStr">
        <is>
          <t>ITG</t>
        </is>
      </c>
      <c r="B8978" s="30" t="inlineStr">
        <is>
          <t>Itaguai</t>
        </is>
      </c>
      <c r="C8978" s="30" t="n">
        <v>87285880</v>
      </c>
      <c r="D8978" s="30">
        <f>"31368046000787"</f>
        <v/>
      </c>
      <c r="E8978" s="30" t="inlineStr">
        <is>
          <t>TUPI RIO TRANSPORTES SA</t>
        </is>
      </c>
      <c r="F8978" s="30" t="inlineStr">
        <is>
          <t>2019</t>
        </is>
      </c>
      <c r="G8978" s="40" t="n">
        <v>0</v>
      </c>
    </row>
    <row r="8979" ht="12" customHeight="1">
      <c r="A8979" s="30" t="inlineStr">
        <is>
          <t>ITG</t>
        </is>
      </c>
      <c r="B8979" s="30" t="inlineStr">
        <is>
          <t>Itaguai</t>
        </is>
      </c>
      <c r="C8979" s="30" t="n">
        <v>87285880</v>
      </c>
      <c r="D8979" s="30">
        <f>"31368046000787"</f>
        <v/>
      </c>
      <c r="E8979" s="30" t="inlineStr">
        <is>
          <t>TUPI RIO TRANSPORTES SA</t>
        </is>
      </c>
      <c r="F8979" s="30" t="inlineStr">
        <is>
          <t>2020</t>
        </is>
      </c>
      <c r="G8979" s="40" t="n">
        <v>1090.91</v>
      </c>
    </row>
    <row r="8980" ht="12" customHeight="1">
      <c r="A8980" s="30" t="inlineStr">
        <is>
          <t>ITG</t>
        </is>
      </c>
      <c r="B8980" s="30" t="inlineStr">
        <is>
          <t>Itaguai</t>
        </is>
      </c>
      <c r="C8980" s="30" t="n">
        <v>87285880</v>
      </c>
      <c r="D8980" s="30">
        <f>"31368046000787"</f>
        <v/>
      </c>
      <c r="E8980" s="30" t="inlineStr">
        <is>
          <t>TUPI RIO TRANSPORTES SA</t>
        </is>
      </c>
      <c r="F8980" s="30" t="inlineStr">
        <is>
          <t>2021</t>
        </is>
      </c>
      <c r="G8980" s="40" t="n">
        <v>0</v>
      </c>
    </row>
    <row r="8981" ht="12" customHeight="1">
      <c r="A8981" s="30" t="inlineStr">
        <is>
          <t>ITG</t>
        </is>
      </c>
      <c r="B8981" s="30" t="inlineStr">
        <is>
          <t>Itaguai</t>
        </is>
      </c>
      <c r="C8981" s="30" t="n">
        <v>87285880</v>
      </c>
      <c r="D8981" s="30">
        <f>"31368046000787"</f>
        <v/>
      </c>
      <c r="E8981" s="30" t="inlineStr">
        <is>
          <t>TUPI RIO TRANSPORTES SA</t>
        </is>
      </c>
      <c r="F8981" s="30" t="inlineStr">
        <is>
          <t>2022</t>
        </is>
      </c>
      <c r="G8981" s="40" t="n">
        <v>0</v>
      </c>
    </row>
    <row r="8982" ht="12" customHeight="1">
      <c r="A8982" s="30" t="inlineStr">
        <is>
          <t>ITG</t>
        </is>
      </c>
      <c r="B8982" s="30" t="inlineStr">
        <is>
          <t>Itaguai</t>
        </is>
      </c>
      <c r="C8982" s="30" t="n">
        <v>87286738</v>
      </c>
      <c r="D8982" s="30">
        <f>"26599839000181"</f>
        <v/>
      </c>
      <c r="E8982" s="30" t="inlineStr">
        <is>
          <t>R A MARQUES DIAS ROUPAS E ACESSORIOS</t>
        </is>
      </c>
      <c r="F8982" s="30" t="inlineStr">
        <is>
          <t>2017</t>
        </is>
      </c>
      <c r="G8982" s="40" t="n">
        <v>0</v>
      </c>
    </row>
    <row r="8983" ht="12" customHeight="1">
      <c r="A8983" s="30" t="inlineStr">
        <is>
          <t>ITG</t>
        </is>
      </c>
      <c r="B8983" s="30" t="inlineStr">
        <is>
          <t>Itaguai</t>
        </is>
      </c>
      <c r="C8983" s="30" t="n">
        <v>87286738</v>
      </c>
      <c r="D8983" s="30">
        <f>"26599839000181"</f>
        <v/>
      </c>
      <c r="E8983" s="30" t="inlineStr">
        <is>
          <t>R A MARQUES DIAS ROUPAS E ACESSORIOS</t>
        </is>
      </c>
      <c r="F8983" s="30" t="inlineStr">
        <is>
          <t>2018</t>
        </is>
      </c>
      <c r="G8983" s="40" t="n">
        <v>0</v>
      </c>
    </row>
    <row r="8984" ht="12" customHeight="1">
      <c r="A8984" s="30" t="inlineStr">
        <is>
          <t>ITG</t>
        </is>
      </c>
      <c r="B8984" s="30" t="inlineStr">
        <is>
          <t>Itaguai</t>
        </is>
      </c>
      <c r="C8984" s="30" t="n">
        <v>87286738</v>
      </c>
      <c r="D8984" s="30">
        <f>"26599839000181"</f>
        <v/>
      </c>
      <c r="E8984" s="30" t="inlineStr">
        <is>
          <t>R A MARQUES DIAS ROUPAS E ACESSORIOS</t>
        </is>
      </c>
      <c r="F8984" s="30" t="inlineStr">
        <is>
          <t>2019</t>
        </is>
      </c>
      <c r="G8984" s="40" t="n">
        <v>0</v>
      </c>
    </row>
    <row r="8985" ht="12" customHeight="1">
      <c r="A8985" s="30" t="inlineStr">
        <is>
          <t>ITG</t>
        </is>
      </c>
      <c r="B8985" s="30" t="inlineStr">
        <is>
          <t>Itaguai</t>
        </is>
      </c>
      <c r="C8985" s="30" t="n">
        <v>87286738</v>
      </c>
      <c r="D8985" s="30">
        <f>"26599839000181"</f>
        <v/>
      </c>
      <c r="E8985" s="30" t="inlineStr">
        <is>
          <t>R A MARQUES DIAS ROUPAS E ACESSORIOS</t>
        </is>
      </c>
      <c r="F8985" s="30" t="inlineStr">
        <is>
          <t>2020</t>
        </is>
      </c>
      <c r="G8985" s="40" t="n">
        <v>0</v>
      </c>
    </row>
    <row r="8986" ht="12" customHeight="1">
      <c r="A8986" s="30" t="inlineStr">
        <is>
          <t>ITG</t>
        </is>
      </c>
      <c r="B8986" s="30" t="inlineStr">
        <is>
          <t>Itaguai</t>
        </is>
      </c>
      <c r="C8986" s="30" t="n">
        <v>87287718</v>
      </c>
      <c r="D8986" s="30">
        <f>"26614233000178"</f>
        <v/>
      </c>
      <c r="E8986" s="30" t="inlineStr">
        <is>
          <t>7LINK TELECOM EIRELI ME</t>
        </is>
      </c>
      <c r="F8986" s="30" t="inlineStr">
        <is>
          <t>2017</t>
        </is>
      </c>
      <c r="G8986" s="40" t="n">
        <v>0</v>
      </c>
    </row>
    <row r="8987" ht="12" customHeight="1">
      <c r="A8987" s="30" t="inlineStr">
        <is>
          <t>ITG</t>
        </is>
      </c>
      <c r="B8987" s="30" t="inlineStr">
        <is>
          <t>Itaguai</t>
        </is>
      </c>
      <c r="C8987" s="30" t="n">
        <v>87287718</v>
      </c>
      <c r="D8987" s="30">
        <f>"26614233000178"</f>
        <v/>
      </c>
      <c r="E8987" s="30" t="inlineStr">
        <is>
          <t>7LINK TELECOM EIRELI ME</t>
        </is>
      </c>
      <c r="F8987" s="30" t="inlineStr">
        <is>
          <t>2018</t>
        </is>
      </c>
      <c r="G8987" s="40" t="n">
        <v>0</v>
      </c>
    </row>
    <row r="8988" ht="12" customHeight="1">
      <c r="A8988" s="30" t="inlineStr">
        <is>
          <t>ITG</t>
        </is>
      </c>
      <c r="B8988" s="30" t="inlineStr">
        <is>
          <t>Itaguai</t>
        </is>
      </c>
      <c r="C8988" s="30" t="n">
        <v>87287718</v>
      </c>
      <c r="D8988" s="30">
        <f>"26614233000178"</f>
        <v/>
      </c>
      <c r="E8988" s="30" t="inlineStr">
        <is>
          <t>7LINK TELECOM EIRELI ME</t>
        </is>
      </c>
      <c r="F8988" s="30" t="inlineStr">
        <is>
          <t>2019</t>
        </is>
      </c>
      <c r="G8988" s="40" t="n">
        <v>0</v>
      </c>
    </row>
    <row r="8989" ht="12" customHeight="1">
      <c r="A8989" s="30" t="inlineStr">
        <is>
          <t>ITG</t>
        </is>
      </c>
      <c r="B8989" s="30" t="inlineStr">
        <is>
          <t>Itaguai</t>
        </is>
      </c>
      <c r="C8989" s="30" t="n">
        <v>87287718</v>
      </c>
      <c r="D8989" s="30">
        <f>"26614233000178"</f>
        <v/>
      </c>
      <c r="E8989" s="30" t="inlineStr">
        <is>
          <t>7LINK TELECOM EIRELI ME</t>
        </is>
      </c>
      <c r="F8989" s="30" t="inlineStr">
        <is>
          <t>2020</t>
        </is>
      </c>
      <c r="G8989" s="40" t="n">
        <v>0</v>
      </c>
    </row>
    <row r="8990" ht="12" customHeight="1">
      <c r="A8990" s="30" t="inlineStr">
        <is>
          <t>ITG</t>
        </is>
      </c>
      <c r="B8990" s="30" t="inlineStr">
        <is>
          <t>Itaguai</t>
        </is>
      </c>
      <c r="C8990" s="30" t="n">
        <v>87287718</v>
      </c>
      <c r="D8990" s="30">
        <f>"26614233000178"</f>
        <v/>
      </c>
      <c r="E8990" s="30" t="inlineStr">
        <is>
          <t>7LINK TELECOM EIRELI ME</t>
        </is>
      </c>
      <c r="F8990" s="30" t="inlineStr">
        <is>
          <t>2021</t>
        </is>
      </c>
      <c r="G8990" s="40" t="n">
        <v>0</v>
      </c>
    </row>
    <row r="8991" ht="12" customHeight="1">
      <c r="A8991" s="30" t="inlineStr">
        <is>
          <t>ITG</t>
        </is>
      </c>
      <c r="B8991" s="30" t="inlineStr">
        <is>
          <t>Itaguai</t>
        </is>
      </c>
      <c r="C8991" s="30" t="n">
        <v>87287718</v>
      </c>
      <c r="D8991" s="30">
        <f>"26614233000178"</f>
        <v/>
      </c>
      <c r="E8991" s="30" t="inlineStr">
        <is>
          <t>7LINK TELECOM EIRELI ME</t>
        </is>
      </c>
      <c r="F8991" s="30" t="inlineStr">
        <is>
          <t>2022</t>
        </is>
      </c>
      <c r="G8991" s="40" t="n">
        <v>102517.08</v>
      </c>
    </row>
    <row r="8992" ht="12" customHeight="1">
      <c r="A8992" s="30" t="inlineStr">
        <is>
          <t>ITG</t>
        </is>
      </c>
      <c r="B8992" s="30" t="inlineStr">
        <is>
          <t>Itaguai</t>
        </is>
      </c>
      <c r="C8992" s="30" t="n">
        <v>87287718</v>
      </c>
      <c r="D8992" s="30">
        <f>"26614233000178"</f>
        <v/>
      </c>
      <c r="E8992" s="30" t="inlineStr">
        <is>
          <t>7LINK TELECOM EIRELI ME</t>
        </is>
      </c>
      <c r="F8992" s="30" t="inlineStr">
        <is>
          <t>2023</t>
        </is>
      </c>
      <c r="G8992" s="40" t="n">
        <v>2735323.33</v>
      </c>
    </row>
    <row r="8993" ht="12" customHeight="1">
      <c r="A8993" s="30" t="inlineStr">
        <is>
          <t>ITG</t>
        </is>
      </c>
      <c r="B8993" s="30" t="inlineStr">
        <is>
          <t>Itaguai</t>
        </is>
      </c>
      <c r="C8993" s="30" t="n">
        <v>87293769</v>
      </c>
      <c r="D8993" s="30">
        <f>"10260910000248"</f>
        <v/>
      </c>
      <c r="E8993" s="30" t="inlineStr">
        <is>
          <t>GUARU CARGO - LOGISTICA E TRANSPORTES LTDA</t>
        </is>
      </c>
      <c r="F8993" s="30" t="inlineStr">
        <is>
          <t>2017</t>
        </is>
      </c>
      <c r="G8993" s="40" t="n">
        <v>524.75</v>
      </c>
    </row>
    <row r="8994" ht="12" customHeight="1">
      <c r="A8994" s="30" t="inlineStr">
        <is>
          <t>ITG</t>
        </is>
      </c>
      <c r="B8994" s="30" t="inlineStr">
        <is>
          <t>Itaguai</t>
        </is>
      </c>
      <c r="C8994" s="30" t="n">
        <v>87293769</v>
      </c>
      <c r="D8994" s="30">
        <f>"10260910000248"</f>
        <v/>
      </c>
      <c r="E8994" s="30" t="inlineStr">
        <is>
          <t>GUARU CARGO - LOGISTICA E TRANSPORTES LTDA</t>
        </is>
      </c>
      <c r="F8994" s="30" t="inlineStr">
        <is>
          <t>2018</t>
        </is>
      </c>
      <c r="G8994" s="40" t="n">
        <v>11777.32</v>
      </c>
    </row>
    <row r="8995" ht="12" customHeight="1">
      <c r="A8995" s="30" t="inlineStr">
        <is>
          <t>ITG</t>
        </is>
      </c>
      <c r="B8995" s="30" t="inlineStr">
        <is>
          <t>Itaguai</t>
        </is>
      </c>
      <c r="C8995" s="30" t="n">
        <v>87293769</v>
      </c>
      <c r="D8995" s="30">
        <f>"10260910000248"</f>
        <v/>
      </c>
      <c r="E8995" s="30" t="inlineStr">
        <is>
          <t>GUARU CARGO - LOGISTICA E TRANSPORTES LTDA</t>
        </is>
      </c>
      <c r="F8995" s="30" t="inlineStr">
        <is>
          <t>2019</t>
        </is>
      </c>
      <c r="G8995" s="40" t="n">
        <v>0</v>
      </c>
    </row>
    <row r="8996" ht="12" customHeight="1">
      <c r="A8996" s="30" t="inlineStr">
        <is>
          <t>ITG</t>
        </is>
      </c>
      <c r="B8996" s="30" t="inlineStr">
        <is>
          <t>Itaguai</t>
        </is>
      </c>
      <c r="C8996" s="30" t="n">
        <v>87293769</v>
      </c>
      <c r="D8996" s="30">
        <f>"10260910000248"</f>
        <v/>
      </c>
      <c r="E8996" s="30" t="inlineStr">
        <is>
          <t>GUARU CARGO - LOGISTICA E TRANSPORTES LTDA</t>
        </is>
      </c>
      <c r="F8996" s="30" t="inlineStr">
        <is>
          <t>2020</t>
        </is>
      </c>
      <c r="G8996" s="40" t="n">
        <v>0</v>
      </c>
    </row>
    <row r="8997" ht="12" customHeight="1">
      <c r="A8997" s="30" t="inlineStr">
        <is>
          <t>ITG</t>
        </is>
      </c>
      <c r="B8997" s="30" t="inlineStr">
        <is>
          <t>Itaguai</t>
        </is>
      </c>
      <c r="C8997" s="30" t="n">
        <v>87305422</v>
      </c>
      <c r="D8997" s="30">
        <f>"27018552000183"</f>
        <v/>
      </c>
      <c r="E8997" s="30" t="inlineStr">
        <is>
          <t>DANIEL G JUSTINO COMERCIO E SERVICO DE REFRIGERACAO</t>
        </is>
      </c>
      <c r="F8997" s="30" t="inlineStr">
        <is>
          <t>2021</t>
        </is>
      </c>
      <c r="G8997" s="40" t="n">
        <v>0</v>
      </c>
    </row>
    <row r="8998" ht="12" customHeight="1">
      <c r="A8998" s="30" t="inlineStr">
        <is>
          <t>ITG</t>
        </is>
      </c>
      <c r="B8998" s="30" t="inlineStr">
        <is>
          <t>Itaguai</t>
        </is>
      </c>
      <c r="C8998" s="30" t="n">
        <v>87305422</v>
      </c>
      <c r="D8998" s="30">
        <f>"27018552000183"</f>
        <v/>
      </c>
      <c r="E8998" s="30" t="inlineStr">
        <is>
          <t>DANIEL G JUSTINO COMERCIO E SERVICO DE REFRIGERACAO</t>
        </is>
      </c>
      <c r="F8998" s="30" t="inlineStr">
        <is>
          <t>2022</t>
        </is>
      </c>
      <c r="G8998" s="40" t="n">
        <v>0</v>
      </c>
    </row>
    <row r="8999" ht="12" customHeight="1">
      <c r="A8999" s="30" t="inlineStr">
        <is>
          <t>ITG</t>
        </is>
      </c>
      <c r="B8999" s="30" t="inlineStr">
        <is>
          <t>Itaguai</t>
        </is>
      </c>
      <c r="C8999" s="30" t="n">
        <v>87305422</v>
      </c>
      <c r="D8999" s="30">
        <f>"27018552000183"</f>
        <v/>
      </c>
      <c r="E8999" s="30" t="inlineStr">
        <is>
          <t>DANIEL G JUSTINO COMERCIO E SERVICO DE REFRIGERACAO</t>
        </is>
      </c>
      <c r="F8999" s="30" t="inlineStr">
        <is>
          <t>2023</t>
        </is>
      </c>
      <c r="G8999" s="40" t="n">
        <v>0</v>
      </c>
    </row>
    <row r="9000" ht="12" customHeight="1">
      <c r="A9000" s="30" t="inlineStr">
        <is>
          <t>ITG</t>
        </is>
      </c>
      <c r="B9000" s="30" t="inlineStr">
        <is>
          <t>Itaguai</t>
        </is>
      </c>
      <c r="C9000" s="30" t="n">
        <v>87306771</v>
      </c>
      <c r="D9000" s="30">
        <f>"26857770000149"</f>
        <v/>
      </c>
      <c r="E9000" s="30" t="inlineStr">
        <is>
          <t>HDG MOTO PECAS LTDA - ME</t>
        </is>
      </c>
      <c r="F9000" s="30" t="inlineStr">
        <is>
          <t>2017</t>
        </is>
      </c>
      <c r="G9000" s="40" t="n">
        <v>0</v>
      </c>
    </row>
    <row r="9001" ht="12" customHeight="1">
      <c r="A9001" s="30" t="inlineStr">
        <is>
          <t>ITG</t>
        </is>
      </c>
      <c r="B9001" s="30" t="inlineStr">
        <is>
          <t>Itaguai</t>
        </is>
      </c>
      <c r="C9001" s="30" t="n">
        <v>87306771</v>
      </c>
      <c r="D9001" s="30">
        <f>"26857770000149"</f>
        <v/>
      </c>
      <c r="E9001" s="30" t="inlineStr">
        <is>
          <t>HDG MOTO PECAS LTDA - ME</t>
        </is>
      </c>
      <c r="F9001" s="30" t="inlineStr">
        <is>
          <t>2018</t>
        </is>
      </c>
      <c r="G9001" s="40" t="n">
        <v>0</v>
      </c>
    </row>
    <row r="9002" ht="12" customHeight="1">
      <c r="A9002" s="30" t="inlineStr">
        <is>
          <t>ITG</t>
        </is>
      </c>
      <c r="B9002" s="30" t="inlineStr">
        <is>
          <t>Itaguai</t>
        </is>
      </c>
      <c r="C9002" s="30" t="n">
        <v>87306771</v>
      </c>
      <c r="D9002" s="30">
        <f>"26857770000149"</f>
        <v/>
      </c>
      <c r="E9002" s="30" t="inlineStr">
        <is>
          <t>HDG MOTO PECAS LTDA - ME</t>
        </is>
      </c>
      <c r="F9002" s="30" t="inlineStr">
        <is>
          <t>2019</t>
        </is>
      </c>
      <c r="G9002" s="40" t="n">
        <v>0</v>
      </c>
    </row>
    <row r="9003" ht="12" customHeight="1">
      <c r="A9003" s="30" t="inlineStr">
        <is>
          <t>ITG</t>
        </is>
      </c>
      <c r="B9003" s="30" t="inlineStr">
        <is>
          <t>Itaguai</t>
        </is>
      </c>
      <c r="C9003" s="30" t="n">
        <v>87306771</v>
      </c>
      <c r="D9003" s="30">
        <f>"26857770000149"</f>
        <v/>
      </c>
      <c r="E9003" s="30" t="inlineStr">
        <is>
          <t>HDG MOTO PECAS LTDA - ME</t>
        </is>
      </c>
      <c r="F9003" s="30" t="inlineStr">
        <is>
          <t>2020</t>
        </is>
      </c>
      <c r="G9003" s="40" t="n">
        <v>0</v>
      </c>
    </row>
    <row r="9004" ht="12" customHeight="1">
      <c r="A9004" s="30" t="inlineStr">
        <is>
          <t>ITG</t>
        </is>
      </c>
      <c r="B9004" s="30" t="inlineStr">
        <is>
          <t>Itaguai</t>
        </is>
      </c>
      <c r="C9004" s="30" t="n">
        <v>87308901</v>
      </c>
      <c r="D9004" s="30">
        <f>"27063902000123"</f>
        <v/>
      </c>
      <c r="E9004" s="30" t="inlineStr">
        <is>
          <t>LRAM TRANSPORTE DE CARGAS LTDA EPP</t>
        </is>
      </c>
      <c r="F9004" s="30" t="inlineStr">
        <is>
          <t>2018</t>
        </is>
      </c>
      <c r="G9004" s="40" t="n">
        <v>0</v>
      </c>
    </row>
    <row r="9005" ht="12" customHeight="1">
      <c r="A9005" s="30" t="inlineStr">
        <is>
          <t>ITG</t>
        </is>
      </c>
      <c r="B9005" s="30" t="inlineStr">
        <is>
          <t>Itaguai</t>
        </is>
      </c>
      <c r="C9005" s="30" t="n">
        <v>87308901</v>
      </c>
      <c r="D9005" s="30">
        <f>"27063902000123"</f>
        <v/>
      </c>
      <c r="E9005" s="30" t="inlineStr">
        <is>
          <t>LRAM TRANSPORTE DE CARGAS LTDA EPP</t>
        </is>
      </c>
      <c r="F9005" s="30" t="inlineStr">
        <is>
          <t>2019</t>
        </is>
      </c>
      <c r="G9005" s="40" t="n">
        <v>0</v>
      </c>
    </row>
    <row r="9006" ht="12" customHeight="1">
      <c r="A9006" s="30" t="inlineStr">
        <is>
          <t>ITG</t>
        </is>
      </c>
      <c r="B9006" s="30" t="inlineStr">
        <is>
          <t>Itaguai</t>
        </is>
      </c>
      <c r="C9006" s="30" t="n">
        <v>87308901</v>
      </c>
      <c r="D9006" s="30">
        <f>"27063902000123"</f>
        <v/>
      </c>
      <c r="E9006" s="30" t="inlineStr">
        <is>
          <t>LRAM TRANSPORTE DE CARGAS LTDA EPP</t>
        </is>
      </c>
      <c r="F9006" s="30" t="inlineStr">
        <is>
          <t>2020</t>
        </is>
      </c>
      <c r="G9006" s="40" t="n">
        <v>629</v>
      </c>
    </row>
    <row r="9007" ht="12" customHeight="1">
      <c r="A9007" s="30" t="inlineStr">
        <is>
          <t>ITG</t>
        </is>
      </c>
      <c r="B9007" s="30" t="inlineStr">
        <is>
          <t>Itaguai</t>
        </is>
      </c>
      <c r="C9007" s="30" t="n">
        <v>87308901</v>
      </c>
      <c r="D9007" s="30">
        <f>"27063902000123"</f>
        <v/>
      </c>
      <c r="E9007" s="30" t="inlineStr">
        <is>
          <t>LRAM TRANSPORTE DE CARGAS LTDA EPP</t>
        </is>
      </c>
      <c r="F9007" s="30" t="inlineStr">
        <is>
          <t>2021</t>
        </is>
      </c>
      <c r="G9007" s="40" t="n">
        <v>1842.6</v>
      </c>
    </row>
    <row r="9008" ht="12" customHeight="1">
      <c r="A9008" s="30" t="inlineStr">
        <is>
          <t>ITG</t>
        </is>
      </c>
      <c r="B9008" s="30" t="inlineStr">
        <is>
          <t>Itaguai</t>
        </is>
      </c>
      <c r="C9008" s="30" t="n">
        <v>87308901</v>
      </c>
      <c r="D9008" s="30">
        <f>"27063902000123"</f>
        <v/>
      </c>
      <c r="E9008" s="30" t="inlineStr">
        <is>
          <t>LRAM TRANSPORTE DE CARGAS LTDA EPP</t>
        </is>
      </c>
      <c r="F9008" s="30" t="inlineStr">
        <is>
          <t>2022</t>
        </is>
      </c>
      <c r="G9008" s="40" t="n">
        <v>0</v>
      </c>
    </row>
    <row r="9009" ht="12" customHeight="1">
      <c r="A9009" s="30" t="inlineStr">
        <is>
          <t>ITG</t>
        </is>
      </c>
      <c r="B9009" s="30" t="inlineStr">
        <is>
          <t>Itaguai</t>
        </is>
      </c>
      <c r="C9009" s="30" t="n">
        <v>87308901</v>
      </c>
      <c r="D9009" s="30">
        <f>"27063902000123"</f>
        <v/>
      </c>
      <c r="E9009" s="30" t="inlineStr">
        <is>
          <t>LRAM TRANSPORTE DE CARGAS LTDA EPP</t>
        </is>
      </c>
      <c r="F9009" s="30" t="inlineStr">
        <is>
          <t>2023</t>
        </is>
      </c>
      <c r="G9009" s="40" t="n">
        <v>0</v>
      </c>
    </row>
    <row r="9010" ht="12" customHeight="1">
      <c r="A9010" s="30" t="inlineStr">
        <is>
          <t>ITG</t>
        </is>
      </c>
      <c r="B9010" s="30" t="inlineStr">
        <is>
          <t>Itaguai</t>
        </is>
      </c>
      <c r="C9010" s="30" t="n">
        <v>87309908</v>
      </c>
      <c r="D9010" s="30">
        <f>"27067881000114"</f>
        <v/>
      </c>
      <c r="E9010" s="30" t="inlineStr">
        <is>
          <t>PADARIA E CONFEITARIA NOVA ITAGUAI EIRELI</t>
        </is>
      </c>
      <c r="F9010" s="30" t="inlineStr">
        <is>
          <t>2017</t>
        </is>
      </c>
      <c r="G9010" s="40" t="n">
        <v>184346.73</v>
      </c>
    </row>
    <row r="9011" ht="12" customHeight="1">
      <c r="A9011" s="30" t="inlineStr">
        <is>
          <t>ITG</t>
        </is>
      </c>
      <c r="B9011" s="30" t="inlineStr">
        <is>
          <t>Itaguai</t>
        </is>
      </c>
      <c r="C9011" s="30" t="n">
        <v>87309908</v>
      </c>
      <c r="D9011" s="30">
        <f>"27067881000114"</f>
        <v/>
      </c>
      <c r="E9011" s="30" t="inlineStr">
        <is>
          <t>PADARIA E CONFEITARIA NOVA ITAGUAI EIRELI</t>
        </is>
      </c>
      <c r="F9011" s="30" t="inlineStr">
        <is>
          <t>2018</t>
        </is>
      </c>
      <c r="G9011" s="40" t="n">
        <v>193039.37</v>
      </c>
    </row>
    <row r="9012" ht="12" customHeight="1">
      <c r="A9012" s="30" t="inlineStr">
        <is>
          <t>ITG</t>
        </is>
      </c>
      <c r="B9012" s="30" t="inlineStr">
        <is>
          <t>Itaguai</t>
        </is>
      </c>
      <c r="C9012" s="30" t="n">
        <v>87309908</v>
      </c>
      <c r="D9012" s="30">
        <f>"27067881000114"</f>
        <v/>
      </c>
      <c r="E9012" s="30" t="inlineStr">
        <is>
          <t>PADARIA E CONFEITARIA NOVA ITAGUAI EIRELI</t>
        </is>
      </c>
      <c r="F9012" s="30" t="inlineStr">
        <is>
          <t>2019</t>
        </is>
      </c>
      <c r="G9012" s="40" t="n">
        <v>572112.6</v>
      </c>
    </row>
    <row r="9013" ht="12" customHeight="1">
      <c r="A9013" s="30" t="inlineStr">
        <is>
          <t>ITG</t>
        </is>
      </c>
      <c r="B9013" s="30" t="inlineStr">
        <is>
          <t>Itaguai</t>
        </is>
      </c>
      <c r="C9013" s="30" t="n">
        <v>87309908</v>
      </c>
      <c r="D9013" s="30">
        <f>"27067881000114"</f>
        <v/>
      </c>
      <c r="E9013" s="30" t="inlineStr">
        <is>
          <t>PADARIA E CONFEITARIA NOVA ITAGUAI EIRELI</t>
        </is>
      </c>
      <c r="F9013" s="30" t="inlineStr">
        <is>
          <t>2020</t>
        </is>
      </c>
      <c r="G9013" s="40" t="n">
        <v>0</v>
      </c>
    </row>
    <row r="9014" ht="12" customHeight="1">
      <c r="A9014" s="30" t="inlineStr">
        <is>
          <t>ITG</t>
        </is>
      </c>
      <c r="B9014" s="30" t="inlineStr">
        <is>
          <t>Itaguai</t>
        </is>
      </c>
      <c r="C9014" s="30" t="n">
        <v>87309908</v>
      </c>
      <c r="D9014" s="30">
        <f>"27067881000114"</f>
        <v/>
      </c>
      <c r="E9014" s="30" t="inlineStr">
        <is>
          <t>PADARIA E CONFEITARIA NOVA ITAGUAI EIRELI</t>
        </is>
      </c>
      <c r="F9014" s="30" t="inlineStr">
        <is>
          <t>2021</t>
        </is>
      </c>
      <c r="G9014" s="40" t="n">
        <v>0</v>
      </c>
    </row>
    <row r="9015" ht="12" customHeight="1">
      <c r="A9015" s="30" t="inlineStr">
        <is>
          <t>ITG</t>
        </is>
      </c>
      <c r="B9015" s="30" t="inlineStr">
        <is>
          <t>Itaguai</t>
        </is>
      </c>
      <c r="C9015" s="30" t="n">
        <v>87309908</v>
      </c>
      <c r="D9015" s="30">
        <f>"27067881000114"</f>
        <v/>
      </c>
      <c r="E9015" s="30" t="inlineStr">
        <is>
          <t>PADARIA E CONFEITARIA NOVA ITAGUAI EIRELI</t>
        </is>
      </c>
      <c r="F9015" s="30" t="inlineStr">
        <is>
          <t>2022</t>
        </is>
      </c>
      <c r="G9015" s="40" t="n">
        <v>0</v>
      </c>
    </row>
    <row r="9016" ht="12" customHeight="1">
      <c r="A9016" s="30" t="inlineStr">
        <is>
          <t>ITG</t>
        </is>
      </c>
      <c r="B9016" s="30" t="inlineStr">
        <is>
          <t>Itaguai</t>
        </is>
      </c>
      <c r="C9016" s="30" t="n">
        <v>87316440</v>
      </c>
      <c r="D9016" s="30">
        <f>"76728385001141"</f>
        <v/>
      </c>
      <c r="E9016" s="30" t="inlineStr">
        <is>
          <t>TRANSPORTES DIAMANTE LTDA</t>
        </is>
      </c>
      <c r="F9016" s="30" t="inlineStr">
        <is>
          <t>2017</t>
        </is>
      </c>
      <c r="G9016" s="40" t="n">
        <v>0</v>
      </c>
    </row>
    <row r="9017" ht="12" customHeight="1">
      <c r="A9017" s="30" t="inlineStr">
        <is>
          <t>ITG</t>
        </is>
      </c>
      <c r="B9017" s="30" t="inlineStr">
        <is>
          <t>Itaguai</t>
        </is>
      </c>
      <c r="C9017" s="30" t="n">
        <v>87316440</v>
      </c>
      <c r="D9017" s="30">
        <f>"76728385001141"</f>
        <v/>
      </c>
      <c r="E9017" s="30" t="inlineStr">
        <is>
          <t>TRANSPORTES DIAMANTE LTDA</t>
        </is>
      </c>
      <c r="F9017" s="30" t="inlineStr">
        <is>
          <t>2018</t>
        </is>
      </c>
      <c r="G9017" s="40" t="n">
        <v>0</v>
      </c>
    </row>
    <row r="9018" ht="12" customHeight="1">
      <c r="A9018" s="30" t="inlineStr">
        <is>
          <t>ITG</t>
        </is>
      </c>
      <c r="B9018" s="30" t="inlineStr">
        <is>
          <t>Itaguai</t>
        </is>
      </c>
      <c r="C9018" s="30" t="n">
        <v>87316440</v>
      </c>
      <c r="D9018" s="30">
        <f>"76728385001141"</f>
        <v/>
      </c>
      <c r="E9018" s="30" t="inlineStr">
        <is>
          <t>TRANSPORTES DIAMANTE LTDA</t>
        </is>
      </c>
      <c r="F9018" s="30" t="inlineStr">
        <is>
          <t>2019</t>
        </is>
      </c>
      <c r="G9018" s="40" t="n">
        <v>0</v>
      </c>
    </row>
    <row r="9019" ht="12" customHeight="1">
      <c r="A9019" s="30" t="inlineStr">
        <is>
          <t>ITG</t>
        </is>
      </c>
      <c r="B9019" s="30" t="inlineStr">
        <is>
          <t>Itaguai</t>
        </is>
      </c>
      <c r="C9019" s="30" t="n">
        <v>87316440</v>
      </c>
      <c r="D9019" s="30">
        <f>"76728385001141"</f>
        <v/>
      </c>
      <c r="E9019" s="30" t="inlineStr">
        <is>
          <t>TRANSPORTES DIAMANTE LTDA</t>
        </is>
      </c>
      <c r="F9019" s="30" t="inlineStr">
        <is>
          <t>2020</t>
        </is>
      </c>
      <c r="G9019" s="40" t="n">
        <v>0</v>
      </c>
    </row>
    <row r="9020" ht="12" customHeight="1">
      <c r="A9020" s="30" t="inlineStr">
        <is>
          <t>ITG</t>
        </is>
      </c>
      <c r="B9020" s="30" t="inlineStr">
        <is>
          <t>Itaguai</t>
        </is>
      </c>
      <c r="C9020" s="30" t="n">
        <v>87316440</v>
      </c>
      <c r="D9020" s="30">
        <f>"76728385001141"</f>
        <v/>
      </c>
      <c r="E9020" s="30" t="inlineStr">
        <is>
          <t>TRANSPORTES DIAMANTE LTDA</t>
        </is>
      </c>
      <c r="F9020" s="30" t="inlineStr">
        <is>
          <t>2021</t>
        </is>
      </c>
      <c r="G9020" s="40" t="n">
        <v>0</v>
      </c>
    </row>
    <row r="9021" ht="12" customHeight="1">
      <c r="A9021" s="30" t="inlineStr">
        <is>
          <t>ITG</t>
        </is>
      </c>
      <c r="B9021" s="30" t="inlineStr">
        <is>
          <t>Itaguai</t>
        </is>
      </c>
      <c r="C9021" s="30" t="n">
        <v>87316440</v>
      </c>
      <c r="D9021" s="30">
        <f>"76728385001141"</f>
        <v/>
      </c>
      <c r="E9021" s="30" t="inlineStr">
        <is>
          <t>TRANSPORTES DIAMANTE LTDA</t>
        </is>
      </c>
      <c r="F9021" s="30" t="inlineStr">
        <is>
          <t>2022</t>
        </is>
      </c>
      <c r="G9021" s="40" t="n">
        <v>0</v>
      </c>
    </row>
    <row r="9022" ht="12" customHeight="1">
      <c r="A9022" s="30" t="inlineStr">
        <is>
          <t>ITG</t>
        </is>
      </c>
      <c r="B9022" s="30" t="inlineStr">
        <is>
          <t>Itaguai</t>
        </is>
      </c>
      <c r="C9022" s="30" t="n">
        <v>87316440</v>
      </c>
      <c r="D9022" s="30">
        <f>"76728385001141"</f>
        <v/>
      </c>
      <c r="E9022" s="30" t="inlineStr">
        <is>
          <t>TRANSPORTES DIAMANTE LTDA</t>
        </is>
      </c>
      <c r="F9022" s="30" t="inlineStr">
        <is>
          <t>2023</t>
        </is>
      </c>
      <c r="G9022" s="40" t="n">
        <v>0</v>
      </c>
    </row>
    <row r="9023" ht="12" customHeight="1">
      <c r="A9023" s="30" t="inlineStr">
        <is>
          <t>ITG</t>
        </is>
      </c>
      <c r="B9023" s="30" t="inlineStr">
        <is>
          <t>Itaguai</t>
        </is>
      </c>
      <c r="C9023" s="30" t="n">
        <v>87317170</v>
      </c>
      <c r="D9023" s="30">
        <f>"27170693000117"</f>
        <v/>
      </c>
      <c r="E9023" s="30" t="inlineStr">
        <is>
          <t>DUGEL MATERIAIS DE CONSTRUCAO EIRELI ME</t>
        </is>
      </c>
      <c r="F9023" s="30" t="inlineStr">
        <is>
          <t>2018</t>
        </is>
      </c>
      <c r="G9023" s="40" t="n">
        <v>0</v>
      </c>
    </row>
    <row r="9024" ht="12" customHeight="1">
      <c r="A9024" s="30" t="inlineStr">
        <is>
          <t>ITG</t>
        </is>
      </c>
      <c r="B9024" s="30" t="inlineStr">
        <is>
          <t>Itaguai</t>
        </is>
      </c>
      <c r="C9024" s="30" t="n">
        <v>87317170</v>
      </c>
      <c r="D9024" s="30">
        <f>"27170693000117"</f>
        <v/>
      </c>
      <c r="E9024" s="30" t="inlineStr">
        <is>
          <t>DUGEL MATERIAIS DE CONSTRUCAO EIRELI ME</t>
        </is>
      </c>
      <c r="F9024" s="30" t="inlineStr">
        <is>
          <t>2019</t>
        </is>
      </c>
      <c r="G9024" s="40" t="n">
        <v>0</v>
      </c>
    </row>
    <row r="9025" ht="12" customHeight="1">
      <c r="A9025" s="30" t="inlineStr">
        <is>
          <t>ITG</t>
        </is>
      </c>
      <c r="B9025" s="30" t="inlineStr">
        <is>
          <t>Itaguai</t>
        </is>
      </c>
      <c r="C9025" s="30" t="n">
        <v>87317170</v>
      </c>
      <c r="D9025" s="30">
        <f>"27170693000117"</f>
        <v/>
      </c>
      <c r="E9025" s="30" t="inlineStr">
        <is>
          <t>DUGEL MATERIAIS DE CONSTRUCAO EIRELI ME</t>
        </is>
      </c>
      <c r="F9025" s="30" t="inlineStr">
        <is>
          <t>2020</t>
        </is>
      </c>
      <c r="G9025" s="40" t="n">
        <v>0</v>
      </c>
    </row>
    <row r="9026" ht="12" customHeight="1">
      <c r="A9026" s="30" t="inlineStr">
        <is>
          <t>ITG</t>
        </is>
      </c>
      <c r="B9026" s="30" t="inlineStr">
        <is>
          <t>Itaguai</t>
        </is>
      </c>
      <c r="C9026" s="30" t="n">
        <v>87317170</v>
      </c>
      <c r="D9026" s="30">
        <f>"27170693000117"</f>
        <v/>
      </c>
      <c r="E9026" s="30" t="inlineStr">
        <is>
          <t>DUGEL MATERIAIS DE CONSTRUCAO EIRELI ME</t>
        </is>
      </c>
      <c r="F9026" s="30" t="inlineStr">
        <is>
          <t>2021</t>
        </is>
      </c>
      <c r="G9026" s="40" t="n">
        <v>0</v>
      </c>
    </row>
    <row r="9027" ht="12" customHeight="1">
      <c r="A9027" s="30" t="inlineStr">
        <is>
          <t>ITG</t>
        </is>
      </c>
      <c r="B9027" s="30" t="inlineStr">
        <is>
          <t>Itaguai</t>
        </is>
      </c>
      <c r="C9027" s="30" t="n">
        <v>87317170</v>
      </c>
      <c r="D9027" s="30">
        <f>"27170693000117"</f>
        <v/>
      </c>
      <c r="E9027" s="30" t="inlineStr">
        <is>
          <t>DUGEL MATERIAIS DE CONSTRUCAO EIRELI ME</t>
        </is>
      </c>
      <c r="F9027" s="30" t="inlineStr">
        <is>
          <t>2022</t>
        </is>
      </c>
      <c r="G9027" s="40" t="n">
        <v>0</v>
      </c>
    </row>
    <row r="9028" ht="12" customHeight="1">
      <c r="A9028" s="30" t="inlineStr">
        <is>
          <t>ITG</t>
        </is>
      </c>
      <c r="B9028" s="30" t="inlineStr">
        <is>
          <t>Itaguai</t>
        </is>
      </c>
      <c r="C9028" s="30" t="n">
        <v>87317170</v>
      </c>
      <c r="D9028" s="30">
        <f>"27170693000117"</f>
        <v/>
      </c>
      <c r="E9028" s="30" t="inlineStr">
        <is>
          <t>DUGEL MATERIAIS DE CONSTRUCAO EIRELI ME</t>
        </is>
      </c>
      <c r="F9028" s="30" t="inlineStr">
        <is>
          <t>2023</t>
        </is>
      </c>
      <c r="G9028" s="40" t="n">
        <v>0</v>
      </c>
    </row>
    <row r="9029" ht="12" customHeight="1">
      <c r="A9029" s="30" t="inlineStr">
        <is>
          <t>ITG</t>
        </is>
      </c>
      <c r="B9029" s="30" t="inlineStr">
        <is>
          <t>Itaguai</t>
        </is>
      </c>
      <c r="C9029" s="30" t="n">
        <v>87318400</v>
      </c>
      <c r="D9029" s="30">
        <f>"59530832002297"</f>
        <v/>
      </c>
      <c r="E9029" s="30" t="inlineStr">
        <is>
          <t>BRASILMAXI LOGISTICA LTDA</t>
        </is>
      </c>
      <c r="F9029" s="30" t="inlineStr">
        <is>
          <t>2017</t>
        </is>
      </c>
      <c r="G9029" s="40" t="n">
        <v>74121.3</v>
      </c>
    </row>
    <row r="9030" ht="12" customHeight="1">
      <c r="A9030" s="30" t="inlineStr">
        <is>
          <t>ITG</t>
        </is>
      </c>
      <c r="B9030" s="30" t="inlineStr">
        <is>
          <t>Itaguai</t>
        </is>
      </c>
      <c r="C9030" s="30" t="n">
        <v>87318400</v>
      </c>
      <c r="D9030" s="30">
        <f>"59530832002297"</f>
        <v/>
      </c>
      <c r="E9030" s="30" t="inlineStr">
        <is>
          <t>BRASILMAXI LOGISTICA LTDA</t>
        </is>
      </c>
      <c r="F9030" s="30" t="inlineStr">
        <is>
          <t>2018</t>
        </is>
      </c>
      <c r="G9030" s="40" t="n">
        <v>0</v>
      </c>
    </row>
    <row r="9031" ht="12" customHeight="1">
      <c r="A9031" s="30" t="inlineStr">
        <is>
          <t>ITG</t>
        </is>
      </c>
      <c r="B9031" s="30" t="inlineStr">
        <is>
          <t>Itaguai</t>
        </is>
      </c>
      <c r="C9031" s="30" t="n">
        <v>87318400</v>
      </c>
      <c r="D9031" s="30">
        <f>"59530832002297"</f>
        <v/>
      </c>
      <c r="E9031" s="30" t="inlineStr">
        <is>
          <t>BRASILMAXI LOGISTICA LTDA</t>
        </is>
      </c>
      <c r="F9031" s="30" t="inlineStr">
        <is>
          <t>2019</t>
        </is>
      </c>
      <c r="G9031" s="40" t="n">
        <v>0</v>
      </c>
    </row>
    <row r="9032" ht="12" customHeight="1">
      <c r="A9032" s="30" t="inlineStr">
        <is>
          <t>ITG</t>
        </is>
      </c>
      <c r="B9032" s="30" t="inlineStr">
        <is>
          <t>Itaguai</t>
        </is>
      </c>
      <c r="C9032" s="30" t="n">
        <v>87318400</v>
      </c>
      <c r="D9032" s="30">
        <f>"59530832002297"</f>
        <v/>
      </c>
      <c r="E9032" s="30" t="inlineStr">
        <is>
          <t>BRASILMAXI LOGISTICA LTDA</t>
        </is>
      </c>
      <c r="F9032" s="30" t="inlineStr">
        <is>
          <t>2020</t>
        </is>
      </c>
      <c r="G9032" s="40" t="n">
        <v>0</v>
      </c>
    </row>
    <row r="9033" ht="12" customHeight="1">
      <c r="A9033" s="30" t="inlineStr">
        <is>
          <t>ITG</t>
        </is>
      </c>
      <c r="B9033" s="30" t="inlineStr">
        <is>
          <t>Itaguai</t>
        </is>
      </c>
      <c r="C9033" s="30" t="n">
        <v>87318400</v>
      </c>
      <c r="D9033" s="30">
        <f>"59530832002297"</f>
        <v/>
      </c>
      <c r="E9033" s="30" t="inlineStr">
        <is>
          <t>BRASILMAXI LOGISTICA LTDA</t>
        </is>
      </c>
      <c r="F9033" s="30" t="inlineStr">
        <is>
          <t>2021</t>
        </is>
      </c>
      <c r="G9033" s="40" t="n">
        <v>0</v>
      </c>
    </row>
    <row r="9034" ht="12" customHeight="1">
      <c r="A9034" s="30" t="inlineStr">
        <is>
          <t>ITG</t>
        </is>
      </c>
      <c r="B9034" s="30" t="inlineStr">
        <is>
          <t>Itaguai</t>
        </is>
      </c>
      <c r="C9034" s="30" t="n">
        <v>87318400</v>
      </c>
      <c r="D9034" s="30">
        <f>"59530832002297"</f>
        <v/>
      </c>
      <c r="E9034" s="30" t="inlineStr">
        <is>
          <t>BRASILMAXI LOGISTICA LTDA</t>
        </is>
      </c>
      <c r="F9034" s="30" t="inlineStr">
        <is>
          <t>2022</t>
        </is>
      </c>
      <c r="G9034" s="40" t="n">
        <v>374151.15</v>
      </c>
    </row>
    <row r="9035" ht="12" customHeight="1">
      <c r="A9035" s="30" t="inlineStr">
        <is>
          <t>ITG</t>
        </is>
      </c>
      <c r="B9035" s="30" t="inlineStr">
        <is>
          <t>Itaguai</t>
        </is>
      </c>
      <c r="C9035" s="30" t="n">
        <v>87318400</v>
      </c>
      <c r="D9035" s="30">
        <f>"59530832002297"</f>
        <v/>
      </c>
      <c r="E9035" s="30" t="inlineStr">
        <is>
          <t>BRASILMAXI LOGISTICA LTDA</t>
        </is>
      </c>
      <c r="F9035" s="30" t="inlineStr">
        <is>
          <t>2023</t>
        </is>
      </c>
      <c r="G9035" s="40" t="n">
        <v>0</v>
      </c>
    </row>
    <row r="9036" ht="12" customHeight="1">
      <c r="A9036" s="30" t="inlineStr">
        <is>
          <t>ITG</t>
        </is>
      </c>
      <c r="B9036" s="30" t="inlineStr">
        <is>
          <t>Itaguai</t>
        </is>
      </c>
      <c r="C9036" s="30" t="n">
        <v>87321177</v>
      </c>
      <c r="D9036" s="30">
        <f>"57906711000228"</f>
        <v/>
      </c>
      <c r="E9036" s="30" t="inlineStr">
        <is>
          <t>TDB TRANSPORTE E DISTRIBUICAO DE BENS LTDA</t>
        </is>
      </c>
      <c r="F9036" s="30" t="inlineStr">
        <is>
          <t>2017</t>
        </is>
      </c>
      <c r="G9036" s="40" t="n">
        <v>76.63</v>
      </c>
    </row>
    <row r="9037" ht="12" customHeight="1">
      <c r="A9037" s="30" t="inlineStr">
        <is>
          <t>ITG</t>
        </is>
      </c>
      <c r="B9037" s="30" t="inlineStr">
        <is>
          <t>Itaguai</t>
        </is>
      </c>
      <c r="C9037" s="30" t="n">
        <v>87321177</v>
      </c>
      <c r="D9037" s="30">
        <f>"57906711000228"</f>
        <v/>
      </c>
      <c r="E9037" s="30" t="inlineStr">
        <is>
          <t>TDB TRANSPORTE E DISTRIBUICAO DE BENS LTDA</t>
        </is>
      </c>
      <c r="F9037" s="30" t="inlineStr">
        <is>
          <t>2018</t>
        </is>
      </c>
      <c r="G9037" s="40" t="n">
        <v>101.04</v>
      </c>
    </row>
    <row r="9038" ht="12" customHeight="1">
      <c r="A9038" s="30" t="inlineStr">
        <is>
          <t>ITG</t>
        </is>
      </c>
      <c r="B9038" s="30" t="inlineStr">
        <is>
          <t>Itaguai</t>
        </is>
      </c>
      <c r="C9038" s="30" t="n">
        <v>87321177</v>
      </c>
      <c r="D9038" s="30">
        <f>"57906711000228"</f>
        <v/>
      </c>
      <c r="E9038" s="30" t="inlineStr">
        <is>
          <t>TDB TRANSPORTE E DISTRIBUICAO DE BENS LTDA</t>
        </is>
      </c>
      <c r="F9038" s="30" t="inlineStr">
        <is>
          <t>2019</t>
        </is>
      </c>
      <c r="G9038" s="40" t="n">
        <v>62.5</v>
      </c>
    </row>
    <row r="9039" ht="12" customHeight="1">
      <c r="A9039" s="30" t="inlineStr">
        <is>
          <t>ITG</t>
        </is>
      </c>
      <c r="B9039" s="30" t="inlineStr">
        <is>
          <t>Itaguai</t>
        </is>
      </c>
      <c r="C9039" s="30" t="n">
        <v>87321177</v>
      </c>
      <c r="D9039" s="30">
        <f>"57906711000228"</f>
        <v/>
      </c>
      <c r="E9039" s="30" t="inlineStr">
        <is>
          <t>TDB TRANSPORTE E DISTRIBUICAO DE BENS LTDA</t>
        </is>
      </c>
      <c r="F9039" s="30" t="inlineStr">
        <is>
          <t>2020</t>
        </is>
      </c>
      <c r="G9039" s="40" t="n">
        <v>59.02</v>
      </c>
    </row>
    <row r="9040" ht="12" customHeight="1">
      <c r="A9040" s="30" t="inlineStr">
        <is>
          <t>ITG</t>
        </is>
      </c>
      <c r="B9040" s="30" t="inlineStr">
        <is>
          <t>Itaguai</t>
        </is>
      </c>
      <c r="C9040" s="30" t="n">
        <v>87321177</v>
      </c>
      <c r="D9040" s="30">
        <f>"57906711000228"</f>
        <v/>
      </c>
      <c r="E9040" s="30" t="inlineStr">
        <is>
          <t>TDB TRANSPORTE E DISTRIBUICAO DE BENS LTDA</t>
        </is>
      </c>
      <c r="F9040" s="30" t="inlineStr">
        <is>
          <t>2021</t>
        </is>
      </c>
      <c r="G9040" s="40" t="n">
        <v>0</v>
      </c>
    </row>
    <row r="9041" ht="12" customHeight="1">
      <c r="A9041" s="30" t="inlineStr">
        <is>
          <t>ITG</t>
        </is>
      </c>
      <c r="B9041" s="30" t="inlineStr">
        <is>
          <t>Itaguai</t>
        </is>
      </c>
      <c r="C9041" s="30" t="n">
        <v>87321177</v>
      </c>
      <c r="D9041" s="30">
        <f>"57906711000228"</f>
        <v/>
      </c>
      <c r="E9041" s="30" t="inlineStr">
        <is>
          <t>TDB TRANSPORTE E DISTRIBUICAO DE BENS LTDA</t>
        </is>
      </c>
      <c r="F9041" s="30" t="inlineStr">
        <is>
          <t>2022</t>
        </is>
      </c>
      <c r="G9041" s="40" t="n">
        <v>0</v>
      </c>
    </row>
    <row r="9042" ht="12" customHeight="1">
      <c r="A9042" s="30" t="inlineStr">
        <is>
          <t>ITG</t>
        </is>
      </c>
      <c r="B9042" s="30" t="inlineStr">
        <is>
          <t>Itaguai</t>
        </is>
      </c>
      <c r="C9042" s="30" t="n">
        <v>87324788</v>
      </c>
      <c r="D9042" s="30">
        <f>"27267181000173"</f>
        <v/>
      </c>
      <c r="E9042" s="30" t="inlineStr">
        <is>
          <t>MERCADO RTJ SOARES EIRELI</t>
        </is>
      </c>
      <c r="F9042" s="30" t="inlineStr">
        <is>
          <t>2017</t>
        </is>
      </c>
      <c r="G9042" s="40" t="n">
        <v>3352751.08</v>
      </c>
    </row>
    <row r="9043" ht="12" customHeight="1">
      <c r="A9043" s="30" t="inlineStr">
        <is>
          <t>ITG</t>
        </is>
      </c>
      <c r="B9043" s="30" t="inlineStr">
        <is>
          <t>Itaguai</t>
        </is>
      </c>
      <c r="C9043" s="30" t="n">
        <v>87324788</v>
      </c>
      <c r="D9043" s="30">
        <f>"27267181000173"</f>
        <v/>
      </c>
      <c r="E9043" s="30" t="inlineStr">
        <is>
          <t>MERCADO RTJ SOARES EIRELI</t>
        </is>
      </c>
      <c r="F9043" s="30" t="inlineStr">
        <is>
          <t>2018</t>
        </is>
      </c>
      <c r="G9043" s="40" t="n">
        <v>5067716.22</v>
      </c>
    </row>
    <row r="9044" ht="12" customHeight="1">
      <c r="A9044" s="30" t="inlineStr">
        <is>
          <t>ITG</t>
        </is>
      </c>
      <c r="B9044" s="30" t="inlineStr">
        <is>
          <t>Itaguai</t>
        </is>
      </c>
      <c r="C9044" s="30" t="n">
        <v>87324788</v>
      </c>
      <c r="D9044" s="30">
        <f>"27267181000173"</f>
        <v/>
      </c>
      <c r="E9044" s="30" t="inlineStr">
        <is>
          <t>MERCADO RTJ SOARES EIRELI</t>
        </is>
      </c>
      <c r="F9044" s="30" t="inlineStr">
        <is>
          <t>2019</t>
        </is>
      </c>
      <c r="G9044" s="40" t="n">
        <v>9730710.83</v>
      </c>
    </row>
    <row r="9045" ht="12" customHeight="1">
      <c r="A9045" s="30" t="inlineStr">
        <is>
          <t>ITG</t>
        </is>
      </c>
      <c r="B9045" s="30" t="inlineStr">
        <is>
          <t>Itaguai</t>
        </is>
      </c>
      <c r="C9045" s="30" t="n">
        <v>87324788</v>
      </c>
      <c r="D9045" s="30">
        <f>"27267181000173"</f>
        <v/>
      </c>
      <c r="E9045" s="30" t="inlineStr">
        <is>
          <t>MERCADO RTJ SOARES EIRELI</t>
        </is>
      </c>
      <c r="F9045" s="30" t="inlineStr">
        <is>
          <t>2020</t>
        </is>
      </c>
      <c r="G9045" s="40" t="n">
        <v>10624541.39</v>
      </c>
    </row>
    <row r="9046" ht="12" customHeight="1">
      <c r="A9046" s="30" t="inlineStr">
        <is>
          <t>ITG</t>
        </is>
      </c>
      <c r="B9046" s="30" t="inlineStr">
        <is>
          <t>Itaguai</t>
        </is>
      </c>
      <c r="C9046" s="30" t="n">
        <v>87324788</v>
      </c>
      <c r="D9046" s="30">
        <f>"27267181000173"</f>
        <v/>
      </c>
      <c r="E9046" s="30" t="inlineStr">
        <is>
          <t>MERCADO RTJ SOARES EIRELI</t>
        </is>
      </c>
      <c r="F9046" s="30" t="inlineStr">
        <is>
          <t>2021</t>
        </is>
      </c>
      <c r="G9046" s="40" t="n">
        <v>9460059.199999999</v>
      </c>
    </row>
    <row r="9047" ht="12" customHeight="1">
      <c r="A9047" s="30" t="inlineStr">
        <is>
          <t>ITG</t>
        </is>
      </c>
      <c r="B9047" s="30" t="inlineStr">
        <is>
          <t>Itaguai</t>
        </is>
      </c>
      <c r="C9047" s="30" t="n">
        <v>87324788</v>
      </c>
      <c r="D9047" s="30">
        <f>"27267181000173"</f>
        <v/>
      </c>
      <c r="E9047" s="30" t="inlineStr">
        <is>
          <t>MERCADO RTJ SOARES EIRELI</t>
        </is>
      </c>
      <c r="F9047" s="30" t="inlineStr">
        <is>
          <t>2022</t>
        </is>
      </c>
      <c r="G9047" s="40" t="n">
        <v>5588821.43</v>
      </c>
    </row>
    <row r="9048" ht="12" customHeight="1">
      <c r="A9048" s="30" t="inlineStr">
        <is>
          <t>ITG</t>
        </is>
      </c>
      <c r="B9048" s="30" t="inlineStr">
        <is>
          <t>Itaguai</t>
        </is>
      </c>
      <c r="C9048" s="30" t="n">
        <v>87324788</v>
      </c>
      <c r="D9048" s="30">
        <f>"27267181000173"</f>
        <v/>
      </c>
      <c r="E9048" s="30" t="inlineStr">
        <is>
          <t>MERCADO RTJ SOARES EIRELI</t>
        </is>
      </c>
      <c r="F9048" s="30" t="inlineStr">
        <is>
          <t>2023</t>
        </is>
      </c>
      <c r="G9048" s="40" t="n">
        <v>4776998.6</v>
      </c>
    </row>
    <row r="9049" ht="12" customHeight="1">
      <c r="A9049" s="30" t="inlineStr">
        <is>
          <t>ITG</t>
        </is>
      </c>
      <c r="B9049" s="30" t="inlineStr">
        <is>
          <t>Itaguai</t>
        </is>
      </c>
      <c r="C9049" s="30" t="n">
        <v>87325415</v>
      </c>
      <c r="D9049" s="30">
        <f>"27276756000114"</f>
        <v/>
      </c>
      <c r="E9049" s="30" t="inlineStr">
        <is>
          <t>QUALITRANS LOGISTICA LTDA EPP</t>
        </is>
      </c>
      <c r="F9049" s="30" t="inlineStr">
        <is>
          <t>2019</t>
        </is>
      </c>
      <c r="G9049" s="40" t="n">
        <v>0</v>
      </c>
    </row>
    <row r="9050" ht="12" customHeight="1">
      <c r="A9050" s="30" t="inlineStr">
        <is>
          <t>ITG</t>
        </is>
      </c>
      <c r="B9050" s="30" t="inlineStr">
        <is>
          <t>Itaguai</t>
        </is>
      </c>
      <c r="C9050" s="30" t="n">
        <v>87325415</v>
      </c>
      <c r="D9050" s="30">
        <f>"27276756000114"</f>
        <v/>
      </c>
      <c r="E9050" s="30" t="inlineStr">
        <is>
          <t>QUALITRANS LOGISTICA LTDA EPP</t>
        </is>
      </c>
      <c r="F9050" s="30" t="inlineStr">
        <is>
          <t>2020</t>
        </is>
      </c>
      <c r="G9050" s="40" t="n">
        <v>0</v>
      </c>
    </row>
    <row r="9051" ht="12" customHeight="1">
      <c r="A9051" s="30" t="inlineStr">
        <is>
          <t>ITG</t>
        </is>
      </c>
      <c r="B9051" s="30" t="inlineStr">
        <is>
          <t>Itaguai</t>
        </is>
      </c>
      <c r="C9051" s="30" t="n">
        <v>87325415</v>
      </c>
      <c r="D9051" s="30">
        <f>"27276756000114"</f>
        <v/>
      </c>
      <c r="E9051" s="30" t="inlineStr">
        <is>
          <t>QUALITRANS LOGISTICA LTDA EPP</t>
        </is>
      </c>
      <c r="F9051" s="30" t="inlineStr">
        <is>
          <t>2021</t>
        </is>
      </c>
      <c r="G9051" s="40" t="n">
        <v>458918.26</v>
      </c>
    </row>
    <row r="9052" ht="12" customHeight="1">
      <c r="A9052" s="30" t="inlineStr">
        <is>
          <t>ITG</t>
        </is>
      </c>
      <c r="B9052" s="30" t="inlineStr">
        <is>
          <t>Itaguai</t>
        </is>
      </c>
      <c r="C9052" s="30" t="n">
        <v>87325415</v>
      </c>
      <c r="D9052" s="30">
        <f>"27276756000114"</f>
        <v/>
      </c>
      <c r="E9052" s="30" t="inlineStr">
        <is>
          <t>QUALITRANS LOGISTICA LTDA EPP</t>
        </is>
      </c>
      <c r="F9052" s="30" t="inlineStr">
        <is>
          <t>2022</t>
        </is>
      </c>
      <c r="G9052" s="40" t="n">
        <v>1167001.58</v>
      </c>
    </row>
    <row r="9053" ht="12" customHeight="1">
      <c r="A9053" s="30" t="inlineStr">
        <is>
          <t>ITG</t>
        </is>
      </c>
      <c r="B9053" s="30" t="inlineStr">
        <is>
          <t>Itaguai</t>
        </is>
      </c>
      <c r="C9053" s="30" t="n">
        <v>87325415</v>
      </c>
      <c r="D9053" s="30">
        <f>"27276756000114"</f>
        <v/>
      </c>
      <c r="E9053" s="30" t="inlineStr">
        <is>
          <t>QUALITRANS LOGISTICA LTDA EPP</t>
        </is>
      </c>
      <c r="F9053" s="30" t="inlineStr">
        <is>
          <t>2023</t>
        </is>
      </c>
      <c r="G9053" s="40" t="n">
        <v>0</v>
      </c>
    </row>
    <row r="9054" ht="12" customHeight="1">
      <c r="A9054" s="30" t="inlineStr">
        <is>
          <t>ITG</t>
        </is>
      </c>
      <c r="B9054" s="30" t="inlineStr">
        <is>
          <t>Itaguai</t>
        </is>
      </c>
      <c r="C9054" s="30" t="n">
        <v>87326543</v>
      </c>
      <c r="D9054" s="30">
        <f>"13214075000117"</f>
        <v/>
      </c>
      <c r="E9054" s="30" t="inlineStr">
        <is>
          <t>PROLOG TRANSPORTES E LOGISTICA LTDA ME</t>
        </is>
      </c>
      <c r="F9054" s="30" t="inlineStr">
        <is>
          <t>2017</t>
        </is>
      </c>
      <c r="G9054" s="40" t="n">
        <v>0</v>
      </c>
    </row>
    <row r="9055" ht="12" customHeight="1">
      <c r="A9055" s="30" t="inlineStr">
        <is>
          <t>ITG</t>
        </is>
      </c>
      <c r="B9055" s="30" t="inlineStr">
        <is>
          <t>Itaguai</t>
        </is>
      </c>
      <c r="C9055" s="30" t="n">
        <v>87326543</v>
      </c>
      <c r="D9055" s="30">
        <f>"13214075000117"</f>
        <v/>
      </c>
      <c r="E9055" s="30" t="inlineStr">
        <is>
          <t>PROLOG TRANSPORTES E LOGISTICA LTDA ME</t>
        </is>
      </c>
      <c r="F9055" s="30" t="inlineStr">
        <is>
          <t>2018</t>
        </is>
      </c>
      <c r="G9055" s="40" t="n">
        <v>0</v>
      </c>
    </row>
    <row r="9056" ht="12" customHeight="1">
      <c r="A9056" s="30" t="inlineStr">
        <is>
          <t>ITG</t>
        </is>
      </c>
      <c r="B9056" s="30" t="inlineStr">
        <is>
          <t>Itaguai</t>
        </is>
      </c>
      <c r="C9056" s="30" t="n">
        <v>87326543</v>
      </c>
      <c r="D9056" s="30">
        <f>"13214075000117"</f>
        <v/>
      </c>
      <c r="E9056" s="30" t="inlineStr">
        <is>
          <t>PROLOG TRANSPORTES E LOGISTICA LTDA ME</t>
        </is>
      </c>
      <c r="F9056" s="30" t="inlineStr">
        <is>
          <t>2019</t>
        </is>
      </c>
      <c r="G9056" s="40" t="n">
        <v>200.63</v>
      </c>
    </row>
    <row r="9057" ht="12" customHeight="1">
      <c r="A9057" s="30" t="inlineStr">
        <is>
          <t>ITG</t>
        </is>
      </c>
      <c r="B9057" s="30" t="inlineStr">
        <is>
          <t>Itaguai</t>
        </is>
      </c>
      <c r="C9057" s="30" t="n">
        <v>87326543</v>
      </c>
      <c r="D9057" s="30">
        <f>"13214075000117"</f>
        <v/>
      </c>
      <c r="E9057" s="30" t="inlineStr">
        <is>
          <t>PROLOG TRANSPORTES E LOGISTICA LTDA ME</t>
        </is>
      </c>
      <c r="F9057" s="30" t="inlineStr">
        <is>
          <t>2020</t>
        </is>
      </c>
      <c r="G9057" s="40" t="n">
        <v>0</v>
      </c>
    </row>
    <row r="9058" ht="12" customHeight="1">
      <c r="A9058" s="30" t="inlineStr">
        <is>
          <t>ITG</t>
        </is>
      </c>
      <c r="B9058" s="30" t="inlineStr">
        <is>
          <t>Itaguai</t>
        </is>
      </c>
      <c r="C9058" s="30" t="n">
        <v>87326543</v>
      </c>
      <c r="D9058" s="30">
        <f>"13214075000117"</f>
        <v/>
      </c>
      <c r="E9058" s="30" t="inlineStr">
        <is>
          <t>PROLOG TRANSPORTES E LOGISTICA LTDA ME</t>
        </is>
      </c>
      <c r="F9058" s="30" t="inlineStr">
        <is>
          <t>2021</t>
        </is>
      </c>
      <c r="G9058" s="40" t="n">
        <v>0</v>
      </c>
    </row>
    <row r="9059" ht="12" customHeight="1">
      <c r="A9059" s="30" t="inlineStr">
        <is>
          <t>ITG</t>
        </is>
      </c>
      <c r="B9059" s="30" t="inlineStr">
        <is>
          <t>Itaguai</t>
        </is>
      </c>
      <c r="C9059" s="30" t="n">
        <v>87327396</v>
      </c>
      <c r="D9059" s="30">
        <f>"22520083000182"</f>
        <v/>
      </c>
      <c r="E9059" s="30" t="inlineStr">
        <is>
          <t>JAM PIERRE DIAS ROSA M E</t>
        </is>
      </c>
      <c r="F9059" s="30" t="inlineStr">
        <is>
          <t>2019</t>
        </is>
      </c>
      <c r="G9059" s="40" t="n">
        <v>0</v>
      </c>
    </row>
    <row r="9060" ht="12" customHeight="1">
      <c r="A9060" s="30" t="inlineStr">
        <is>
          <t>ITG</t>
        </is>
      </c>
      <c r="B9060" s="30" t="inlineStr">
        <is>
          <t>Itaguai</t>
        </is>
      </c>
      <c r="C9060" s="30" t="n">
        <v>87327396</v>
      </c>
      <c r="D9060" s="30">
        <f>"22520083000182"</f>
        <v/>
      </c>
      <c r="E9060" s="30" t="inlineStr">
        <is>
          <t>JAM PIERRE DIAS ROSA M E</t>
        </is>
      </c>
      <c r="F9060" s="30" t="inlineStr">
        <is>
          <t>2020</t>
        </is>
      </c>
      <c r="G9060" s="40" t="n">
        <v>0</v>
      </c>
    </row>
    <row r="9061" ht="12" customHeight="1">
      <c r="A9061" s="30" t="inlineStr">
        <is>
          <t>ITG</t>
        </is>
      </c>
      <c r="B9061" s="30" t="inlineStr">
        <is>
          <t>Itaguai</t>
        </is>
      </c>
      <c r="C9061" s="30" t="n">
        <v>87327396</v>
      </c>
      <c r="D9061" s="30">
        <f>"22520083000182"</f>
        <v/>
      </c>
      <c r="E9061" s="30" t="inlineStr">
        <is>
          <t>JAM PIERRE DIAS ROSA M E</t>
        </is>
      </c>
      <c r="F9061" s="30" t="inlineStr">
        <is>
          <t>2021</t>
        </is>
      </c>
      <c r="G9061" s="40" t="n">
        <v>0</v>
      </c>
    </row>
    <row r="9062" ht="12" customHeight="1">
      <c r="A9062" s="30" t="inlineStr">
        <is>
          <t>ITG</t>
        </is>
      </c>
      <c r="B9062" s="30" t="inlineStr">
        <is>
          <t>Itaguai</t>
        </is>
      </c>
      <c r="C9062" s="30" t="n">
        <v>87327396</v>
      </c>
      <c r="D9062" s="30">
        <f>"22520083000182"</f>
        <v/>
      </c>
      <c r="E9062" s="30" t="inlineStr">
        <is>
          <t>JAM PIERRE DIAS ROSA M E</t>
        </is>
      </c>
      <c r="F9062" s="30" t="inlineStr">
        <is>
          <t>2022</t>
        </is>
      </c>
      <c r="G9062" s="40" t="n">
        <v>0</v>
      </c>
    </row>
    <row r="9063" ht="12" customHeight="1">
      <c r="A9063" s="30" t="inlineStr">
        <is>
          <t>ITG</t>
        </is>
      </c>
      <c r="B9063" s="30" t="inlineStr">
        <is>
          <t>Itaguai</t>
        </is>
      </c>
      <c r="C9063" s="30" t="n">
        <v>87327396</v>
      </c>
      <c r="D9063" s="30">
        <f>"22520083000182"</f>
        <v/>
      </c>
      <c r="E9063" s="30" t="inlineStr">
        <is>
          <t>JAM PIERRE DIAS ROSA M E</t>
        </is>
      </c>
      <c r="F9063" s="30" t="inlineStr">
        <is>
          <t>2023</t>
        </is>
      </c>
      <c r="G9063" s="40" t="n">
        <v>0</v>
      </c>
    </row>
    <row r="9064" ht="12" customHeight="1">
      <c r="A9064" s="30" t="inlineStr">
        <is>
          <t>ITG</t>
        </is>
      </c>
      <c r="B9064" s="30" t="inlineStr">
        <is>
          <t>Itaguai</t>
        </is>
      </c>
      <c r="C9064" s="30" t="n">
        <v>87327418</v>
      </c>
      <c r="D9064" s="30">
        <f>"14373116000180"</f>
        <v/>
      </c>
      <c r="E9064" s="30" t="inlineStr">
        <is>
          <t>TOP MASTER TELECOM LTDA ME</t>
        </is>
      </c>
      <c r="F9064" s="30" t="inlineStr">
        <is>
          <t>2017</t>
        </is>
      </c>
      <c r="G9064" s="40" t="n">
        <v>0</v>
      </c>
    </row>
    <row r="9065" ht="12" customHeight="1">
      <c r="A9065" s="30" t="inlineStr">
        <is>
          <t>ITG</t>
        </is>
      </c>
      <c r="B9065" s="30" t="inlineStr">
        <is>
          <t>Itaguai</t>
        </is>
      </c>
      <c r="C9065" s="30" t="n">
        <v>87327418</v>
      </c>
      <c r="D9065" s="30">
        <f>"14373116000180"</f>
        <v/>
      </c>
      <c r="E9065" s="30" t="inlineStr">
        <is>
          <t>TOP MASTER TELECOM LTDA ME</t>
        </is>
      </c>
      <c r="F9065" s="30" t="inlineStr">
        <is>
          <t>2018</t>
        </is>
      </c>
      <c r="G9065" s="40" t="n">
        <v>0</v>
      </c>
    </row>
    <row r="9066" ht="12" customHeight="1">
      <c r="A9066" s="30" t="inlineStr">
        <is>
          <t>ITG</t>
        </is>
      </c>
      <c r="B9066" s="30" t="inlineStr">
        <is>
          <t>Itaguai</t>
        </is>
      </c>
      <c r="C9066" s="30" t="n">
        <v>87327418</v>
      </c>
      <c r="D9066" s="30">
        <f>"14373116000180"</f>
        <v/>
      </c>
      <c r="E9066" s="30" t="inlineStr">
        <is>
          <t>TOP MASTER TELECOM LTDA ME</t>
        </is>
      </c>
      <c r="F9066" s="30" t="inlineStr">
        <is>
          <t>2019</t>
        </is>
      </c>
      <c r="G9066" s="40" t="n">
        <v>0</v>
      </c>
    </row>
    <row r="9067" ht="12" customHeight="1">
      <c r="A9067" s="30" t="inlineStr">
        <is>
          <t>ITG</t>
        </is>
      </c>
      <c r="B9067" s="30" t="inlineStr">
        <is>
          <t>Itaguai</t>
        </is>
      </c>
      <c r="C9067" s="30" t="n">
        <v>87327710</v>
      </c>
      <c r="D9067" s="30">
        <f>"27330290000198"</f>
        <v/>
      </c>
      <c r="E9067" s="30" t="inlineStr">
        <is>
          <t>MARIA DE FATIMA COMERCIO DE MINERAIS E TRANSPORTES EIRELI ME</t>
        </is>
      </c>
      <c r="F9067" s="30" t="inlineStr">
        <is>
          <t>2021</t>
        </is>
      </c>
      <c r="G9067" s="40" t="n">
        <v>0</v>
      </c>
    </row>
    <row r="9068" ht="12" customHeight="1">
      <c r="A9068" s="30" t="inlineStr">
        <is>
          <t>ITG</t>
        </is>
      </c>
      <c r="B9068" s="30" t="inlineStr">
        <is>
          <t>Itaguai</t>
        </is>
      </c>
      <c r="C9068" s="30" t="n">
        <v>87327710</v>
      </c>
      <c r="D9068" s="30">
        <f>"27330290000198"</f>
        <v/>
      </c>
      <c r="E9068" s="30" t="inlineStr">
        <is>
          <t>MARIA DE FATIMA COMERCIO DE MINERAIS E TRANSPORTES EIRELI ME</t>
        </is>
      </c>
      <c r="F9068" s="30" t="inlineStr">
        <is>
          <t>2022</t>
        </is>
      </c>
      <c r="G9068" s="40" t="n">
        <v>0</v>
      </c>
    </row>
    <row r="9069" ht="12" customHeight="1">
      <c r="A9069" s="30" t="inlineStr">
        <is>
          <t>ITG</t>
        </is>
      </c>
      <c r="B9069" s="30" t="inlineStr">
        <is>
          <t>Itaguai</t>
        </is>
      </c>
      <c r="C9069" s="30" t="n">
        <v>87327710</v>
      </c>
      <c r="D9069" s="30">
        <f>"27330290000198"</f>
        <v/>
      </c>
      <c r="E9069" s="30" t="inlineStr">
        <is>
          <t>MARIA DE FATIMA COMERCIO DE MINERAIS E TRANSPORTES EIRELI ME</t>
        </is>
      </c>
      <c r="F9069" s="30" t="inlineStr">
        <is>
          <t>2023</t>
        </is>
      </c>
      <c r="G9069" s="40" t="n">
        <v>15681.25</v>
      </c>
    </row>
    <row r="9070" ht="12" customHeight="1">
      <c r="A9070" s="30" t="inlineStr">
        <is>
          <t>ITG</t>
        </is>
      </c>
      <c r="B9070" s="30" t="inlineStr">
        <is>
          <t>Itaguai</t>
        </is>
      </c>
      <c r="C9070" s="30" t="n">
        <v>87331059</v>
      </c>
      <c r="D9070" s="30">
        <f>"27310529000168"</f>
        <v/>
      </c>
      <c r="E9070" s="30" t="inlineStr">
        <is>
          <t>SH TRANSPORTE E LOGISTICA EIRELI ME</t>
        </is>
      </c>
      <c r="F9070" s="30" t="inlineStr">
        <is>
          <t>2021</t>
        </is>
      </c>
      <c r="G9070" s="40" t="n">
        <v>0</v>
      </c>
    </row>
    <row r="9071" ht="12" customHeight="1">
      <c r="A9071" s="30" t="inlineStr">
        <is>
          <t>ITG</t>
        </is>
      </c>
      <c r="B9071" s="30" t="inlineStr">
        <is>
          <t>Itaguai</t>
        </is>
      </c>
      <c r="C9071" s="30" t="n">
        <v>87331059</v>
      </c>
      <c r="D9071" s="30">
        <f>"27310529000168"</f>
        <v/>
      </c>
      <c r="E9071" s="30" t="inlineStr">
        <is>
          <t>SH TRANSPORTE E LOGISTICA EIRELI ME</t>
        </is>
      </c>
      <c r="F9071" s="30" t="inlineStr">
        <is>
          <t>2022</t>
        </is>
      </c>
      <c r="G9071" s="40" t="n">
        <v>0</v>
      </c>
    </row>
    <row r="9072" ht="12" customHeight="1">
      <c r="A9072" s="30" t="inlineStr">
        <is>
          <t>ITG</t>
        </is>
      </c>
      <c r="B9072" s="30" t="inlineStr">
        <is>
          <t>Itaguai</t>
        </is>
      </c>
      <c r="C9072" s="30" t="n">
        <v>87331059</v>
      </c>
      <c r="D9072" s="30">
        <f>"27310529000168"</f>
        <v/>
      </c>
      <c r="E9072" s="30" t="inlineStr">
        <is>
          <t>SH TRANSPORTE E LOGISTICA EIRELI ME</t>
        </is>
      </c>
      <c r="F9072" s="30" t="inlineStr">
        <is>
          <t>2023</t>
        </is>
      </c>
      <c r="G9072" s="40" t="n">
        <v>6003.6</v>
      </c>
    </row>
    <row r="9073" ht="12" customHeight="1">
      <c r="A9073" s="30" t="inlineStr">
        <is>
          <t>ITG</t>
        </is>
      </c>
      <c r="B9073" s="30" t="inlineStr">
        <is>
          <t>Itaguai</t>
        </is>
      </c>
      <c r="C9073" s="30" t="n">
        <v>87331474</v>
      </c>
      <c r="D9073" s="30">
        <f>"11512269000254"</f>
        <v/>
      </c>
      <c r="E9073" s="30" t="inlineStr">
        <is>
          <t>CMC TRANSPORTES E LOGISTICA LTDA</t>
        </is>
      </c>
      <c r="F9073" s="30" t="inlineStr">
        <is>
          <t>2017</t>
        </is>
      </c>
      <c r="G9073" s="40" t="n">
        <v>1980514.71</v>
      </c>
    </row>
    <row r="9074" ht="12" customHeight="1">
      <c r="A9074" s="30" t="inlineStr">
        <is>
          <t>ITG</t>
        </is>
      </c>
      <c r="B9074" s="30" t="inlineStr">
        <is>
          <t>Itaguai</t>
        </is>
      </c>
      <c r="C9074" s="30" t="n">
        <v>87331474</v>
      </c>
      <c r="D9074" s="30">
        <f>"11512269000254"</f>
        <v/>
      </c>
      <c r="E9074" s="30" t="inlineStr">
        <is>
          <t>CMC TRANSPORTES E LOGISTICA LTDA</t>
        </is>
      </c>
      <c r="F9074" s="30" t="inlineStr">
        <is>
          <t>2018</t>
        </is>
      </c>
      <c r="G9074" s="40" t="n">
        <v>1383263.82</v>
      </c>
    </row>
    <row r="9075" ht="12" customHeight="1">
      <c r="A9075" s="30" t="inlineStr">
        <is>
          <t>ITG</t>
        </is>
      </c>
      <c r="B9075" s="30" t="inlineStr">
        <is>
          <t>Itaguai</t>
        </is>
      </c>
      <c r="C9075" s="30" t="n">
        <v>87331474</v>
      </c>
      <c r="D9075" s="30">
        <f>"11512269000254"</f>
        <v/>
      </c>
      <c r="E9075" s="30" t="inlineStr">
        <is>
          <t>CMC TRANSPORTES E LOGISTICA LTDA</t>
        </is>
      </c>
      <c r="F9075" s="30" t="inlineStr">
        <is>
          <t>2019</t>
        </is>
      </c>
      <c r="G9075" s="40" t="n">
        <v>8092.42</v>
      </c>
    </row>
    <row r="9076" ht="12" customHeight="1">
      <c r="A9076" s="30" t="inlineStr">
        <is>
          <t>ITG</t>
        </is>
      </c>
      <c r="B9076" s="30" t="inlineStr">
        <is>
          <t>Itaguai</t>
        </is>
      </c>
      <c r="C9076" s="30" t="n">
        <v>87331474</v>
      </c>
      <c r="D9076" s="30">
        <f>"11512269000254"</f>
        <v/>
      </c>
      <c r="E9076" s="30" t="inlineStr">
        <is>
          <t>CMC TRANSPORTES E LOGISTICA LTDA</t>
        </is>
      </c>
      <c r="F9076" s="30" t="inlineStr">
        <is>
          <t>2020</t>
        </is>
      </c>
      <c r="G9076" s="40" t="n">
        <v>0</v>
      </c>
    </row>
    <row r="9077" ht="12" customHeight="1">
      <c r="A9077" s="30" t="inlineStr">
        <is>
          <t>ITG</t>
        </is>
      </c>
      <c r="B9077" s="30" t="inlineStr">
        <is>
          <t>Itaguai</t>
        </is>
      </c>
      <c r="C9077" s="30" t="n">
        <v>87331474</v>
      </c>
      <c r="D9077" s="30">
        <f>"11512269000254"</f>
        <v/>
      </c>
      <c r="E9077" s="30" t="inlineStr">
        <is>
          <t>CMC TRANSPORTES E LOGISTICA LTDA</t>
        </is>
      </c>
      <c r="F9077" s="30" t="inlineStr">
        <is>
          <t>2021</t>
        </is>
      </c>
      <c r="G9077" s="40" t="n">
        <v>0</v>
      </c>
    </row>
    <row r="9078" ht="12" customHeight="1">
      <c r="A9078" s="30" t="inlineStr">
        <is>
          <t>ITG</t>
        </is>
      </c>
      <c r="B9078" s="30" t="inlineStr">
        <is>
          <t>Itaguai</t>
        </is>
      </c>
      <c r="C9078" s="30" t="n">
        <v>87335917</v>
      </c>
      <c r="D9078" s="30">
        <f>"27422548000186"</f>
        <v/>
      </c>
      <c r="E9078" s="30" t="inlineStr">
        <is>
          <t>ARYCOM TECNOLOGIA E COMUNICACOES LTDA - EPP</t>
        </is>
      </c>
      <c r="F9078" s="30" t="inlineStr">
        <is>
          <t>2021</t>
        </is>
      </c>
      <c r="G9078" s="40" t="n">
        <v>0</v>
      </c>
    </row>
    <row r="9079" ht="12" customHeight="1">
      <c r="A9079" s="30" t="inlineStr">
        <is>
          <t>ITG</t>
        </is>
      </c>
      <c r="B9079" s="30" t="inlineStr">
        <is>
          <t>Itaguai</t>
        </is>
      </c>
      <c r="C9079" s="30" t="n">
        <v>87335917</v>
      </c>
      <c r="D9079" s="30">
        <f>"27422548000186"</f>
        <v/>
      </c>
      <c r="E9079" s="30" t="inlineStr">
        <is>
          <t>ARYCOM TECNOLOGIA E COMUNICACOES LTDA - EPP</t>
        </is>
      </c>
      <c r="F9079" s="30" t="inlineStr">
        <is>
          <t>2022</t>
        </is>
      </c>
      <c r="G9079" s="40" t="n">
        <v>0</v>
      </c>
    </row>
    <row r="9080" ht="12" customHeight="1">
      <c r="A9080" s="30" t="inlineStr">
        <is>
          <t>ITG</t>
        </is>
      </c>
      <c r="B9080" s="30" t="inlineStr">
        <is>
          <t>Itaguai</t>
        </is>
      </c>
      <c r="C9080" s="30" t="n">
        <v>87335917</v>
      </c>
      <c r="D9080" s="30">
        <f>"27422548000186"</f>
        <v/>
      </c>
      <c r="E9080" s="30" t="inlineStr">
        <is>
          <t>ARYCOM TECNOLOGIA E COMUNICACOES LTDA - EPP</t>
        </is>
      </c>
      <c r="F9080" s="30" t="inlineStr">
        <is>
          <t>2023</t>
        </is>
      </c>
      <c r="G9080" s="40" t="n">
        <v>1421.05</v>
      </c>
    </row>
    <row r="9081" ht="12" customHeight="1">
      <c r="A9081" s="30" t="inlineStr">
        <is>
          <t>ITG</t>
        </is>
      </c>
      <c r="B9081" s="30" t="inlineStr">
        <is>
          <t>Itaguai</t>
        </is>
      </c>
      <c r="C9081" s="30" t="n">
        <v>87335950</v>
      </c>
      <c r="D9081" s="30">
        <f>"08686200000151"</f>
        <v/>
      </c>
      <c r="E9081" s="30" t="inlineStr">
        <is>
          <t>ASTM TRANSPORTES E LOCACAO DE VEICULOS LTDA</t>
        </is>
      </c>
      <c r="F9081" s="30" t="inlineStr">
        <is>
          <t>2020</t>
        </is>
      </c>
      <c r="G9081" s="40" t="n">
        <v>0</v>
      </c>
    </row>
    <row r="9082" ht="12" customHeight="1">
      <c r="A9082" s="30" t="inlineStr">
        <is>
          <t>ITG</t>
        </is>
      </c>
      <c r="B9082" s="30" t="inlineStr">
        <is>
          <t>Itaguai</t>
        </is>
      </c>
      <c r="C9082" s="30" t="n">
        <v>87335950</v>
      </c>
      <c r="D9082" s="30">
        <f>"08686200000151"</f>
        <v/>
      </c>
      <c r="E9082" s="30" t="inlineStr">
        <is>
          <t>ASTM TRANSPORTES E LOCACAO DE VEICULOS LTDA</t>
        </is>
      </c>
      <c r="F9082" s="30" t="inlineStr">
        <is>
          <t>2021</t>
        </is>
      </c>
      <c r="G9082" s="40" t="n">
        <v>0</v>
      </c>
    </row>
    <row r="9083" ht="12" customHeight="1">
      <c r="A9083" s="30" t="inlineStr">
        <is>
          <t>ITG</t>
        </is>
      </c>
      <c r="B9083" s="30" t="inlineStr">
        <is>
          <t>Itaguai</t>
        </is>
      </c>
      <c r="C9083" s="30" t="n">
        <v>87335950</v>
      </c>
      <c r="D9083" s="30">
        <f>"08686200000151"</f>
        <v/>
      </c>
      <c r="E9083" s="30" t="inlineStr">
        <is>
          <t>ASTM TRANSPORTES E LOCACAO DE VEICULOS LTDA</t>
        </is>
      </c>
      <c r="F9083" s="30" t="inlineStr">
        <is>
          <t>2022</t>
        </is>
      </c>
      <c r="G9083" s="40" t="n">
        <v>345</v>
      </c>
    </row>
    <row r="9084" ht="12" customHeight="1">
      <c r="A9084" s="30" t="inlineStr">
        <is>
          <t>ITG</t>
        </is>
      </c>
      <c r="B9084" s="30" t="inlineStr">
        <is>
          <t>Itaguai</t>
        </is>
      </c>
      <c r="C9084" s="30" t="n">
        <v>87335950</v>
      </c>
      <c r="D9084" s="30">
        <f>"08686200000151"</f>
        <v/>
      </c>
      <c r="E9084" s="30" t="inlineStr">
        <is>
          <t>ASTM TRANSPORTES E LOCACAO DE VEICULOS LTDA</t>
        </is>
      </c>
      <c r="F9084" s="30" t="inlineStr">
        <is>
          <t>2023</t>
        </is>
      </c>
      <c r="G9084" s="40" t="n">
        <v>0</v>
      </c>
    </row>
    <row r="9085" ht="12" customHeight="1">
      <c r="A9085" s="30" t="inlineStr">
        <is>
          <t>ITG</t>
        </is>
      </c>
      <c r="B9085" s="30" t="inlineStr">
        <is>
          <t>Itaguai</t>
        </is>
      </c>
      <c r="C9085" s="30" t="n">
        <v>87338568</v>
      </c>
      <c r="D9085" s="30">
        <f>"26996869000121"</f>
        <v/>
      </c>
      <c r="E9085" s="30" t="inlineStr">
        <is>
          <t>SANTOS SERVICOS DE INTERNET LTDA ME</t>
        </is>
      </c>
      <c r="F9085" s="30" t="inlineStr">
        <is>
          <t>2017</t>
        </is>
      </c>
      <c r="G9085" s="40" t="n">
        <v>0</v>
      </c>
    </row>
    <row r="9086" ht="12" customHeight="1">
      <c r="A9086" s="30" t="inlineStr">
        <is>
          <t>ITG</t>
        </is>
      </c>
      <c r="B9086" s="30" t="inlineStr">
        <is>
          <t>Itaguai</t>
        </is>
      </c>
      <c r="C9086" s="30" t="n">
        <v>87338568</v>
      </c>
      <c r="D9086" s="30">
        <f>"26996869000121"</f>
        <v/>
      </c>
      <c r="E9086" s="30" t="inlineStr">
        <is>
          <t>SANTOS SERVICOS DE INTERNET LTDA ME</t>
        </is>
      </c>
      <c r="F9086" s="30" t="inlineStr">
        <is>
          <t>2018</t>
        </is>
      </c>
      <c r="G9086" s="40" t="n">
        <v>0</v>
      </c>
    </row>
    <row r="9087" ht="12" customHeight="1">
      <c r="A9087" s="30" t="inlineStr">
        <is>
          <t>ITG</t>
        </is>
      </c>
      <c r="B9087" s="30" t="inlineStr">
        <is>
          <t>Itaguai</t>
        </is>
      </c>
      <c r="C9087" s="30" t="n">
        <v>87338568</v>
      </c>
      <c r="D9087" s="30">
        <f>"26996869000121"</f>
        <v/>
      </c>
      <c r="E9087" s="30" t="inlineStr">
        <is>
          <t>SANTOS SERVICOS DE INTERNET LTDA ME</t>
        </is>
      </c>
      <c r="F9087" s="30" t="inlineStr">
        <is>
          <t>2019</t>
        </is>
      </c>
      <c r="G9087" s="40" t="n">
        <v>0</v>
      </c>
    </row>
    <row r="9088" ht="12" customHeight="1">
      <c r="A9088" s="30" t="inlineStr">
        <is>
          <t>ITG</t>
        </is>
      </c>
      <c r="B9088" s="30" t="inlineStr">
        <is>
          <t>Itaguai</t>
        </is>
      </c>
      <c r="C9088" s="30" t="n">
        <v>87339998</v>
      </c>
      <c r="D9088" s="30">
        <f>"19328249000310"</f>
        <v/>
      </c>
      <c r="E9088" s="30" t="inlineStr">
        <is>
          <t>RM TRANSPORTES DE CARGAS E SERVICOS LTDA - EPP</t>
        </is>
      </c>
      <c r="F9088" s="30" t="inlineStr">
        <is>
          <t>2020</t>
        </is>
      </c>
      <c r="G9088" s="40" t="n">
        <v>0</v>
      </c>
    </row>
    <row r="9089" ht="12" customHeight="1">
      <c r="A9089" s="30" t="inlineStr">
        <is>
          <t>ITG</t>
        </is>
      </c>
      <c r="B9089" s="30" t="inlineStr">
        <is>
          <t>Itaguai</t>
        </is>
      </c>
      <c r="C9089" s="30" t="n">
        <v>87339998</v>
      </c>
      <c r="D9089" s="30">
        <f>"19328249000310"</f>
        <v/>
      </c>
      <c r="E9089" s="30" t="inlineStr">
        <is>
          <t>RM TRANSPORTES DE CARGAS E SERVICOS LTDA - EPP</t>
        </is>
      </c>
      <c r="F9089" s="30" t="inlineStr">
        <is>
          <t>2021</t>
        </is>
      </c>
      <c r="G9089" s="40" t="n">
        <v>0</v>
      </c>
    </row>
    <row r="9090" ht="12" customHeight="1">
      <c r="A9090" s="30" t="inlineStr">
        <is>
          <t>ITG</t>
        </is>
      </c>
      <c r="B9090" s="30" t="inlineStr">
        <is>
          <t>Itaguai</t>
        </is>
      </c>
      <c r="C9090" s="30" t="n">
        <v>87339998</v>
      </c>
      <c r="D9090" s="30">
        <f>"19328249000310"</f>
        <v/>
      </c>
      <c r="E9090" s="30" t="inlineStr">
        <is>
          <t>RM TRANSPORTES DE CARGAS E SERVICOS LTDA - EPP</t>
        </is>
      </c>
      <c r="F9090" s="30" t="inlineStr">
        <is>
          <t>2022</t>
        </is>
      </c>
      <c r="G9090" s="40" t="n">
        <v>378.44</v>
      </c>
    </row>
    <row r="9091" ht="12" customHeight="1">
      <c r="A9091" s="30" t="inlineStr">
        <is>
          <t>ITG</t>
        </is>
      </c>
      <c r="B9091" s="30" t="inlineStr">
        <is>
          <t>Itaguai</t>
        </is>
      </c>
      <c r="C9091" s="30" t="n">
        <v>87339998</v>
      </c>
      <c r="D9091" s="30">
        <f>"19328249000310"</f>
        <v/>
      </c>
      <c r="E9091" s="30" t="inlineStr">
        <is>
          <t>RM TRANSPORTES DE CARGAS E SERVICOS LTDA - EPP</t>
        </is>
      </c>
      <c r="F9091" s="30" t="inlineStr">
        <is>
          <t>2023</t>
        </is>
      </c>
      <c r="G9091" s="40" t="n">
        <v>0</v>
      </c>
    </row>
    <row r="9092" ht="12" customHeight="1">
      <c r="A9092" s="30" t="inlineStr">
        <is>
          <t>ITG</t>
        </is>
      </c>
      <c r="B9092" s="30" t="inlineStr">
        <is>
          <t>Itaguai</t>
        </is>
      </c>
      <c r="C9092" s="30" t="n">
        <v>87342310</v>
      </c>
      <c r="D9092" s="30">
        <f>"27499456000102"</f>
        <v/>
      </c>
      <c r="E9092" s="30" t="inlineStr">
        <is>
          <t>LLF TRANSPORTE E LOGISTICA EIRELI</t>
        </is>
      </c>
      <c r="F9092" s="30" t="inlineStr">
        <is>
          <t>2021</t>
        </is>
      </c>
      <c r="G9092" s="40" t="n">
        <v>0</v>
      </c>
    </row>
    <row r="9093" ht="12" customHeight="1">
      <c r="A9093" s="30" t="inlineStr">
        <is>
          <t>ITG</t>
        </is>
      </c>
      <c r="B9093" s="30" t="inlineStr">
        <is>
          <t>Itaguai</t>
        </is>
      </c>
      <c r="C9093" s="30" t="n">
        <v>87342310</v>
      </c>
      <c r="D9093" s="30">
        <f>"27499456000102"</f>
        <v/>
      </c>
      <c r="E9093" s="30" t="inlineStr">
        <is>
          <t>LLF TRANSPORTE E LOGISTICA EIRELI</t>
        </is>
      </c>
      <c r="F9093" s="30" t="inlineStr">
        <is>
          <t>2022</t>
        </is>
      </c>
      <c r="G9093" s="40" t="n">
        <v>0</v>
      </c>
    </row>
    <row r="9094" ht="12" customHeight="1">
      <c r="A9094" s="30" t="inlineStr">
        <is>
          <t>ITG</t>
        </is>
      </c>
      <c r="B9094" s="30" t="inlineStr">
        <is>
          <t>Itaguai</t>
        </is>
      </c>
      <c r="C9094" s="30" t="n">
        <v>87342310</v>
      </c>
      <c r="D9094" s="30">
        <f>"27499456000102"</f>
        <v/>
      </c>
      <c r="E9094" s="30" t="inlineStr">
        <is>
          <t>LLF TRANSPORTE E LOGISTICA EIRELI</t>
        </is>
      </c>
      <c r="F9094" s="30" t="inlineStr">
        <is>
          <t>2023</t>
        </is>
      </c>
      <c r="G9094" s="40" t="n">
        <v>9750</v>
      </c>
    </row>
    <row r="9095" ht="12" customHeight="1">
      <c r="A9095" s="30" t="inlineStr">
        <is>
          <t>ITG</t>
        </is>
      </c>
      <c r="B9095" s="30" t="inlineStr">
        <is>
          <t>Itaguai</t>
        </is>
      </c>
      <c r="C9095" s="30" t="n">
        <v>87344959</v>
      </c>
      <c r="D9095" s="30">
        <f>"27541534000181"</f>
        <v/>
      </c>
      <c r="E9095" s="30" t="inlineStr">
        <is>
          <t>OTICA NOVA VISÃO DE ITAGUAI LTDA</t>
        </is>
      </c>
      <c r="F9095" s="30" t="inlineStr">
        <is>
          <t>2018</t>
        </is>
      </c>
      <c r="G9095" s="40" t="n">
        <v>0</v>
      </c>
    </row>
    <row r="9096" ht="12" customHeight="1">
      <c r="A9096" s="30" t="inlineStr">
        <is>
          <t>ITG</t>
        </is>
      </c>
      <c r="B9096" s="30" t="inlineStr">
        <is>
          <t>Itaguai</t>
        </is>
      </c>
      <c r="C9096" s="30" t="n">
        <v>87344959</v>
      </c>
      <c r="D9096" s="30">
        <f>"27541534000181"</f>
        <v/>
      </c>
      <c r="E9096" s="30" t="inlineStr">
        <is>
          <t>OTICA NOVA VISÃO DE ITAGUAI LTDA</t>
        </is>
      </c>
      <c r="F9096" s="30" t="inlineStr">
        <is>
          <t>2019</t>
        </is>
      </c>
      <c r="G9096" s="40" t="n">
        <v>0</v>
      </c>
    </row>
    <row r="9097" ht="12" customHeight="1">
      <c r="A9097" s="30" t="inlineStr">
        <is>
          <t>ITG</t>
        </is>
      </c>
      <c r="B9097" s="30" t="inlineStr">
        <is>
          <t>Itaguai</t>
        </is>
      </c>
      <c r="C9097" s="30" t="n">
        <v>87344959</v>
      </c>
      <c r="D9097" s="30">
        <f>"27541534000181"</f>
        <v/>
      </c>
      <c r="E9097" s="30" t="inlineStr">
        <is>
          <t>OTICA NOVA VISÃO DE ITAGUAI LTDA</t>
        </is>
      </c>
      <c r="F9097" s="30" t="inlineStr">
        <is>
          <t>2020</t>
        </is>
      </c>
      <c r="G9097" s="40" t="n">
        <v>1393255.04</v>
      </c>
    </row>
    <row r="9098" ht="12" customHeight="1">
      <c r="A9098" s="30" t="inlineStr">
        <is>
          <t>ITG</t>
        </is>
      </c>
      <c r="B9098" s="30" t="inlineStr">
        <is>
          <t>Itaguai</t>
        </is>
      </c>
      <c r="C9098" s="30" t="n">
        <v>87344959</v>
      </c>
      <c r="D9098" s="30">
        <f>"27541534000181"</f>
        <v/>
      </c>
      <c r="E9098" s="30" t="inlineStr">
        <is>
          <t>OTICA NOVA VISÃO DE ITAGUAI LTDA</t>
        </is>
      </c>
      <c r="F9098" s="30" t="inlineStr">
        <is>
          <t>2021</t>
        </is>
      </c>
      <c r="G9098" s="40" t="n">
        <v>1603780.7</v>
      </c>
    </row>
    <row r="9099" ht="12" customHeight="1">
      <c r="A9099" s="30" t="inlineStr">
        <is>
          <t>ITG</t>
        </is>
      </c>
      <c r="B9099" s="30" t="inlineStr">
        <is>
          <t>Itaguai</t>
        </is>
      </c>
      <c r="C9099" s="30" t="n">
        <v>87344959</v>
      </c>
      <c r="D9099" s="30">
        <f>"27541534000181"</f>
        <v/>
      </c>
      <c r="E9099" s="30" t="inlineStr">
        <is>
          <t>OTICA NOVA VISÃO DE ITAGUAI LTDA</t>
        </is>
      </c>
      <c r="F9099" s="30" t="inlineStr">
        <is>
          <t>2022</t>
        </is>
      </c>
      <c r="G9099" s="40" t="n">
        <v>1866693.95</v>
      </c>
    </row>
    <row r="9100" ht="12" customHeight="1">
      <c r="A9100" s="30" t="inlineStr">
        <is>
          <t>ITG</t>
        </is>
      </c>
      <c r="B9100" s="30" t="inlineStr">
        <is>
          <t>Itaguai</t>
        </is>
      </c>
      <c r="C9100" s="30" t="n">
        <v>87344959</v>
      </c>
      <c r="D9100" s="30">
        <f>"27541534000181"</f>
        <v/>
      </c>
      <c r="E9100" s="30" t="inlineStr">
        <is>
          <t>OTICA NOVA VISÃO DE ITAGUAI LTDA</t>
        </is>
      </c>
      <c r="F9100" s="30" t="inlineStr">
        <is>
          <t>2023</t>
        </is>
      </c>
      <c r="G9100" s="40" t="n">
        <v>1571358.95</v>
      </c>
    </row>
    <row r="9101" ht="12" customHeight="1">
      <c r="A9101" s="30" t="inlineStr">
        <is>
          <t>ITG</t>
        </is>
      </c>
      <c r="B9101" s="30" t="inlineStr">
        <is>
          <t>Itaguai</t>
        </is>
      </c>
      <c r="C9101" s="30" t="n">
        <v>87352323</v>
      </c>
      <c r="D9101" s="30">
        <f>"27456507000100"</f>
        <v/>
      </c>
      <c r="E9101" s="30" t="inlineStr">
        <is>
          <t>HIPER GOURMET LTDA ME</t>
        </is>
      </c>
      <c r="F9101" s="30" t="inlineStr">
        <is>
          <t>2017</t>
        </is>
      </c>
      <c r="G9101" s="40" t="n">
        <v>0</v>
      </c>
    </row>
    <row r="9102" ht="12" customHeight="1">
      <c r="A9102" s="30" t="inlineStr">
        <is>
          <t>ITG</t>
        </is>
      </c>
      <c r="B9102" s="30" t="inlineStr">
        <is>
          <t>Itaguai</t>
        </is>
      </c>
      <c r="C9102" s="30" t="n">
        <v>87352323</v>
      </c>
      <c r="D9102" s="30">
        <f>"27456507000100"</f>
        <v/>
      </c>
      <c r="E9102" s="30" t="inlineStr">
        <is>
          <t>HIPER GOURMET LTDA ME</t>
        </is>
      </c>
      <c r="F9102" s="30" t="inlineStr">
        <is>
          <t>2018</t>
        </is>
      </c>
      <c r="G9102" s="40" t="n">
        <v>0</v>
      </c>
    </row>
    <row r="9103" ht="12" customHeight="1">
      <c r="A9103" s="30" t="inlineStr">
        <is>
          <t>ITG</t>
        </is>
      </c>
      <c r="B9103" s="30" t="inlineStr">
        <is>
          <t>Itaguai</t>
        </is>
      </c>
      <c r="C9103" s="30" t="n">
        <v>87352323</v>
      </c>
      <c r="D9103" s="30">
        <f>"27456507000100"</f>
        <v/>
      </c>
      <c r="E9103" s="30" t="inlineStr">
        <is>
          <t>HIPER GOURMET LTDA ME</t>
        </is>
      </c>
      <c r="F9103" s="30" t="inlineStr">
        <is>
          <t>2019</t>
        </is>
      </c>
      <c r="G9103" s="40" t="n">
        <v>0</v>
      </c>
    </row>
    <row r="9104" ht="12" customHeight="1">
      <c r="A9104" s="30" t="inlineStr">
        <is>
          <t>ITG</t>
        </is>
      </c>
      <c r="B9104" s="30" t="inlineStr">
        <is>
          <t>Itaguai</t>
        </is>
      </c>
      <c r="C9104" s="30" t="n">
        <v>87354741</v>
      </c>
      <c r="D9104" s="30">
        <f>"89823918003755"</f>
        <v/>
      </c>
      <c r="E9104" s="30" t="inlineStr">
        <is>
          <t>TRANSPORTES TRANSLOVATO LTDA</t>
        </is>
      </c>
      <c r="F9104" s="30" t="inlineStr">
        <is>
          <t>2017</t>
        </is>
      </c>
      <c r="G9104" s="40" t="n">
        <v>93.59</v>
      </c>
    </row>
    <row r="9105" ht="12" customHeight="1">
      <c r="A9105" s="30" t="inlineStr">
        <is>
          <t>ITG</t>
        </is>
      </c>
      <c r="B9105" s="30" t="inlineStr">
        <is>
          <t>Itaguai</t>
        </is>
      </c>
      <c r="C9105" s="30" t="n">
        <v>87354741</v>
      </c>
      <c r="D9105" s="30">
        <f>"89823918003755"</f>
        <v/>
      </c>
      <c r="E9105" s="30" t="inlineStr">
        <is>
          <t>TRANSPORTES TRANSLOVATO LTDA</t>
        </is>
      </c>
      <c r="F9105" s="30" t="inlineStr">
        <is>
          <t>2018</t>
        </is>
      </c>
      <c r="G9105" s="40" t="n">
        <v>305.6</v>
      </c>
    </row>
    <row r="9106" ht="12" customHeight="1">
      <c r="A9106" s="30" t="inlineStr">
        <is>
          <t>ITG</t>
        </is>
      </c>
      <c r="B9106" s="30" t="inlineStr">
        <is>
          <t>Itaguai</t>
        </is>
      </c>
      <c r="C9106" s="30" t="n">
        <v>87354741</v>
      </c>
      <c r="D9106" s="30">
        <f>"89823918003755"</f>
        <v/>
      </c>
      <c r="E9106" s="30" t="inlineStr">
        <is>
          <t>TRANSPORTES TRANSLOVATO LTDA</t>
        </is>
      </c>
      <c r="F9106" s="30" t="inlineStr">
        <is>
          <t>2019</t>
        </is>
      </c>
      <c r="G9106" s="40" t="n">
        <v>522.78</v>
      </c>
    </row>
    <row r="9107" ht="12" customHeight="1">
      <c r="A9107" s="30" t="inlineStr">
        <is>
          <t>ITG</t>
        </is>
      </c>
      <c r="B9107" s="30" t="inlineStr">
        <is>
          <t>Itaguai</t>
        </is>
      </c>
      <c r="C9107" s="30" t="n">
        <v>87354741</v>
      </c>
      <c r="D9107" s="30">
        <f>"89823918003755"</f>
        <v/>
      </c>
      <c r="E9107" s="30" t="inlineStr">
        <is>
          <t>TRANSPORTES TRANSLOVATO LTDA</t>
        </is>
      </c>
      <c r="F9107" s="30" t="inlineStr">
        <is>
          <t>2020</t>
        </is>
      </c>
      <c r="G9107" s="40" t="n">
        <v>2561.52</v>
      </c>
    </row>
    <row r="9108" ht="12" customHeight="1">
      <c r="A9108" s="30" t="inlineStr">
        <is>
          <t>ITG</t>
        </is>
      </c>
      <c r="B9108" s="30" t="inlineStr">
        <is>
          <t>Itaguai</t>
        </is>
      </c>
      <c r="C9108" s="30" t="n">
        <v>87354741</v>
      </c>
      <c r="D9108" s="30">
        <f>"89823918003755"</f>
        <v/>
      </c>
      <c r="E9108" s="30" t="inlineStr">
        <is>
          <t>TRANSPORTES TRANSLOVATO LTDA</t>
        </is>
      </c>
      <c r="F9108" s="30" t="inlineStr">
        <is>
          <t>2021</t>
        </is>
      </c>
      <c r="G9108" s="40" t="n">
        <v>188.68</v>
      </c>
    </row>
    <row r="9109" ht="12" customHeight="1">
      <c r="A9109" s="30" t="inlineStr">
        <is>
          <t>ITG</t>
        </is>
      </c>
      <c r="B9109" s="30" t="inlineStr">
        <is>
          <t>Itaguai</t>
        </is>
      </c>
      <c r="C9109" s="30" t="n">
        <v>87354741</v>
      </c>
      <c r="D9109" s="30">
        <f>"89823918003755"</f>
        <v/>
      </c>
      <c r="E9109" s="30" t="inlineStr">
        <is>
          <t>TRANSPORTES TRANSLOVATO LTDA</t>
        </is>
      </c>
      <c r="F9109" s="30" t="inlineStr">
        <is>
          <t>2022</t>
        </is>
      </c>
      <c r="G9109" s="40" t="n">
        <v>1185.99</v>
      </c>
    </row>
    <row r="9110" ht="12" customHeight="1">
      <c r="A9110" s="30" t="inlineStr">
        <is>
          <t>ITG</t>
        </is>
      </c>
      <c r="B9110" s="30" t="inlineStr">
        <is>
          <t>Itaguai</t>
        </is>
      </c>
      <c r="C9110" s="30" t="n">
        <v>87354741</v>
      </c>
      <c r="D9110" s="30">
        <f>"89823918003755"</f>
        <v/>
      </c>
      <c r="E9110" s="30" t="inlineStr">
        <is>
          <t>TRANSPORTES TRANSLOVATO LTDA</t>
        </is>
      </c>
      <c r="F9110" s="30" t="inlineStr">
        <is>
          <t>2023</t>
        </is>
      </c>
      <c r="G9110" s="40" t="n">
        <v>1111.17</v>
      </c>
    </row>
    <row r="9111" ht="12" customHeight="1">
      <c r="A9111" s="30" t="inlineStr">
        <is>
          <t>ITG</t>
        </is>
      </c>
      <c r="B9111" s="30" t="inlineStr">
        <is>
          <t>Itaguai</t>
        </is>
      </c>
      <c r="C9111" s="30" t="n">
        <v>87357643</v>
      </c>
      <c r="D9111" s="30">
        <f>"05247910000782"</f>
        <v/>
      </c>
      <c r="E9111" s="30" t="inlineStr">
        <is>
          <t>GBG COMERCIO DE PNEUS E SERVICOS LTDA</t>
        </is>
      </c>
      <c r="F9111" s="30" t="inlineStr">
        <is>
          <t>2019</t>
        </is>
      </c>
      <c r="G9111" s="40" t="n">
        <v>0</v>
      </c>
    </row>
    <row r="9112" ht="12" customHeight="1">
      <c r="A9112" s="30" t="inlineStr">
        <is>
          <t>ITG</t>
        </is>
      </c>
      <c r="B9112" s="30" t="inlineStr">
        <is>
          <t>Itaguai</t>
        </is>
      </c>
      <c r="C9112" s="30" t="n">
        <v>87357643</v>
      </c>
      <c r="D9112" s="30">
        <f>"05247910000782"</f>
        <v/>
      </c>
      <c r="E9112" s="30" t="inlineStr">
        <is>
          <t>GBG COMERCIO DE PNEUS E SERVICOS LTDA</t>
        </is>
      </c>
      <c r="F9112" s="30" t="inlineStr">
        <is>
          <t>2020</t>
        </is>
      </c>
      <c r="G9112" s="40" t="n">
        <v>0</v>
      </c>
    </row>
    <row r="9113" ht="12" customHeight="1">
      <c r="A9113" s="30" t="inlineStr">
        <is>
          <t>ITG</t>
        </is>
      </c>
      <c r="B9113" s="30" t="inlineStr">
        <is>
          <t>Itaguai</t>
        </is>
      </c>
      <c r="C9113" s="30" t="n">
        <v>87357643</v>
      </c>
      <c r="D9113" s="30">
        <f>"05247910000782"</f>
        <v/>
      </c>
      <c r="E9113" s="30" t="inlineStr">
        <is>
          <t>GBG COMERCIO DE PNEUS E SERVICOS LTDA</t>
        </is>
      </c>
      <c r="F9113" s="30" t="inlineStr">
        <is>
          <t>2021</t>
        </is>
      </c>
      <c r="G9113" s="40" t="n">
        <v>88892.39</v>
      </c>
    </row>
    <row r="9114" ht="12" customHeight="1">
      <c r="A9114" s="30" t="inlineStr">
        <is>
          <t>ITG</t>
        </is>
      </c>
      <c r="B9114" s="30" t="inlineStr">
        <is>
          <t>Itaguai</t>
        </is>
      </c>
      <c r="C9114" s="30" t="n">
        <v>87357643</v>
      </c>
      <c r="D9114" s="30">
        <f>"05247910000782"</f>
        <v/>
      </c>
      <c r="E9114" s="30" t="inlineStr">
        <is>
          <t>GBG COMERCIO DE PNEUS E SERVICOS LTDA</t>
        </is>
      </c>
      <c r="F9114" s="30" t="inlineStr">
        <is>
          <t>2022</t>
        </is>
      </c>
      <c r="G9114" s="40" t="n">
        <v>198145.62</v>
      </c>
    </row>
    <row r="9115" ht="12" customHeight="1">
      <c r="A9115" s="30" t="inlineStr">
        <is>
          <t>ITG</t>
        </is>
      </c>
      <c r="B9115" s="30" t="inlineStr">
        <is>
          <t>Itaguai</t>
        </is>
      </c>
      <c r="C9115" s="30" t="n">
        <v>87357643</v>
      </c>
      <c r="D9115" s="30">
        <f>"05247910000782"</f>
        <v/>
      </c>
      <c r="E9115" s="30" t="inlineStr">
        <is>
          <t>GBG COMERCIO DE PNEUS E SERVICOS LTDA</t>
        </is>
      </c>
      <c r="F9115" s="30" t="inlineStr">
        <is>
          <t>2023</t>
        </is>
      </c>
      <c r="G9115" s="40" t="n">
        <v>39980.84</v>
      </c>
    </row>
    <row r="9116" ht="12" customHeight="1">
      <c r="A9116" s="30" t="inlineStr">
        <is>
          <t>ITG</t>
        </is>
      </c>
      <c r="B9116" s="30" t="inlineStr">
        <is>
          <t>Itaguai</t>
        </is>
      </c>
      <c r="C9116" s="30" t="n">
        <v>87366219</v>
      </c>
      <c r="D9116" s="30">
        <f>"13248429000578"</f>
        <v/>
      </c>
      <c r="E9116" s="30" t="inlineStr">
        <is>
          <t>GO SERV TRANSPORTES EIRELI</t>
        </is>
      </c>
      <c r="F9116" s="30" t="inlineStr">
        <is>
          <t>2021</t>
        </is>
      </c>
      <c r="G9116" s="40" t="n">
        <v>0</v>
      </c>
    </row>
    <row r="9117" ht="12" customHeight="1">
      <c r="A9117" s="30" t="inlineStr">
        <is>
          <t>ITG</t>
        </is>
      </c>
      <c r="B9117" s="30" t="inlineStr">
        <is>
          <t>Itaguai</t>
        </is>
      </c>
      <c r="C9117" s="30" t="n">
        <v>87366219</v>
      </c>
      <c r="D9117" s="30">
        <f>"13248429000578"</f>
        <v/>
      </c>
      <c r="E9117" s="30" t="inlineStr">
        <is>
          <t>GO SERV TRANSPORTES EIRELI</t>
        </is>
      </c>
      <c r="F9117" s="30" t="inlineStr">
        <is>
          <t>2022</t>
        </is>
      </c>
      <c r="G9117" s="40" t="n">
        <v>0</v>
      </c>
    </row>
    <row r="9118" ht="12" customHeight="1">
      <c r="A9118" s="30" t="inlineStr">
        <is>
          <t>ITG</t>
        </is>
      </c>
      <c r="B9118" s="30" t="inlineStr">
        <is>
          <t>Itaguai</t>
        </is>
      </c>
      <c r="C9118" s="30" t="n">
        <v>87366219</v>
      </c>
      <c r="D9118" s="30">
        <f>"13248429000578"</f>
        <v/>
      </c>
      <c r="E9118" s="30" t="inlineStr">
        <is>
          <t>GO SERV TRANSPORTES EIRELI</t>
        </is>
      </c>
      <c r="F9118" s="30" t="inlineStr">
        <is>
          <t>2023</t>
        </is>
      </c>
      <c r="G9118" s="40" t="n">
        <v>6250</v>
      </c>
    </row>
    <row r="9119" ht="12" customHeight="1">
      <c r="A9119" s="30" t="inlineStr">
        <is>
          <t>ITG</t>
        </is>
      </c>
      <c r="B9119" s="30" t="inlineStr">
        <is>
          <t>Itaguai</t>
        </is>
      </c>
      <c r="C9119" s="30" t="n">
        <v>87370720</v>
      </c>
      <c r="D9119" s="30">
        <f>"27863227000117"</f>
        <v/>
      </c>
      <c r="E9119" s="30" t="inlineStr">
        <is>
          <t>GALMACCI ARMAZEM E TRANSPORTE LTDA ME</t>
        </is>
      </c>
      <c r="F9119" s="30" t="inlineStr">
        <is>
          <t>2017</t>
        </is>
      </c>
      <c r="G9119" s="40" t="n">
        <v>0</v>
      </c>
    </row>
    <row r="9120" ht="12" customHeight="1">
      <c r="A9120" s="30" t="inlineStr">
        <is>
          <t>ITG</t>
        </is>
      </c>
      <c r="B9120" s="30" t="inlineStr">
        <is>
          <t>Itaguai</t>
        </is>
      </c>
      <c r="C9120" s="30" t="n">
        <v>87370720</v>
      </c>
      <c r="D9120" s="30">
        <f>"27863227000117"</f>
        <v/>
      </c>
      <c r="E9120" s="30" t="inlineStr">
        <is>
          <t>GALMACCI ARMAZEM E TRANSPORTE LTDA ME</t>
        </is>
      </c>
      <c r="F9120" s="30" t="inlineStr">
        <is>
          <t>2018</t>
        </is>
      </c>
      <c r="G9120" s="40" t="n">
        <v>3156.45</v>
      </c>
    </row>
    <row r="9121" ht="12" customHeight="1">
      <c r="A9121" s="30" t="inlineStr">
        <is>
          <t>ITG</t>
        </is>
      </c>
      <c r="B9121" s="30" t="inlineStr">
        <is>
          <t>Itaguai</t>
        </is>
      </c>
      <c r="C9121" s="30" t="n">
        <v>87370720</v>
      </c>
      <c r="D9121" s="30">
        <f>"27863227000117"</f>
        <v/>
      </c>
      <c r="E9121" s="30" t="inlineStr">
        <is>
          <t>GALMACCI ARMAZEM E TRANSPORTE LTDA ME</t>
        </is>
      </c>
      <c r="F9121" s="30" t="inlineStr">
        <is>
          <t>2019</t>
        </is>
      </c>
      <c r="G9121" s="40" t="n">
        <v>0</v>
      </c>
    </row>
    <row r="9122" ht="12" customHeight="1">
      <c r="A9122" s="30" t="inlineStr">
        <is>
          <t>ITG</t>
        </is>
      </c>
      <c r="B9122" s="30" t="inlineStr">
        <is>
          <t>Itaguai</t>
        </is>
      </c>
      <c r="C9122" s="30" t="n">
        <v>87370720</v>
      </c>
      <c r="D9122" s="30">
        <f>"27863227000117"</f>
        <v/>
      </c>
      <c r="E9122" s="30" t="inlineStr">
        <is>
          <t>GALMACCI ARMAZEM E TRANSPORTE LTDA ME</t>
        </is>
      </c>
      <c r="F9122" s="30" t="inlineStr">
        <is>
          <t>2020</t>
        </is>
      </c>
      <c r="G9122" s="40" t="n">
        <v>6126.89</v>
      </c>
    </row>
    <row r="9123" ht="12" customHeight="1">
      <c r="A9123" s="30" t="inlineStr">
        <is>
          <t>ITG</t>
        </is>
      </c>
      <c r="B9123" s="30" t="inlineStr">
        <is>
          <t>Itaguai</t>
        </is>
      </c>
      <c r="C9123" s="30" t="n">
        <v>87370720</v>
      </c>
      <c r="D9123" s="30">
        <f>"27863227000117"</f>
        <v/>
      </c>
      <c r="E9123" s="30" t="inlineStr">
        <is>
          <t>GALMACCI ARMAZEM E TRANSPORTE LTDA ME</t>
        </is>
      </c>
      <c r="F9123" s="30" t="inlineStr">
        <is>
          <t>2021</t>
        </is>
      </c>
      <c r="G9123" s="40" t="n">
        <v>115703.44</v>
      </c>
    </row>
    <row r="9124" ht="12" customHeight="1">
      <c r="A9124" s="30" t="inlineStr">
        <is>
          <t>ITG</t>
        </is>
      </c>
      <c r="B9124" s="30" t="inlineStr">
        <is>
          <t>Itaguai</t>
        </is>
      </c>
      <c r="C9124" s="30" t="n">
        <v>87370720</v>
      </c>
      <c r="D9124" s="30">
        <f>"27863227000117"</f>
        <v/>
      </c>
      <c r="E9124" s="30" t="inlineStr">
        <is>
          <t>GALMACCI ARMAZEM E TRANSPORTE LTDA ME</t>
        </is>
      </c>
      <c r="F9124" s="30" t="inlineStr">
        <is>
          <t>2022</t>
        </is>
      </c>
      <c r="G9124" s="40" t="n">
        <v>1361.53</v>
      </c>
    </row>
    <row r="9125" ht="12" customHeight="1">
      <c r="A9125" s="30" t="inlineStr">
        <is>
          <t>ITG</t>
        </is>
      </c>
      <c r="B9125" s="30" t="inlineStr">
        <is>
          <t>Itaguai</t>
        </is>
      </c>
      <c r="C9125" s="30" t="n">
        <v>87370720</v>
      </c>
      <c r="D9125" s="30">
        <f>"27863227000117"</f>
        <v/>
      </c>
      <c r="E9125" s="30" t="inlineStr">
        <is>
          <t>GALMACCI ARMAZEM E TRANSPORTE LTDA ME</t>
        </is>
      </c>
      <c r="F9125" s="30" t="inlineStr">
        <is>
          <t>2023</t>
        </is>
      </c>
      <c r="G9125" s="40" t="n">
        <v>5408.64</v>
      </c>
    </row>
    <row r="9126" ht="12" customHeight="1">
      <c r="A9126" s="30" t="inlineStr">
        <is>
          <t>ITG</t>
        </is>
      </c>
      <c r="B9126" s="30" t="inlineStr">
        <is>
          <t>Itaguai</t>
        </is>
      </c>
      <c r="C9126" s="30" t="n">
        <v>87371530</v>
      </c>
      <c r="D9126" s="30">
        <f>"23506129000414"</f>
        <v/>
      </c>
      <c r="E9126" s="30" t="inlineStr">
        <is>
          <t>MODULO TRANSPORTE E LOGISTICA LTDA ME</t>
        </is>
      </c>
      <c r="F9126" s="30" t="inlineStr">
        <is>
          <t>2020</t>
        </is>
      </c>
      <c r="G9126" s="40" t="n">
        <v>0</v>
      </c>
    </row>
    <row r="9127" ht="12" customHeight="1">
      <c r="A9127" s="30" t="inlineStr">
        <is>
          <t>ITG</t>
        </is>
      </c>
      <c r="B9127" s="30" t="inlineStr">
        <is>
          <t>Itaguai</t>
        </is>
      </c>
      <c r="C9127" s="30" t="n">
        <v>87371530</v>
      </c>
      <c r="D9127" s="30">
        <f>"23506129000414"</f>
        <v/>
      </c>
      <c r="E9127" s="30" t="inlineStr">
        <is>
          <t>MODULO TRANSPORTE E LOGISTICA LTDA ME</t>
        </is>
      </c>
      <c r="F9127" s="30" t="inlineStr">
        <is>
          <t>2021</t>
        </is>
      </c>
      <c r="G9127" s="40" t="n">
        <v>0</v>
      </c>
    </row>
    <row r="9128" ht="12" customHeight="1">
      <c r="A9128" s="30" t="inlineStr">
        <is>
          <t>ITG</t>
        </is>
      </c>
      <c r="B9128" s="30" t="inlineStr">
        <is>
          <t>Itaguai</t>
        </is>
      </c>
      <c r="C9128" s="30" t="n">
        <v>87371530</v>
      </c>
      <c r="D9128" s="30">
        <f>"23506129000414"</f>
        <v/>
      </c>
      <c r="E9128" s="30" t="inlineStr">
        <is>
          <t>MODULO TRANSPORTE E LOGISTICA LTDA ME</t>
        </is>
      </c>
      <c r="F9128" s="30" t="inlineStr">
        <is>
          <t>2022</t>
        </is>
      </c>
      <c r="G9128" s="40" t="n">
        <v>126.48</v>
      </c>
    </row>
    <row r="9129" ht="12" customHeight="1">
      <c r="A9129" s="30" t="inlineStr">
        <is>
          <t>ITG</t>
        </is>
      </c>
      <c r="B9129" s="30" t="inlineStr">
        <is>
          <t>Itaguai</t>
        </is>
      </c>
      <c r="C9129" s="30" t="n">
        <v>87371530</v>
      </c>
      <c r="D9129" s="30">
        <f>"23506129000414"</f>
        <v/>
      </c>
      <c r="E9129" s="30" t="inlineStr">
        <is>
          <t>MODULO TRANSPORTE E LOGISTICA LTDA ME</t>
        </is>
      </c>
      <c r="F9129" s="30" t="inlineStr">
        <is>
          <t>2023</t>
        </is>
      </c>
      <c r="G9129" s="40" t="n">
        <v>293.15</v>
      </c>
    </row>
    <row r="9130" ht="12" customHeight="1">
      <c r="A9130" s="30" t="inlineStr">
        <is>
          <t>ITG</t>
        </is>
      </c>
      <c r="B9130" s="30" t="inlineStr">
        <is>
          <t>Itaguai</t>
        </is>
      </c>
      <c r="C9130" s="30" t="n">
        <v>87372332</v>
      </c>
      <c r="D9130" s="30">
        <f>"27698834000179"</f>
        <v/>
      </c>
      <c r="E9130" s="30" t="inlineStr">
        <is>
          <t>WORLD TECH SOLUÇÕES EM TECNOLOGIA EIRELI</t>
        </is>
      </c>
      <c r="F9130" s="30" t="inlineStr">
        <is>
          <t>2017</t>
        </is>
      </c>
      <c r="G9130" s="40" t="n">
        <v>0</v>
      </c>
    </row>
    <row r="9131" ht="12" customHeight="1">
      <c r="A9131" s="30" t="inlineStr">
        <is>
          <t>ITG</t>
        </is>
      </c>
      <c r="B9131" s="30" t="inlineStr">
        <is>
          <t>Itaguai</t>
        </is>
      </c>
      <c r="C9131" s="30" t="n">
        <v>87372332</v>
      </c>
      <c r="D9131" s="30">
        <f>"27698834000179"</f>
        <v/>
      </c>
      <c r="E9131" s="30" t="inlineStr">
        <is>
          <t>WORLD TECH SOLUÇÕES EM TECNOLOGIA EIRELI</t>
        </is>
      </c>
      <c r="F9131" s="30" t="inlineStr">
        <is>
          <t>2018</t>
        </is>
      </c>
      <c r="G9131" s="40" t="n">
        <v>0</v>
      </c>
    </row>
    <row r="9132" ht="12" customHeight="1">
      <c r="A9132" s="30" t="inlineStr">
        <is>
          <t>ITG</t>
        </is>
      </c>
      <c r="B9132" s="30" t="inlineStr">
        <is>
          <t>Itaguai</t>
        </is>
      </c>
      <c r="C9132" s="30" t="n">
        <v>87372332</v>
      </c>
      <c r="D9132" s="30">
        <f>"27698834000179"</f>
        <v/>
      </c>
      <c r="E9132" s="30" t="inlineStr">
        <is>
          <t>WORLD TECH SOLUÇÕES EM TECNOLOGIA EIRELI</t>
        </is>
      </c>
      <c r="F9132" s="30" t="inlineStr">
        <is>
          <t>2019</t>
        </is>
      </c>
      <c r="G9132" s="40" t="n">
        <v>0</v>
      </c>
    </row>
    <row r="9133" ht="12" customHeight="1">
      <c r="A9133" s="30" t="inlineStr">
        <is>
          <t>ITG</t>
        </is>
      </c>
      <c r="B9133" s="30" t="inlineStr">
        <is>
          <t>Itaguai</t>
        </is>
      </c>
      <c r="C9133" s="30" t="n">
        <v>87372650</v>
      </c>
      <c r="D9133" s="30">
        <f>"27000464000154"</f>
        <v/>
      </c>
      <c r="E9133" s="30" t="inlineStr">
        <is>
          <t>J B CARVALHO JUNIOR SERVICOS ADMINISTRATIVOS EIRELI ME</t>
        </is>
      </c>
      <c r="F9133" s="30" t="inlineStr">
        <is>
          <t>2017</t>
        </is>
      </c>
      <c r="G9133" s="40" t="n">
        <v>0</v>
      </c>
    </row>
    <row r="9134" ht="12" customHeight="1">
      <c r="A9134" s="30" t="inlineStr">
        <is>
          <t>ITG</t>
        </is>
      </c>
      <c r="B9134" s="30" t="inlineStr">
        <is>
          <t>Itaguai</t>
        </is>
      </c>
      <c r="C9134" s="30" t="n">
        <v>87372650</v>
      </c>
      <c r="D9134" s="30">
        <f>"27000464000154"</f>
        <v/>
      </c>
      <c r="E9134" s="30" t="inlineStr">
        <is>
          <t>J B CARVALHO JUNIOR SERVICOS ADMINISTRATIVOS EIRELI ME</t>
        </is>
      </c>
      <c r="F9134" s="30" t="inlineStr">
        <is>
          <t>2018</t>
        </is>
      </c>
      <c r="G9134" s="40" t="n">
        <v>0</v>
      </c>
    </row>
    <row r="9135" ht="12" customHeight="1">
      <c r="A9135" s="30" t="inlineStr">
        <is>
          <t>ITG</t>
        </is>
      </c>
      <c r="B9135" s="30" t="inlineStr">
        <is>
          <t>Itaguai</t>
        </is>
      </c>
      <c r="C9135" s="30" t="n">
        <v>87372650</v>
      </c>
      <c r="D9135" s="30">
        <f>"27000464000154"</f>
        <v/>
      </c>
      <c r="E9135" s="30" t="inlineStr">
        <is>
          <t>J B CARVALHO JUNIOR SERVICOS ADMINISTRATIVOS EIRELI ME</t>
        </is>
      </c>
      <c r="F9135" s="30" t="inlineStr">
        <is>
          <t>2019</t>
        </is>
      </c>
      <c r="G9135" s="40" t="n">
        <v>0</v>
      </c>
    </row>
    <row r="9136" ht="12" customHeight="1">
      <c r="A9136" s="30" t="inlineStr">
        <is>
          <t>ITG</t>
        </is>
      </c>
      <c r="B9136" s="30" t="inlineStr">
        <is>
          <t>Itaguai</t>
        </is>
      </c>
      <c r="C9136" s="30" t="n">
        <v>87372650</v>
      </c>
      <c r="D9136" s="30">
        <f>"27000464000154"</f>
        <v/>
      </c>
      <c r="E9136" s="30" t="inlineStr">
        <is>
          <t>J B CARVALHO JUNIOR SERVICOS ADMINISTRATIVOS EIRELI ME</t>
        </is>
      </c>
      <c r="F9136" s="30" t="inlineStr">
        <is>
          <t>2021</t>
        </is>
      </c>
      <c r="G9136" s="40" t="n">
        <v>0</v>
      </c>
    </row>
    <row r="9137" ht="12" customHeight="1">
      <c r="A9137" s="30" t="inlineStr">
        <is>
          <t>ITG</t>
        </is>
      </c>
      <c r="B9137" s="30" t="inlineStr">
        <is>
          <t>Itaguai</t>
        </is>
      </c>
      <c r="C9137" s="30" t="n">
        <v>87372650</v>
      </c>
      <c r="D9137" s="30">
        <f>"27000464000154"</f>
        <v/>
      </c>
      <c r="E9137" s="30" t="inlineStr">
        <is>
          <t>J B CARVALHO JUNIOR SERVICOS ADMINISTRATIVOS EIRELI ME</t>
        </is>
      </c>
      <c r="F9137" s="30" t="inlineStr">
        <is>
          <t>2022</t>
        </is>
      </c>
      <c r="G9137" s="40" t="n">
        <v>0</v>
      </c>
    </row>
    <row r="9138" ht="12" customHeight="1">
      <c r="A9138" s="30" t="inlineStr">
        <is>
          <t>ITG</t>
        </is>
      </c>
      <c r="B9138" s="30" t="inlineStr">
        <is>
          <t>Itaguai</t>
        </is>
      </c>
      <c r="C9138" s="30" t="n">
        <v>87372650</v>
      </c>
      <c r="D9138" s="30">
        <f>"27000464000154"</f>
        <v/>
      </c>
      <c r="E9138" s="30" t="inlineStr">
        <is>
          <t>J B CARVALHO JUNIOR SERVICOS ADMINISTRATIVOS EIRELI ME</t>
        </is>
      </c>
      <c r="F9138" s="30" t="inlineStr">
        <is>
          <t>2023</t>
        </is>
      </c>
      <c r="G9138" s="40" t="n">
        <v>0</v>
      </c>
    </row>
    <row r="9139" ht="12" customHeight="1">
      <c r="A9139" s="30" t="inlineStr">
        <is>
          <t>ITG</t>
        </is>
      </c>
      <c r="B9139" s="30" t="inlineStr">
        <is>
          <t>Itaguai</t>
        </is>
      </c>
      <c r="C9139" s="30" t="n">
        <v>87373835</v>
      </c>
      <c r="D9139" s="30">
        <f>"27893382000186"</f>
        <v/>
      </c>
      <c r="E9139" s="30" t="inlineStr">
        <is>
          <t>TKR SERVICOS DE TRANSPORTES DE CARGAS EIRELI</t>
        </is>
      </c>
      <c r="F9139" s="30" t="inlineStr">
        <is>
          <t>2019</t>
        </is>
      </c>
      <c r="G9139" s="40" t="n">
        <v>0</v>
      </c>
    </row>
    <row r="9140" ht="12" customHeight="1">
      <c r="A9140" s="30" t="inlineStr">
        <is>
          <t>ITG</t>
        </is>
      </c>
      <c r="B9140" s="30" t="inlineStr">
        <is>
          <t>Itaguai</t>
        </is>
      </c>
      <c r="C9140" s="30" t="n">
        <v>87373835</v>
      </c>
      <c r="D9140" s="30">
        <f>"27893382000186"</f>
        <v/>
      </c>
      <c r="E9140" s="30" t="inlineStr">
        <is>
          <t>TKR SERVICOS DE TRANSPORTES DE CARGAS EIRELI</t>
        </is>
      </c>
      <c r="F9140" s="30" t="inlineStr">
        <is>
          <t>2020</t>
        </is>
      </c>
      <c r="G9140" s="40" t="n">
        <v>0</v>
      </c>
    </row>
    <row r="9141" ht="12" customHeight="1">
      <c r="A9141" s="30" t="inlineStr">
        <is>
          <t>ITG</t>
        </is>
      </c>
      <c r="B9141" s="30" t="inlineStr">
        <is>
          <t>Itaguai</t>
        </is>
      </c>
      <c r="C9141" s="30" t="n">
        <v>87373835</v>
      </c>
      <c r="D9141" s="30">
        <f>"27893382000186"</f>
        <v/>
      </c>
      <c r="E9141" s="30" t="inlineStr">
        <is>
          <t>TKR SERVICOS DE TRANSPORTES DE CARGAS EIRELI</t>
        </is>
      </c>
      <c r="F9141" s="30" t="inlineStr">
        <is>
          <t>2021</t>
        </is>
      </c>
      <c r="G9141" s="40" t="n">
        <v>126168.12</v>
      </c>
    </row>
    <row r="9142" ht="12" customHeight="1">
      <c r="A9142" s="30" t="inlineStr">
        <is>
          <t>ITG</t>
        </is>
      </c>
      <c r="B9142" s="30" t="inlineStr">
        <is>
          <t>Itaguai</t>
        </is>
      </c>
      <c r="C9142" s="30" t="n">
        <v>87373835</v>
      </c>
      <c r="D9142" s="30">
        <f>"27893382000186"</f>
        <v/>
      </c>
      <c r="E9142" s="30" t="inlineStr">
        <is>
          <t>TKR SERVICOS DE TRANSPORTES DE CARGAS EIRELI</t>
        </is>
      </c>
      <c r="F9142" s="30" t="inlineStr">
        <is>
          <t>2022</t>
        </is>
      </c>
      <c r="G9142" s="40" t="n">
        <v>106739.88</v>
      </c>
    </row>
    <row r="9143" ht="12" customHeight="1">
      <c r="A9143" s="30" t="inlineStr">
        <is>
          <t>ITG</t>
        </is>
      </c>
      <c r="B9143" s="30" t="inlineStr">
        <is>
          <t>Itaguai</t>
        </is>
      </c>
      <c r="C9143" s="30" t="n">
        <v>87373835</v>
      </c>
      <c r="D9143" s="30">
        <f>"27893382000186"</f>
        <v/>
      </c>
      <c r="E9143" s="30" t="inlineStr">
        <is>
          <t>TKR SERVICOS DE TRANSPORTES DE CARGAS EIRELI</t>
        </is>
      </c>
      <c r="F9143" s="30" t="inlineStr">
        <is>
          <t>2023</t>
        </is>
      </c>
      <c r="G9143" s="40" t="n">
        <v>0</v>
      </c>
    </row>
    <row r="9144" ht="12" customHeight="1">
      <c r="A9144" s="30" t="inlineStr">
        <is>
          <t>ITG</t>
        </is>
      </c>
      <c r="B9144" s="30" t="inlineStr">
        <is>
          <t>Itaguai</t>
        </is>
      </c>
      <c r="C9144" s="30" t="n">
        <v>87376559</v>
      </c>
      <c r="D9144" s="30">
        <f>"27872564000170"</f>
        <v/>
      </c>
      <c r="E9144" s="30" t="inlineStr">
        <is>
          <t>SAO BENTO ENGENHARIA - CONSTRUCOES,PROJETOS E REFORMAS EIRELI ME</t>
        </is>
      </c>
      <c r="F9144" s="30" t="inlineStr">
        <is>
          <t>2017</t>
        </is>
      </c>
      <c r="G9144" s="40" t="n">
        <v>0</v>
      </c>
    </row>
    <row r="9145" ht="12" customHeight="1">
      <c r="A9145" s="30" t="inlineStr">
        <is>
          <t>ITG</t>
        </is>
      </c>
      <c r="B9145" s="30" t="inlineStr">
        <is>
          <t>Itaguai</t>
        </is>
      </c>
      <c r="C9145" s="30" t="n">
        <v>87376559</v>
      </c>
      <c r="D9145" s="30">
        <f>"27872564000170"</f>
        <v/>
      </c>
      <c r="E9145" s="30" t="inlineStr">
        <is>
          <t>SAO BENTO ENGENHARIA - CONSTRUCOES,PROJETOS E REFORMAS EIRELI ME</t>
        </is>
      </c>
      <c r="F9145" s="30" t="inlineStr">
        <is>
          <t>2018</t>
        </is>
      </c>
      <c r="G9145" s="40" t="n">
        <v>0</v>
      </c>
    </row>
    <row r="9146" ht="12" customHeight="1">
      <c r="A9146" s="30" t="inlineStr">
        <is>
          <t>ITG</t>
        </is>
      </c>
      <c r="B9146" s="30" t="inlineStr">
        <is>
          <t>Itaguai</t>
        </is>
      </c>
      <c r="C9146" s="30" t="n">
        <v>87376559</v>
      </c>
      <c r="D9146" s="30">
        <f>"27872564000170"</f>
        <v/>
      </c>
      <c r="E9146" s="30" t="inlineStr">
        <is>
          <t>SAO BENTO ENGENHARIA - CONSTRUCOES,PROJETOS E REFORMAS EIRELI ME</t>
        </is>
      </c>
      <c r="F9146" s="30" t="inlineStr">
        <is>
          <t>2019</t>
        </is>
      </c>
      <c r="G9146" s="40" t="n">
        <v>0</v>
      </c>
    </row>
    <row r="9147" ht="12" customHeight="1">
      <c r="A9147" s="30" t="inlineStr">
        <is>
          <t>ITG</t>
        </is>
      </c>
      <c r="B9147" s="30" t="inlineStr">
        <is>
          <t>Itaguai</t>
        </is>
      </c>
      <c r="C9147" s="30" t="n">
        <v>87377474</v>
      </c>
      <c r="D9147" s="30">
        <f>"21338886000158"</f>
        <v/>
      </c>
      <c r="E9147" s="30" t="inlineStr">
        <is>
          <t>ENZO ITAGUAI II LTDA</t>
        </is>
      </c>
      <c r="F9147" s="30" t="inlineStr">
        <is>
          <t>2017</t>
        </is>
      </c>
      <c r="G9147" s="40" t="n">
        <v>0</v>
      </c>
    </row>
    <row r="9148" ht="12" customHeight="1">
      <c r="A9148" s="30" t="inlineStr">
        <is>
          <t>ITG</t>
        </is>
      </c>
      <c r="B9148" s="30" t="inlineStr">
        <is>
          <t>Itaguai</t>
        </is>
      </c>
      <c r="C9148" s="30" t="n">
        <v>87377474</v>
      </c>
      <c r="D9148" s="30">
        <f>"21338886000158"</f>
        <v/>
      </c>
      <c r="E9148" s="30" t="inlineStr">
        <is>
          <t>ENZO ITAGUAI II LTDA</t>
        </is>
      </c>
      <c r="F9148" s="30" t="inlineStr">
        <is>
          <t>2018</t>
        </is>
      </c>
      <c r="G9148" s="40" t="n">
        <v>938309.14</v>
      </c>
    </row>
    <row r="9149" ht="12" customHeight="1">
      <c r="A9149" s="30" t="inlineStr">
        <is>
          <t>ITG</t>
        </is>
      </c>
      <c r="B9149" s="30" t="inlineStr">
        <is>
          <t>Itaguai</t>
        </is>
      </c>
      <c r="C9149" s="30" t="n">
        <v>87377474</v>
      </c>
      <c r="D9149" s="30">
        <f>"21338886000158"</f>
        <v/>
      </c>
      <c r="E9149" s="30" t="inlineStr">
        <is>
          <t>ENZO ITAGUAI II LTDA</t>
        </is>
      </c>
      <c r="F9149" s="30" t="inlineStr">
        <is>
          <t>2019</t>
        </is>
      </c>
      <c r="G9149" s="40" t="n">
        <v>1930336.29</v>
      </c>
    </row>
    <row r="9150" ht="12" customHeight="1">
      <c r="A9150" s="30" t="inlineStr">
        <is>
          <t>ITG</t>
        </is>
      </c>
      <c r="B9150" s="30" t="inlineStr">
        <is>
          <t>Itaguai</t>
        </is>
      </c>
      <c r="C9150" s="30" t="n">
        <v>87377474</v>
      </c>
      <c r="D9150" s="30">
        <f>"21338886000158"</f>
        <v/>
      </c>
      <c r="E9150" s="30" t="inlineStr">
        <is>
          <t>ENZO ITAGUAI II LTDA</t>
        </is>
      </c>
      <c r="F9150" s="30" t="inlineStr">
        <is>
          <t>2020</t>
        </is>
      </c>
      <c r="G9150" s="40" t="n">
        <v>1660019.62</v>
      </c>
    </row>
    <row r="9151" ht="12" customHeight="1">
      <c r="A9151" s="30" t="inlineStr">
        <is>
          <t>ITG</t>
        </is>
      </c>
      <c r="B9151" s="30" t="inlineStr">
        <is>
          <t>Itaguai</t>
        </is>
      </c>
      <c r="C9151" s="30" t="n">
        <v>87377474</v>
      </c>
      <c r="D9151" s="30">
        <f>"21338886000158"</f>
        <v/>
      </c>
      <c r="E9151" s="30" t="inlineStr">
        <is>
          <t>ENZO ITAGUAI II LTDA</t>
        </is>
      </c>
      <c r="F9151" s="30" t="inlineStr">
        <is>
          <t>2021</t>
        </is>
      </c>
      <c r="G9151" s="40" t="n">
        <v>1850210.44</v>
      </c>
    </row>
    <row r="9152" ht="12" customHeight="1">
      <c r="A9152" s="30" t="inlineStr">
        <is>
          <t>ITG</t>
        </is>
      </c>
      <c r="B9152" s="30" t="inlineStr">
        <is>
          <t>Itaguai</t>
        </is>
      </c>
      <c r="C9152" s="30" t="n">
        <v>87377474</v>
      </c>
      <c r="D9152" s="30">
        <f>"21338886000158"</f>
        <v/>
      </c>
      <c r="E9152" s="30" t="inlineStr">
        <is>
          <t>ENZO ITAGUAI II LTDA</t>
        </is>
      </c>
      <c r="F9152" s="30" t="inlineStr">
        <is>
          <t>2022</t>
        </is>
      </c>
      <c r="G9152" s="40" t="n">
        <v>2044053.27</v>
      </c>
    </row>
    <row r="9153" ht="12" customHeight="1">
      <c r="A9153" s="30" t="inlineStr">
        <is>
          <t>ITG</t>
        </is>
      </c>
      <c r="B9153" s="30" t="inlineStr">
        <is>
          <t>Itaguai</t>
        </is>
      </c>
      <c r="C9153" s="30" t="n">
        <v>87377474</v>
      </c>
      <c r="D9153" s="30">
        <f>"21338886000158"</f>
        <v/>
      </c>
      <c r="E9153" s="30" t="inlineStr">
        <is>
          <t>ENZO ITAGUAI II LTDA</t>
        </is>
      </c>
      <c r="F9153" s="30" t="inlineStr">
        <is>
          <t>2023</t>
        </is>
      </c>
      <c r="G9153" s="40" t="n">
        <v>9964422.720000001</v>
      </c>
    </row>
    <row r="9154" ht="12" customHeight="1">
      <c r="A9154" s="30" t="inlineStr">
        <is>
          <t>ITG</t>
        </is>
      </c>
      <c r="B9154" s="30" t="inlineStr">
        <is>
          <t>Itaguai</t>
        </is>
      </c>
      <c r="C9154" s="30" t="n">
        <v>87379337</v>
      </c>
      <c r="D9154" s="30">
        <f>"27853533000172"</f>
        <v/>
      </c>
      <c r="E9154" s="30" t="inlineStr">
        <is>
          <t>KIOSKE DO DOCE COMERCIO DE BISCOITO LTDA ME</t>
        </is>
      </c>
      <c r="F9154" s="30" t="inlineStr">
        <is>
          <t>2017</t>
        </is>
      </c>
      <c r="G9154" s="40" t="n">
        <v>0</v>
      </c>
    </row>
    <row r="9155" ht="12" customHeight="1">
      <c r="A9155" s="30" t="inlineStr">
        <is>
          <t>ITG</t>
        </is>
      </c>
      <c r="B9155" s="30" t="inlineStr">
        <is>
          <t>Itaguai</t>
        </is>
      </c>
      <c r="C9155" s="30" t="n">
        <v>87379337</v>
      </c>
      <c r="D9155" s="30">
        <f>"27853533000172"</f>
        <v/>
      </c>
      <c r="E9155" s="30" t="inlineStr">
        <is>
          <t>KIOSKE DO DOCE COMERCIO DE BISCOITO LTDA ME</t>
        </is>
      </c>
      <c r="F9155" s="30" t="inlineStr">
        <is>
          <t>2018</t>
        </is>
      </c>
      <c r="G9155" s="40" t="n">
        <v>0</v>
      </c>
    </row>
    <row r="9156" ht="12" customHeight="1">
      <c r="A9156" s="30" t="inlineStr">
        <is>
          <t>ITG</t>
        </is>
      </c>
      <c r="B9156" s="30" t="inlineStr">
        <is>
          <t>Itaguai</t>
        </is>
      </c>
      <c r="C9156" s="30" t="n">
        <v>87379337</v>
      </c>
      <c r="D9156" s="30">
        <f>"27853533000172"</f>
        <v/>
      </c>
      <c r="E9156" s="30" t="inlineStr">
        <is>
          <t>KIOSKE DO DOCE COMERCIO DE BISCOITO LTDA ME</t>
        </is>
      </c>
      <c r="F9156" s="30" t="inlineStr">
        <is>
          <t>2019</t>
        </is>
      </c>
      <c r="G9156" s="40" t="n">
        <v>0</v>
      </c>
    </row>
    <row r="9157" ht="12" customHeight="1">
      <c r="A9157" s="30" t="inlineStr">
        <is>
          <t>ITG</t>
        </is>
      </c>
      <c r="B9157" s="30" t="inlineStr">
        <is>
          <t>Itaguai</t>
        </is>
      </c>
      <c r="C9157" s="30" t="n">
        <v>87379582</v>
      </c>
      <c r="D9157" s="30">
        <f>"18233211001535"</f>
        <v/>
      </c>
      <c r="E9157" s="30" t="inlineStr">
        <is>
          <t>FL BRASIL HOLDING LOGISTICA E TRANSPORTE LTDA</t>
        </is>
      </c>
      <c r="F9157" s="30" t="inlineStr">
        <is>
          <t>2017</t>
        </is>
      </c>
      <c r="G9157" s="40" t="n">
        <v>0</v>
      </c>
    </row>
    <row r="9158" ht="12" customHeight="1">
      <c r="A9158" s="30" t="inlineStr">
        <is>
          <t>ITG</t>
        </is>
      </c>
      <c r="B9158" s="30" t="inlineStr">
        <is>
          <t>Itaguai</t>
        </is>
      </c>
      <c r="C9158" s="30" t="n">
        <v>87379582</v>
      </c>
      <c r="D9158" s="30">
        <f>"18233211001535"</f>
        <v/>
      </c>
      <c r="E9158" s="30" t="inlineStr">
        <is>
          <t>FL BRASIL HOLDING LOGISTICA E TRANSPORTE LTDA</t>
        </is>
      </c>
      <c r="F9158" s="30" t="inlineStr">
        <is>
          <t>2018</t>
        </is>
      </c>
      <c r="G9158" s="40" t="n">
        <v>2152.24</v>
      </c>
    </row>
    <row r="9159" ht="12" customHeight="1">
      <c r="A9159" s="30" t="inlineStr">
        <is>
          <t>ITG</t>
        </is>
      </c>
      <c r="B9159" s="30" t="inlineStr">
        <is>
          <t>Itaguai</t>
        </is>
      </c>
      <c r="C9159" s="30" t="n">
        <v>87379582</v>
      </c>
      <c r="D9159" s="30">
        <f>"18233211001535"</f>
        <v/>
      </c>
      <c r="E9159" s="30" t="inlineStr">
        <is>
          <t>FL BRASIL HOLDING LOGISTICA E TRANSPORTE LTDA</t>
        </is>
      </c>
      <c r="F9159" s="30" t="inlineStr">
        <is>
          <t>2019</t>
        </is>
      </c>
      <c r="G9159" s="40" t="n">
        <v>2763.73</v>
      </c>
    </row>
    <row r="9160" ht="12" customHeight="1">
      <c r="A9160" s="30" t="inlineStr">
        <is>
          <t>ITG</t>
        </is>
      </c>
      <c r="B9160" s="30" t="inlineStr">
        <is>
          <t>Itaguai</t>
        </is>
      </c>
      <c r="C9160" s="30" t="n">
        <v>87379582</v>
      </c>
      <c r="D9160" s="30">
        <f>"18233211001535"</f>
        <v/>
      </c>
      <c r="E9160" s="30" t="inlineStr">
        <is>
          <t>FL BRASIL HOLDING LOGISTICA E TRANSPORTE LTDA</t>
        </is>
      </c>
      <c r="F9160" s="30" t="inlineStr">
        <is>
          <t>2020</t>
        </is>
      </c>
      <c r="G9160" s="40" t="n">
        <v>3087.17</v>
      </c>
    </row>
    <row r="9161" ht="12" customHeight="1">
      <c r="A9161" s="30" t="inlineStr">
        <is>
          <t>ITG</t>
        </is>
      </c>
      <c r="B9161" s="30" t="inlineStr">
        <is>
          <t>Itaguai</t>
        </is>
      </c>
      <c r="C9161" s="30" t="n">
        <v>87379582</v>
      </c>
      <c r="D9161" s="30">
        <f>"18233211001535"</f>
        <v/>
      </c>
      <c r="E9161" s="30" t="inlineStr">
        <is>
          <t>FL BRASIL HOLDING LOGISTICA E TRANSPORTE LTDA</t>
        </is>
      </c>
      <c r="F9161" s="30" t="inlineStr">
        <is>
          <t>2021</t>
        </is>
      </c>
      <c r="G9161" s="40" t="n">
        <v>3147.24</v>
      </c>
    </row>
    <row r="9162" ht="12" customHeight="1">
      <c r="A9162" s="30" t="inlineStr">
        <is>
          <t>ITG</t>
        </is>
      </c>
      <c r="B9162" s="30" t="inlineStr">
        <is>
          <t>Itaguai</t>
        </is>
      </c>
      <c r="C9162" s="30" t="n">
        <v>87379582</v>
      </c>
      <c r="D9162" s="30">
        <f>"18233211001535"</f>
        <v/>
      </c>
      <c r="E9162" s="30" t="inlineStr">
        <is>
          <t>FL BRASIL HOLDING LOGISTICA E TRANSPORTE LTDA</t>
        </is>
      </c>
      <c r="F9162" s="30" t="inlineStr">
        <is>
          <t>2022</t>
        </is>
      </c>
      <c r="G9162" s="40" t="n">
        <v>3224.93</v>
      </c>
    </row>
    <row r="9163" ht="12" customHeight="1">
      <c r="A9163" s="30" t="inlineStr">
        <is>
          <t>ITG</t>
        </is>
      </c>
      <c r="B9163" s="30" t="inlineStr">
        <is>
          <t>Itaguai</t>
        </is>
      </c>
      <c r="C9163" s="30" t="n">
        <v>87379582</v>
      </c>
      <c r="D9163" s="30">
        <f>"18233211001535"</f>
        <v/>
      </c>
      <c r="E9163" s="30" t="inlineStr">
        <is>
          <t>FL BRASIL HOLDING LOGISTICA E TRANSPORTE LTDA</t>
        </is>
      </c>
      <c r="F9163" s="30" t="inlineStr">
        <is>
          <t>2023</t>
        </is>
      </c>
      <c r="G9163" s="40" t="n">
        <v>5822.46</v>
      </c>
    </row>
    <row r="9164" ht="12" customHeight="1">
      <c r="A9164" s="30" t="inlineStr">
        <is>
          <t>ITG</t>
        </is>
      </c>
      <c r="B9164" s="30" t="inlineStr">
        <is>
          <t>Itaguai</t>
        </is>
      </c>
      <c r="C9164" s="30" t="n">
        <v>87387143</v>
      </c>
      <c r="D9164" s="30">
        <f>"05342379000646"</f>
        <v/>
      </c>
      <c r="E9164" s="30" t="inlineStr">
        <is>
          <t>KM CARGO MULTIMODAL E LOGISTICA LTDA</t>
        </is>
      </c>
      <c r="F9164" s="30" t="inlineStr">
        <is>
          <t>2018</t>
        </is>
      </c>
      <c r="G9164" s="40" t="n">
        <v>0</v>
      </c>
    </row>
    <row r="9165" ht="12" customHeight="1">
      <c r="A9165" s="30" t="inlineStr">
        <is>
          <t>ITG</t>
        </is>
      </c>
      <c r="B9165" s="30" t="inlineStr">
        <is>
          <t>Itaguai</t>
        </is>
      </c>
      <c r="C9165" s="30" t="n">
        <v>87387143</v>
      </c>
      <c r="D9165" s="30">
        <f>"05342379000646"</f>
        <v/>
      </c>
      <c r="E9165" s="30" t="inlineStr">
        <is>
          <t>KM CARGO MULTIMODAL E LOGISTICA LTDA</t>
        </is>
      </c>
      <c r="F9165" s="30" t="inlineStr">
        <is>
          <t>2019</t>
        </is>
      </c>
      <c r="G9165" s="40" t="n">
        <v>0</v>
      </c>
    </row>
    <row r="9166" ht="12" customHeight="1">
      <c r="A9166" s="30" t="inlineStr">
        <is>
          <t>ITG</t>
        </is>
      </c>
      <c r="B9166" s="30" t="inlineStr">
        <is>
          <t>Itaguai</t>
        </is>
      </c>
      <c r="C9166" s="30" t="n">
        <v>87387143</v>
      </c>
      <c r="D9166" s="30">
        <f>"05342379000646"</f>
        <v/>
      </c>
      <c r="E9166" s="30" t="inlineStr">
        <is>
          <t>KM CARGO MULTIMODAL E LOGISTICA LTDA</t>
        </is>
      </c>
      <c r="F9166" s="30" t="inlineStr">
        <is>
          <t>2020</t>
        </is>
      </c>
      <c r="G9166" s="40" t="n">
        <v>250</v>
      </c>
    </row>
    <row r="9167" ht="12" customHeight="1">
      <c r="A9167" s="30" t="inlineStr">
        <is>
          <t>ITG</t>
        </is>
      </c>
      <c r="B9167" s="30" t="inlineStr">
        <is>
          <t>Itaguai</t>
        </is>
      </c>
      <c r="C9167" s="30" t="n">
        <v>87387143</v>
      </c>
      <c r="D9167" s="30">
        <f>"05342379000646"</f>
        <v/>
      </c>
      <c r="E9167" s="30" t="inlineStr">
        <is>
          <t>KM CARGO MULTIMODAL E LOGISTICA LTDA</t>
        </is>
      </c>
      <c r="F9167" s="30" t="inlineStr">
        <is>
          <t>2021</t>
        </is>
      </c>
      <c r="G9167" s="40" t="n">
        <v>0</v>
      </c>
    </row>
    <row r="9168" ht="12" customHeight="1">
      <c r="A9168" s="30" t="inlineStr">
        <is>
          <t>ITG</t>
        </is>
      </c>
      <c r="B9168" s="30" t="inlineStr">
        <is>
          <t>Itaguai</t>
        </is>
      </c>
      <c r="C9168" s="30" t="n">
        <v>87387143</v>
      </c>
      <c r="D9168" s="30">
        <f>"05342379000646"</f>
        <v/>
      </c>
      <c r="E9168" s="30" t="inlineStr">
        <is>
          <t>KM CARGO MULTIMODAL E LOGISTICA LTDA</t>
        </is>
      </c>
      <c r="F9168" s="30" t="inlineStr">
        <is>
          <t>2022</t>
        </is>
      </c>
      <c r="G9168" s="40" t="n">
        <v>0</v>
      </c>
    </row>
    <row r="9169" ht="12" customHeight="1">
      <c r="A9169" s="30" t="inlineStr">
        <is>
          <t>ITG</t>
        </is>
      </c>
      <c r="B9169" s="30" t="inlineStr">
        <is>
          <t>Itaguai</t>
        </is>
      </c>
      <c r="C9169" s="30" t="n">
        <v>87387143</v>
      </c>
      <c r="D9169" s="30">
        <f>"05342379000646"</f>
        <v/>
      </c>
      <c r="E9169" s="30" t="inlineStr">
        <is>
          <t>KM CARGO MULTIMODAL E LOGISTICA LTDA</t>
        </is>
      </c>
      <c r="F9169" s="30" t="inlineStr">
        <is>
          <t>2023</t>
        </is>
      </c>
      <c r="G9169" s="40" t="n">
        <v>155.2</v>
      </c>
    </row>
    <row r="9170" ht="12" customHeight="1">
      <c r="A9170" s="30" t="inlineStr">
        <is>
          <t>ITG</t>
        </is>
      </c>
      <c r="B9170" s="30" t="inlineStr">
        <is>
          <t>Itaguai</t>
        </is>
      </c>
      <c r="C9170" s="30" t="n">
        <v>87390861</v>
      </c>
      <c r="D9170" s="30">
        <f>"28057892000186"</f>
        <v/>
      </c>
      <c r="E9170" s="30" t="inlineStr">
        <is>
          <t>GARDEN FOODS EIRELI ME</t>
        </is>
      </c>
      <c r="F9170" s="30" t="inlineStr">
        <is>
          <t>2017</t>
        </is>
      </c>
      <c r="G9170" s="40" t="n">
        <v>33894.05</v>
      </c>
    </row>
    <row r="9171" ht="12" customHeight="1">
      <c r="A9171" s="30" t="inlineStr">
        <is>
          <t>ITG</t>
        </is>
      </c>
      <c r="B9171" s="30" t="inlineStr">
        <is>
          <t>Itaguai</t>
        </is>
      </c>
      <c r="C9171" s="30" t="n">
        <v>87390861</v>
      </c>
      <c r="D9171" s="30">
        <f>"28057892000186"</f>
        <v/>
      </c>
      <c r="E9171" s="30" t="inlineStr">
        <is>
          <t>GARDEN FOODS EIRELI ME</t>
        </is>
      </c>
      <c r="F9171" s="30" t="inlineStr">
        <is>
          <t>2018</t>
        </is>
      </c>
      <c r="G9171" s="40" t="n">
        <v>0</v>
      </c>
    </row>
    <row r="9172" ht="12" customHeight="1">
      <c r="A9172" s="30" t="inlineStr">
        <is>
          <t>ITG</t>
        </is>
      </c>
      <c r="B9172" s="30" t="inlineStr">
        <is>
          <t>Itaguai</t>
        </is>
      </c>
      <c r="C9172" s="30" t="n">
        <v>87390861</v>
      </c>
      <c r="D9172" s="30">
        <f>"28057892000186"</f>
        <v/>
      </c>
      <c r="E9172" s="30" t="inlineStr">
        <is>
          <t>GARDEN FOODS EIRELI ME</t>
        </is>
      </c>
      <c r="F9172" s="30" t="inlineStr">
        <is>
          <t>2019</t>
        </is>
      </c>
      <c r="G9172" s="40" t="n">
        <v>0</v>
      </c>
    </row>
    <row r="9173" ht="12" customHeight="1">
      <c r="A9173" s="30" t="inlineStr">
        <is>
          <t>ITG</t>
        </is>
      </c>
      <c r="B9173" s="30" t="inlineStr">
        <is>
          <t>Itaguai</t>
        </is>
      </c>
      <c r="C9173" s="30" t="n">
        <v>87399680</v>
      </c>
      <c r="D9173" s="30">
        <f>"11928716000331"</f>
        <v/>
      </c>
      <c r="E9173" s="30" t="inlineStr">
        <is>
          <t>NIQUINI LOGISTICA E ADMINISTRACAO LTDA</t>
        </is>
      </c>
      <c r="F9173" s="30" t="inlineStr">
        <is>
          <t>2017</t>
        </is>
      </c>
      <c r="G9173" s="40" t="n">
        <v>0</v>
      </c>
    </row>
    <row r="9174" ht="12" customHeight="1">
      <c r="A9174" s="30" t="inlineStr">
        <is>
          <t>ITG</t>
        </is>
      </c>
      <c r="B9174" s="30" t="inlineStr">
        <is>
          <t>Itaguai</t>
        </is>
      </c>
      <c r="C9174" s="30" t="n">
        <v>87399680</v>
      </c>
      <c r="D9174" s="30">
        <f>"11928716000331"</f>
        <v/>
      </c>
      <c r="E9174" s="30" t="inlineStr">
        <is>
          <t>NIQUINI LOGISTICA E ADMINISTRACAO LTDA</t>
        </is>
      </c>
      <c r="F9174" s="30" t="inlineStr">
        <is>
          <t>2018</t>
        </is>
      </c>
      <c r="G9174" s="40" t="n">
        <v>31286.45</v>
      </c>
    </row>
    <row r="9175" ht="12" customHeight="1">
      <c r="A9175" s="30" t="inlineStr">
        <is>
          <t>ITG</t>
        </is>
      </c>
      <c r="B9175" s="30" t="inlineStr">
        <is>
          <t>Itaguai</t>
        </is>
      </c>
      <c r="C9175" s="30" t="n">
        <v>87399680</v>
      </c>
      <c r="D9175" s="30">
        <f>"11928716000331"</f>
        <v/>
      </c>
      <c r="E9175" s="30" t="inlineStr">
        <is>
          <t>NIQUINI LOGISTICA E ADMINISTRACAO LTDA</t>
        </is>
      </c>
      <c r="F9175" s="30" t="inlineStr">
        <is>
          <t>2019</t>
        </is>
      </c>
      <c r="G9175" s="40" t="n">
        <v>38634.26</v>
      </c>
    </row>
    <row r="9176" ht="12" customHeight="1">
      <c r="A9176" s="30" t="inlineStr">
        <is>
          <t>ITG</t>
        </is>
      </c>
      <c r="B9176" s="30" t="inlineStr">
        <is>
          <t>Itaguai</t>
        </is>
      </c>
      <c r="C9176" s="30" t="n">
        <v>87399680</v>
      </c>
      <c r="D9176" s="30">
        <f>"11928716000331"</f>
        <v/>
      </c>
      <c r="E9176" s="30" t="inlineStr">
        <is>
          <t>NIQUINI LOGISTICA E ADMINISTRACAO LTDA</t>
        </is>
      </c>
      <c r="F9176" s="30" t="inlineStr">
        <is>
          <t>2020</t>
        </is>
      </c>
      <c r="G9176" s="40" t="n">
        <v>0</v>
      </c>
    </row>
    <row r="9177" ht="12" customHeight="1">
      <c r="A9177" s="30" t="inlineStr">
        <is>
          <t>ITG</t>
        </is>
      </c>
      <c r="B9177" s="30" t="inlineStr">
        <is>
          <t>Itaguai</t>
        </is>
      </c>
      <c r="C9177" s="30" t="n">
        <v>87399680</v>
      </c>
      <c r="D9177" s="30">
        <f>"11928716000331"</f>
        <v/>
      </c>
      <c r="E9177" s="30" t="inlineStr">
        <is>
          <t>NIQUINI LOGISTICA E ADMINISTRACAO LTDA</t>
        </is>
      </c>
      <c r="F9177" s="30" t="inlineStr">
        <is>
          <t>2021</t>
        </is>
      </c>
      <c r="G9177" s="40" t="n">
        <v>0</v>
      </c>
    </row>
    <row r="9178" ht="12" customHeight="1">
      <c r="A9178" s="30" t="inlineStr">
        <is>
          <t>ITG</t>
        </is>
      </c>
      <c r="B9178" s="30" t="inlineStr">
        <is>
          <t>Itaguai</t>
        </is>
      </c>
      <c r="C9178" s="30" t="n">
        <v>87406881</v>
      </c>
      <c r="D9178" s="30">
        <f>"43711951000939"</f>
        <v/>
      </c>
      <c r="E9178" s="30" t="inlineStr">
        <is>
          <t>THYSSENKRUPP INDUSTRIAL SOLUTIONS LTDA</t>
        </is>
      </c>
      <c r="F9178" s="30" t="inlineStr">
        <is>
          <t>2018</t>
        </is>
      </c>
      <c r="G9178" s="40" t="n">
        <v>0</v>
      </c>
    </row>
    <row r="9179" ht="12" customHeight="1">
      <c r="A9179" s="30" t="inlineStr">
        <is>
          <t>ITG</t>
        </is>
      </c>
      <c r="B9179" s="30" t="inlineStr">
        <is>
          <t>Itaguai</t>
        </is>
      </c>
      <c r="C9179" s="30" t="n">
        <v>87406881</v>
      </c>
      <c r="D9179" s="30">
        <f>"43711951000939"</f>
        <v/>
      </c>
      <c r="E9179" s="30" t="inlineStr">
        <is>
          <t>THYSSENKRUPP INDUSTRIAL SOLUTIONS LTDA</t>
        </is>
      </c>
      <c r="F9179" s="30" t="inlineStr">
        <is>
          <t>2019</t>
        </is>
      </c>
      <c r="G9179" s="40" t="n">
        <v>0</v>
      </c>
    </row>
    <row r="9180" ht="12" customHeight="1">
      <c r="A9180" s="30" t="inlineStr">
        <is>
          <t>ITG</t>
        </is>
      </c>
      <c r="B9180" s="30" t="inlineStr">
        <is>
          <t>Itaguai</t>
        </is>
      </c>
      <c r="C9180" s="30" t="n">
        <v>87406881</v>
      </c>
      <c r="D9180" s="30">
        <f>"43711951000939"</f>
        <v/>
      </c>
      <c r="E9180" s="30" t="inlineStr">
        <is>
          <t>THYSSENKRUPP INDUSTRIAL SOLUTIONS LTDA</t>
        </is>
      </c>
      <c r="F9180" s="30" t="inlineStr">
        <is>
          <t>2020</t>
        </is>
      </c>
      <c r="G9180" s="40" t="n">
        <v>0</v>
      </c>
    </row>
    <row r="9181" ht="12" customHeight="1">
      <c r="A9181" s="30" t="inlineStr">
        <is>
          <t>ITG</t>
        </is>
      </c>
      <c r="B9181" s="30" t="inlineStr">
        <is>
          <t>Itaguai</t>
        </is>
      </c>
      <c r="C9181" s="30" t="n">
        <v>87406881</v>
      </c>
      <c r="D9181" s="30">
        <f>"43711951000939"</f>
        <v/>
      </c>
      <c r="E9181" s="30" t="inlineStr">
        <is>
          <t>THYSSENKRUPP INDUSTRIAL SOLUTIONS LTDA</t>
        </is>
      </c>
      <c r="F9181" s="30" t="inlineStr">
        <is>
          <t>2021</t>
        </is>
      </c>
      <c r="G9181" s="40" t="n">
        <v>0</v>
      </c>
    </row>
    <row r="9182" ht="12" customHeight="1">
      <c r="A9182" s="30" t="inlineStr">
        <is>
          <t>ITG</t>
        </is>
      </c>
      <c r="B9182" s="30" t="inlineStr">
        <is>
          <t>Itaguai</t>
        </is>
      </c>
      <c r="C9182" s="30" t="n">
        <v>87406881</v>
      </c>
      <c r="D9182" s="30">
        <f>"43711951000939"</f>
        <v/>
      </c>
      <c r="E9182" s="30" t="inlineStr">
        <is>
          <t>THYSSENKRUPP INDUSTRIAL SOLUTIONS LTDA</t>
        </is>
      </c>
      <c r="F9182" s="30" t="inlineStr">
        <is>
          <t>2022</t>
        </is>
      </c>
      <c r="G9182" s="40" t="n">
        <v>0</v>
      </c>
    </row>
    <row r="9183" ht="12" customHeight="1">
      <c r="A9183" s="30" t="inlineStr">
        <is>
          <t>ITG</t>
        </is>
      </c>
      <c r="B9183" s="30" t="inlineStr">
        <is>
          <t>Itaguai</t>
        </is>
      </c>
      <c r="C9183" s="30" t="n">
        <v>87406881</v>
      </c>
      <c r="D9183" s="30">
        <f>"43711951000939"</f>
        <v/>
      </c>
      <c r="E9183" s="30" t="inlineStr">
        <is>
          <t>THYSSENKRUPP INDUSTRIAL SOLUTIONS LTDA</t>
        </is>
      </c>
      <c r="F9183" s="30" t="inlineStr">
        <is>
          <t>2023</t>
        </is>
      </c>
      <c r="G9183" s="40" t="n">
        <v>0</v>
      </c>
    </row>
    <row r="9184" ht="12" customHeight="1">
      <c r="A9184" s="30" t="inlineStr">
        <is>
          <t>ITG</t>
        </is>
      </c>
      <c r="B9184" s="30" t="inlineStr">
        <is>
          <t>Itaguai</t>
        </is>
      </c>
      <c r="C9184" s="30" t="n">
        <v>87407322</v>
      </c>
      <c r="D9184" s="30">
        <f>"35774611000414"</f>
        <v/>
      </c>
      <c r="E9184" s="30" t="inlineStr">
        <is>
          <t>PECITA PECAS ITAGUAI LTDA</t>
        </is>
      </c>
      <c r="F9184" s="30" t="inlineStr">
        <is>
          <t>2017</t>
        </is>
      </c>
      <c r="G9184" s="40" t="n">
        <v>423389.66</v>
      </c>
    </row>
    <row r="9185" ht="12" customHeight="1">
      <c r="A9185" s="30" t="inlineStr">
        <is>
          <t>ITG</t>
        </is>
      </c>
      <c r="B9185" s="30" t="inlineStr">
        <is>
          <t>Itaguai</t>
        </is>
      </c>
      <c r="C9185" s="30" t="n">
        <v>87407322</v>
      </c>
      <c r="D9185" s="30">
        <f>"35774611000414"</f>
        <v/>
      </c>
      <c r="E9185" s="30" t="inlineStr">
        <is>
          <t>PECITA PECAS ITAGUAI LTDA</t>
        </is>
      </c>
      <c r="F9185" s="30" t="inlineStr">
        <is>
          <t>2018</t>
        </is>
      </c>
      <c r="G9185" s="40" t="n">
        <v>3620700.77</v>
      </c>
    </row>
    <row r="9186" ht="12" customHeight="1">
      <c r="A9186" s="30" t="inlineStr">
        <is>
          <t>ITG</t>
        </is>
      </c>
      <c r="B9186" s="30" t="inlineStr">
        <is>
          <t>Itaguai</t>
        </is>
      </c>
      <c r="C9186" s="30" t="n">
        <v>87407322</v>
      </c>
      <c r="D9186" s="30">
        <f>"35774611000414"</f>
        <v/>
      </c>
      <c r="E9186" s="30" t="inlineStr">
        <is>
          <t>PECITA PECAS ITAGUAI LTDA</t>
        </is>
      </c>
      <c r="F9186" s="30" t="inlineStr">
        <is>
          <t>2019</t>
        </is>
      </c>
      <c r="G9186" s="40" t="n">
        <v>4865813.61</v>
      </c>
    </row>
    <row r="9187" ht="12" customHeight="1">
      <c r="A9187" s="30" t="inlineStr">
        <is>
          <t>ITG</t>
        </is>
      </c>
      <c r="B9187" s="30" t="inlineStr">
        <is>
          <t>Itaguai</t>
        </is>
      </c>
      <c r="C9187" s="30" t="n">
        <v>87407322</v>
      </c>
      <c r="D9187" s="30">
        <f>"35774611000414"</f>
        <v/>
      </c>
      <c r="E9187" s="30" t="inlineStr">
        <is>
          <t>PECITA PECAS ITAGUAI LTDA</t>
        </is>
      </c>
      <c r="F9187" s="30" t="inlineStr">
        <is>
          <t>2020</t>
        </is>
      </c>
      <c r="G9187" s="40" t="n">
        <v>2288318.96</v>
      </c>
    </row>
    <row r="9188" ht="12" customHeight="1">
      <c r="A9188" s="30" t="inlineStr">
        <is>
          <t>ITG</t>
        </is>
      </c>
      <c r="B9188" s="30" t="inlineStr">
        <is>
          <t>Itaguai</t>
        </is>
      </c>
      <c r="C9188" s="30" t="n">
        <v>87407322</v>
      </c>
      <c r="D9188" s="30">
        <f>"35774611000414"</f>
        <v/>
      </c>
      <c r="E9188" s="30" t="inlineStr">
        <is>
          <t>PECITA PECAS ITAGUAI LTDA</t>
        </is>
      </c>
      <c r="F9188" s="30" t="inlineStr">
        <is>
          <t>2021</t>
        </is>
      </c>
      <c r="G9188" s="40" t="n">
        <v>1772612.63</v>
      </c>
    </row>
    <row r="9189" ht="12" customHeight="1">
      <c r="A9189" s="30" t="inlineStr">
        <is>
          <t>ITG</t>
        </is>
      </c>
      <c r="B9189" s="30" t="inlineStr">
        <is>
          <t>Itaguai</t>
        </is>
      </c>
      <c r="C9189" s="30" t="n">
        <v>87407322</v>
      </c>
      <c r="D9189" s="30">
        <f>"35774611000414"</f>
        <v/>
      </c>
      <c r="E9189" s="30" t="inlineStr">
        <is>
          <t>PECITA PECAS ITAGUAI LTDA</t>
        </is>
      </c>
      <c r="F9189" s="30" t="inlineStr">
        <is>
          <t>2022</t>
        </is>
      </c>
      <c r="G9189" s="40" t="n">
        <v>2564989.56</v>
      </c>
    </row>
    <row r="9190" ht="12" customHeight="1">
      <c r="A9190" s="30" t="inlineStr">
        <is>
          <t>ITG</t>
        </is>
      </c>
      <c r="B9190" s="30" t="inlineStr">
        <is>
          <t>Itaguai</t>
        </is>
      </c>
      <c r="C9190" s="30" t="n">
        <v>87407322</v>
      </c>
      <c r="D9190" s="30">
        <f>"35774611000414"</f>
        <v/>
      </c>
      <c r="E9190" s="30" t="inlineStr">
        <is>
          <t>PECITA PECAS ITAGUAI LTDA</t>
        </is>
      </c>
      <c r="F9190" s="30" t="inlineStr">
        <is>
          <t>2023</t>
        </is>
      </c>
      <c r="G9190" s="40" t="n">
        <v>4509041.96</v>
      </c>
    </row>
    <row r="9191" ht="12" customHeight="1">
      <c r="A9191" s="30" t="inlineStr">
        <is>
          <t>ITG</t>
        </is>
      </c>
      <c r="B9191" s="30" t="inlineStr">
        <is>
          <t>Itaguai</t>
        </is>
      </c>
      <c r="C9191" s="30" t="n">
        <v>87407659</v>
      </c>
      <c r="D9191" s="30">
        <f>"08691713001122"</f>
        <v/>
      </c>
      <c r="E9191" s="30" t="inlineStr">
        <is>
          <t>PROGECO DO BRASIL OPERADORA INTERMODAL DE CONTEINERES LTDA</t>
        </is>
      </c>
      <c r="F9191" s="30" t="inlineStr">
        <is>
          <t>2017</t>
        </is>
      </c>
      <c r="G9191" s="40" t="n">
        <v>0</v>
      </c>
    </row>
    <row r="9192" ht="12" customHeight="1">
      <c r="A9192" s="30" t="inlineStr">
        <is>
          <t>ITG</t>
        </is>
      </c>
      <c r="B9192" s="30" t="inlineStr">
        <is>
          <t>Itaguai</t>
        </is>
      </c>
      <c r="C9192" s="30" t="n">
        <v>87407659</v>
      </c>
      <c r="D9192" s="30">
        <f>"08691713001122"</f>
        <v/>
      </c>
      <c r="E9192" s="30" t="inlineStr">
        <is>
          <t>PROGECO DO BRASIL OPERADORA INTERMODAL DE CONTEINERES LTDA</t>
        </is>
      </c>
      <c r="F9192" s="30" t="inlineStr">
        <is>
          <t>2018</t>
        </is>
      </c>
      <c r="G9192" s="40" t="n">
        <v>8542.030000000001</v>
      </c>
    </row>
    <row r="9193" ht="12" customHeight="1">
      <c r="A9193" s="30" t="inlineStr">
        <is>
          <t>ITG</t>
        </is>
      </c>
      <c r="B9193" s="30" t="inlineStr">
        <is>
          <t>Itaguai</t>
        </is>
      </c>
      <c r="C9193" s="30" t="n">
        <v>87407659</v>
      </c>
      <c r="D9193" s="30">
        <f>"08691713001122"</f>
        <v/>
      </c>
      <c r="E9193" s="30" t="inlineStr">
        <is>
          <t>PROGECO DO BRASIL OPERADORA INTERMODAL DE CONTEINERES LTDA</t>
        </is>
      </c>
      <c r="F9193" s="30" t="inlineStr">
        <is>
          <t>2019</t>
        </is>
      </c>
      <c r="G9193" s="40" t="n">
        <v>0</v>
      </c>
    </row>
    <row r="9194" ht="12" customHeight="1">
      <c r="A9194" s="30" t="inlineStr">
        <is>
          <t>ITG</t>
        </is>
      </c>
      <c r="B9194" s="30" t="inlineStr">
        <is>
          <t>Itaguai</t>
        </is>
      </c>
      <c r="C9194" s="30" t="n">
        <v>87407659</v>
      </c>
      <c r="D9194" s="30">
        <f>"08691713001122"</f>
        <v/>
      </c>
      <c r="E9194" s="30" t="inlineStr">
        <is>
          <t>PROGECO DO BRASIL OPERADORA INTERMODAL DE CONTEINERES LTDA</t>
        </is>
      </c>
      <c r="F9194" s="30" t="inlineStr">
        <is>
          <t>2020</t>
        </is>
      </c>
      <c r="G9194" s="40" t="n">
        <v>0</v>
      </c>
    </row>
    <row r="9195" ht="12" customHeight="1">
      <c r="A9195" s="30" t="inlineStr">
        <is>
          <t>ITG</t>
        </is>
      </c>
      <c r="B9195" s="30" t="inlineStr">
        <is>
          <t>Itaguai</t>
        </is>
      </c>
      <c r="C9195" s="30" t="n">
        <v>87418162</v>
      </c>
      <c r="D9195" s="30">
        <f>"28474094000150"</f>
        <v/>
      </c>
      <c r="E9195" s="30" t="inlineStr">
        <is>
          <t>COSTA VERDE POINT COMERCIO DE ALIMENTOS LTDA</t>
        </is>
      </c>
      <c r="F9195" s="30" t="inlineStr">
        <is>
          <t>2020</t>
        </is>
      </c>
      <c r="G9195" s="40" t="n">
        <v>0</v>
      </c>
    </row>
    <row r="9196" ht="12" customHeight="1">
      <c r="A9196" s="30" t="inlineStr">
        <is>
          <t>ITG</t>
        </is>
      </c>
      <c r="B9196" s="30" t="inlineStr">
        <is>
          <t>Itaguai</t>
        </is>
      </c>
      <c r="C9196" s="30" t="n">
        <v>87418162</v>
      </c>
      <c r="D9196" s="30">
        <f>"28474094000150"</f>
        <v/>
      </c>
      <c r="E9196" s="30" t="inlineStr">
        <is>
          <t>COSTA VERDE POINT COMERCIO DE ALIMENTOS LTDA</t>
        </is>
      </c>
      <c r="F9196" s="30" t="inlineStr">
        <is>
          <t>2021</t>
        </is>
      </c>
      <c r="G9196" s="40" t="n">
        <v>0</v>
      </c>
    </row>
    <row r="9197" ht="12" customHeight="1">
      <c r="A9197" s="30" t="inlineStr">
        <is>
          <t>ITG</t>
        </is>
      </c>
      <c r="B9197" s="30" t="inlineStr">
        <is>
          <t>Itaguai</t>
        </is>
      </c>
      <c r="C9197" s="30" t="n">
        <v>87418162</v>
      </c>
      <c r="D9197" s="30">
        <f>"28474094000150"</f>
        <v/>
      </c>
      <c r="E9197" s="30" t="inlineStr">
        <is>
          <t>COSTA VERDE POINT COMERCIO DE ALIMENTOS LTDA</t>
        </is>
      </c>
      <c r="F9197" s="30" t="inlineStr">
        <is>
          <t>2022</t>
        </is>
      </c>
      <c r="G9197" s="40" t="n">
        <v>112431.45</v>
      </c>
    </row>
    <row r="9198" ht="12" customHeight="1">
      <c r="A9198" s="30" t="inlineStr">
        <is>
          <t>ITG</t>
        </is>
      </c>
      <c r="B9198" s="30" t="inlineStr">
        <is>
          <t>Itaguai</t>
        </is>
      </c>
      <c r="C9198" s="30" t="n">
        <v>87418162</v>
      </c>
      <c r="D9198" s="30">
        <f>"28474094000150"</f>
        <v/>
      </c>
      <c r="E9198" s="30" t="inlineStr">
        <is>
          <t>COSTA VERDE POINT COMERCIO DE ALIMENTOS LTDA</t>
        </is>
      </c>
      <c r="F9198" s="30" t="inlineStr">
        <is>
          <t>2023</t>
        </is>
      </c>
      <c r="G9198" s="40" t="n">
        <v>0</v>
      </c>
    </row>
    <row r="9199" ht="12" customHeight="1">
      <c r="A9199" s="30" t="inlineStr">
        <is>
          <t>ITG</t>
        </is>
      </c>
      <c r="B9199" s="30" t="inlineStr">
        <is>
          <t>Itaguai</t>
        </is>
      </c>
      <c r="C9199" s="30" t="n">
        <v>87427978</v>
      </c>
      <c r="D9199" s="30">
        <f>"24217653000357"</f>
        <v/>
      </c>
      <c r="E9199" s="30" t="inlineStr">
        <is>
          <t>L4B LOGISTICA LTDA</t>
        </is>
      </c>
      <c r="F9199" s="30" t="inlineStr">
        <is>
          <t>2020</t>
        </is>
      </c>
      <c r="G9199" s="40" t="n">
        <v>0</v>
      </c>
    </row>
    <row r="9200" ht="12" customHeight="1">
      <c r="A9200" s="30" t="inlineStr">
        <is>
          <t>ITG</t>
        </is>
      </c>
      <c r="B9200" s="30" t="inlineStr">
        <is>
          <t>Itaguai</t>
        </is>
      </c>
      <c r="C9200" s="30" t="n">
        <v>87427978</v>
      </c>
      <c r="D9200" s="30">
        <f>"24217653000357"</f>
        <v/>
      </c>
      <c r="E9200" s="30" t="inlineStr">
        <is>
          <t>L4B LOGISTICA LTDA</t>
        </is>
      </c>
      <c r="F9200" s="30" t="inlineStr">
        <is>
          <t>2021</t>
        </is>
      </c>
      <c r="G9200" s="40" t="n">
        <v>0</v>
      </c>
    </row>
    <row r="9201" ht="12" customHeight="1">
      <c r="A9201" s="30" t="inlineStr">
        <is>
          <t>ITG</t>
        </is>
      </c>
      <c r="B9201" s="30" t="inlineStr">
        <is>
          <t>Itaguai</t>
        </is>
      </c>
      <c r="C9201" s="30" t="n">
        <v>87427978</v>
      </c>
      <c r="D9201" s="30">
        <f>"24217653000357"</f>
        <v/>
      </c>
      <c r="E9201" s="30" t="inlineStr">
        <is>
          <t>L4B LOGISTICA LTDA</t>
        </is>
      </c>
      <c r="F9201" s="30" t="inlineStr">
        <is>
          <t>2022</t>
        </is>
      </c>
      <c r="G9201" s="40" t="n">
        <v>11298.59</v>
      </c>
    </row>
    <row r="9202" ht="12" customHeight="1">
      <c r="A9202" s="30" t="inlineStr">
        <is>
          <t>ITG</t>
        </is>
      </c>
      <c r="B9202" s="30" t="inlineStr">
        <is>
          <t>Itaguai</t>
        </is>
      </c>
      <c r="C9202" s="30" t="n">
        <v>87427978</v>
      </c>
      <c r="D9202" s="30">
        <f>"24217653000357"</f>
        <v/>
      </c>
      <c r="E9202" s="30" t="inlineStr">
        <is>
          <t>L4B LOGISTICA LTDA</t>
        </is>
      </c>
      <c r="F9202" s="30" t="inlineStr">
        <is>
          <t>2023</t>
        </is>
      </c>
      <c r="G9202" s="40" t="n">
        <v>325.41</v>
      </c>
    </row>
    <row r="9203" ht="12" customHeight="1">
      <c r="A9203" s="30" t="inlineStr">
        <is>
          <t>ITG</t>
        </is>
      </c>
      <c r="B9203" s="30" t="inlineStr">
        <is>
          <t>Itaguai</t>
        </is>
      </c>
      <c r="C9203" s="30" t="n">
        <v>87428257</v>
      </c>
      <c r="D9203" s="30">
        <f>"28062596000173"</f>
        <v/>
      </c>
      <c r="E9203" s="30" t="inlineStr">
        <is>
          <t>R F MERCADO DO CAMPO ALIMENTOS LTDA.</t>
        </is>
      </c>
      <c r="F9203" s="30" t="inlineStr">
        <is>
          <t>2021</t>
        </is>
      </c>
      <c r="G9203" s="40" t="n">
        <v>0</v>
      </c>
    </row>
    <row r="9204" ht="12" customHeight="1">
      <c r="A9204" s="30" t="inlineStr">
        <is>
          <t>ITG</t>
        </is>
      </c>
      <c r="B9204" s="30" t="inlineStr">
        <is>
          <t>Itaguai</t>
        </is>
      </c>
      <c r="C9204" s="30" t="n">
        <v>87428257</v>
      </c>
      <c r="D9204" s="30">
        <f>"28062596000173"</f>
        <v/>
      </c>
      <c r="E9204" s="30" t="inlineStr">
        <is>
          <t>R F MERCADO DO CAMPO ALIMENTOS LTDA.</t>
        </is>
      </c>
      <c r="F9204" s="30" t="inlineStr">
        <is>
          <t>2022</t>
        </is>
      </c>
      <c r="G9204" s="40" t="n">
        <v>0</v>
      </c>
    </row>
    <row r="9205" ht="12" customHeight="1">
      <c r="A9205" s="30" t="inlineStr">
        <is>
          <t>ITG</t>
        </is>
      </c>
      <c r="B9205" s="30" t="inlineStr">
        <is>
          <t>Itaguai</t>
        </is>
      </c>
      <c r="C9205" s="30" t="n">
        <v>87428257</v>
      </c>
      <c r="D9205" s="30">
        <f>"28062596000173"</f>
        <v/>
      </c>
      <c r="E9205" s="30" t="inlineStr">
        <is>
          <t>R F MERCADO DO CAMPO ALIMENTOS LTDA.</t>
        </is>
      </c>
      <c r="F9205" s="30" t="inlineStr">
        <is>
          <t>2023</t>
        </is>
      </c>
      <c r="G9205" s="40" t="n">
        <v>0</v>
      </c>
    </row>
    <row r="9206" ht="12" customHeight="1">
      <c r="A9206" s="30" t="inlineStr">
        <is>
          <t>ITG</t>
        </is>
      </c>
      <c r="B9206" s="30" t="inlineStr">
        <is>
          <t>Itaguai</t>
        </is>
      </c>
      <c r="C9206" s="30" t="n">
        <v>87430200</v>
      </c>
      <c r="D9206" s="30">
        <f>"23323326000155"</f>
        <v/>
      </c>
      <c r="E9206" s="30" t="inlineStr">
        <is>
          <t>J DA SILVA CANDIDO HORTIFRUTI EIRELI</t>
        </is>
      </c>
      <c r="F9206" s="30" t="inlineStr">
        <is>
          <t>2018</t>
        </is>
      </c>
      <c r="G9206" s="40" t="n">
        <v>0</v>
      </c>
    </row>
    <row r="9207" ht="12" customHeight="1">
      <c r="A9207" s="30" t="inlineStr">
        <is>
          <t>ITG</t>
        </is>
      </c>
      <c r="B9207" s="30" t="inlineStr">
        <is>
          <t>Itaguai</t>
        </is>
      </c>
      <c r="C9207" s="30" t="n">
        <v>87430200</v>
      </c>
      <c r="D9207" s="30">
        <f>"23323326000155"</f>
        <v/>
      </c>
      <c r="E9207" s="30" t="inlineStr">
        <is>
          <t>J DA SILVA CANDIDO HORTIFRUTI EIRELI</t>
        </is>
      </c>
      <c r="F9207" s="30" t="inlineStr">
        <is>
          <t>2019</t>
        </is>
      </c>
      <c r="G9207" s="40" t="n">
        <v>0</v>
      </c>
    </row>
    <row r="9208" ht="12" customHeight="1">
      <c r="A9208" s="30" t="inlineStr">
        <is>
          <t>ITG</t>
        </is>
      </c>
      <c r="B9208" s="30" t="inlineStr">
        <is>
          <t>Itaguai</t>
        </is>
      </c>
      <c r="C9208" s="30" t="n">
        <v>87430200</v>
      </c>
      <c r="D9208" s="30">
        <f>"23323326000155"</f>
        <v/>
      </c>
      <c r="E9208" s="30" t="inlineStr">
        <is>
          <t>J DA SILVA CANDIDO HORTIFRUTI EIRELI</t>
        </is>
      </c>
      <c r="F9208" s="30" t="inlineStr">
        <is>
          <t>2020</t>
        </is>
      </c>
      <c r="G9208" s="40" t="n">
        <v>0</v>
      </c>
    </row>
    <row r="9209" ht="12" customHeight="1">
      <c r="A9209" s="30" t="inlineStr">
        <is>
          <t>ITG</t>
        </is>
      </c>
      <c r="B9209" s="30" t="inlineStr">
        <is>
          <t>Itaguai</t>
        </is>
      </c>
      <c r="C9209" s="30" t="n">
        <v>87430200</v>
      </c>
      <c r="D9209" s="30">
        <f>"23323326000155"</f>
        <v/>
      </c>
      <c r="E9209" s="30" t="inlineStr">
        <is>
          <t>J DA SILVA CANDIDO HORTIFRUTI EIRELI</t>
        </is>
      </c>
      <c r="F9209" s="30" t="inlineStr">
        <is>
          <t>2021</t>
        </is>
      </c>
      <c r="G9209" s="40" t="n">
        <v>0</v>
      </c>
    </row>
    <row r="9210" ht="12" customHeight="1">
      <c r="A9210" s="30" t="inlineStr">
        <is>
          <t>ITG</t>
        </is>
      </c>
      <c r="B9210" s="30" t="inlineStr">
        <is>
          <t>Itaguai</t>
        </is>
      </c>
      <c r="C9210" s="30" t="n">
        <v>87430200</v>
      </c>
      <c r="D9210" s="30">
        <f>"23323326000155"</f>
        <v/>
      </c>
      <c r="E9210" s="30" t="inlineStr">
        <is>
          <t>J DA SILVA CANDIDO HORTIFRUTI EIRELI</t>
        </is>
      </c>
      <c r="F9210" s="30" t="inlineStr">
        <is>
          <t>2022</t>
        </is>
      </c>
      <c r="G9210" s="40" t="n">
        <v>0</v>
      </c>
    </row>
    <row r="9211" ht="12" customHeight="1">
      <c r="A9211" s="30" t="inlineStr">
        <is>
          <t>ITG</t>
        </is>
      </c>
      <c r="B9211" s="30" t="inlineStr">
        <is>
          <t>Itaguai</t>
        </is>
      </c>
      <c r="C9211" s="30" t="n">
        <v>87440672</v>
      </c>
      <c r="D9211" s="30">
        <f>"26461922000190"</f>
        <v/>
      </c>
      <c r="E9211" s="30" t="inlineStr">
        <is>
          <t>AUTO POSTO LUAR DO ARCO LTDA</t>
        </is>
      </c>
      <c r="F9211" s="30" t="inlineStr">
        <is>
          <t>2017</t>
        </is>
      </c>
      <c r="G9211" s="40" t="n">
        <v>0</v>
      </c>
    </row>
    <row r="9212" ht="12" customHeight="1">
      <c r="A9212" s="30" t="inlineStr">
        <is>
          <t>ITG</t>
        </is>
      </c>
      <c r="B9212" s="30" t="inlineStr">
        <is>
          <t>Itaguai</t>
        </is>
      </c>
      <c r="C9212" s="30" t="n">
        <v>87440672</v>
      </c>
      <c r="D9212" s="30">
        <f>"26461922000190"</f>
        <v/>
      </c>
      <c r="E9212" s="30" t="inlineStr">
        <is>
          <t>AUTO POSTO LUAR DO ARCO LTDA</t>
        </is>
      </c>
      <c r="F9212" s="30" t="inlineStr">
        <is>
          <t>2018</t>
        </is>
      </c>
      <c r="G9212" s="40" t="n">
        <v>0</v>
      </c>
    </row>
    <row r="9213" ht="12" customHeight="1">
      <c r="A9213" s="30" t="inlineStr">
        <is>
          <t>ITG</t>
        </is>
      </c>
      <c r="B9213" s="30" t="inlineStr">
        <is>
          <t>Itaguai</t>
        </is>
      </c>
      <c r="C9213" s="30" t="n">
        <v>87440672</v>
      </c>
      <c r="D9213" s="30">
        <f>"26461922000190"</f>
        <v/>
      </c>
      <c r="E9213" s="30" t="inlineStr">
        <is>
          <t>AUTO POSTO LUAR DO ARCO LTDA</t>
        </is>
      </c>
      <c r="F9213" s="30" t="inlineStr">
        <is>
          <t>2019</t>
        </is>
      </c>
      <c r="G9213" s="40" t="n">
        <v>778682.4300000001</v>
      </c>
    </row>
    <row r="9214" ht="12" customHeight="1">
      <c r="A9214" s="30" t="inlineStr">
        <is>
          <t>ITG</t>
        </is>
      </c>
      <c r="B9214" s="30" t="inlineStr">
        <is>
          <t>Itaguai</t>
        </is>
      </c>
      <c r="C9214" s="30" t="n">
        <v>87440672</v>
      </c>
      <c r="D9214" s="30">
        <f>"26461922000190"</f>
        <v/>
      </c>
      <c r="E9214" s="30" t="inlineStr">
        <is>
          <t>AUTO POSTO LUAR DO ARCO LTDA</t>
        </is>
      </c>
      <c r="F9214" s="30" t="inlineStr">
        <is>
          <t>2020</t>
        </is>
      </c>
      <c r="G9214" s="40" t="n">
        <v>624886.36</v>
      </c>
    </row>
    <row r="9215" ht="12" customHeight="1">
      <c r="A9215" s="30" t="inlineStr">
        <is>
          <t>ITG</t>
        </is>
      </c>
      <c r="B9215" s="30" t="inlineStr">
        <is>
          <t>Itaguai</t>
        </is>
      </c>
      <c r="C9215" s="30" t="n">
        <v>87440672</v>
      </c>
      <c r="D9215" s="30">
        <f>"26461922000190"</f>
        <v/>
      </c>
      <c r="E9215" s="30" t="inlineStr">
        <is>
          <t>AUTO POSTO LUAR DO ARCO LTDA</t>
        </is>
      </c>
      <c r="F9215" s="30" t="inlineStr">
        <is>
          <t>2021</t>
        </is>
      </c>
      <c r="G9215" s="40" t="n">
        <v>42985.61</v>
      </c>
    </row>
    <row r="9216" ht="12" customHeight="1">
      <c r="A9216" s="30" t="inlineStr">
        <is>
          <t>ITG</t>
        </is>
      </c>
      <c r="B9216" s="30" t="inlineStr">
        <is>
          <t>Itaguai</t>
        </is>
      </c>
      <c r="C9216" s="30" t="n">
        <v>87440672</v>
      </c>
      <c r="D9216" s="30">
        <f>"26461922000190"</f>
        <v/>
      </c>
      <c r="E9216" s="30" t="inlineStr">
        <is>
          <t>AUTO POSTO LUAR DO ARCO LTDA</t>
        </is>
      </c>
      <c r="F9216" s="30" t="inlineStr">
        <is>
          <t>2022</t>
        </is>
      </c>
      <c r="G9216" s="40" t="n">
        <v>3593001.39</v>
      </c>
    </row>
    <row r="9217" ht="12" customHeight="1">
      <c r="A9217" s="30" t="inlineStr">
        <is>
          <t>ITG</t>
        </is>
      </c>
      <c r="B9217" s="30" t="inlineStr">
        <is>
          <t>Itaguai</t>
        </is>
      </c>
      <c r="C9217" s="30" t="n">
        <v>87440672</v>
      </c>
      <c r="D9217" s="30">
        <f>"26461922000190"</f>
        <v/>
      </c>
      <c r="E9217" s="30" t="inlineStr">
        <is>
          <t>AUTO POSTO LUAR DO ARCO LTDA</t>
        </is>
      </c>
      <c r="F9217" s="30" t="inlineStr">
        <is>
          <t>2023</t>
        </is>
      </c>
      <c r="G9217" s="40" t="n">
        <v>3083045.35</v>
      </c>
    </row>
    <row r="9218" ht="12" customHeight="1">
      <c r="A9218" s="30" t="inlineStr">
        <is>
          <t>ITG</t>
        </is>
      </c>
      <c r="B9218" s="30" t="inlineStr">
        <is>
          <t>Itaguai</t>
        </is>
      </c>
      <c r="C9218" s="30" t="n">
        <v>87449637</v>
      </c>
      <c r="D9218" s="30">
        <f>"18636202000190"</f>
        <v/>
      </c>
      <c r="E9218" s="30" t="inlineStr">
        <is>
          <t>SUPERMERCADO MIRAI DE ITAGUAI EIRELI</t>
        </is>
      </c>
      <c r="F9218" s="30" t="inlineStr">
        <is>
          <t>2017</t>
        </is>
      </c>
      <c r="G9218" s="40" t="n">
        <v>228934.66</v>
      </c>
    </row>
    <row r="9219" ht="12" customHeight="1">
      <c r="A9219" s="30" t="inlineStr">
        <is>
          <t>ITG</t>
        </is>
      </c>
      <c r="B9219" s="30" t="inlineStr">
        <is>
          <t>Itaguai</t>
        </is>
      </c>
      <c r="C9219" s="30" t="n">
        <v>87449637</v>
      </c>
      <c r="D9219" s="30">
        <f>"18636202000190"</f>
        <v/>
      </c>
      <c r="E9219" s="30" t="inlineStr">
        <is>
          <t>SUPERMERCADO MIRAI DE ITAGUAI EIRELI</t>
        </is>
      </c>
      <c r="F9219" s="30" t="inlineStr">
        <is>
          <t>2018</t>
        </is>
      </c>
      <c r="G9219" s="40" t="n">
        <v>1096077.59</v>
      </c>
    </row>
    <row r="9220" ht="12" customHeight="1">
      <c r="A9220" s="30" t="inlineStr">
        <is>
          <t>ITG</t>
        </is>
      </c>
      <c r="B9220" s="30" t="inlineStr">
        <is>
          <t>Itaguai</t>
        </is>
      </c>
      <c r="C9220" s="30" t="n">
        <v>87449637</v>
      </c>
      <c r="D9220" s="30">
        <f>"18636202000190"</f>
        <v/>
      </c>
      <c r="E9220" s="30" t="inlineStr">
        <is>
          <t>SUPERMERCADO MIRAI DE ITAGUAI EIRELI</t>
        </is>
      </c>
      <c r="F9220" s="30" t="inlineStr">
        <is>
          <t>2019</t>
        </is>
      </c>
      <c r="G9220" s="40" t="n">
        <v>0</v>
      </c>
    </row>
    <row r="9221" ht="12" customHeight="1">
      <c r="A9221" s="30" t="inlineStr">
        <is>
          <t>ITG</t>
        </is>
      </c>
      <c r="B9221" s="30" t="inlineStr">
        <is>
          <t>Itaguai</t>
        </is>
      </c>
      <c r="C9221" s="30" t="n">
        <v>87449637</v>
      </c>
      <c r="D9221" s="30">
        <f>"18636202000190"</f>
        <v/>
      </c>
      <c r="E9221" s="30" t="inlineStr">
        <is>
          <t>SUPERMERCADO MIRAI DE ITAGUAI EIRELI</t>
        </is>
      </c>
      <c r="F9221" s="30" t="inlineStr">
        <is>
          <t>2020</t>
        </is>
      </c>
      <c r="G9221" s="40" t="n">
        <v>3251739.04</v>
      </c>
    </row>
    <row r="9222" ht="12" customHeight="1">
      <c r="A9222" s="30" t="inlineStr">
        <is>
          <t>ITG</t>
        </is>
      </c>
      <c r="B9222" s="30" t="inlineStr">
        <is>
          <t>Itaguai</t>
        </is>
      </c>
      <c r="C9222" s="30" t="n">
        <v>87449637</v>
      </c>
      <c r="D9222" s="30">
        <f>"18636202000190"</f>
        <v/>
      </c>
      <c r="E9222" s="30" t="inlineStr">
        <is>
          <t>SUPERMERCADO MIRAI DE ITAGUAI EIRELI</t>
        </is>
      </c>
      <c r="F9222" s="30" t="inlineStr">
        <is>
          <t>2021</t>
        </is>
      </c>
      <c r="G9222" s="40" t="n">
        <v>3078169.62</v>
      </c>
    </row>
    <row r="9223" ht="12" customHeight="1">
      <c r="A9223" s="30" t="inlineStr">
        <is>
          <t>ITG</t>
        </is>
      </c>
      <c r="B9223" s="30" t="inlineStr">
        <is>
          <t>Itaguai</t>
        </is>
      </c>
      <c r="C9223" s="30" t="n">
        <v>87449637</v>
      </c>
      <c r="D9223" s="30">
        <f>"18636202000190"</f>
        <v/>
      </c>
      <c r="E9223" s="30" t="inlineStr">
        <is>
          <t>SUPERMERCADO MIRAI DE ITAGUAI EIRELI</t>
        </is>
      </c>
      <c r="F9223" s="30" t="inlineStr">
        <is>
          <t>2022</t>
        </is>
      </c>
      <c r="G9223" s="40" t="n">
        <v>0</v>
      </c>
    </row>
    <row r="9224" ht="12" customHeight="1">
      <c r="A9224" s="30" t="inlineStr">
        <is>
          <t>ITG</t>
        </is>
      </c>
      <c r="B9224" s="30" t="inlineStr">
        <is>
          <t>Itaguai</t>
        </is>
      </c>
      <c r="C9224" s="30" t="n">
        <v>87449637</v>
      </c>
      <c r="D9224" s="30">
        <f>"18636202000190"</f>
        <v/>
      </c>
      <c r="E9224" s="30" t="inlineStr">
        <is>
          <t>SUPERMERCADO MIRAI DE ITAGUAI EIRELI</t>
        </is>
      </c>
      <c r="F9224" s="30" t="inlineStr">
        <is>
          <t>2023</t>
        </is>
      </c>
      <c r="G9224" s="40" t="n">
        <v>0</v>
      </c>
    </row>
    <row r="9225" ht="12" customHeight="1">
      <c r="A9225" s="30" t="inlineStr">
        <is>
          <t>ITG</t>
        </is>
      </c>
      <c r="B9225" s="30" t="inlineStr">
        <is>
          <t>Itaguai</t>
        </is>
      </c>
      <c r="C9225" s="30" t="n">
        <v>87455246</v>
      </c>
      <c r="D9225" s="30">
        <f>"28894029000183"</f>
        <v/>
      </c>
      <c r="E9225" s="30" t="inlineStr">
        <is>
          <t>WN TRANSPORTES DE COMBUSTIVEIS E CARGAS EIRELI EPP</t>
        </is>
      </c>
      <c r="F9225" s="30" t="inlineStr">
        <is>
          <t>2020</t>
        </is>
      </c>
      <c r="G9225" s="40" t="n">
        <v>0</v>
      </c>
    </row>
    <row r="9226" ht="12" customHeight="1">
      <c r="A9226" s="30" t="inlineStr">
        <is>
          <t>ITG</t>
        </is>
      </c>
      <c r="B9226" s="30" t="inlineStr">
        <is>
          <t>Itaguai</t>
        </is>
      </c>
      <c r="C9226" s="30" t="n">
        <v>87455246</v>
      </c>
      <c r="D9226" s="30">
        <f>"28894029000183"</f>
        <v/>
      </c>
      <c r="E9226" s="30" t="inlineStr">
        <is>
          <t>WN TRANSPORTES DE COMBUSTIVEIS E CARGAS EIRELI EPP</t>
        </is>
      </c>
      <c r="F9226" s="30" t="inlineStr">
        <is>
          <t>2021</t>
        </is>
      </c>
      <c r="G9226" s="40" t="n">
        <v>0</v>
      </c>
    </row>
    <row r="9227" ht="12" customHeight="1">
      <c r="A9227" s="30" t="inlineStr">
        <is>
          <t>ITG</t>
        </is>
      </c>
      <c r="B9227" s="30" t="inlineStr">
        <is>
          <t>Itaguai</t>
        </is>
      </c>
      <c r="C9227" s="30" t="n">
        <v>87455246</v>
      </c>
      <c r="D9227" s="30">
        <f>"28894029000183"</f>
        <v/>
      </c>
      <c r="E9227" s="30" t="inlineStr">
        <is>
          <t>WN TRANSPORTES DE COMBUSTIVEIS E CARGAS EIRELI EPP</t>
        </is>
      </c>
      <c r="F9227" s="30" t="inlineStr">
        <is>
          <t>2022</t>
        </is>
      </c>
      <c r="G9227" s="40" t="n">
        <v>9584.879999999999</v>
      </c>
    </row>
    <row r="9228" ht="12" customHeight="1">
      <c r="A9228" s="30" t="inlineStr">
        <is>
          <t>ITG</t>
        </is>
      </c>
      <c r="B9228" s="30" t="inlineStr">
        <is>
          <t>Itaguai</t>
        </is>
      </c>
      <c r="C9228" s="30" t="n">
        <v>87455246</v>
      </c>
      <c r="D9228" s="30">
        <f>"28894029000183"</f>
        <v/>
      </c>
      <c r="E9228" s="30" t="inlineStr">
        <is>
          <t>WN TRANSPORTES DE COMBUSTIVEIS E CARGAS EIRELI EPP</t>
        </is>
      </c>
      <c r="F9228" s="30" t="inlineStr">
        <is>
          <t>2023</t>
        </is>
      </c>
      <c r="G9228" s="40" t="n">
        <v>0</v>
      </c>
    </row>
    <row r="9229" ht="12" customHeight="1">
      <c r="A9229" s="30" t="inlineStr">
        <is>
          <t>ITG</t>
        </is>
      </c>
      <c r="B9229" s="30" t="inlineStr">
        <is>
          <t>Itaguai</t>
        </is>
      </c>
      <c r="C9229" s="30" t="n">
        <v>87455726</v>
      </c>
      <c r="D9229" s="30">
        <f>"28326660000186"</f>
        <v/>
      </c>
      <c r="E9229" s="30" t="inlineStr">
        <is>
          <t>INSTITUTO MAZOMBA DE ARTE E CULTURA</t>
        </is>
      </c>
      <c r="F9229" s="30" t="inlineStr">
        <is>
          <t>2019</t>
        </is>
      </c>
      <c r="G9229" s="40" t="n">
        <v>0</v>
      </c>
    </row>
    <row r="9230" ht="12" customHeight="1">
      <c r="A9230" s="30" t="inlineStr">
        <is>
          <t>ITG</t>
        </is>
      </c>
      <c r="B9230" s="30" t="inlineStr">
        <is>
          <t>Itaguai</t>
        </is>
      </c>
      <c r="C9230" s="30" t="n">
        <v>87455726</v>
      </c>
      <c r="D9230" s="30">
        <f>"28326660000186"</f>
        <v/>
      </c>
      <c r="E9230" s="30" t="inlineStr">
        <is>
          <t>INSTITUTO MAZOMBA DE ARTE E CULTURA</t>
        </is>
      </c>
      <c r="F9230" s="30" t="inlineStr">
        <is>
          <t>2020</t>
        </is>
      </c>
      <c r="G9230" s="40" t="n">
        <v>0</v>
      </c>
    </row>
    <row r="9231" ht="12" customHeight="1">
      <c r="A9231" s="30" t="inlineStr">
        <is>
          <t>ITG</t>
        </is>
      </c>
      <c r="B9231" s="30" t="inlineStr">
        <is>
          <t>Itaguai</t>
        </is>
      </c>
      <c r="C9231" s="30" t="n">
        <v>87455726</v>
      </c>
      <c r="D9231" s="30">
        <f>"28326660000186"</f>
        <v/>
      </c>
      <c r="E9231" s="30" t="inlineStr">
        <is>
          <t>INSTITUTO MAZOMBA DE ARTE E CULTURA</t>
        </is>
      </c>
      <c r="F9231" s="30" t="inlineStr">
        <is>
          <t>2021</t>
        </is>
      </c>
      <c r="G9231" s="40" t="n">
        <v>0</v>
      </c>
    </row>
    <row r="9232" ht="12" customHeight="1">
      <c r="A9232" s="30" t="inlineStr">
        <is>
          <t>ITG</t>
        </is>
      </c>
      <c r="B9232" s="30" t="inlineStr">
        <is>
          <t>Itaguai</t>
        </is>
      </c>
      <c r="C9232" s="30" t="n">
        <v>87455726</v>
      </c>
      <c r="D9232" s="30">
        <f>"28326660000186"</f>
        <v/>
      </c>
      <c r="E9232" s="30" t="inlineStr">
        <is>
          <t>INSTITUTO MAZOMBA DE ARTE E CULTURA</t>
        </is>
      </c>
      <c r="F9232" s="30" t="inlineStr">
        <is>
          <t>2022</t>
        </is>
      </c>
      <c r="G9232" s="40" t="n">
        <v>0</v>
      </c>
    </row>
    <row r="9233" ht="12" customHeight="1">
      <c r="A9233" s="30" t="inlineStr">
        <is>
          <t>ITG</t>
        </is>
      </c>
      <c r="B9233" s="30" t="inlineStr">
        <is>
          <t>Itaguai</t>
        </is>
      </c>
      <c r="C9233" s="30" t="n">
        <v>87455726</v>
      </c>
      <c r="D9233" s="30">
        <f>"28326660000186"</f>
        <v/>
      </c>
      <c r="E9233" s="30" t="inlineStr">
        <is>
          <t>INSTITUTO MAZOMBA DE ARTE E CULTURA</t>
        </is>
      </c>
      <c r="F9233" s="30" t="inlineStr">
        <is>
          <t>2023</t>
        </is>
      </c>
      <c r="G9233" s="40" t="n">
        <v>0</v>
      </c>
    </row>
    <row r="9234" ht="12" customHeight="1">
      <c r="A9234" s="30" t="inlineStr">
        <is>
          <t>ITG</t>
        </is>
      </c>
      <c r="B9234" s="30" t="inlineStr">
        <is>
          <t>Itaguai</t>
        </is>
      </c>
      <c r="C9234" s="30" t="n">
        <v>87458482</v>
      </c>
      <c r="D9234" s="30">
        <f>"28840816000142"</f>
        <v/>
      </c>
      <c r="E9234" s="30" t="inlineStr">
        <is>
          <t>VERLY HORTIFRUTI EIRELI ME</t>
        </is>
      </c>
      <c r="F9234" s="30" t="inlineStr">
        <is>
          <t>2019</t>
        </is>
      </c>
      <c r="G9234" s="40" t="n">
        <v>0</v>
      </c>
    </row>
    <row r="9235" ht="12" customHeight="1">
      <c r="A9235" s="30" t="inlineStr">
        <is>
          <t>ITG</t>
        </is>
      </c>
      <c r="B9235" s="30" t="inlineStr">
        <is>
          <t>Itaguai</t>
        </is>
      </c>
      <c r="C9235" s="30" t="n">
        <v>87458482</v>
      </c>
      <c r="D9235" s="30">
        <f>"28840816000142"</f>
        <v/>
      </c>
      <c r="E9235" s="30" t="inlineStr">
        <is>
          <t>VERLY HORTIFRUTI EIRELI ME</t>
        </is>
      </c>
      <c r="F9235" s="30" t="inlineStr">
        <is>
          <t>2020</t>
        </is>
      </c>
      <c r="G9235" s="40" t="n">
        <v>0</v>
      </c>
    </row>
    <row r="9236" ht="12" customHeight="1">
      <c r="A9236" s="30" t="inlineStr">
        <is>
          <t>ITG</t>
        </is>
      </c>
      <c r="B9236" s="30" t="inlineStr">
        <is>
          <t>Itaguai</t>
        </is>
      </c>
      <c r="C9236" s="30" t="n">
        <v>87458482</v>
      </c>
      <c r="D9236" s="30">
        <f>"28840816000142"</f>
        <v/>
      </c>
      <c r="E9236" s="30" t="inlineStr">
        <is>
          <t>VERLY HORTIFRUTI EIRELI ME</t>
        </is>
      </c>
      <c r="F9236" s="30" t="inlineStr">
        <is>
          <t>2021</t>
        </is>
      </c>
      <c r="G9236" s="40" t="n">
        <v>0</v>
      </c>
    </row>
    <row r="9237" ht="12" customHeight="1">
      <c r="A9237" s="30" t="inlineStr">
        <is>
          <t>ITG</t>
        </is>
      </c>
      <c r="B9237" s="30" t="inlineStr">
        <is>
          <t>Itaguai</t>
        </is>
      </c>
      <c r="C9237" s="30" t="n">
        <v>87458482</v>
      </c>
      <c r="D9237" s="30">
        <f>"28840816000142"</f>
        <v/>
      </c>
      <c r="E9237" s="30" t="inlineStr">
        <is>
          <t>VERLY HORTIFRUTI EIRELI ME</t>
        </is>
      </c>
      <c r="F9237" s="30" t="inlineStr">
        <is>
          <t>2022</t>
        </is>
      </c>
      <c r="G9237" s="40" t="n">
        <v>0</v>
      </c>
    </row>
    <row r="9238" ht="12" customHeight="1">
      <c r="A9238" s="30" t="inlineStr">
        <is>
          <t>ITG</t>
        </is>
      </c>
      <c r="B9238" s="30" t="inlineStr">
        <is>
          <t>Itaguai</t>
        </is>
      </c>
      <c r="C9238" s="30" t="n">
        <v>87458482</v>
      </c>
      <c r="D9238" s="30">
        <f>"28840816000142"</f>
        <v/>
      </c>
      <c r="E9238" s="30" t="inlineStr">
        <is>
          <t>VERLY HORTIFRUTI EIRELI ME</t>
        </is>
      </c>
      <c r="F9238" s="30" t="inlineStr">
        <is>
          <t>2023</t>
        </is>
      </c>
      <c r="G9238" s="40" t="n">
        <v>0</v>
      </c>
    </row>
    <row r="9239" ht="12" customHeight="1">
      <c r="A9239" s="30" t="inlineStr">
        <is>
          <t>ITG</t>
        </is>
      </c>
      <c r="B9239" s="30" t="inlineStr">
        <is>
          <t>Itaguai</t>
        </is>
      </c>
      <c r="C9239" s="30" t="n">
        <v>87470733</v>
      </c>
      <c r="D9239" s="30">
        <f>"09090999000343"</f>
        <v/>
      </c>
      <c r="E9239" s="30" t="inlineStr">
        <is>
          <t>TRANSLAGUNA ARMAZENAGEM E TRANSPORTES EIRELI - ME</t>
        </is>
      </c>
      <c r="F9239" s="30" t="inlineStr">
        <is>
          <t>2017</t>
        </is>
      </c>
      <c r="G9239" s="40" t="n">
        <v>0</v>
      </c>
    </row>
    <row r="9240" ht="12" customHeight="1">
      <c r="A9240" s="30" t="inlineStr">
        <is>
          <t>ITG</t>
        </is>
      </c>
      <c r="B9240" s="30" t="inlineStr">
        <is>
          <t>Itaguai</t>
        </is>
      </c>
      <c r="C9240" s="30" t="n">
        <v>87470733</v>
      </c>
      <c r="D9240" s="30">
        <f>"09090999000343"</f>
        <v/>
      </c>
      <c r="E9240" s="30" t="inlineStr">
        <is>
          <t>TRANSLAGUNA ARMAZENAGEM E TRANSPORTES EIRELI - ME</t>
        </is>
      </c>
      <c r="F9240" s="30" t="inlineStr">
        <is>
          <t>2018</t>
        </is>
      </c>
      <c r="G9240" s="40" t="n">
        <v>0</v>
      </c>
    </row>
    <row r="9241" ht="12" customHeight="1">
      <c r="A9241" s="30" t="inlineStr">
        <is>
          <t>ITG</t>
        </is>
      </c>
      <c r="B9241" s="30" t="inlineStr">
        <is>
          <t>Itaguai</t>
        </is>
      </c>
      <c r="C9241" s="30" t="n">
        <v>87470733</v>
      </c>
      <c r="D9241" s="30">
        <f>"09090999000343"</f>
        <v/>
      </c>
      <c r="E9241" s="30" t="inlineStr">
        <is>
          <t>TRANSLAGUNA ARMAZENAGEM E TRANSPORTES EIRELI - ME</t>
        </is>
      </c>
      <c r="F9241" s="30" t="inlineStr">
        <is>
          <t>2019</t>
        </is>
      </c>
      <c r="G9241" s="40" t="n">
        <v>85.23999999999999</v>
      </c>
    </row>
    <row r="9242" ht="12" customHeight="1">
      <c r="A9242" s="30" t="inlineStr">
        <is>
          <t>ITG</t>
        </is>
      </c>
      <c r="B9242" s="30" t="inlineStr">
        <is>
          <t>Itaguai</t>
        </is>
      </c>
      <c r="C9242" s="30" t="n">
        <v>87470733</v>
      </c>
      <c r="D9242" s="30">
        <f>"09090999000343"</f>
        <v/>
      </c>
      <c r="E9242" s="30" t="inlineStr">
        <is>
          <t>TRANSLAGUNA ARMAZENAGEM E TRANSPORTES EIRELI - ME</t>
        </is>
      </c>
      <c r="F9242" s="30" t="inlineStr">
        <is>
          <t>2020</t>
        </is>
      </c>
      <c r="G9242" s="40" t="n">
        <v>0</v>
      </c>
    </row>
    <row r="9243" ht="12" customHeight="1">
      <c r="A9243" s="30" t="inlineStr">
        <is>
          <t>ITG</t>
        </is>
      </c>
      <c r="B9243" s="30" t="inlineStr">
        <is>
          <t>Itaguai</t>
        </is>
      </c>
      <c r="C9243" s="30" t="n">
        <v>87470733</v>
      </c>
      <c r="D9243" s="30">
        <f>"09090999000343"</f>
        <v/>
      </c>
      <c r="E9243" s="30" t="inlineStr">
        <is>
          <t>TRANSLAGUNA ARMAZENAGEM E TRANSPORTES EIRELI - ME</t>
        </is>
      </c>
      <c r="F9243" s="30" t="inlineStr">
        <is>
          <t>2021</t>
        </is>
      </c>
      <c r="G9243" s="40" t="n">
        <v>0</v>
      </c>
    </row>
    <row r="9244" ht="12" customHeight="1">
      <c r="A9244" s="30" t="inlineStr">
        <is>
          <t>ITG</t>
        </is>
      </c>
      <c r="B9244" s="30" t="inlineStr">
        <is>
          <t>Itaguai</t>
        </is>
      </c>
      <c r="C9244" s="30" t="n">
        <v>87470750</v>
      </c>
      <c r="D9244" s="30">
        <f>"19767677000420"</f>
        <v/>
      </c>
      <c r="E9244" s="30" t="inlineStr">
        <is>
          <t>PH CLIMA COMERCIO E SERVICOS DE REFRIGERACAO LTDA ME</t>
        </is>
      </c>
      <c r="F9244" s="30" t="inlineStr">
        <is>
          <t>2017</t>
        </is>
      </c>
      <c r="G9244" s="40" t="n">
        <v>0</v>
      </c>
    </row>
    <row r="9245" ht="12" customHeight="1">
      <c r="A9245" s="30" t="inlineStr">
        <is>
          <t>ITG</t>
        </is>
      </c>
      <c r="B9245" s="30" t="inlineStr">
        <is>
          <t>Itaguai</t>
        </is>
      </c>
      <c r="C9245" s="30" t="n">
        <v>87470750</v>
      </c>
      <c r="D9245" s="30">
        <f>"19767677000420"</f>
        <v/>
      </c>
      <c r="E9245" s="30" t="inlineStr">
        <is>
          <t>PH CLIMA COMERCIO E SERVICOS DE REFRIGERACAO LTDA ME</t>
        </is>
      </c>
      <c r="F9245" s="30" t="inlineStr">
        <is>
          <t>2018</t>
        </is>
      </c>
      <c r="G9245" s="40" t="n">
        <v>0</v>
      </c>
    </row>
    <row r="9246" ht="12" customHeight="1">
      <c r="A9246" s="30" t="inlineStr">
        <is>
          <t>ITG</t>
        </is>
      </c>
      <c r="B9246" s="30" t="inlineStr">
        <is>
          <t>Itaguai</t>
        </is>
      </c>
      <c r="C9246" s="30" t="n">
        <v>87470750</v>
      </c>
      <c r="D9246" s="30">
        <f>"19767677000420"</f>
        <v/>
      </c>
      <c r="E9246" s="30" t="inlineStr">
        <is>
          <t>PH CLIMA COMERCIO E SERVICOS DE REFRIGERACAO LTDA ME</t>
        </is>
      </c>
      <c r="F9246" s="30" t="inlineStr">
        <is>
          <t>2019</t>
        </is>
      </c>
      <c r="G9246" s="40" t="n">
        <v>0</v>
      </c>
    </row>
    <row r="9247" ht="12" customHeight="1">
      <c r="A9247" s="30" t="inlineStr">
        <is>
          <t>ITG</t>
        </is>
      </c>
      <c r="B9247" s="30" t="inlineStr">
        <is>
          <t>Itaguai</t>
        </is>
      </c>
      <c r="C9247" s="30" t="n">
        <v>87470750</v>
      </c>
      <c r="D9247" s="30">
        <f>"19767677000420"</f>
        <v/>
      </c>
      <c r="E9247" s="30" t="inlineStr">
        <is>
          <t>PH CLIMA COMERCIO E SERVICOS DE REFRIGERACAO LTDA ME</t>
        </is>
      </c>
      <c r="F9247" s="30" t="inlineStr">
        <is>
          <t>2020</t>
        </is>
      </c>
      <c r="G9247" s="40" t="n">
        <v>0</v>
      </c>
    </row>
    <row r="9248" ht="12" customHeight="1">
      <c r="A9248" s="30" t="inlineStr">
        <is>
          <t>ITG</t>
        </is>
      </c>
      <c r="B9248" s="30" t="inlineStr">
        <is>
          <t>Itaguai</t>
        </is>
      </c>
      <c r="C9248" s="30" t="n">
        <v>87470750</v>
      </c>
      <c r="D9248" s="30">
        <f>"19767677000420"</f>
        <v/>
      </c>
      <c r="E9248" s="30" t="inlineStr">
        <is>
          <t>PH CLIMA COMERCIO E SERVICOS DE REFRIGERACAO LTDA ME</t>
        </is>
      </c>
      <c r="F9248" s="30" t="inlineStr">
        <is>
          <t>2021</t>
        </is>
      </c>
      <c r="G9248" s="40" t="n">
        <v>0</v>
      </c>
    </row>
    <row r="9249" ht="12" customHeight="1">
      <c r="A9249" s="30" t="inlineStr">
        <is>
          <t>ITG</t>
        </is>
      </c>
      <c r="B9249" s="30" t="inlineStr">
        <is>
          <t>Itaguai</t>
        </is>
      </c>
      <c r="C9249" s="30" t="n">
        <v>92002420</v>
      </c>
      <c r="D9249" s="30">
        <f>"00497373000110"</f>
        <v/>
      </c>
      <c r="E9249" s="30" t="inlineStr">
        <is>
          <t>SKY SERVICOS DE BANDA LARGA LTDA.</t>
        </is>
      </c>
      <c r="F9249" s="30" t="inlineStr">
        <is>
          <t>2017</t>
        </is>
      </c>
      <c r="G9249" s="40" t="n">
        <v>8646924.060000001</v>
      </c>
    </row>
    <row r="9250" ht="12" customHeight="1">
      <c r="A9250" s="30" t="inlineStr">
        <is>
          <t>ITG</t>
        </is>
      </c>
      <c r="B9250" s="30" t="inlineStr">
        <is>
          <t>Itaguai</t>
        </is>
      </c>
      <c r="C9250" s="30" t="n">
        <v>92002420</v>
      </c>
      <c r="D9250" s="30">
        <f>"00497373000110"</f>
        <v/>
      </c>
      <c r="E9250" s="30" t="inlineStr">
        <is>
          <t>SKY SERVICOS DE BANDA LARGA LTDA.</t>
        </is>
      </c>
      <c r="F9250" s="30" t="inlineStr">
        <is>
          <t>2018</t>
        </is>
      </c>
      <c r="G9250" s="40" t="n">
        <v>8430577.189999999</v>
      </c>
    </row>
    <row r="9251" ht="12" customHeight="1">
      <c r="A9251" s="30" t="inlineStr">
        <is>
          <t>ITG</t>
        </is>
      </c>
      <c r="B9251" s="30" t="inlineStr">
        <is>
          <t>Itaguai</t>
        </is>
      </c>
      <c r="C9251" s="30" t="n">
        <v>92002420</v>
      </c>
      <c r="D9251" s="30">
        <f>"00497373000110"</f>
        <v/>
      </c>
      <c r="E9251" s="30" t="inlineStr">
        <is>
          <t>SKY SERVICOS DE BANDA LARGA LTDA.</t>
        </is>
      </c>
      <c r="F9251" s="30" t="inlineStr">
        <is>
          <t>2019</t>
        </is>
      </c>
      <c r="G9251" s="40" t="n">
        <v>7973968.88</v>
      </c>
    </row>
    <row r="9252" ht="12" customHeight="1">
      <c r="A9252" s="30" t="inlineStr">
        <is>
          <t>ITG</t>
        </is>
      </c>
      <c r="B9252" s="30" t="inlineStr">
        <is>
          <t>Itaguai</t>
        </is>
      </c>
      <c r="C9252" s="30" t="n">
        <v>92002420</v>
      </c>
      <c r="D9252" s="30">
        <f>"00497373000110"</f>
        <v/>
      </c>
      <c r="E9252" s="30" t="inlineStr">
        <is>
          <t>SKY SERVICOS DE BANDA LARGA LTDA.</t>
        </is>
      </c>
      <c r="F9252" s="30" t="inlineStr">
        <is>
          <t>2020</t>
        </is>
      </c>
      <c r="G9252" s="40" t="n">
        <v>6854021.11</v>
      </c>
    </row>
    <row r="9253" ht="12" customHeight="1">
      <c r="A9253" s="30" t="inlineStr">
        <is>
          <t>ITG</t>
        </is>
      </c>
      <c r="B9253" s="30" t="inlineStr">
        <is>
          <t>Itaguai</t>
        </is>
      </c>
      <c r="C9253" s="30" t="n">
        <v>92002420</v>
      </c>
      <c r="D9253" s="30">
        <f>"00497373000110"</f>
        <v/>
      </c>
      <c r="E9253" s="30" t="inlineStr">
        <is>
          <t>SKY SERVICOS DE BANDA LARGA LTDA.</t>
        </is>
      </c>
      <c r="F9253" s="30" t="inlineStr">
        <is>
          <t>2021</t>
        </is>
      </c>
      <c r="G9253" s="40" t="n">
        <v>5962444.97</v>
      </c>
    </row>
    <row r="9254" ht="12" customHeight="1">
      <c r="A9254" s="30" t="inlineStr">
        <is>
          <t>ITG</t>
        </is>
      </c>
      <c r="B9254" s="30" t="inlineStr">
        <is>
          <t>Itaguai</t>
        </is>
      </c>
      <c r="C9254" s="30" t="n">
        <v>92002420</v>
      </c>
      <c r="D9254" s="30">
        <f>"00497373000110"</f>
        <v/>
      </c>
      <c r="E9254" s="30" t="inlineStr">
        <is>
          <t>SKY SERVICOS DE BANDA LARGA LTDA.</t>
        </is>
      </c>
      <c r="F9254" s="30" t="inlineStr">
        <is>
          <t>2022</t>
        </is>
      </c>
      <c r="G9254" s="40" t="n">
        <v>5177390.31</v>
      </c>
    </row>
    <row r="9255" ht="12" customHeight="1">
      <c r="A9255" s="30" t="inlineStr">
        <is>
          <t>ITG</t>
        </is>
      </c>
      <c r="B9255" s="30" t="inlineStr">
        <is>
          <t>Itaguai</t>
        </is>
      </c>
      <c r="C9255" s="30" t="n">
        <v>92002420</v>
      </c>
      <c r="D9255" s="30">
        <f>"00497373000110"</f>
        <v/>
      </c>
      <c r="E9255" s="30" t="inlineStr">
        <is>
          <t>SKY SERVICOS DE BANDA LARGA LTDA.</t>
        </is>
      </c>
      <c r="F9255" s="30" t="inlineStr">
        <is>
          <t>2023</t>
        </is>
      </c>
      <c r="G9255" s="40" t="n">
        <v>4446072.3</v>
      </c>
    </row>
    <row r="9256" ht="12" customHeight="1">
      <c r="A9256" s="30" t="inlineStr">
        <is>
          <t>ITG</t>
        </is>
      </c>
      <c r="B9256" s="30" t="inlineStr">
        <is>
          <t>Itaguai</t>
        </is>
      </c>
      <c r="C9256" s="30" t="n">
        <v>92006654</v>
      </c>
      <c r="D9256" s="30">
        <f>"72820822000120"</f>
        <v/>
      </c>
      <c r="E9256" s="30" t="inlineStr">
        <is>
          <t>SKY BRASIL SERVICOS LTDA</t>
        </is>
      </c>
      <c r="F9256" s="30" t="inlineStr">
        <is>
          <t>2017</t>
        </is>
      </c>
      <c r="G9256" s="40" t="n">
        <v>787740.3199999999</v>
      </c>
    </row>
    <row r="9257" ht="12" customHeight="1">
      <c r="A9257" s="30" t="inlineStr">
        <is>
          <t>ITG</t>
        </is>
      </c>
      <c r="B9257" s="30" t="inlineStr">
        <is>
          <t>Itaguai</t>
        </is>
      </c>
      <c r="C9257" s="30" t="n">
        <v>92006654</v>
      </c>
      <c r="D9257" s="30">
        <f>"72820822000120"</f>
        <v/>
      </c>
      <c r="E9257" s="30" t="inlineStr">
        <is>
          <t>SKY BRASIL SERVICOS LTDA</t>
        </is>
      </c>
      <c r="F9257" s="30" t="inlineStr">
        <is>
          <t>2018</t>
        </is>
      </c>
      <c r="G9257" s="40" t="n">
        <v>0</v>
      </c>
    </row>
    <row r="9258" ht="12" customHeight="1">
      <c r="A9258" s="30" t="inlineStr">
        <is>
          <t>ITG</t>
        </is>
      </c>
      <c r="B9258" s="30" t="inlineStr">
        <is>
          <t>Itaguai</t>
        </is>
      </c>
      <c r="C9258" s="30" t="n">
        <v>92006654</v>
      </c>
      <c r="D9258" s="30">
        <f>"72820822000120"</f>
        <v/>
      </c>
      <c r="E9258" s="30" t="inlineStr">
        <is>
          <t>SKY BRASIL SERVICOS LTDA</t>
        </is>
      </c>
      <c r="F9258" s="30" t="inlineStr">
        <is>
          <t>2019</t>
        </is>
      </c>
      <c r="G9258" s="40" t="n">
        <v>0</v>
      </c>
    </row>
    <row r="9259" ht="12" customHeight="1">
      <c r="A9259" s="30" t="inlineStr">
        <is>
          <t>ITG</t>
        </is>
      </c>
      <c r="B9259" s="30" t="inlineStr">
        <is>
          <t>Itaguai</t>
        </is>
      </c>
      <c r="C9259" s="30" t="n">
        <v>92029506</v>
      </c>
      <c r="D9259" s="30">
        <f>"02558157062001"</f>
        <v/>
      </c>
      <c r="E9259" s="30" t="inlineStr">
        <is>
          <t>TELEFONICA BRASIL S.A.</t>
        </is>
      </c>
      <c r="F9259" s="30" t="inlineStr">
        <is>
          <t>2017</t>
        </is>
      </c>
      <c r="G9259" s="40" t="n">
        <v>65.36</v>
      </c>
    </row>
    <row r="9260" ht="12" customHeight="1">
      <c r="A9260" s="30" t="inlineStr">
        <is>
          <t>ITG</t>
        </is>
      </c>
      <c r="B9260" s="30" t="inlineStr">
        <is>
          <t>Itaguai</t>
        </is>
      </c>
      <c r="C9260" s="30" t="n">
        <v>92029506</v>
      </c>
      <c r="D9260" s="30">
        <f>"02558157062001"</f>
        <v/>
      </c>
      <c r="E9260" s="30" t="inlineStr">
        <is>
          <t>TELEFONICA BRASIL S.A.</t>
        </is>
      </c>
      <c r="F9260" s="30" t="inlineStr">
        <is>
          <t>2018</t>
        </is>
      </c>
      <c r="G9260" s="40" t="n">
        <v>67.40000000000001</v>
      </c>
    </row>
    <row r="9261" ht="12" customHeight="1">
      <c r="A9261" s="30" t="inlineStr">
        <is>
          <t>ITG</t>
        </is>
      </c>
      <c r="B9261" s="30" t="inlineStr">
        <is>
          <t>Itaguai</t>
        </is>
      </c>
      <c r="C9261" s="30" t="n">
        <v>92029506</v>
      </c>
      <c r="D9261" s="30">
        <f>"02558157062001"</f>
        <v/>
      </c>
      <c r="E9261" s="30" t="inlineStr">
        <is>
          <t>TELEFONICA BRASIL S.A.</t>
        </is>
      </c>
      <c r="F9261" s="30" t="inlineStr">
        <is>
          <t>2019</t>
        </is>
      </c>
      <c r="G9261" s="40" t="n">
        <v>52.99</v>
      </c>
    </row>
    <row r="9262" ht="12" customHeight="1">
      <c r="A9262" s="30" t="inlineStr">
        <is>
          <t>ITG</t>
        </is>
      </c>
      <c r="B9262" s="30" t="inlineStr">
        <is>
          <t>Itaguai</t>
        </is>
      </c>
      <c r="C9262" s="30" t="n">
        <v>92029506</v>
      </c>
      <c r="D9262" s="30">
        <f>"02558157062001"</f>
        <v/>
      </c>
      <c r="E9262" s="30" t="inlineStr">
        <is>
          <t>TELEFONICA BRASIL S.A.</t>
        </is>
      </c>
      <c r="F9262" s="30" t="inlineStr">
        <is>
          <t>2020</t>
        </is>
      </c>
      <c r="G9262" s="40" t="n">
        <v>34.43</v>
      </c>
    </row>
    <row r="9263" ht="12" customHeight="1">
      <c r="A9263" s="30" t="inlineStr">
        <is>
          <t>ITG</t>
        </is>
      </c>
      <c r="B9263" s="30" t="inlineStr">
        <is>
          <t>Itaguai</t>
        </is>
      </c>
      <c r="C9263" s="30" t="n">
        <v>92029506</v>
      </c>
      <c r="D9263" s="30">
        <f>"02558157062001"</f>
        <v/>
      </c>
      <c r="E9263" s="30" t="inlineStr">
        <is>
          <t>TELEFONICA BRASIL S.A.</t>
        </is>
      </c>
      <c r="F9263" s="30" t="inlineStr">
        <is>
          <t>2021</t>
        </is>
      </c>
      <c r="G9263" s="40" t="n">
        <v>19.17</v>
      </c>
    </row>
    <row r="9264" ht="12" customHeight="1">
      <c r="A9264" s="30" t="inlineStr">
        <is>
          <t>ITG</t>
        </is>
      </c>
      <c r="B9264" s="30" t="inlineStr">
        <is>
          <t>Itaguai</t>
        </is>
      </c>
      <c r="C9264" s="30" t="n">
        <v>92029506</v>
      </c>
      <c r="D9264" s="30">
        <f>"02558157062001"</f>
        <v/>
      </c>
      <c r="E9264" s="30" t="inlineStr">
        <is>
          <t>TELEFONICA BRASIL S.A.</t>
        </is>
      </c>
      <c r="F9264" s="30" t="inlineStr">
        <is>
          <t>2022</t>
        </is>
      </c>
      <c r="G9264" s="40" t="n">
        <v>10.67</v>
      </c>
    </row>
    <row r="9265" ht="12" customHeight="1">
      <c r="A9265" s="30" t="inlineStr">
        <is>
          <t>ITG</t>
        </is>
      </c>
      <c r="B9265" s="30" t="inlineStr">
        <is>
          <t>Itaguai</t>
        </is>
      </c>
      <c r="C9265" s="30" t="n">
        <v>92029506</v>
      </c>
      <c r="D9265" s="30">
        <f>"02558157062001"</f>
        <v/>
      </c>
      <c r="E9265" s="30" t="inlineStr">
        <is>
          <t>TELEFONICA BRASIL S.A.</t>
        </is>
      </c>
      <c r="F9265" s="30" t="inlineStr">
        <is>
          <t>2023</t>
        </is>
      </c>
      <c r="G9265" s="40" t="n">
        <v>0.35</v>
      </c>
    </row>
    <row r="9266" ht="12" customHeight="1">
      <c r="A9266" s="30" t="inlineStr">
        <is>
          <t>ITG</t>
        </is>
      </c>
      <c r="B9266" s="30" t="inlineStr">
        <is>
          <t>Itaguai</t>
        </is>
      </c>
      <c r="C9266" s="30" t="n">
        <v>92035956</v>
      </c>
      <c r="D9266" s="30">
        <f>"05206385000404"</f>
        <v/>
      </c>
      <c r="E9266" s="30" t="inlineStr">
        <is>
          <t>HUGHES TELECOMUNICACOES DO BRASIL LTDA.</t>
        </is>
      </c>
      <c r="F9266" s="30" t="inlineStr">
        <is>
          <t>2017</t>
        </is>
      </c>
      <c r="G9266" s="40" t="n">
        <v>28003.65</v>
      </c>
    </row>
    <row r="9267" ht="12" customHeight="1">
      <c r="A9267" s="30" t="inlineStr">
        <is>
          <t>ITG</t>
        </is>
      </c>
      <c r="B9267" s="30" t="inlineStr">
        <is>
          <t>Itaguai</t>
        </is>
      </c>
      <c r="C9267" s="30" t="n">
        <v>92035956</v>
      </c>
      <c r="D9267" s="30">
        <f>"05206385000404"</f>
        <v/>
      </c>
      <c r="E9267" s="30" t="inlineStr">
        <is>
          <t>HUGHES TELECOMUNICACOES DO BRASIL LTDA.</t>
        </is>
      </c>
      <c r="F9267" s="30" t="inlineStr">
        <is>
          <t>2018</t>
        </is>
      </c>
      <c r="G9267" s="40" t="n">
        <v>36556.57</v>
      </c>
    </row>
    <row r="9268" ht="12" customHeight="1">
      <c r="A9268" s="30" t="inlineStr">
        <is>
          <t>ITG</t>
        </is>
      </c>
      <c r="B9268" s="30" t="inlineStr">
        <is>
          <t>Itaguai</t>
        </is>
      </c>
      <c r="C9268" s="30" t="n">
        <v>92035956</v>
      </c>
      <c r="D9268" s="30">
        <f>"05206385000404"</f>
        <v/>
      </c>
      <c r="E9268" s="30" t="inlineStr">
        <is>
          <t>HUGHES TELECOMUNICACOES DO BRASIL LTDA.</t>
        </is>
      </c>
      <c r="F9268" s="30" t="inlineStr">
        <is>
          <t>2019</t>
        </is>
      </c>
      <c r="G9268" s="40" t="n">
        <v>53646.56</v>
      </c>
    </row>
    <row r="9269" ht="12" customHeight="1">
      <c r="A9269" s="30" t="inlineStr">
        <is>
          <t>ITG</t>
        </is>
      </c>
      <c r="B9269" s="30" t="inlineStr">
        <is>
          <t>Itaguai</t>
        </is>
      </c>
      <c r="C9269" s="30" t="n">
        <v>92035956</v>
      </c>
      <c r="D9269" s="30">
        <f>"05206385000404"</f>
        <v/>
      </c>
      <c r="E9269" s="30" t="inlineStr">
        <is>
          <t>HUGHES TELECOMUNICACOES DO BRASIL LTDA.</t>
        </is>
      </c>
      <c r="F9269" s="30" t="inlineStr">
        <is>
          <t>2020</t>
        </is>
      </c>
      <c r="G9269" s="40" t="n">
        <v>74155.7</v>
      </c>
    </row>
    <row r="9270" ht="12" customHeight="1">
      <c r="A9270" s="30" t="inlineStr">
        <is>
          <t>ITG</t>
        </is>
      </c>
      <c r="B9270" s="30" t="inlineStr">
        <is>
          <t>Itaguai</t>
        </is>
      </c>
      <c r="C9270" s="30" t="n">
        <v>92035956</v>
      </c>
      <c r="D9270" s="30">
        <f>"05206385000404"</f>
        <v/>
      </c>
      <c r="E9270" s="30" t="inlineStr">
        <is>
          <t>HUGHES TELECOMUNICACOES DO BRASIL LTDA.</t>
        </is>
      </c>
      <c r="F9270" s="30" t="inlineStr">
        <is>
          <t>2021</t>
        </is>
      </c>
      <c r="G9270" s="40" t="n">
        <v>0</v>
      </c>
    </row>
    <row r="9271" ht="12" customHeight="1">
      <c r="A9271" s="30" t="inlineStr">
        <is>
          <t>ITG</t>
        </is>
      </c>
      <c r="B9271" s="30" t="inlineStr">
        <is>
          <t>Itaguai</t>
        </is>
      </c>
      <c r="C9271" s="30" t="n">
        <v>92035956</v>
      </c>
      <c r="D9271" s="30">
        <f>"05206385000404"</f>
        <v/>
      </c>
      <c r="E9271" s="30" t="inlineStr">
        <is>
          <t>HUGHES TELECOMUNICACOES DO BRASIL LTDA.</t>
        </is>
      </c>
      <c r="F9271" s="30" t="inlineStr">
        <is>
          <t>2022</t>
        </is>
      </c>
      <c r="G9271" s="40" t="n">
        <v>0</v>
      </c>
    </row>
    <row r="9272" ht="12" customHeight="1">
      <c r="A9272" s="30" t="inlineStr">
        <is>
          <t>ITG</t>
        </is>
      </c>
      <c r="B9272" s="30" t="inlineStr">
        <is>
          <t>Itaguai</t>
        </is>
      </c>
      <c r="C9272" s="30" t="n">
        <v>99199997</v>
      </c>
      <c r="D9272" s="30">
        <f>"42498675000152"</f>
        <v/>
      </c>
      <c r="E9272" s="30" t="inlineStr">
        <is>
          <t>RF 9999 SUPERINTENDENCIA ESTADUAL CADASTRO E INF ECON FISCAIS</t>
        </is>
      </c>
      <c r="F9272" s="30" t="inlineStr">
        <is>
          <t>2017</t>
        </is>
      </c>
      <c r="G9272" s="40" t="n">
        <v>3309953.04</v>
      </c>
    </row>
    <row r="9273" ht="12" customHeight="1">
      <c r="A9273" s="30" t="inlineStr">
        <is>
          <t>ITG</t>
        </is>
      </c>
      <c r="B9273" s="30" t="inlineStr">
        <is>
          <t>Itaguai</t>
        </is>
      </c>
      <c r="C9273" s="30" t="n">
        <v>99199997</v>
      </c>
      <c r="D9273" s="30">
        <f>"42498675000152"</f>
        <v/>
      </c>
      <c r="E9273" s="30" t="inlineStr">
        <is>
          <t>RF 9999 SUPERINTENDENCIA ESTADUAL CADASTRO E INF ECON FISCAIS</t>
        </is>
      </c>
      <c r="F9273" s="30" t="inlineStr">
        <is>
          <t>2018</t>
        </is>
      </c>
      <c r="G9273" s="40" t="n">
        <v>9327973.16</v>
      </c>
    </row>
    <row r="9274" ht="12" customHeight="1">
      <c r="A9274" s="30" t="inlineStr">
        <is>
          <t>ITG</t>
        </is>
      </c>
      <c r="B9274" s="30" t="inlineStr">
        <is>
          <t>Itaguai</t>
        </is>
      </c>
      <c r="C9274" s="30" t="n">
        <v>99199997</v>
      </c>
      <c r="D9274" s="30">
        <f>"42498675000152"</f>
        <v/>
      </c>
      <c r="E9274" s="30" t="inlineStr">
        <is>
          <t>RF 9999 SUPERINTENDENCIA ESTADUAL CADASTRO E INF ECON FISCAIS</t>
        </is>
      </c>
      <c r="F9274" s="30" t="inlineStr">
        <is>
          <t>2019</t>
        </is>
      </c>
      <c r="G9274" s="40" t="n">
        <v>9174982.6</v>
      </c>
    </row>
    <row r="9275" ht="12" customHeight="1">
      <c r="A9275" s="30" t="inlineStr">
        <is>
          <t>ITG</t>
        </is>
      </c>
      <c r="B9275" s="30" t="inlineStr">
        <is>
          <t>Itaguai</t>
        </is>
      </c>
      <c r="C9275" s="30" t="n">
        <v>99199997</v>
      </c>
      <c r="D9275" s="30">
        <f>"42498675000152"</f>
        <v/>
      </c>
      <c r="E9275" s="30" t="inlineStr">
        <is>
          <t>RF 9999 SUPERINTENDENCIA ESTADUAL CADASTRO E INF ECON FISCAIS</t>
        </is>
      </c>
      <c r="F9275" s="30" t="inlineStr">
        <is>
          <t>2020</t>
        </is>
      </c>
      <c r="G9275" s="40" t="n">
        <v>8867147.57</v>
      </c>
    </row>
    <row r="9276" ht="12" customHeight="1">
      <c r="A9276" s="30" t="inlineStr">
        <is>
          <t>ITG</t>
        </is>
      </c>
      <c r="B9276" s="30" t="inlineStr">
        <is>
          <t>Itaguai</t>
        </is>
      </c>
      <c r="C9276" s="30" t="n">
        <v>99199997</v>
      </c>
      <c r="D9276" s="30">
        <f>"42498675000152"</f>
        <v/>
      </c>
      <c r="E9276" s="30" t="inlineStr">
        <is>
          <t>RF 9999 SUPERINTENDENCIA ESTADUAL CADASTRO E INF ECON FISCAIS</t>
        </is>
      </c>
      <c r="F9276" s="30" t="inlineStr">
        <is>
          <t>2021</t>
        </is>
      </c>
      <c r="G9276" s="40" t="n">
        <v>11043351.19</v>
      </c>
    </row>
    <row r="9277" ht="12" customHeight="1">
      <c r="A9277" s="30" t="inlineStr">
        <is>
          <t>ITG</t>
        </is>
      </c>
      <c r="B9277" s="30" t="inlineStr">
        <is>
          <t>Itaguai</t>
        </is>
      </c>
      <c r="C9277" s="30" t="n">
        <v>99199997</v>
      </c>
      <c r="D9277" s="30">
        <f>"42498675000152"</f>
        <v/>
      </c>
      <c r="E9277" s="30" t="inlineStr">
        <is>
          <t>RF 9999 SUPERINTENDENCIA ESTADUAL CADASTRO E INF ECON FISCAIS</t>
        </is>
      </c>
      <c r="F9277" s="30" t="inlineStr">
        <is>
          <t>2022</t>
        </is>
      </c>
      <c r="G9277" s="40" t="n">
        <v>14485273.62</v>
      </c>
    </row>
    <row r="9278" ht="12" customHeight="1">
      <c r="A9278" s="30" t="inlineStr">
        <is>
          <t>ITG</t>
        </is>
      </c>
      <c r="B9278" s="30" t="inlineStr">
        <is>
          <t>Itaguai</t>
        </is>
      </c>
      <c r="C9278" s="30" t="n">
        <v>99199997</v>
      </c>
      <c r="D9278" s="30">
        <f>"42498675000152"</f>
        <v/>
      </c>
      <c r="E9278" s="30" t="inlineStr">
        <is>
          <t>RF 9999 SUPERINTENDENCIA ESTADUAL CADASTRO E INF ECON FISCAIS</t>
        </is>
      </c>
      <c r="F9278" s="30" t="inlineStr">
        <is>
          <t>2023</t>
        </is>
      </c>
      <c r="G9278" s="40" t="n">
        <v>14737323.54</v>
      </c>
    </row>
    <row r="9279" ht="12" customHeight="1">
      <c r="A9279" s="30" t="inlineStr">
        <is>
          <t>POR</t>
        </is>
      </c>
      <c r="B9279" s="30" t="inlineStr">
        <is>
          <t>Porto Real</t>
        </is>
      </c>
      <c r="C9279" s="30" t="n">
        <v>11000630</v>
      </c>
      <c r="D9279" s="30">
        <f>"18433874000106"</f>
        <v/>
      </c>
      <c r="E9279" s="30" t="inlineStr">
        <is>
          <t>LOCAMAQ - LOCAÇÃO DE MAQUINAS E EQUIPAMENTOS EIRELI ME</t>
        </is>
      </c>
      <c r="F9279" s="30" t="inlineStr">
        <is>
          <t>2020</t>
        </is>
      </c>
      <c r="G9279" s="40" t="n">
        <v>0</v>
      </c>
    </row>
    <row r="9280" ht="12" customHeight="1">
      <c r="A9280" s="30" t="inlineStr">
        <is>
          <t>POR</t>
        </is>
      </c>
      <c r="B9280" s="30" t="inlineStr">
        <is>
          <t>Porto Real</t>
        </is>
      </c>
      <c r="C9280" s="30" t="n">
        <v>11000630</v>
      </c>
      <c r="D9280" s="30">
        <f>"18433874000106"</f>
        <v/>
      </c>
      <c r="E9280" s="30" t="inlineStr">
        <is>
          <t>LOCAMAQ - LOCAÇÃO DE MAQUINAS E EQUIPAMENTOS EIRELI ME</t>
        </is>
      </c>
      <c r="F9280" s="30" t="inlineStr">
        <is>
          <t>2021</t>
        </is>
      </c>
      <c r="G9280" s="40" t="n">
        <v>0</v>
      </c>
    </row>
    <row r="9281" ht="12" customHeight="1">
      <c r="A9281" s="30" t="inlineStr">
        <is>
          <t>POR</t>
        </is>
      </c>
      <c r="B9281" s="30" t="inlineStr">
        <is>
          <t>Porto Real</t>
        </is>
      </c>
      <c r="C9281" s="30" t="n">
        <v>11000630</v>
      </c>
      <c r="D9281" s="30">
        <f>"18433874000106"</f>
        <v/>
      </c>
      <c r="E9281" s="30" t="inlineStr">
        <is>
          <t>LOCAMAQ - LOCAÇÃO DE MAQUINAS E EQUIPAMENTOS EIRELI ME</t>
        </is>
      </c>
      <c r="F9281" s="30" t="inlineStr">
        <is>
          <t>2022</t>
        </is>
      </c>
      <c r="G9281" s="40" t="n">
        <v>0</v>
      </c>
    </row>
    <row r="9282" ht="12" customHeight="1">
      <c r="A9282" s="30" t="inlineStr">
        <is>
          <t>POR</t>
        </is>
      </c>
      <c r="B9282" s="30" t="inlineStr">
        <is>
          <t>Porto Real</t>
        </is>
      </c>
      <c r="C9282" s="30" t="n">
        <v>11000630</v>
      </c>
      <c r="D9282" s="30">
        <f>"18433874000106"</f>
        <v/>
      </c>
      <c r="E9282" s="30" t="inlineStr">
        <is>
          <t>LOCAMAQ - LOCAÇÃO DE MAQUINAS E EQUIPAMENTOS EIRELI ME</t>
        </is>
      </c>
      <c r="F9282" s="30" t="inlineStr">
        <is>
          <t>2023</t>
        </is>
      </c>
      <c r="G9282" s="40" t="n">
        <v>0</v>
      </c>
    </row>
    <row r="9283" ht="12" customHeight="1">
      <c r="A9283" s="30" t="inlineStr">
        <is>
          <t>POR</t>
        </is>
      </c>
      <c r="B9283" s="30" t="inlineStr">
        <is>
          <t>Porto Real</t>
        </is>
      </c>
      <c r="C9283" s="30" t="n">
        <v>11015166</v>
      </c>
      <c r="D9283" s="30">
        <f>"07075810000318"</f>
        <v/>
      </c>
      <c r="E9283" s="30" t="inlineStr">
        <is>
          <t>ONCA LOCACAO E TURISMO LTDA EPP</t>
        </is>
      </c>
      <c r="F9283" s="30" t="inlineStr">
        <is>
          <t>2018</t>
        </is>
      </c>
      <c r="G9283" s="40" t="n">
        <v>0</v>
      </c>
    </row>
    <row r="9284" ht="12" customHeight="1">
      <c r="A9284" s="30" t="inlineStr">
        <is>
          <t>POR</t>
        </is>
      </c>
      <c r="B9284" s="30" t="inlineStr">
        <is>
          <t>Porto Real</t>
        </is>
      </c>
      <c r="C9284" s="30" t="n">
        <v>11015166</v>
      </c>
      <c r="D9284" s="30">
        <f>"07075810000318"</f>
        <v/>
      </c>
      <c r="E9284" s="30" t="inlineStr">
        <is>
          <t>ONCA LOCACAO E TURISMO LTDA EPP</t>
        </is>
      </c>
      <c r="F9284" s="30" t="inlineStr">
        <is>
          <t>2019</t>
        </is>
      </c>
      <c r="G9284" s="40" t="n">
        <v>0</v>
      </c>
    </row>
    <row r="9285" ht="12" customHeight="1">
      <c r="A9285" s="30" t="inlineStr">
        <is>
          <t>POR</t>
        </is>
      </c>
      <c r="B9285" s="30" t="inlineStr">
        <is>
          <t>Porto Real</t>
        </is>
      </c>
      <c r="C9285" s="30" t="n">
        <v>11015166</v>
      </c>
      <c r="D9285" s="30">
        <f>"07075810000318"</f>
        <v/>
      </c>
      <c r="E9285" s="30" t="inlineStr">
        <is>
          <t>ONCA LOCACAO E TURISMO LTDA EPP</t>
        </is>
      </c>
      <c r="F9285" s="30" t="inlineStr">
        <is>
          <t>2020</t>
        </is>
      </c>
      <c r="G9285" s="40" t="n">
        <v>0</v>
      </c>
    </row>
    <row r="9286" ht="12" customHeight="1">
      <c r="A9286" s="30" t="inlineStr">
        <is>
          <t>POR</t>
        </is>
      </c>
      <c r="B9286" s="30" t="inlineStr">
        <is>
          <t>Porto Real</t>
        </is>
      </c>
      <c r="C9286" s="30" t="n">
        <v>11015166</v>
      </c>
      <c r="D9286" s="30">
        <f>"07075810000318"</f>
        <v/>
      </c>
      <c r="E9286" s="30" t="inlineStr">
        <is>
          <t>ONCA LOCACAO E TURISMO LTDA EPP</t>
        </is>
      </c>
      <c r="F9286" s="30" t="inlineStr">
        <is>
          <t>2021</t>
        </is>
      </c>
      <c r="G9286" s="40" t="n">
        <v>0</v>
      </c>
    </row>
    <row r="9287" ht="12" customHeight="1">
      <c r="A9287" s="30" t="inlineStr">
        <is>
          <t>POR</t>
        </is>
      </c>
      <c r="B9287" s="30" t="inlineStr">
        <is>
          <t>Porto Real</t>
        </is>
      </c>
      <c r="C9287" s="30" t="n">
        <v>11015166</v>
      </c>
      <c r="D9287" s="30">
        <f>"07075810000318"</f>
        <v/>
      </c>
      <c r="E9287" s="30" t="inlineStr">
        <is>
          <t>ONCA LOCACAO E TURISMO LTDA EPP</t>
        </is>
      </c>
      <c r="F9287" s="30" t="inlineStr">
        <is>
          <t>2022</t>
        </is>
      </c>
      <c r="G9287" s="40" t="n">
        <v>0</v>
      </c>
    </row>
    <row r="9288" ht="12" customHeight="1">
      <c r="A9288" s="30" t="inlineStr">
        <is>
          <t>POR</t>
        </is>
      </c>
      <c r="B9288" s="30" t="inlineStr">
        <is>
          <t>Porto Real</t>
        </is>
      </c>
      <c r="C9288" s="30" t="n">
        <v>11015166</v>
      </c>
      <c r="D9288" s="30">
        <f>"07075810000318"</f>
        <v/>
      </c>
      <c r="E9288" s="30" t="inlineStr">
        <is>
          <t>ONCA LOCACAO E TURISMO LTDA EPP</t>
        </is>
      </c>
      <c r="F9288" s="30" t="inlineStr">
        <is>
          <t>2023</t>
        </is>
      </c>
      <c r="G9288" s="40" t="n">
        <v>0</v>
      </c>
    </row>
    <row r="9289" ht="12" customHeight="1">
      <c r="A9289" s="30" t="inlineStr">
        <is>
          <t>POR</t>
        </is>
      </c>
      <c r="B9289" s="30" t="inlineStr">
        <is>
          <t>Porto Real</t>
        </is>
      </c>
      <c r="C9289" s="30" t="n">
        <v>11028446</v>
      </c>
      <c r="D9289" s="30">
        <f>"02357033000208"</f>
        <v/>
      </c>
      <c r="E9289" s="30" t="inlineStr">
        <is>
          <t>QUICKNET TELECOM LTDA EPP</t>
        </is>
      </c>
      <c r="F9289" s="30" t="inlineStr">
        <is>
          <t>2018</t>
        </is>
      </c>
      <c r="G9289" s="40" t="n">
        <v>0</v>
      </c>
    </row>
    <row r="9290" ht="12" customHeight="1">
      <c r="A9290" s="30" t="inlineStr">
        <is>
          <t>POR</t>
        </is>
      </c>
      <c r="B9290" s="30" t="inlineStr">
        <is>
          <t>Porto Real</t>
        </is>
      </c>
      <c r="C9290" s="30" t="n">
        <v>11028446</v>
      </c>
      <c r="D9290" s="30">
        <f>"02357033000208"</f>
        <v/>
      </c>
      <c r="E9290" s="30" t="inlineStr">
        <is>
          <t>QUICKNET TELECOM LTDA EPP</t>
        </is>
      </c>
      <c r="F9290" s="30" t="inlineStr">
        <is>
          <t>2019</t>
        </is>
      </c>
      <c r="G9290" s="40" t="n">
        <v>0</v>
      </c>
    </row>
    <row r="9291" ht="12" customHeight="1">
      <c r="A9291" s="30" t="inlineStr">
        <is>
          <t>POR</t>
        </is>
      </c>
      <c r="B9291" s="30" t="inlineStr">
        <is>
          <t>Porto Real</t>
        </is>
      </c>
      <c r="C9291" s="30" t="n">
        <v>11028446</v>
      </c>
      <c r="D9291" s="30">
        <f>"02357033000208"</f>
        <v/>
      </c>
      <c r="E9291" s="30" t="inlineStr">
        <is>
          <t>QUICKNET TELECOM LTDA EPP</t>
        </is>
      </c>
      <c r="F9291" s="30" t="inlineStr">
        <is>
          <t>2020</t>
        </is>
      </c>
      <c r="G9291" s="40" t="n">
        <v>0</v>
      </c>
    </row>
    <row r="9292" ht="12" customHeight="1">
      <c r="A9292" s="30" t="inlineStr">
        <is>
          <t>POR</t>
        </is>
      </c>
      <c r="B9292" s="30" t="inlineStr">
        <is>
          <t>Porto Real</t>
        </is>
      </c>
      <c r="C9292" s="30" t="n">
        <v>11028446</v>
      </c>
      <c r="D9292" s="30">
        <f>"02357033000208"</f>
        <v/>
      </c>
      <c r="E9292" s="30" t="inlineStr">
        <is>
          <t>QUICKNET TELECOM LTDA EPP</t>
        </is>
      </c>
      <c r="F9292" s="30" t="inlineStr">
        <is>
          <t>2021</t>
        </is>
      </c>
      <c r="G9292" s="40" t="n">
        <v>0</v>
      </c>
    </row>
    <row r="9293" ht="12" customHeight="1">
      <c r="A9293" s="30" t="inlineStr">
        <is>
          <t>POR</t>
        </is>
      </c>
      <c r="B9293" s="30" t="inlineStr">
        <is>
          <t>Porto Real</t>
        </is>
      </c>
      <c r="C9293" s="30" t="n">
        <v>11028446</v>
      </c>
      <c r="D9293" s="30">
        <f>"02357033000208"</f>
        <v/>
      </c>
      <c r="E9293" s="30" t="inlineStr">
        <is>
          <t>QUICKNET TELECOM LTDA EPP</t>
        </is>
      </c>
      <c r="F9293" s="30" t="inlineStr">
        <is>
          <t>2022</t>
        </is>
      </c>
      <c r="G9293" s="40" t="n">
        <v>0</v>
      </c>
    </row>
    <row r="9294" ht="12" customHeight="1">
      <c r="A9294" s="30" t="inlineStr">
        <is>
          <t>POR</t>
        </is>
      </c>
      <c r="B9294" s="30" t="inlineStr">
        <is>
          <t>Porto Real</t>
        </is>
      </c>
      <c r="C9294" s="30" t="n">
        <v>11028446</v>
      </c>
      <c r="D9294" s="30">
        <f>"02357033000208"</f>
        <v/>
      </c>
      <c r="E9294" s="30" t="inlineStr">
        <is>
          <t>QUICKNET TELECOM LTDA EPP</t>
        </is>
      </c>
      <c r="F9294" s="30" t="inlineStr">
        <is>
          <t>2023</t>
        </is>
      </c>
      <c r="G9294" s="40" t="n">
        <v>0</v>
      </c>
    </row>
    <row r="9295" ht="12" customHeight="1">
      <c r="A9295" s="30" t="inlineStr">
        <is>
          <t>POR</t>
        </is>
      </c>
      <c r="B9295" s="30" t="inlineStr">
        <is>
          <t>Porto Real</t>
        </is>
      </c>
      <c r="C9295" s="30" t="n">
        <v>11031064</v>
      </c>
      <c r="D9295" s="30">
        <f>"17460253000140"</f>
        <v/>
      </c>
      <c r="E9295" s="30" t="inlineStr">
        <is>
          <t>R C DE OLIVEIRA - SERVIÇOS DE ENGENHARIA ME</t>
        </is>
      </c>
      <c r="F9295" s="30" t="inlineStr">
        <is>
          <t>2017</t>
        </is>
      </c>
      <c r="G9295" s="40" t="n">
        <v>0</v>
      </c>
    </row>
    <row r="9296" ht="12" customHeight="1">
      <c r="A9296" s="30" t="inlineStr">
        <is>
          <t>POR</t>
        </is>
      </c>
      <c r="B9296" s="30" t="inlineStr">
        <is>
          <t>Porto Real</t>
        </is>
      </c>
      <c r="C9296" s="30" t="n">
        <v>11031064</v>
      </c>
      <c r="D9296" s="30">
        <f>"17460253000140"</f>
        <v/>
      </c>
      <c r="E9296" s="30" t="inlineStr">
        <is>
          <t>R C DE OLIVEIRA - SERVIÇOS DE ENGENHARIA ME</t>
        </is>
      </c>
      <c r="F9296" s="30" t="inlineStr">
        <is>
          <t>2018</t>
        </is>
      </c>
      <c r="G9296" s="40" t="n">
        <v>0</v>
      </c>
    </row>
    <row r="9297" ht="12" customHeight="1">
      <c r="A9297" s="30" t="inlineStr">
        <is>
          <t>POR</t>
        </is>
      </c>
      <c r="B9297" s="30" t="inlineStr">
        <is>
          <t>Porto Real</t>
        </is>
      </c>
      <c r="C9297" s="30" t="n">
        <v>11031064</v>
      </c>
      <c r="D9297" s="30">
        <f>"17460253000140"</f>
        <v/>
      </c>
      <c r="E9297" s="30" t="inlineStr">
        <is>
          <t>R C DE OLIVEIRA - SERVIÇOS DE ENGENHARIA ME</t>
        </is>
      </c>
      <c r="F9297" s="30" t="inlineStr">
        <is>
          <t>2019</t>
        </is>
      </c>
      <c r="G9297" s="40" t="n">
        <v>0</v>
      </c>
    </row>
    <row r="9298" ht="12" customHeight="1">
      <c r="A9298" s="30" t="inlineStr">
        <is>
          <t>POR</t>
        </is>
      </c>
      <c r="B9298" s="30" t="inlineStr">
        <is>
          <t>Porto Real</t>
        </is>
      </c>
      <c r="C9298" s="30" t="n">
        <v>11084729</v>
      </c>
      <c r="D9298" s="30">
        <f>"21862093000133"</f>
        <v/>
      </c>
      <c r="E9298" s="30" t="inlineStr">
        <is>
          <t>3C RESTAURANTE, FAST-FOODS E COZINHA INDUSTRIAL LTDA</t>
        </is>
      </c>
      <c r="F9298" s="30" t="inlineStr">
        <is>
          <t>2021</t>
        </is>
      </c>
      <c r="G9298" s="40" t="n">
        <v>0</v>
      </c>
    </row>
    <row r="9299" ht="12" customHeight="1">
      <c r="A9299" s="30" t="inlineStr">
        <is>
          <t>POR</t>
        </is>
      </c>
      <c r="B9299" s="30" t="inlineStr">
        <is>
          <t>Porto Real</t>
        </is>
      </c>
      <c r="C9299" s="30" t="n">
        <v>11084729</v>
      </c>
      <c r="D9299" s="30">
        <f>"21862093000133"</f>
        <v/>
      </c>
      <c r="E9299" s="30" t="inlineStr">
        <is>
          <t>3C RESTAURANTE, FAST-FOODS E COZINHA INDUSTRIAL LTDA</t>
        </is>
      </c>
      <c r="F9299" s="30" t="inlineStr">
        <is>
          <t>2022</t>
        </is>
      </c>
      <c r="G9299" s="40" t="n">
        <v>0</v>
      </c>
    </row>
    <row r="9300" ht="12" customHeight="1">
      <c r="A9300" s="30" t="inlineStr">
        <is>
          <t>POR</t>
        </is>
      </c>
      <c r="B9300" s="30" t="inlineStr">
        <is>
          <t>Porto Real</t>
        </is>
      </c>
      <c r="C9300" s="30" t="n">
        <v>11084729</v>
      </c>
      <c r="D9300" s="30">
        <f>"21862093000133"</f>
        <v/>
      </c>
      <c r="E9300" s="30" t="inlineStr">
        <is>
          <t>3C RESTAURANTE, FAST-FOODS E COZINHA INDUSTRIAL LTDA</t>
        </is>
      </c>
      <c r="F9300" s="30" t="inlineStr">
        <is>
          <t>2023</t>
        </is>
      </c>
      <c r="G9300" s="40" t="n">
        <v>388.93</v>
      </c>
    </row>
    <row r="9301" ht="12" customHeight="1">
      <c r="A9301" s="30" t="inlineStr">
        <is>
          <t>POR</t>
        </is>
      </c>
      <c r="B9301" s="30" t="inlineStr">
        <is>
          <t>Porto Real</t>
        </is>
      </c>
      <c r="C9301" s="30" t="n">
        <v>11089526</v>
      </c>
      <c r="D9301" s="30">
        <f>"29112742000190"</f>
        <v/>
      </c>
      <c r="E9301" s="30" t="inlineStr">
        <is>
          <t>TRANSPORTES GV RIO EIRELI</t>
        </is>
      </c>
      <c r="F9301" s="30" t="inlineStr">
        <is>
          <t>2021</t>
        </is>
      </c>
      <c r="G9301" s="40" t="n">
        <v>0</v>
      </c>
    </row>
    <row r="9302" ht="12" customHeight="1">
      <c r="A9302" s="30" t="inlineStr">
        <is>
          <t>POR</t>
        </is>
      </c>
      <c r="B9302" s="30" t="inlineStr">
        <is>
          <t>Porto Real</t>
        </is>
      </c>
      <c r="C9302" s="30" t="n">
        <v>11089526</v>
      </c>
      <c r="D9302" s="30">
        <f>"29112742000190"</f>
        <v/>
      </c>
      <c r="E9302" s="30" t="inlineStr">
        <is>
          <t>TRANSPORTES GV RIO EIRELI</t>
        </is>
      </c>
      <c r="F9302" s="30" t="inlineStr">
        <is>
          <t>2022</t>
        </is>
      </c>
      <c r="G9302" s="40" t="n">
        <v>0</v>
      </c>
    </row>
    <row r="9303" ht="12" customHeight="1">
      <c r="A9303" s="30" t="inlineStr">
        <is>
          <t>POR</t>
        </is>
      </c>
      <c r="B9303" s="30" t="inlineStr">
        <is>
          <t>Porto Real</t>
        </is>
      </c>
      <c r="C9303" s="30" t="n">
        <v>11089526</v>
      </c>
      <c r="D9303" s="30">
        <f>"29112742000190"</f>
        <v/>
      </c>
      <c r="E9303" s="30" t="inlineStr">
        <is>
          <t>TRANSPORTES GV RIO EIRELI</t>
        </is>
      </c>
      <c r="F9303" s="30" t="inlineStr">
        <is>
          <t>2023</t>
        </is>
      </c>
      <c r="G9303" s="40" t="n">
        <v>3200</v>
      </c>
    </row>
    <row r="9304" ht="12" customHeight="1">
      <c r="A9304" s="30" t="inlineStr">
        <is>
          <t>POR</t>
        </is>
      </c>
      <c r="B9304" s="30" t="inlineStr">
        <is>
          <t>Porto Real</t>
        </is>
      </c>
      <c r="C9304" s="30" t="n">
        <v>11094082</v>
      </c>
      <c r="D9304" s="30">
        <f>"09464773000284"</f>
        <v/>
      </c>
      <c r="E9304" s="30" t="inlineStr">
        <is>
          <t>TRANSCIARDI TRANSPORTE DE CARGA E LOGISTICA LTDA</t>
        </is>
      </c>
      <c r="F9304" s="30" t="inlineStr">
        <is>
          <t>2017</t>
        </is>
      </c>
      <c r="G9304" s="40" t="n">
        <v>0</v>
      </c>
    </row>
    <row r="9305" ht="12" customHeight="1">
      <c r="A9305" s="30" t="inlineStr">
        <is>
          <t>POR</t>
        </is>
      </c>
      <c r="B9305" s="30" t="inlineStr">
        <is>
          <t>Porto Real</t>
        </is>
      </c>
      <c r="C9305" s="30" t="n">
        <v>11094082</v>
      </c>
      <c r="D9305" s="30">
        <f>"09464773000284"</f>
        <v/>
      </c>
      <c r="E9305" s="30" t="inlineStr">
        <is>
          <t>TRANSCIARDI TRANSPORTE DE CARGA E LOGISTICA LTDA</t>
        </is>
      </c>
      <c r="F9305" s="30" t="inlineStr">
        <is>
          <t>2018</t>
        </is>
      </c>
      <c r="G9305" s="40" t="n">
        <v>125044.74</v>
      </c>
    </row>
    <row r="9306" ht="12" customHeight="1">
      <c r="A9306" s="30" t="inlineStr">
        <is>
          <t>POR</t>
        </is>
      </c>
      <c r="B9306" s="30" t="inlineStr">
        <is>
          <t>Porto Real</t>
        </is>
      </c>
      <c r="C9306" s="30" t="n">
        <v>11094082</v>
      </c>
      <c r="D9306" s="30">
        <f>"09464773000284"</f>
        <v/>
      </c>
      <c r="E9306" s="30" t="inlineStr">
        <is>
          <t>TRANSCIARDI TRANSPORTE DE CARGA E LOGISTICA LTDA</t>
        </is>
      </c>
      <c r="F9306" s="30" t="inlineStr">
        <is>
          <t>2019</t>
        </is>
      </c>
      <c r="G9306" s="40" t="n">
        <v>0</v>
      </c>
    </row>
    <row r="9307" ht="12" customHeight="1">
      <c r="A9307" s="30" t="inlineStr">
        <is>
          <t>POR</t>
        </is>
      </c>
      <c r="B9307" s="30" t="inlineStr">
        <is>
          <t>Porto Real</t>
        </is>
      </c>
      <c r="C9307" s="30" t="n">
        <v>11094082</v>
      </c>
      <c r="D9307" s="30">
        <f>"09464773000284"</f>
        <v/>
      </c>
      <c r="E9307" s="30" t="inlineStr">
        <is>
          <t>TRANSCIARDI TRANSPORTE DE CARGA E LOGISTICA LTDA</t>
        </is>
      </c>
      <c r="F9307" s="30" t="inlineStr">
        <is>
          <t>2020</t>
        </is>
      </c>
      <c r="G9307" s="40" t="n">
        <v>1811614.24</v>
      </c>
    </row>
    <row r="9308" ht="12" customHeight="1">
      <c r="A9308" s="30" t="inlineStr">
        <is>
          <t>POR</t>
        </is>
      </c>
      <c r="B9308" s="30" t="inlineStr">
        <is>
          <t>Porto Real</t>
        </is>
      </c>
      <c r="C9308" s="30" t="n">
        <v>11094082</v>
      </c>
      <c r="D9308" s="30">
        <f>"09464773000284"</f>
        <v/>
      </c>
      <c r="E9308" s="30" t="inlineStr">
        <is>
          <t>TRANSCIARDI TRANSPORTE DE CARGA E LOGISTICA LTDA</t>
        </is>
      </c>
      <c r="F9308" s="30" t="inlineStr">
        <is>
          <t>2021</t>
        </is>
      </c>
      <c r="G9308" s="40" t="n">
        <v>2370947.81</v>
      </c>
    </row>
    <row r="9309" ht="12" customHeight="1">
      <c r="A9309" s="30" t="inlineStr">
        <is>
          <t>POR</t>
        </is>
      </c>
      <c r="B9309" s="30" t="inlineStr">
        <is>
          <t>Porto Real</t>
        </is>
      </c>
      <c r="C9309" s="30" t="n">
        <v>11094082</v>
      </c>
      <c r="D9309" s="30">
        <f>"09464773000284"</f>
        <v/>
      </c>
      <c r="E9309" s="30" t="inlineStr">
        <is>
          <t>TRANSCIARDI TRANSPORTE DE CARGA E LOGISTICA LTDA</t>
        </is>
      </c>
      <c r="F9309" s="30" t="inlineStr">
        <is>
          <t>2022</t>
        </is>
      </c>
      <c r="G9309" s="40" t="n">
        <v>1070906.99</v>
      </c>
    </row>
    <row r="9310" ht="12" customHeight="1">
      <c r="A9310" s="30" t="inlineStr">
        <is>
          <t>POR</t>
        </is>
      </c>
      <c r="B9310" s="30" t="inlineStr">
        <is>
          <t>Porto Real</t>
        </is>
      </c>
      <c r="C9310" s="30" t="n">
        <v>11094082</v>
      </c>
      <c r="D9310" s="30">
        <f>"09464773000284"</f>
        <v/>
      </c>
      <c r="E9310" s="30" t="inlineStr">
        <is>
          <t>TRANSCIARDI TRANSPORTE DE CARGA E LOGISTICA LTDA</t>
        </is>
      </c>
      <c r="F9310" s="30" t="inlineStr">
        <is>
          <t>2023</t>
        </is>
      </c>
      <c r="G9310" s="40" t="n">
        <v>1665384.49</v>
      </c>
    </row>
    <row r="9311" ht="12" customHeight="1">
      <c r="A9311" s="30" t="inlineStr">
        <is>
          <t>POR</t>
        </is>
      </c>
      <c r="B9311" s="30" t="inlineStr">
        <is>
          <t>Porto Real</t>
        </is>
      </c>
      <c r="C9311" s="30" t="n">
        <v>11106935</v>
      </c>
      <c r="D9311" s="30">
        <f>"26586645000222"</f>
        <v/>
      </c>
      <c r="E9311" s="30" t="inlineStr">
        <is>
          <t>MRX TRANSPORTES LTDA</t>
        </is>
      </c>
      <c r="F9311" s="30" t="inlineStr">
        <is>
          <t>2017</t>
        </is>
      </c>
      <c r="G9311" s="40" t="n">
        <v>0</v>
      </c>
    </row>
    <row r="9312" ht="12" customHeight="1">
      <c r="A9312" s="30" t="inlineStr">
        <is>
          <t>POR</t>
        </is>
      </c>
      <c r="B9312" s="30" t="inlineStr">
        <is>
          <t>Porto Real</t>
        </is>
      </c>
      <c r="C9312" s="30" t="n">
        <v>11106935</v>
      </c>
      <c r="D9312" s="30">
        <f>"26586645000222"</f>
        <v/>
      </c>
      <c r="E9312" s="30" t="inlineStr">
        <is>
          <t>MRX TRANSPORTES LTDA</t>
        </is>
      </c>
      <c r="F9312" s="30" t="inlineStr">
        <is>
          <t>2018</t>
        </is>
      </c>
      <c r="G9312" s="40" t="n">
        <v>88564.85000000001</v>
      </c>
    </row>
    <row r="9313" ht="12" customHeight="1">
      <c r="A9313" s="30" t="inlineStr">
        <is>
          <t>POR</t>
        </is>
      </c>
      <c r="B9313" s="30" t="inlineStr">
        <is>
          <t>Porto Real</t>
        </is>
      </c>
      <c r="C9313" s="30" t="n">
        <v>11106935</v>
      </c>
      <c r="D9313" s="30">
        <f>"26586645000222"</f>
        <v/>
      </c>
      <c r="E9313" s="30" t="inlineStr">
        <is>
          <t>MRX TRANSPORTES LTDA</t>
        </is>
      </c>
      <c r="F9313" s="30" t="inlineStr">
        <is>
          <t>2019</t>
        </is>
      </c>
      <c r="G9313" s="40" t="n">
        <v>27570</v>
      </c>
    </row>
    <row r="9314" ht="12" customHeight="1">
      <c r="A9314" s="30" t="inlineStr">
        <is>
          <t>POR</t>
        </is>
      </c>
      <c r="B9314" s="30" t="inlineStr">
        <is>
          <t>Porto Real</t>
        </is>
      </c>
      <c r="C9314" s="30" t="n">
        <v>11106935</v>
      </c>
      <c r="D9314" s="30">
        <f>"26586645000222"</f>
        <v/>
      </c>
      <c r="E9314" s="30" t="inlineStr">
        <is>
          <t>MRX TRANSPORTES LTDA</t>
        </is>
      </c>
      <c r="F9314" s="30" t="inlineStr">
        <is>
          <t>2020</t>
        </is>
      </c>
      <c r="G9314" s="40" t="n">
        <v>0</v>
      </c>
    </row>
    <row r="9315" ht="12" customHeight="1">
      <c r="A9315" s="30" t="inlineStr">
        <is>
          <t>POR</t>
        </is>
      </c>
      <c r="B9315" s="30" t="inlineStr">
        <is>
          <t>Porto Real</t>
        </is>
      </c>
      <c r="C9315" s="30" t="n">
        <v>11106935</v>
      </c>
      <c r="D9315" s="30">
        <f>"26586645000222"</f>
        <v/>
      </c>
      <c r="E9315" s="30" t="inlineStr">
        <is>
          <t>MRX TRANSPORTES LTDA</t>
        </is>
      </c>
      <c r="F9315" s="30" t="inlineStr">
        <is>
          <t>2021</t>
        </is>
      </c>
      <c r="G9315" s="40" t="n">
        <v>0</v>
      </c>
    </row>
    <row r="9316" ht="12" customHeight="1">
      <c r="A9316" s="30" t="inlineStr">
        <is>
          <t>POR</t>
        </is>
      </c>
      <c r="B9316" s="30" t="inlineStr">
        <is>
          <t>Porto Real</t>
        </is>
      </c>
      <c r="C9316" s="30" t="n">
        <v>11123961</v>
      </c>
      <c r="D9316" s="30">
        <f>"00233065003879"</f>
        <v/>
      </c>
      <c r="E9316" s="30" t="inlineStr">
        <is>
          <t>UNIDOCK"S ASSESSORIA E LOGISTICA DE MATERIAIS LTDA</t>
        </is>
      </c>
      <c r="F9316" s="30" t="inlineStr">
        <is>
          <t>2020</t>
        </is>
      </c>
      <c r="G9316" s="40" t="n">
        <v>0</v>
      </c>
    </row>
    <row r="9317" ht="12" customHeight="1">
      <c r="A9317" s="30" t="inlineStr">
        <is>
          <t>POR</t>
        </is>
      </c>
      <c r="B9317" s="30" t="inlineStr">
        <is>
          <t>Porto Real</t>
        </is>
      </c>
      <c r="C9317" s="30" t="n">
        <v>11123961</v>
      </c>
      <c r="D9317" s="30">
        <f>"00233065003879"</f>
        <v/>
      </c>
      <c r="E9317" s="30" t="inlineStr">
        <is>
          <t>UNIDOCK"S ASSESSORIA E LOGISTICA DE MATERIAIS LTDA</t>
        </is>
      </c>
      <c r="F9317" s="30" t="inlineStr">
        <is>
          <t>2021</t>
        </is>
      </c>
      <c r="G9317" s="40" t="n">
        <v>0</v>
      </c>
    </row>
    <row r="9318" ht="12" customHeight="1">
      <c r="A9318" s="30" t="inlineStr">
        <is>
          <t>POR</t>
        </is>
      </c>
      <c r="B9318" s="30" t="inlineStr">
        <is>
          <t>Porto Real</t>
        </is>
      </c>
      <c r="C9318" s="30" t="n">
        <v>11123961</v>
      </c>
      <c r="D9318" s="30">
        <f>"00233065003879"</f>
        <v/>
      </c>
      <c r="E9318" s="30" t="inlineStr">
        <is>
          <t>UNIDOCK"S ASSESSORIA E LOGISTICA DE MATERIAIS LTDA</t>
        </is>
      </c>
      <c r="F9318" s="30" t="inlineStr">
        <is>
          <t>2022</t>
        </is>
      </c>
      <c r="G9318" s="40" t="n">
        <v>1569.91</v>
      </c>
    </row>
    <row r="9319" ht="12" customHeight="1">
      <c r="A9319" s="30" t="inlineStr">
        <is>
          <t>POR</t>
        </is>
      </c>
      <c r="B9319" s="30" t="inlineStr">
        <is>
          <t>Porto Real</t>
        </is>
      </c>
      <c r="C9319" s="30" t="n">
        <v>11123961</v>
      </c>
      <c r="D9319" s="30">
        <f>"00233065003879"</f>
        <v/>
      </c>
      <c r="E9319" s="30" t="inlineStr">
        <is>
          <t>UNIDOCK"S ASSESSORIA E LOGISTICA DE MATERIAIS LTDA</t>
        </is>
      </c>
      <c r="F9319" s="30" t="inlineStr">
        <is>
          <t>2023</t>
        </is>
      </c>
      <c r="G9319" s="40" t="n">
        <v>0</v>
      </c>
    </row>
    <row r="9320" ht="12" customHeight="1">
      <c r="A9320" s="30" t="inlineStr">
        <is>
          <t>POR</t>
        </is>
      </c>
      <c r="B9320" s="30" t="inlineStr">
        <is>
          <t>Porto Real</t>
        </is>
      </c>
      <c r="C9320" s="30" t="n">
        <v>11126316</v>
      </c>
      <c r="D9320" s="30">
        <f>"29268609000128"</f>
        <v/>
      </c>
      <c r="E9320" s="30" t="inlineStr">
        <is>
          <t>PERUGIA TRANSPORTES E LOGÍSTICA EIRELI</t>
        </is>
      </c>
      <c r="F9320" s="30" t="inlineStr">
        <is>
          <t>2020</t>
        </is>
      </c>
      <c r="G9320" s="40" t="n">
        <v>0</v>
      </c>
    </row>
    <row r="9321" ht="12" customHeight="1">
      <c r="A9321" s="30" t="inlineStr">
        <is>
          <t>POR</t>
        </is>
      </c>
      <c r="B9321" s="30" t="inlineStr">
        <is>
          <t>Porto Real</t>
        </is>
      </c>
      <c r="C9321" s="30" t="n">
        <v>11126316</v>
      </c>
      <c r="D9321" s="30">
        <f>"29268609000128"</f>
        <v/>
      </c>
      <c r="E9321" s="30" t="inlineStr">
        <is>
          <t>PERUGIA TRANSPORTES E LOGÍSTICA EIRELI</t>
        </is>
      </c>
      <c r="F9321" s="30" t="inlineStr">
        <is>
          <t>2021</t>
        </is>
      </c>
      <c r="G9321" s="40" t="n">
        <v>0</v>
      </c>
    </row>
    <row r="9322" ht="12" customHeight="1">
      <c r="A9322" s="30" t="inlineStr">
        <is>
          <t>POR</t>
        </is>
      </c>
      <c r="B9322" s="30" t="inlineStr">
        <is>
          <t>Porto Real</t>
        </is>
      </c>
      <c r="C9322" s="30" t="n">
        <v>11126316</v>
      </c>
      <c r="D9322" s="30">
        <f>"29268609000128"</f>
        <v/>
      </c>
      <c r="E9322" s="30" t="inlineStr">
        <is>
          <t>PERUGIA TRANSPORTES E LOGÍSTICA EIRELI</t>
        </is>
      </c>
      <c r="F9322" s="30" t="inlineStr">
        <is>
          <t>2022</t>
        </is>
      </c>
      <c r="G9322" s="40" t="n">
        <v>101400.06</v>
      </c>
    </row>
    <row r="9323" ht="12" customHeight="1">
      <c r="A9323" s="30" t="inlineStr">
        <is>
          <t>POR</t>
        </is>
      </c>
      <c r="B9323" s="30" t="inlineStr">
        <is>
          <t>Porto Real</t>
        </is>
      </c>
      <c r="C9323" s="30" t="n">
        <v>11126316</v>
      </c>
      <c r="D9323" s="30">
        <f>"29268609000128"</f>
        <v/>
      </c>
      <c r="E9323" s="30" t="inlineStr">
        <is>
          <t>PERUGIA TRANSPORTES E LOGÍSTICA EIRELI</t>
        </is>
      </c>
      <c r="F9323" s="30" t="inlineStr">
        <is>
          <t>2023</t>
        </is>
      </c>
      <c r="G9323" s="40" t="n">
        <v>129641.32</v>
      </c>
    </row>
    <row r="9324" ht="12" customHeight="1">
      <c r="A9324" s="30" t="inlineStr">
        <is>
          <t>POR</t>
        </is>
      </c>
      <c r="B9324" s="30" t="inlineStr">
        <is>
          <t>Porto Real</t>
        </is>
      </c>
      <c r="C9324" s="30" t="n">
        <v>11132219</v>
      </c>
      <c r="D9324" s="30">
        <f>"30308329000185"</f>
        <v/>
      </c>
      <c r="E9324" s="30" t="inlineStr">
        <is>
          <t>TLOG RJ TRANSPORTADORA DE CARGAS LTDA</t>
        </is>
      </c>
      <c r="F9324" s="30" t="inlineStr">
        <is>
          <t>2018</t>
        </is>
      </c>
      <c r="G9324" s="40" t="n">
        <v>0</v>
      </c>
    </row>
    <row r="9325" ht="12" customHeight="1">
      <c r="A9325" s="30" t="inlineStr">
        <is>
          <t>POR</t>
        </is>
      </c>
      <c r="B9325" s="30" t="inlineStr">
        <is>
          <t>Porto Real</t>
        </is>
      </c>
      <c r="C9325" s="30" t="n">
        <v>11132219</v>
      </c>
      <c r="D9325" s="30">
        <f>"30308329000185"</f>
        <v/>
      </c>
      <c r="E9325" s="30" t="inlineStr">
        <is>
          <t>TLOG RJ TRANSPORTADORA DE CARGAS LTDA</t>
        </is>
      </c>
      <c r="F9325" s="30" t="inlineStr">
        <is>
          <t>2019</t>
        </is>
      </c>
      <c r="G9325" s="40" t="n">
        <v>0</v>
      </c>
    </row>
    <row r="9326" ht="12" customHeight="1">
      <c r="A9326" s="30" t="inlineStr">
        <is>
          <t>POR</t>
        </is>
      </c>
      <c r="B9326" s="30" t="inlineStr">
        <is>
          <t>Porto Real</t>
        </is>
      </c>
      <c r="C9326" s="30" t="n">
        <v>11132219</v>
      </c>
      <c r="D9326" s="30">
        <f>"30308329000185"</f>
        <v/>
      </c>
      <c r="E9326" s="30" t="inlineStr">
        <is>
          <t>TLOG RJ TRANSPORTADORA DE CARGAS LTDA</t>
        </is>
      </c>
      <c r="F9326" s="30" t="inlineStr">
        <is>
          <t>2020</t>
        </is>
      </c>
      <c r="G9326" s="40" t="n">
        <v>1559.95</v>
      </c>
    </row>
    <row r="9327" ht="12" customHeight="1">
      <c r="A9327" s="30" t="inlineStr">
        <is>
          <t>POR</t>
        </is>
      </c>
      <c r="B9327" s="30" t="inlineStr">
        <is>
          <t>Porto Real</t>
        </is>
      </c>
      <c r="C9327" s="30" t="n">
        <v>11132219</v>
      </c>
      <c r="D9327" s="30">
        <f>"30308329000185"</f>
        <v/>
      </c>
      <c r="E9327" s="30" t="inlineStr">
        <is>
          <t>TLOG RJ TRANSPORTADORA DE CARGAS LTDA</t>
        </is>
      </c>
      <c r="F9327" s="30" t="inlineStr">
        <is>
          <t>2021</t>
        </is>
      </c>
      <c r="G9327" s="40" t="n">
        <v>0</v>
      </c>
    </row>
    <row r="9328" ht="12" customHeight="1">
      <c r="A9328" s="30" t="inlineStr">
        <is>
          <t>POR</t>
        </is>
      </c>
      <c r="B9328" s="30" t="inlineStr">
        <is>
          <t>Porto Real</t>
        </is>
      </c>
      <c r="C9328" s="30" t="n">
        <v>11132219</v>
      </c>
      <c r="D9328" s="30">
        <f>"30308329000185"</f>
        <v/>
      </c>
      <c r="E9328" s="30" t="inlineStr">
        <is>
          <t>TLOG RJ TRANSPORTADORA DE CARGAS LTDA</t>
        </is>
      </c>
      <c r="F9328" s="30" t="inlineStr">
        <is>
          <t>2022</t>
        </is>
      </c>
      <c r="G9328" s="40" t="n">
        <v>0</v>
      </c>
    </row>
    <row r="9329" ht="12" customHeight="1">
      <c r="A9329" s="30" t="inlineStr">
        <is>
          <t>POR</t>
        </is>
      </c>
      <c r="B9329" s="30" t="inlineStr">
        <is>
          <t>Porto Real</t>
        </is>
      </c>
      <c r="C9329" s="30" t="n">
        <v>11146279</v>
      </c>
      <c r="D9329" s="30">
        <f>"03554137000500"</f>
        <v/>
      </c>
      <c r="E9329" s="30" t="inlineStr">
        <is>
          <t>STE TRANSPORTES S.A.</t>
        </is>
      </c>
      <c r="F9329" s="30" t="inlineStr">
        <is>
          <t>2017</t>
        </is>
      </c>
      <c r="G9329" s="40" t="n">
        <v>0</v>
      </c>
    </row>
    <row r="9330" ht="12" customHeight="1">
      <c r="A9330" s="30" t="inlineStr">
        <is>
          <t>POR</t>
        </is>
      </c>
      <c r="B9330" s="30" t="inlineStr">
        <is>
          <t>Porto Real</t>
        </is>
      </c>
      <c r="C9330" s="30" t="n">
        <v>11146279</v>
      </c>
      <c r="D9330" s="30">
        <f>"03554137000500"</f>
        <v/>
      </c>
      <c r="E9330" s="30" t="inlineStr">
        <is>
          <t>STE TRANSPORTES S.A.</t>
        </is>
      </c>
      <c r="F9330" s="30" t="inlineStr">
        <is>
          <t>2018</t>
        </is>
      </c>
      <c r="G9330" s="40" t="n">
        <v>14127.42</v>
      </c>
    </row>
    <row r="9331" ht="12" customHeight="1">
      <c r="A9331" s="30" t="inlineStr">
        <is>
          <t>POR</t>
        </is>
      </c>
      <c r="B9331" s="30" t="inlineStr">
        <is>
          <t>Porto Real</t>
        </is>
      </c>
      <c r="C9331" s="30" t="n">
        <v>11146279</v>
      </c>
      <c r="D9331" s="30">
        <f>"03554137000500"</f>
        <v/>
      </c>
      <c r="E9331" s="30" t="inlineStr">
        <is>
          <t>STE TRANSPORTES S.A.</t>
        </is>
      </c>
      <c r="F9331" s="30" t="inlineStr">
        <is>
          <t>2019</t>
        </is>
      </c>
      <c r="G9331" s="40" t="n">
        <v>0</v>
      </c>
    </row>
    <row r="9332" ht="12" customHeight="1">
      <c r="A9332" s="30" t="inlineStr">
        <is>
          <t>POR</t>
        </is>
      </c>
      <c r="B9332" s="30" t="inlineStr">
        <is>
          <t>Porto Real</t>
        </is>
      </c>
      <c r="C9332" s="30" t="n">
        <v>11146279</v>
      </c>
      <c r="D9332" s="30">
        <f>"03554137000500"</f>
        <v/>
      </c>
      <c r="E9332" s="30" t="inlineStr">
        <is>
          <t>STE TRANSPORTES S.A.</t>
        </is>
      </c>
      <c r="F9332" s="30" t="inlineStr">
        <is>
          <t>2020</t>
        </is>
      </c>
      <c r="G9332" s="40" t="n">
        <v>0</v>
      </c>
    </row>
    <row r="9333" ht="12" customHeight="1">
      <c r="A9333" s="30" t="inlineStr">
        <is>
          <t>POR</t>
        </is>
      </c>
      <c r="B9333" s="30" t="inlineStr">
        <is>
          <t>Porto Real</t>
        </is>
      </c>
      <c r="C9333" s="30" t="n">
        <v>11173900</v>
      </c>
      <c r="D9333" s="30">
        <f>"25244915000254"</f>
        <v/>
      </c>
      <c r="E9333" s="30" t="inlineStr">
        <is>
          <t>TRANSBSM TRANSPORTE DO BRASIL LTDA</t>
        </is>
      </c>
      <c r="F9333" s="30" t="inlineStr">
        <is>
          <t>2017</t>
        </is>
      </c>
      <c r="G9333" s="40" t="n">
        <v>0</v>
      </c>
    </row>
    <row r="9334" ht="12" customHeight="1">
      <c r="A9334" s="30" t="inlineStr">
        <is>
          <t>POR</t>
        </is>
      </c>
      <c r="B9334" s="30" t="inlineStr">
        <is>
          <t>Porto Real</t>
        </is>
      </c>
      <c r="C9334" s="30" t="n">
        <v>11173900</v>
      </c>
      <c r="D9334" s="30">
        <f>"25244915000254"</f>
        <v/>
      </c>
      <c r="E9334" s="30" t="inlineStr">
        <is>
          <t>TRANSBSM TRANSPORTE DO BRASIL LTDA</t>
        </is>
      </c>
      <c r="F9334" s="30" t="inlineStr">
        <is>
          <t>2018</t>
        </is>
      </c>
      <c r="G9334" s="40" t="n">
        <v>0</v>
      </c>
    </row>
    <row r="9335" ht="12" customHeight="1">
      <c r="A9335" s="30" t="inlineStr">
        <is>
          <t>POR</t>
        </is>
      </c>
      <c r="B9335" s="30" t="inlineStr">
        <is>
          <t>Porto Real</t>
        </is>
      </c>
      <c r="C9335" s="30" t="n">
        <v>11173900</v>
      </c>
      <c r="D9335" s="30">
        <f>"25244915000254"</f>
        <v/>
      </c>
      <c r="E9335" s="30" t="inlineStr">
        <is>
          <t>TRANSBSM TRANSPORTE DO BRASIL LTDA</t>
        </is>
      </c>
      <c r="F9335" s="30" t="inlineStr">
        <is>
          <t>2019</t>
        </is>
      </c>
      <c r="G9335" s="40" t="n">
        <v>0</v>
      </c>
    </row>
    <row r="9336" ht="12" customHeight="1">
      <c r="A9336" s="30" t="inlineStr">
        <is>
          <t>POR</t>
        </is>
      </c>
      <c r="B9336" s="30" t="inlineStr">
        <is>
          <t>Porto Real</t>
        </is>
      </c>
      <c r="C9336" s="30" t="n">
        <v>11173900</v>
      </c>
      <c r="D9336" s="30">
        <f>"25244915000254"</f>
        <v/>
      </c>
      <c r="E9336" s="30" t="inlineStr">
        <is>
          <t>TRANSBSM TRANSPORTE DO BRASIL LTDA</t>
        </is>
      </c>
      <c r="F9336" s="30" t="inlineStr">
        <is>
          <t>2020</t>
        </is>
      </c>
      <c r="G9336" s="40" t="n">
        <v>0</v>
      </c>
    </row>
    <row r="9337" ht="12" customHeight="1">
      <c r="A9337" s="30" t="inlineStr">
        <is>
          <t>POR</t>
        </is>
      </c>
      <c r="B9337" s="30" t="inlineStr">
        <is>
          <t>Porto Real</t>
        </is>
      </c>
      <c r="C9337" s="30" t="n">
        <v>11173900</v>
      </c>
      <c r="D9337" s="30">
        <f>"25244915000254"</f>
        <v/>
      </c>
      <c r="E9337" s="30" t="inlineStr">
        <is>
          <t>TRANSBSM TRANSPORTE DO BRASIL LTDA</t>
        </is>
      </c>
      <c r="F9337" s="30" t="inlineStr">
        <is>
          <t>2021</t>
        </is>
      </c>
      <c r="G9337" s="40" t="n">
        <v>0</v>
      </c>
    </row>
    <row r="9338" ht="12" customHeight="1">
      <c r="A9338" s="30" t="inlineStr">
        <is>
          <t>POR</t>
        </is>
      </c>
      <c r="B9338" s="30" t="inlineStr">
        <is>
          <t>Porto Real</t>
        </is>
      </c>
      <c r="C9338" s="30" t="n">
        <v>11173900</v>
      </c>
      <c r="D9338" s="30">
        <f>"25244915000254"</f>
        <v/>
      </c>
      <c r="E9338" s="30" t="inlineStr">
        <is>
          <t>TRANSBSM TRANSPORTE DO BRASIL LTDA</t>
        </is>
      </c>
      <c r="F9338" s="30" t="inlineStr">
        <is>
          <t>2022</t>
        </is>
      </c>
      <c r="G9338" s="40" t="n">
        <v>0</v>
      </c>
    </row>
    <row r="9339" ht="12" customHeight="1">
      <c r="A9339" s="30" t="inlineStr">
        <is>
          <t>POR</t>
        </is>
      </c>
      <c r="B9339" s="30" t="inlineStr">
        <is>
          <t>Porto Real</t>
        </is>
      </c>
      <c r="C9339" s="30" t="n">
        <v>11176380</v>
      </c>
      <c r="D9339" s="30">
        <f>"24625925000277"</f>
        <v/>
      </c>
      <c r="E9339" s="30" t="inlineStr">
        <is>
          <t>GEFCO INDUSTRIA DO BRASIL LTDA</t>
        </is>
      </c>
      <c r="F9339" s="30" t="inlineStr">
        <is>
          <t>2017</t>
        </is>
      </c>
      <c r="G9339" s="40" t="n">
        <v>0</v>
      </c>
    </row>
    <row r="9340" ht="12" customHeight="1">
      <c r="A9340" s="30" t="inlineStr">
        <is>
          <t>POR</t>
        </is>
      </c>
      <c r="B9340" s="30" t="inlineStr">
        <is>
          <t>Porto Real</t>
        </is>
      </c>
      <c r="C9340" s="30" t="n">
        <v>11176380</v>
      </c>
      <c r="D9340" s="30">
        <f>"24625925000277"</f>
        <v/>
      </c>
      <c r="E9340" s="30" t="inlineStr">
        <is>
          <t>GEFCO INDUSTRIA DO BRASIL LTDA</t>
        </is>
      </c>
      <c r="F9340" s="30" t="inlineStr">
        <is>
          <t>2018</t>
        </is>
      </c>
      <c r="G9340" s="40" t="n">
        <v>0</v>
      </c>
    </row>
    <row r="9341" ht="12" customHeight="1">
      <c r="A9341" s="30" t="inlineStr">
        <is>
          <t>POR</t>
        </is>
      </c>
      <c r="B9341" s="30" t="inlineStr">
        <is>
          <t>Porto Real</t>
        </is>
      </c>
      <c r="C9341" s="30" t="n">
        <v>11176380</v>
      </c>
      <c r="D9341" s="30">
        <f>"24625925000277"</f>
        <v/>
      </c>
      <c r="E9341" s="30" t="inlineStr">
        <is>
          <t>GEFCO INDUSTRIA DO BRASIL LTDA</t>
        </is>
      </c>
      <c r="F9341" s="30" t="inlineStr">
        <is>
          <t>2019</t>
        </is>
      </c>
      <c r="G9341" s="40" t="n">
        <v>0</v>
      </c>
    </row>
    <row r="9342" ht="12" customHeight="1">
      <c r="A9342" s="30" t="inlineStr">
        <is>
          <t>POR</t>
        </is>
      </c>
      <c r="B9342" s="30" t="inlineStr">
        <is>
          <t>Porto Real</t>
        </is>
      </c>
      <c r="C9342" s="30" t="n">
        <v>11176380</v>
      </c>
      <c r="D9342" s="30">
        <f>"24625925000277"</f>
        <v/>
      </c>
      <c r="E9342" s="30" t="inlineStr">
        <is>
          <t>GEFCO INDUSTRIA DO BRASIL LTDA</t>
        </is>
      </c>
      <c r="F9342" s="30" t="inlineStr">
        <is>
          <t>2020</t>
        </is>
      </c>
      <c r="G9342" s="40" t="n">
        <v>0</v>
      </c>
    </row>
    <row r="9343" ht="12" customHeight="1">
      <c r="A9343" s="30" t="inlineStr">
        <is>
          <t>POR</t>
        </is>
      </c>
      <c r="B9343" s="30" t="inlineStr">
        <is>
          <t>Porto Real</t>
        </is>
      </c>
      <c r="C9343" s="30" t="n">
        <v>11176380</v>
      </c>
      <c r="D9343" s="30">
        <f>"24625925000277"</f>
        <v/>
      </c>
      <c r="E9343" s="30" t="inlineStr">
        <is>
          <t>GEFCO INDUSTRIA DO BRASIL LTDA</t>
        </is>
      </c>
      <c r="F9343" s="30" t="inlineStr">
        <is>
          <t>2021</t>
        </is>
      </c>
      <c r="G9343" s="40" t="n">
        <v>0</v>
      </c>
    </row>
    <row r="9344" ht="12" customHeight="1">
      <c r="A9344" s="30" t="inlineStr">
        <is>
          <t>POR</t>
        </is>
      </c>
      <c r="B9344" s="30" t="inlineStr">
        <is>
          <t>Porto Real</t>
        </is>
      </c>
      <c r="C9344" s="30" t="n">
        <v>11184812</v>
      </c>
      <c r="D9344" s="30">
        <f>"30863677000114"</f>
        <v/>
      </c>
      <c r="E9344" s="30" t="inlineStr">
        <is>
          <t>SILVA ALIMENTOS NOVO HORIZONTE LTDA</t>
        </is>
      </c>
      <c r="F9344" s="30" t="inlineStr">
        <is>
          <t>2018</t>
        </is>
      </c>
      <c r="G9344" s="40" t="n">
        <v>0</v>
      </c>
    </row>
    <row r="9345" ht="12" customHeight="1">
      <c r="A9345" s="30" t="inlineStr">
        <is>
          <t>POR</t>
        </is>
      </c>
      <c r="B9345" s="30" t="inlineStr">
        <is>
          <t>Porto Real</t>
        </is>
      </c>
      <c r="C9345" s="30" t="n">
        <v>11184812</v>
      </c>
      <c r="D9345" s="30">
        <f>"30863677000114"</f>
        <v/>
      </c>
      <c r="E9345" s="30" t="inlineStr">
        <is>
          <t>SILVA ALIMENTOS NOVO HORIZONTE LTDA</t>
        </is>
      </c>
      <c r="F9345" s="30" t="inlineStr">
        <is>
          <t>2019</t>
        </is>
      </c>
      <c r="G9345" s="40" t="n">
        <v>0</v>
      </c>
    </row>
    <row r="9346" ht="12" customHeight="1">
      <c r="A9346" s="30" t="inlineStr">
        <is>
          <t>POR</t>
        </is>
      </c>
      <c r="B9346" s="30" t="inlineStr">
        <is>
          <t>Porto Real</t>
        </is>
      </c>
      <c r="C9346" s="30" t="n">
        <v>11184812</v>
      </c>
      <c r="D9346" s="30">
        <f>"30863677000114"</f>
        <v/>
      </c>
      <c r="E9346" s="30" t="inlineStr">
        <is>
          <t>SILVA ALIMENTOS NOVO HORIZONTE LTDA</t>
        </is>
      </c>
      <c r="F9346" s="30" t="inlineStr">
        <is>
          <t>2020</t>
        </is>
      </c>
      <c r="G9346" s="40" t="n">
        <v>1279857.87</v>
      </c>
    </row>
    <row r="9347" ht="12" customHeight="1">
      <c r="A9347" s="30" t="inlineStr">
        <is>
          <t>POR</t>
        </is>
      </c>
      <c r="B9347" s="30" t="inlineStr">
        <is>
          <t>Porto Real</t>
        </is>
      </c>
      <c r="C9347" s="30" t="n">
        <v>11184812</v>
      </c>
      <c r="D9347" s="30">
        <f>"30863677000114"</f>
        <v/>
      </c>
      <c r="E9347" s="30" t="inlineStr">
        <is>
          <t>SILVA ALIMENTOS NOVO HORIZONTE LTDA</t>
        </is>
      </c>
      <c r="F9347" s="30" t="inlineStr">
        <is>
          <t>2021</t>
        </is>
      </c>
      <c r="G9347" s="40" t="n">
        <v>1034165.14</v>
      </c>
    </row>
    <row r="9348" ht="12" customHeight="1">
      <c r="A9348" s="30" t="inlineStr">
        <is>
          <t>POR</t>
        </is>
      </c>
      <c r="B9348" s="30" t="inlineStr">
        <is>
          <t>Porto Real</t>
        </is>
      </c>
      <c r="C9348" s="30" t="n">
        <v>11184812</v>
      </c>
      <c r="D9348" s="30">
        <f>"30863677000114"</f>
        <v/>
      </c>
      <c r="E9348" s="30" t="inlineStr">
        <is>
          <t>SILVA ALIMENTOS NOVO HORIZONTE LTDA</t>
        </is>
      </c>
      <c r="F9348" s="30" t="inlineStr">
        <is>
          <t>2022</t>
        </is>
      </c>
      <c r="G9348" s="40" t="n">
        <v>1396007.47</v>
      </c>
    </row>
    <row r="9349" ht="12" customHeight="1">
      <c r="A9349" s="30" t="inlineStr">
        <is>
          <t>POR</t>
        </is>
      </c>
      <c r="B9349" s="30" t="inlineStr">
        <is>
          <t>Porto Real</t>
        </is>
      </c>
      <c r="C9349" s="30" t="n">
        <v>11184812</v>
      </c>
      <c r="D9349" s="30">
        <f>"30863677000114"</f>
        <v/>
      </c>
      <c r="E9349" s="30" t="inlineStr">
        <is>
          <t>SILVA ALIMENTOS NOVO HORIZONTE LTDA</t>
        </is>
      </c>
      <c r="F9349" s="30" t="inlineStr">
        <is>
          <t>2023</t>
        </is>
      </c>
      <c r="G9349" s="40" t="n">
        <v>1544860.6</v>
      </c>
    </row>
    <row r="9350" ht="12" customHeight="1">
      <c r="A9350" s="30" t="inlineStr">
        <is>
          <t>POR</t>
        </is>
      </c>
      <c r="B9350" s="30" t="inlineStr">
        <is>
          <t>Porto Real</t>
        </is>
      </c>
      <c r="C9350" s="30" t="n">
        <v>11185550</v>
      </c>
      <c r="D9350" s="30">
        <f>"27731568000139"</f>
        <v/>
      </c>
      <c r="E9350" s="30" t="inlineStr">
        <is>
          <t>EMPRESA JORNALISTICA A VOZ DO INTERIOR LTDA EPP</t>
        </is>
      </c>
      <c r="F9350" s="30" t="inlineStr">
        <is>
          <t>2017</t>
        </is>
      </c>
      <c r="G9350" s="40" t="n">
        <v>0</v>
      </c>
    </row>
    <row r="9351" ht="12" customHeight="1">
      <c r="A9351" s="30" t="inlineStr">
        <is>
          <t>POR</t>
        </is>
      </c>
      <c r="B9351" s="30" t="inlineStr">
        <is>
          <t>Porto Real</t>
        </is>
      </c>
      <c r="C9351" s="30" t="n">
        <v>11185550</v>
      </c>
      <c r="D9351" s="30">
        <f>"27731568000139"</f>
        <v/>
      </c>
      <c r="E9351" s="30" t="inlineStr">
        <is>
          <t>EMPRESA JORNALISTICA A VOZ DO INTERIOR LTDA EPP</t>
        </is>
      </c>
      <c r="F9351" s="30" t="inlineStr">
        <is>
          <t>2018</t>
        </is>
      </c>
      <c r="G9351" s="40" t="n">
        <v>0</v>
      </c>
    </row>
    <row r="9352" ht="12" customHeight="1">
      <c r="A9352" s="30" t="inlineStr">
        <is>
          <t>POR</t>
        </is>
      </c>
      <c r="B9352" s="30" t="inlineStr">
        <is>
          <t>Porto Real</t>
        </is>
      </c>
      <c r="C9352" s="30" t="n">
        <v>11185550</v>
      </c>
      <c r="D9352" s="30">
        <f>"27731568000139"</f>
        <v/>
      </c>
      <c r="E9352" s="30" t="inlineStr">
        <is>
          <t>EMPRESA JORNALISTICA A VOZ DO INTERIOR LTDA EPP</t>
        </is>
      </c>
      <c r="F9352" s="30" t="inlineStr">
        <is>
          <t>2019</t>
        </is>
      </c>
      <c r="G9352" s="40" t="n">
        <v>0</v>
      </c>
    </row>
    <row r="9353" ht="12" customHeight="1">
      <c r="A9353" s="30" t="inlineStr">
        <is>
          <t>POR</t>
        </is>
      </c>
      <c r="B9353" s="30" t="inlineStr">
        <is>
          <t>Porto Real</t>
        </is>
      </c>
      <c r="C9353" s="30" t="n">
        <v>11185550</v>
      </c>
      <c r="D9353" s="30">
        <f>"27731568000139"</f>
        <v/>
      </c>
      <c r="E9353" s="30" t="inlineStr">
        <is>
          <t>EMPRESA JORNALISTICA A VOZ DO INTERIOR LTDA EPP</t>
        </is>
      </c>
      <c r="F9353" s="30" t="inlineStr">
        <is>
          <t>2020</t>
        </is>
      </c>
      <c r="G9353" s="40" t="n">
        <v>0</v>
      </c>
    </row>
    <row r="9354" ht="12" customHeight="1">
      <c r="A9354" s="30" t="inlineStr">
        <is>
          <t>POR</t>
        </is>
      </c>
      <c r="B9354" s="30" t="inlineStr">
        <is>
          <t>Porto Real</t>
        </is>
      </c>
      <c r="C9354" s="30" t="n">
        <v>11229980</v>
      </c>
      <c r="D9354" s="30">
        <f>"66301334001002"</f>
        <v/>
      </c>
      <c r="E9354" s="30" t="inlineStr">
        <is>
          <t>LATICINIOS PORTO ALEGRE INDUSTRIA E COMERCIO S/A</t>
        </is>
      </c>
      <c r="F9354" s="30" t="inlineStr">
        <is>
          <t>2018</t>
        </is>
      </c>
      <c r="G9354" s="40" t="n">
        <v>0</v>
      </c>
    </row>
    <row r="9355" ht="12" customHeight="1">
      <c r="A9355" s="30" t="inlineStr">
        <is>
          <t>POR</t>
        </is>
      </c>
      <c r="B9355" s="30" t="inlineStr">
        <is>
          <t>Porto Real</t>
        </is>
      </c>
      <c r="C9355" s="30" t="n">
        <v>11229980</v>
      </c>
      <c r="D9355" s="30">
        <f>"66301334001002"</f>
        <v/>
      </c>
      <c r="E9355" s="30" t="inlineStr">
        <is>
          <t>LATICINIOS PORTO ALEGRE INDUSTRIA E COMERCIO S/A</t>
        </is>
      </c>
      <c r="F9355" s="30" t="inlineStr">
        <is>
          <t>2019</t>
        </is>
      </c>
      <c r="G9355" s="40" t="n">
        <v>0</v>
      </c>
    </row>
    <row r="9356" ht="12" customHeight="1">
      <c r="A9356" s="30" t="inlineStr">
        <is>
          <t>POR</t>
        </is>
      </c>
      <c r="B9356" s="30" t="inlineStr">
        <is>
          <t>Porto Real</t>
        </is>
      </c>
      <c r="C9356" s="30" t="n">
        <v>11229980</v>
      </c>
      <c r="D9356" s="30">
        <f>"66301334001002"</f>
        <v/>
      </c>
      <c r="E9356" s="30" t="inlineStr">
        <is>
          <t>LATICINIOS PORTO ALEGRE INDUSTRIA E COMERCIO S/A</t>
        </is>
      </c>
      <c r="F9356" s="30" t="inlineStr">
        <is>
          <t>2020</t>
        </is>
      </c>
      <c r="G9356" s="40" t="n">
        <v>70643.82000000001</v>
      </c>
    </row>
    <row r="9357" ht="12" customHeight="1">
      <c r="A9357" s="30" t="inlineStr">
        <is>
          <t>POR</t>
        </is>
      </c>
      <c r="B9357" s="30" t="inlineStr">
        <is>
          <t>Porto Real</t>
        </is>
      </c>
      <c r="C9357" s="30" t="n">
        <v>11229980</v>
      </c>
      <c r="D9357" s="30">
        <f>"66301334001002"</f>
        <v/>
      </c>
      <c r="E9357" s="30" t="inlineStr">
        <is>
          <t>LATICINIOS PORTO ALEGRE INDUSTRIA E COMERCIO S/A</t>
        </is>
      </c>
      <c r="F9357" s="30" t="inlineStr">
        <is>
          <t>2021</t>
        </is>
      </c>
      <c r="G9357" s="40" t="n">
        <v>164356.45</v>
      </c>
    </row>
    <row r="9358" ht="12" customHeight="1">
      <c r="A9358" s="30" t="inlineStr">
        <is>
          <t>POR</t>
        </is>
      </c>
      <c r="B9358" s="30" t="inlineStr">
        <is>
          <t>Porto Real</t>
        </is>
      </c>
      <c r="C9358" s="30" t="n">
        <v>11229980</v>
      </c>
      <c r="D9358" s="30">
        <f>"66301334001002"</f>
        <v/>
      </c>
      <c r="E9358" s="30" t="inlineStr">
        <is>
          <t>LATICINIOS PORTO ALEGRE INDUSTRIA E COMERCIO S/A</t>
        </is>
      </c>
      <c r="F9358" s="30" t="inlineStr">
        <is>
          <t>2022</t>
        </is>
      </c>
      <c r="G9358" s="40" t="n">
        <v>0</v>
      </c>
    </row>
    <row r="9359" ht="12" customHeight="1">
      <c r="A9359" s="30" t="inlineStr">
        <is>
          <t>POR</t>
        </is>
      </c>
      <c r="B9359" s="30" t="inlineStr">
        <is>
          <t>Porto Real</t>
        </is>
      </c>
      <c r="C9359" s="30" t="n">
        <v>11229980</v>
      </c>
      <c r="D9359" s="30">
        <f>"66301334001002"</f>
        <v/>
      </c>
      <c r="E9359" s="30" t="inlineStr">
        <is>
          <t>LATICINIOS PORTO ALEGRE INDUSTRIA E COMERCIO S/A</t>
        </is>
      </c>
      <c r="F9359" s="30" t="inlineStr">
        <is>
          <t>2023</t>
        </is>
      </c>
      <c r="G9359" s="40" t="n">
        <v>0</v>
      </c>
    </row>
    <row r="9360" ht="12" customHeight="1">
      <c r="A9360" s="30" t="inlineStr">
        <is>
          <t>POR</t>
        </is>
      </c>
      <c r="B9360" s="30" t="inlineStr">
        <is>
          <t>Porto Real</t>
        </is>
      </c>
      <c r="C9360" s="30" t="n">
        <v>11272630</v>
      </c>
      <c r="D9360" s="30">
        <f>"31495246000296"</f>
        <v/>
      </c>
      <c r="E9360" s="30" t="inlineStr">
        <is>
          <t>EMBALABRAS SISTEMAS DE EMBALAGENS EIRELI</t>
        </is>
      </c>
      <c r="F9360" s="30" t="inlineStr">
        <is>
          <t>2017</t>
        </is>
      </c>
      <c r="G9360" s="40" t="n">
        <v>0</v>
      </c>
    </row>
    <row r="9361" ht="12" customHeight="1">
      <c r="A9361" s="30" t="inlineStr">
        <is>
          <t>POR</t>
        </is>
      </c>
      <c r="B9361" s="30" t="inlineStr">
        <is>
          <t>Porto Real</t>
        </is>
      </c>
      <c r="C9361" s="30" t="n">
        <v>11272630</v>
      </c>
      <c r="D9361" s="30">
        <f>"31495246000296"</f>
        <v/>
      </c>
      <c r="E9361" s="30" t="inlineStr">
        <is>
          <t>EMBALABRAS SISTEMAS DE EMBALAGENS EIRELI</t>
        </is>
      </c>
      <c r="F9361" s="30" t="inlineStr">
        <is>
          <t>2018</t>
        </is>
      </c>
      <c r="G9361" s="40" t="n">
        <v>0</v>
      </c>
    </row>
    <row r="9362" ht="12" customHeight="1">
      <c r="A9362" s="30" t="inlineStr">
        <is>
          <t>POR</t>
        </is>
      </c>
      <c r="B9362" s="30" t="inlineStr">
        <is>
          <t>Porto Real</t>
        </is>
      </c>
      <c r="C9362" s="30" t="n">
        <v>11272630</v>
      </c>
      <c r="D9362" s="30">
        <f>"31495246000296"</f>
        <v/>
      </c>
      <c r="E9362" s="30" t="inlineStr">
        <is>
          <t>EMBALABRAS SISTEMAS DE EMBALAGENS EIRELI</t>
        </is>
      </c>
      <c r="F9362" s="30" t="inlineStr">
        <is>
          <t>2019</t>
        </is>
      </c>
      <c r="G9362" s="40" t="n">
        <v>6044.25</v>
      </c>
    </row>
    <row r="9363" ht="12" customHeight="1">
      <c r="A9363" s="30" t="inlineStr">
        <is>
          <t>POR</t>
        </is>
      </c>
      <c r="B9363" s="30" t="inlineStr">
        <is>
          <t>Porto Real</t>
        </is>
      </c>
      <c r="C9363" s="30" t="n">
        <v>11272630</v>
      </c>
      <c r="D9363" s="30">
        <f>"31495246000296"</f>
        <v/>
      </c>
      <c r="E9363" s="30" t="inlineStr">
        <is>
          <t>EMBALABRAS SISTEMAS DE EMBALAGENS EIRELI</t>
        </is>
      </c>
      <c r="F9363" s="30" t="inlineStr">
        <is>
          <t>2020</t>
        </is>
      </c>
      <c r="G9363" s="40" t="n">
        <v>0</v>
      </c>
    </row>
    <row r="9364" ht="12" customHeight="1">
      <c r="A9364" s="30" t="inlineStr">
        <is>
          <t>POR</t>
        </is>
      </c>
      <c r="B9364" s="30" t="inlineStr">
        <is>
          <t>Porto Real</t>
        </is>
      </c>
      <c r="C9364" s="30" t="n">
        <v>11272630</v>
      </c>
      <c r="D9364" s="30">
        <f>"31495246000296"</f>
        <v/>
      </c>
      <c r="E9364" s="30" t="inlineStr">
        <is>
          <t>EMBALABRAS SISTEMAS DE EMBALAGENS EIRELI</t>
        </is>
      </c>
      <c r="F9364" s="30" t="inlineStr">
        <is>
          <t>2021</t>
        </is>
      </c>
      <c r="G9364" s="40" t="n">
        <v>0</v>
      </c>
    </row>
    <row r="9365" ht="12" customHeight="1">
      <c r="A9365" s="30" t="inlineStr">
        <is>
          <t>POR</t>
        </is>
      </c>
      <c r="B9365" s="30" t="inlineStr">
        <is>
          <t>Porto Real</t>
        </is>
      </c>
      <c r="C9365" s="30" t="n">
        <v>11272630</v>
      </c>
      <c r="D9365" s="30">
        <f>"31495246000296"</f>
        <v/>
      </c>
      <c r="E9365" s="30" t="inlineStr">
        <is>
          <t>EMBALABRAS SISTEMAS DE EMBALAGENS EIRELI</t>
        </is>
      </c>
      <c r="F9365" s="30" t="inlineStr">
        <is>
          <t>2022</t>
        </is>
      </c>
      <c r="G9365" s="40" t="n">
        <v>0</v>
      </c>
    </row>
    <row r="9366" ht="12" customHeight="1">
      <c r="A9366" s="30" t="inlineStr">
        <is>
          <t>POR</t>
        </is>
      </c>
      <c r="B9366" s="30" t="inlineStr">
        <is>
          <t>Porto Real</t>
        </is>
      </c>
      <c r="C9366" s="30" t="n">
        <v>11272630</v>
      </c>
      <c r="D9366" s="30">
        <f>"31495246000296"</f>
        <v/>
      </c>
      <c r="E9366" s="30" t="inlineStr">
        <is>
          <t>EMBALABRAS SISTEMAS DE EMBALAGENS EIRELI</t>
        </is>
      </c>
      <c r="F9366" s="30" t="inlineStr">
        <is>
          <t>2023</t>
        </is>
      </c>
      <c r="G9366" s="40" t="n">
        <v>0</v>
      </c>
    </row>
    <row r="9367" ht="12" customHeight="1">
      <c r="A9367" s="30" t="inlineStr">
        <is>
          <t>POR</t>
        </is>
      </c>
      <c r="B9367" s="30" t="inlineStr">
        <is>
          <t>Porto Real</t>
        </is>
      </c>
      <c r="C9367" s="30" t="n">
        <v>11306870</v>
      </c>
      <c r="D9367" s="30">
        <f>"26607430000321"</f>
        <v/>
      </c>
      <c r="E9367" s="30" t="inlineStr">
        <is>
          <t>EXPRESSO JA LTDA</t>
        </is>
      </c>
      <c r="F9367" s="30" t="inlineStr">
        <is>
          <t>2021</t>
        </is>
      </c>
      <c r="G9367" s="40" t="n">
        <v>0</v>
      </c>
    </row>
    <row r="9368" ht="12" customHeight="1">
      <c r="A9368" s="30" t="inlineStr">
        <is>
          <t>POR</t>
        </is>
      </c>
      <c r="B9368" s="30" t="inlineStr">
        <is>
          <t>Porto Real</t>
        </is>
      </c>
      <c r="C9368" s="30" t="n">
        <v>11306870</v>
      </c>
      <c r="D9368" s="30">
        <f>"26607430000321"</f>
        <v/>
      </c>
      <c r="E9368" s="30" t="inlineStr">
        <is>
          <t>EXPRESSO JA LTDA</t>
        </is>
      </c>
      <c r="F9368" s="30" t="inlineStr">
        <is>
          <t>2022</t>
        </is>
      </c>
      <c r="G9368" s="40" t="n">
        <v>0</v>
      </c>
    </row>
    <row r="9369" ht="12" customHeight="1">
      <c r="A9369" s="30" t="inlineStr">
        <is>
          <t>POR</t>
        </is>
      </c>
      <c r="B9369" s="30" t="inlineStr">
        <is>
          <t>Porto Real</t>
        </is>
      </c>
      <c r="C9369" s="30" t="n">
        <v>11306870</v>
      </c>
      <c r="D9369" s="30">
        <f>"26607430000321"</f>
        <v/>
      </c>
      <c r="E9369" s="30" t="inlineStr">
        <is>
          <t>EXPRESSO JA LTDA</t>
        </is>
      </c>
      <c r="F9369" s="30" t="inlineStr">
        <is>
          <t>2023</t>
        </is>
      </c>
      <c r="G9369" s="40" t="n">
        <v>132.68</v>
      </c>
    </row>
    <row r="9370" ht="12" customHeight="1">
      <c r="A9370" s="30" t="inlineStr">
        <is>
          <t>POR</t>
        </is>
      </c>
      <c r="B9370" s="30" t="inlineStr">
        <is>
          <t>Porto Real</t>
        </is>
      </c>
      <c r="C9370" s="30" t="n">
        <v>11309739</v>
      </c>
      <c r="D9370" s="30">
        <f>"05476099000469"</f>
        <v/>
      </c>
      <c r="E9370" s="30" t="inlineStr">
        <is>
          <t>SOMA LOGISTICA E LOCACOES LTDA</t>
        </is>
      </c>
      <c r="F9370" s="30" t="inlineStr">
        <is>
          <t>2019</t>
        </is>
      </c>
      <c r="G9370" s="40" t="n">
        <v>0</v>
      </c>
    </row>
    <row r="9371" ht="12" customHeight="1">
      <c r="A9371" s="30" t="inlineStr">
        <is>
          <t>POR</t>
        </is>
      </c>
      <c r="B9371" s="30" t="inlineStr">
        <is>
          <t>Porto Real</t>
        </is>
      </c>
      <c r="C9371" s="30" t="n">
        <v>11309739</v>
      </c>
      <c r="D9371" s="30">
        <f>"05476099000469"</f>
        <v/>
      </c>
      <c r="E9371" s="30" t="inlineStr">
        <is>
          <t>SOMA LOGISTICA E LOCACOES LTDA</t>
        </is>
      </c>
      <c r="F9371" s="30" t="inlineStr">
        <is>
          <t>2020</t>
        </is>
      </c>
      <c r="G9371" s="40" t="n">
        <v>0</v>
      </c>
    </row>
    <row r="9372" ht="12" customHeight="1">
      <c r="A9372" s="30" t="inlineStr">
        <is>
          <t>POR</t>
        </is>
      </c>
      <c r="B9372" s="30" t="inlineStr">
        <is>
          <t>Porto Real</t>
        </is>
      </c>
      <c r="C9372" s="30" t="n">
        <v>11309739</v>
      </c>
      <c r="D9372" s="30">
        <f>"05476099000469"</f>
        <v/>
      </c>
      <c r="E9372" s="30" t="inlineStr">
        <is>
          <t>SOMA LOGISTICA E LOCACOES LTDA</t>
        </is>
      </c>
      <c r="F9372" s="30" t="inlineStr">
        <is>
          <t>2021</t>
        </is>
      </c>
      <c r="G9372" s="40" t="n">
        <v>813817.46</v>
      </c>
    </row>
    <row r="9373" ht="12" customHeight="1">
      <c r="A9373" s="30" t="inlineStr">
        <is>
          <t>POR</t>
        </is>
      </c>
      <c r="B9373" s="30" t="inlineStr">
        <is>
          <t>Porto Real</t>
        </is>
      </c>
      <c r="C9373" s="30" t="n">
        <v>11309739</v>
      </c>
      <c r="D9373" s="30">
        <f>"05476099000469"</f>
        <v/>
      </c>
      <c r="E9373" s="30" t="inlineStr">
        <is>
          <t>SOMA LOGISTICA E LOCACOES LTDA</t>
        </is>
      </c>
      <c r="F9373" s="30" t="inlineStr">
        <is>
          <t>2022</t>
        </is>
      </c>
      <c r="G9373" s="40" t="n">
        <v>0</v>
      </c>
    </row>
    <row r="9374" ht="12" customHeight="1">
      <c r="A9374" s="30" t="inlineStr">
        <is>
          <t>POR</t>
        </is>
      </c>
      <c r="B9374" s="30" t="inlineStr">
        <is>
          <t>Porto Real</t>
        </is>
      </c>
      <c r="C9374" s="30" t="n">
        <v>11309739</v>
      </c>
      <c r="D9374" s="30">
        <f>"05476099000469"</f>
        <v/>
      </c>
      <c r="E9374" s="30" t="inlineStr">
        <is>
          <t>SOMA LOGISTICA E LOCACOES LTDA</t>
        </is>
      </c>
      <c r="F9374" s="30" t="inlineStr">
        <is>
          <t>2023</t>
        </is>
      </c>
      <c r="G9374" s="40" t="n">
        <v>7208147.8</v>
      </c>
    </row>
    <row r="9375" ht="12" customHeight="1">
      <c r="A9375" s="30" t="inlineStr">
        <is>
          <t>POR</t>
        </is>
      </c>
      <c r="B9375" s="30" t="inlineStr">
        <is>
          <t>Porto Real</t>
        </is>
      </c>
      <c r="C9375" s="30" t="n">
        <v>11323936</v>
      </c>
      <c r="D9375" s="30">
        <f>"32161677000106"</f>
        <v/>
      </c>
      <c r="E9375" s="30" t="inlineStr">
        <is>
          <t>COMERCIAL ALIMENTÍCIA PORTO REAL EIRELI</t>
        </is>
      </c>
      <c r="F9375" s="30" t="inlineStr">
        <is>
          <t>2017</t>
        </is>
      </c>
      <c r="G9375" s="40" t="n">
        <v>0</v>
      </c>
    </row>
    <row r="9376" ht="12" customHeight="1">
      <c r="A9376" s="30" t="inlineStr">
        <is>
          <t>POR</t>
        </is>
      </c>
      <c r="B9376" s="30" t="inlineStr">
        <is>
          <t>Porto Real</t>
        </is>
      </c>
      <c r="C9376" s="30" t="n">
        <v>11323936</v>
      </c>
      <c r="D9376" s="30">
        <f>"32161677000106"</f>
        <v/>
      </c>
      <c r="E9376" s="30" t="inlineStr">
        <is>
          <t>COMERCIAL ALIMENTÍCIA PORTO REAL EIRELI</t>
        </is>
      </c>
      <c r="F9376" s="30" t="inlineStr">
        <is>
          <t>2018</t>
        </is>
      </c>
      <c r="G9376" s="40" t="n">
        <v>0</v>
      </c>
    </row>
    <row r="9377" ht="12" customHeight="1">
      <c r="A9377" s="30" t="inlineStr">
        <is>
          <t>POR</t>
        </is>
      </c>
      <c r="B9377" s="30" t="inlineStr">
        <is>
          <t>Porto Real</t>
        </is>
      </c>
      <c r="C9377" s="30" t="n">
        <v>11323936</v>
      </c>
      <c r="D9377" s="30">
        <f>"32161677000106"</f>
        <v/>
      </c>
      <c r="E9377" s="30" t="inlineStr">
        <is>
          <t>COMERCIAL ALIMENTÍCIA PORTO REAL EIRELI</t>
        </is>
      </c>
      <c r="F9377" s="30" t="inlineStr">
        <is>
          <t>2019</t>
        </is>
      </c>
      <c r="G9377" s="40" t="n">
        <v>0</v>
      </c>
    </row>
    <row r="9378" ht="12" customHeight="1">
      <c r="A9378" s="30" t="inlineStr">
        <is>
          <t>POR</t>
        </is>
      </c>
      <c r="B9378" s="30" t="inlineStr">
        <is>
          <t>Porto Real</t>
        </is>
      </c>
      <c r="C9378" s="30" t="n">
        <v>11323936</v>
      </c>
      <c r="D9378" s="30">
        <f>"32161677000106"</f>
        <v/>
      </c>
      <c r="E9378" s="30" t="inlineStr">
        <is>
          <t>COMERCIAL ALIMENTÍCIA PORTO REAL EIRELI</t>
        </is>
      </c>
      <c r="F9378" s="30" t="inlineStr">
        <is>
          <t>2020</t>
        </is>
      </c>
      <c r="G9378" s="40" t="n">
        <v>0</v>
      </c>
    </row>
    <row r="9379" ht="12" customHeight="1">
      <c r="A9379" s="30" t="inlineStr">
        <is>
          <t>POR</t>
        </is>
      </c>
      <c r="B9379" s="30" t="inlineStr">
        <is>
          <t>Porto Real</t>
        </is>
      </c>
      <c r="C9379" s="30" t="n">
        <v>11335233</v>
      </c>
      <c r="D9379" s="30">
        <f>"07973198000643"</f>
        <v/>
      </c>
      <c r="E9379" s="30" t="inlineStr">
        <is>
          <t>EUROLAF VEICULOS ESPECIAIS LTDA</t>
        </is>
      </c>
      <c r="F9379" s="30" t="inlineStr">
        <is>
          <t>2017</t>
        </is>
      </c>
      <c r="G9379" s="40" t="n">
        <v>0</v>
      </c>
    </row>
    <row r="9380" ht="12" customHeight="1">
      <c r="A9380" s="30" t="inlineStr">
        <is>
          <t>POR</t>
        </is>
      </c>
      <c r="B9380" s="30" t="inlineStr">
        <is>
          <t>Porto Real</t>
        </is>
      </c>
      <c r="C9380" s="30" t="n">
        <v>11335233</v>
      </c>
      <c r="D9380" s="30">
        <f>"07973198000643"</f>
        <v/>
      </c>
      <c r="E9380" s="30" t="inlineStr">
        <is>
          <t>EUROLAF VEICULOS ESPECIAIS LTDA</t>
        </is>
      </c>
      <c r="F9380" s="30" t="inlineStr">
        <is>
          <t>2018</t>
        </is>
      </c>
      <c r="G9380" s="40" t="n">
        <v>0</v>
      </c>
    </row>
    <row r="9381" ht="12" customHeight="1">
      <c r="A9381" s="30" t="inlineStr">
        <is>
          <t>POR</t>
        </is>
      </c>
      <c r="B9381" s="30" t="inlineStr">
        <is>
          <t>Porto Real</t>
        </is>
      </c>
      <c r="C9381" s="30" t="n">
        <v>11335233</v>
      </c>
      <c r="D9381" s="30">
        <f>"07973198000643"</f>
        <v/>
      </c>
      <c r="E9381" s="30" t="inlineStr">
        <is>
          <t>EUROLAF VEICULOS ESPECIAIS LTDA</t>
        </is>
      </c>
      <c r="F9381" s="30" t="inlineStr">
        <is>
          <t>2019</t>
        </is>
      </c>
      <c r="G9381" s="40" t="n">
        <v>0</v>
      </c>
    </row>
    <row r="9382" ht="12" customHeight="1">
      <c r="A9382" s="30" t="inlineStr">
        <is>
          <t>POR</t>
        </is>
      </c>
      <c r="B9382" s="30" t="inlineStr">
        <is>
          <t>Porto Real</t>
        </is>
      </c>
      <c r="C9382" s="30" t="n">
        <v>11335233</v>
      </c>
      <c r="D9382" s="30">
        <f>"07973198000643"</f>
        <v/>
      </c>
      <c r="E9382" s="30" t="inlineStr">
        <is>
          <t>EUROLAF VEICULOS ESPECIAIS LTDA</t>
        </is>
      </c>
      <c r="F9382" s="30" t="inlineStr">
        <is>
          <t>2020</t>
        </is>
      </c>
      <c r="G9382" s="40" t="n">
        <v>0</v>
      </c>
    </row>
    <row r="9383" ht="12" customHeight="1">
      <c r="A9383" s="30" t="inlineStr">
        <is>
          <t>POR</t>
        </is>
      </c>
      <c r="B9383" s="30" t="inlineStr">
        <is>
          <t>Porto Real</t>
        </is>
      </c>
      <c r="C9383" s="30" t="n">
        <v>11335233</v>
      </c>
      <c r="D9383" s="30">
        <f>"07973198000643"</f>
        <v/>
      </c>
      <c r="E9383" s="30" t="inlineStr">
        <is>
          <t>EUROLAF VEICULOS ESPECIAIS LTDA</t>
        </is>
      </c>
      <c r="F9383" s="30" t="inlineStr">
        <is>
          <t>2021</t>
        </is>
      </c>
      <c r="G9383" s="40" t="n">
        <v>0</v>
      </c>
    </row>
    <row r="9384" ht="12" customHeight="1">
      <c r="A9384" s="30" t="inlineStr">
        <is>
          <t>POR</t>
        </is>
      </c>
      <c r="B9384" s="30" t="inlineStr">
        <is>
          <t>Porto Real</t>
        </is>
      </c>
      <c r="C9384" s="30" t="n">
        <v>11335233</v>
      </c>
      <c r="D9384" s="30">
        <f>"07973198000643"</f>
        <v/>
      </c>
      <c r="E9384" s="30" t="inlineStr">
        <is>
          <t>EUROLAF VEICULOS ESPECIAIS LTDA</t>
        </is>
      </c>
      <c r="F9384" s="30" t="inlineStr">
        <is>
          <t>2022</t>
        </is>
      </c>
      <c r="G9384" s="40" t="n">
        <v>0</v>
      </c>
    </row>
    <row r="9385" ht="12" customHeight="1">
      <c r="A9385" s="30" t="inlineStr">
        <is>
          <t>POR</t>
        </is>
      </c>
      <c r="B9385" s="30" t="inlineStr">
        <is>
          <t>Porto Real</t>
        </is>
      </c>
      <c r="C9385" s="30" t="n">
        <v>11370322</v>
      </c>
      <c r="D9385" s="30">
        <f>"14942369000209"</f>
        <v/>
      </c>
      <c r="E9385" s="30" t="inlineStr">
        <is>
          <t>JOSUE DE OLIVEIRA E CIA LTDA</t>
        </is>
      </c>
      <c r="F9385" s="30" t="inlineStr">
        <is>
          <t>2018</t>
        </is>
      </c>
      <c r="G9385" s="40" t="n">
        <v>0</v>
      </c>
    </row>
    <row r="9386" ht="12" customHeight="1">
      <c r="A9386" s="30" t="inlineStr">
        <is>
          <t>POR</t>
        </is>
      </c>
      <c r="B9386" s="30" t="inlineStr">
        <is>
          <t>Porto Real</t>
        </is>
      </c>
      <c r="C9386" s="30" t="n">
        <v>11370322</v>
      </c>
      <c r="D9386" s="30">
        <f>"14942369000209"</f>
        <v/>
      </c>
      <c r="E9386" s="30" t="inlineStr">
        <is>
          <t>JOSUE DE OLIVEIRA E CIA LTDA</t>
        </is>
      </c>
      <c r="F9386" s="30" t="inlineStr">
        <is>
          <t>2019</t>
        </is>
      </c>
      <c r="G9386" s="40" t="n">
        <v>0</v>
      </c>
    </row>
    <row r="9387" ht="12" customHeight="1">
      <c r="A9387" s="30" t="inlineStr">
        <is>
          <t>POR</t>
        </is>
      </c>
      <c r="B9387" s="30" t="inlineStr">
        <is>
          <t>Porto Real</t>
        </is>
      </c>
      <c r="C9387" s="30" t="n">
        <v>11370322</v>
      </c>
      <c r="D9387" s="30">
        <f>"14942369000209"</f>
        <v/>
      </c>
      <c r="E9387" s="30" t="inlineStr">
        <is>
          <t>JOSUE DE OLIVEIRA E CIA LTDA</t>
        </is>
      </c>
      <c r="F9387" s="30" t="inlineStr">
        <is>
          <t>2020</t>
        </is>
      </c>
      <c r="G9387" s="40" t="n">
        <v>0</v>
      </c>
    </row>
    <row r="9388" ht="12" customHeight="1">
      <c r="A9388" s="30" t="inlineStr">
        <is>
          <t>POR</t>
        </is>
      </c>
      <c r="B9388" s="30" t="inlineStr">
        <is>
          <t>Porto Real</t>
        </is>
      </c>
      <c r="C9388" s="30" t="n">
        <v>11370322</v>
      </c>
      <c r="D9388" s="30">
        <f>"14942369000209"</f>
        <v/>
      </c>
      <c r="E9388" s="30" t="inlineStr">
        <is>
          <t>JOSUE DE OLIVEIRA E CIA LTDA</t>
        </is>
      </c>
      <c r="F9388" s="30" t="inlineStr">
        <is>
          <t>2021</t>
        </is>
      </c>
      <c r="G9388" s="40" t="n">
        <v>0</v>
      </c>
    </row>
    <row r="9389" ht="12" customHeight="1">
      <c r="A9389" s="30" t="inlineStr">
        <is>
          <t>POR</t>
        </is>
      </c>
      <c r="B9389" s="30" t="inlineStr">
        <is>
          <t>Porto Real</t>
        </is>
      </c>
      <c r="C9389" s="30" t="n">
        <v>11370322</v>
      </c>
      <c r="D9389" s="30">
        <f>"14942369000209"</f>
        <v/>
      </c>
      <c r="E9389" s="30" t="inlineStr">
        <is>
          <t>JOSUE DE OLIVEIRA E CIA LTDA</t>
        </is>
      </c>
      <c r="F9389" s="30" t="inlineStr">
        <is>
          <t>2022</t>
        </is>
      </c>
      <c r="G9389" s="40" t="n">
        <v>0</v>
      </c>
    </row>
    <row r="9390" ht="12" customHeight="1">
      <c r="A9390" s="30" t="inlineStr">
        <is>
          <t>POR</t>
        </is>
      </c>
      <c r="B9390" s="30" t="inlineStr">
        <is>
          <t>Porto Real</t>
        </is>
      </c>
      <c r="C9390" s="30" t="n">
        <v>11370322</v>
      </c>
      <c r="D9390" s="30">
        <f>"14942369000209"</f>
        <v/>
      </c>
      <c r="E9390" s="30" t="inlineStr">
        <is>
          <t>JOSUE DE OLIVEIRA E CIA LTDA</t>
        </is>
      </c>
      <c r="F9390" s="30" t="inlineStr">
        <is>
          <t>2023</t>
        </is>
      </c>
      <c r="G9390" s="40" t="n">
        <v>0</v>
      </c>
    </row>
    <row r="9391" ht="12" customHeight="1">
      <c r="A9391" s="30" t="inlineStr">
        <is>
          <t>POR</t>
        </is>
      </c>
      <c r="B9391" s="30" t="inlineStr">
        <is>
          <t>Porto Real</t>
        </is>
      </c>
      <c r="C9391" s="30" t="n">
        <v>11386431</v>
      </c>
      <c r="D9391" s="30">
        <f>"29080308000338"</f>
        <v/>
      </c>
      <c r="E9391" s="30" t="inlineStr">
        <is>
          <t>R&amp;D CARGO TRANSPORTES LTDA</t>
        </is>
      </c>
      <c r="F9391" s="30" t="inlineStr">
        <is>
          <t>2017</t>
        </is>
      </c>
      <c r="G9391" s="40" t="n">
        <v>0</v>
      </c>
    </row>
    <row r="9392" ht="12" customHeight="1">
      <c r="A9392" s="30" t="inlineStr">
        <is>
          <t>POR</t>
        </is>
      </c>
      <c r="B9392" s="30" t="inlineStr">
        <is>
          <t>Porto Real</t>
        </is>
      </c>
      <c r="C9392" s="30" t="n">
        <v>11386431</v>
      </c>
      <c r="D9392" s="30">
        <f>"29080308000338"</f>
        <v/>
      </c>
      <c r="E9392" s="30" t="inlineStr">
        <is>
          <t>R&amp;D CARGO TRANSPORTES LTDA</t>
        </is>
      </c>
      <c r="F9392" s="30" t="inlineStr">
        <is>
          <t>2018</t>
        </is>
      </c>
      <c r="G9392" s="40" t="n">
        <v>0</v>
      </c>
    </row>
    <row r="9393" ht="12" customHeight="1">
      <c r="A9393" s="30" t="inlineStr">
        <is>
          <t>POR</t>
        </is>
      </c>
      <c r="B9393" s="30" t="inlineStr">
        <is>
          <t>Porto Real</t>
        </is>
      </c>
      <c r="C9393" s="30" t="n">
        <v>11386431</v>
      </c>
      <c r="D9393" s="30">
        <f>"29080308000338"</f>
        <v/>
      </c>
      <c r="E9393" s="30" t="inlineStr">
        <is>
          <t>R&amp;D CARGO TRANSPORTES LTDA</t>
        </is>
      </c>
      <c r="F9393" s="30" t="inlineStr">
        <is>
          <t>2019</t>
        </is>
      </c>
      <c r="G9393" s="40" t="n">
        <v>427.26</v>
      </c>
    </row>
    <row r="9394" ht="12" customHeight="1">
      <c r="A9394" s="30" t="inlineStr">
        <is>
          <t>POR</t>
        </is>
      </c>
      <c r="B9394" s="30" t="inlineStr">
        <is>
          <t>Porto Real</t>
        </is>
      </c>
      <c r="C9394" s="30" t="n">
        <v>11386431</v>
      </c>
      <c r="D9394" s="30">
        <f>"29080308000338"</f>
        <v/>
      </c>
      <c r="E9394" s="30" t="inlineStr">
        <is>
          <t>R&amp;D CARGO TRANSPORTES LTDA</t>
        </is>
      </c>
      <c r="F9394" s="30" t="inlineStr">
        <is>
          <t>2020</t>
        </is>
      </c>
      <c r="G9394" s="40" t="n">
        <v>0</v>
      </c>
    </row>
    <row r="9395" ht="12" customHeight="1">
      <c r="A9395" s="30" t="inlineStr">
        <is>
          <t>POR</t>
        </is>
      </c>
      <c r="B9395" s="30" t="inlineStr">
        <is>
          <t>Porto Real</t>
        </is>
      </c>
      <c r="C9395" s="30" t="n">
        <v>11386431</v>
      </c>
      <c r="D9395" s="30">
        <f>"29080308000338"</f>
        <v/>
      </c>
      <c r="E9395" s="30" t="inlineStr">
        <is>
          <t>R&amp;D CARGO TRANSPORTES LTDA</t>
        </is>
      </c>
      <c r="F9395" s="30" t="inlineStr">
        <is>
          <t>2021</t>
        </is>
      </c>
      <c r="G9395" s="40" t="n">
        <v>0</v>
      </c>
    </row>
    <row r="9396" ht="12" customHeight="1">
      <c r="A9396" s="30" t="inlineStr">
        <is>
          <t>POR</t>
        </is>
      </c>
      <c r="B9396" s="30" t="inlineStr">
        <is>
          <t>Porto Real</t>
        </is>
      </c>
      <c r="C9396" s="30" t="n">
        <v>11386431</v>
      </c>
      <c r="D9396" s="30">
        <f>"29080308000338"</f>
        <v/>
      </c>
      <c r="E9396" s="30" t="inlineStr">
        <is>
          <t>R&amp;D CARGO TRANSPORTES LTDA</t>
        </is>
      </c>
      <c r="F9396" s="30" t="inlineStr">
        <is>
          <t>2022</t>
        </is>
      </c>
      <c r="G9396" s="40" t="n">
        <v>537.13</v>
      </c>
    </row>
    <row r="9397" ht="12" customHeight="1">
      <c r="A9397" s="30" t="inlineStr">
        <is>
          <t>POR</t>
        </is>
      </c>
      <c r="B9397" s="30" t="inlineStr">
        <is>
          <t>Porto Real</t>
        </is>
      </c>
      <c r="C9397" s="30" t="n">
        <v>11386431</v>
      </c>
      <c r="D9397" s="30">
        <f>"29080308000338"</f>
        <v/>
      </c>
      <c r="E9397" s="30" t="inlineStr">
        <is>
          <t>R&amp;D CARGO TRANSPORTES LTDA</t>
        </is>
      </c>
      <c r="F9397" s="30" t="inlineStr">
        <is>
          <t>2023</t>
        </is>
      </c>
      <c r="G9397" s="40" t="n">
        <v>0</v>
      </c>
    </row>
    <row r="9398" ht="12" customHeight="1">
      <c r="A9398" s="30" t="inlineStr">
        <is>
          <t>POR</t>
        </is>
      </c>
      <c r="B9398" s="30" t="inlineStr">
        <is>
          <t>Porto Real</t>
        </is>
      </c>
      <c r="C9398" s="30" t="n">
        <v>11423590</v>
      </c>
      <c r="D9398" s="30">
        <f>"23890893000193"</f>
        <v/>
      </c>
      <c r="E9398" s="30" t="inlineStr">
        <is>
          <t>YOLE CLINICA MEDICA E DIVULGACAO CULTURAL LTDA ME</t>
        </is>
      </c>
      <c r="F9398" s="30" t="inlineStr">
        <is>
          <t>2018</t>
        </is>
      </c>
      <c r="G9398" s="40" t="n">
        <v>0</v>
      </c>
    </row>
    <row r="9399" ht="12" customHeight="1">
      <c r="A9399" s="30" t="inlineStr">
        <is>
          <t>POR</t>
        </is>
      </c>
      <c r="B9399" s="30" t="inlineStr">
        <is>
          <t>Porto Real</t>
        </is>
      </c>
      <c r="C9399" s="30" t="n">
        <v>11423590</v>
      </c>
      <c r="D9399" s="30">
        <f>"23890893000193"</f>
        <v/>
      </c>
      <c r="E9399" s="30" t="inlineStr">
        <is>
          <t>YOLE CLINICA MEDICA E DIVULGACAO CULTURAL LTDA ME</t>
        </is>
      </c>
      <c r="F9399" s="30" t="inlineStr">
        <is>
          <t>2019</t>
        </is>
      </c>
      <c r="G9399" s="40" t="n">
        <v>0</v>
      </c>
    </row>
    <row r="9400" ht="12" customHeight="1">
      <c r="A9400" s="30" t="inlineStr">
        <is>
          <t>POR</t>
        </is>
      </c>
      <c r="B9400" s="30" t="inlineStr">
        <is>
          <t>Porto Real</t>
        </is>
      </c>
      <c r="C9400" s="30" t="n">
        <v>11423590</v>
      </c>
      <c r="D9400" s="30">
        <f>"23890893000193"</f>
        <v/>
      </c>
      <c r="E9400" s="30" t="inlineStr">
        <is>
          <t>YOLE CLINICA MEDICA E DIVULGACAO CULTURAL LTDA ME</t>
        </is>
      </c>
      <c r="F9400" s="30" t="inlineStr">
        <is>
          <t>2020</t>
        </is>
      </c>
      <c r="G9400" s="40" t="n">
        <v>0</v>
      </c>
    </row>
    <row r="9401" ht="12" customHeight="1">
      <c r="A9401" s="30" t="inlineStr">
        <is>
          <t>POR</t>
        </is>
      </c>
      <c r="B9401" s="30" t="inlineStr">
        <is>
          <t>Porto Real</t>
        </is>
      </c>
      <c r="C9401" s="30" t="n">
        <v>11423590</v>
      </c>
      <c r="D9401" s="30">
        <f>"23890893000193"</f>
        <v/>
      </c>
      <c r="E9401" s="30" t="inlineStr">
        <is>
          <t>YOLE CLINICA MEDICA E DIVULGACAO CULTURAL LTDA ME</t>
        </is>
      </c>
      <c r="F9401" s="30" t="inlineStr">
        <is>
          <t>2021</t>
        </is>
      </c>
      <c r="G9401" s="40" t="n">
        <v>0</v>
      </c>
    </row>
    <row r="9402" ht="12" customHeight="1">
      <c r="A9402" s="30" t="inlineStr">
        <is>
          <t>POR</t>
        </is>
      </c>
      <c r="B9402" s="30" t="inlineStr">
        <is>
          <t>Porto Real</t>
        </is>
      </c>
      <c r="C9402" s="30" t="n">
        <v>11423590</v>
      </c>
      <c r="D9402" s="30">
        <f>"23890893000193"</f>
        <v/>
      </c>
      <c r="E9402" s="30" t="inlineStr">
        <is>
          <t>YOLE CLINICA MEDICA E DIVULGACAO CULTURAL LTDA ME</t>
        </is>
      </c>
      <c r="F9402" s="30" t="inlineStr">
        <is>
          <t>2022</t>
        </is>
      </c>
      <c r="G9402" s="40" t="n">
        <v>3959</v>
      </c>
    </row>
    <row r="9403" ht="12" customHeight="1">
      <c r="A9403" s="30" t="inlineStr">
        <is>
          <t>POR</t>
        </is>
      </c>
      <c r="B9403" s="30" t="inlineStr">
        <is>
          <t>Porto Real</t>
        </is>
      </c>
      <c r="C9403" s="30" t="n">
        <v>11423590</v>
      </c>
      <c r="D9403" s="30">
        <f>"23890893000193"</f>
        <v/>
      </c>
      <c r="E9403" s="30" t="inlineStr">
        <is>
          <t>YOLE CLINICA MEDICA E DIVULGACAO CULTURAL LTDA ME</t>
        </is>
      </c>
      <c r="F9403" s="30" t="inlineStr">
        <is>
          <t>2023</t>
        </is>
      </c>
      <c r="G9403" s="40" t="n">
        <v>0</v>
      </c>
    </row>
    <row r="9404" ht="12" customHeight="1">
      <c r="A9404" s="30" t="inlineStr">
        <is>
          <t>POR</t>
        </is>
      </c>
      <c r="B9404" s="30" t="inlineStr">
        <is>
          <t>Porto Real</t>
        </is>
      </c>
      <c r="C9404" s="30" t="n">
        <v>11430210</v>
      </c>
      <c r="D9404" s="30">
        <f>"04871022749"</f>
        <v/>
      </c>
      <c r="E9404" s="30" t="inlineStr">
        <is>
          <t>FIRCEM JOSE ZACARIAS</t>
        </is>
      </c>
      <c r="F9404" s="30" t="inlineStr">
        <is>
          <t>2017</t>
        </is>
      </c>
      <c r="G9404" s="40" t="n">
        <v>0</v>
      </c>
    </row>
    <row r="9405" ht="12" customHeight="1">
      <c r="A9405" s="30" t="inlineStr">
        <is>
          <t>POR</t>
        </is>
      </c>
      <c r="B9405" s="30" t="inlineStr">
        <is>
          <t>Porto Real</t>
        </is>
      </c>
      <c r="C9405" s="30" t="n">
        <v>11430210</v>
      </c>
      <c r="D9405" s="30">
        <f>"04871022749"</f>
        <v/>
      </c>
      <c r="E9405" s="30" t="inlineStr">
        <is>
          <t>FIRCEM JOSE ZACARIAS</t>
        </is>
      </c>
      <c r="F9405" s="30" t="inlineStr">
        <is>
          <t>2018</t>
        </is>
      </c>
      <c r="G9405" s="40" t="n">
        <v>0</v>
      </c>
    </row>
    <row r="9406" ht="12" customHeight="1">
      <c r="A9406" s="30" t="inlineStr">
        <is>
          <t>POR</t>
        </is>
      </c>
      <c r="B9406" s="30" t="inlineStr">
        <is>
          <t>Porto Real</t>
        </is>
      </c>
      <c r="C9406" s="30" t="n">
        <v>11430210</v>
      </c>
      <c r="D9406" s="30">
        <f>"04871022749"</f>
        <v/>
      </c>
      <c r="E9406" s="30" t="inlineStr">
        <is>
          <t>FIRCEM JOSE ZACARIAS</t>
        </is>
      </c>
      <c r="F9406" s="30" t="inlineStr">
        <is>
          <t>2019</t>
        </is>
      </c>
      <c r="G9406" s="40" t="n">
        <v>14000</v>
      </c>
    </row>
    <row r="9407" ht="12" customHeight="1">
      <c r="A9407" s="30" t="inlineStr">
        <is>
          <t>POR</t>
        </is>
      </c>
      <c r="B9407" s="30" t="inlineStr">
        <is>
          <t>Porto Real</t>
        </is>
      </c>
      <c r="C9407" s="30" t="n">
        <v>11430210</v>
      </c>
      <c r="D9407" s="30">
        <f>"04871022749"</f>
        <v/>
      </c>
      <c r="E9407" s="30" t="inlineStr">
        <is>
          <t>FIRCEM JOSE ZACARIAS</t>
        </is>
      </c>
      <c r="F9407" s="30" t="inlineStr">
        <is>
          <t>2020</t>
        </is>
      </c>
      <c r="G9407" s="40" t="n">
        <v>14000</v>
      </c>
    </row>
    <row r="9408" ht="12" customHeight="1">
      <c r="A9408" s="30" t="inlineStr">
        <is>
          <t>POR</t>
        </is>
      </c>
      <c r="B9408" s="30" t="inlineStr">
        <is>
          <t>Porto Real</t>
        </is>
      </c>
      <c r="C9408" s="30" t="n">
        <v>11430210</v>
      </c>
      <c r="D9408" s="30">
        <f>"04871022749"</f>
        <v/>
      </c>
      <c r="E9408" s="30" t="inlineStr">
        <is>
          <t>FIRCEM JOSE ZACARIAS</t>
        </is>
      </c>
      <c r="F9408" s="30" t="inlineStr">
        <is>
          <t>2021</t>
        </is>
      </c>
      <c r="G9408" s="40" t="n">
        <v>0</v>
      </c>
    </row>
    <row r="9409" ht="12" customHeight="1">
      <c r="A9409" s="30" t="inlineStr">
        <is>
          <t>POR</t>
        </is>
      </c>
      <c r="B9409" s="30" t="inlineStr">
        <is>
          <t>Porto Real</t>
        </is>
      </c>
      <c r="C9409" s="30" t="n">
        <v>11430210</v>
      </c>
      <c r="D9409" s="30">
        <f>"04871022749"</f>
        <v/>
      </c>
      <c r="E9409" s="30" t="inlineStr">
        <is>
          <t>FIRCEM JOSE ZACARIAS</t>
        </is>
      </c>
      <c r="F9409" s="30" t="inlineStr">
        <is>
          <t>2022</t>
        </is>
      </c>
      <c r="G9409" s="40" t="n">
        <v>0</v>
      </c>
    </row>
    <row r="9410" ht="12" customHeight="1">
      <c r="A9410" s="30" t="inlineStr">
        <is>
          <t>POR</t>
        </is>
      </c>
      <c r="B9410" s="30" t="inlineStr">
        <is>
          <t>Porto Real</t>
        </is>
      </c>
      <c r="C9410" s="30" t="n">
        <v>11430210</v>
      </c>
      <c r="D9410" s="30">
        <f>"04871022749"</f>
        <v/>
      </c>
      <c r="E9410" s="30" t="inlineStr">
        <is>
          <t>FIRCEM JOSE ZACARIAS</t>
        </is>
      </c>
      <c r="F9410" s="30" t="inlineStr">
        <is>
          <t>2023</t>
        </is>
      </c>
      <c r="G9410" s="40" t="n">
        <v>0</v>
      </c>
    </row>
    <row r="9411" ht="12" customHeight="1">
      <c r="A9411" s="30" t="inlineStr">
        <is>
          <t>POR</t>
        </is>
      </c>
      <c r="B9411" s="30" t="inlineStr">
        <is>
          <t>Porto Real</t>
        </is>
      </c>
      <c r="C9411" s="30" t="n">
        <v>11447856</v>
      </c>
      <c r="D9411" s="30">
        <f>"14428131720"</f>
        <v/>
      </c>
      <c r="E9411" s="30" t="inlineStr">
        <is>
          <t>LUIZ CARLOS DINIZ</t>
        </is>
      </c>
      <c r="F9411" s="30" t="inlineStr">
        <is>
          <t>2019</t>
        </is>
      </c>
      <c r="G9411" s="40" t="n">
        <v>0</v>
      </c>
    </row>
    <row r="9412" ht="12" customHeight="1">
      <c r="A9412" s="30" t="inlineStr">
        <is>
          <t>POR</t>
        </is>
      </c>
      <c r="B9412" s="30" t="inlineStr">
        <is>
          <t>Porto Real</t>
        </is>
      </c>
      <c r="C9412" s="30" t="n">
        <v>11447856</v>
      </c>
      <c r="D9412" s="30">
        <f>"14428131720"</f>
        <v/>
      </c>
      <c r="E9412" s="30" t="inlineStr">
        <is>
          <t>LUIZ CARLOS DINIZ</t>
        </is>
      </c>
      <c r="F9412" s="30" t="inlineStr">
        <is>
          <t>2020</t>
        </is>
      </c>
      <c r="G9412" s="40" t="n">
        <v>0</v>
      </c>
    </row>
    <row r="9413" ht="12" customHeight="1">
      <c r="A9413" s="30" t="inlineStr">
        <is>
          <t>POR</t>
        </is>
      </c>
      <c r="B9413" s="30" t="inlineStr">
        <is>
          <t>Porto Real</t>
        </is>
      </c>
      <c r="C9413" s="30" t="n">
        <v>11447856</v>
      </c>
      <c r="D9413" s="30">
        <f>"14428131720"</f>
        <v/>
      </c>
      <c r="E9413" s="30" t="inlineStr">
        <is>
          <t>LUIZ CARLOS DINIZ</t>
        </is>
      </c>
      <c r="F9413" s="30" t="inlineStr">
        <is>
          <t>2021</t>
        </is>
      </c>
      <c r="G9413" s="40" t="n">
        <v>0</v>
      </c>
    </row>
    <row r="9414" ht="12" customHeight="1">
      <c r="A9414" s="30" t="inlineStr">
        <is>
          <t>POR</t>
        </is>
      </c>
      <c r="B9414" s="30" t="inlineStr">
        <is>
          <t>Porto Real</t>
        </is>
      </c>
      <c r="C9414" s="30" t="n">
        <v>11447856</v>
      </c>
      <c r="D9414" s="30">
        <f>"14428131720"</f>
        <v/>
      </c>
      <c r="E9414" s="30" t="inlineStr">
        <is>
          <t>LUIZ CARLOS DINIZ</t>
        </is>
      </c>
      <c r="F9414" s="30" t="inlineStr">
        <is>
          <t>2022</t>
        </is>
      </c>
      <c r="G9414" s="40" t="n">
        <v>286208.34</v>
      </c>
    </row>
    <row r="9415" ht="12" customHeight="1">
      <c r="A9415" s="30" t="inlineStr">
        <is>
          <t>POR</t>
        </is>
      </c>
      <c r="B9415" s="30" t="inlineStr">
        <is>
          <t>Porto Real</t>
        </is>
      </c>
      <c r="C9415" s="30" t="n">
        <v>11447856</v>
      </c>
      <c r="D9415" s="30">
        <f>"14428131720"</f>
        <v/>
      </c>
      <c r="E9415" s="30" t="inlineStr">
        <is>
          <t>LUIZ CARLOS DINIZ</t>
        </is>
      </c>
      <c r="F9415" s="30" t="inlineStr">
        <is>
          <t>2023</t>
        </is>
      </c>
      <c r="G9415" s="40" t="n">
        <v>606684.6899999999</v>
      </c>
    </row>
    <row r="9416" ht="12" customHeight="1">
      <c r="A9416" s="30" t="inlineStr">
        <is>
          <t>POR</t>
        </is>
      </c>
      <c r="B9416" s="30" t="inlineStr">
        <is>
          <t>Porto Real</t>
        </is>
      </c>
      <c r="C9416" s="30" t="n">
        <v>11456219</v>
      </c>
      <c r="D9416" s="30">
        <f>"17451156000272"</f>
        <v/>
      </c>
      <c r="E9416" s="30" t="inlineStr">
        <is>
          <t>LOGFIT LOGISTICA E SERVICOS S/A.</t>
        </is>
      </c>
      <c r="F9416" s="30" t="inlineStr">
        <is>
          <t>2018</t>
        </is>
      </c>
      <c r="G9416" s="40" t="n">
        <v>0</v>
      </c>
    </row>
    <row r="9417" ht="12" customHeight="1">
      <c r="A9417" s="30" t="inlineStr">
        <is>
          <t>POR</t>
        </is>
      </c>
      <c r="B9417" s="30" t="inlineStr">
        <is>
          <t>Porto Real</t>
        </is>
      </c>
      <c r="C9417" s="30" t="n">
        <v>11456219</v>
      </c>
      <c r="D9417" s="30">
        <f>"17451156000272"</f>
        <v/>
      </c>
      <c r="E9417" s="30" t="inlineStr">
        <is>
          <t>LOGFIT LOGISTICA E SERVICOS S/A.</t>
        </is>
      </c>
      <c r="F9417" s="30" t="inlineStr">
        <is>
          <t>2019</t>
        </is>
      </c>
      <c r="G9417" s="40" t="n">
        <v>0</v>
      </c>
    </row>
    <row r="9418" ht="12" customHeight="1">
      <c r="A9418" s="30" t="inlineStr">
        <is>
          <t>POR</t>
        </is>
      </c>
      <c r="B9418" s="30" t="inlineStr">
        <is>
          <t>Porto Real</t>
        </is>
      </c>
      <c r="C9418" s="30" t="n">
        <v>11456219</v>
      </c>
      <c r="D9418" s="30">
        <f>"17451156000272"</f>
        <v/>
      </c>
      <c r="E9418" s="30" t="inlineStr">
        <is>
          <t>LOGFIT LOGISTICA E SERVICOS S/A.</t>
        </is>
      </c>
      <c r="F9418" s="30" t="inlineStr">
        <is>
          <t>2020</t>
        </is>
      </c>
      <c r="G9418" s="40" t="n">
        <v>115902.52</v>
      </c>
    </row>
    <row r="9419" ht="12" customHeight="1">
      <c r="A9419" s="30" t="inlineStr">
        <is>
          <t>POR</t>
        </is>
      </c>
      <c r="B9419" s="30" t="inlineStr">
        <is>
          <t>Porto Real</t>
        </is>
      </c>
      <c r="C9419" s="30" t="n">
        <v>11456219</v>
      </c>
      <c r="D9419" s="30">
        <f>"17451156000272"</f>
        <v/>
      </c>
      <c r="E9419" s="30" t="inlineStr">
        <is>
          <t>LOGFIT LOGISTICA E SERVICOS S/A.</t>
        </is>
      </c>
      <c r="F9419" s="30" t="inlineStr">
        <is>
          <t>2021</t>
        </is>
      </c>
      <c r="G9419" s="40" t="n">
        <v>18087.29</v>
      </c>
    </row>
    <row r="9420" ht="12" customHeight="1">
      <c r="A9420" s="30" t="inlineStr">
        <is>
          <t>POR</t>
        </is>
      </c>
      <c r="B9420" s="30" t="inlineStr">
        <is>
          <t>Porto Real</t>
        </is>
      </c>
      <c r="C9420" s="30" t="n">
        <v>11456219</v>
      </c>
      <c r="D9420" s="30">
        <f>"17451156000272"</f>
        <v/>
      </c>
      <c r="E9420" s="30" t="inlineStr">
        <is>
          <t>LOGFIT LOGISTICA E SERVICOS S/A.</t>
        </is>
      </c>
      <c r="F9420" s="30" t="inlineStr">
        <is>
          <t>2022</t>
        </is>
      </c>
      <c r="G9420" s="40" t="n">
        <v>79463.89999999999</v>
      </c>
    </row>
    <row r="9421" ht="12" customHeight="1">
      <c r="A9421" s="30" t="inlineStr">
        <is>
          <t>POR</t>
        </is>
      </c>
      <c r="B9421" s="30" t="inlineStr">
        <is>
          <t>Porto Real</t>
        </is>
      </c>
      <c r="C9421" s="30" t="n">
        <v>11456219</v>
      </c>
      <c r="D9421" s="30">
        <f>"17451156000272"</f>
        <v/>
      </c>
      <c r="E9421" s="30" t="inlineStr">
        <is>
          <t>LOGFIT LOGISTICA E SERVICOS S/A.</t>
        </is>
      </c>
      <c r="F9421" s="30" t="inlineStr">
        <is>
          <t>2023</t>
        </is>
      </c>
      <c r="G9421" s="40" t="n">
        <v>32154.79</v>
      </c>
    </row>
    <row r="9422" ht="12" customHeight="1">
      <c r="A9422" s="30" t="inlineStr">
        <is>
          <t>POR</t>
        </is>
      </c>
      <c r="B9422" s="30" t="inlineStr">
        <is>
          <t>Porto Real</t>
        </is>
      </c>
      <c r="C9422" s="30" t="n">
        <v>11473407</v>
      </c>
      <c r="D9422" s="30">
        <f>"81615627001201"</f>
        <v/>
      </c>
      <c r="E9422" s="30" t="inlineStr">
        <is>
          <t>BNTG LOGISTICA LTDA</t>
        </is>
      </c>
      <c r="F9422" s="30" t="inlineStr">
        <is>
          <t>2018</t>
        </is>
      </c>
      <c r="G9422" s="40" t="n">
        <v>0</v>
      </c>
    </row>
    <row r="9423" ht="12" customHeight="1">
      <c r="A9423" s="30" t="inlineStr">
        <is>
          <t>POR</t>
        </is>
      </c>
      <c r="B9423" s="30" t="inlineStr">
        <is>
          <t>Porto Real</t>
        </is>
      </c>
      <c r="C9423" s="30" t="n">
        <v>11473407</v>
      </c>
      <c r="D9423" s="30">
        <f>"81615627001201"</f>
        <v/>
      </c>
      <c r="E9423" s="30" t="inlineStr">
        <is>
          <t>BNTG LOGISTICA LTDA</t>
        </is>
      </c>
      <c r="F9423" s="30" t="inlineStr">
        <is>
          <t>2019</t>
        </is>
      </c>
      <c r="G9423" s="40" t="n">
        <v>0</v>
      </c>
    </row>
    <row r="9424" ht="12" customHeight="1">
      <c r="A9424" s="30" t="inlineStr">
        <is>
          <t>POR</t>
        </is>
      </c>
      <c r="B9424" s="30" t="inlineStr">
        <is>
          <t>Porto Real</t>
        </is>
      </c>
      <c r="C9424" s="30" t="n">
        <v>11473407</v>
      </c>
      <c r="D9424" s="30">
        <f>"81615627001201"</f>
        <v/>
      </c>
      <c r="E9424" s="30" t="inlineStr">
        <is>
          <t>BNTG LOGISTICA LTDA</t>
        </is>
      </c>
      <c r="F9424" s="30" t="inlineStr">
        <is>
          <t>2020</t>
        </is>
      </c>
      <c r="G9424" s="40" t="n">
        <v>1256605.59</v>
      </c>
    </row>
    <row r="9425" ht="12" customHeight="1">
      <c r="A9425" s="30" t="inlineStr">
        <is>
          <t>POR</t>
        </is>
      </c>
      <c r="B9425" s="30" t="inlineStr">
        <is>
          <t>Porto Real</t>
        </is>
      </c>
      <c r="C9425" s="30" t="n">
        <v>11473407</v>
      </c>
      <c r="D9425" s="30">
        <f>"81615627001201"</f>
        <v/>
      </c>
      <c r="E9425" s="30" t="inlineStr">
        <is>
          <t>BNTG LOGISTICA LTDA</t>
        </is>
      </c>
      <c r="F9425" s="30" t="inlineStr">
        <is>
          <t>2021</t>
        </is>
      </c>
      <c r="G9425" s="40" t="n">
        <v>1777463.34</v>
      </c>
    </row>
    <row r="9426" ht="12" customHeight="1">
      <c r="A9426" s="30" t="inlineStr">
        <is>
          <t>POR</t>
        </is>
      </c>
      <c r="B9426" s="30" t="inlineStr">
        <is>
          <t>Porto Real</t>
        </is>
      </c>
      <c r="C9426" s="30" t="n">
        <v>11473407</v>
      </c>
      <c r="D9426" s="30">
        <f>"81615627001201"</f>
        <v/>
      </c>
      <c r="E9426" s="30" t="inlineStr">
        <is>
          <t>BNTG LOGISTICA LTDA</t>
        </is>
      </c>
      <c r="F9426" s="30" t="inlineStr">
        <is>
          <t>2022</t>
        </is>
      </c>
      <c r="G9426" s="40" t="n">
        <v>0</v>
      </c>
    </row>
    <row r="9427" ht="12" customHeight="1">
      <c r="A9427" s="30" t="inlineStr">
        <is>
          <t>POR</t>
        </is>
      </c>
      <c r="B9427" s="30" t="inlineStr">
        <is>
          <t>Porto Real</t>
        </is>
      </c>
      <c r="C9427" s="30" t="n">
        <v>11473407</v>
      </c>
      <c r="D9427" s="30">
        <f>"81615627001201"</f>
        <v/>
      </c>
      <c r="E9427" s="30" t="inlineStr">
        <is>
          <t>BNTG LOGISTICA LTDA</t>
        </is>
      </c>
      <c r="F9427" s="30" t="inlineStr">
        <is>
          <t>2023</t>
        </is>
      </c>
      <c r="G9427" s="40" t="n">
        <v>0</v>
      </c>
    </row>
    <row r="9428" ht="12" customHeight="1">
      <c r="A9428" s="30" t="inlineStr">
        <is>
          <t>POR</t>
        </is>
      </c>
      <c r="B9428" s="30" t="inlineStr">
        <is>
          <t>Porto Real</t>
        </is>
      </c>
      <c r="C9428" s="30" t="n">
        <v>11477704</v>
      </c>
      <c r="D9428" s="30">
        <f>"24232418000192"</f>
        <v/>
      </c>
      <c r="E9428" s="30" t="inlineStr">
        <is>
          <t>ZNA ARMAZENS GERAIS E TRANSPORTES LTDA</t>
        </is>
      </c>
      <c r="F9428" s="30" t="inlineStr">
        <is>
          <t>2019</t>
        </is>
      </c>
      <c r="G9428" s="40" t="n">
        <v>0</v>
      </c>
    </row>
    <row r="9429" ht="12" customHeight="1">
      <c r="A9429" s="30" t="inlineStr">
        <is>
          <t>POR</t>
        </is>
      </c>
      <c r="B9429" s="30" t="inlineStr">
        <is>
          <t>Porto Real</t>
        </is>
      </c>
      <c r="C9429" s="30" t="n">
        <v>11477704</v>
      </c>
      <c r="D9429" s="30">
        <f>"24232418000192"</f>
        <v/>
      </c>
      <c r="E9429" s="30" t="inlineStr">
        <is>
          <t>ZNA ARMAZENS GERAIS E TRANSPORTES LTDA</t>
        </is>
      </c>
      <c r="F9429" s="30" t="inlineStr">
        <is>
          <t>2020</t>
        </is>
      </c>
      <c r="G9429" s="40" t="n">
        <v>0</v>
      </c>
    </row>
    <row r="9430" ht="12" customHeight="1">
      <c r="A9430" s="30" t="inlineStr">
        <is>
          <t>POR</t>
        </is>
      </c>
      <c r="B9430" s="30" t="inlineStr">
        <is>
          <t>Porto Real</t>
        </is>
      </c>
      <c r="C9430" s="30" t="n">
        <v>11477704</v>
      </c>
      <c r="D9430" s="30">
        <f>"24232418000192"</f>
        <v/>
      </c>
      <c r="E9430" s="30" t="inlineStr">
        <is>
          <t>ZNA ARMAZENS GERAIS E TRANSPORTES LTDA</t>
        </is>
      </c>
      <c r="F9430" s="30" t="inlineStr">
        <is>
          <t>2021</t>
        </is>
      </c>
      <c r="G9430" s="40" t="n">
        <v>2375.44</v>
      </c>
    </row>
    <row r="9431" ht="12" customHeight="1">
      <c r="A9431" s="30" t="inlineStr">
        <is>
          <t>POR</t>
        </is>
      </c>
      <c r="B9431" s="30" t="inlineStr">
        <is>
          <t>Porto Real</t>
        </is>
      </c>
      <c r="C9431" s="30" t="n">
        <v>11477704</v>
      </c>
      <c r="D9431" s="30">
        <f>"24232418000192"</f>
        <v/>
      </c>
      <c r="E9431" s="30" t="inlineStr">
        <is>
          <t>ZNA ARMAZENS GERAIS E TRANSPORTES LTDA</t>
        </is>
      </c>
      <c r="F9431" s="30" t="inlineStr">
        <is>
          <t>2022</t>
        </is>
      </c>
      <c r="G9431" s="40" t="n">
        <v>2875.17</v>
      </c>
    </row>
    <row r="9432" ht="12" customHeight="1">
      <c r="A9432" s="30" t="inlineStr">
        <is>
          <t>POR</t>
        </is>
      </c>
      <c r="B9432" s="30" t="inlineStr">
        <is>
          <t>Porto Real</t>
        </is>
      </c>
      <c r="C9432" s="30" t="n">
        <v>11477704</v>
      </c>
      <c r="D9432" s="30">
        <f>"24232418000192"</f>
        <v/>
      </c>
      <c r="E9432" s="30" t="inlineStr">
        <is>
          <t>ZNA ARMAZENS GERAIS E TRANSPORTES LTDA</t>
        </is>
      </c>
      <c r="F9432" s="30" t="inlineStr">
        <is>
          <t>2023</t>
        </is>
      </c>
      <c r="G9432" s="40" t="n">
        <v>0</v>
      </c>
    </row>
    <row r="9433" ht="12" customHeight="1">
      <c r="A9433" s="30" t="inlineStr">
        <is>
          <t>POR</t>
        </is>
      </c>
      <c r="B9433" s="30" t="inlineStr">
        <is>
          <t>Porto Real</t>
        </is>
      </c>
      <c r="C9433" s="30" t="n">
        <v>11479235</v>
      </c>
      <c r="D9433" s="30">
        <f>"10466983001777"</f>
        <v/>
      </c>
      <c r="E9433" s="30" t="inlineStr">
        <is>
          <t>REITER TRANSPORTES E LOGISTICA LTDA</t>
        </is>
      </c>
      <c r="F9433" s="30" t="inlineStr">
        <is>
          <t>2017</t>
        </is>
      </c>
      <c r="G9433" s="40" t="n">
        <v>0</v>
      </c>
    </row>
    <row r="9434" ht="12" customHeight="1">
      <c r="A9434" s="30" t="inlineStr">
        <is>
          <t>POR</t>
        </is>
      </c>
      <c r="B9434" s="30" t="inlineStr">
        <is>
          <t>Porto Real</t>
        </is>
      </c>
      <c r="C9434" s="30" t="n">
        <v>11479235</v>
      </c>
      <c r="D9434" s="30">
        <f>"10466983001777"</f>
        <v/>
      </c>
      <c r="E9434" s="30" t="inlineStr">
        <is>
          <t>REITER TRANSPORTES E LOGISTICA LTDA</t>
        </is>
      </c>
      <c r="F9434" s="30" t="inlineStr">
        <is>
          <t>2018</t>
        </is>
      </c>
      <c r="G9434" s="40" t="n">
        <v>0</v>
      </c>
    </row>
    <row r="9435" ht="12" customHeight="1">
      <c r="A9435" s="30" t="inlineStr">
        <is>
          <t>POR</t>
        </is>
      </c>
      <c r="B9435" s="30" t="inlineStr">
        <is>
          <t>Porto Real</t>
        </is>
      </c>
      <c r="C9435" s="30" t="n">
        <v>11479235</v>
      </c>
      <c r="D9435" s="30">
        <f>"10466983001777"</f>
        <v/>
      </c>
      <c r="E9435" s="30" t="inlineStr">
        <is>
          <t>REITER TRANSPORTES E LOGISTICA LTDA</t>
        </is>
      </c>
      <c r="F9435" s="30" t="inlineStr">
        <is>
          <t>2019</t>
        </is>
      </c>
      <c r="G9435" s="40" t="n">
        <v>572267.8100000001</v>
      </c>
    </row>
    <row r="9436" ht="12" customHeight="1">
      <c r="A9436" s="30" t="inlineStr">
        <is>
          <t>POR</t>
        </is>
      </c>
      <c r="B9436" s="30" t="inlineStr">
        <is>
          <t>Porto Real</t>
        </is>
      </c>
      <c r="C9436" s="30" t="n">
        <v>11479235</v>
      </c>
      <c r="D9436" s="30">
        <f>"10466983001777"</f>
        <v/>
      </c>
      <c r="E9436" s="30" t="inlineStr">
        <is>
          <t>REITER TRANSPORTES E LOGISTICA LTDA</t>
        </is>
      </c>
      <c r="F9436" s="30" t="inlineStr">
        <is>
          <t>2020</t>
        </is>
      </c>
      <c r="G9436" s="40" t="n">
        <v>0</v>
      </c>
    </row>
    <row r="9437" ht="12" customHeight="1">
      <c r="A9437" s="30" t="inlineStr">
        <is>
          <t>POR</t>
        </is>
      </c>
      <c r="B9437" s="30" t="inlineStr">
        <is>
          <t>Porto Real</t>
        </is>
      </c>
      <c r="C9437" s="30" t="n">
        <v>11479235</v>
      </c>
      <c r="D9437" s="30">
        <f>"10466983001777"</f>
        <v/>
      </c>
      <c r="E9437" s="30" t="inlineStr">
        <is>
          <t>REITER TRANSPORTES E LOGISTICA LTDA</t>
        </is>
      </c>
      <c r="F9437" s="30" t="inlineStr">
        <is>
          <t>2021</t>
        </is>
      </c>
      <c r="G9437" s="40" t="n">
        <v>0</v>
      </c>
    </row>
    <row r="9438" ht="12" customHeight="1">
      <c r="A9438" s="30" t="inlineStr">
        <is>
          <t>POR</t>
        </is>
      </c>
      <c r="B9438" s="30" t="inlineStr">
        <is>
          <t>Porto Real</t>
        </is>
      </c>
      <c r="C9438" s="30" t="n">
        <v>11486150</v>
      </c>
      <c r="D9438" s="30">
        <f>"22082397001384"</f>
        <v/>
      </c>
      <c r="E9438" s="30" t="inlineStr">
        <is>
          <t>DROGARIA ULTRAPOPULAR MANEJO LTDA ME</t>
        </is>
      </c>
      <c r="F9438" s="30" t="inlineStr">
        <is>
          <t>2018</t>
        </is>
      </c>
      <c r="G9438" s="40" t="n">
        <v>0</v>
      </c>
    </row>
    <row r="9439" ht="12" customHeight="1">
      <c r="A9439" s="30" t="inlineStr">
        <is>
          <t>POR</t>
        </is>
      </c>
      <c r="B9439" s="30" t="inlineStr">
        <is>
          <t>Porto Real</t>
        </is>
      </c>
      <c r="C9439" s="30" t="n">
        <v>11486150</v>
      </c>
      <c r="D9439" s="30">
        <f>"22082397001384"</f>
        <v/>
      </c>
      <c r="E9439" s="30" t="inlineStr">
        <is>
          <t>DROGARIA ULTRAPOPULAR MANEJO LTDA ME</t>
        </is>
      </c>
      <c r="F9439" s="30" t="inlineStr">
        <is>
          <t>2019</t>
        </is>
      </c>
      <c r="G9439" s="40" t="n">
        <v>0</v>
      </c>
    </row>
    <row r="9440" ht="12" customHeight="1">
      <c r="A9440" s="30" t="inlineStr">
        <is>
          <t>POR</t>
        </is>
      </c>
      <c r="B9440" s="30" t="inlineStr">
        <is>
          <t>Porto Real</t>
        </is>
      </c>
      <c r="C9440" s="30" t="n">
        <v>11486150</v>
      </c>
      <c r="D9440" s="30">
        <f>"22082397001384"</f>
        <v/>
      </c>
      <c r="E9440" s="30" t="inlineStr">
        <is>
          <t>DROGARIA ULTRAPOPULAR MANEJO LTDA ME</t>
        </is>
      </c>
      <c r="F9440" s="30" t="inlineStr">
        <is>
          <t>2020</t>
        </is>
      </c>
      <c r="G9440" s="40" t="n">
        <v>0</v>
      </c>
    </row>
    <row r="9441" ht="12" customHeight="1">
      <c r="A9441" s="30" t="inlineStr">
        <is>
          <t>POR</t>
        </is>
      </c>
      <c r="B9441" s="30" t="inlineStr">
        <is>
          <t>Porto Real</t>
        </is>
      </c>
      <c r="C9441" s="30" t="n">
        <v>11486150</v>
      </c>
      <c r="D9441" s="30">
        <f>"22082397001384"</f>
        <v/>
      </c>
      <c r="E9441" s="30" t="inlineStr">
        <is>
          <t>DROGARIA ULTRAPOPULAR MANEJO LTDA ME</t>
        </is>
      </c>
      <c r="F9441" s="30" t="inlineStr">
        <is>
          <t>2021</t>
        </is>
      </c>
      <c r="G9441" s="40" t="n">
        <v>0</v>
      </c>
    </row>
    <row r="9442" ht="12" customHeight="1">
      <c r="A9442" s="30" t="inlineStr">
        <is>
          <t>POR</t>
        </is>
      </c>
      <c r="B9442" s="30" t="inlineStr">
        <is>
          <t>Porto Real</t>
        </is>
      </c>
      <c r="C9442" s="30" t="n">
        <v>11486150</v>
      </c>
      <c r="D9442" s="30">
        <f>"22082397001384"</f>
        <v/>
      </c>
      <c r="E9442" s="30" t="inlineStr">
        <is>
          <t>DROGARIA ULTRAPOPULAR MANEJO LTDA ME</t>
        </is>
      </c>
      <c r="F9442" s="30" t="inlineStr">
        <is>
          <t>2022</t>
        </is>
      </c>
      <c r="G9442" s="40" t="n">
        <v>0</v>
      </c>
    </row>
    <row r="9443" ht="12" customHeight="1">
      <c r="A9443" s="30" t="inlineStr">
        <is>
          <t>POR</t>
        </is>
      </c>
      <c r="B9443" s="30" t="inlineStr">
        <is>
          <t>Porto Real</t>
        </is>
      </c>
      <c r="C9443" s="30" t="n">
        <v>11486150</v>
      </c>
      <c r="D9443" s="30">
        <f>"22082397001384"</f>
        <v/>
      </c>
      <c r="E9443" s="30" t="inlineStr">
        <is>
          <t>DROGARIA ULTRAPOPULAR MANEJO LTDA ME</t>
        </is>
      </c>
      <c r="F9443" s="30" t="inlineStr">
        <is>
          <t>2023</t>
        </is>
      </c>
      <c r="G9443" s="40" t="n">
        <v>0</v>
      </c>
    </row>
    <row r="9444" ht="12" customHeight="1">
      <c r="A9444" s="30" t="inlineStr">
        <is>
          <t>POR</t>
        </is>
      </c>
      <c r="B9444" s="30" t="inlineStr">
        <is>
          <t>Porto Real</t>
        </is>
      </c>
      <c r="C9444" s="30" t="n">
        <v>11500528</v>
      </c>
      <c r="D9444" s="30">
        <f>"04968037000592"</f>
        <v/>
      </c>
      <c r="E9444" s="30" t="inlineStr">
        <is>
          <t>DACUNHA NORDESTE TRANSPORTES LTDA</t>
        </is>
      </c>
      <c r="F9444" s="30" t="inlineStr">
        <is>
          <t>2018</t>
        </is>
      </c>
      <c r="G9444" s="40" t="n">
        <v>0</v>
      </c>
    </row>
    <row r="9445" ht="12" customHeight="1">
      <c r="A9445" s="30" t="inlineStr">
        <is>
          <t>POR</t>
        </is>
      </c>
      <c r="B9445" s="30" t="inlineStr">
        <is>
          <t>Porto Real</t>
        </is>
      </c>
      <c r="C9445" s="30" t="n">
        <v>11500528</v>
      </c>
      <c r="D9445" s="30">
        <f>"04968037000592"</f>
        <v/>
      </c>
      <c r="E9445" s="30" t="inlineStr">
        <is>
          <t>DACUNHA NORDESTE TRANSPORTES LTDA</t>
        </is>
      </c>
      <c r="F9445" s="30" t="inlineStr">
        <is>
          <t>2019</t>
        </is>
      </c>
      <c r="G9445" s="40" t="n">
        <v>0</v>
      </c>
    </row>
    <row r="9446" ht="12" customHeight="1">
      <c r="A9446" s="30" t="inlineStr">
        <is>
          <t>POR</t>
        </is>
      </c>
      <c r="B9446" s="30" t="inlineStr">
        <is>
          <t>Porto Real</t>
        </is>
      </c>
      <c r="C9446" s="30" t="n">
        <v>11500528</v>
      </c>
      <c r="D9446" s="30">
        <f>"04968037000592"</f>
        <v/>
      </c>
      <c r="E9446" s="30" t="inlineStr">
        <is>
          <t>DACUNHA NORDESTE TRANSPORTES LTDA</t>
        </is>
      </c>
      <c r="F9446" s="30" t="inlineStr">
        <is>
          <t>2020</t>
        </is>
      </c>
      <c r="G9446" s="40" t="n">
        <v>0</v>
      </c>
    </row>
    <row r="9447" ht="12" customHeight="1">
      <c r="A9447" s="30" t="inlineStr">
        <is>
          <t>POR</t>
        </is>
      </c>
      <c r="B9447" s="30" t="inlineStr">
        <is>
          <t>Porto Real</t>
        </is>
      </c>
      <c r="C9447" s="30" t="n">
        <v>11500528</v>
      </c>
      <c r="D9447" s="30">
        <f>"04968037000592"</f>
        <v/>
      </c>
      <c r="E9447" s="30" t="inlineStr">
        <is>
          <t>DACUNHA NORDESTE TRANSPORTES LTDA</t>
        </is>
      </c>
      <c r="F9447" s="30" t="inlineStr">
        <is>
          <t>2021</t>
        </is>
      </c>
      <c r="G9447" s="40" t="n">
        <v>0</v>
      </c>
    </row>
    <row r="9448" ht="12" customHeight="1">
      <c r="A9448" s="30" t="inlineStr">
        <is>
          <t>POR</t>
        </is>
      </c>
      <c r="B9448" s="30" t="inlineStr">
        <is>
          <t>Porto Real</t>
        </is>
      </c>
      <c r="C9448" s="30" t="n">
        <v>11500528</v>
      </c>
      <c r="D9448" s="30">
        <f>"04968037000592"</f>
        <v/>
      </c>
      <c r="E9448" s="30" t="inlineStr">
        <is>
          <t>DACUNHA NORDESTE TRANSPORTES LTDA</t>
        </is>
      </c>
      <c r="F9448" s="30" t="inlineStr">
        <is>
          <t>2022</t>
        </is>
      </c>
      <c r="G9448" s="40" t="n">
        <v>0</v>
      </c>
    </row>
    <row r="9449" ht="12" customHeight="1">
      <c r="A9449" s="30" t="inlineStr">
        <is>
          <t>POR</t>
        </is>
      </c>
      <c r="B9449" s="30" t="inlineStr">
        <is>
          <t>Porto Real</t>
        </is>
      </c>
      <c r="C9449" s="30" t="n">
        <v>11505732</v>
      </c>
      <c r="D9449" s="30">
        <f>"01672150000295"</f>
        <v/>
      </c>
      <c r="E9449" s="30" t="inlineStr">
        <is>
          <t>E.M.S. TRANSPORTES RODOVIARIO LTDA</t>
        </is>
      </c>
      <c r="F9449" s="30" t="inlineStr">
        <is>
          <t>2017</t>
        </is>
      </c>
      <c r="G9449" s="40" t="n">
        <v>0</v>
      </c>
    </row>
    <row r="9450" ht="12" customHeight="1">
      <c r="A9450" s="30" t="inlineStr">
        <is>
          <t>POR</t>
        </is>
      </c>
      <c r="B9450" s="30" t="inlineStr">
        <is>
          <t>Porto Real</t>
        </is>
      </c>
      <c r="C9450" s="30" t="n">
        <v>11505732</v>
      </c>
      <c r="D9450" s="30">
        <f>"01672150000295"</f>
        <v/>
      </c>
      <c r="E9450" s="30" t="inlineStr">
        <is>
          <t>E.M.S. TRANSPORTES RODOVIARIO LTDA</t>
        </is>
      </c>
      <c r="F9450" s="30" t="inlineStr">
        <is>
          <t>2018</t>
        </is>
      </c>
      <c r="G9450" s="40" t="n">
        <v>0</v>
      </c>
    </row>
    <row r="9451" ht="12" customHeight="1">
      <c r="A9451" s="30" t="inlineStr">
        <is>
          <t>POR</t>
        </is>
      </c>
      <c r="B9451" s="30" t="inlineStr">
        <is>
          <t>Porto Real</t>
        </is>
      </c>
      <c r="C9451" s="30" t="n">
        <v>11505732</v>
      </c>
      <c r="D9451" s="30">
        <f>"01672150000295"</f>
        <v/>
      </c>
      <c r="E9451" s="30" t="inlineStr">
        <is>
          <t>E.M.S. TRANSPORTES RODOVIARIO LTDA</t>
        </is>
      </c>
      <c r="F9451" s="30" t="inlineStr">
        <is>
          <t>2019</t>
        </is>
      </c>
      <c r="G9451" s="40" t="n">
        <v>0</v>
      </c>
    </row>
    <row r="9452" ht="12" customHeight="1">
      <c r="A9452" s="30" t="inlineStr">
        <is>
          <t>POR</t>
        </is>
      </c>
      <c r="B9452" s="30" t="inlineStr">
        <is>
          <t>Porto Real</t>
        </is>
      </c>
      <c r="C9452" s="30" t="n">
        <v>11505732</v>
      </c>
      <c r="D9452" s="30">
        <f>"01672150000295"</f>
        <v/>
      </c>
      <c r="E9452" s="30" t="inlineStr">
        <is>
          <t>E.M.S. TRANSPORTES RODOVIARIO LTDA</t>
        </is>
      </c>
      <c r="F9452" s="30" t="inlineStr">
        <is>
          <t>2020</t>
        </is>
      </c>
      <c r="G9452" s="40" t="n">
        <v>0</v>
      </c>
    </row>
    <row r="9453" ht="12" customHeight="1">
      <c r="A9453" s="30" t="inlineStr">
        <is>
          <t>POR</t>
        </is>
      </c>
      <c r="B9453" s="30" t="inlineStr">
        <is>
          <t>Porto Real</t>
        </is>
      </c>
      <c r="C9453" s="30" t="n">
        <v>11505732</v>
      </c>
      <c r="D9453" s="30">
        <f>"01672150000295"</f>
        <v/>
      </c>
      <c r="E9453" s="30" t="inlineStr">
        <is>
          <t>E.M.S. TRANSPORTES RODOVIARIO LTDA</t>
        </is>
      </c>
      <c r="F9453" s="30" t="inlineStr">
        <is>
          <t>2021</t>
        </is>
      </c>
      <c r="G9453" s="40" t="n">
        <v>0</v>
      </c>
    </row>
    <row r="9454" ht="12" customHeight="1">
      <c r="A9454" s="30" t="inlineStr">
        <is>
          <t>POR</t>
        </is>
      </c>
      <c r="B9454" s="30" t="inlineStr">
        <is>
          <t>Porto Real</t>
        </is>
      </c>
      <c r="C9454" s="30" t="n">
        <v>11505732</v>
      </c>
      <c r="D9454" s="30">
        <f>"01672150000295"</f>
        <v/>
      </c>
      <c r="E9454" s="30" t="inlineStr">
        <is>
          <t>E.M.S. TRANSPORTES RODOVIARIO LTDA</t>
        </is>
      </c>
      <c r="F9454" s="30" t="inlineStr">
        <is>
          <t>2022</t>
        </is>
      </c>
      <c r="G9454" s="40" t="n">
        <v>0</v>
      </c>
    </row>
    <row r="9455" ht="12" customHeight="1">
      <c r="A9455" s="30" t="inlineStr">
        <is>
          <t>POR</t>
        </is>
      </c>
      <c r="B9455" s="30" t="inlineStr">
        <is>
          <t>Porto Real</t>
        </is>
      </c>
      <c r="C9455" s="30" t="n">
        <v>11505732</v>
      </c>
      <c r="D9455" s="30">
        <f>"01672150000295"</f>
        <v/>
      </c>
      <c r="E9455" s="30" t="inlineStr">
        <is>
          <t>E.M.S. TRANSPORTES RODOVIARIO LTDA</t>
        </is>
      </c>
      <c r="F9455" s="30" t="inlineStr">
        <is>
          <t>2023</t>
        </is>
      </c>
      <c r="G9455" s="40" t="n">
        <v>0</v>
      </c>
    </row>
    <row r="9456" ht="12" customHeight="1">
      <c r="A9456" s="30" t="inlineStr">
        <is>
          <t>POR</t>
        </is>
      </c>
      <c r="B9456" s="30" t="inlineStr">
        <is>
          <t>Porto Real</t>
        </is>
      </c>
      <c r="C9456" s="30" t="n">
        <v>11539483</v>
      </c>
      <c r="D9456" s="30">
        <f>"33777159000176"</f>
        <v/>
      </c>
      <c r="E9456" s="30" t="inlineStr">
        <is>
          <t>QUATER DISTRIBUIDORA MATERIA PRIMA EIRELI</t>
        </is>
      </c>
      <c r="F9456" s="30" t="inlineStr">
        <is>
          <t>2017</t>
        </is>
      </c>
      <c r="G9456" s="40" t="n">
        <v>0</v>
      </c>
    </row>
    <row r="9457" ht="12" customHeight="1">
      <c r="A9457" s="30" t="inlineStr">
        <is>
          <t>POR</t>
        </is>
      </c>
      <c r="B9457" s="30" t="inlineStr">
        <is>
          <t>Porto Real</t>
        </is>
      </c>
      <c r="C9457" s="30" t="n">
        <v>11539483</v>
      </c>
      <c r="D9457" s="30">
        <f>"33777159000176"</f>
        <v/>
      </c>
      <c r="E9457" s="30" t="inlineStr">
        <is>
          <t>QUATER DISTRIBUIDORA MATERIA PRIMA EIRELI</t>
        </is>
      </c>
      <c r="F9457" s="30" t="inlineStr">
        <is>
          <t>2018</t>
        </is>
      </c>
      <c r="G9457" s="40" t="n">
        <v>0</v>
      </c>
    </row>
    <row r="9458" ht="12" customHeight="1">
      <c r="A9458" s="30" t="inlineStr">
        <is>
          <t>POR</t>
        </is>
      </c>
      <c r="B9458" s="30" t="inlineStr">
        <is>
          <t>Porto Real</t>
        </is>
      </c>
      <c r="C9458" s="30" t="n">
        <v>11539483</v>
      </c>
      <c r="D9458" s="30">
        <f>"33777159000176"</f>
        <v/>
      </c>
      <c r="E9458" s="30" t="inlineStr">
        <is>
          <t>QUATER DISTRIBUIDORA MATERIA PRIMA EIRELI</t>
        </is>
      </c>
      <c r="F9458" s="30" t="inlineStr">
        <is>
          <t>2019</t>
        </is>
      </c>
      <c r="G9458" s="40" t="n">
        <v>0</v>
      </c>
    </row>
    <row r="9459" ht="12" customHeight="1">
      <c r="A9459" s="30" t="inlineStr">
        <is>
          <t>POR</t>
        </is>
      </c>
      <c r="B9459" s="30" t="inlineStr">
        <is>
          <t>Porto Real</t>
        </is>
      </c>
      <c r="C9459" s="30" t="n">
        <v>11539483</v>
      </c>
      <c r="D9459" s="30">
        <f>"33777159000176"</f>
        <v/>
      </c>
      <c r="E9459" s="30" t="inlineStr">
        <is>
          <t>QUATER DISTRIBUIDORA MATERIA PRIMA EIRELI</t>
        </is>
      </c>
      <c r="F9459" s="30" t="inlineStr">
        <is>
          <t>2020</t>
        </is>
      </c>
      <c r="G9459" s="40" t="n">
        <v>0</v>
      </c>
    </row>
    <row r="9460" ht="12" customHeight="1">
      <c r="A9460" s="30" t="inlineStr">
        <is>
          <t>POR</t>
        </is>
      </c>
      <c r="B9460" s="30" t="inlineStr">
        <is>
          <t>Porto Real</t>
        </is>
      </c>
      <c r="C9460" s="30" t="n">
        <v>11539483</v>
      </c>
      <c r="D9460" s="30">
        <f>"33777159000176"</f>
        <v/>
      </c>
      <c r="E9460" s="30" t="inlineStr">
        <is>
          <t>QUATER DISTRIBUIDORA MATERIA PRIMA EIRELI</t>
        </is>
      </c>
      <c r="F9460" s="30" t="inlineStr">
        <is>
          <t>2021</t>
        </is>
      </c>
      <c r="G9460" s="40" t="n">
        <v>0</v>
      </c>
    </row>
    <row r="9461" ht="12" customHeight="1">
      <c r="A9461" s="30" t="inlineStr">
        <is>
          <t>POR</t>
        </is>
      </c>
      <c r="B9461" s="30" t="inlineStr">
        <is>
          <t>Porto Real</t>
        </is>
      </c>
      <c r="C9461" s="30" t="n">
        <v>11540970</v>
      </c>
      <c r="D9461" s="30">
        <f>"34790127000173"</f>
        <v/>
      </c>
      <c r="E9461" s="30" t="inlineStr">
        <is>
          <t>LPO INDUSTRIA E COMERCIO DE VELAS EIRELI</t>
        </is>
      </c>
      <c r="F9461" s="30" t="inlineStr">
        <is>
          <t>2017</t>
        </is>
      </c>
      <c r="G9461" s="40" t="n">
        <v>0</v>
      </c>
    </row>
    <row r="9462" ht="12" customHeight="1">
      <c r="A9462" s="30" t="inlineStr">
        <is>
          <t>POR</t>
        </is>
      </c>
      <c r="B9462" s="30" t="inlineStr">
        <is>
          <t>Porto Real</t>
        </is>
      </c>
      <c r="C9462" s="30" t="n">
        <v>11540970</v>
      </c>
      <c r="D9462" s="30">
        <f>"34790127000173"</f>
        <v/>
      </c>
      <c r="E9462" s="30" t="inlineStr">
        <is>
          <t>LPO INDUSTRIA E COMERCIO DE VELAS EIRELI</t>
        </is>
      </c>
      <c r="F9462" s="30" t="inlineStr">
        <is>
          <t>2018</t>
        </is>
      </c>
      <c r="G9462" s="40" t="n">
        <v>0</v>
      </c>
    </row>
    <row r="9463" ht="12" customHeight="1">
      <c r="A9463" s="30" t="inlineStr">
        <is>
          <t>POR</t>
        </is>
      </c>
      <c r="B9463" s="30" t="inlineStr">
        <is>
          <t>Porto Real</t>
        </is>
      </c>
      <c r="C9463" s="30" t="n">
        <v>11540970</v>
      </c>
      <c r="D9463" s="30">
        <f>"34790127000173"</f>
        <v/>
      </c>
      <c r="E9463" s="30" t="inlineStr">
        <is>
          <t>LPO INDUSTRIA E COMERCIO DE VELAS EIRELI</t>
        </is>
      </c>
      <c r="F9463" s="30" t="inlineStr">
        <is>
          <t>2019</t>
        </is>
      </c>
      <c r="G9463" s="40" t="n">
        <v>0</v>
      </c>
    </row>
    <row r="9464" ht="12" customHeight="1">
      <c r="A9464" s="30" t="inlineStr">
        <is>
          <t>POR</t>
        </is>
      </c>
      <c r="B9464" s="30" t="inlineStr">
        <is>
          <t>Porto Real</t>
        </is>
      </c>
      <c r="C9464" s="30" t="n">
        <v>11540970</v>
      </c>
      <c r="D9464" s="30">
        <f>"34790127000173"</f>
        <v/>
      </c>
      <c r="E9464" s="30" t="inlineStr">
        <is>
          <t>LPO INDUSTRIA E COMERCIO DE VELAS EIRELI</t>
        </is>
      </c>
      <c r="F9464" s="30" t="inlineStr">
        <is>
          <t>2020</t>
        </is>
      </c>
      <c r="G9464" s="40" t="n">
        <v>223308.56</v>
      </c>
    </row>
    <row r="9465" ht="12" customHeight="1">
      <c r="A9465" s="30" t="inlineStr">
        <is>
          <t>POR</t>
        </is>
      </c>
      <c r="B9465" s="30" t="inlineStr">
        <is>
          <t>Porto Real</t>
        </is>
      </c>
      <c r="C9465" s="30" t="n">
        <v>11540970</v>
      </c>
      <c r="D9465" s="30">
        <f>"34790127000173"</f>
        <v/>
      </c>
      <c r="E9465" s="30" t="inlineStr">
        <is>
          <t>LPO INDUSTRIA E COMERCIO DE VELAS EIRELI</t>
        </is>
      </c>
      <c r="F9465" s="30" t="inlineStr">
        <is>
          <t>2021</t>
        </is>
      </c>
      <c r="G9465" s="40" t="n">
        <v>466258.89</v>
      </c>
    </row>
    <row r="9466" ht="12" customHeight="1">
      <c r="A9466" s="30" t="inlineStr">
        <is>
          <t>POR</t>
        </is>
      </c>
      <c r="B9466" s="30" t="inlineStr">
        <is>
          <t>Porto Real</t>
        </is>
      </c>
      <c r="C9466" s="30" t="n">
        <v>11540970</v>
      </c>
      <c r="D9466" s="30">
        <f>"34790127000173"</f>
        <v/>
      </c>
      <c r="E9466" s="30" t="inlineStr">
        <is>
          <t>LPO INDUSTRIA E COMERCIO DE VELAS EIRELI</t>
        </is>
      </c>
      <c r="F9466" s="30" t="inlineStr">
        <is>
          <t>2022</t>
        </is>
      </c>
      <c r="G9466" s="40" t="n">
        <v>417122.27</v>
      </c>
    </row>
    <row r="9467" ht="12" customHeight="1">
      <c r="A9467" s="30" t="inlineStr">
        <is>
          <t>POR</t>
        </is>
      </c>
      <c r="B9467" s="30" t="inlineStr">
        <is>
          <t>Porto Real</t>
        </is>
      </c>
      <c r="C9467" s="30" t="n">
        <v>11540970</v>
      </c>
      <c r="D9467" s="30">
        <f>"34790127000173"</f>
        <v/>
      </c>
      <c r="E9467" s="30" t="inlineStr">
        <is>
          <t>LPO INDUSTRIA E COMERCIO DE VELAS EIRELI</t>
        </is>
      </c>
      <c r="F9467" s="30" t="inlineStr">
        <is>
          <t>2023</t>
        </is>
      </c>
      <c r="G9467" s="40" t="n">
        <v>265240.87</v>
      </c>
    </row>
    <row r="9468" ht="12" customHeight="1">
      <c r="A9468" s="30" t="inlineStr">
        <is>
          <t>POR</t>
        </is>
      </c>
      <c r="B9468" s="30" t="inlineStr">
        <is>
          <t>Porto Real</t>
        </is>
      </c>
      <c r="C9468" s="30" t="n">
        <v>11543804</v>
      </c>
      <c r="D9468" s="30">
        <f>"34731643000127"</f>
        <v/>
      </c>
      <c r="E9468" s="30" t="inlineStr">
        <is>
          <t>ANDER RIBEIRO ARRUDA ME</t>
        </is>
      </c>
      <c r="F9468" s="30" t="inlineStr">
        <is>
          <t>2018</t>
        </is>
      </c>
      <c r="G9468" s="40" t="n">
        <v>0</v>
      </c>
    </row>
    <row r="9469" ht="12" customHeight="1">
      <c r="A9469" s="30" t="inlineStr">
        <is>
          <t>POR</t>
        </is>
      </c>
      <c r="B9469" s="30" t="inlineStr">
        <is>
          <t>Porto Real</t>
        </is>
      </c>
      <c r="C9469" s="30" t="n">
        <v>11543804</v>
      </c>
      <c r="D9469" s="30">
        <f>"34731643000127"</f>
        <v/>
      </c>
      <c r="E9469" s="30" t="inlineStr">
        <is>
          <t>ANDER RIBEIRO ARRUDA ME</t>
        </is>
      </c>
      <c r="F9469" s="30" t="inlineStr">
        <is>
          <t>2019</t>
        </is>
      </c>
      <c r="G9469" s="40" t="n">
        <v>0</v>
      </c>
    </row>
    <row r="9470" ht="12" customHeight="1">
      <c r="A9470" s="30" t="inlineStr">
        <is>
          <t>POR</t>
        </is>
      </c>
      <c r="B9470" s="30" t="inlineStr">
        <is>
          <t>Porto Real</t>
        </is>
      </c>
      <c r="C9470" s="30" t="n">
        <v>11543804</v>
      </c>
      <c r="D9470" s="30">
        <f>"34731643000127"</f>
        <v/>
      </c>
      <c r="E9470" s="30" t="inlineStr">
        <is>
          <t>ANDER RIBEIRO ARRUDA ME</t>
        </is>
      </c>
      <c r="F9470" s="30" t="inlineStr">
        <is>
          <t>2020</t>
        </is>
      </c>
      <c r="G9470" s="40" t="n">
        <v>1988592.8</v>
      </c>
    </row>
    <row r="9471" ht="12" customHeight="1">
      <c r="A9471" s="30" t="inlineStr">
        <is>
          <t>POR</t>
        </is>
      </c>
      <c r="B9471" s="30" t="inlineStr">
        <is>
          <t>Porto Real</t>
        </is>
      </c>
      <c r="C9471" s="30" t="n">
        <v>11543804</v>
      </c>
      <c r="D9471" s="30">
        <f>"34731643000127"</f>
        <v/>
      </c>
      <c r="E9471" s="30" t="inlineStr">
        <is>
          <t>ANDER RIBEIRO ARRUDA ME</t>
        </is>
      </c>
      <c r="F9471" s="30" t="inlineStr">
        <is>
          <t>2021</t>
        </is>
      </c>
      <c r="G9471" s="40" t="n">
        <v>4679135.58</v>
      </c>
    </row>
    <row r="9472" ht="12" customHeight="1">
      <c r="A9472" s="30" t="inlineStr">
        <is>
          <t>POR</t>
        </is>
      </c>
      <c r="B9472" s="30" t="inlineStr">
        <is>
          <t>Porto Real</t>
        </is>
      </c>
      <c r="C9472" s="30" t="n">
        <v>11543804</v>
      </c>
      <c r="D9472" s="30">
        <f>"34731643000127"</f>
        <v/>
      </c>
      <c r="E9472" s="30" t="inlineStr">
        <is>
          <t>ANDER RIBEIRO ARRUDA ME</t>
        </is>
      </c>
      <c r="F9472" s="30" t="inlineStr">
        <is>
          <t>2022</t>
        </is>
      </c>
      <c r="G9472" s="40" t="n">
        <v>6409236.35</v>
      </c>
    </row>
    <row r="9473" ht="12" customHeight="1">
      <c r="A9473" s="30" t="inlineStr">
        <is>
          <t>POR</t>
        </is>
      </c>
      <c r="B9473" s="30" t="inlineStr">
        <is>
          <t>Porto Real</t>
        </is>
      </c>
      <c r="C9473" s="30" t="n">
        <v>11543804</v>
      </c>
      <c r="D9473" s="30">
        <f>"34731643000127"</f>
        <v/>
      </c>
      <c r="E9473" s="30" t="inlineStr">
        <is>
          <t>ANDER RIBEIRO ARRUDA ME</t>
        </is>
      </c>
      <c r="F9473" s="30" t="inlineStr">
        <is>
          <t>2023</t>
        </is>
      </c>
      <c r="G9473" s="40" t="n">
        <v>1901819.21</v>
      </c>
    </row>
    <row r="9474" ht="12" customHeight="1">
      <c r="A9474" s="30" t="inlineStr">
        <is>
          <t>POR</t>
        </is>
      </c>
      <c r="B9474" s="30" t="inlineStr">
        <is>
          <t>Porto Real</t>
        </is>
      </c>
      <c r="C9474" s="30" t="n">
        <v>11556787</v>
      </c>
      <c r="D9474" s="30">
        <f>"33697443000213"</f>
        <v/>
      </c>
      <c r="E9474" s="30" t="inlineStr">
        <is>
          <t>MINAS TRANSPORTES MULTIMODAL EIRELI</t>
        </is>
      </c>
      <c r="F9474" s="30" t="inlineStr">
        <is>
          <t>2019</t>
        </is>
      </c>
      <c r="G9474" s="40" t="n">
        <v>0</v>
      </c>
    </row>
    <row r="9475" ht="12" customHeight="1">
      <c r="A9475" s="30" t="inlineStr">
        <is>
          <t>POR</t>
        </is>
      </c>
      <c r="B9475" s="30" t="inlineStr">
        <is>
          <t>Porto Real</t>
        </is>
      </c>
      <c r="C9475" s="30" t="n">
        <v>11556787</v>
      </c>
      <c r="D9475" s="30">
        <f>"33697443000213"</f>
        <v/>
      </c>
      <c r="E9475" s="30" t="inlineStr">
        <is>
          <t>MINAS TRANSPORTES MULTIMODAL EIRELI</t>
        </is>
      </c>
      <c r="F9475" s="30" t="inlineStr">
        <is>
          <t>2020</t>
        </is>
      </c>
      <c r="G9475" s="40" t="n">
        <v>0</v>
      </c>
    </row>
    <row r="9476" ht="12" customHeight="1">
      <c r="A9476" s="30" t="inlineStr">
        <is>
          <t>POR</t>
        </is>
      </c>
      <c r="B9476" s="30" t="inlineStr">
        <is>
          <t>Porto Real</t>
        </is>
      </c>
      <c r="C9476" s="30" t="n">
        <v>11556787</v>
      </c>
      <c r="D9476" s="30">
        <f>"33697443000213"</f>
        <v/>
      </c>
      <c r="E9476" s="30" t="inlineStr">
        <is>
          <t>MINAS TRANSPORTES MULTIMODAL EIRELI</t>
        </is>
      </c>
      <c r="F9476" s="30" t="inlineStr">
        <is>
          <t>2021</t>
        </is>
      </c>
      <c r="G9476" s="40" t="n">
        <v>1800.47</v>
      </c>
    </row>
    <row r="9477" ht="12" customHeight="1">
      <c r="A9477" s="30" t="inlineStr">
        <is>
          <t>POR</t>
        </is>
      </c>
      <c r="B9477" s="30" t="inlineStr">
        <is>
          <t>Porto Real</t>
        </is>
      </c>
      <c r="C9477" s="30" t="n">
        <v>11556787</v>
      </c>
      <c r="D9477" s="30">
        <f>"33697443000213"</f>
        <v/>
      </c>
      <c r="E9477" s="30" t="inlineStr">
        <is>
          <t>MINAS TRANSPORTES MULTIMODAL EIRELI</t>
        </is>
      </c>
      <c r="F9477" s="30" t="inlineStr">
        <is>
          <t>2022</t>
        </is>
      </c>
      <c r="G9477" s="40" t="n">
        <v>0</v>
      </c>
    </row>
    <row r="9478" ht="12" customHeight="1">
      <c r="A9478" s="30" t="inlineStr">
        <is>
          <t>POR</t>
        </is>
      </c>
      <c r="B9478" s="30" t="inlineStr">
        <is>
          <t>Porto Real</t>
        </is>
      </c>
      <c r="C9478" s="30" t="n">
        <v>11556787</v>
      </c>
      <c r="D9478" s="30">
        <f>"33697443000213"</f>
        <v/>
      </c>
      <c r="E9478" s="30" t="inlineStr">
        <is>
          <t>MINAS TRANSPORTES MULTIMODAL EIRELI</t>
        </is>
      </c>
      <c r="F9478" s="30" t="inlineStr">
        <is>
          <t>2023</t>
        </is>
      </c>
      <c r="G9478" s="40" t="n">
        <v>0</v>
      </c>
    </row>
    <row r="9479" ht="12" customHeight="1">
      <c r="A9479" s="30" t="inlineStr">
        <is>
          <t>POR</t>
        </is>
      </c>
      <c r="B9479" s="30" t="inlineStr">
        <is>
          <t>Porto Real</t>
        </is>
      </c>
      <c r="C9479" s="30" t="n">
        <v>11558348</v>
      </c>
      <c r="D9479" s="30">
        <f>"10814914000140"</f>
        <v/>
      </c>
      <c r="E9479" s="30" t="inlineStr">
        <is>
          <t>CIRAC CENTRO INTEGRADO DE RECOLHIMENTO ASSISTENCIA E CONTROLE DE ANIMAIS LTDA ME</t>
        </is>
      </c>
      <c r="F9479" s="30" t="inlineStr">
        <is>
          <t>2020</t>
        </is>
      </c>
      <c r="G9479" s="40" t="n">
        <v>0</v>
      </c>
    </row>
    <row r="9480" ht="12" customHeight="1">
      <c r="A9480" s="30" t="inlineStr">
        <is>
          <t>POR</t>
        </is>
      </c>
      <c r="B9480" s="30" t="inlineStr">
        <is>
          <t>Porto Real</t>
        </is>
      </c>
      <c r="C9480" s="30" t="n">
        <v>11558348</v>
      </c>
      <c r="D9480" s="30">
        <f>"10814914000140"</f>
        <v/>
      </c>
      <c r="E9480" s="30" t="inlineStr">
        <is>
          <t>CIRAC CENTRO INTEGRADO DE RECOLHIMENTO ASSISTENCIA E CONTROLE DE ANIMAIS LTDA ME</t>
        </is>
      </c>
      <c r="F9480" s="30" t="inlineStr">
        <is>
          <t>2021</t>
        </is>
      </c>
      <c r="G9480" s="40" t="n">
        <v>0</v>
      </c>
    </row>
    <row r="9481" ht="12" customHeight="1">
      <c r="A9481" s="30" t="inlineStr">
        <is>
          <t>POR</t>
        </is>
      </c>
      <c r="B9481" s="30" t="inlineStr">
        <is>
          <t>Porto Real</t>
        </is>
      </c>
      <c r="C9481" s="30" t="n">
        <v>11558348</v>
      </c>
      <c r="D9481" s="30">
        <f>"10814914000140"</f>
        <v/>
      </c>
      <c r="E9481" s="30" t="inlineStr">
        <is>
          <t>CIRAC CENTRO INTEGRADO DE RECOLHIMENTO ASSISTENCIA E CONTROLE DE ANIMAIS LTDA ME</t>
        </is>
      </c>
      <c r="F9481" s="30" t="inlineStr">
        <is>
          <t>2022</t>
        </is>
      </c>
      <c r="G9481" s="40" t="n">
        <v>0</v>
      </c>
    </row>
    <row r="9482" ht="12" customHeight="1">
      <c r="A9482" s="30" t="inlineStr">
        <is>
          <t>POR</t>
        </is>
      </c>
      <c r="B9482" s="30" t="inlineStr">
        <is>
          <t>Porto Real</t>
        </is>
      </c>
      <c r="C9482" s="30" t="n">
        <v>11558348</v>
      </c>
      <c r="D9482" s="30">
        <f>"10814914000140"</f>
        <v/>
      </c>
      <c r="E9482" s="30" t="inlineStr">
        <is>
          <t>CIRAC CENTRO INTEGRADO DE RECOLHIMENTO ASSISTENCIA E CONTROLE DE ANIMAIS LTDA ME</t>
        </is>
      </c>
      <c r="F9482" s="30" t="inlineStr">
        <is>
          <t>2023</t>
        </is>
      </c>
      <c r="G9482" s="40" t="n">
        <v>772.45</v>
      </c>
    </row>
    <row r="9483" ht="12" customHeight="1">
      <c r="A9483" s="30" t="inlineStr">
        <is>
          <t>POR</t>
        </is>
      </c>
      <c r="B9483" s="30" t="inlineStr">
        <is>
          <t>Porto Real</t>
        </is>
      </c>
      <c r="C9483" s="30" t="n">
        <v>11570283</v>
      </c>
      <c r="D9483" s="30">
        <f>"16597704754"</f>
        <v/>
      </c>
      <c r="E9483" s="30" t="inlineStr">
        <is>
          <t>RITA DE CASSIA MEDEIROS SILVA</t>
        </is>
      </c>
      <c r="F9483" s="30" t="inlineStr">
        <is>
          <t>2018</t>
        </is>
      </c>
      <c r="G9483" s="40" t="n">
        <v>0</v>
      </c>
    </row>
    <row r="9484" ht="12" customHeight="1">
      <c r="A9484" s="30" t="inlineStr">
        <is>
          <t>POR</t>
        </is>
      </c>
      <c r="B9484" s="30" t="inlineStr">
        <is>
          <t>Porto Real</t>
        </is>
      </c>
      <c r="C9484" s="30" t="n">
        <v>11570283</v>
      </c>
      <c r="D9484" s="30">
        <f>"16597704754"</f>
        <v/>
      </c>
      <c r="E9484" s="30" t="inlineStr">
        <is>
          <t>RITA DE CASSIA MEDEIROS SILVA</t>
        </is>
      </c>
      <c r="F9484" s="30" t="inlineStr">
        <is>
          <t>2019</t>
        </is>
      </c>
      <c r="G9484" s="40" t="n">
        <v>0</v>
      </c>
    </row>
    <row r="9485" ht="12" customHeight="1">
      <c r="A9485" s="30" t="inlineStr">
        <is>
          <t>POR</t>
        </is>
      </c>
      <c r="B9485" s="30" t="inlineStr">
        <is>
          <t>Porto Real</t>
        </is>
      </c>
      <c r="C9485" s="30" t="n">
        <v>11570283</v>
      </c>
      <c r="D9485" s="30">
        <f>"16597704754"</f>
        <v/>
      </c>
      <c r="E9485" s="30" t="inlineStr">
        <is>
          <t>RITA DE CASSIA MEDEIROS SILVA</t>
        </is>
      </c>
      <c r="F9485" s="30" t="inlineStr">
        <is>
          <t>2020</t>
        </is>
      </c>
      <c r="G9485" s="40" t="n">
        <v>0</v>
      </c>
    </row>
    <row r="9486" ht="12" customHeight="1">
      <c r="A9486" s="30" t="inlineStr">
        <is>
          <t>POR</t>
        </is>
      </c>
      <c r="B9486" s="30" t="inlineStr">
        <is>
          <t>Porto Real</t>
        </is>
      </c>
      <c r="C9486" s="30" t="n">
        <v>11570283</v>
      </c>
      <c r="D9486" s="30">
        <f>"16597704754"</f>
        <v/>
      </c>
      <c r="E9486" s="30" t="inlineStr">
        <is>
          <t>RITA DE CASSIA MEDEIROS SILVA</t>
        </is>
      </c>
      <c r="F9486" s="30" t="inlineStr">
        <is>
          <t>2021</t>
        </is>
      </c>
      <c r="G9486" s="40" t="n">
        <v>274255.74</v>
      </c>
    </row>
    <row r="9487" ht="12" customHeight="1">
      <c r="A9487" s="30" t="inlineStr">
        <is>
          <t>POR</t>
        </is>
      </c>
      <c r="B9487" s="30" t="inlineStr">
        <is>
          <t>Porto Real</t>
        </is>
      </c>
      <c r="C9487" s="30" t="n">
        <v>11570283</v>
      </c>
      <c r="D9487" s="30">
        <f>"16597704754"</f>
        <v/>
      </c>
      <c r="E9487" s="30" t="inlineStr">
        <is>
          <t>RITA DE CASSIA MEDEIROS SILVA</t>
        </is>
      </c>
      <c r="F9487" s="30" t="inlineStr">
        <is>
          <t>2022</t>
        </is>
      </c>
      <c r="G9487" s="40" t="n">
        <v>0</v>
      </c>
    </row>
    <row r="9488" ht="12" customHeight="1">
      <c r="A9488" s="30" t="inlineStr">
        <is>
          <t>POR</t>
        </is>
      </c>
      <c r="B9488" s="30" t="inlineStr">
        <is>
          <t>Porto Real</t>
        </is>
      </c>
      <c r="C9488" s="30" t="n">
        <v>11570283</v>
      </c>
      <c r="D9488" s="30">
        <f>"16597704754"</f>
        <v/>
      </c>
      <c r="E9488" s="30" t="inlineStr">
        <is>
          <t>RITA DE CASSIA MEDEIROS SILVA</t>
        </is>
      </c>
      <c r="F9488" s="30" t="inlineStr">
        <is>
          <t>2023</t>
        </is>
      </c>
      <c r="G9488" s="40" t="n">
        <v>0</v>
      </c>
    </row>
    <row r="9489" ht="12" customHeight="1">
      <c r="A9489" s="30" t="inlineStr">
        <is>
          <t>POR</t>
        </is>
      </c>
      <c r="B9489" s="30" t="inlineStr">
        <is>
          <t>Porto Real</t>
        </is>
      </c>
      <c r="C9489" s="30" t="n">
        <v>11573754</v>
      </c>
      <c r="D9489" s="30">
        <f>"17451156000353"</f>
        <v/>
      </c>
      <c r="E9489" s="30" t="inlineStr">
        <is>
          <t>LOGFIT LOGISTICA E SERVICOS S/A.</t>
        </is>
      </c>
      <c r="F9489" s="30" t="inlineStr">
        <is>
          <t>2018</t>
        </is>
      </c>
      <c r="G9489" s="40" t="n">
        <v>0</v>
      </c>
    </row>
    <row r="9490" ht="12" customHeight="1">
      <c r="A9490" s="30" t="inlineStr">
        <is>
          <t>POR</t>
        </is>
      </c>
      <c r="B9490" s="30" t="inlineStr">
        <is>
          <t>Porto Real</t>
        </is>
      </c>
      <c r="C9490" s="30" t="n">
        <v>11573754</v>
      </c>
      <c r="D9490" s="30">
        <f>"17451156000353"</f>
        <v/>
      </c>
      <c r="E9490" s="30" t="inlineStr">
        <is>
          <t>LOGFIT LOGISTICA E SERVICOS S/A.</t>
        </is>
      </c>
      <c r="F9490" s="30" t="inlineStr">
        <is>
          <t>2019</t>
        </is>
      </c>
      <c r="G9490" s="40" t="n">
        <v>0</v>
      </c>
    </row>
    <row r="9491" ht="12" customHeight="1">
      <c r="A9491" s="30" t="inlineStr">
        <is>
          <t>POR</t>
        </is>
      </c>
      <c r="B9491" s="30" t="inlineStr">
        <is>
          <t>Porto Real</t>
        </is>
      </c>
      <c r="C9491" s="30" t="n">
        <v>11573754</v>
      </c>
      <c r="D9491" s="30">
        <f>"17451156000353"</f>
        <v/>
      </c>
      <c r="E9491" s="30" t="inlineStr">
        <is>
          <t>LOGFIT LOGISTICA E SERVICOS S/A.</t>
        </is>
      </c>
      <c r="F9491" s="30" t="inlineStr">
        <is>
          <t>2020</t>
        </is>
      </c>
      <c r="G9491" s="40" t="n">
        <v>1565.41</v>
      </c>
    </row>
    <row r="9492" ht="12" customHeight="1">
      <c r="A9492" s="30" t="inlineStr">
        <is>
          <t>POR</t>
        </is>
      </c>
      <c r="B9492" s="30" t="inlineStr">
        <is>
          <t>Porto Real</t>
        </is>
      </c>
      <c r="C9492" s="30" t="n">
        <v>11573754</v>
      </c>
      <c r="D9492" s="30">
        <f>"17451156000353"</f>
        <v/>
      </c>
      <c r="E9492" s="30" t="inlineStr">
        <is>
          <t>LOGFIT LOGISTICA E SERVICOS S/A.</t>
        </is>
      </c>
      <c r="F9492" s="30" t="inlineStr">
        <is>
          <t>2021</t>
        </is>
      </c>
      <c r="G9492" s="40" t="n">
        <v>0</v>
      </c>
    </row>
    <row r="9493" ht="12" customHeight="1">
      <c r="A9493" s="30" t="inlineStr">
        <is>
          <t>POR</t>
        </is>
      </c>
      <c r="B9493" s="30" t="inlineStr">
        <is>
          <t>Porto Real</t>
        </is>
      </c>
      <c r="C9493" s="30" t="n">
        <v>11573754</v>
      </c>
      <c r="D9493" s="30">
        <f>"17451156000353"</f>
        <v/>
      </c>
      <c r="E9493" s="30" t="inlineStr">
        <is>
          <t>LOGFIT LOGISTICA E SERVICOS S/A.</t>
        </is>
      </c>
      <c r="F9493" s="30" t="inlineStr">
        <is>
          <t>2022</t>
        </is>
      </c>
      <c r="G9493" s="40" t="n">
        <v>0</v>
      </c>
    </row>
    <row r="9494" ht="12" customHeight="1">
      <c r="A9494" s="30" t="inlineStr">
        <is>
          <t>POR</t>
        </is>
      </c>
      <c r="B9494" s="30" t="inlineStr">
        <is>
          <t>Porto Real</t>
        </is>
      </c>
      <c r="C9494" s="30" t="n">
        <v>11578934</v>
      </c>
      <c r="D9494" s="30">
        <f>"08430504003683"</f>
        <v/>
      </c>
      <c r="E9494" s="30" t="inlineStr">
        <is>
          <t>F M COMERCIO DE MOVEIS LTDA</t>
        </is>
      </c>
      <c r="F9494" s="30" t="inlineStr">
        <is>
          <t>2017</t>
        </is>
      </c>
      <c r="G9494" s="40" t="n">
        <v>0</v>
      </c>
    </row>
    <row r="9495" ht="12" customHeight="1">
      <c r="A9495" s="30" t="inlineStr">
        <is>
          <t>POR</t>
        </is>
      </c>
      <c r="B9495" s="30" t="inlineStr">
        <is>
          <t>Porto Real</t>
        </is>
      </c>
      <c r="C9495" s="30" t="n">
        <v>11578934</v>
      </c>
      <c r="D9495" s="30">
        <f>"08430504003683"</f>
        <v/>
      </c>
      <c r="E9495" s="30" t="inlineStr">
        <is>
          <t>F M COMERCIO DE MOVEIS LTDA</t>
        </is>
      </c>
      <c r="F9495" s="30" t="inlineStr">
        <is>
          <t>2018</t>
        </is>
      </c>
      <c r="G9495" s="40" t="n">
        <v>0</v>
      </c>
    </row>
    <row r="9496" ht="12" customHeight="1">
      <c r="A9496" s="30" t="inlineStr">
        <is>
          <t>POR</t>
        </is>
      </c>
      <c r="B9496" s="30" t="inlineStr">
        <is>
          <t>Porto Real</t>
        </is>
      </c>
      <c r="C9496" s="30" t="n">
        <v>11578934</v>
      </c>
      <c r="D9496" s="30">
        <f>"08430504003683"</f>
        <v/>
      </c>
      <c r="E9496" s="30" t="inlineStr">
        <is>
          <t>F M COMERCIO DE MOVEIS LTDA</t>
        </is>
      </c>
      <c r="F9496" s="30" t="inlineStr">
        <is>
          <t>2019</t>
        </is>
      </c>
      <c r="G9496" s="40" t="n">
        <v>158568.37</v>
      </c>
    </row>
    <row r="9497" ht="12" customHeight="1">
      <c r="A9497" s="30" t="inlineStr">
        <is>
          <t>POR</t>
        </is>
      </c>
      <c r="B9497" s="30" t="inlineStr">
        <is>
          <t>Porto Real</t>
        </is>
      </c>
      <c r="C9497" s="30" t="n">
        <v>11578934</v>
      </c>
      <c r="D9497" s="30">
        <f>"08430504003683"</f>
        <v/>
      </c>
      <c r="E9497" s="30" t="inlineStr">
        <is>
          <t>F M COMERCIO DE MOVEIS LTDA</t>
        </is>
      </c>
      <c r="F9497" s="30" t="inlineStr">
        <is>
          <t>2020</t>
        </is>
      </c>
      <c r="G9497" s="40" t="n">
        <v>432755.87</v>
      </c>
    </row>
    <row r="9498" ht="12" customHeight="1">
      <c r="A9498" s="30" t="inlineStr">
        <is>
          <t>POR</t>
        </is>
      </c>
      <c r="B9498" s="30" t="inlineStr">
        <is>
          <t>Porto Real</t>
        </is>
      </c>
      <c r="C9498" s="30" t="n">
        <v>11578934</v>
      </c>
      <c r="D9498" s="30">
        <f>"08430504003683"</f>
        <v/>
      </c>
      <c r="E9498" s="30" t="inlineStr">
        <is>
          <t>F M COMERCIO DE MOVEIS LTDA</t>
        </is>
      </c>
      <c r="F9498" s="30" t="inlineStr">
        <is>
          <t>2021</t>
        </is>
      </c>
      <c r="G9498" s="40" t="n">
        <v>296771.55</v>
      </c>
    </row>
    <row r="9499" ht="12" customHeight="1">
      <c r="A9499" s="30" t="inlineStr">
        <is>
          <t>POR</t>
        </is>
      </c>
      <c r="B9499" s="30" t="inlineStr">
        <is>
          <t>Porto Real</t>
        </is>
      </c>
      <c r="C9499" s="30" t="n">
        <v>11578934</v>
      </c>
      <c r="D9499" s="30">
        <f>"08430504003683"</f>
        <v/>
      </c>
      <c r="E9499" s="30" t="inlineStr">
        <is>
          <t>F M COMERCIO DE MOVEIS LTDA</t>
        </is>
      </c>
      <c r="F9499" s="30" t="inlineStr">
        <is>
          <t>2022</t>
        </is>
      </c>
      <c r="G9499" s="40" t="n">
        <v>0</v>
      </c>
    </row>
    <row r="9500" ht="12" customHeight="1">
      <c r="A9500" s="30" t="inlineStr">
        <is>
          <t>POR</t>
        </is>
      </c>
      <c r="B9500" s="30" t="inlineStr">
        <is>
          <t>Porto Real</t>
        </is>
      </c>
      <c r="C9500" s="30" t="n">
        <v>11578934</v>
      </c>
      <c r="D9500" s="30">
        <f>"08430504003683"</f>
        <v/>
      </c>
      <c r="E9500" s="30" t="inlineStr">
        <is>
          <t>F M COMERCIO DE MOVEIS LTDA</t>
        </is>
      </c>
      <c r="F9500" s="30" t="inlineStr">
        <is>
          <t>2023</t>
        </is>
      </c>
      <c r="G9500" s="40" t="n">
        <v>0</v>
      </c>
    </row>
    <row r="9501" ht="12" customHeight="1">
      <c r="A9501" s="30" t="inlineStr">
        <is>
          <t>POR</t>
        </is>
      </c>
      <c r="B9501" s="30" t="inlineStr">
        <is>
          <t>Porto Real</t>
        </is>
      </c>
      <c r="C9501" s="30" t="n">
        <v>11587062</v>
      </c>
      <c r="D9501" s="30">
        <f>"26886144000180"</f>
        <v/>
      </c>
      <c r="E9501" s="30" t="inlineStr">
        <is>
          <t>V. DE SOUZA BOTELHO MARQUES</t>
        </is>
      </c>
      <c r="F9501" s="30" t="inlineStr">
        <is>
          <t>2019</t>
        </is>
      </c>
      <c r="G9501" s="40" t="n">
        <v>0</v>
      </c>
    </row>
    <row r="9502" ht="12" customHeight="1">
      <c r="A9502" s="30" t="inlineStr">
        <is>
          <t>POR</t>
        </is>
      </c>
      <c r="B9502" s="30" t="inlineStr">
        <is>
          <t>Porto Real</t>
        </is>
      </c>
      <c r="C9502" s="30" t="n">
        <v>11587062</v>
      </c>
      <c r="D9502" s="30">
        <f>"26886144000180"</f>
        <v/>
      </c>
      <c r="E9502" s="30" t="inlineStr">
        <is>
          <t>V. DE SOUZA BOTELHO MARQUES</t>
        </is>
      </c>
      <c r="F9502" s="30" t="inlineStr">
        <is>
          <t>2020</t>
        </is>
      </c>
      <c r="G9502" s="40" t="n">
        <v>0</v>
      </c>
    </row>
    <row r="9503" ht="12" customHeight="1">
      <c r="A9503" s="30" t="inlineStr">
        <is>
          <t>POR</t>
        </is>
      </c>
      <c r="B9503" s="30" t="inlineStr">
        <is>
          <t>Porto Real</t>
        </is>
      </c>
      <c r="C9503" s="30" t="n">
        <v>11587062</v>
      </c>
      <c r="D9503" s="30">
        <f>"26886144000180"</f>
        <v/>
      </c>
      <c r="E9503" s="30" t="inlineStr">
        <is>
          <t>V. DE SOUZA BOTELHO MARQUES</t>
        </is>
      </c>
      <c r="F9503" s="30" t="inlineStr">
        <is>
          <t>2021</t>
        </is>
      </c>
      <c r="G9503" s="40" t="n">
        <v>185585.95</v>
      </c>
    </row>
    <row r="9504" ht="12" customHeight="1">
      <c r="A9504" s="30" t="inlineStr">
        <is>
          <t>POR</t>
        </is>
      </c>
      <c r="B9504" s="30" t="inlineStr">
        <is>
          <t>Porto Real</t>
        </is>
      </c>
      <c r="C9504" s="30" t="n">
        <v>11587062</v>
      </c>
      <c r="D9504" s="30">
        <f>"26886144000180"</f>
        <v/>
      </c>
      <c r="E9504" s="30" t="inlineStr">
        <is>
          <t>V. DE SOUZA BOTELHO MARQUES</t>
        </is>
      </c>
      <c r="F9504" s="30" t="inlineStr">
        <is>
          <t>2022</t>
        </is>
      </c>
      <c r="G9504" s="40" t="n">
        <v>0</v>
      </c>
    </row>
    <row r="9505" ht="12" customHeight="1">
      <c r="A9505" s="30" t="inlineStr">
        <is>
          <t>POR</t>
        </is>
      </c>
      <c r="B9505" s="30" t="inlineStr">
        <is>
          <t>Porto Real</t>
        </is>
      </c>
      <c r="C9505" s="30" t="n">
        <v>11587062</v>
      </c>
      <c r="D9505" s="30">
        <f>"26886144000180"</f>
        <v/>
      </c>
      <c r="E9505" s="30" t="inlineStr">
        <is>
          <t>V. DE SOUZA BOTELHO MARQUES</t>
        </is>
      </c>
      <c r="F9505" s="30" t="inlineStr">
        <is>
          <t>2023</t>
        </is>
      </c>
      <c r="G9505" s="40" t="n">
        <v>0</v>
      </c>
    </row>
    <row r="9506" ht="12" customHeight="1">
      <c r="A9506" s="30" t="inlineStr">
        <is>
          <t>POR</t>
        </is>
      </c>
      <c r="B9506" s="30" t="inlineStr">
        <is>
          <t>Porto Real</t>
        </is>
      </c>
      <c r="C9506" s="30" t="n">
        <v>11600166</v>
      </c>
      <c r="D9506" s="30">
        <f>"13951174001072"</f>
        <v/>
      </c>
      <c r="E9506" s="30" t="inlineStr">
        <is>
          <t>SESE LOGISTICA DO BRASIL LTDA.</t>
        </is>
      </c>
      <c r="F9506" s="30" t="inlineStr">
        <is>
          <t>2020</t>
        </is>
      </c>
      <c r="G9506" s="40" t="n">
        <v>0</v>
      </c>
    </row>
    <row r="9507" ht="12" customHeight="1">
      <c r="A9507" s="30" t="inlineStr">
        <is>
          <t>POR</t>
        </is>
      </c>
      <c r="B9507" s="30" t="inlineStr">
        <is>
          <t>Porto Real</t>
        </is>
      </c>
      <c r="C9507" s="30" t="n">
        <v>11600166</v>
      </c>
      <c r="D9507" s="30">
        <f>"13951174001072"</f>
        <v/>
      </c>
      <c r="E9507" s="30" t="inlineStr">
        <is>
          <t>SESE LOGISTICA DO BRASIL LTDA.</t>
        </is>
      </c>
      <c r="F9507" s="30" t="inlineStr">
        <is>
          <t>2021</t>
        </is>
      </c>
      <c r="G9507" s="40" t="n">
        <v>0</v>
      </c>
    </row>
    <row r="9508" ht="12" customHeight="1">
      <c r="A9508" s="30" t="inlineStr">
        <is>
          <t>POR</t>
        </is>
      </c>
      <c r="B9508" s="30" t="inlineStr">
        <is>
          <t>Porto Real</t>
        </is>
      </c>
      <c r="C9508" s="30" t="n">
        <v>11600166</v>
      </c>
      <c r="D9508" s="30">
        <f>"13951174001072"</f>
        <v/>
      </c>
      <c r="E9508" s="30" t="inlineStr">
        <is>
          <t>SESE LOGISTICA DO BRASIL LTDA.</t>
        </is>
      </c>
      <c r="F9508" s="30" t="inlineStr">
        <is>
          <t>2022</t>
        </is>
      </c>
      <c r="G9508" s="40" t="n">
        <v>541220.13</v>
      </c>
    </row>
    <row r="9509" ht="12" customHeight="1">
      <c r="A9509" s="30" t="inlineStr">
        <is>
          <t>POR</t>
        </is>
      </c>
      <c r="B9509" s="30" t="inlineStr">
        <is>
          <t>Porto Real</t>
        </is>
      </c>
      <c r="C9509" s="30" t="n">
        <v>11600166</v>
      </c>
      <c r="D9509" s="30">
        <f>"13951174001072"</f>
        <v/>
      </c>
      <c r="E9509" s="30" t="inlineStr">
        <is>
          <t>SESE LOGISTICA DO BRASIL LTDA.</t>
        </is>
      </c>
      <c r="F9509" s="30" t="inlineStr">
        <is>
          <t>2023</t>
        </is>
      </c>
      <c r="G9509" s="40" t="n">
        <v>809854.4</v>
      </c>
    </row>
    <row r="9510" ht="12" customHeight="1">
      <c r="A9510" s="30" t="inlineStr">
        <is>
          <t>POR</t>
        </is>
      </c>
      <c r="B9510" s="30" t="inlineStr">
        <is>
          <t>Porto Real</t>
        </is>
      </c>
      <c r="C9510" s="30" t="n">
        <v>11627781</v>
      </c>
      <c r="D9510" s="30">
        <f>"35788734000161"</f>
        <v/>
      </c>
      <c r="E9510" s="30" t="inlineStr">
        <is>
          <t>CONSTRUTORA ELITE II SPE LTDA</t>
        </is>
      </c>
      <c r="F9510" s="30" t="inlineStr">
        <is>
          <t>2017</t>
        </is>
      </c>
      <c r="G9510" s="40" t="n">
        <v>0</v>
      </c>
    </row>
    <row r="9511" ht="12" customHeight="1">
      <c r="A9511" s="30" t="inlineStr">
        <is>
          <t>POR</t>
        </is>
      </c>
      <c r="B9511" s="30" t="inlineStr">
        <is>
          <t>Porto Real</t>
        </is>
      </c>
      <c r="C9511" s="30" t="n">
        <v>11627781</v>
      </c>
      <c r="D9511" s="30">
        <f>"35788734000161"</f>
        <v/>
      </c>
      <c r="E9511" s="30" t="inlineStr">
        <is>
          <t>CONSTRUTORA ELITE II SPE LTDA</t>
        </is>
      </c>
      <c r="F9511" s="30" t="inlineStr">
        <is>
          <t>2018</t>
        </is>
      </c>
      <c r="G9511" s="40" t="n">
        <v>0</v>
      </c>
    </row>
    <row r="9512" ht="12" customHeight="1">
      <c r="A9512" s="30" t="inlineStr">
        <is>
          <t>POR</t>
        </is>
      </c>
      <c r="B9512" s="30" t="inlineStr">
        <is>
          <t>Porto Real</t>
        </is>
      </c>
      <c r="C9512" s="30" t="n">
        <v>11627781</v>
      </c>
      <c r="D9512" s="30">
        <f>"35788734000161"</f>
        <v/>
      </c>
      <c r="E9512" s="30" t="inlineStr">
        <is>
          <t>CONSTRUTORA ELITE II SPE LTDA</t>
        </is>
      </c>
      <c r="F9512" s="30" t="inlineStr">
        <is>
          <t>2019</t>
        </is>
      </c>
      <c r="G9512" s="40" t="n">
        <v>0</v>
      </c>
    </row>
    <row r="9513" ht="12" customHeight="1">
      <c r="A9513" s="30" t="inlineStr">
        <is>
          <t>POR</t>
        </is>
      </c>
      <c r="B9513" s="30" t="inlineStr">
        <is>
          <t>Porto Real</t>
        </is>
      </c>
      <c r="C9513" s="30" t="n">
        <v>11627781</v>
      </c>
      <c r="D9513" s="30">
        <f>"35788734000161"</f>
        <v/>
      </c>
      <c r="E9513" s="30" t="inlineStr">
        <is>
          <t>CONSTRUTORA ELITE II SPE LTDA</t>
        </is>
      </c>
      <c r="F9513" s="30" t="inlineStr">
        <is>
          <t>2020</t>
        </is>
      </c>
      <c r="G9513" s="40" t="n">
        <v>0</v>
      </c>
    </row>
    <row r="9514" ht="12" customHeight="1">
      <c r="A9514" s="30" t="inlineStr">
        <is>
          <t>POR</t>
        </is>
      </c>
      <c r="B9514" s="30" t="inlineStr">
        <is>
          <t>Porto Real</t>
        </is>
      </c>
      <c r="C9514" s="30" t="n">
        <v>11627781</v>
      </c>
      <c r="D9514" s="30">
        <f>"35788734000161"</f>
        <v/>
      </c>
      <c r="E9514" s="30" t="inlineStr">
        <is>
          <t>CONSTRUTORA ELITE II SPE LTDA</t>
        </is>
      </c>
      <c r="F9514" s="30" t="inlineStr">
        <is>
          <t>2021</t>
        </is>
      </c>
      <c r="G9514" s="40" t="n">
        <v>0</v>
      </c>
    </row>
    <row r="9515" ht="12" customHeight="1">
      <c r="A9515" s="30" t="inlineStr">
        <is>
          <t>POR</t>
        </is>
      </c>
      <c r="B9515" s="30" t="inlineStr">
        <is>
          <t>Porto Real</t>
        </is>
      </c>
      <c r="C9515" s="30" t="n">
        <v>11627781</v>
      </c>
      <c r="D9515" s="30">
        <f>"35788734000161"</f>
        <v/>
      </c>
      <c r="E9515" s="30" t="inlineStr">
        <is>
          <t>CONSTRUTORA ELITE II SPE LTDA</t>
        </is>
      </c>
      <c r="F9515" s="30" t="inlineStr">
        <is>
          <t>2022</t>
        </is>
      </c>
      <c r="G9515" s="40" t="n">
        <v>0</v>
      </c>
    </row>
    <row r="9516" ht="12" customHeight="1">
      <c r="A9516" s="30" t="inlineStr">
        <is>
          <t>POR</t>
        </is>
      </c>
      <c r="B9516" s="30" t="inlineStr">
        <is>
          <t>Porto Real</t>
        </is>
      </c>
      <c r="C9516" s="30" t="n">
        <v>11627781</v>
      </c>
      <c r="D9516" s="30">
        <f>"35788734000161"</f>
        <v/>
      </c>
      <c r="E9516" s="30" t="inlineStr">
        <is>
          <t>CONSTRUTORA ELITE II SPE LTDA</t>
        </is>
      </c>
      <c r="F9516" s="30" t="inlineStr">
        <is>
          <t>2023</t>
        </is>
      </c>
      <c r="G9516" s="40" t="n">
        <v>0</v>
      </c>
    </row>
    <row r="9517" ht="12" customHeight="1">
      <c r="A9517" s="30" t="inlineStr">
        <is>
          <t>POR</t>
        </is>
      </c>
      <c r="B9517" s="30" t="inlineStr">
        <is>
          <t>Porto Real</t>
        </is>
      </c>
      <c r="C9517" s="30" t="n">
        <v>11633064</v>
      </c>
      <c r="D9517" s="30">
        <f>"26598598000237"</f>
        <v/>
      </c>
      <c r="E9517" s="30" t="inlineStr">
        <is>
          <t>PRIMOR TRANSPORTES E SERVICOS EIRELI</t>
        </is>
      </c>
      <c r="F9517" s="30" t="inlineStr">
        <is>
          <t>2021</t>
        </is>
      </c>
      <c r="G9517" s="40" t="n">
        <v>0</v>
      </c>
    </row>
    <row r="9518" ht="12" customHeight="1">
      <c r="A9518" s="30" t="inlineStr">
        <is>
          <t>POR</t>
        </is>
      </c>
      <c r="B9518" s="30" t="inlineStr">
        <is>
          <t>Porto Real</t>
        </is>
      </c>
      <c r="C9518" s="30" t="n">
        <v>11633064</v>
      </c>
      <c r="D9518" s="30">
        <f>"26598598000237"</f>
        <v/>
      </c>
      <c r="E9518" s="30" t="inlineStr">
        <is>
          <t>PRIMOR TRANSPORTES E SERVICOS EIRELI</t>
        </is>
      </c>
      <c r="F9518" s="30" t="inlineStr">
        <is>
          <t>2022</t>
        </is>
      </c>
      <c r="G9518" s="40" t="n">
        <v>0</v>
      </c>
    </row>
    <row r="9519" ht="12" customHeight="1">
      <c r="A9519" s="30" t="inlineStr">
        <is>
          <t>POR</t>
        </is>
      </c>
      <c r="B9519" s="30" t="inlineStr">
        <is>
          <t>Porto Real</t>
        </is>
      </c>
      <c r="C9519" s="30" t="n">
        <v>11633064</v>
      </c>
      <c r="D9519" s="30">
        <f>"26598598000237"</f>
        <v/>
      </c>
      <c r="E9519" s="30" t="inlineStr">
        <is>
          <t>PRIMOR TRANSPORTES E SERVICOS EIRELI</t>
        </is>
      </c>
      <c r="F9519" s="30" t="inlineStr">
        <is>
          <t>2023</t>
        </is>
      </c>
      <c r="G9519" s="40" t="n">
        <v>758313.83</v>
      </c>
    </row>
    <row r="9520" ht="12" customHeight="1">
      <c r="A9520" s="30" t="inlineStr">
        <is>
          <t>POR</t>
        </is>
      </c>
      <c r="B9520" s="30" t="inlineStr">
        <is>
          <t>Porto Real</t>
        </is>
      </c>
      <c r="C9520" s="30" t="n">
        <v>11638414</v>
      </c>
      <c r="D9520" s="30">
        <f>"76560275000575"</f>
        <v/>
      </c>
      <c r="E9520" s="30" t="inlineStr">
        <is>
          <t>TRANSCELSO TRANSPORTES LTDA</t>
        </is>
      </c>
      <c r="F9520" s="30" t="inlineStr">
        <is>
          <t>2020</t>
        </is>
      </c>
      <c r="G9520" s="40" t="n">
        <v>0</v>
      </c>
    </row>
    <row r="9521" ht="12" customHeight="1">
      <c r="A9521" s="30" t="inlineStr">
        <is>
          <t>POR</t>
        </is>
      </c>
      <c r="B9521" s="30" t="inlineStr">
        <is>
          <t>Porto Real</t>
        </is>
      </c>
      <c r="C9521" s="30" t="n">
        <v>11638414</v>
      </c>
      <c r="D9521" s="30">
        <f>"76560275000575"</f>
        <v/>
      </c>
      <c r="E9521" s="30" t="inlineStr">
        <is>
          <t>TRANSCELSO TRANSPORTES LTDA</t>
        </is>
      </c>
      <c r="F9521" s="30" t="inlineStr">
        <is>
          <t>2021</t>
        </is>
      </c>
      <c r="G9521" s="40" t="n">
        <v>0</v>
      </c>
    </row>
    <row r="9522" ht="12" customHeight="1">
      <c r="A9522" s="30" t="inlineStr">
        <is>
          <t>POR</t>
        </is>
      </c>
      <c r="B9522" s="30" t="inlineStr">
        <is>
          <t>Porto Real</t>
        </is>
      </c>
      <c r="C9522" s="30" t="n">
        <v>11638414</v>
      </c>
      <c r="D9522" s="30">
        <f>"76560275000575"</f>
        <v/>
      </c>
      <c r="E9522" s="30" t="inlineStr">
        <is>
          <t>TRANSCELSO TRANSPORTES LTDA</t>
        </is>
      </c>
      <c r="F9522" s="30" t="inlineStr">
        <is>
          <t>2022</t>
        </is>
      </c>
      <c r="G9522" s="40" t="n">
        <v>57120</v>
      </c>
    </row>
    <row r="9523" ht="12" customHeight="1">
      <c r="A9523" s="30" t="inlineStr">
        <is>
          <t>POR</t>
        </is>
      </c>
      <c r="B9523" s="30" t="inlineStr">
        <is>
          <t>Porto Real</t>
        </is>
      </c>
      <c r="C9523" s="30" t="n">
        <v>11638414</v>
      </c>
      <c r="D9523" s="30">
        <f>"76560275000575"</f>
        <v/>
      </c>
      <c r="E9523" s="30" t="inlineStr">
        <is>
          <t>TRANSCELSO TRANSPORTES LTDA</t>
        </is>
      </c>
      <c r="F9523" s="30" t="inlineStr">
        <is>
          <t>2023</t>
        </is>
      </c>
      <c r="G9523" s="40" t="n">
        <v>39200</v>
      </c>
    </row>
    <row r="9524" ht="12" customHeight="1">
      <c r="A9524" s="30" t="inlineStr">
        <is>
          <t>POR</t>
        </is>
      </c>
      <c r="B9524" s="30" t="inlineStr">
        <is>
          <t>Porto Real</t>
        </is>
      </c>
      <c r="C9524" s="30" t="n">
        <v>11639623</v>
      </c>
      <c r="D9524" s="30">
        <f>"35839942000142"</f>
        <v/>
      </c>
      <c r="E9524" s="30" t="inlineStr">
        <is>
          <t>TMA SUDESTE TRANSPORTE E LOG?STICA LTDA</t>
        </is>
      </c>
      <c r="F9524" s="30" t="inlineStr">
        <is>
          <t>2018</t>
        </is>
      </c>
      <c r="G9524" s="40" t="n">
        <v>0</v>
      </c>
    </row>
    <row r="9525" ht="12" customHeight="1">
      <c r="A9525" s="30" t="inlineStr">
        <is>
          <t>POR</t>
        </is>
      </c>
      <c r="B9525" s="30" t="inlineStr">
        <is>
          <t>Porto Real</t>
        </is>
      </c>
      <c r="C9525" s="30" t="n">
        <v>11639623</v>
      </c>
      <c r="D9525" s="30">
        <f>"35839942000142"</f>
        <v/>
      </c>
      <c r="E9525" s="30" t="inlineStr">
        <is>
          <t>TMA SUDESTE TRANSPORTE E LOG?STICA LTDA</t>
        </is>
      </c>
      <c r="F9525" s="30" t="inlineStr">
        <is>
          <t>2019</t>
        </is>
      </c>
      <c r="G9525" s="40" t="n">
        <v>0</v>
      </c>
    </row>
    <row r="9526" ht="12" customHeight="1">
      <c r="A9526" s="30" t="inlineStr">
        <is>
          <t>POR</t>
        </is>
      </c>
      <c r="B9526" s="30" t="inlineStr">
        <is>
          <t>Porto Real</t>
        </is>
      </c>
      <c r="C9526" s="30" t="n">
        <v>11639623</v>
      </c>
      <c r="D9526" s="30">
        <f>"35839942000142"</f>
        <v/>
      </c>
      <c r="E9526" s="30" t="inlineStr">
        <is>
          <t>TMA SUDESTE TRANSPORTE E LOG?STICA LTDA</t>
        </is>
      </c>
      <c r="F9526" s="30" t="inlineStr">
        <is>
          <t>2020</t>
        </is>
      </c>
      <c r="G9526" s="40" t="n">
        <v>632.45</v>
      </c>
    </row>
    <row r="9527" ht="12" customHeight="1">
      <c r="A9527" s="30" t="inlineStr">
        <is>
          <t>POR</t>
        </is>
      </c>
      <c r="B9527" s="30" t="inlineStr">
        <is>
          <t>Porto Real</t>
        </is>
      </c>
      <c r="C9527" s="30" t="n">
        <v>11639623</v>
      </c>
      <c r="D9527" s="30">
        <f>"35839942000142"</f>
        <v/>
      </c>
      <c r="E9527" s="30" t="inlineStr">
        <is>
          <t>TMA SUDESTE TRANSPORTE E LOG?STICA LTDA</t>
        </is>
      </c>
      <c r="F9527" s="30" t="inlineStr">
        <is>
          <t>2021</t>
        </is>
      </c>
      <c r="G9527" s="40" t="n">
        <v>137.56</v>
      </c>
    </row>
    <row r="9528" ht="12" customHeight="1">
      <c r="A9528" s="30" t="inlineStr">
        <is>
          <t>POR</t>
        </is>
      </c>
      <c r="B9528" s="30" t="inlineStr">
        <is>
          <t>Porto Real</t>
        </is>
      </c>
      <c r="C9528" s="30" t="n">
        <v>11639623</v>
      </c>
      <c r="D9528" s="30">
        <f>"35839942000142"</f>
        <v/>
      </c>
      <c r="E9528" s="30" t="inlineStr">
        <is>
          <t>TMA SUDESTE TRANSPORTE E LOG?STICA LTDA</t>
        </is>
      </c>
      <c r="F9528" s="30" t="inlineStr">
        <is>
          <t>2022</t>
        </is>
      </c>
      <c r="G9528" s="40" t="n">
        <v>0</v>
      </c>
    </row>
    <row r="9529" ht="12" customHeight="1">
      <c r="A9529" s="30" t="inlineStr">
        <is>
          <t>POR</t>
        </is>
      </c>
      <c r="B9529" s="30" t="inlineStr">
        <is>
          <t>Porto Real</t>
        </is>
      </c>
      <c r="C9529" s="30" t="n">
        <v>11639623</v>
      </c>
      <c r="D9529" s="30">
        <f>"35839942000142"</f>
        <v/>
      </c>
      <c r="E9529" s="30" t="inlineStr">
        <is>
          <t>TMA SUDESTE TRANSPORTE E LOG?STICA LTDA</t>
        </is>
      </c>
      <c r="F9529" s="30" t="inlineStr">
        <is>
          <t>2023</t>
        </is>
      </c>
      <c r="G9529" s="40" t="n">
        <v>0</v>
      </c>
    </row>
    <row r="9530" ht="12" customHeight="1">
      <c r="A9530" s="30" t="inlineStr">
        <is>
          <t>POR</t>
        </is>
      </c>
      <c r="B9530" s="30" t="inlineStr">
        <is>
          <t>Porto Real</t>
        </is>
      </c>
      <c r="C9530" s="30" t="n">
        <v>11650830</v>
      </c>
      <c r="D9530" s="30">
        <f>"36115907000143"</f>
        <v/>
      </c>
      <c r="E9530" s="30" t="inlineStr">
        <is>
          <t>C.A.A CONSTRUTORA E INCORPORADORA SPE LTDA</t>
        </is>
      </c>
      <c r="F9530" s="30" t="inlineStr">
        <is>
          <t>2018</t>
        </is>
      </c>
      <c r="G9530" s="40" t="n">
        <v>0</v>
      </c>
    </row>
    <row r="9531" ht="12" customHeight="1">
      <c r="A9531" s="30" t="inlineStr">
        <is>
          <t>POR</t>
        </is>
      </c>
      <c r="B9531" s="30" t="inlineStr">
        <is>
          <t>Porto Real</t>
        </is>
      </c>
      <c r="C9531" s="30" t="n">
        <v>11650830</v>
      </c>
      <c r="D9531" s="30">
        <f>"36115907000143"</f>
        <v/>
      </c>
      <c r="E9531" s="30" t="inlineStr">
        <is>
          <t>C.A.A CONSTRUTORA E INCORPORADORA SPE LTDA</t>
        </is>
      </c>
      <c r="F9531" s="30" t="inlineStr">
        <is>
          <t>2019</t>
        </is>
      </c>
      <c r="G9531" s="40" t="n">
        <v>0</v>
      </c>
    </row>
    <row r="9532" ht="12" customHeight="1">
      <c r="A9532" s="30" t="inlineStr">
        <is>
          <t>POR</t>
        </is>
      </c>
      <c r="B9532" s="30" t="inlineStr">
        <is>
          <t>Porto Real</t>
        </is>
      </c>
      <c r="C9532" s="30" t="n">
        <v>11650830</v>
      </c>
      <c r="D9532" s="30">
        <f>"36115907000143"</f>
        <v/>
      </c>
      <c r="E9532" s="30" t="inlineStr">
        <is>
          <t>C.A.A CONSTRUTORA E INCORPORADORA SPE LTDA</t>
        </is>
      </c>
      <c r="F9532" s="30" t="inlineStr">
        <is>
          <t>2020</t>
        </is>
      </c>
      <c r="G9532" s="40" t="n">
        <v>0</v>
      </c>
    </row>
    <row r="9533" ht="12" customHeight="1">
      <c r="A9533" s="30" t="inlineStr">
        <is>
          <t>POR</t>
        </is>
      </c>
      <c r="B9533" s="30" t="inlineStr">
        <is>
          <t>Porto Real</t>
        </is>
      </c>
      <c r="C9533" s="30" t="n">
        <v>11650830</v>
      </c>
      <c r="D9533" s="30">
        <f>"36115907000143"</f>
        <v/>
      </c>
      <c r="E9533" s="30" t="inlineStr">
        <is>
          <t>C.A.A CONSTRUTORA E INCORPORADORA SPE LTDA</t>
        </is>
      </c>
      <c r="F9533" s="30" t="inlineStr">
        <is>
          <t>2021</t>
        </is>
      </c>
      <c r="G9533" s="40" t="n">
        <v>0</v>
      </c>
    </row>
    <row r="9534" ht="12" customHeight="1">
      <c r="A9534" s="30" t="inlineStr">
        <is>
          <t>POR</t>
        </is>
      </c>
      <c r="B9534" s="30" t="inlineStr">
        <is>
          <t>Porto Real</t>
        </is>
      </c>
      <c r="C9534" s="30" t="n">
        <v>11650830</v>
      </c>
      <c r="D9534" s="30">
        <f>"36115907000143"</f>
        <v/>
      </c>
      <c r="E9534" s="30" t="inlineStr">
        <is>
          <t>C.A.A CONSTRUTORA E INCORPORADORA SPE LTDA</t>
        </is>
      </c>
      <c r="F9534" s="30" t="inlineStr">
        <is>
          <t>2022</t>
        </is>
      </c>
      <c r="G9534" s="40" t="n">
        <v>0</v>
      </c>
    </row>
    <row r="9535" ht="12" customHeight="1">
      <c r="A9535" s="30" t="inlineStr">
        <is>
          <t>POR</t>
        </is>
      </c>
      <c r="B9535" s="30" t="inlineStr">
        <is>
          <t>Porto Real</t>
        </is>
      </c>
      <c r="C9535" s="30" t="n">
        <v>11650830</v>
      </c>
      <c r="D9535" s="30">
        <f>"36115907000143"</f>
        <v/>
      </c>
      <c r="E9535" s="30" t="inlineStr">
        <is>
          <t>C.A.A CONSTRUTORA E INCORPORADORA SPE LTDA</t>
        </is>
      </c>
      <c r="F9535" s="30" t="inlineStr">
        <is>
          <t>2023</t>
        </is>
      </c>
      <c r="G9535" s="40" t="n">
        <v>0</v>
      </c>
    </row>
    <row r="9536" ht="12" customHeight="1">
      <c r="A9536" s="30" t="inlineStr">
        <is>
          <t>POR</t>
        </is>
      </c>
      <c r="B9536" s="30" t="inlineStr">
        <is>
          <t>Porto Real</t>
        </is>
      </c>
      <c r="C9536" s="30" t="n">
        <v>11664199</v>
      </c>
      <c r="D9536" s="30">
        <f>"36293536000190"</f>
        <v/>
      </c>
      <c r="E9536" s="30" t="inlineStr">
        <is>
          <t>TRANSCD TRANSPORTES PORTO REAL LTDA</t>
        </is>
      </c>
      <c r="F9536" s="30" t="inlineStr">
        <is>
          <t>2019</t>
        </is>
      </c>
      <c r="G9536" s="40" t="n">
        <v>0</v>
      </c>
    </row>
    <row r="9537" ht="12" customHeight="1">
      <c r="A9537" s="30" t="inlineStr">
        <is>
          <t>POR</t>
        </is>
      </c>
      <c r="B9537" s="30" t="inlineStr">
        <is>
          <t>Porto Real</t>
        </is>
      </c>
      <c r="C9537" s="30" t="n">
        <v>11664199</v>
      </c>
      <c r="D9537" s="30">
        <f>"36293536000190"</f>
        <v/>
      </c>
      <c r="E9537" s="30" t="inlineStr">
        <is>
          <t>TRANSCD TRANSPORTES PORTO REAL LTDA</t>
        </is>
      </c>
      <c r="F9537" s="30" t="inlineStr">
        <is>
          <t>2020</t>
        </is>
      </c>
      <c r="G9537" s="40" t="n">
        <v>0</v>
      </c>
    </row>
    <row r="9538" ht="12" customHeight="1">
      <c r="A9538" s="30" t="inlineStr">
        <is>
          <t>POR</t>
        </is>
      </c>
      <c r="B9538" s="30" t="inlineStr">
        <is>
          <t>Porto Real</t>
        </is>
      </c>
      <c r="C9538" s="30" t="n">
        <v>11664199</v>
      </c>
      <c r="D9538" s="30">
        <f>"36293536000190"</f>
        <v/>
      </c>
      <c r="E9538" s="30" t="inlineStr">
        <is>
          <t>TRANSCD TRANSPORTES PORTO REAL LTDA</t>
        </is>
      </c>
      <c r="F9538" s="30" t="inlineStr">
        <is>
          <t>2021</t>
        </is>
      </c>
      <c r="G9538" s="40" t="n">
        <v>52816.46</v>
      </c>
    </row>
    <row r="9539" ht="12" customHeight="1">
      <c r="A9539" s="30" t="inlineStr">
        <is>
          <t>POR</t>
        </is>
      </c>
      <c r="B9539" s="30" t="inlineStr">
        <is>
          <t>Porto Real</t>
        </is>
      </c>
      <c r="C9539" s="30" t="n">
        <v>11664199</v>
      </c>
      <c r="D9539" s="30">
        <f>"36293536000190"</f>
        <v/>
      </c>
      <c r="E9539" s="30" t="inlineStr">
        <is>
          <t>TRANSCD TRANSPORTES PORTO REAL LTDA</t>
        </is>
      </c>
      <c r="F9539" s="30" t="inlineStr">
        <is>
          <t>2022</t>
        </is>
      </c>
      <c r="G9539" s="40" t="n">
        <v>5389354.34</v>
      </c>
    </row>
    <row r="9540" ht="12" customHeight="1">
      <c r="A9540" s="30" t="inlineStr">
        <is>
          <t>POR</t>
        </is>
      </c>
      <c r="B9540" s="30" t="inlineStr">
        <is>
          <t>Porto Real</t>
        </is>
      </c>
      <c r="C9540" s="30" t="n">
        <v>11664199</v>
      </c>
      <c r="D9540" s="30">
        <f>"36293536000190"</f>
        <v/>
      </c>
      <c r="E9540" s="30" t="inlineStr">
        <is>
          <t>TRANSCD TRANSPORTES PORTO REAL LTDA</t>
        </is>
      </c>
      <c r="F9540" s="30" t="inlineStr">
        <is>
          <t>2023</t>
        </is>
      </c>
      <c r="G9540" s="40" t="n">
        <v>3977464.96</v>
      </c>
    </row>
    <row r="9541" ht="12" customHeight="1">
      <c r="A9541" s="30" t="inlineStr">
        <is>
          <t>POR</t>
        </is>
      </c>
      <c r="B9541" s="30" t="inlineStr">
        <is>
          <t>Porto Real</t>
        </is>
      </c>
      <c r="C9541" s="30" t="n">
        <v>11684009</v>
      </c>
      <c r="D9541" s="30">
        <f>"77058881001106"</f>
        <v/>
      </c>
      <c r="E9541" s="30" t="inlineStr">
        <is>
          <t>TRANS-PIZZATTO TRANSPORTADORA DE CARGAS RODOVIARIAS LTDA</t>
        </is>
      </c>
      <c r="F9541" s="30" t="inlineStr">
        <is>
          <t>2018</t>
        </is>
      </c>
      <c r="G9541" s="40" t="n">
        <v>0</v>
      </c>
    </row>
    <row r="9542" ht="12" customHeight="1">
      <c r="A9542" s="30" t="inlineStr">
        <is>
          <t>POR</t>
        </is>
      </c>
      <c r="B9542" s="30" t="inlineStr">
        <is>
          <t>Porto Real</t>
        </is>
      </c>
      <c r="C9542" s="30" t="n">
        <v>11684009</v>
      </c>
      <c r="D9542" s="30">
        <f>"77058881001106"</f>
        <v/>
      </c>
      <c r="E9542" s="30" t="inlineStr">
        <is>
          <t>TRANS-PIZZATTO TRANSPORTADORA DE CARGAS RODOVIARIAS LTDA</t>
        </is>
      </c>
      <c r="F9542" s="30" t="inlineStr">
        <is>
          <t>2019</t>
        </is>
      </c>
      <c r="G9542" s="40" t="n">
        <v>0</v>
      </c>
    </row>
    <row r="9543" ht="12" customHeight="1">
      <c r="A9543" s="30" t="inlineStr">
        <is>
          <t>POR</t>
        </is>
      </c>
      <c r="B9543" s="30" t="inlineStr">
        <is>
          <t>Porto Real</t>
        </is>
      </c>
      <c r="C9543" s="30" t="n">
        <v>11684009</v>
      </c>
      <c r="D9543" s="30">
        <f>"77058881001106"</f>
        <v/>
      </c>
      <c r="E9543" s="30" t="inlineStr">
        <is>
          <t>TRANS-PIZZATTO TRANSPORTADORA DE CARGAS RODOVIARIAS LTDA</t>
        </is>
      </c>
      <c r="F9543" s="30" t="inlineStr">
        <is>
          <t>2020</t>
        </is>
      </c>
      <c r="G9543" s="40" t="n">
        <v>962534.73</v>
      </c>
    </row>
    <row r="9544" ht="12" customHeight="1">
      <c r="A9544" s="30" t="inlineStr">
        <is>
          <t>POR</t>
        </is>
      </c>
      <c r="B9544" s="30" t="inlineStr">
        <is>
          <t>Porto Real</t>
        </is>
      </c>
      <c r="C9544" s="30" t="n">
        <v>11684009</v>
      </c>
      <c r="D9544" s="30">
        <f>"77058881001106"</f>
        <v/>
      </c>
      <c r="E9544" s="30" t="inlineStr">
        <is>
          <t>TRANS-PIZZATTO TRANSPORTADORA DE CARGAS RODOVIARIAS LTDA</t>
        </is>
      </c>
      <c r="F9544" s="30" t="inlineStr">
        <is>
          <t>2021</t>
        </is>
      </c>
      <c r="G9544" s="40" t="n">
        <v>4046179.76</v>
      </c>
    </row>
    <row r="9545" ht="12" customHeight="1">
      <c r="A9545" s="30" t="inlineStr">
        <is>
          <t>POR</t>
        </is>
      </c>
      <c r="B9545" s="30" t="inlineStr">
        <is>
          <t>Porto Real</t>
        </is>
      </c>
      <c r="C9545" s="30" t="n">
        <v>11684009</v>
      </c>
      <c r="D9545" s="30">
        <f>"77058881001106"</f>
        <v/>
      </c>
      <c r="E9545" s="30" t="inlineStr">
        <is>
          <t>TRANS-PIZZATTO TRANSPORTADORA DE CARGAS RODOVIARIAS LTDA</t>
        </is>
      </c>
      <c r="F9545" s="30" t="inlineStr">
        <is>
          <t>2022</t>
        </is>
      </c>
      <c r="G9545" s="40" t="n">
        <v>5638515.03</v>
      </c>
    </row>
    <row r="9546" ht="12" customHeight="1">
      <c r="A9546" s="30" t="inlineStr">
        <is>
          <t>POR</t>
        </is>
      </c>
      <c r="B9546" s="30" t="inlineStr">
        <is>
          <t>Porto Real</t>
        </is>
      </c>
      <c r="C9546" s="30" t="n">
        <v>11684009</v>
      </c>
      <c r="D9546" s="30">
        <f>"77058881001106"</f>
        <v/>
      </c>
      <c r="E9546" s="30" t="inlineStr">
        <is>
          <t>TRANS-PIZZATTO TRANSPORTADORA DE CARGAS RODOVIARIAS LTDA</t>
        </is>
      </c>
      <c r="F9546" s="30" t="inlineStr">
        <is>
          <t>2023</t>
        </is>
      </c>
      <c r="G9546" s="40" t="n">
        <v>0</v>
      </c>
    </row>
    <row r="9547" ht="12" customHeight="1">
      <c r="A9547" s="30" t="inlineStr">
        <is>
          <t>POR</t>
        </is>
      </c>
      <c r="B9547" s="30" t="inlineStr">
        <is>
          <t>Porto Real</t>
        </is>
      </c>
      <c r="C9547" s="30" t="n">
        <v>11684335</v>
      </c>
      <c r="D9547" s="30">
        <f>"36536077000128"</f>
        <v/>
      </c>
      <c r="E9547" s="30" t="inlineStr">
        <is>
          <t>ASK DISTRIBUIDORA EIRELI</t>
        </is>
      </c>
      <c r="F9547" s="30" t="inlineStr">
        <is>
          <t>2019</t>
        </is>
      </c>
      <c r="G9547" s="40" t="n">
        <v>0</v>
      </c>
    </row>
    <row r="9548" ht="12" customHeight="1">
      <c r="A9548" s="30" t="inlineStr">
        <is>
          <t>POR</t>
        </is>
      </c>
      <c r="B9548" s="30" t="inlineStr">
        <is>
          <t>Porto Real</t>
        </is>
      </c>
      <c r="C9548" s="30" t="n">
        <v>11684335</v>
      </c>
      <c r="D9548" s="30">
        <f>"36536077000128"</f>
        <v/>
      </c>
      <c r="E9548" s="30" t="inlineStr">
        <is>
          <t>ASK DISTRIBUIDORA EIRELI</t>
        </is>
      </c>
      <c r="F9548" s="30" t="inlineStr">
        <is>
          <t>2020</t>
        </is>
      </c>
      <c r="G9548" s="40" t="n">
        <v>0</v>
      </c>
    </row>
    <row r="9549" ht="12" customHeight="1">
      <c r="A9549" s="30" t="inlineStr">
        <is>
          <t>POR</t>
        </is>
      </c>
      <c r="B9549" s="30" t="inlineStr">
        <is>
          <t>Porto Real</t>
        </is>
      </c>
      <c r="C9549" s="30" t="n">
        <v>11684335</v>
      </c>
      <c r="D9549" s="30">
        <f>"36536077000128"</f>
        <v/>
      </c>
      <c r="E9549" s="30" t="inlineStr">
        <is>
          <t>ASK DISTRIBUIDORA EIRELI</t>
        </is>
      </c>
      <c r="F9549" s="30" t="inlineStr">
        <is>
          <t>2021</t>
        </is>
      </c>
      <c r="G9549" s="40" t="n">
        <v>0</v>
      </c>
    </row>
    <row r="9550" ht="12" customHeight="1">
      <c r="A9550" s="30" t="inlineStr">
        <is>
          <t>POR</t>
        </is>
      </c>
      <c r="B9550" s="30" t="inlineStr">
        <is>
          <t>Porto Real</t>
        </is>
      </c>
      <c r="C9550" s="30" t="n">
        <v>11684335</v>
      </c>
      <c r="D9550" s="30">
        <f>"36536077000128"</f>
        <v/>
      </c>
      <c r="E9550" s="30" t="inlineStr">
        <is>
          <t>ASK DISTRIBUIDORA EIRELI</t>
        </is>
      </c>
      <c r="F9550" s="30" t="inlineStr">
        <is>
          <t>2022</t>
        </is>
      </c>
      <c r="G9550" s="40" t="n">
        <v>0</v>
      </c>
    </row>
    <row r="9551" ht="12" customHeight="1">
      <c r="A9551" s="30" t="inlineStr">
        <is>
          <t>POR</t>
        </is>
      </c>
      <c r="B9551" s="30" t="inlineStr">
        <is>
          <t>Porto Real</t>
        </is>
      </c>
      <c r="C9551" s="30" t="n">
        <v>11684335</v>
      </c>
      <c r="D9551" s="30">
        <f>"36536077000128"</f>
        <v/>
      </c>
      <c r="E9551" s="30" t="inlineStr">
        <is>
          <t>ASK DISTRIBUIDORA EIRELI</t>
        </is>
      </c>
      <c r="F9551" s="30" t="inlineStr">
        <is>
          <t>2023</t>
        </is>
      </c>
      <c r="G9551" s="40" t="n">
        <v>0</v>
      </c>
    </row>
    <row r="9552" ht="12" customHeight="1">
      <c r="A9552" s="30" t="inlineStr">
        <is>
          <t>POR</t>
        </is>
      </c>
      <c r="B9552" s="30" t="inlineStr">
        <is>
          <t>Porto Real</t>
        </is>
      </c>
      <c r="C9552" s="30" t="n">
        <v>11699375</v>
      </c>
      <c r="D9552" s="30">
        <f>"20121850002107"</f>
        <v/>
      </c>
      <c r="E9552" s="30" t="inlineStr">
        <is>
          <t>MERCADO ENVIOS SERVICOS DE LOGISTICA LTDA</t>
        </is>
      </c>
      <c r="F9552" s="30" t="inlineStr">
        <is>
          <t>2020</t>
        </is>
      </c>
      <c r="G9552" s="40" t="n">
        <v>0</v>
      </c>
    </row>
    <row r="9553" ht="12" customHeight="1">
      <c r="A9553" s="30" t="inlineStr">
        <is>
          <t>POR</t>
        </is>
      </c>
      <c r="B9553" s="30" t="inlineStr">
        <is>
          <t>Porto Real</t>
        </is>
      </c>
      <c r="C9553" s="30" t="n">
        <v>11699375</v>
      </c>
      <c r="D9553" s="30">
        <f>"20121850002107"</f>
        <v/>
      </c>
      <c r="E9553" s="30" t="inlineStr">
        <is>
          <t>MERCADO ENVIOS SERVICOS DE LOGISTICA LTDA</t>
        </is>
      </c>
      <c r="F9553" s="30" t="inlineStr">
        <is>
          <t>2021</t>
        </is>
      </c>
      <c r="G9553" s="40" t="n">
        <v>0</v>
      </c>
    </row>
    <row r="9554" ht="12" customHeight="1">
      <c r="A9554" s="30" t="inlineStr">
        <is>
          <t>POR</t>
        </is>
      </c>
      <c r="B9554" s="30" t="inlineStr">
        <is>
          <t>Porto Real</t>
        </is>
      </c>
      <c r="C9554" s="30" t="n">
        <v>11699375</v>
      </c>
      <c r="D9554" s="30">
        <f>"20121850002107"</f>
        <v/>
      </c>
      <c r="E9554" s="30" t="inlineStr">
        <is>
          <t>MERCADO ENVIOS SERVICOS DE LOGISTICA LTDA</t>
        </is>
      </c>
      <c r="F9554" s="30" t="inlineStr">
        <is>
          <t>2022</t>
        </is>
      </c>
      <c r="G9554" s="40" t="n">
        <v>14055.92</v>
      </c>
    </row>
    <row r="9555" ht="12" customHeight="1">
      <c r="A9555" s="30" t="inlineStr">
        <is>
          <t>POR</t>
        </is>
      </c>
      <c r="B9555" s="30" t="inlineStr">
        <is>
          <t>Porto Real</t>
        </is>
      </c>
      <c r="C9555" s="30" t="n">
        <v>11699375</v>
      </c>
      <c r="D9555" s="30">
        <f>"20121850002107"</f>
        <v/>
      </c>
      <c r="E9555" s="30" t="inlineStr">
        <is>
          <t>MERCADO ENVIOS SERVICOS DE LOGISTICA LTDA</t>
        </is>
      </c>
      <c r="F9555" s="30" t="inlineStr">
        <is>
          <t>2023</t>
        </is>
      </c>
      <c r="G9555" s="40" t="n">
        <v>0</v>
      </c>
    </row>
    <row r="9556" ht="12" customHeight="1">
      <c r="A9556" s="30" t="inlineStr">
        <is>
          <t>POR</t>
        </is>
      </c>
      <c r="B9556" s="30" t="inlineStr">
        <is>
          <t>Porto Real</t>
        </is>
      </c>
      <c r="C9556" s="30" t="n">
        <v>11702384</v>
      </c>
      <c r="D9556" s="30">
        <f>"24394151000210"</f>
        <v/>
      </c>
      <c r="E9556" s="30" t="inlineStr">
        <is>
          <t>HOSANNA PROVEDOR DE SERVICOS DE INTERNET LTDA</t>
        </is>
      </c>
      <c r="F9556" s="30" t="inlineStr">
        <is>
          <t>2020</t>
        </is>
      </c>
      <c r="G9556" s="40" t="n">
        <v>0</v>
      </c>
    </row>
    <row r="9557" ht="12" customHeight="1">
      <c r="A9557" s="30" t="inlineStr">
        <is>
          <t>POR</t>
        </is>
      </c>
      <c r="B9557" s="30" t="inlineStr">
        <is>
          <t>Porto Real</t>
        </is>
      </c>
      <c r="C9557" s="30" t="n">
        <v>11702384</v>
      </c>
      <c r="D9557" s="30">
        <f>"24394151000210"</f>
        <v/>
      </c>
      <c r="E9557" s="30" t="inlineStr">
        <is>
          <t>HOSANNA PROVEDOR DE SERVICOS DE INTERNET LTDA</t>
        </is>
      </c>
      <c r="F9557" s="30" t="inlineStr">
        <is>
          <t>2021</t>
        </is>
      </c>
      <c r="G9557" s="40" t="n">
        <v>0</v>
      </c>
    </row>
    <row r="9558" ht="12" customHeight="1">
      <c r="A9558" s="30" t="inlineStr">
        <is>
          <t>POR</t>
        </is>
      </c>
      <c r="B9558" s="30" t="inlineStr">
        <is>
          <t>Porto Real</t>
        </is>
      </c>
      <c r="C9558" s="30" t="n">
        <v>11702384</v>
      </c>
      <c r="D9558" s="30">
        <f>"24394151000210"</f>
        <v/>
      </c>
      <c r="E9558" s="30" t="inlineStr">
        <is>
          <t>HOSANNA PROVEDOR DE SERVICOS DE INTERNET LTDA</t>
        </is>
      </c>
      <c r="F9558" s="30" t="inlineStr">
        <is>
          <t>2022</t>
        </is>
      </c>
      <c r="G9558" s="40" t="n">
        <v>0</v>
      </c>
    </row>
    <row r="9559" ht="12" customHeight="1">
      <c r="A9559" s="30" t="inlineStr">
        <is>
          <t>POR</t>
        </is>
      </c>
      <c r="B9559" s="30" t="inlineStr">
        <is>
          <t>Porto Real</t>
        </is>
      </c>
      <c r="C9559" s="30" t="n">
        <v>11702384</v>
      </c>
      <c r="D9559" s="30">
        <f>"24394151000210"</f>
        <v/>
      </c>
      <c r="E9559" s="30" t="inlineStr">
        <is>
          <t>HOSANNA PROVEDOR DE SERVICOS DE INTERNET LTDA</t>
        </is>
      </c>
      <c r="F9559" s="30" t="inlineStr">
        <is>
          <t>2023</t>
        </is>
      </c>
      <c r="G9559" s="40" t="n">
        <v>0</v>
      </c>
    </row>
    <row r="9560" ht="12" customHeight="1">
      <c r="A9560" s="30" t="inlineStr">
        <is>
          <t>POR</t>
        </is>
      </c>
      <c r="B9560" s="30" t="inlineStr">
        <is>
          <t>Porto Real</t>
        </is>
      </c>
      <c r="C9560" s="30" t="n">
        <v>11712908</v>
      </c>
      <c r="D9560" s="30">
        <f>"36012579000150"</f>
        <v/>
      </c>
      <c r="E9560" s="30" t="inlineStr">
        <is>
          <t>COZANI RJ INFRAESTRUTURA E REDES DE TELECOMUNICA??ES S.A</t>
        </is>
      </c>
      <c r="F9560" s="30" t="inlineStr">
        <is>
          <t>2020</t>
        </is>
      </c>
      <c r="G9560" s="40" t="n">
        <v>0</v>
      </c>
    </row>
    <row r="9561" ht="12" customHeight="1">
      <c r="A9561" s="30" t="inlineStr">
        <is>
          <t>POR</t>
        </is>
      </c>
      <c r="B9561" s="30" t="inlineStr">
        <is>
          <t>Porto Real</t>
        </is>
      </c>
      <c r="C9561" s="30" t="n">
        <v>11712908</v>
      </c>
      <c r="D9561" s="30">
        <f>"36012579000150"</f>
        <v/>
      </c>
      <c r="E9561" s="30" t="inlineStr">
        <is>
          <t>COZANI RJ INFRAESTRUTURA E REDES DE TELECOMUNICA??ES S.A</t>
        </is>
      </c>
      <c r="F9561" s="30" t="inlineStr">
        <is>
          <t>2021</t>
        </is>
      </c>
      <c r="G9561" s="40" t="n">
        <v>0</v>
      </c>
    </row>
    <row r="9562" ht="12" customHeight="1">
      <c r="A9562" s="30" t="inlineStr">
        <is>
          <t>POR</t>
        </is>
      </c>
      <c r="B9562" s="30" t="inlineStr">
        <is>
          <t>Porto Real</t>
        </is>
      </c>
      <c r="C9562" s="30" t="n">
        <v>11712908</v>
      </c>
      <c r="D9562" s="30">
        <f>"36012579000150"</f>
        <v/>
      </c>
      <c r="E9562" s="30" t="inlineStr">
        <is>
          <t>COZANI RJ INFRAESTRUTURA E REDES DE TELECOMUNICA??ES S.A</t>
        </is>
      </c>
      <c r="F9562" s="30" t="inlineStr">
        <is>
          <t>2022</t>
        </is>
      </c>
      <c r="G9562" s="40" t="n">
        <v>62952.36</v>
      </c>
    </row>
    <row r="9563" ht="12" customHeight="1">
      <c r="A9563" s="30" t="inlineStr">
        <is>
          <t>POR</t>
        </is>
      </c>
      <c r="B9563" s="30" t="inlineStr">
        <is>
          <t>Porto Real</t>
        </is>
      </c>
      <c r="C9563" s="30" t="n">
        <v>11712908</v>
      </c>
      <c r="D9563" s="30">
        <f>"36012579000150"</f>
        <v/>
      </c>
      <c r="E9563" s="30" t="inlineStr">
        <is>
          <t>COZANI RJ INFRAESTRUTURA E REDES DE TELECOMUNICA??ES S.A</t>
        </is>
      </c>
      <c r="F9563" s="30" t="inlineStr">
        <is>
          <t>2023</t>
        </is>
      </c>
      <c r="G9563" s="40" t="n">
        <v>0</v>
      </c>
    </row>
    <row r="9564" ht="12" customHeight="1">
      <c r="A9564" s="30" t="inlineStr">
        <is>
          <t>POR</t>
        </is>
      </c>
      <c r="B9564" s="30" t="inlineStr">
        <is>
          <t>Porto Real</t>
        </is>
      </c>
      <c r="C9564" s="30" t="n">
        <v>11738494</v>
      </c>
      <c r="D9564" s="30">
        <f>"17215039002334"</f>
        <v/>
      </c>
      <c r="E9564" s="30" t="inlineStr">
        <is>
          <t>TRANSPORTES PESADOS MINAS S A</t>
        </is>
      </c>
      <c r="F9564" s="30" t="inlineStr">
        <is>
          <t>2019</t>
        </is>
      </c>
      <c r="G9564" s="40" t="n">
        <v>0</v>
      </c>
    </row>
    <row r="9565" ht="12" customHeight="1">
      <c r="A9565" s="30" t="inlineStr">
        <is>
          <t>POR</t>
        </is>
      </c>
      <c r="B9565" s="30" t="inlineStr">
        <is>
          <t>Porto Real</t>
        </is>
      </c>
      <c r="C9565" s="30" t="n">
        <v>11738494</v>
      </c>
      <c r="D9565" s="30">
        <f>"17215039002334"</f>
        <v/>
      </c>
      <c r="E9565" s="30" t="inlineStr">
        <is>
          <t>TRANSPORTES PESADOS MINAS S A</t>
        </is>
      </c>
      <c r="F9565" s="30" t="inlineStr">
        <is>
          <t>2020</t>
        </is>
      </c>
      <c r="G9565" s="40" t="n">
        <v>0</v>
      </c>
    </row>
    <row r="9566" ht="12" customHeight="1">
      <c r="A9566" s="30" t="inlineStr">
        <is>
          <t>POR</t>
        </is>
      </c>
      <c r="B9566" s="30" t="inlineStr">
        <is>
          <t>Porto Real</t>
        </is>
      </c>
      <c r="C9566" s="30" t="n">
        <v>11738494</v>
      </c>
      <c r="D9566" s="30">
        <f>"17215039002334"</f>
        <v/>
      </c>
      <c r="E9566" s="30" t="inlineStr">
        <is>
          <t>TRANSPORTES PESADOS MINAS S A</t>
        </is>
      </c>
      <c r="F9566" s="30" t="inlineStr">
        <is>
          <t>2021</t>
        </is>
      </c>
      <c r="G9566" s="40" t="n">
        <v>1545.45</v>
      </c>
    </row>
    <row r="9567" ht="12" customHeight="1">
      <c r="A9567" s="30" t="inlineStr">
        <is>
          <t>POR</t>
        </is>
      </c>
      <c r="B9567" s="30" t="inlineStr">
        <is>
          <t>Porto Real</t>
        </is>
      </c>
      <c r="C9567" s="30" t="n">
        <v>11738494</v>
      </c>
      <c r="D9567" s="30">
        <f>"17215039002334"</f>
        <v/>
      </c>
      <c r="E9567" s="30" t="inlineStr">
        <is>
          <t>TRANSPORTES PESADOS MINAS S A</t>
        </is>
      </c>
      <c r="F9567" s="30" t="inlineStr">
        <is>
          <t>2022</t>
        </is>
      </c>
      <c r="G9567" s="40" t="n">
        <v>0</v>
      </c>
    </row>
    <row r="9568" ht="12" customHeight="1">
      <c r="A9568" s="30" t="inlineStr">
        <is>
          <t>POR</t>
        </is>
      </c>
      <c r="B9568" s="30" t="inlineStr">
        <is>
          <t>Porto Real</t>
        </is>
      </c>
      <c r="C9568" s="30" t="n">
        <v>11738494</v>
      </c>
      <c r="D9568" s="30">
        <f>"17215039002334"</f>
        <v/>
      </c>
      <c r="E9568" s="30" t="inlineStr">
        <is>
          <t>TRANSPORTES PESADOS MINAS S A</t>
        </is>
      </c>
      <c r="F9568" s="30" t="inlineStr">
        <is>
          <t>2023</t>
        </is>
      </c>
      <c r="G9568" s="40" t="n">
        <v>66030.5</v>
      </c>
    </row>
    <row r="9569" ht="12" customHeight="1">
      <c r="A9569" s="30" t="inlineStr">
        <is>
          <t>POR</t>
        </is>
      </c>
      <c r="B9569" s="30" t="inlineStr">
        <is>
          <t>Porto Real</t>
        </is>
      </c>
      <c r="C9569" s="30" t="n">
        <v>11741665</v>
      </c>
      <c r="D9569" s="30">
        <f>"17888419000124"</f>
        <v/>
      </c>
      <c r="E9569" s="30" t="inlineStr">
        <is>
          <t>ZAMIX MULTIPLAY TELECOMUNICACOES LTDA</t>
        </is>
      </c>
      <c r="F9569" s="30" t="inlineStr">
        <is>
          <t>2018</t>
        </is>
      </c>
      <c r="G9569" s="40" t="n">
        <v>0</v>
      </c>
    </row>
    <row r="9570" ht="12" customHeight="1">
      <c r="A9570" s="30" t="inlineStr">
        <is>
          <t>POR</t>
        </is>
      </c>
      <c r="B9570" s="30" t="inlineStr">
        <is>
          <t>Porto Real</t>
        </is>
      </c>
      <c r="C9570" s="30" t="n">
        <v>11741665</v>
      </c>
      <c r="D9570" s="30">
        <f>"17888419000124"</f>
        <v/>
      </c>
      <c r="E9570" s="30" t="inlineStr">
        <is>
          <t>ZAMIX MULTIPLAY TELECOMUNICACOES LTDA</t>
        </is>
      </c>
      <c r="F9570" s="30" t="inlineStr">
        <is>
          <t>2019</t>
        </is>
      </c>
      <c r="G9570" s="40" t="n">
        <v>0</v>
      </c>
    </row>
    <row r="9571" ht="12" customHeight="1">
      <c r="A9571" s="30" t="inlineStr">
        <is>
          <t>POR</t>
        </is>
      </c>
      <c r="B9571" s="30" t="inlineStr">
        <is>
          <t>Porto Real</t>
        </is>
      </c>
      <c r="C9571" s="30" t="n">
        <v>11741665</v>
      </c>
      <c r="D9571" s="30">
        <f>"17888419000124"</f>
        <v/>
      </c>
      <c r="E9571" s="30" t="inlineStr">
        <is>
          <t>ZAMIX MULTIPLAY TELECOMUNICACOES LTDA</t>
        </is>
      </c>
      <c r="F9571" s="30" t="inlineStr">
        <is>
          <t>2020</t>
        </is>
      </c>
      <c r="G9571" s="40" t="n">
        <v>2517.04</v>
      </c>
    </row>
    <row r="9572" ht="12" customHeight="1">
      <c r="A9572" s="30" t="inlineStr">
        <is>
          <t>POR</t>
        </is>
      </c>
      <c r="B9572" s="30" t="inlineStr">
        <is>
          <t>Porto Real</t>
        </is>
      </c>
      <c r="C9572" s="30" t="n">
        <v>11741665</v>
      </c>
      <c r="D9572" s="30">
        <f>"17888419000124"</f>
        <v/>
      </c>
      <c r="E9572" s="30" t="inlineStr">
        <is>
          <t>ZAMIX MULTIPLAY TELECOMUNICACOES LTDA</t>
        </is>
      </c>
      <c r="F9572" s="30" t="inlineStr">
        <is>
          <t>2021</t>
        </is>
      </c>
      <c r="G9572" s="40" t="n">
        <v>1107.65</v>
      </c>
    </row>
    <row r="9573" ht="12" customHeight="1">
      <c r="A9573" s="30" t="inlineStr">
        <is>
          <t>POR</t>
        </is>
      </c>
      <c r="B9573" s="30" t="inlineStr">
        <is>
          <t>Porto Real</t>
        </is>
      </c>
      <c r="C9573" s="30" t="n">
        <v>11741665</v>
      </c>
      <c r="D9573" s="30">
        <f>"17888419000124"</f>
        <v/>
      </c>
      <c r="E9573" s="30" t="inlineStr">
        <is>
          <t>ZAMIX MULTIPLAY TELECOMUNICACOES LTDA</t>
        </is>
      </c>
      <c r="F9573" s="30" t="inlineStr">
        <is>
          <t>2022</t>
        </is>
      </c>
      <c r="G9573" s="40" t="n">
        <v>0</v>
      </c>
    </row>
    <row r="9574" ht="12" customHeight="1">
      <c r="A9574" s="30" t="inlineStr">
        <is>
          <t>POR</t>
        </is>
      </c>
      <c r="B9574" s="30" t="inlineStr">
        <is>
          <t>Porto Real</t>
        </is>
      </c>
      <c r="C9574" s="30" t="n">
        <v>11741665</v>
      </c>
      <c r="D9574" s="30">
        <f>"17888419000124"</f>
        <v/>
      </c>
      <c r="E9574" s="30" t="inlineStr">
        <is>
          <t>ZAMIX MULTIPLAY TELECOMUNICACOES LTDA</t>
        </is>
      </c>
      <c r="F9574" s="30" t="inlineStr">
        <is>
          <t>2023</t>
        </is>
      </c>
      <c r="G9574" s="40" t="n">
        <v>0</v>
      </c>
    </row>
    <row r="9575" ht="12" customHeight="1">
      <c r="A9575" s="30" t="inlineStr">
        <is>
          <t>POR</t>
        </is>
      </c>
      <c r="B9575" s="30" t="inlineStr">
        <is>
          <t>Porto Real</t>
        </is>
      </c>
      <c r="C9575" s="30" t="n">
        <v>11781160</v>
      </c>
      <c r="D9575" s="30">
        <f>"23820639000704"</f>
        <v/>
      </c>
      <c r="E9575" s="30" t="inlineStr">
        <is>
          <t>GFL LOGISTICA LTDA</t>
        </is>
      </c>
      <c r="F9575" s="30" t="inlineStr">
        <is>
          <t>2021</t>
        </is>
      </c>
      <c r="G9575" s="40" t="n">
        <v>0</v>
      </c>
    </row>
    <row r="9576" ht="12" customHeight="1">
      <c r="A9576" s="30" t="inlineStr">
        <is>
          <t>POR</t>
        </is>
      </c>
      <c r="B9576" s="30" t="inlineStr">
        <is>
          <t>Porto Real</t>
        </is>
      </c>
      <c r="C9576" s="30" t="n">
        <v>11781160</v>
      </c>
      <c r="D9576" s="30">
        <f>"23820639000704"</f>
        <v/>
      </c>
      <c r="E9576" s="30" t="inlineStr">
        <is>
          <t>GFL LOGISTICA LTDA</t>
        </is>
      </c>
      <c r="F9576" s="30" t="inlineStr">
        <is>
          <t>2022</t>
        </is>
      </c>
      <c r="G9576" s="40" t="n">
        <v>0</v>
      </c>
    </row>
    <row r="9577" ht="12" customHeight="1">
      <c r="A9577" s="30" t="inlineStr">
        <is>
          <t>POR</t>
        </is>
      </c>
      <c r="B9577" s="30" t="inlineStr">
        <is>
          <t>Porto Real</t>
        </is>
      </c>
      <c r="C9577" s="30" t="n">
        <v>11781160</v>
      </c>
      <c r="D9577" s="30">
        <f>"23820639000704"</f>
        <v/>
      </c>
      <c r="E9577" s="30" t="inlineStr">
        <is>
          <t>GFL LOGISTICA LTDA</t>
        </is>
      </c>
      <c r="F9577" s="30" t="inlineStr">
        <is>
          <t>2023</t>
        </is>
      </c>
      <c r="G9577" s="40" t="n">
        <v>3723.88</v>
      </c>
    </row>
    <row r="9578" ht="12" customHeight="1">
      <c r="A9578" s="30" t="inlineStr">
        <is>
          <t>POR</t>
        </is>
      </c>
      <c r="B9578" s="30" t="inlineStr">
        <is>
          <t>Porto Real</t>
        </is>
      </c>
      <c r="C9578" s="30" t="n">
        <v>11804284</v>
      </c>
      <c r="D9578" s="30">
        <f>"75958926001084"</f>
        <v/>
      </c>
      <c r="E9578" s="30" t="inlineStr">
        <is>
          <t>GHELERE TRANSPORTES LTDA</t>
        </is>
      </c>
      <c r="F9578" s="30" t="inlineStr">
        <is>
          <t>2019</t>
        </is>
      </c>
      <c r="G9578" s="40" t="n">
        <v>0</v>
      </c>
    </row>
    <row r="9579" ht="12" customHeight="1">
      <c r="A9579" s="30" t="inlineStr">
        <is>
          <t>POR</t>
        </is>
      </c>
      <c r="B9579" s="30" t="inlineStr">
        <is>
          <t>Porto Real</t>
        </is>
      </c>
      <c r="C9579" s="30" t="n">
        <v>11804284</v>
      </c>
      <c r="D9579" s="30">
        <f>"75958926001084"</f>
        <v/>
      </c>
      <c r="E9579" s="30" t="inlineStr">
        <is>
          <t>GHELERE TRANSPORTES LTDA</t>
        </is>
      </c>
      <c r="F9579" s="30" t="inlineStr">
        <is>
          <t>2020</t>
        </is>
      </c>
      <c r="G9579" s="40" t="n">
        <v>0</v>
      </c>
    </row>
    <row r="9580" ht="12" customHeight="1">
      <c r="A9580" s="30" t="inlineStr">
        <is>
          <t>POR</t>
        </is>
      </c>
      <c r="B9580" s="30" t="inlineStr">
        <is>
          <t>Porto Real</t>
        </is>
      </c>
      <c r="C9580" s="30" t="n">
        <v>11804284</v>
      </c>
      <c r="D9580" s="30">
        <f>"75958926001084"</f>
        <v/>
      </c>
      <c r="E9580" s="30" t="inlineStr">
        <is>
          <t>GHELERE TRANSPORTES LTDA</t>
        </is>
      </c>
      <c r="F9580" s="30" t="inlineStr">
        <is>
          <t>2021</t>
        </is>
      </c>
      <c r="G9580" s="40" t="n">
        <v>20669.99</v>
      </c>
    </row>
    <row r="9581" ht="12" customHeight="1">
      <c r="A9581" s="30" t="inlineStr">
        <is>
          <t>POR</t>
        </is>
      </c>
      <c r="B9581" s="30" t="inlineStr">
        <is>
          <t>Porto Real</t>
        </is>
      </c>
      <c r="C9581" s="30" t="n">
        <v>11804284</v>
      </c>
      <c r="D9581" s="30">
        <f>"75958926001084"</f>
        <v/>
      </c>
      <c r="E9581" s="30" t="inlineStr">
        <is>
          <t>GHELERE TRANSPORTES LTDA</t>
        </is>
      </c>
      <c r="F9581" s="30" t="inlineStr">
        <is>
          <t>2022</t>
        </is>
      </c>
      <c r="G9581" s="40" t="n">
        <v>28150.92</v>
      </c>
    </row>
    <row r="9582" ht="12" customHeight="1">
      <c r="A9582" s="30" t="inlineStr">
        <is>
          <t>POR</t>
        </is>
      </c>
      <c r="B9582" s="30" t="inlineStr">
        <is>
          <t>Porto Real</t>
        </is>
      </c>
      <c r="C9582" s="30" t="n">
        <v>11804284</v>
      </c>
      <c r="D9582" s="30">
        <f>"75958926001084"</f>
        <v/>
      </c>
      <c r="E9582" s="30" t="inlineStr">
        <is>
          <t>GHELERE TRANSPORTES LTDA</t>
        </is>
      </c>
      <c r="F9582" s="30" t="inlineStr">
        <is>
          <t>2023</t>
        </is>
      </c>
      <c r="G9582" s="40" t="n">
        <v>10171.84</v>
      </c>
    </row>
    <row r="9583" ht="12" customHeight="1">
      <c r="A9583" s="30" t="inlineStr">
        <is>
          <t>POR</t>
        </is>
      </c>
      <c r="B9583" s="30" t="inlineStr">
        <is>
          <t>Porto Real</t>
        </is>
      </c>
      <c r="C9583" s="30" t="n">
        <v>11810381</v>
      </c>
      <c r="D9583" s="30">
        <f>"05206385004400"</f>
        <v/>
      </c>
      <c r="E9583" s="30" t="inlineStr">
        <is>
          <t>HUGHES TELECOMUNICACOES DO BRASIL LTDA</t>
        </is>
      </c>
      <c r="F9583" s="30" t="inlineStr">
        <is>
          <t>2018</t>
        </is>
      </c>
      <c r="G9583" s="40" t="n">
        <v>0</v>
      </c>
    </row>
    <row r="9584" ht="12" customHeight="1">
      <c r="A9584" s="30" t="inlineStr">
        <is>
          <t>POR</t>
        </is>
      </c>
      <c r="B9584" s="30" t="inlineStr">
        <is>
          <t>Porto Real</t>
        </is>
      </c>
      <c r="C9584" s="30" t="n">
        <v>11810381</v>
      </c>
      <c r="D9584" s="30">
        <f>"05206385004400"</f>
        <v/>
      </c>
      <c r="E9584" s="30" t="inlineStr">
        <is>
          <t>HUGHES TELECOMUNICACOES DO BRASIL LTDA</t>
        </is>
      </c>
      <c r="F9584" s="30" t="inlineStr">
        <is>
          <t>2019</t>
        </is>
      </c>
      <c r="G9584" s="40" t="n">
        <v>0</v>
      </c>
    </row>
    <row r="9585" ht="12" customHeight="1">
      <c r="A9585" s="30" t="inlineStr">
        <is>
          <t>POR</t>
        </is>
      </c>
      <c r="B9585" s="30" t="inlineStr">
        <is>
          <t>Porto Real</t>
        </is>
      </c>
      <c r="C9585" s="30" t="n">
        <v>11810381</v>
      </c>
      <c r="D9585" s="30">
        <f>"05206385004400"</f>
        <v/>
      </c>
      <c r="E9585" s="30" t="inlineStr">
        <is>
          <t>HUGHES TELECOMUNICACOES DO BRASIL LTDA</t>
        </is>
      </c>
      <c r="F9585" s="30" t="inlineStr">
        <is>
          <t>2020</t>
        </is>
      </c>
      <c r="G9585" s="40" t="n">
        <v>2516.84</v>
      </c>
    </row>
    <row r="9586" ht="12" customHeight="1">
      <c r="A9586" s="30" t="inlineStr">
        <is>
          <t>POR</t>
        </is>
      </c>
      <c r="B9586" s="30" t="inlineStr">
        <is>
          <t>Porto Real</t>
        </is>
      </c>
      <c r="C9586" s="30" t="n">
        <v>11810381</v>
      </c>
      <c r="D9586" s="30">
        <f>"05206385004400"</f>
        <v/>
      </c>
      <c r="E9586" s="30" t="inlineStr">
        <is>
          <t>HUGHES TELECOMUNICACOES DO BRASIL LTDA</t>
        </is>
      </c>
      <c r="F9586" s="30" t="inlineStr">
        <is>
          <t>2021</t>
        </is>
      </c>
      <c r="G9586" s="40" t="n">
        <v>22817.79</v>
      </c>
    </row>
    <row r="9587" ht="12" customHeight="1">
      <c r="A9587" s="30" t="inlineStr">
        <is>
          <t>POR</t>
        </is>
      </c>
      <c r="B9587" s="30" t="inlineStr">
        <is>
          <t>Porto Real</t>
        </is>
      </c>
      <c r="C9587" s="30" t="n">
        <v>11810381</v>
      </c>
      <c r="D9587" s="30">
        <f>"05206385004400"</f>
        <v/>
      </c>
      <c r="E9587" s="30" t="inlineStr">
        <is>
          <t>HUGHES TELECOMUNICACOES DO BRASIL LTDA</t>
        </is>
      </c>
      <c r="F9587" s="30" t="inlineStr">
        <is>
          <t>2022</t>
        </is>
      </c>
      <c r="G9587" s="40" t="n">
        <v>22927.94</v>
      </c>
    </row>
    <row r="9588" ht="12" customHeight="1">
      <c r="A9588" s="30" t="inlineStr">
        <is>
          <t>POR</t>
        </is>
      </c>
      <c r="B9588" s="30" t="inlineStr">
        <is>
          <t>Porto Real</t>
        </is>
      </c>
      <c r="C9588" s="30" t="n">
        <v>11810381</v>
      </c>
      <c r="D9588" s="30">
        <f>"05206385004400"</f>
        <v/>
      </c>
      <c r="E9588" s="30" t="inlineStr">
        <is>
          <t>HUGHES TELECOMUNICACOES DO BRASIL LTDA</t>
        </is>
      </c>
      <c r="F9588" s="30" t="inlineStr">
        <is>
          <t>2023</t>
        </is>
      </c>
      <c r="G9588" s="40" t="n">
        <v>17452.87</v>
      </c>
    </row>
    <row r="9589" ht="12" customHeight="1">
      <c r="A9589" s="30" t="inlineStr">
        <is>
          <t>POR</t>
        </is>
      </c>
      <c r="B9589" s="30" t="inlineStr">
        <is>
          <t>Porto Real</t>
        </is>
      </c>
      <c r="C9589" s="30" t="n">
        <v>11823033</v>
      </c>
      <c r="D9589" s="30">
        <f>"37185266000166"</f>
        <v/>
      </c>
      <c r="E9589" s="30" t="inlineStr">
        <is>
          <t>JONAVA RJ INFRAESTRUTURA E REDES DE TELECOMUNICACOES S.A.</t>
        </is>
      </c>
      <c r="F9589" s="30" t="inlineStr">
        <is>
          <t>2020</t>
        </is>
      </c>
      <c r="G9589" s="40" t="n">
        <v>0</v>
      </c>
    </row>
    <row r="9590" ht="12" customHeight="1">
      <c r="A9590" s="30" t="inlineStr">
        <is>
          <t>POR</t>
        </is>
      </c>
      <c r="B9590" s="30" t="inlineStr">
        <is>
          <t>Porto Real</t>
        </is>
      </c>
      <c r="C9590" s="30" t="n">
        <v>11823033</v>
      </c>
      <c r="D9590" s="30">
        <f>"37185266000166"</f>
        <v/>
      </c>
      <c r="E9590" s="30" t="inlineStr">
        <is>
          <t>JONAVA RJ INFRAESTRUTURA E REDES DE TELECOMUNICACOES S.A.</t>
        </is>
      </c>
      <c r="F9590" s="30" t="inlineStr">
        <is>
          <t>2021</t>
        </is>
      </c>
      <c r="G9590" s="40" t="n">
        <v>0</v>
      </c>
    </row>
    <row r="9591" ht="12" customHeight="1">
      <c r="A9591" s="30" t="inlineStr">
        <is>
          <t>POR</t>
        </is>
      </c>
      <c r="B9591" s="30" t="inlineStr">
        <is>
          <t>Porto Real</t>
        </is>
      </c>
      <c r="C9591" s="30" t="n">
        <v>11823033</v>
      </c>
      <c r="D9591" s="30">
        <f>"37185266000166"</f>
        <v/>
      </c>
      <c r="E9591" s="30" t="inlineStr">
        <is>
          <t>JONAVA RJ INFRAESTRUTURA E REDES DE TELECOMUNICACOES S.A.</t>
        </is>
      </c>
      <c r="F9591" s="30" t="inlineStr">
        <is>
          <t>2022</t>
        </is>
      </c>
      <c r="G9591" s="40" t="n">
        <v>112.24</v>
      </c>
    </row>
    <row r="9592" ht="12" customHeight="1">
      <c r="A9592" s="30" t="inlineStr">
        <is>
          <t>POR</t>
        </is>
      </c>
      <c r="B9592" s="30" t="inlineStr">
        <is>
          <t>Porto Real</t>
        </is>
      </c>
      <c r="C9592" s="30" t="n">
        <v>11823033</v>
      </c>
      <c r="D9592" s="30">
        <f>"37185266000166"</f>
        <v/>
      </c>
      <c r="E9592" s="30" t="inlineStr">
        <is>
          <t>JONAVA RJ INFRAESTRUTURA E REDES DE TELECOMUNICACOES S.A.</t>
        </is>
      </c>
      <c r="F9592" s="30" t="inlineStr">
        <is>
          <t>2023</t>
        </is>
      </c>
      <c r="G9592" s="40" t="n">
        <v>0</v>
      </c>
    </row>
    <row r="9593" ht="12" customHeight="1">
      <c r="A9593" s="30" t="inlineStr">
        <is>
          <t>POR</t>
        </is>
      </c>
      <c r="B9593" s="30" t="inlineStr">
        <is>
          <t>Porto Real</t>
        </is>
      </c>
      <c r="C9593" s="30" t="n">
        <v>11823050</v>
      </c>
      <c r="D9593" s="30">
        <f>"00005039053720"</f>
        <v/>
      </c>
      <c r="E9593" s="30" t="inlineStr">
        <is>
          <t>JOAO RUFINO</t>
        </is>
      </c>
      <c r="F9593" s="30" t="inlineStr">
        <is>
          <t>2018</t>
        </is>
      </c>
      <c r="G9593" s="40" t="n">
        <v>0</v>
      </c>
    </row>
    <row r="9594" ht="12" customHeight="1">
      <c r="A9594" s="30" t="inlineStr">
        <is>
          <t>POR</t>
        </is>
      </c>
      <c r="B9594" s="30" t="inlineStr">
        <is>
          <t>Porto Real</t>
        </is>
      </c>
      <c r="C9594" s="30" t="n">
        <v>11823050</v>
      </c>
      <c r="D9594" s="30">
        <f>"00005039053720"</f>
        <v/>
      </c>
      <c r="E9594" s="30" t="inlineStr">
        <is>
          <t>JOAO RUFINO</t>
        </is>
      </c>
      <c r="F9594" s="30" t="inlineStr">
        <is>
          <t>2019</t>
        </is>
      </c>
      <c r="G9594" s="40" t="n">
        <v>0</v>
      </c>
    </row>
    <row r="9595" ht="12" customHeight="1">
      <c r="A9595" s="30" t="inlineStr">
        <is>
          <t>POR</t>
        </is>
      </c>
      <c r="B9595" s="30" t="inlineStr">
        <is>
          <t>Porto Real</t>
        </is>
      </c>
      <c r="C9595" s="30" t="n">
        <v>11823050</v>
      </c>
      <c r="D9595" s="30">
        <f>"00005039053720"</f>
        <v/>
      </c>
      <c r="E9595" s="30" t="inlineStr">
        <is>
          <t>JOAO RUFINO</t>
        </is>
      </c>
      <c r="F9595" s="30" t="inlineStr">
        <is>
          <t>2020</t>
        </is>
      </c>
      <c r="G9595" s="40" t="n">
        <v>700</v>
      </c>
    </row>
    <row r="9596" ht="12" customHeight="1">
      <c r="A9596" s="30" t="inlineStr">
        <is>
          <t>POR</t>
        </is>
      </c>
      <c r="B9596" s="30" t="inlineStr">
        <is>
          <t>Porto Real</t>
        </is>
      </c>
      <c r="C9596" s="30" t="n">
        <v>11823050</v>
      </c>
      <c r="D9596" s="30">
        <f>"00005039053720"</f>
        <v/>
      </c>
      <c r="E9596" s="30" t="inlineStr">
        <is>
          <t>JOAO RUFINO</t>
        </is>
      </c>
      <c r="F9596" s="30" t="inlineStr">
        <is>
          <t>2021</t>
        </is>
      </c>
      <c r="G9596" s="40" t="n">
        <v>2353</v>
      </c>
    </row>
    <row r="9597" ht="12" customHeight="1">
      <c r="A9597" s="30" t="inlineStr">
        <is>
          <t>POR</t>
        </is>
      </c>
      <c r="B9597" s="30" t="inlineStr">
        <is>
          <t>Porto Real</t>
        </is>
      </c>
      <c r="C9597" s="30" t="n">
        <v>11823050</v>
      </c>
      <c r="D9597" s="30">
        <f>"00005039053720"</f>
        <v/>
      </c>
      <c r="E9597" s="30" t="inlineStr">
        <is>
          <t>JOAO RUFINO</t>
        </is>
      </c>
      <c r="F9597" s="30" t="inlineStr">
        <is>
          <t>2022</t>
        </is>
      </c>
      <c r="G9597" s="40" t="n">
        <v>2224</v>
      </c>
    </row>
    <row r="9598" ht="12" customHeight="1">
      <c r="A9598" s="30" t="inlineStr">
        <is>
          <t>POR</t>
        </is>
      </c>
      <c r="B9598" s="30" t="inlineStr">
        <is>
          <t>Porto Real</t>
        </is>
      </c>
      <c r="C9598" s="30" t="n">
        <v>11823050</v>
      </c>
      <c r="D9598" s="30">
        <f>"00005039053720"</f>
        <v/>
      </c>
      <c r="E9598" s="30" t="inlineStr">
        <is>
          <t>JOAO RUFINO</t>
        </is>
      </c>
      <c r="F9598" s="30" t="inlineStr">
        <is>
          <t>2023</t>
        </is>
      </c>
      <c r="G9598" s="40" t="n">
        <v>2186</v>
      </c>
    </row>
    <row r="9599" ht="12" customHeight="1">
      <c r="A9599" s="30" t="inlineStr">
        <is>
          <t>POR</t>
        </is>
      </c>
      <c r="B9599" s="30" t="inlineStr">
        <is>
          <t>Porto Real</t>
        </is>
      </c>
      <c r="C9599" s="30" t="n">
        <v>11840892</v>
      </c>
      <c r="D9599" s="30">
        <f>"76667682001558"</f>
        <v/>
      </c>
      <c r="E9599" s="30" t="inlineStr">
        <is>
          <t>BUDEL TRANSPORTES LTDA</t>
        </is>
      </c>
      <c r="F9599" s="30" t="inlineStr">
        <is>
          <t>2020</t>
        </is>
      </c>
      <c r="G9599" s="40" t="n">
        <v>0</v>
      </c>
    </row>
    <row r="9600" ht="12" customHeight="1">
      <c r="A9600" s="30" t="inlineStr">
        <is>
          <t>POR</t>
        </is>
      </c>
      <c r="B9600" s="30" t="inlineStr">
        <is>
          <t>Porto Real</t>
        </is>
      </c>
      <c r="C9600" s="30" t="n">
        <v>11840892</v>
      </c>
      <c r="D9600" s="30">
        <f>"76667682001558"</f>
        <v/>
      </c>
      <c r="E9600" s="30" t="inlineStr">
        <is>
          <t>BUDEL TRANSPORTES LTDA</t>
        </is>
      </c>
      <c r="F9600" s="30" t="inlineStr">
        <is>
          <t>2021</t>
        </is>
      </c>
      <c r="G9600" s="40" t="n">
        <v>0</v>
      </c>
    </row>
    <row r="9601" ht="12" customHeight="1">
      <c r="A9601" s="30" t="inlineStr">
        <is>
          <t>POR</t>
        </is>
      </c>
      <c r="B9601" s="30" t="inlineStr">
        <is>
          <t>Porto Real</t>
        </is>
      </c>
      <c r="C9601" s="30" t="n">
        <v>11840892</v>
      </c>
      <c r="D9601" s="30">
        <f>"76667682001558"</f>
        <v/>
      </c>
      <c r="E9601" s="30" t="inlineStr">
        <is>
          <t>BUDEL TRANSPORTES LTDA</t>
        </is>
      </c>
      <c r="F9601" s="30" t="inlineStr">
        <is>
          <t>2022</t>
        </is>
      </c>
      <c r="G9601" s="40" t="n">
        <v>98133.83</v>
      </c>
    </row>
    <row r="9602" ht="12" customHeight="1">
      <c r="A9602" s="30" t="inlineStr">
        <is>
          <t>POR</t>
        </is>
      </c>
      <c r="B9602" s="30" t="inlineStr">
        <is>
          <t>Porto Real</t>
        </is>
      </c>
      <c r="C9602" s="30" t="n">
        <v>11840892</v>
      </c>
      <c r="D9602" s="30">
        <f>"76667682001558"</f>
        <v/>
      </c>
      <c r="E9602" s="30" t="inlineStr">
        <is>
          <t>BUDEL TRANSPORTES LTDA</t>
        </is>
      </c>
      <c r="F9602" s="30" t="inlineStr">
        <is>
          <t>2023</t>
        </is>
      </c>
      <c r="G9602" s="40" t="n">
        <v>0</v>
      </c>
    </row>
    <row r="9603" ht="12" customHeight="1">
      <c r="A9603" s="30" t="inlineStr">
        <is>
          <t>POR</t>
        </is>
      </c>
      <c r="B9603" s="30" t="inlineStr">
        <is>
          <t>Porto Real</t>
        </is>
      </c>
      <c r="C9603" s="30" t="n">
        <v>11842542</v>
      </c>
      <c r="D9603" s="30">
        <f>"12680452000736"</f>
        <v/>
      </c>
      <c r="E9603" s="30" t="inlineStr">
        <is>
          <t>PLATINUM LOG ARMAZENS GERAIS LTDA</t>
        </is>
      </c>
      <c r="F9603" s="30" t="inlineStr">
        <is>
          <t>2020</t>
        </is>
      </c>
      <c r="G9603" s="40" t="n">
        <v>0</v>
      </c>
    </row>
    <row r="9604" ht="12" customHeight="1">
      <c r="A9604" s="30" t="inlineStr">
        <is>
          <t>POR</t>
        </is>
      </c>
      <c r="B9604" s="30" t="inlineStr">
        <is>
          <t>Porto Real</t>
        </is>
      </c>
      <c r="C9604" s="30" t="n">
        <v>11842542</v>
      </c>
      <c r="D9604" s="30">
        <f>"12680452000736"</f>
        <v/>
      </c>
      <c r="E9604" s="30" t="inlineStr">
        <is>
          <t>PLATINUM LOG ARMAZENS GERAIS LTDA</t>
        </is>
      </c>
      <c r="F9604" s="30" t="inlineStr">
        <is>
          <t>2021</t>
        </is>
      </c>
      <c r="G9604" s="40" t="n">
        <v>0</v>
      </c>
    </row>
    <row r="9605" ht="12" customHeight="1">
      <c r="A9605" s="30" t="inlineStr">
        <is>
          <t>POR</t>
        </is>
      </c>
      <c r="B9605" s="30" t="inlineStr">
        <is>
          <t>Porto Real</t>
        </is>
      </c>
      <c r="C9605" s="30" t="n">
        <v>11842542</v>
      </c>
      <c r="D9605" s="30">
        <f>"12680452000736"</f>
        <v/>
      </c>
      <c r="E9605" s="30" t="inlineStr">
        <is>
          <t>PLATINUM LOG ARMAZENS GERAIS LTDA</t>
        </is>
      </c>
      <c r="F9605" s="30" t="inlineStr">
        <is>
          <t>2022</t>
        </is>
      </c>
      <c r="G9605" s="40" t="n">
        <v>327.78</v>
      </c>
    </row>
    <row r="9606" ht="12" customHeight="1">
      <c r="A9606" s="30" t="inlineStr">
        <is>
          <t>POR</t>
        </is>
      </c>
      <c r="B9606" s="30" t="inlineStr">
        <is>
          <t>Porto Real</t>
        </is>
      </c>
      <c r="C9606" s="30" t="n">
        <v>11842542</v>
      </c>
      <c r="D9606" s="30">
        <f>"12680452000736"</f>
        <v/>
      </c>
      <c r="E9606" s="30" t="inlineStr">
        <is>
          <t>PLATINUM LOG ARMAZENS GERAIS LTDA</t>
        </is>
      </c>
      <c r="F9606" s="30" t="inlineStr">
        <is>
          <t>2023</t>
        </is>
      </c>
      <c r="G9606" s="40" t="n">
        <v>0</v>
      </c>
    </row>
    <row r="9607" ht="12" customHeight="1">
      <c r="A9607" s="30" t="inlineStr">
        <is>
          <t>POR</t>
        </is>
      </c>
      <c r="B9607" s="30" t="inlineStr">
        <is>
          <t>Porto Real</t>
        </is>
      </c>
      <c r="C9607" s="30" t="n">
        <v>11862489</v>
      </c>
      <c r="D9607" s="30">
        <f>"37421570000165"</f>
        <v/>
      </c>
      <c r="E9607" s="30" t="inlineStr">
        <is>
          <t>DMP COMERCIAL ALIMENTICIA LTDA</t>
        </is>
      </c>
      <c r="F9607" s="30" t="inlineStr">
        <is>
          <t>2019</t>
        </is>
      </c>
      <c r="G9607" s="40" t="n">
        <v>0</v>
      </c>
    </row>
    <row r="9608" ht="12" customHeight="1">
      <c r="A9608" s="30" t="inlineStr">
        <is>
          <t>POR</t>
        </is>
      </c>
      <c r="B9608" s="30" t="inlineStr">
        <is>
          <t>Porto Real</t>
        </is>
      </c>
      <c r="C9608" s="30" t="n">
        <v>11862489</v>
      </c>
      <c r="D9608" s="30">
        <f>"37421570000165"</f>
        <v/>
      </c>
      <c r="E9608" s="30" t="inlineStr">
        <is>
          <t>DMP COMERCIAL ALIMENTICIA LTDA</t>
        </is>
      </c>
      <c r="F9608" s="30" t="inlineStr">
        <is>
          <t>2020</t>
        </is>
      </c>
      <c r="G9608" s="40" t="n">
        <v>0</v>
      </c>
    </row>
    <row r="9609" ht="12" customHeight="1">
      <c r="A9609" s="30" t="inlineStr">
        <is>
          <t>POR</t>
        </is>
      </c>
      <c r="B9609" s="30" t="inlineStr">
        <is>
          <t>Porto Real</t>
        </is>
      </c>
      <c r="C9609" s="30" t="n">
        <v>11862489</v>
      </c>
      <c r="D9609" s="30">
        <f>"37421570000165"</f>
        <v/>
      </c>
      <c r="E9609" s="30" t="inlineStr">
        <is>
          <t>DMP COMERCIAL ALIMENTICIA LTDA</t>
        </is>
      </c>
      <c r="F9609" s="30" t="inlineStr">
        <is>
          <t>2021</t>
        </is>
      </c>
      <c r="G9609" s="40" t="n">
        <v>0</v>
      </c>
    </row>
    <row r="9610" ht="12" customHeight="1">
      <c r="A9610" s="30" t="inlineStr">
        <is>
          <t>POR</t>
        </is>
      </c>
      <c r="B9610" s="30" t="inlineStr">
        <is>
          <t>Porto Real</t>
        </is>
      </c>
      <c r="C9610" s="30" t="n">
        <v>11862489</v>
      </c>
      <c r="D9610" s="30">
        <f>"37421570000165"</f>
        <v/>
      </c>
      <c r="E9610" s="30" t="inlineStr">
        <is>
          <t>DMP COMERCIAL ALIMENTICIA LTDA</t>
        </is>
      </c>
      <c r="F9610" s="30" t="inlineStr">
        <is>
          <t>2022</t>
        </is>
      </c>
      <c r="G9610" s="40" t="n">
        <v>0</v>
      </c>
    </row>
    <row r="9611" ht="12" customHeight="1">
      <c r="A9611" s="30" t="inlineStr">
        <is>
          <t>POR</t>
        </is>
      </c>
      <c r="B9611" s="30" t="inlineStr">
        <is>
          <t>Porto Real</t>
        </is>
      </c>
      <c r="C9611" s="30" t="n">
        <v>11862489</v>
      </c>
      <c r="D9611" s="30">
        <f>"37421570000165"</f>
        <v/>
      </c>
      <c r="E9611" s="30" t="inlineStr">
        <is>
          <t>DMP COMERCIAL ALIMENTICIA LTDA</t>
        </is>
      </c>
      <c r="F9611" s="30" t="inlineStr">
        <is>
          <t>2023</t>
        </is>
      </c>
      <c r="G9611" s="40" t="n">
        <v>0</v>
      </c>
    </row>
    <row r="9612" ht="12" customHeight="1">
      <c r="A9612" s="30" t="inlineStr">
        <is>
          <t>POR</t>
        </is>
      </c>
      <c r="B9612" s="30" t="inlineStr">
        <is>
          <t>Porto Real</t>
        </is>
      </c>
      <c r="C9612" s="30" t="n">
        <v>11873324</v>
      </c>
      <c r="D9612" s="30">
        <f>"88313457000601"</f>
        <v/>
      </c>
      <c r="E9612" s="30" t="inlineStr">
        <is>
          <t>TRANSLIQUIDOS LTDA</t>
        </is>
      </c>
      <c r="F9612" s="30" t="inlineStr">
        <is>
          <t>2020</t>
        </is>
      </c>
      <c r="G9612" s="40" t="n">
        <v>0</v>
      </c>
    </row>
    <row r="9613" ht="12" customHeight="1">
      <c r="A9613" s="30" t="inlineStr">
        <is>
          <t>POR</t>
        </is>
      </c>
      <c r="B9613" s="30" t="inlineStr">
        <is>
          <t>Porto Real</t>
        </is>
      </c>
      <c r="C9613" s="30" t="n">
        <v>11873324</v>
      </c>
      <c r="D9613" s="30">
        <f>"88313457000601"</f>
        <v/>
      </c>
      <c r="E9613" s="30" t="inlineStr">
        <is>
          <t>TRANSLIQUIDOS LTDA</t>
        </is>
      </c>
      <c r="F9613" s="30" t="inlineStr">
        <is>
          <t>2021</t>
        </is>
      </c>
      <c r="G9613" s="40" t="n">
        <v>0</v>
      </c>
    </row>
    <row r="9614" ht="12" customHeight="1">
      <c r="A9614" s="30" t="inlineStr">
        <is>
          <t>POR</t>
        </is>
      </c>
      <c r="B9614" s="30" t="inlineStr">
        <is>
          <t>Porto Real</t>
        </is>
      </c>
      <c r="C9614" s="30" t="n">
        <v>11873324</v>
      </c>
      <c r="D9614" s="30">
        <f>"88313457000601"</f>
        <v/>
      </c>
      <c r="E9614" s="30" t="inlineStr">
        <is>
          <t>TRANSLIQUIDOS LTDA</t>
        </is>
      </c>
      <c r="F9614" s="30" t="inlineStr">
        <is>
          <t>2022</t>
        </is>
      </c>
      <c r="G9614" s="40" t="n">
        <v>9736.959999999999</v>
      </c>
    </row>
    <row r="9615" ht="12" customHeight="1">
      <c r="A9615" s="30" t="inlineStr">
        <is>
          <t>POR</t>
        </is>
      </c>
      <c r="B9615" s="30" t="inlineStr">
        <is>
          <t>Porto Real</t>
        </is>
      </c>
      <c r="C9615" s="30" t="n">
        <v>11873324</v>
      </c>
      <c r="D9615" s="30">
        <f>"88313457000601"</f>
        <v/>
      </c>
      <c r="E9615" s="30" t="inlineStr">
        <is>
          <t>TRANSLIQUIDOS LTDA</t>
        </is>
      </c>
      <c r="F9615" s="30" t="inlineStr">
        <is>
          <t>2023</t>
        </is>
      </c>
      <c r="G9615" s="40" t="n">
        <v>0</v>
      </c>
    </row>
    <row r="9616" ht="12" customHeight="1">
      <c r="A9616" s="30" t="inlineStr">
        <is>
          <t>POR</t>
        </is>
      </c>
      <c r="B9616" s="30" t="inlineStr">
        <is>
          <t>Porto Real</t>
        </is>
      </c>
      <c r="C9616" s="30" t="n">
        <v>11886620</v>
      </c>
      <c r="D9616" s="30">
        <f>"39696049000166"</f>
        <v/>
      </c>
      <c r="E9616" s="30" t="inlineStr">
        <is>
          <t>CONSTRUTORA ELITE"S SPE LTDA</t>
        </is>
      </c>
      <c r="F9616" s="30" t="inlineStr">
        <is>
          <t>2018</t>
        </is>
      </c>
      <c r="G9616" s="40" t="n">
        <v>0</v>
      </c>
    </row>
    <row r="9617" ht="12" customHeight="1">
      <c r="A9617" s="30" t="inlineStr">
        <is>
          <t>POR</t>
        </is>
      </c>
      <c r="B9617" s="30" t="inlineStr">
        <is>
          <t>Porto Real</t>
        </is>
      </c>
      <c r="C9617" s="30" t="n">
        <v>11886620</v>
      </c>
      <c r="D9617" s="30">
        <f>"39696049000166"</f>
        <v/>
      </c>
      <c r="E9617" s="30" t="inlineStr">
        <is>
          <t>CONSTRUTORA ELITE"S SPE LTDA</t>
        </is>
      </c>
      <c r="F9617" s="30" t="inlineStr">
        <is>
          <t>2019</t>
        </is>
      </c>
      <c r="G9617" s="40" t="n">
        <v>0</v>
      </c>
    </row>
    <row r="9618" ht="12" customHeight="1">
      <c r="A9618" s="30" t="inlineStr">
        <is>
          <t>POR</t>
        </is>
      </c>
      <c r="B9618" s="30" t="inlineStr">
        <is>
          <t>Porto Real</t>
        </is>
      </c>
      <c r="C9618" s="30" t="n">
        <v>11886620</v>
      </c>
      <c r="D9618" s="30">
        <f>"39696049000166"</f>
        <v/>
      </c>
      <c r="E9618" s="30" t="inlineStr">
        <is>
          <t>CONSTRUTORA ELITE"S SPE LTDA</t>
        </is>
      </c>
      <c r="F9618" s="30" t="inlineStr">
        <is>
          <t>2020</t>
        </is>
      </c>
      <c r="G9618" s="40" t="n">
        <v>0</v>
      </c>
    </row>
    <row r="9619" ht="12" customHeight="1">
      <c r="A9619" s="30" t="inlineStr">
        <is>
          <t>POR</t>
        </is>
      </c>
      <c r="B9619" s="30" t="inlineStr">
        <is>
          <t>Porto Real</t>
        </is>
      </c>
      <c r="C9619" s="30" t="n">
        <v>11886620</v>
      </c>
      <c r="D9619" s="30">
        <f>"39696049000166"</f>
        <v/>
      </c>
      <c r="E9619" s="30" t="inlineStr">
        <is>
          <t>CONSTRUTORA ELITE"S SPE LTDA</t>
        </is>
      </c>
      <c r="F9619" s="30" t="inlineStr">
        <is>
          <t>2021</t>
        </is>
      </c>
      <c r="G9619" s="40" t="n">
        <v>0</v>
      </c>
    </row>
    <row r="9620" ht="12" customHeight="1">
      <c r="A9620" s="30" t="inlineStr">
        <is>
          <t>POR</t>
        </is>
      </c>
      <c r="B9620" s="30" t="inlineStr">
        <is>
          <t>Porto Real</t>
        </is>
      </c>
      <c r="C9620" s="30" t="n">
        <v>11886620</v>
      </c>
      <c r="D9620" s="30">
        <f>"39696049000166"</f>
        <v/>
      </c>
      <c r="E9620" s="30" t="inlineStr">
        <is>
          <t>CONSTRUTORA ELITE"S SPE LTDA</t>
        </is>
      </c>
      <c r="F9620" s="30" t="inlineStr">
        <is>
          <t>2022</t>
        </is>
      </c>
      <c r="G9620" s="40" t="n">
        <v>0</v>
      </c>
    </row>
    <row r="9621" ht="12" customHeight="1">
      <c r="A9621" s="30" t="inlineStr">
        <is>
          <t>POR</t>
        </is>
      </c>
      <c r="B9621" s="30" t="inlineStr">
        <is>
          <t>Porto Real</t>
        </is>
      </c>
      <c r="C9621" s="30" t="n">
        <v>11886620</v>
      </c>
      <c r="D9621" s="30">
        <f>"39696049000166"</f>
        <v/>
      </c>
      <c r="E9621" s="30" t="inlineStr">
        <is>
          <t>CONSTRUTORA ELITE"S SPE LTDA</t>
        </is>
      </c>
      <c r="F9621" s="30" t="inlineStr">
        <is>
          <t>2023</t>
        </is>
      </c>
      <c r="G9621" s="40" t="n">
        <v>0</v>
      </c>
    </row>
    <row r="9622" ht="12" customHeight="1">
      <c r="A9622" s="30" t="inlineStr">
        <is>
          <t>POR</t>
        </is>
      </c>
      <c r="B9622" s="30" t="inlineStr">
        <is>
          <t>Porto Real</t>
        </is>
      </c>
      <c r="C9622" s="30" t="n">
        <v>11898408</v>
      </c>
      <c r="D9622" s="30">
        <f>"39538126000230"</f>
        <v/>
      </c>
      <c r="E9622" s="30" t="inlineStr">
        <is>
          <t>BRLOGIS TRANSPORTE DE VEICULOS S/A</t>
        </is>
      </c>
      <c r="F9622" s="30" t="inlineStr">
        <is>
          <t>2018</t>
        </is>
      </c>
      <c r="G9622" s="40" t="n">
        <v>0</v>
      </c>
    </row>
    <row r="9623" ht="12" customHeight="1">
      <c r="A9623" s="30" t="inlineStr">
        <is>
          <t>POR</t>
        </is>
      </c>
      <c r="B9623" s="30" t="inlineStr">
        <is>
          <t>Porto Real</t>
        </is>
      </c>
      <c r="C9623" s="30" t="n">
        <v>11898408</v>
      </c>
      <c r="D9623" s="30">
        <f>"39538126000230"</f>
        <v/>
      </c>
      <c r="E9623" s="30" t="inlineStr">
        <is>
          <t>BRLOGIS TRANSPORTE DE VEICULOS S/A</t>
        </is>
      </c>
      <c r="F9623" s="30" t="inlineStr">
        <is>
          <t>2019</t>
        </is>
      </c>
      <c r="G9623" s="40" t="n">
        <v>0</v>
      </c>
    </row>
    <row r="9624" ht="12" customHeight="1">
      <c r="A9624" s="30" t="inlineStr">
        <is>
          <t>POR</t>
        </is>
      </c>
      <c r="B9624" s="30" t="inlineStr">
        <is>
          <t>Porto Real</t>
        </is>
      </c>
      <c r="C9624" s="30" t="n">
        <v>11898408</v>
      </c>
      <c r="D9624" s="30">
        <f>"39538126000230"</f>
        <v/>
      </c>
      <c r="E9624" s="30" t="inlineStr">
        <is>
          <t>BRLOGIS TRANSPORTE DE VEICULOS S/A</t>
        </is>
      </c>
      <c r="F9624" s="30" t="inlineStr">
        <is>
          <t>2020</t>
        </is>
      </c>
      <c r="G9624" s="40" t="n">
        <v>16141.49</v>
      </c>
    </row>
    <row r="9625" ht="12" customHeight="1">
      <c r="A9625" s="30" t="inlineStr">
        <is>
          <t>POR</t>
        </is>
      </c>
      <c r="B9625" s="30" t="inlineStr">
        <is>
          <t>Porto Real</t>
        </is>
      </c>
      <c r="C9625" s="30" t="n">
        <v>11898408</v>
      </c>
      <c r="D9625" s="30">
        <f>"39538126000230"</f>
        <v/>
      </c>
      <c r="E9625" s="30" t="inlineStr">
        <is>
          <t>BRLOGIS TRANSPORTE DE VEICULOS S/A</t>
        </is>
      </c>
      <c r="F9625" s="30" t="inlineStr">
        <is>
          <t>2021</t>
        </is>
      </c>
      <c r="G9625" s="40" t="n">
        <v>511358.5</v>
      </c>
    </row>
    <row r="9626" ht="12" customHeight="1">
      <c r="A9626" s="30" t="inlineStr">
        <is>
          <t>POR</t>
        </is>
      </c>
      <c r="B9626" s="30" t="inlineStr">
        <is>
          <t>Porto Real</t>
        </is>
      </c>
      <c r="C9626" s="30" t="n">
        <v>11898408</v>
      </c>
      <c r="D9626" s="30">
        <f>"39538126000230"</f>
        <v/>
      </c>
      <c r="E9626" s="30" t="inlineStr">
        <is>
          <t>BRLOGIS TRANSPORTE DE VEICULOS S/A</t>
        </is>
      </c>
      <c r="F9626" s="30" t="inlineStr">
        <is>
          <t>2022</t>
        </is>
      </c>
      <c r="G9626" s="40" t="n">
        <v>3359.4</v>
      </c>
    </row>
    <row r="9627" ht="12" customHeight="1">
      <c r="A9627" s="30" t="inlineStr">
        <is>
          <t>POR</t>
        </is>
      </c>
      <c r="B9627" s="30" t="inlineStr">
        <is>
          <t>Porto Real</t>
        </is>
      </c>
      <c r="C9627" s="30" t="n">
        <v>11898408</v>
      </c>
      <c r="D9627" s="30">
        <f>"39538126000230"</f>
        <v/>
      </c>
      <c r="E9627" s="30" t="inlineStr">
        <is>
          <t>BRLOGIS TRANSPORTE DE VEICULOS S/A</t>
        </is>
      </c>
      <c r="F9627" s="30" t="inlineStr">
        <is>
          <t>2023</t>
        </is>
      </c>
      <c r="G9627" s="40" t="n">
        <v>0</v>
      </c>
    </row>
    <row r="9628" ht="12" customHeight="1">
      <c r="A9628" s="30" t="inlineStr">
        <is>
          <t>POR</t>
        </is>
      </c>
      <c r="B9628" s="30" t="inlineStr">
        <is>
          <t>Porto Real</t>
        </is>
      </c>
      <c r="C9628" s="30" t="n">
        <v>11918131</v>
      </c>
      <c r="D9628" s="30">
        <f>"35606143001017"</f>
        <v/>
      </c>
      <c r="E9628" s="30" t="inlineStr">
        <is>
          <t>FASTLINE LOGISTICA AUTOMOTIVA LTDA</t>
        </is>
      </c>
      <c r="F9628" s="30" t="inlineStr">
        <is>
          <t>2018</t>
        </is>
      </c>
      <c r="G9628" s="40" t="n">
        <v>0</v>
      </c>
    </row>
    <row r="9629" ht="12" customHeight="1">
      <c r="A9629" s="30" t="inlineStr">
        <is>
          <t>POR</t>
        </is>
      </c>
      <c r="B9629" s="30" t="inlineStr">
        <is>
          <t>Porto Real</t>
        </is>
      </c>
      <c r="C9629" s="30" t="n">
        <v>11918131</v>
      </c>
      <c r="D9629" s="30">
        <f>"35606143001017"</f>
        <v/>
      </c>
      <c r="E9629" s="30" t="inlineStr">
        <is>
          <t>FASTLINE LOGISTICA AUTOMOTIVA LTDA</t>
        </is>
      </c>
      <c r="F9629" s="30" t="inlineStr">
        <is>
          <t>2019</t>
        </is>
      </c>
      <c r="G9629" s="40" t="n">
        <v>0</v>
      </c>
    </row>
    <row r="9630" ht="12" customHeight="1">
      <c r="A9630" s="30" t="inlineStr">
        <is>
          <t>POR</t>
        </is>
      </c>
      <c r="B9630" s="30" t="inlineStr">
        <is>
          <t>Porto Real</t>
        </is>
      </c>
      <c r="C9630" s="30" t="n">
        <v>11918131</v>
      </c>
      <c r="D9630" s="30">
        <f>"35606143001017"</f>
        <v/>
      </c>
      <c r="E9630" s="30" t="inlineStr">
        <is>
          <t>FASTLINE LOGISTICA AUTOMOTIVA LTDA</t>
        </is>
      </c>
      <c r="F9630" s="30" t="inlineStr">
        <is>
          <t>2020</t>
        </is>
      </c>
      <c r="G9630" s="40" t="n">
        <v>0</v>
      </c>
    </row>
    <row r="9631" ht="12" customHeight="1">
      <c r="A9631" s="30" t="inlineStr">
        <is>
          <t>POR</t>
        </is>
      </c>
      <c r="B9631" s="30" t="inlineStr">
        <is>
          <t>Porto Real</t>
        </is>
      </c>
      <c r="C9631" s="30" t="n">
        <v>11918131</v>
      </c>
      <c r="D9631" s="30">
        <f>"35606143001017"</f>
        <v/>
      </c>
      <c r="E9631" s="30" t="inlineStr">
        <is>
          <t>FASTLINE LOGISTICA AUTOMOTIVA LTDA</t>
        </is>
      </c>
      <c r="F9631" s="30" t="inlineStr">
        <is>
          <t>2021</t>
        </is>
      </c>
      <c r="G9631" s="40" t="n">
        <v>2320.83</v>
      </c>
    </row>
    <row r="9632" ht="12" customHeight="1">
      <c r="A9632" s="30" t="inlineStr">
        <is>
          <t>POR</t>
        </is>
      </c>
      <c r="B9632" s="30" t="inlineStr">
        <is>
          <t>Porto Real</t>
        </is>
      </c>
      <c r="C9632" s="30" t="n">
        <v>11918131</v>
      </c>
      <c r="D9632" s="30">
        <f>"35606143001017"</f>
        <v/>
      </c>
      <c r="E9632" s="30" t="inlineStr">
        <is>
          <t>FASTLINE LOGISTICA AUTOMOTIVA LTDA</t>
        </is>
      </c>
      <c r="F9632" s="30" t="inlineStr">
        <is>
          <t>2022</t>
        </is>
      </c>
      <c r="G9632" s="40" t="n">
        <v>930</v>
      </c>
    </row>
    <row r="9633" ht="12" customHeight="1">
      <c r="A9633" s="30" t="inlineStr">
        <is>
          <t>POR</t>
        </is>
      </c>
      <c r="B9633" s="30" t="inlineStr">
        <is>
          <t>Porto Real</t>
        </is>
      </c>
      <c r="C9633" s="30" t="n">
        <v>11918131</v>
      </c>
      <c r="D9633" s="30">
        <f>"35606143001017"</f>
        <v/>
      </c>
      <c r="E9633" s="30" t="inlineStr">
        <is>
          <t>FASTLINE LOGISTICA AUTOMOTIVA LTDA</t>
        </is>
      </c>
      <c r="F9633" s="30" t="inlineStr">
        <is>
          <t>2023</t>
        </is>
      </c>
      <c r="G9633" s="40" t="n">
        <v>4720</v>
      </c>
    </row>
    <row r="9634" ht="12" customHeight="1">
      <c r="A9634" s="30" t="inlineStr">
        <is>
          <t>POR</t>
        </is>
      </c>
      <c r="B9634" s="30" t="inlineStr">
        <is>
          <t>Porto Real</t>
        </is>
      </c>
      <c r="C9634" s="30" t="n">
        <v>11920985</v>
      </c>
      <c r="D9634" s="30">
        <f>"82110818002841"</f>
        <v/>
      </c>
      <c r="E9634" s="30" t="inlineStr">
        <is>
          <t>ALFA TRANSPORTES LTDA</t>
        </is>
      </c>
      <c r="F9634" s="30" t="inlineStr">
        <is>
          <t>2019</t>
        </is>
      </c>
      <c r="G9634" s="40" t="n">
        <v>0</v>
      </c>
    </row>
    <row r="9635" ht="12" customHeight="1">
      <c r="A9635" s="30" t="inlineStr">
        <is>
          <t>POR</t>
        </is>
      </c>
      <c r="B9635" s="30" t="inlineStr">
        <is>
          <t>Porto Real</t>
        </is>
      </c>
      <c r="C9635" s="30" t="n">
        <v>11920985</v>
      </c>
      <c r="D9635" s="30">
        <f>"82110818002841"</f>
        <v/>
      </c>
      <c r="E9635" s="30" t="inlineStr">
        <is>
          <t>ALFA TRANSPORTES LTDA</t>
        </is>
      </c>
      <c r="F9635" s="30" t="inlineStr">
        <is>
          <t>2020</t>
        </is>
      </c>
      <c r="G9635" s="40" t="n">
        <v>0</v>
      </c>
    </row>
    <row r="9636" ht="12" customHeight="1">
      <c r="A9636" s="30" t="inlineStr">
        <is>
          <t>POR</t>
        </is>
      </c>
      <c r="B9636" s="30" t="inlineStr">
        <is>
          <t>Porto Real</t>
        </is>
      </c>
      <c r="C9636" s="30" t="n">
        <v>11920985</v>
      </c>
      <c r="D9636" s="30">
        <f>"82110818002841"</f>
        <v/>
      </c>
      <c r="E9636" s="30" t="inlineStr">
        <is>
          <t>ALFA TRANSPORTES LTDA</t>
        </is>
      </c>
      <c r="F9636" s="30" t="inlineStr">
        <is>
          <t>2021</t>
        </is>
      </c>
      <c r="G9636" s="40" t="n">
        <v>3957.55</v>
      </c>
    </row>
    <row r="9637" ht="12" customHeight="1">
      <c r="A9637" s="30" t="inlineStr">
        <is>
          <t>POR</t>
        </is>
      </c>
      <c r="B9637" s="30" t="inlineStr">
        <is>
          <t>Porto Real</t>
        </is>
      </c>
      <c r="C9637" s="30" t="n">
        <v>11920985</v>
      </c>
      <c r="D9637" s="30">
        <f>"82110818002841"</f>
        <v/>
      </c>
      <c r="E9637" s="30" t="inlineStr">
        <is>
          <t>ALFA TRANSPORTES LTDA</t>
        </is>
      </c>
      <c r="F9637" s="30" t="inlineStr">
        <is>
          <t>2022</t>
        </is>
      </c>
      <c r="G9637" s="40" t="n">
        <v>4342.59</v>
      </c>
    </row>
    <row r="9638" ht="12" customHeight="1">
      <c r="A9638" s="30" t="inlineStr">
        <is>
          <t>POR</t>
        </is>
      </c>
      <c r="B9638" s="30" t="inlineStr">
        <is>
          <t>Porto Real</t>
        </is>
      </c>
      <c r="C9638" s="30" t="n">
        <v>11920985</v>
      </c>
      <c r="D9638" s="30">
        <f>"82110818002841"</f>
        <v/>
      </c>
      <c r="E9638" s="30" t="inlineStr">
        <is>
          <t>ALFA TRANSPORTES LTDA</t>
        </is>
      </c>
      <c r="F9638" s="30" t="inlineStr">
        <is>
          <t>2023</t>
        </is>
      </c>
      <c r="G9638" s="40" t="n">
        <v>8764.93</v>
      </c>
    </row>
    <row r="9639" ht="12" customHeight="1">
      <c r="A9639" s="30" t="inlineStr">
        <is>
          <t>POR</t>
        </is>
      </c>
      <c r="B9639" s="30" t="inlineStr">
        <is>
          <t>Porto Real</t>
        </is>
      </c>
      <c r="C9639" s="30" t="n">
        <v>11926150</v>
      </c>
      <c r="D9639" s="30">
        <f>"30962019000775"</f>
        <v/>
      </c>
      <c r="E9639" s="30" t="inlineStr">
        <is>
          <t>RODOE TRANSPORTES DE ENCOMENDAS LTDA</t>
        </is>
      </c>
      <c r="F9639" s="30" t="inlineStr">
        <is>
          <t>2019</t>
        </is>
      </c>
      <c r="G9639" s="40" t="n">
        <v>0</v>
      </c>
    </row>
    <row r="9640" ht="12" customHeight="1">
      <c r="A9640" s="30" t="inlineStr">
        <is>
          <t>POR</t>
        </is>
      </c>
      <c r="B9640" s="30" t="inlineStr">
        <is>
          <t>Porto Real</t>
        </is>
      </c>
      <c r="C9640" s="30" t="n">
        <v>11926150</v>
      </c>
      <c r="D9640" s="30">
        <f>"30962019000775"</f>
        <v/>
      </c>
      <c r="E9640" s="30" t="inlineStr">
        <is>
          <t>RODOE TRANSPORTES DE ENCOMENDAS LTDA</t>
        </is>
      </c>
      <c r="F9640" s="30" t="inlineStr">
        <is>
          <t>2020</t>
        </is>
      </c>
      <c r="G9640" s="40" t="n">
        <v>0</v>
      </c>
    </row>
    <row r="9641" ht="12" customHeight="1">
      <c r="A9641" s="30" t="inlineStr">
        <is>
          <t>POR</t>
        </is>
      </c>
      <c r="B9641" s="30" t="inlineStr">
        <is>
          <t>Porto Real</t>
        </is>
      </c>
      <c r="C9641" s="30" t="n">
        <v>11926150</v>
      </c>
      <c r="D9641" s="30">
        <f>"30962019000775"</f>
        <v/>
      </c>
      <c r="E9641" s="30" t="inlineStr">
        <is>
          <t>RODOE TRANSPORTES DE ENCOMENDAS LTDA</t>
        </is>
      </c>
      <c r="F9641" s="30" t="inlineStr">
        <is>
          <t>2021</t>
        </is>
      </c>
      <c r="G9641" s="40" t="n">
        <v>1.14</v>
      </c>
    </row>
    <row r="9642" ht="12" customHeight="1">
      <c r="A9642" s="30" t="inlineStr">
        <is>
          <t>POR</t>
        </is>
      </c>
      <c r="B9642" s="30" t="inlineStr">
        <is>
          <t>Porto Real</t>
        </is>
      </c>
      <c r="C9642" s="30" t="n">
        <v>11926150</v>
      </c>
      <c r="D9642" s="30">
        <f>"30962019000775"</f>
        <v/>
      </c>
      <c r="E9642" s="30" t="inlineStr">
        <is>
          <t>RODOE TRANSPORTES DE ENCOMENDAS LTDA</t>
        </is>
      </c>
      <c r="F9642" s="30" t="inlineStr">
        <is>
          <t>2022</t>
        </is>
      </c>
      <c r="G9642" s="40" t="n">
        <v>0</v>
      </c>
    </row>
    <row r="9643" ht="12" customHeight="1">
      <c r="A9643" s="30" t="inlineStr">
        <is>
          <t>POR</t>
        </is>
      </c>
      <c r="B9643" s="30" t="inlineStr">
        <is>
          <t>Porto Real</t>
        </is>
      </c>
      <c r="C9643" s="30" t="n">
        <v>11926150</v>
      </c>
      <c r="D9643" s="30">
        <f>"30962019000775"</f>
        <v/>
      </c>
      <c r="E9643" s="30" t="inlineStr">
        <is>
          <t>RODOE TRANSPORTES DE ENCOMENDAS LTDA</t>
        </is>
      </c>
      <c r="F9643" s="30" t="inlineStr">
        <is>
          <t>2023</t>
        </is>
      </c>
      <c r="G9643" s="40" t="n">
        <v>0</v>
      </c>
    </row>
    <row r="9644" ht="12" customHeight="1">
      <c r="A9644" s="30" t="inlineStr">
        <is>
          <t>POR</t>
        </is>
      </c>
      <c r="B9644" s="30" t="inlineStr">
        <is>
          <t>Porto Real</t>
        </is>
      </c>
      <c r="C9644" s="30" t="n">
        <v>11935117</v>
      </c>
      <c r="D9644" s="30">
        <f>"00077932315700"</f>
        <v/>
      </c>
      <c r="E9644" s="30" t="inlineStr">
        <is>
          <t>ALBERTO PEDERASSI NETO</t>
        </is>
      </c>
      <c r="F9644" s="30" t="inlineStr">
        <is>
          <t>2018</t>
        </is>
      </c>
      <c r="G9644" s="40" t="n">
        <v>0</v>
      </c>
    </row>
    <row r="9645" ht="12" customHeight="1">
      <c r="A9645" s="30" t="inlineStr">
        <is>
          <t>POR</t>
        </is>
      </c>
      <c r="B9645" s="30" t="inlineStr">
        <is>
          <t>Porto Real</t>
        </is>
      </c>
      <c r="C9645" s="30" t="n">
        <v>11935117</v>
      </c>
      <c r="D9645" s="30">
        <f>"00077932315700"</f>
        <v/>
      </c>
      <c r="E9645" s="30" t="inlineStr">
        <is>
          <t>ALBERTO PEDERASSI NETO</t>
        </is>
      </c>
      <c r="F9645" s="30" t="inlineStr">
        <is>
          <t>2019</t>
        </is>
      </c>
      <c r="G9645" s="40" t="n">
        <v>0</v>
      </c>
    </row>
    <row r="9646" ht="12" customHeight="1">
      <c r="A9646" s="30" t="inlineStr">
        <is>
          <t>POR</t>
        </is>
      </c>
      <c r="B9646" s="30" t="inlineStr">
        <is>
          <t>Porto Real</t>
        </is>
      </c>
      <c r="C9646" s="30" t="n">
        <v>11935117</v>
      </c>
      <c r="D9646" s="30">
        <f>"00077932315700"</f>
        <v/>
      </c>
      <c r="E9646" s="30" t="inlineStr">
        <is>
          <t>ALBERTO PEDERASSI NETO</t>
        </is>
      </c>
      <c r="F9646" s="30" t="inlineStr">
        <is>
          <t>2020</t>
        </is>
      </c>
      <c r="G9646" s="40" t="n">
        <v>0</v>
      </c>
    </row>
    <row r="9647" ht="12" customHeight="1">
      <c r="A9647" s="30" t="inlineStr">
        <is>
          <t>POR</t>
        </is>
      </c>
      <c r="B9647" s="30" t="inlineStr">
        <is>
          <t>Porto Real</t>
        </is>
      </c>
      <c r="C9647" s="30" t="n">
        <v>11935117</v>
      </c>
      <c r="D9647" s="30">
        <f>"00077932315700"</f>
        <v/>
      </c>
      <c r="E9647" s="30" t="inlineStr">
        <is>
          <t>ALBERTO PEDERASSI NETO</t>
        </is>
      </c>
      <c r="F9647" s="30" t="inlineStr">
        <is>
          <t>2021</t>
        </is>
      </c>
      <c r="G9647" s="40" t="n">
        <v>0</v>
      </c>
    </row>
    <row r="9648" ht="12" customHeight="1">
      <c r="A9648" s="30" t="inlineStr">
        <is>
          <t>POR</t>
        </is>
      </c>
      <c r="B9648" s="30" t="inlineStr">
        <is>
          <t>Porto Real</t>
        </is>
      </c>
      <c r="C9648" s="30" t="n">
        <v>11935117</v>
      </c>
      <c r="D9648" s="30">
        <f>"00077932315700"</f>
        <v/>
      </c>
      <c r="E9648" s="30" t="inlineStr">
        <is>
          <t>ALBERTO PEDERASSI NETO</t>
        </is>
      </c>
      <c r="F9648" s="30" t="inlineStr">
        <is>
          <t>2022</t>
        </is>
      </c>
      <c r="G9648" s="40" t="n">
        <v>0</v>
      </c>
    </row>
    <row r="9649" ht="12" customHeight="1">
      <c r="A9649" s="30" t="inlineStr">
        <is>
          <t>POR</t>
        </is>
      </c>
      <c r="B9649" s="30" t="inlineStr">
        <is>
          <t>Porto Real</t>
        </is>
      </c>
      <c r="C9649" s="30" t="n">
        <v>11935117</v>
      </c>
      <c r="D9649" s="30">
        <f>"00077932315700"</f>
        <v/>
      </c>
      <c r="E9649" s="30" t="inlineStr">
        <is>
          <t>ALBERTO PEDERASSI NETO</t>
        </is>
      </c>
      <c r="F9649" s="30" t="inlineStr">
        <is>
          <t>2023</t>
        </is>
      </c>
      <c r="G9649" s="40" t="n">
        <v>0</v>
      </c>
    </row>
    <row r="9650" ht="12" customHeight="1">
      <c r="A9650" s="30" t="inlineStr">
        <is>
          <t>POR</t>
        </is>
      </c>
      <c r="B9650" s="30" t="inlineStr">
        <is>
          <t>Porto Real</t>
        </is>
      </c>
      <c r="C9650" s="30" t="n">
        <v>11941591</v>
      </c>
      <c r="D9650" s="30">
        <f>"39366242000139"</f>
        <v/>
      </c>
      <c r="E9650" s="30" t="inlineStr">
        <is>
          <t>DROGARIA PS LTDA</t>
        </is>
      </c>
      <c r="F9650" s="30" t="inlineStr">
        <is>
          <t>2019</t>
        </is>
      </c>
      <c r="G9650" s="40" t="n">
        <v>0</v>
      </c>
    </row>
    <row r="9651" ht="12" customHeight="1">
      <c r="A9651" s="30" t="inlineStr">
        <is>
          <t>POR</t>
        </is>
      </c>
      <c r="B9651" s="30" t="inlineStr">
        <is>
          <t>Porto Real</t>
        </is>
      </c>
      <c r="C9651" s="30" t="n">
        <v>11941591</v>
      </c>
      <c r="D9651" s="30">
        <f>"39366242000139"</f>
        <v/>
      </c>
      <c r="E9651" s="30" t="inlineStr">
        <is>
          <t>DROGARIA PS LTDA</t>
        </is>
      </c>
      <c r="F9651" s="30" t="inlineStr">
        <is>
          <t>2020</t>
        </is>
      </c>
      <c r="G9651" s="40" t="n">
        <v>0</v>
      </c>
    </row>
    <row r="9652" ht="12" customHeight="1">
      <c r="A9652" s="30" t="inlineStr">
        <is>
          <t>POR</t>
        </is>
      </c>
      <c r="B9652" s="30" t="inlineStr">
        <is>
          <t>Porto Real</t>
        </is>
      </c>
      <c r="C9652" s="30" t="n">
        <v>11941591</v>
      </c>
      <c r="D9652" s="30">
        <f>"39366242000139"</f>
        <v/>
      </c>
      <c r="E9652" s="30" t="inlineStr">
        <is>
          <t>DROGARIA PS LTDA</t>
        </is>
      </c>
      <c r="F9652" s="30" t="inlineStr">
        <is>
          <t>2021</t>
        </is>
      </c>
      <c r="G9652" s="40" t="n">
        <v>278674.45</v>
      </c>
    </row>
    <row r="9653" ht="12" customHeight="1">
      <c r="A9653" s="30" t="inlineStr">
        <is>
          <t>POR</t>
        </is>
      </c>
      <c r="B9653" s="30" t="inlineStr">
        <is>
          <t>Porto Real</t>
        </is>
      </c>
      <c r="C9653" s="30" t="n">
        <v>11941591</v>
      </c>
      <c r="D9653" s="30">
        <f>"39366242000139"</f>
        <v/>
      </c>
      <c r="E9653" s="30" t="inlineStr">
        <is>
          <t>DROGARIA PS LTDA</t>
        </is>
      </c>
      <c r="F9653" s="30" t="inlineStr">
        <is>
          <t>2022</t>
        </is>
      </c>
      <c r="G9653" s="40" t="n">
        <v>492488.78</v>
      </c>
    </row>
    <row r="9654" ht="12" customHeight="1">
      <c r="A9654" s="30" t="inlineStr">
        <is>
          <t>POR</t>
        </is>
      </c>
      <c r="B9654" s="30" t="inlineStr">
        <is>
          <t>Porto Real</t>
        </is>
      </c>
      <c r="C9654" s="30" t="n">
        <v>11941591</v>
      </c>
      <c r="D9654" s="30">
        <f>"39366242000139"</f>
        <v/>
      </c>
      <c r="E9654" s="30" t="inlineStr">
        <is>
          <t>DROGARIA PS LTDA</t>
        </is>
      </c>
      <c r="F9654" s="30" t="inlineStr">
        <is>
          <t>2023</t>
        </is>
      </c>
      <c r="G9654" s="40" t="n">
        <v>681940.01</v>
      </c>
    </row>
    <row r="9655" ht="12" customHeight="1">
      <c r="A9655" s="30" t="inlineStr">
        <is>
          <t>POR</t>
        </is>
      </c>
      <c r="B9655" s="30" t="inlineStr">
        <is>
          <t>Porto Real</t>
        </is>
      </c>
      <c r="C9655" s="30" t="n">
        <v>11951643</v>
      </c>
      <c r="D9655" s="30">
        <f>"17877334001627"</f>
        <v/>
      </c>
      <c r="E9655" s="30" t="inlineStr">
        <is>
          <t>RODOFROTA TRANSPORTES RODOVIARIOS E LOGISTICA LTDA</t>
        </is>
      </c>
      <c r="F9655" s="30" t="inlineStr">
        <is>
          <t>2019</t>
        </is>
      </c>
      <c r="G9655" s="40" t="n">
        <v>0</v>
      </c>
    </row>
    <row r="9656" ht="12" customHeight="1">
      <c r="A9656" s="30" t="inlineStr">
        <is>
          <t>POR</t>
        </is>
      </c>
      <c r="B9656" s="30" t="inlineStr">
        <is>
          <t>Porto Real</t>
        </is>
      </c>
      <c r="C9656" s="30" t="n">
        <v>11951643</v>
      </c>
      <c r="D9656" s="30">
        <f>"17877334001627"</f>
        <v/>
      </c>
      <c r="E9656" s="30" t="inlineStr">
        <is>
          <t>RODOFROTA TRANSPORTES RODOVIARIOS E LOGISTICA LTDA</t>
        </is>
      </c>
      <c r="F9656" s="30" t="inlineStr">
        <is>
          <t>2020</t>
        </is>
      </c>
      <c r="G9656" s="40" t="n">
        <v>0</v>
      </c>
    </row>
    <row r="9657" ht="12" customHeight="1">
      <c r="A9657" s="30" t="inlineStr">
        <is>
          <t>POR</t>
        </is>
      </c>
      <c r="B9657" s="30" t="inlineStr">
        <is>
          <t>Porto Real</t>
        </is>
      </c>
      <c r="C9657" s="30" t="n">
        <v>11951643</v>
      </c>
      <c r="D9657" s="30">
        <f>"17877334001627"</f>
        <v/>
      </c>
      <c r="E9657" s="30" t="inlineStr">
        <is>
          <t>RODOFROTA TRANSPORTES RODOVIARIOS E LOGISTICA LTDA</t>
        </is>
      </c>
      <c r="F9657" s="30" t="inlineStr">
        <is>
          <t>2021</t>
        </is>
      </c>
      <c r="G9657" s="40" t="n">
        <v>0</v>
      </c>
    </row>
    <row r="9658" ht="12" customHeight="1">
      <c r="A9658" s="30" t="inlineStr">
        <is>
          <t>POR</t>
        </is>
      </c>
      <c r="B9658" s="30" t="inlineStr">
        <is>
          <t>Porto Real</t>
        </is>
      </c>
      <c r="C9658" s="30" t="n">
        <v>11951643</v>
      </c>
      <c r="D9658" s="30">
        <f>"17877334001627"</f>
        <v/>
      </c>
      <c r="E9658" s="30" t="inlineStr">
        <is>
          <t>RODOFROTA TRANSPORTES RODOVIARIOS E LOGISTICA LTDA</t>
        </is>
      </c>
      <c r="F9658" s="30" t="inlineStr">
        <is>
          <t>2022</t>
        </is>
      </c>
      <c r="G9658" s="40" t="n">
        <v>0</v>
      </c>
    </row>
    <row r="9659" ht="12" customHeight="1">
      <c r="A9659" s="30" t="inlineStr">
        <is>
          <t>POR</t>
        </is>
      </c>
      <c r="B9659" s="30" t="inlineStr">
        <is>
          <t>Porto Real</t>
        </is>
      </c>
      <c r="C9659" s="30" t="n">
        <v>11951643</v>
      </c>
      <c r="D9659" s="30">
        <f>"17877334001627"</f>
        <v/>
      </c>
      <c r="E9659" s="30" t="inlineStr">
        <is>
          <t>RODOFROTA TRANSPORTES RODOVIARIOS E LOGISTICA LTDA</t>
        </is>
      </c>
      <c r="F9659" s="30" t="inlineStr">
        <is>
          <t>2023</t>
        </is>
      </c>
      <c r="G9659" s="40" t="n">
        <v>0</v>
      </c>
    </row>
    <row r="9660" ht="12" customHeight="1">
      <c r="A9660" s="30" t="inlineStr">
        <is>
          <t>POR</t>
        </is>
      </c>
      <c r="B9660" s="30" t="inlineStr">
        <is>
          <t>Porto Real</t>
        </is>
      </c>
      <c r="C9660" s="30" t="n">
        <v>11972977</v>
      </c>
      <c r="D9660" s="30">
        <f>"01125797002593"</f>
        <v/>
      </c>
      <c r="E9660" s="30" t="inlineStr">
        <is>
          <t>ATIVA DISTRIBUICAO E LOGISTICA LTDA</t>
        </is>
      </c>
      <c r="F9660" s="30" t="inlineStr">
        <is>
          <t>2019</t>
        </is>
      </c>
      <c r="G9660" s="40" t="n">
        <v>0</v>
      </c>
    </row>
    <row r="9661" ht="12" customHeight="1">
      <c r="A9661" s="30" t="inlineStr">
        <is>
          <t>POR</t>
        </is>
      </c>
      <c r="B9661" s="30" t="inlineStr">
        <is>
          <t>Porto Real</t>
        </is>
      </c>
      <c r="C9661" s="30" t="n">
        <v>11972977</v>
      </c>
      <c r="D9661" s="30">
        <f>"01125797002593"</f>
        <v/>
      </c>
      <c r="E9661" s="30" t="inlineStr">
        <is>
          <t>ATIVA DISTRIBUICAO E LOGISTICA LTDA</t>
        </is>
      </c>
      <c r="F9661" s="30" t="inlineStr">
        <is>
          <t>2020</t>
        </is>
      </c>
      <c r="G9661" s="40" t="n">
        <v>0</v>
      </c>
    </row>
    <row r="9662" ht="12" customHeight="1">
      <c r="A9662" s="30" t="inlineStr">
        <is>
          <t>POR</t>
        </is>
      </c>
      <c r="B9662" s="30" t="inlineStr">
        <is>
          <t>Porto Real</t>
        </is>
      </c>
      <c r="C9662" s="30" t="n">
        <v>11972977</v>
      </c>
      <c r="D9662" s="30">
        <f>"01125797002593"</f>
        <v/>
      </c>
      <c r="E9662" s="30" t="inlineStr">
        <is>
          <t>ATIVA DISTRIBUICAO E LOGISTICA LTDA</t>
        </is>
      </c>
      <c r="F9662" s="30" t="inlineStr">
        <is>
          <t>2021</t>
        </is>
      </c>
      <c r="G9662" s="40" t="n">
        <v>65.98</v>
      </c>
    </row>
    <row r="9663" ht="12" customHeight="1">
      <c r="A9663" s="30" t="inlineStr">
        <is>
          <t>POR</t>
        </is>
      </c>
      <c r="B9663" s="30" t="inlineStr">
        <is>
          <t>Porto Real</t>
        </is>
      </c>
      <c r="C9663" s="30" t="n">
        <v>11972977</v>
      </c>
      <c r="D9663" s="30">
        <f>"01125797002593"</f>
        <v/>
      </c>
      <c r="E9663" s="30" t="inlineStr">
        <is>
          <t>ATIVA DISTRIBUICAO E LOGISTICA LTDA</t>
        </is>
      </c>
      <c r="F9663" s="30" t="inlineStr">
        <is>
          <t>2022</t>
        </is>
      </c>
      <c r="G9663" s="40" t="n">
        <v>0</v>
      </c>
    </row>
    <row r="9664" ht="12" customHeight="1">
      <c r="A9664" s="30" t="inlineStr">
        <is>
          <t>POR</t>
        </is>
      </c>
      <c r="B9664" s="30" t="inlineStr">
        <is>
          <t>Porto Real</t>
        </is>
      </c>
      <c r="C9664" s="30" t="n">
        <v>11972977</v>
      </c>
      <c r="D9664" s="30">
        <f>"01125797002593"</f>
        <v/>
      </c>
      <c r="E9664" s="30" t="inlineStr">
        <is>
          <t>ATIVA DISTRIBUICAO E LOGISTICA LTDA</t>
        </is>
      </c>
      <c r="F9664" s="30" t="inlineStr">
        <is>
          <t>2023</t>
        </is>
      </c>
      <c r="G9664" s="40" t="n">
        <v>0</v>
      </c>
    </row>
    <row r="9665" ht="12" customHeight="1">
      <c r="A9665" s="30" t="inlineStr">
        <is>
          <t>POR</t>
        </is>
      </c>
      <c r="B9665" s="30" t="inlineStr">
        <is>
          <t>Porto Real</t>
        </is>
      </c>
      <c r="C9665" s="30" t="n">
        <v>11976441</v>
      </c>
      <c r="D9665" s="30">
        <f>"09318444000225"</f>
        <v/>
      </c>
      <c r="E9665" s="30" t="inlineStr">
        <is>
          <t>ANDRADE E ABREU TRANSPORTES LTDA</t>
        </is>
      </c>
      <c r="F9665" s="30" t="inlineStr">
        <is>
          <t>2020</t>
        </is>
      </c>
      <c r="G9665" s="40" t="n">
        <v>0</v>
      </c>
    </row>
    <row r="9666" ht="12" customHeight="1">
      <c r="A9666" s="30" t="inlineStr">
        <is>
          <t>POR</t>
        </is>
      </c>
      <c r="B9666" s="30" t="inlineStr">
        <is>
          <t>Porto Real</t>
        </is>
      </c>
      <c r="C9666" s="30" t="n">
        <v>11976441</v>
      </c>
      <c r="D9666" s="30">
        <f>"09318444000225"</f>
        <v/>
      </c>
      <c r="E9666" s="30" t="inlineStr">
        <is>
          <t>ANDRADE E ABREU TRANSPORTES LTDA</t>
        </is>
      </c>
      <c r="F9666" s="30" t="inlineStr">
        <is>
          <t>2021</t>
        </is>
      </c>
      <c r="G9666" s="40" t="n">
        <v>0</v>
      </c>
    </row>
    <row r="9667" ht="12" customHeight="1">
      <c r="A9667" s="30" t="inlineStr">
        <is>
          <t>POR</t>
        </is>
      </c>
      <c r="B9667" s="30" t="inlineStr">
        <is>
          <t>Porto Real</t>
        </is>
      </c>
      <c r="C9667" s="30" t="n">
        <v>11976441</v>
      </c>
      <c r="D9667" s="30">
        <f>"09318444000225"</f>
        <v/>
      </c>
      <c r="E9667" s="30" t="inlineStr">
        <is>
          <t>ANDRADE E ABREU TRANSPORTES LTDA</t>
        </is>
      </c>
      <c r="F9667" s="30" t="inlineStr">
        <is>
          <t>2022</t>
        </is>
      </c>
      <c r="G9667" s="40" t="n">
        <v>7215.7</v>
      </c>
    </row>
    <row r="9668" ht="12" customHeight="1">
      <c r="A9668" s="30" t="inlineStr">
        <is>
          <t>POR</t>
        </is>
      </c>
      <c r="B9668" s="30" t="inlineStr">
        <is>
          <t>Porto Real</t>
        </is>
      </c>
      <c r="C9668" s="30" t="n">
        <v>11976441</v>
      </c>
      <c r="D9668" s="30">
        <f>"09318444000225"</f>
        <v/>
      </c>
      <c r="E9668" s="30" t="inlineStr">
        <is>
          <t>ANDRADE E ABREU TRANSPORTES LTDA</t>
        </is>
      </c>
      <c r="F9668" s="30" t="inlineStr">
        <is>
          <t>2023</t>
        </is>
      </c>
      <c r="G9668" s="40" t="n">
        <v>0</v>
      </c>
    </row>
    <row r="9669" ht="12" customHeight="1">
      <c r="A9669" s="30" t="inlineStr">
        <is>
          <t>POR</t>
        </is>
      </c>
      <c r="B9669" s="30" t="inlineStr">
        <is>
          <t>Porto Real</t>
        </is>
      </c>
      <c r="C9669" s="30" t="n">
        <v>12000600</v>
      </c>
      <c r="D9669" s="30">
        <f>"07746586000420"</f>
        <v/>
      </c>
      <c r="E9669" s="30" t="inlineStr">
        <is>
          <t>PEARSON SAUDE ANIMAL S.A.</t>
        </is>
      </c>
      <c r="F9669" s="30" t="inlineStr">
        <is>
          <t>2019</t>
        </is>
      </c>
      <c r="G9669" s="40" t="n">
        <v>0</v>
      </c>
    </row>
    <row r="9670" ht="12" customHeight="1">
      <c r="A9670" s="30" t="inlineStr">
        <is>
          <t>POR</t>
        </is>
      </c>
      <c r="B9670" s="30" t="inlineStr">
        <is>
          <t>Porto Real</t>
        </is>
      </c>
      <c r="C9670" s="30" t="n">
        <v>12000600</v>
      </c>
      <c r="D9670" s="30">
        <f>"07746586000420"</f>
        <v/>
      </c>
      <c r="E9670" s="30" t="inlineStr">
        <is>
          <t>PEARSON SAUDE ANIMAL S.A.</t>
        </is>
      </c>
      <c r="F9670" s="30" t="inlineStr">
        <is>
          <t>2020</t>
        </is>
      </c>
      <c r="G9670" s="40" t="n">
        <v>0</v>
      </c>
    </row>
    <row r="9671" ht="12" customHeight="1">
      <c r="A9671" s="30" t="inlineStr">
        <is>
          <t>POR</t>
        </is>
      </c>
      <c r="B9671" s="30" t="inlineStr">
        <is>
          <t>Porto Real</t>
        </is>
      </c>
      <c r="C9671" s="30" t="n">
        <v>12000600</v>
      </c>
      <c r="D9671" s="30">
        <f>"07746586000420"</f>
        <v/>
      </c>
      <c r="E9671" s="30" t="inlineStr">
        <is>
          <t>PEARSON SAUDE ANIMAL S.A.</t>
        </is>
      </c>
      <c r="F9671" s="30" t="inlineStr">
        <is>
          <t>2021</t>
        </is>
      </c>
      <c r="G9671" s="40" t="n">
        <v>1557935.68</v>
      </c>
    </row>
    <row r="9672" ht="12" customHeight="1">
      <c r="A9672" s="30" t="inlineStr">
        <is>
          <t>POR</t>
        </is>
      </c>
      <c r="B9672" s="30" t="inlineStr">
        <is>
          <t>Porto Real</t>
        </is>
      </c>
      <c r="C9672" s="30" t="n">
        <v>12000600</v>
      </c>
      <c r="D9672" s="30">
        <f>"07746586000420"</f>
        <v/>
      </c>
      <c r="E9672" s="30" t="inlineStr">
        <is>
          <t>PEARSON SAUDE ANIMAL S.A.</t>
        </is>
      </c>
      <c r="F9672" s="30" t="inlineStr">
        <is>
          <t>2022</t>
        </is>
      </c>
      <c r="G9672" s="40" t="n">
        <v>28641924.41</v>
      </c>
    </row>
    <row r="9673" ht="12" customHeight="1">
      <c r="A9673" s="30" t="inlineStr">
        <is>
          <t>POR</t>
        </is>
      </c>
      <c r="B9673" s="30" t="inlineStr">
        <is>
          <t>Porto Real</t>
        </is>
      </c>
      <c r="C9673" s="30" t="n">
        <v>12000600</v>
      </c>
      <c r="D9673" s="30">
        <f>"07746586000420"</f>
        <v/>
      </c>
      <c r="E9673" s="30" t="inlineStr">
        <is>
          <t>PEARSON SAUDE ANIMAL S.A.</t>
        </is>
      </c>
      <c r="F9673" s="30" t="inlineStr">
        <is>
          <t>2023</t>
        </is>
      </c>
      <c r="G9673" s="40" t="n">
        <v>7953648.81</v>
      </c>
    </row>
    <row r="9674" ht="12" customHeight="1">
      <c r="A9674" s="30" t="inlineStr">
        <is>
          <t>POR</t>
        </is>
      </c>
      <c r="B9674" s="30" t="inlineStr">
        <is>
          <t>Porto Real</t>
        </is>
      </c>
      <c r="C9674" s="30" t="n">
        <v>12009070</v>
      </c>
      <c r="D9674" s="30">
        <f>"37711434000100"</f>
        <v/>
      </c>
      <c r="E9674" s="30" t="inlineStr">
        <is>
          <t>ALMED DISTRIBUIDORA E TRANSPORTES LTDA</t>
        </is>
      </c>
      <c r="F9674" s="30" t="inlineStr">
        <is>
          <t>2019</t>
        </is>
      </c>
      <c r="G9674" s="40" t="n">
        <v>0</v>
      </c>
    </row>
    <row r="9675" ht="12" customHeight="1">
      <c r="A9675" s="30" t="inlineStr">
        <is>
          <t>POR</t>
        </is>
      </c>
      <c r="B9675" s="30" t="inlineStr">
        <is>
          <t>Porto Real</t>
        </is>
      </c>
      <c r="C9675" s="30" t="n">
        <v>12009070</v>
      </c>
      <c r="D9675" s="30">
        <f>"37711434000100"</f>
        <v/>
      </c>
      <c r="E9675" s="30" t="inlineStr">
        <is>
          <t>ALMED DISTRIBUIDORA E TRANSPORTES LTDA</t>
        </is>
      </c>
      <c r="F9675" s="30" t="inlineStr">
        <is>
          <t>2020</t>
        </is>
      </c>
      <c r="G9675" s="40" t="n">
        <v>0</v>
      </c>
    </row>
    <row r="9676" ht="12" customHeight="1">
      <c r="A9676" s="30" t="inlineStr">
        <is>
          <t>POR</t>
        </is>
      </c>
      <c r="B9676" s="30" t="inlineStr">
        <is>
          <t>Porto Real</t>
        </is>
      </c>
      <c r="C9676" s="30" t="n">
        <v>12009070</v>
      </c>
      <c r="D9676" s="30">
        <f>"37711434000100"</f>
        <v/>
      </c>
      <c r="E9676" s="30" t="inlineStr">
        <is>
          <t>ALMED DISTRIBUIDORA E TRANSPORTES LTDA</t>
        </is>
      </c>
      <c r="F9676" s="30" t="inlineStr">
        <is>
          <t>2021</t>
        </is>
      </c>
      <c r="G9676" s="40" t="n">
        <v>0</v>
      </c>
    </row>
    <row r="9677" ht="12" customHeight="1">
      <c r="A9677" s="30" t="inlineStr">
        <is>
          <t>POR</t>
        </is>
      </c>
      <c r="B9677" s="30" t="inlineStr">
        <is>
          <t>Porto Real</t>
        </is>
      </c>
      <c r="C9677" s="30" t="n">
        <v>12009070</v>
      </c>
      <c r="D9677" s="30">
        <f>"37711434000100"</f>
        <v/>
      </c>
      <c r="E9677" s="30" t="inlineStr">
        <is>
          <t>ALMED DISTRIBUIDORA E TRANSPORTES LTDA</t>
        </is>
      </c>
      <c r="F9677" s="30" t="inlineStr">
        <is>
          <t>2022</t>
        </is>
      </c>
      <c r="G9677" s="40" t="n">
        <v>0</v>
      </c>
    </row>
    <row r="9678" ht="12" customHeight="1">
      <c r="A9678" s="30" t="inlineStr">
        <is>
          <t>POR</t>
        </is>
      </c>
      <c r="B9678" s="30" t="inlineStr">
        <is>
          <t>Porto Real</t>
        </is>
      </c>
      <c r="C9678" s="30" t="n">
        <v>12009070</v>
      </c>
      <c r="D9678" s="30">
        <f>"37711434000100"</f>
        <v/>
      </c>
      <c r="E9678" s="30" t="inlineStr">
        <is>
          <t>ALMED DISTRIBUIDORA E TRANSPORTES LTDA</t>
        </is>
      </c>
      <c r="F9678" s="30" t="inlineStr">
        <is>
          <t>2023</t>
        </is>
      </c>
      <c r="G9678" s="40" t="n">
        <v>0</v>
      </c>
    </row>
    <row r="9679" ht="12" customHeight="1">
      <c r="A9679" s="30" t="inlineStr">
        <is>
          <t>POR</t>
        </is>
      </c>
      <c r="B9679" s="30" t="inlineStr">
        <is>
          <t>Porto Real</t>
        </is>
      </c>
      <c r="C9679" s="30" t="n">
        <v>12014325</v>
      </c>
      <c r="D9679" s="30">
        <f>"04819724003308"</f>
        <v/>
      </c>
      <c r="E9679" s="30" t="inlineStr">
        <is>
          <t>TELEFONICA TRANSPORTES E LOGISTICA LTDA</t>
        </is>
      </c>
      <c r="F9679" s="30" t="inlineStr">
        <is>
          <t>2021</t>
        </is>
      </c>
      <c r="G9679" s="40" t="n">
        <v>0</v>
      </c>
    </row>
    <row r="9680" ht="12" customHeight="1">
      <c r="A9680" s="30" t="inlineStr">
        <is>
          <t>POR</t>
        </is>
      </c>
      <c r="B9680" s="30" t="inlineStr">
        <is>
          <t>Porto Real</t>
        </is>
      </c>
      <c r="C9680" s="30" t="n">
        <v>12014325</v>
      </c>
      <c r="D9680" s="30">
        <f>"04819724003308"</f>
        <v/>
      </c>
      <c r="E9680" s="30" t="inlineStr">
        <is>
          <t>TELEFONICA TRANSPORTES E LOGISTICA LTDA</t>
        </is>
      </c>
      <c r="F9680" s="30" t="inlineStr">
        <is>
          <t>2022</t>
        </is>
      </c>
      <c r="G9680" s="40" t="n">
        <v>0</v>
      </c>
    </row>
    <row r="9681" ht="12" customHeight="1">
      <c r="A9681" s="30" t="inlineStr">
        <is>
          <t>POR</t>
        </is>
      </c>
      <c r="B9681" s="30" t="inlineStr">
        <is>
          <t>Porto Real</t>
        </is>
      </c>
      <c r="C9681" s="30" t="n">
        <v>12014325</v>
      </c>
      <c r="D9681" s="30">
        <f>"04819724003308"</f>
        <v/>
      </c>
      <c r="E9681" s="30" t="inlineStr">
        <is>
          <t>TELEFONICA TRANSPORTES E LOGISTICA LTDA</t>
        </is>
      </c>
      <c r="F9681" s="30" t="inlineStr">
        <is>
          <t>2023</t>
        </is>
      </c>
      <c r="G9681" s="40" t="n">
        <v>261.91</v>
      </c>
    </row>
    <row r="9682" ht="12" customHeight="1">
      <c r="A9682" s="30" t="inlineStr">
        <is>
          <t>POR</t>
        </is>
      </c>
      <c r="B9682" s="30" t="inlineStr">
        <is>
          <t>Porto Real</t>
        </is>
      </c>
      <c r="C9682" s="30" t="n">
        <v>12031645</v>
      </c>
      <c r="D9682" s="30">
        <f>"41362776000139"</f>
        <v/>
      </c>
      <c r="E9682" s="30" t="inlineStr">
        <is>
          <t>BASTTON COMERCIAL EIRELI</t>
        </is>
      </c>
      <c r="F9682" s="30" t="inlineStr">
        <is>
          <t>2019</t>
        </is>
      </c>
      <c r="G9682" s="40" t="n">
        <v>0</v>
      </c>
    </row>
    <row r="9683" ht="12" customHeight="1">
      <c r="A9683" s="30" t="inlineStr">
        <is>
          <t>POR</t>
        </is>
      </c>
      <c r="B9683" s="30" t="inlineStr">
        <is>
          <t>Porto Real</t>
        </is>
      </c>
      <c r="C9683" s="30" t="n">
        <v>12031645</v>
      </c>
      <c r="D9683" s="30">
        <f>"41362776000139"</f>
        <v/>
      </c>
      <c r="E9683" s="30" t="inlineStr">
        <is>
          <t>BASTTON COMERCIAL EIRELI</t>
        </is>
      </c>
      <c r="F9683" s="30" t="inlineStr">
        <is>
          <t>2020</t>
        </is>
      </c>
      <c r="G9683" s="40" t="n">
        <v>0</v>
      </c>
    </row>
    <row r="9684" ht="12" customHeight="1">
      <c r="A9684" s="30" t="inlineStr">
        <is>
          <t>POR</t>
        </is>
      </c>
      <c r="B9684" s="30" t="inlineStr">
        <is>
          <t>Porto Real</t>
        </is>
      </c>
      <c r="C9684" s="30" t="n">
        <v>12031645</v>
      </c>
      <c r="D9684" s="30">
        <f>"41362776000139"</f>
        <v/>
      </c>
      <c r="E9684" s="30" t="inlineStr">
        <is>
          <t>BASTTON COMERCIAL EIRELI</t>
        </is>
      </c>
      <c r="F9684" s="30" t="inlineStr">
        <is>
          <t>2021</t>
        </is>
      </c>
      <c r="G9684" s="40" t="n">
        <v>0</v>
      </c>
    </row>
    <row r="9685" ht="12" customHeight="1">
      <c r="A9685" s="30" t="inlineStr">
        <is>
          <t>POR</t>
        </is>
      </c>
      <c r="B9685" s="30" t="inlineStr">
        <is>
          <t>Porto Real</t>
        </is>
      </c>
      <c r="C9685" s="30" t="n">
        <v>12031645</v>
      </c>
      <c r="D9685" s="30">
        <f>"41362776000139"</f>
        <v/>
      </c>
      <c r="E9685" s="30" t="inlineStr">
        <is>
          <t>BASTTON COMERCIAL EIRELI</t>
        </is>
      </c>
      <c r="F9685" s="30" t="inlineStr">
        <is>
          <t>2022</t>
        </is>
      </c>
      <c r="G9685" s="40" t="n">
        <v>0</v>
      </c>
    </row>
    <row r="9686" ht="12" customHeight="1">
      <c r="A9686" s="30" t="inlineStr">
        <is>
          <t>POR</t>
        </is>
      </c>
      <c r="B9686" s="30" t="inlineStr">
        <is>
          <t>Porto Real</t>
        </is>
      </c>
      <c r="C9686" s="30" t="n">
        <v>12031645</v>
      </c>
      <c r="D9686" s="30">
        <f>"41362776000139"</f>
        <v/>
      </c>
      <c r="E9686" s="30" t="inlineStr">
        <is>
          <t>BASTTON COMERCIAL EIRELI</t>
        </is>
      </c>
      <c r="F9686" s="30" t="inlineStr">
        <is>
          <t>2023</t>
        </is>
      </c>
      <c r="G9686" s="40" t="n">
        <v>0</v>
      </c>
    </row>
    <row r="9687" ht="12" customHeight="1">
      <c r="A9687" s="30" t="inlineStr">
        <is>
          <t>POR</t>
        </is>
      </c>
      <c r="B9687" s="30" t="inlineStr">
        <is>
          <t>Porto Real</t>
        </is>
      </c>
      <c r="C9687" s="30" t="n">
        <v>12033257</v>
      </c>
      <c r="D9687" s="30">
        <f>"41399354000138"</f>
        <v/>
      </c>
      <c r="E9687" s="30" t="inlineStr">
        <is>
          <t>ACERO METALURGIA LTDA</t>
        </is>
      </c>
      <c r="F9687" s="30" t="inlineStr">
        <is>
          <t>2019</t>
        </is>
      </c>
      <c r="G9687" s="40" t="n">
        <v>0</v>
      </c>
    </row>
    <row r="9688" ht="12" customHeight="1">
      <c r="A9688" s="30" t="inlineStr">
        <is>
          <t>POR</t>
        </is>
      </c>
      <c r="B9688" s="30" t="inlineStr">
        <is>
          <t>Porto Real</t>
        </is>
      </c>
      <c r="C9688" s="30" t="n">
        <v>12033257</v>
      </c>
      <c r="D9688" s="30">
        <f>"41399354000138"</f>
        <v/>
      </c>
      <c r="E9688" s="30" t="inlineStr">
        <is>
          <t>ACERO METALURGIA LTDA</t>
        </is>
      </c>
      <c r="F9688" s="30" t="inlineStr">
        <is>
          <t>2020</t>
        </is>
      </c>
      <c r="G9688" s="40" t="n">
        <v>0</v>
      </c>
    </row>
    <row r="9689" ht="12" customHeight="1">
      <c r="A9689" s="30" t="inlineStr">
        <is>
          <t>POR</t>
        </is>
      </c>
      <c r="B9689" s="30" t="inlineStr">
        <is>
          <t>Porto Real</t>
        </is>
      </c>
      <c r="C9689" s="30" t="n">
        <v>12033257</v>
      </c>
      <c r="D9689" s="30">
        <f>"41399354000138"</f>
        <v/>
      </c>
      <c r="E9689" s="30" t="inlineStr">
        <is>
          <t>ACERO METALURGIA LTDA</t>
        </is>
      </c>
      <c r="F9689" s="30" t="inlineStr">
        <is>
          <t>2021</t>
        </is>
      </c>
      <c r="G9689" s="40" t="n">
        <v>0</v>
      </c>
    </row>
    <row r="9690" ht="12" customHeight="1">
      <c r="A9690" s="30" t="inlineStr">
        <is>
          <t>POR</t>
        </is>
      </c>
      <c r="B9690" s="30" t="inlineStr">
        <is>
          <t>Porto Real</t>
        </is>
      </c>
      <c r="C9690" s="30" t="n">
        <v>12033257</v>
      </c>
      <c r="D9690" s="30">
        <f>"41399354000138"</f>
        <v/>
      </c>
      <c r="E9690" s="30" t="inlineStr">
        <is>
          <t>ACERO METALURGIA LTDA</t>
        </is>
      </c>
      <c r="F9690" s="30" t="inlineStr">
        <is>
          <t>2022</t>
        </is>
      </c>
      <c r="G9690" s="40" t="n">
        <v>733562.53</v>
      </c>
    </row>
    <row r="9691" ht="12" customHeight="1">
      <c r="A9691" s="30" t="inlineStr">
        <is>
          <t>POR</t>
        </is>
      </c>
      <c r="B9691" s="30" t="inlineStr">
        <is>
          <t>Porto Real</t>
        </is>
      </c>
      <c r="C9691" s="30" t="n">
        <v>12033257</v>
      </c>
      <c r="D9691" s="30">
        <f>"41399354000138"</f>
        <v/>
      </c>
      <c r="E9691" s="30" t="inlineStr">
        <is>
          <t>ACERO METALURGIA LTDA</t>
        </is>
      </c>
      <c r="F9691" s="30" t="inlineStr">
        <is>
          <t>2023</t>
        </is>
      </c>
      <c r="G9691" s="40" t="n">
        <v>380771.78</v>
      </c>
    </row>
    <row r="9692" ht="12" customHeight="1">
      <c r="A9692" s="30" t="inlineStr">
        <is>
          <t>POR</t>
        </is>
      </c>
      <c r="B9692" s="30" t="inlineStr">
        <is>
          <t>Porto Real</t>
        </is>
      </c>
      <c r="C9692" s="30" t="n">
        <v>12042728</v>
      </c>
      <c r="D9692" s="30">
        <f>"19051962000793"</f>
        <v/>
      </c>
      <c r="E9692" s="30" t="inlineStr">
        <is>
          <t>NUTRIALFA ALIMENTOS LTDA</t>
        </is>
      </c>
      <c r="F9692" s="30" t="inlineStr">
        <is>
          <t>2019</t>
        </is>
      </c>
      <c r="G9692" s="40" t="n">
        <v>0</v>
      </c>
    </row>
    <row r="9693" ht="12" customHeight="1">
      <c r="A9693" s="30" t="inlineStr">
        <is>
          <t>POR</t>
        </is>
      </c>
      <c r="B9693" s="30" t="inlineStr">
        <is>
          <t>Porto Real</t>
        </is>
      </c>
      <c r="C9693" s="30" t="n">
        <v>12042728</v>
      </c>
      <c r="D9693" s="30">
        <f>"19051962000793"</f>
        <v/>
      </c>
      <c r="E9693" s="30" t="inlineStr">
        <is>
          <t>NUTRIALFA ALIMENTOS LTDA</t>
        </is>
      </c>
      <c r="F9693" s="30" t="inlineStr">
        <is>
          <t>2020</t>
        </is>
      </c>
      <c r="G9693" s="40" t="n">
        <v>0</v>
      </c>
    </row>
    <row r="9694" ht="12" customHeight="1">
      <c r="A9694" s="30" t="inlineStr">
        <is>
          <t>POR</t>
        </is>
      </c>
      <c r="B9694" s="30" t="inlineStr">
        <is>
          <t>Porto Real</t>
        </is>
      </c>
      <c r="C9694" s="30" t="n">
        <v>12042728</v>
      </c>
      <c r="D9694" s="30">
        <f>"19051962000793"</f>
        <v/>
      </c>
      <c r="E9694" s="30" t="inlineStr">
        <is>
          <t>NUTRIALFA ALIMENTOS LTDA</t>
        </is>
      </c>
      <c r="F9694" s="30" t="inlineStr">
        <is>
          <t>2021</t>
        </is>
      </c>
      <c r="G9694" s="40" t="n">
        <v>1145039.74</v>
      </c>
    </row>
    <row r="9695" ht="12" customHeight="1">
      <c r="A9695" s="30" t="inlineStr">
        <is>
          <t>POR</t>
        </is>
      </c>
      <c r="B9695" s="30" t="inlineStr">
        <is>
          <t>Porto Real</t>
        </is>
      </c>
      <c r="C9695" s="30" t="n">
        <v>12042728</v>
      </c>
      <c r="D9695" s="30">
        <f>"19051962000793"</f>
        <v/>
      </c>
      <c r="E9695" s="30" t="inlineStr">
        <is>
          <t>NUTRIALFA ALIMENTOS LTDA</t>
        </is>
      </c>
      <c r="F9695" s="30" t="inlineStr">
        <is>
          <t>2022</t>
        </is>
      </c>
      <c r="G9695" s="40" t="n">
        <v>3669997.55</v>
      </c>
    </row>
    <row r="9696" ht="12" customHeight="1">
      <c r="A9696" s="30" t="inlineStr">
        <is>
          <t>POR</t>
        </is>
      </c>
      <c r="B9696" s="30" t="inlineStr">
        <is>
          <t>Porto Real</t>
        </is>
      </c>
      <c r="C9696" s="30" t="n">
        <v>12042728</v>
      </c>
      <c r="D9696" s="30">
        <f>"19051962000793"</f>
        <v/>
      </c>
      <c r="E9696" s="30" t="inlineStr">
        <is>
          <t>NUTRIALFA ALIMENTOS LTDA</t>
        </is>
      </c>
      <c r="F9696" s="30" t="inlineStr">
        <is>
          <t>2023</t>
        </is>
      </c>
      <c r="G9696" s="40" t="n">
        <v>1934709.81</v>
      </c>
    </row>
    <row r="9697" ht="12" customHeight="1">
      <c r="A9697" s="30" t="inlineStr">
        <is>
          <t>POR</t>
        </is>
      </c>
      <c r="B9697" s="30" t="inlineStr">
        <is>
          <t>Porto Real</t>
        </is>
      </c>
      <c r="C9697" s="30" t="n">
        <v>12084773</v>
      </c>
      <c r="D9697" s="30">
        <f>"26410462000685"</f>
        <v/>
      </c>
      <c r="E9697" s="30" t="inlineStr">
        <is>
          <t>ORION REFEI??ES EMPRESARIAIS LTDA</t>
        </is>
      </c>
      <c r="F9697" s="30" t="inlineStr">
        <is>
          <t>2019</t>
        </is>
      </c>
      <c r="G9697" s="40" t="n">
        <v>0</v>
      </c>
    </row>
    <row r="9698" ht="12" customHeight="1">
      <c r="A9698" s="30" t="inlineStr">
        <is>
          <t>POR</t>
        </is>
      </c>
      <c r="B9698" s="30" t="inlineStr">
        <is>
          <t>Porto Real</t>
        </is>
      </c>
      <c r="C9698" s="30" t="n">
        <v>12084773</v>
      </c>
      <c r="D9698" s="30">
        <f>"26410462000685"</f>
        <v/>
      </c>
      <c r="E9698" s="30" t="inlineStr">
        <is>
          <t>ORION REFEI??ES EMPRESARIAIS LTDA</t>
        </is>
      </c>
      <c r="F9698" s="30" t="inlineStr">
        <is>
          <t>2020</t>
        </is>
      </c>
      <c r="G9698" s="40" t="n">
        <v>0</v>
      </c>
    </row>
    <row r="9699" ht="12" customHeight="1">
      <c r="A9699" s="30" t="inlineStr">
        <is>
          <t>POR</t>
        </is>
      </c>
      <c r="B9699" s="30" t="inlineStr">
        <is>
          <t>Porto Real</t>
        </is>
      </c>
      <c r="C9699" s="30" t="n">
        <v>12084773</v>
      </c>
      <c r="D9699" s="30">
        <f>"26410462000685"</f>
        <v/>
      </c>
      <c r="E9699" s="30" t="inlineStr">
        <is>
          <t>ORION REFEI??ES EMPRESARIAIS LTDA</t>
        </is>
      </c>
      <c r="F9699" s="30" t="inlineStr">
        <is>
          <t>2021</t>
        </is>
      </c>
      <c r="G9699" s="40" t="n">
        <v>0</v>
      </c>
    </row>
    <row r="9700" ht="12" customHeight="1">
      <c r="A9700" s="30" t="inlineStr">
        <is>
          <t>POR</t>
        </is>
      </c>
      <c r="B9700" s="30" t="inlineStr">
        <is>
          <t>Porto Real</t>
        </is>
      </c>
      <c r="C9700" s="30" t="n">
        <v>12084773</v>
      </c>
      <c r="D9700" s="30">
        <f>"26410462000685"</f>
        <v/>
      </c>
      <c r="E9700" s="30" t="inlineStr">
        <is>
          <t>ORION REFEI??ES EMPRESARIAIS LTDA</t>
        </is>
      </c>
      <c r="F9700" s="30" t="inlineStr">
        <is>
          <t>2022</t>
        </is>
      </c>
      <c r="G9700" s="40" t="n">
        <v>0</v>
      </c>
    </row>
    <row r="9701" ht="12" customHeight="1">
      <c r="A9701" s="30" t="inlineStr">
        <is>
          <t>POR</t>
        </is>
      </c>
      <c r="B9701" s="30" t="inlineStr">
        <is>
          <t>Porto Real</t>
        </is>
      </c>
      <c r="C9701" s="30" t="n">
        <v>12084773</v>
      </c>
      <c r="D9701" s="30">
        <f>"26410462000685"</f>
        <v/>
      </c>
      <c r="E9701" s="30" t="inlineStr">
        <is>
          <t>ORION REFEI??ES EMPRESARIAIS LTDA</t>
        </is>
      </c>
      <c r="F9701" s="30" t="inlineStr">
        <is>
          <t>2023</t>
        </is>
      </c>
      <c r="G9701" s="40" t="n">
        <v>0</v>
      </c>
    </row>
    <row r="9702" ht="12" customHeight="1">
      <c r="A9702" s="30" t="inlineStr">
        <is>
          <t>POR</t>
        </is>
      </c>
      <c r="B9702" s="30" t="inlineStr">
        <is>
          <t>Porto Real</t>
        </is>
      </c>
      <c r="C9702" s="30" t="n">
        <v>12085290</v>
      </c>
      <c r="D9702" s="30">
        <f>"43244631005985"</f>
        <v/>
      </c>
      <c r="E9702" s="30" t="inlineStr">
        <is>
          <t>TRANSPORTADORA AMERICANA LTDA</t>
        </is>
      </c>
      <c r="F9702" s="30" t="inlineStr">
        <is>
          <t>2020</t>
        </is>
      </c>
      <c r="G9702" s="40" t="n">
        <v>0</v>
      </c>
    </row>
    <row r="9703" ht="12" customHeight="1">
      <c r="A9703" s="30" t="inlineStr">
        <is>
          <t>POR</t>
        </is>
      </c>
      <c r="B9703" s="30" t="inlineStr">
        <is>
          <t>Porto Real</t>
        </is>
      </c>
      <c r="C9703" s="30" t="n">
        <v>12085290</v>
      </c>
      <c r="D9703" s="30">
        <f>"43244631005985"</f>
        <v/>
      </c>
      <c r="E9703" s="30" t="inlineStr">
        <is>
          <t>TRANSPORTADORA AMERICANA LTDA</t>
        </is>
      </c>
      <c r="F9703" s="30" t="inlineStr">
        <is>
          <t>2021</t>
        </is>
      </c>
      <c r="G9703" s="40" t="n">
        <v>0</v>
      </c>
    </row>
    <row r="9704" ht="12" customHeight="1">
      <c r="A9704" s="30" t="inlineStr">
        <is>
          <t>POR</t>
        </is>
      </c>
      <c r="B9704" s="30" t="inlineStr">
        <is>
          <t>Porto Real</t>
        </is>
      </c>
      <c r="C9704" s="30" t="n">
        <v>12085290</v>
      </c>
      <c r="D9704" s="30">
        <f>"43244631005985"</f>
        <v/>
      </c>
      <c r="E9704" s="30" t="inlineStr">
        <is>
          <t>TRANSPORTADORA AMERICANA LTDA</t>
        </is>
      </c>
      <c r="F9704" s="30" t="inlineStr">
        <is>
          <t>2022</t>
        </is>
      </c>
      <c r="G9704" s="40" t="n">
        <v>181.78</v>
      </c>
    </row>
    <row r="9705" ht="12" customHeight="1">
      <c r="A9705" s="30" t="inlineStr">
        <is>
          <t>POR</t>
        </is>
      </c>
      <c r="B9705" s="30" t="inlineStr">
        <is>
          <t>Porto Real</t>
        </is>
      </c>
      <c r="C9705" s="30" t="n">
        <v>12085290</v>
      </c>
      <c r="D9705" s="30">
        <f>"43244631005985"</f>
        <v/>
      </c>
      <c r="E9705" s="30" t="inlineStr">
        <is>
          <t>TRANSPORTADORA AMERICANA LTDA</t>
        </is>
      </c>
      <c r="F9705" s="30" t="inlineStr">
        <is>
          <t>2023</t>
        </is>
      </c>
      <c r="G9705" s="40" t="n">
        <v>0</v>
      </c>
    </row>
    <row r="9706" ht="12" customHeight="1">
      <c r="A9706" s="30" t="inlineStr">
        <is>
          <t>POR</t>
        </is>
      </c>
      <c r="B9706" s="30" t="inlineStr">
        <is>
          <t>Porto Real</t>
        </is>
      </c>
      <c r="C9706" s="30" t="n">
        <v>12087810</v>
      </c>
      <c r="D9706" s="30">
        <f>"29453826000511"</f>
        <v/>
      </c>
      <c r="E9706" s="30" t="inlineStr">
        <is>
          <t>TRANSPORTE GENEROSO LTDA</t>
        </is>
      </c>
      <c r="F9706" s="30" t="inlineStr">
        <is>
          <t>2019</t>
        </is>
      </c>
      <c r="G9706" s="40" t="n">
        <v>0</v>
      </c>
    </row>
    <row r="9707" ht="12" customHeight="1">
      <c r="A9707" s="30" t="inlineStr">
        <is>
          <t>POR</t>
        </is>
      </c>
      <c r="B9707" s="30" t="inlineStr">
        <is>
          <t>Porto Real</t>
        </is>
      </c>
      <c r="C9707" s="30" t="n">
        <v>12087810</v>
      </c>
      <c r="D9707" s="30">
        <f>"29453826000511"</f>
        <v/>
      </c>
      <c r="E9707" s="30" t="inlineStr">
        <is>
          <t>TRANSPORTE GENEROSO LTDA</t>
        </is>
      </c>
      <c r="F9707" s="30" t="inlineStr">
        <is>
          <t>2020</t>
        </is>
      </c>
      <c r="G9707" s="40" t="n">
        <v>0</v>
      </c>
    </row>
    <row r="9708" ht="12" customHeight="1">
      <c r="A9708" s="30" t="inlineStr">
        <is>
          <t>POR</t>
        </is>
      </c>
      <c r="B9708" s="30" t="inlineStr">
        <is>
          <t>Porto Real</t>
        </is>
      </c>
      <c r="C9708" s="30" t="n">
        <v>12087810</v>
      </c>
      <c r="D9708" s="30">
        <f>"29453826000511"</f>
        <v/>
      </c>
      <c r="E9708" s="30" t="inlineStr">
        <is>
          <t>TRANSPORTE GENEROSO LTDA</t>
        </is>
      </c>
      <c r="F9708" s="30" t="inlineStr">
        <is>
          <t>2021</t>
        </is>
      </c>
      <c r="G9708" s="40" t="n">
        <v>101.78</v>
      </c>
    </row>
    <row r="9709" ht="12" customHeight="1">
      <c r="A9709" s="30" t="inlineStr">
        <is>
          <t>POR</t>
        </is>
      </c>
      <c r="B9709" s="30" t="inlineStr">
        <is>
          <t>Porto Real</t>
        </is>
      </c>
      <c r="C9709" s="30" t="n">
        <v>12087810</v>
      </c>
      <c r="D9709" s="30">
        <f>"29453826000511"</f>
        <v/>
      </c>
      <c r="E9709" s="30" t="inlineStr">
        <is>
          <t>TRANSPORTE GENEROSO LTDA</t>
        </is>
      </c>
      <c r="F9709" s="30" t="inlineStr">
        <is>
          <t>2022</t>
        </is>
      </c>
      <c r="G9709" s="40" t="n">
        <v>455</v>
      </c>
    </row>
    <row r="9710" ht="12" customHeight="1">
      <c r="A9710" s="30" t="inlineStr">
        <is>
          <t>POR</t>
        </is>
      </c>
      <c r="B9710" s="30" t="inlineStr">
        <is>
          <t>Porto Real</t>
        </is>
      </c>
      <c r="C9710" s="30" t="n">
        <v>12087810</v>
      </c>
      <c r="D9710" s="30">
        <f>"29453826000511"</f>
        <v/>
      </c>
      <c r="E9710" s="30" t="inlineStr">
        <is>
          <t>TRANSPORTE GENEROSO LTDA</t>
        </is>
      </c>
      <c r="F9710" s="30" t="inlineStr">
        <is>
          <t>2023</t>
        </is>
      </c>
      <c r="G9710" s="40" t="n">
        <v>509.88</v>
      </c>
    </row>
    <row r="9711" ht="12" customHeight="1">
      <c r="A9711" s="30" t="inlineStr">
        <is>
          <t>POR</t>
        </is>
      </c>
      <c r="B9711" s="30" t="inlineStr">
        <is>
          <t>Porto Real</t>
        </is>
      </c>
      <c r="C9711" s="30" t="n">
        <v>12089279</v>
      </c>
      <c r="D9711" s="30">
        <f>"16701716004577"</f>
        <v/>
      </c>
      <c r="E9711" s="30" t="inlineStr">
        <is>
          <t>FCA FIAT CHRYSLER AUTOMOVEIS BRASIL LTDA</t>
        </is>
      </c>
      <c r="F9711" s="30" t="inlineStr">
        <is>
          <t>2019</t>
        </is>
      </c>
      <c r="G9711" s="40" t="n">
        <v>0</v>
      </c>
    </row>
    <row r="9712" ht="12" customHeight="1">
      <c r="A9712" s="30" t="inlineStr">
        <is>
          <t>POR</t>
        </is>
      </c>
      <c r="B9712" s="30" t="inlineStr">
        <is>
          <t>Porto Real</t>
        </is>
      </c>
      <c r="C9712" s="30" t="n">
        <v>12089279</v>
      </c>
      <c r="D9712" s="30">
        <f>"16701716004577"</f>
        <v/>
      </c>
      <c r="E9712" s="30" t="inlineStr">
        <is>
          <t>FCA FIAT CHRYSLER AUTOMOVEIS BRASIL LTDA</t>
        </is>
      </c>
      <c r="F9712" s="30" t="inlineStr">
        <is>
          <t>2020</t>
        </is>
      </c>
      <c r="G9712" s="40" t="n">
        <v>0</v>
      </c>
    </row>
    <row r="9713" ht="12" customHeight="1">
      <c r="A9713" s="30" t="inlineStr">
        <is>
          <t>POR</t>
        </is>
      </c>
      <c r="B9713" s="30" t="inlineStr">
        <is>
          <t>Porto Real</t>
        </is>
      </c>
      <c r="C9713" s="30" t="n">
        <v>12089279</v>
      </c>
      <c r="D9713" s="30">
        <f>"16701716004577"</f>
        <v/>
      </c>
      <c r="E9713" s="30" t="inlineStr">
        <is>
          <t>FCA FIAT CHRYSLER AUTOMOVEIS BRASIL LTDA</t>
        </is>
      </c>
      <c r="F9713" s="30" t="inlineStr">
        <is>
          <t>2021</t>
        </is>
      </c>
      <c r="G9713" s="40" t="n">
        <v>0</v>
      </c>
    </row>
    <row r="9714" ht="12" customHeight="1">
      <c r="A9714" s="30" t="inlineStr">
        <is>
          <t>POR</t>
        </is>
      </c>
      <c r="B9714" s="30" t="inlineStr">
        <is>
          <t>Porto Real</t>
        </is>
      </c>
      <c r="C9714" s="30" t="n">
        <v>12089279</v>
      </c>
      <c r="D9714" s="30">
        <f>"16701716004577"</f>
        <v/>
      </c>
      <c r="E9714" s="30" t="inlineStr">
        <is>
          <t>FCA FIAT CHRYSLER AUTOMOVEIS BRASIL LTDA</t>
        </is>
      </c>
      <c r="F9714" s="30" t="inlineStr">
        <is>
          <t>2022</t>
        </is>
      </c>
      <c r="G9714" s="40" t="n">
        <v>0</v>
      </c>
    </row>
    <row r="9715" ht="12" customHeight="1">
      <c r="A9715" s="30" t="inlineStr">
        <is>
          <t>POR</t>
        </is>
      </c>
      <c r="B9715" s="30" t="inlineStr">
        <is>
          <t>Porto Real</t>
        </is>
      </c>
      <c r="C9715" s="30" t="n">
        <v>12089279</v>
      </c>
      <c r="D9715" s="30">
        <f>"16701716004577"</f>
        <v/>
      </c>
      <c r="E9715" s="30" t="inlineStr">
        <is>
          <t>FCA FIAT CHRYSLER AUTOMOVEIS BRASIL LTDA</t>
        </is>
      </c>
      <c r="F9715" s="30" t="inlineStr">
        <is>
          <t>2023</t>
        </is>
      </c>
      <c r="G9715" s="40" t="n">
        <v>0</v>
      </c>
    </row>
    <row r="9716" ht="12" customHeight="1">
      <c r="A9716" s="30" t="inlineStr">
        <is>
          <t>POR</t>
        </is>
      </c>
      <c r="B9716" s="30" t="inlineStr">
        <is>
          <t>Porto Real</t>
        </is>
      </c>
      <c r="C9716" s="30" t="n">
        <v>12090536</v>
      </c>
      <c r="D9716" s="30">
        <f>"08094439000302"</f>
        <v/>
      </c>
      <c r="E9716" s="30" t="inlineStr">
        <is>
          <t>JPA SANTOS FARMACIA LTDA</t>
        </is>
      </c>
      <c r="F9716" s="30" t="inlineStr">
        <is>
          <t>2019</t>
        </is>
      </c>
      <c r="G9716" s="40" t="n">
        <v>0</v>
      </c>
    </row>
    <row r="9717" ht="12" customHeight="1">
      <c r="A9717" s="30" t="inlineStr">
        <is>
          <t>POR</t>
        </is>
      </c>
      <c r="B9717" s="30" t="inlineStr">
        <is>
          <t>Porto Real</t>
        </is>
      </c>
      <c r="C9717" s="30" t="n">
        <v>12090536</v>
      </c>
      <c r="D9717" s="30">
        <f>"08094439000302"</f>
        <v/>
      </c>
      <c r="E9717" s="30" t="inlineStr">
        <is>
          <t>JPA SANTOS FARMACIA LTDA</t>
        </is>
      </c>
      <c r="F9717" s="30" t="inlineStr">
        <is>
          <t>2020</t>
        </is>
      </c>
      <c r="G9717" s="40" t="n">
        <v>0</v>
      </c>
    </row>
    <row r="9718" ht="12" customHeight="1">
      <c r="A9718" s="30" t="inlineStr">
        <is>
          <t>POR</t>
        </is>
      </c>
      <c r="B9718" s="30" t="inlineStr">
        <is>
          <t>Porto Real</t>
        </is>
      </c>
      <c r="C9718" s="30" t="n">
        <v>12090536</v>
      </c>
      <c r="D9718" s="30">
        <f>"08094439000302"</f>
        <v/>
      </c>
      <c r="E9718" s="30" t="inlineStr">
        <is>
          <t>JPA SANTOS FARMACIA LTDA</t>
        </is>
      </c>
      <c r="F9718" s="30" t="inlineStr">
        <is>
          <t>2021</t>
        </is>
      </c>
      <c r="G9718" s="40" t="n">
        <v>252389.14</v>
      </c>
    </row>
    <row r="9719" ht="12" customHeight="1">
      <c r="A9719" s="30" t="inlineStr">
        <is>
          <t>POR</t>
        </is>
      </c>
      <c r="B9719" s="30" t="inlineStr">
        <is>
          <t>Porto Real</t>
        </is>
      </c>
      <c r="C9719" s="30" t="n">
        <v>12090536</v>
      </c>
      <c r="D9719" s="30">
        <f>"08094439000302"</f>
        <v/>
      </c>
      <c r="E9719" s="30" t="inlineStr">
        <is>
          <t>JPA SANTOS FARMACIA LTDA</t>
        </is>
      </c>
      <c r="F9719" s="30" t="inlineStr">
        <is>
          <t>2022</t>
        </is>
      </c>
      <c r="G9719" s="40" t="n">
        <v>507215.56</v>
      </c>
    </row>
    <row r="9720" ht="12" customHeight="1">
      <c r="A9720" s="30" t="inlineStr">
        <is>
          <t>POR</t>
        </is>
      </c>
      <c r="B9720" s="30" t="inlineStr">
        <is>
          <t>Porto Real</t>
        </is>
      </c>
      <c r="C9720" s="30" t="n">
        <v>12090536</v>
      </c>
      <c r="D9720" s="30">
        <f>"08094439000302"</f>
        <v/>
      </c>
      <c r="E9720" s="30" t="inlineStr">
        <is>
          <t>JPA SANTOS FARMACIA LTDA</t>
        </is>
      </c>
      <c r="F9720" s="30" t="inlineStr">
        <is>
          <t>2023</t>
        </is>
      </c>
      <c r="G9720" s="40" t="n">
        <v>699774.71</v>
      </c>
    </row>
    <row r="9721" ht="12" customHeight="1">
      <c r="A9721" s="30" t="inlineStr">
        <is>
          <t>POR</t>
        </is>
      </c>
      <c r="B9721" s="30" t="inlineStr">
        <is>
          <t>Porto Real</t>
        </is>
      </c>
      <c r="C9721" s="30" t="n">
        <v>12098235</v>
      </c>
      <c r="D9721" s="30">
        <f>"43823079002611"</f>
        <v/>
      </c>
      <c r="E9721" s="30" t="inlineStr">
        <is>
          <t>SCHENKER DO BRASIL TRANSPORTES INTERNACIONAIS LTDA</t>
        </is>
      </c>
      <c r="F9721" s="30" t="inlineStr">
        <is>
          <t>2021</t>
        </is>
      </c>
      <c r="G9721" s="40" t="n">
        <v>0</v>
      </c>
    </row>
    <row r="9722" ht="12" customHeight="1">
      <c r="A9722" s="30" t="inlineStr">
        <is>
          <t>POR</t>
        </is>
      </c>
      <c r="B9722" s="30" t="inlineStr">
        <is>
          <t>Porto Real</t>
        </is>
      </c>
      <c r="C9722" s="30" t="n">
        <v>12098235</v>
      </c>
      <c r="D9722" s="30">
        <f>"43823079002611"</f>
        <v/>
      </c>
      <c r="E9722" s="30" t="inlineStr">
        <is>
          <t>SCHENKER DO BRASIL TRANSPORTES INTERNACIONAIS LTDA</t>
        </is>
      </c>
      <c r="F9722" s="30" t="inlineStr">
        <is>
          <t>2022</t>
        </is>
      </c>
      <c r="G9722" s="40" t="n">
        <v>0</v>
      </c>
    </row>
    <row r="9723" ht="12" customHeight="1">
      <c r="A9723" s="30" t="inlineStr">
        <is>
          <t>POR</t>
        </is>
      </c>
      <c r="B9723" s="30" t="inlineStr">
        <is>
          <t>Porto Real</t>
        </is>
      </c>
      <c r="C9723" s="30" t="n">
        <v>12098235</v>
      </c>
      <c r="D9723" s="30">
        <f>"43823079002611"</f>
        <v/>
      </c>
      <c r="E9723" s="30" t="inlineStr">
        <is>
          <t>SCHENKER DO BRASIL TRANSPORTES INTERNACIONAIS LTDA</t>
        </is>
      </c>
      <c r="F9723" s="30" t="inlineStr">
        <is>
          <t>2023</t>
        </is>
      </c>
      <c r="G9723" s="40" t="n">
        <v>1847.5</v>
      </c>
    </row>
    <row r="9724" ht="12" customHeight="1">
      <c r="A9724" s="30" t="inlineStr">
        <is>
          <t>POR</t>
        </is>
      </c>
      <c r="B9724" s="30" t="inlineStr">
        <is>
          <t>Porto Real</t>
        </is>
      </c>
      <c r="C9724" s="30" t="n">
        <v>12130511</v>
      </c>
      <c r="D9724" s="30">
        <f>"42246584000120"</f>
        <v/>
      </c>
      <c r="E9724" s="30" t="inlineStr">
        <is>
          <t>COMERCIAL VILLAGE COM?RCIO, REPRESENTA??ES E SERVI?OS LTDA</t>
        </is>
      </c>
      <c r="F9724" s="30" t="inlineStr">
        <is>
          <t>2019</t>
        </is>
      </c>
      <c r="G9724" s="40" t="n">
        <v>0</v>
      </c>
    </row>
    <row r="9725" ht="12" customHeight="1">
      <c r="A9725" s="30" t="inlineStr">
        <is>
          <t>POR</t>
        </is>
      </c>
      <c r="B9725" s="30" t="inlineStr">
        <is>
          <t>Porto Real</t>
        </is>
      </c>
      <c r="C9725" s="30" t="n">
        <v>12130511</v>
      </c>
      <c r="D9725" s="30">
        <f>"42246584000120"</f>
        <v/>
      </c>
      <c r="E9725" s="30" t="inlineStr">
        <is>
          <t>COMERCIAL VILLAGE COM?RCIO, REPRESENTA??ES E SERVI?OS LTDA</t>
        </is>
      </c>
      <c r="F9725" s="30" t="inlineStr">
        <is>
          <t>2020</t>
        </is>
      </c>
      <c r="G9725" s="40" t="n">
        <v>0</v>
      </c>
    </row>
    <row r="9726" ht="12" customHeight="1">
      <c r="A9726" s="30" t="inlineStr">
        <is>
          <t>POR</t>
        </is>
      </c>
      <c r="B9726" s="30" t="inlineStr">
        <is>
          <t>Porto Real</t>
        </is>
      </c>
      <c r="C9726" s="30" t="n">
        <v>12130511</v>
      </c>
      <c r="D9726" s="30">
        <f>"42246584000120"</f>
        <v/>
      </c>
      <c r="E9726" s="30" t="inlineStr">
        <is>
          <t>COMERCIAL VILLAGE COM?RCIO, REPRESENTA??ES E SERVI?OS LTDA</t>
        </is>
      </c>
      <c r="F9726" s="30" t="inlineStr">
        <is>
          <t>2021</t>
        </is>
      </c>
      <c r="G9726" s="40" t="n">
        <v>0</v>
      </c>
    </row>
    <row r="9727" ht="12" customHeight="1">
      <c r="A9727" s="30" t="inlineStr">
        <is>
          <t>POR</t>
        </is>
      </c>
      <c r="B9727" s="30" t="inlineStr">
        <is>
          <t>Porto Real</t>
        </is>
      </c>
      <c r="C9727" s="30" t="n">
        <v>12130511</v>
      </c>
      <c r="D9727" s="30">
        <f>"42246584000120"</f>
        <v/>
      </c>
      <c r="E9727" s="30" t="inlineStr">
        <is>
          <t>COMERCIAL VILLAGE COM?RCIO, REPRESENTA??ES E SERVI?OS LTDA</t>
        </is>
      </c>
      <c r="F9727" s="30" t="inlineStr">
        <is>
          <t>2022</t>
        </is>
      </c>
      <c r="G9727" s="40" t="n">
        <v>0</v>
      </c>
    </row>
    <row r="9728" ht="12" customHeight="1">
      <c r="A9728" s="30" t="inlineStr">
        <is>
          <t>POR</t>
        </is>
      </c>
      <c r="B9728" s="30" t="inlineStr">
        <is>
          <t>Porto Real</t>
        </is>
      </c>
      <c r="C9728" s="30" t="n">
        <v>12130511</v>
      </c>
      <c r="D9728" s="30">
        <f>"42246584000120"</f>
        <v/>
      </c>
      <c r="E9728" s="30" t="inlineStr">
        <is>
          <t>COMERCIAL VILLAGE COM?RCIO, REPRESENTA??ES E SERVI?OS LTDA</t>
        </is>
      </c>
      <c r="F9728" s="30" t="inlineStr">
        <is>
          <t>2023</t>
        </is>
      </c>
      <c r="G9728" s="40" t="n">
        <v>0</v>
      </c>
    </row>
    <row r="9729" ht="12" customHeight="1">
      <c r="A9729" s="30" t="inlineStr">
        <is>
          <t>POR</t>
        </is>
      </c>
      <c r="B9729" s="30" t="inlineStr">
        <is>
          <t>Porto Real</t>
        </is>
      </c>
      <c r="C9729" s="30" t="n">
        <v>12204361</v>
      </c>
      <c r="D9729" s="30">
        <f>"10705738000884"</f>
        <v/>
      </c>
      <c r="E9729" s="30" t="inlineStr">
        <is>
          <t>G &amp; T COZINHA INDUSTRIAL LTDA</t>
        </is>
      </c>
      <c r="F9729" s="30" t="inlineStr">
        <is>
          <t>2019</t>
        </is>
      </c>
      <c r="G9729" s="40" t="n">
        <v>0</v>
      </c>
    </row>
    <row r="9730" ht="12" customHeight="1">
      <c r="A9730" s="30" t="inlineStr">
        <is>
          <t>POR</t>
        </is>
      </c>
      <c r="B9730" s="30" t="inlineStr">
        <is>
          <t>Porto Real</t>
        </is>
      </c>
      <c r="C9730" s="30" t="n">
        <v>12204361</v>
      </c>
      <c r="D9730" s="30">
        <f>"10705738000884"</f>
        <v/>
      </c>
      <c r="E9730" s="30" t="inlineStr">
        <is>
          <t>G &amp; T COZINHA INDUSTRIAL LTDA</t>
        </is>
      </c>
      <c r="F9730" s="30" t="inlineStr">
        <is>
          <t>2020</t>
        </is>
      </c>
      <c r="G9730" s="40" t="n">
        <v>0</v>
      </c>
    </row>
    <row r="9731" ht="12" customHeight="1">
      <c r="A9731" s="30" t="inlineStr">
        <is>
          <t>POR</t>
        </is>
      </c>
      <c r="B9731" s="30" t="inlineStr">
        <is>
          <t>Porto Real</t>
        </is>
      </c>
      <c r="C9731" s="30" t="n">
        <v>12204361</v>
      </c>
      <c r="D9731" s="30">
        <f>"10705738000884"</f>
        <v/>
      </c>
      <c r="E9731" s="30" t="inlineStr">
        <is>
          <t>G &amp; T COZINHA INDUSTRIAL LTDA</t>
        </is>
      </c>
      <c r="F9731" s="30" t="inlineStr">
        <is>
          <t>2021</t>
        </is>
      </c>
      <c r="G9731" s="40" t="n">
        <v>0</v>
      </c>
    </row>
    <row r="9732" ht="12" customHeight="1">
      <c r="A9732" s="30" t="inlineStr">
        <is>
          <t>POR</t>
        </is>
      </c>
      <c r="B9732" s="30" t="inlineStr">
        <is>
          <t>Porto Real</t>
        </is>
      </c>
      <c r="C9732" s="30" t="n">
        <v>12204361</v>
      </c>
      <c r="D9732" s="30">
        <f>"10705738000884"</f>
        <v/>
      </c>
      <c r="E9732" s="30" t="inlineStr">
        <is>
          <t>G &amp; T COZINHA INDUSTRIAL LTDA</t>
        </is>
      </c>
      <c r="F9732" s="30" t="inlineStr">
        <is>
          <t>2022</t>
        </is>
      </c>
      <c r="G9732" s="40" t="n">
        <v>2327394.61</v>
      </c>
    </row>
    <row r="9733" ht="12" customHeight="1">
      <c r="A9733" s="30" t="inlineStr">
        <is>
          <t>POR</t>
        </is>
      </c>
      <c r="B9733" s="30" t="inlineStr">
        <is>
          <t>Porto Real</t>
        </is>
      </c>
      <c r="C9733" s="30" t="n">
        <v>12204361</v>
      </c>
      <c r="D9733" s="30">
        <f>"10705738000884"</f>
        <v/>
      </c>
      <c r="E9733" s="30" t="inlineStr">
        <is>
          <t>G &amp; T COZINHA INDUSTRIAL LTDA</t>
        </is>
      </c>
      <c r="F9733" s="30" t="inlineStr">
        <is>
          <t>2023</t>
        </is>
      </c>
      <c r="G9733" s="40" t="n">
        <v>4151938.29</v>
      </c>
    </row>
    <row r="9734" ht="12" customHeight="1">
      <c r="A9734" s="30" t="inlineStr">
        <is>
          <t>POR</t>
        </is>
      </c>
      <c r="B9734" s="30" t="inlineStr">
        <is>
          <t>Porto Real</t>
        </is>
      </c>
      <c r="C9734" s="30" t="n">
        <v>12210841</v>
      </c>
      <c r="D9734" s="30">
        <f>"13272177000865"</f>
        <v/>
      </c>
      <c r="E9734" s="30" t="inlineStr">
        <is>
          <t>GLOVIS BRASIL LOGISTICA LTDA</t>
        </is>
      </c>
      <c r="F9734" s="30" t="inlineStr">
        <is>
          <t>2019</t>
        </is>
      </c>
      <c r="G9734" s="40" t="n">
        <v>0</v>
      </c>
    </row>
    <row r="9735" ht="12" customHeight="1">
      <c r="A9735" s="30" t="inlineStr">
        <is>
          <t>POR</t>
        </is>
      </c>
      <c r="B9735" s="30" t="inlineStr">
        <is>
          <t>Porto Real</t>
        </is>
      </c>
      <c r="C9735" s="30" t="n">
        <v>12210841</v>
      </c>
      <c r="D9735" s="30">
        <f>"13272177000865"</f>
        <v/>
      </c>
      <c r="E9735" s="30" t="inlineStr">
        <is>
          <t>GLOVIS BRASIL LOGISTICA LTDA</t>
        </is>
      </c>
      <c r="F9735" s="30" t="inlineStr">
        <is>
          <t>2020</t>
        </is>
      </c>
      <c r="G9735" s="40" t="n">
        <v>0</v>
      </c>
    </row>
    <row r="9736" ht="12" customHeight="1">
      <c r="A9736" s="30" t="inlineStr">
        <is>
          <t>POR</t>
        </is>
      </c>
      <c r="B9736" s="30" t="inlineStr">
        <is>
          <t>Porto Real</t>
        </is>
      </c>
      <c r="C9736" s="30" t="n">
        <v>12210841</v>
      </c>
      <c r="D9736" s="30">
        <f>"13272177000865"</f>
        <v/>
      </c>
      <c r="E9736" s="30" t="inlineStr">
        <is>
          <t>GLOVIS BRASIL LOGISTICA LTDA</t>
        </is>
      </c>
      <c r="F9736" s="30" t="inlineStr">
        <is>
          <t>2021</t>
        </is>
      </c>
      <c r="G9736" s="40" t="n">
        <v>0</v>
      </c>
    </row>
    <row r="9737" ht="12" customHeight="1">
      <c r="A9737" s="30" t="inlineStr">
        <is>
          <t>POR</t>
        </is>
      </c>
      <c r="B9737" s="30" t="inlineStr">
        <is>
          <t>Porto Real</t>
        </is>
      </c>
      <c r="C9737" s="30" t="n">
        <v>12210841</v>
      </c>
      <c r="D9737" s="30">
        <f>"13272177000865"</f>
        <v/>
      </c>
      <c r="E9737" s="30" t="inlineStr">
        <is>
          <t>GLOVIS BRASIL LOGISTICA LTDA</t>
        </is>
      </c>
      <c r="F9737" s="30" t="inlineStr">
        <is>
          <t>2022</t>
        </is>
      </c>
      <c r="G9737" s="40" t="n">
        <v>63454.25</v>
      </c>
    </row>
    <row r="9738" ht="12" customHeight="1">
      <c r="A9738" s="30" t="inlineStr">
        <is>
          <t>POR</t>
        </is>
      </c>
      <c r="B9738" s="30" t="inlineStr">
        <is>
          <t>Porto Real</t>
        </is>
      </c>
      <c r="C9738" s="30" t="n">
        <v>12210841</v>
      </c>
      <c r="D9738" s="30">
        <f>"13272177000865"</f>
        <v/>
      </c>
      <c r="E9738" s="30" t="inlineStr">
        <is>
          <t>GLOVIS BRASIL LOGISTICA LTDA</t>
        </is>
      </c>
      <c r="F9738" s="30" t="inlineStr">
        <is>
          <t>2023</t>
        </is>
      </c>
      <c r="G9738" s="40" t="n">
        <v>0</v>
      </c>
    </row>
    <row r="9739" ht="12" customHeight="1">
      <c r="A9739" s="30" t="inlineStr">
        <is>
          <t>POR</t>
        </is>
      </c>
      <c r="B9739" s="30" t="inlineStr">
        <is>
          <t>Porto Real</t>
        </is>
      </c>
      <c r="C9739" s="30" t="n">
        <v>12233574</v>
      </c>
      <c r="D9739" s="30">
        <f>"00000017830761"</f>
        <v/>
      </c>
      <c r="E9739" s="30" t="inlineStr">
        <is>
          <t>ELOISIO VIEIRA FRAGA</t>
        </is>
      </c>
      <c r="F9739" s="30" t="inlineStr">
        <is>
          <t>2019</t>
        </is>
      </c>
      <c r="G9739" s="40" t="n">
        <v>0</v>
      </c>
    </row>
    <row r="9740" ht="12" customHeight="1">
      <c r="A9740" s="30" t="inlineStr">
        <is>
          <t>POR</t>
        </is>
      </c>
      <c r="B9740" s="30" t="inlineStr">
        <is>
          <t>Porto Real</t>
        </is>
      </c>
      <c r="C9740" s="30" t="n">
        <v>12233574</v>
      </c>
      <c r="D9740" s="30">
        <f>"00000017830761"</f>
        <v/>
      </c>
      <c r="E9740" s="30" t="inlineStr">
        <is>
          <t>ELOISIO VIEIRA FRAGA</t>
        </is>
      </c>
      <c r="F9740" s="30" t="inlineStr">
        <is>
          <t>2020</t>
        </is>
      </c>
      <c r="G9740" s="40" t="n">
        <v>0</v>
      </c>
    </row>
    <row r="9741" ht="12" customHeight="1">
      <c r="A9741" s="30" t="inlineStr">
        <is>
          <t>POR</t>
        </is>
      </c>
      <c r="B9741" s="30" t="inlineStr">
        <is>
          <t>Porto Real</t>
        </is>
      </c>
      <c r="C9741" s="30" t="n">
        <v>12233574</v>
      </c>
      <c r="D9741" s="30">
        <f>"00000017830761"</f>
        <v/>
      </c>
      <c r="E9741" s="30" t="inlineStr">
        <is>
          <t>ELOISIO VIEIRA FRAGA</t>
        </is>
      </c>
      <c r="F9741" s="30" t="inlineStr">
        <is>
          <t>2021</t>
        </is>
      </c>
      <c r="G9741" s="40" t="n">
        <v>0</v>
      </c>
    </row>
    <row r="9742" ht="12" customHeight="1">
      <c r="A9742" s="30" t="inlineStr">
        <is>
          <t>POR</t>
        </is>
      </c>
      <c r="B9742" s="30" t="inlineStr">
        <is>
          <t>Porto Real</t>
        </is>
      </c>
      <c r="C9742" s="30" t="n">
        <v>12233574</v>
      </c>
      <c r="D9742" s="30">
        <f>"00000017830761"</f>
        <v/>
      </c>
      <c r="E9742" s="30" t="inlineStr">
        <is>
          <t>ELOISIO VIEIRA FRAGA</t>
        </is>
      </c>
      <c r="F9742" s="30" t="inlineStr">
        <is>
          <t>2022</t>
        </is>
      </c>
      <c r="G9742" s="40" t="n">
        <v>0</v>
      </c>
    </row>
    <row r="9743" ht="12" customHeight="1">
      <c r="A9743" s="30" t="inlineStr">
        <is>
          <t>POR</t>
        </is>
      </c>
      <c r="B9743" s="30" t="inlineStr">
        <is>
          <t>Porto Real</t>
        </is>
      </c>
      <c r="C9743" s="30" t="n">
        <v>12233574</v>
      </c>
      <c r="D9743" s="30">
        <f>"00000017830761"</f>
        <v/>
      </c>
      <c r="E9743" s="30" t="inlineStr">
        <is>
          <t>ELOISIO VIEIRA FRAGA</t>
        </is>
      </c>
      <c r="F9743" s="30" t="inlineStr">
        <is>
          <t>2023</t>
        </is>
      </c>
      <c r="G9743" s="40" t="n">
        <v>0</v>
      </c>
    </row>
    <row r="9744" ht="12" customHeight="1">
      <c r="A9744" s="30" t="inlineStr">
        <is>
          <t>POR</t>
        </is>
      </c>
      <c r="B9744" s="30" t="inlineStr">
        <is>
          <t>Porto Real</t>
        </is>
      </c>
      <c r="C9744" s="30" t="n">
        <v>12335784</v>
      </c>
      <c r="D9744" s="30">
        <f>"40154884000153"</f>
        <v/>
      </c>
      <c r="E9744" s="30" t="inlineStr">
        <is>
          <t>STARLINK BRAZIL SERVICOS DE INTERNET LTDA.</t>
        </is>
      </c>
      <c r="F9744" s="30" t="inlineStr">
        <is>
          <t>2021</t>
        </is>
      </c>
      <c r="G9744" s="40" t="n">
        <v>0</v>
      </c>
    </row>
    <row r="9745" ht="12" customHeight="1">
      <c r="A9745" s="30" t="inlineStr">
        <is>
          <t>POR</t>
        </is>
      </c>
      <c r="B9745" s="30" t="inlineStr">
        <is>
          <t>Porto Real</t>
        </is>
      </c>
      <c r="C9745" s="30" t="n">
        <v>12335784</v>
      </c>
      <c r="D9745" s="30">
        <f>"40154884000153"</f>
        <v/>
      </c>
      <c r="E9745" s="30" t="inlineStr">
        <is>
          <t>STARLINK BRAZIL SERVICOS DE INTERNET LTDA.</t>
        </is>
      </c>
      <c r="F9745" s="30" t="inlineStr">
        <is>
          <t>2022</t>
        </is>
      </c>
      <c r="G9745" s="40" t="n">
        <v>0</v>
      </c>
    </row>
    <row r="9746" ht="12" customHeight="1">
      <c r="A9746" s="30" t="inlineStr">
        <is>
          <t>POR</t>
        </is>
      </c>
      <c r="B9746" s="30" t="inlineStr">
        <is>
          <t>Porto Real</t>
        </is>
      </c>
      <c r="C9746" s="30" t="n">
        <v>12335784</v>
      </c>
      <c r="D9746" s="30">
        <f>"40154884000153"</f>
        <v/>
      </c>
      <c r="E9746" s="30" t="inlineStr">
        <is>
          <t>STARLINK BRAZIL SERVICOS DE INTERNET LTDA.</t>
        </is>
      </c>
      <c r="F9746" s="30" t="inlineStr">
        <is>
          <t>2023</t>
        </is>
      </c>
      <c r="G9746" s="40" t="n">
        <v>5911</v>
      </c>
    </row>
    <row r="9747" ht="12" customHeight="1">
      <c r="A9747" s="30" t="inlineStr">
        <is>
          <t>POR</t>
        </is>
      </c>
      <c r="B9747" s="30" t="inlineStr">
        <is>
          <t>Porto Real</t>
        </is>
      </c>
      <c r="C9747" s="30" t="n">
        <v>12431015</v>
      </c>
      <c r="D9747" s="30">
        <f>"45912210000194"</f>
        <v/>
      </c>
      <c r="E9747" s="30" t="inlineStr">
        <is>
          <t>MILETO TECH MOTORS INDUSTRIA DE VEICULOS AUTOMOTORES LTDA</t>
        </is>
      </c>
      <c r="F9747" s="30" t="inlineStr">
        <is>
          <t>2020</t>
        </is>
      </c>
      <c r="G9747" s="40" t="n">
        <v>0</v>
      </c>
    </row>
    <row r="9748" ht="12" customHeight="1">
      <c r="A9748" s="30" t="inlineStr">
        <is>
          <t>POR</t>
        </is>
      </c>
      <c r="B9748" s="30" t="inlineStr">
        <is>
          <t>Porto Real</t>
        </is>
      </c>
      <c r="C9748" s="30" t="n">
        <v>12431015</v>
      </c>
      <c r="D9748" s="30">
        <f>"45912210000194"</f>
        <v/>
      </c>
      <c r="E9748" s="30" t="inlineStr">
        <is>
          <t>MILETO TECH MOTORS INDUSTRIA DE VEICULOS AUTOMOTORES LTDA</t>
        </is>
      </c>
      <c r="F9748" s="30" t="inlineStr">
        <is>
          <t>2021</t>
        </is>
      </c>
      <c r="G9748" s="40" t="n">
        <v>0</v>
      </c>
    </row>
    <row r="9749" ht="12" customHeight="1">
      <c r="A9749" s="30" t="inlineStr">
        <is>
          <t>POR</t>
        </is>
      </c>
      <c r="B9749" s="30" t="inlineStr">
        <is>
          <t>Porto Real</t>
        </is>
      </c>
      <c r="C9749" s="30" t="n">
        <v>12431015</v>
      </c>
      <c r="D9749" s="30">
        <f>"45912210000194"</f>
        <v/>
      </c>
      <c r="E9749" s="30" t="inlineStr">
        <is>
          <t>MILETO TECH MOTORS INDUSTRIA DE VEICULOS AUTOMOTORES LTDA</t>
        </is>
      </c>
      <c r="F9749" s="30" t="inlineStr">
        <is>
          <t>2022</t>
        </is>
      </c>
      <c r="G9749" s="40" t="n">
        <v>0</v>
      </c>
    </row>
    <row r="9750" ht="12" customHeight="1">
      <c r="A9750" s="30" t="inlineStr">
        <is>
          <t>POR</t>
        </is>
      </c>
      <c r="B9750" s="30" t="inlineStr">
        <is>
          <t>Porto Real</t>
        </is>
      </c>
      <c r="C9750" s="30" t="n">
        <v>12431015</v>
      </c>
      <c r="D9750" s="30">
        <f>"45912210000194"</f>
        <v/>
      </c>
      <c r="E9750" s="30" t="inlineStr">
        <is>
          <t>MILETO TECH MOTORS INDUSTRIA DE VEICULOS AUTOMOTORES LTDA</t>
        </is>
      </c>
      <c r="F9750" s="30" t="inlineStr">
        <is>
          <t>2023</t>
        </is>
      </c>
      <c r="G9750" s="40" t="n">
        <v>0</v>
      </c>
    </row>
    <row r="9751" ht="12" customHeight="1">
      <c r="A9751" s="30" t="inlineStr">
        <is>
          <t>POR</t>
        </is>
      </c>
      <c r="B9751" s="30" t="inlineStr">
        <is>
          <t>Porto Real</t>
        </is>
      </c>
      <c r="C9751" s="30" t="n">
        <v>12453817</v>
      </c>
      <c r="D9751" s="30">
        <f>"43025774001313"</f>
        <v/>
      </c>
      <c r="E9751" s="30" t="inlineStr">
        <is>
          <t>RODOVIARIO BEDIN LIMITADA</t>
        </is>
      </c>
      <c r="F9751" s="30" t="inlineStr">
        <is>
          <t>2020</t>
        </is>
      </c>
      <c r="G9751" s="40" t="n">
        <v>0</v>
      </c>
    </row>
    <row r="9752" ht="12" customHeight="1">
      <c r="A9752" s="30" t="inlineStr">
        <is>
          <t>POR</t>
        </is>
      </c>
      <c r="B9752" s="30" t="inlineStr">
        <is>
          <t>Porto Real</t>
        </is>
      </c>
      <c r="C9752" s="30" t="n">
        <v>12453817</v>
      </c>
      <c r="D9752" s="30">
        <f>"43025774001313"</f>
        <v/>
      </c>
      <c r="E9752" s="30" t="inlineStr">
        <is>
          <t>RODOVIARIO BEDIN LIMITADA</t>
        </is>
      </c>
      <c r="F9752" s="30" t="inlineStr">
        <is>
          <t>2021</t>
        </is>
      </c>
      <c r="G9752" s="40" t="n">
        <v>0</v>
      </c>
    </row>
    <row r="9753" ht="12" customHeight="1">
      <c r="A9753" s="30" t="inlineStr">
        <is>
          <t>POR</t>
        </is>
      </c>
      <c r="B9753" s="30" t="inlineStr">
        <is>
          <t>Porto Real</t>
        </is>
      </c>
      <c r="C9753" s="30" t="n">
        <v>12453817</v>
      </c>
      <c r="D9753" s="30">
        <f>"43025774001313"</f>
        <v/>
      </c>
      <c r="E9753" s="30" t="inlineStr">
        <is>
          <t>RODOVIARIO BEDIN LIMITADA</t>
        </is>
      </c>
      <c r="F9753" s="30" t="inlineStr">
        <is>
          <t>2022</t>
        </is>
      </c>
      <c r="G9753" s="40" t="n">
        <v>1205.94</v>
      </c>
    </row>
    <row r="9754" ht="12" customHeight="1">
      <c r="A9754" s="30" t="inlineStr">
        <is>
          <t>POR</t>
        </is>
      </c>
      <c r="B9754" s="30" t="inlineStr">
        <is>
          <t>Porto Real</t>
        </is>
      </c>
      <c r="C9754" s="30" t="n">
        <v>12453817</v>
      </c>
      <c r="D9754" s="30">
        <f>"43025774001313"</f>
        <v/>
      </c>
      <c r="E9754" s="30" t="inlineStr">
        <is>
          <t>RODOVIARIO BEDIN LIMITADA</t>
        </is>
      </c>
      <c r="F9754" s="30" t="inlineStr">
        <is>
          <t>2023</t>
        </is>
      </c>
      <c r="G9754" s="40" t="n">
        <v>0</v>
      </c>
    </row>
    <row r="9755" ht="12" customHeight="1">
      <c r="A9755" s="30" t="inlineStr">
        <is>
          <t>POR</t>
        </is>
      </c>
      <c r="B9755" s="30" t="inlineStr">
        <is>
          <t>Porto Real</t>
        </is>
      </c>
      <c r="C9755" s="30" t="n">
        <v>12490062</v>
      </c>
      <c r="D9755" s="30">
        <f>"21570775000415"</f>
        <v/>
      </c>
      <c r="E9755" s="30" t="inlineStr">
        <is>
          <t>PICORELLI S/A TRANSPORTES</t>
        </is>
      </c>
      <c r="F9755" s="30" t="inlineStr">
        <is>
          <t>2020</t>
        </is>
      </c>
      <c r="G9755" s="40" t="n">
        <v>0</v>
      </c>
    </row>
    <row r="9756" ht="12" customHeight="1">
      <c r="A9756" s="30" t="inlineStr">
        <is>
          <t>POR</t>
        </is>
      </c>
      <c r="B9756" s="30" t="inlineStr">
        <is>
          <t>Porto Real</t>
        </is>
      </c>
      <c r="C9756" s="30" t="n">
        <v>12490062</v>
      </c>
      <c r="D9756" s="30">
        <f>"21570775000415"</f>
        <v/>
      </c>
      <c r="E9756" s="30" t="inlineStr">
        <is>
          <t>PICORELLI S/A TRANSPORTES</t>
        </is>
      </c>
      <c r="F9756" s="30" t="inlineStr">
        <is>
          <t>2021</t>
        </is>
      </c>
      <c r="G9756" s="40" t="n">
        <v>0</v>
      </c>
    </row>
    <row r="9757" ht="12" customHeight="1">
      <c r="A9757" s="30" t="inlineStr">
        <is>
          <t>POR</t>
        </is>
      </c>
      <c r="B9757" s="30" t="inlineStr">
        <is>
          <t>Porto Real</t>
        </is>
      </c>
      <c r="C9757" s="30" t="n">
        <v>12490062</v>
      </c>
      <c r="D9757" s="30">
        <f>"21570775000415"</f>
        <v/>
      </c>
      <c r="E9757" s="30" t="inlineStr">
        <is>
          <t>PICORELLI S/A TRANSPORTES</t>
        </is>
      </c>
      <c r="F9757" s="30" t="inlineStr">
        <is>
          <t>2022</t>
        </is>
      </c>
      <c r="G9757" s="40" t="n">
        <v>5758.42</v>
      </c>
    </row>
    <row r="9758" ht="12" customHeight="1">
      <c r="A9758" s="30" t="inlineStr">
        <is>
          <t>POR</t>
        </is>
      </c>
      <c r="B9758" s="30" t="inlineStr">
        <is>
          <t>Porto Real</t>
        </is>
      </c>
      <c r="C9758" s="30" t="n">
        <v>12490062</v>
      </c>
      <c r="D9758" s="30">
        <f>"21570775000415"</f>
        <v/>
      </c>
      <c r="E9758" s="30" t="inlineStr">
        <is>
          <t>PICORELLI S/A TRANSPORTES</t>
        </is>
      </c>
      <c r="F9758" s="30" t="inlineStr">
        <is>
          <t>2023</t>
        </is>
      </c>
      <c r="G9758" s="40" t="n">
        <v>11896.68</v>
      </c>
    </row>
    <row r="9759" ht="12" customHeight="1">
      <c r="A9759" s="30" t="inlineStr">
        <is>
          <t>POR</t>
        </is>
      </c>
      <c r="B9759" s="30" t="inlineStr">
        <is>
          <t>Porto Real</t>
        </is>
      </c>
      <c r="C9759" s="30" t="n">
        <v>12495048</v>
      </c>
      <c r="D9759" s="30">
        <f>"56642960030017"</f>
        <v/>
      </c>
      <c r="E9759" s="30" t="inlineStr">
        <is>
          <t>LOJAS CEM S/A</t>
        </is>
      </c>
      <c r="F9759" s="30" t="inlineStr">
        <is>
          <t>2020</t>
        </is>
      </c>
      <c r="G9759" s="40" t="n">
        <v>0</v>
      </c>
    </row>
    <row r="9760" ht="12" customHeight="1">
      <c r="A9760" s="30" t="inlineStr">
        <is>
          <t>POR</t>
        </is>
      </c>
      <c r="B9760" s="30" t="inlineStr">
        <is>
          <t>Porto Real</t>
        </is>
      </c>
      <c r="C9760" s="30" t="n">
        <v>12495048</v>
      </c>
      <c r="D9760" s="30">
        <f>"56642960030017"</f>
        <v/>
      </c>
      <c r="E9760" s="30" t="inlineStr">
        <is>
          <t>LOJAS CEM S/A</t>
        </is>
      </c>
      <c r="F9760" s="30" t="inlineStr">
        <is>
          <t>2021</t>
        </is>
      </c>
      <c r="G9760" s="40" t="n">
        <v>0</v>
      </c>
    </row>
    <row r="9761" ht="12" customHeight="1">
      <c r="A9761" s="30" t="inlineStr">
        <is>
          <t>POR</t>
        </is>
      </c>
      <c r="B9761" s="30" t="inlineStr">
        <is>
          <t>Porto Real</t>
        </is>
      </c>
      <c r="C9761" s="30" t="n">
        <v>12495048</v>
      </c>
      <c r="D9761" s="30">
        <f>"56642960030017"</f>
        <v/>
      </c>
      <c r="E9761" s="30" t="inlineStr">
        <is>
          <t>LOJAS CEM S/A</t>
        </is>
      </c>
      <c r="F9761" s="30" t="inlineStr">
        <is>
          <t>2022</t>
        </is>
      </c>
      <c r="G9761" s="40" t="n">
        <v>1054702.2</v>
      </c>
    </row>
    <row r="9762" ht="12" customHeight="1">
      <c r="A9762" s="30" t="inlineStr">
        <is>
          <t>POR</t>
        </is>
      </c>
      <c r="B9762" s="30" t="inlineStr">
        <is>
          <t>Porto Real</t>
        </is>
      </c>
      <c r="C9762" s="30" t="n">
        <v>12495048</v>
      </c>
      <c r="D9762" s="30">
        <f>"56642960030017"</f>
        <v/>
      </c>
      <c r="E9762" s="30" t="inlineStr">
        <is>
          <t>LOJAS CEM S/A</t>
        </is>
      </c>
      <c r="F9762" s="30" t="inlineStr">
        <is>
          <t>2023</t>
        </is>
      </c>
      <c r="G9762" s="40" t="n">
        <v>2759739.2</v>
      </c>
    </row>
    <row r="9763" ht="12" customHeight="1">
      <c r="A9763" s="30" t="inlineStr">
        <is>
          <t>POR</t>
        </is>
      </c>
      <c r="B9763" s="30" t="inlineStr">
        <is>
          <t>Porto Real</t>
        </is>
      </c>
      <c r="C9763" s="30" t="n">
        <v>12522657</v>
      </c>
      <c r="D9763" s="30">
        <f>"00007553165760"</f>
        <v/>
      </c>
      <c r="E9763" s="30" t="inlineStr">
        <is>
          <t>LEONARDO EITARO CHOKYU</t>
        </is>
      </c>
      <c r="F9763" s="30" t="inlineStr">
        <is>
          <t>2020</t>
        </is>
      </c>
      <c r="G9763" s="40" t="n">
        <v>0</v>
      </c>
    </row>
    <row r="9764" ht="12" customHeight="1">
      <c r="A9764" s="30" t="inlineStr">
        <is>
          <t>POR</t>
        </is>
      </c>
      <c r="B9764" s="30" t="inlineStr">
        <is>
          <t>Porto Real</t>
        </is>
      </c>
      <c r="C9764" s="30" t="n">
        <v>12522657</v>
      </c>
      <c r="D9764" s="30">
        <f>"00007553165760"</f>
        <v/>
      </c>
      <c r="E9764" s="30" t="inlineStr">
        <is>
          <t>LEONARDO EITARO CHOKYU</t>
        </is>
      </c>
      <c r="F9764" s="30" t="inlineStr">
        <is>
          <t>2021</t>
        </is>
      </c>
      <c r="G9764" s="40" t="n">
        <v>0</v>
      </c>
    </row>
    <row r="9765" ht="12" customHeight="1">
      <c r="A9765" s="30" t="inlineStr">
        <is>
          <t>POR</t>
        </is>
      </c>
      <c r="B9765" s="30" t="inlineStr">
        <is>
          <t>Porto Real</t>
        </is>
      </c>
      <c r="C9765" s="30" t="n">
        <v>12522657</v>
      </c>
      <c r="D9765" s="30">
        <f>"00007553165760"</f>
        <v/>
      </c>
      <c r="E9765" s="30" t="inlineStr">
        <is>
          <t>LEONARDO EITARO CHOKYU</t>
        </is>
      </c>
      <c r="F9765" s="30" t="inlineStr">
        <is>
          <t>2022</t>
        </is>
      </c>
      <c r="G9765" s="40" t="n">
        <v>0</v>
      </c>
    </row>
    <row r="9766" ht="12" customHeight="1">
      <c r="A9766" s="30" t="inlineStr">
        <is>
          <t>POR</t>
        </is>
      </c>
      <c r="B9766" s="30" t="inlineStr">
        <is>
          <t>Porto Real</t>
        </is>
      </c>
      <c r="C9766" s="30" t="n">
        <v>12522657</v>
      </c>
      <c r="D9766" s="30">
        <f>"00007553165760"</f>
        <v/>
      </c>
      <c r="E9766" s="30" t="inlineStr">
        <is>
          <t>LEONARDO EITARO CHOKYU</t>
        </is>
      </c>
      <c r="F9766" s="30" t="inlineStr">
        <is>
          <t>2023</t>
        </is>
      </c>
      <c r="G9766" s="40" t="n">
        <v>204000</v>
      </c>
    </row>
    <row r="9767" ht="12" customHeight="1">
      <c r="A9767" s="30" t="inlineStr">
        <is>
          <t>POR</t>
        </is>
      </c>
      <c r="B9767" s="30" t="inlineStr">
        <is>
          <t>Porto Real</t>
        </is>
      </c>
      <c r="C9767" s="30" t="n">
        <v>12558996</v>
      </c>
      <c r="D9767" s="30">
        <f>"28501213000469"</f>
        <v/>
      </c>
      <c r="E9767" s="30" t="inlineStr">
        <is>
          <t>GRAO DE OURO COMERCIO E EXPORTACAO DE COMMODITIES AGRICOLAS LTDA</t>
        </is>
      </c>
      <c r="F9767" s="30" t="inlineStr">
        <is>
          <t>2020</t>
        </is>
      </c>
      <c r="G9767" s="40" t="n">
        <v>0</v>
      </c>
    </row>
    <row r="9768" ht="12" customHeight="1">
      <c r="A9768" s="30" t="inlineStr">
        <is>
          <t>POR</t>
        </is>
      </c>
      <c r="B9768" s="30" t="inlineStr">
        <is>
          <t>Porto Real</t>
        </is>
      </c>
      <c r="C9768" s="30" t="n">
        <v>12558996</v>
      </c>
      <c r="D9768" s="30">
        <f>"28501213000469"</f>
        <v/>
      </c>
      <c r="E9768" s="30" t="inlineStr">
        <is>
          <t>GRAO DE OURO COMERCIO E EXPORTACAO DE COMMODITIES AGRICOLAS LTDA</t>
        </is>
      </c>
      <c r="F9768" s="30" t="inlineStr">
        <is>
          <t>2021</t>
        </is>
      </c>
      <c r="G9768" s="40" t="n">
        <v>0</v>
      </c>
    </row>
    <row r="9769" ht="12" customHeight="1">
      <c r="A9769" s="30" t="inlineStr">
        <is>
          <t>POR</t>
        </is>
      </c>
      <c r="B9769" s="30" t="inlineStr">
        <is>
          <t>Porto Real</t>
        </is>
      </c>
      <c r="C9769" s="30" t="n">
        <v>12558996</v>
      </c>
      <c r="D9769" s="30">
        <f>"28501213000469"</f>
        <v/>
      </c>
      <c r="E9769" s="30" t="inlineStr">
        <is>
          <t>GRAO DE OURO COMERCIO E EXPORTACAO DE COMMODITIES AGRICOLAS LTDA</t>
        </is>
      </c>
      <c r="F9769" s="30" t="inlineStr">
        <is>
          <t>2022</t>
        </is>
      </c>
      <c r="G9769" s="40" t="n">
        <v>0</v>
      </c>
    </row>
    <row r="9770" ht="12" customHeight="1">
      <c r="A9770" s="30" t="inlineStr">
        <is>
          <t>POR</t>
        </is>
      </c>
      <c r="B9770" s="30" t="inlineStr">
        <is>
          <t>Porto Real</t>
        </is>
      </c>
      <c r="C9770" s="30" t="n">
        <v>12558996</v>
      </c>
      <c r="D9770" s="30">
        <f>"28501213000469"</f>
        <v/>
      </c>
      <c r="E9770" s="30" t="inlineStr">
        <is>
          <t>GRAO DE OURO COMERCIO E EXPORTACAO DE COMMODITIES AGRICOLAS LTDA</t>
        </is>
      </c>
      <c r="F9770" s="30" t="inlineStr">
        <is>
          <t>2023</t>
        </is>
      </c>
      <c r="G9770" s="40" t="n">
        <v>0</v>
      </c>
    </row>
    <row r="9771" ht="12" customHeight="1">
      <c r="A9771" s="30" t="inlineStr">
        <is>
          <t>POR</t>
        </is>
      </c>
      <c r="B9771" s="30" t="inlineStr">
        <is>
          <t>Porto Real</t>
        </is>
      </c>
      <c r="C9771" s="30" t="n">
        <v>12674201</v>
      </c>
      <c r="D9771" s="30">
        <f>"17803300000373"</f>
        <v/>
      </c>
      <c r="E9771" s="30" t="inlineStr">
        <is>
          <t>FORTCARGO TRANSPORTES LTDA</t>
        </is>
      </c>
      <c r="F9771" s="30" t="inlineStr">
        <is>
          <t>2021</t>
        </is>
      </c>
      <c r="G9771" s="40" t="n">
        <v>0</v>
      </c>
    </row>
    <row r="9772" ht="12" customHeight="1">
      <c r="A9772" s="30" t="inlineStr">
        <is>
          <t>POR</t>
        </is>
      </c>
      <c r="B9772" s="30" t="inlineStr">
        <is>
          <t>Porto Real</t>
        </is>
      </c>
      <c r="C9772" s="30" t="n">
        <v>12674201</v>
      </c>
      <c r="D9772" s="30">
        <f>"17803300000373"</f>
        <v/>
      </c>
      <c r="E9772" s="30" t="inlineStr">
        <is>
          <t>FORTCARGO TRANSPORTES LTDA</t>
        </is>
      </c>
      <c r="F9772" s="30" t="inlineStr">
        <is>
          <t>2022</t>
        </is>
      </c>
      <c r="G9772" s="40" t="n">
        <v>0</v>
      </c>
    </row>
    <row r="9773" ht="12" customHeight="1">
      <c r="A9773" s="30" t="inlineStr">
        <is>
          <t>POR</t>
        </is>
      </c>
      <c r="B9773" s="30" t="inlineStr">
        <is>
          <t>Porto Real</t>
        </is>
      </c>
      <c r="C9773" s="30" t="n">
        <v>12674201</v>
      </c>
      <c r="D9773" s="30">
        <f>"17803300000373"</f>
        <v/>
      </c>
      <c r="E9773" s="30" t="inlineStr">
        <is>
          <t>FORTCARGO TRANSPORTES LTDA</t>
        </is>
      </c>
      <c r="F9773" s="30" t="inlineStr">
        <is>
          <t>2023</t>
        </is>
      </c>
      <c r="G9773" s="40" t="n">
        <v>25.63</v>
      </c>
    </row>
    <row r="9774" ht="12" customHeight="1">
      <c r="A9774" s="30" t="inlineStr">
        <is>
          <t>POR</t>
        </is>
      </c>
      <c r="B9774" s="30" t="inlineStr">
        <is>
          <t>Porto Real</t>
        </is>
      </c>
      <c r="C9774" s="30" t="n">
        <v>12706715</v>
      </c>
      <c r="D9774" s="30">
        <f>"48915571000182"</f>
        <v/>
      </c>
      <c r="E9774" s="30" t="inlineStr">
        <is>
          <t>DSERPA SPECIAL STEEL COMPANY LTDA</t>
        </is>
      </c>
      <c r="F9774" s="30" t="inlineStr">
        <is>
          <t>2021</t>
        </is>
      </c>
      <c r="G9774" s="40" t="n">
        <v>0</v>
      </c>
    </row>
    <row r="9775" ht="12" customHeight="1">
      <c r="A9775" s="30" t="inlineStr">
        <is>
          <t>POR</t>
        </is>
      </c>
      <c r="B9775" s="30" t="inlineStr">
        <is>
          <t>Porto Real</t>
        </is>
      </c>
      <c r="C9775" s="30" t="n">
        <v>12706715</v>
      </c>
      <c r="D9775" s="30">
        <f>"48915571000182"</f>
        <v/>
      </c>
      <c r="E9775" s="30" t="inlineStr">
        <is>
          <t>DSERPA SPECIAL STEEL COMPANY LTDA</t>
        </is>
      </c>
      <c r="F9775" s="30" t="inlineStr">
        <is>
          <t>2022</t>
        </is>
      </c>
      <c r="G9775" s="40" t="n">
        <v>0</v>
      </c>
    </row>
    <row r="9776" ht="12" customHeight="1">
      <c r="A9776" s="30" t="inlineStr">
        <is>
          <t>POR</t>
        </is>
      </c>
      <c r="B9776" s="30" t="inlineStr">
        <is>
          <t>Porto Real</t>
        </is>
      </c>
      <c r="C9776" s="30" t="n">
        <v>12706715</v>
      </c>
      <c r="D9776" s="30">
        <f>"48915571000182"</f>
        <v/>
      </c>
      <c r="E9776" s="30" t="inlineStr">
        <is>
          <t>DSERPA SPECIAL STEEL COMPANY LTDA</t>
        </is>
      </c>
      <c r="F9776" s="30" t="inlineStr">
        <is>
          <t>2023</t>
        </is>
      </c>
      <c r="G9776" s="40" t="n">
        <v>82068.97</v>
      </c>
    </row>
    <row r="9777" ht="12" customHeight="1">
      <c r="A9777" s="30" t="inlineStr">
        <is>
          <t>POR</t>
        </is>
      </c>
      <c r="B9777" s="30" t="inlineStr">
        <is>
          <t>Porto Real</t>
        </is>
      </c>
      <c r="C9777" s="30" t="n">
        <v>12716338</v>
      </c>
      <c r="D9777" s="30">
        <f>"81724908000816"</f>
        <v/>
      </c>
      <c r="E9777" s="30" t="inlineStr">
        <is>
          <t>JADIMO TRANSPORTES RODOVIARIOS DE CARGAS LTDA</t>
        </is>
      </c>
      <c r="F9777" s="30" t="inlineStr">
        <is>
          <t>2020</t>
        </is>
      </c>
      <c r="G9777" s="40" t="n">
        <v>0</v>
      </c>
    </row>
    <row r="9778" ht="12" customHeight="1">
      <c r="A9778" s="30" t="inlineStr">
        <is>
          <t>POR</t>
        </is>
      </c>
      <c r="B9778" s="30" t="inlineStr">
        <is>
          <t>Porto Real</t>
        </is>
      </c>
      <c r="C9778" s="30" t="n">
        <v>12716338</v>
      </c>
      <c r="D9778" s="30">
        <f>"81724908000816"</f>
        <v/>
      </c>
      <c r="E9778" s="30" t="inlineStr">
        <is>
          <t>JADIMO TRANSPORTES RODOVIARIOS DE CARGAS LTDA</t>
        </is>
      </c>
      <c r="F9778" s="30" t="inlineStr">
        <is>
          <t>2021</t>
        </is>
      </c>
      <c r="G9778" s="40" t="n">
        <v>0</v>
      </c>
    </row>
    <row r="9779" ht="12" customHeight="1">
      <c r="A9779" s="30" t="inlineStr">
        <is>
          <t>POR</t>
        </is>
      </c>
      <c r="B9779" s="30" t="inlineStr">
        <is>
          <t>Porto Real</t>
        </is>
      </c>
      <c r="C9779" s="30" t="n">
        <v>12716338</v>
      </c>
      <c r="D9779" s="30">
        <f>"81724908000816"</f>
        <v/>
      </c>
      <c r="E9779" s="30" t="inlineStr">
        <is>
          <t>JADIMO TRANSPORTES RODOVIARIOS DE CARGAS LTDA</t>
        </is>
      </c>
      <c r="F9779" s="30" t="inlineStr">
        <is>
          <t>2022</t>
        </is>
      </c>
      <c r="G9779" s="40" t="n">
        <v>0</v>
      </c>
    </row>
    <row r="9780" ht="12" customHeight="1">
      <c r="A9780" s="30" t="inlineStr">
        <is>
          <t>POR</t>
        </is>
      </c>
      <c r="B9780" s="30" t="inlineStr">
        <is>
          <t>Porto Real</t>
        </is>
      </c>
      <c r="C9780" s="30" t="n">
        <v>12716338</v>
      </c>
      <c r="D9780" s="30">
        <f>"81724908000816"</f>
        <v/>
      </c>
      <c r="E9780" s="30" t="inlineStr">
        <is>
          <t>JADIMO TRANSPORTES RODOVIARIOS DE CARGAS LTDA</t>
        </is>
      </c>
      <c r="F9780" s="30" t="inlineStr">
        <is>
          <t>2023</t>
        </is>
      </c>
      <c r="G9780" s="40" t="n">
        <v>0</v>
      </c>
    </row>
    <row r="9781" ht="12" customHeight="1">
      <c r="A9781" s="30" t="inlineStr">
        <is>
          <t>POR</t>
        </is>
      </c>
      <c r="B9781" s="30" t="inlineStr">
        <is>
          <t>Porto Real</t>
        </is>
      </c>
      <c r="C9781" s="30" t="n">
        <v>12717792</v>
      </c>
      <c r="D9781" s="30">
        <f>"49000069000104"</f>
        <v/>
      </c>
      <c r="E9781" s="30" t="inlineStr">
        <is>
          <t>PENIEL COMERCIO DE GAS LTDA</t>
        </is>
      </c>
      <c r="F9781" s="30" t="inlineStr">
        <is>
          <t>2021</t>
        </is>
      </c>
      <c r="G9781" s="40" t="n">
        <v>0</v>
      </c>
    </row>
    <row r="9782" ht="12" customHeight="1">
      <c r="A9782" s="30" t="inlineStr">
        <is>
          <t>POR</t>
        </is>
      </c>
      <c r="B9782" s="30" t="inlineStr">
        <is>
          <t>Porto Real</t>
        </is>
      </c>
      <c r="C9782" s="30" t="n">
        <v>12717792</v>
      </c>
      <c r="D9782" s="30">
        <f>"49000069000104"</f>
        <v/>
      </c>
      <c r="E9782" s="30" t="inlineStr">
        <is>
          <t>PENIEL COMERCIO DE GAS LTDA</t>
        </is>
      </c>
      <c r="F9782" s="30" t="inlineStr">
        <is>
          <t>2022</t>
        </is>
      </c>
      <c r="G9782" s="40" t="n">
        <v>0</v>
      </c>
    </row>
    <row r="9783" ht="12" customHeight="1">
      <c r="A9783" s="30" t="inlineStr">
        <is>
          <t>POR</t>
        </is>
      </c>
      <c r="B9783" s="30" t="inlineStr">
        <is>
          <t>Porto Real</t>
        </is>
      </c>
      <c r="C9783" s="30" t="n">
        <v>12717792</v>
      </c>
      <c r="D9783" s="30">
        <f>"49000069000104"</f>
        <v/>
      </c>
      <c r="E9783" s="30" t="inlineStr">
        <is>
          <t>PENIEL COMERCIO DE GAS LTDA</t>
        </is>
      </c>
      <c r="F9783" s="30" t="inlineStr">
        <is>
          <t>2023</t>
        </is>
      </c>
      <c r="G9783" s="40" t="n">
        <v>0</v>
      </c>
    </row>
    <row r="9784" ht="12" customHeight="1">
      <c r="A9784" s="30" t="inlineStr">
        <is>
          <t>POR</t>
        </is>
      </c>
      <c r="B9784" s="30" t="inlineStr">
        <is>
          <t>Porto Real</t>
        </is>
      </c>
      <c r="C9784" s="30" t="n">
        <v>12807120</v>
      </c>
      <c r="D9784" s="30">
        <f>"17353801000729"</f>
        <v/>
      </c>
      <c r="E9784" s="30" t="inlineStr">
        <is>
          <t>FKS LOGISTICS LTDA</t>
        </is>
      </c>
      <c r="F9784" s="30" t="inlineStr">
        <is>
          <t>2021</t>
        </is>
      </c>
      <c r="G9784" s="40" t="n">
        <v>0</v>
      </c>
    </row>
    <row r="9785" ht="12" customHeight="1">
      <c r="A9785" s="30" t="inlineStr">
        <is>
          <t>POR</t>
        </is>
      </c>
      <c r="B9785" s="30" t="inlineStr">
        <is>
          <t>Porto Real</t>
        </is>
      </c>
      <c r="C9785" s="30" t="n">
        <v>12807120</v>
      </c>
      <c r="D9785" s="30">
        <f>"17353801000729"</f>
        <v/>
      </c>
      <c r="E9785" s="30" t="inlineStr">
        <is>
          <t>FKS LOGISTICS LTDA</t>
        </is>
      </c>
      <c r="F9785" s="30" t="inlineStr">
        <is>
          <t>2022</t>
        </is>
      </c>
      <c r="G9785" s="40" t="n">
        <v>0</v>
      </c>
    </row>
    <row r="9786" ht="12" customHeight="1">
      <c r="A9786" s="30" t="inlineStr">
        <is>
          <t>POR</t>
        </is>
      </c>
      <c r="B9786" s="30" t="inlineStr">
        <is>
          <t>Porto Real</t>
        </is>
      </c>
      <c r="C9786" s="30" t="n">
        <v>12807120</v>
      </c>
      <c r="D9786" s="30">
        <f>"17353801000729"</f>
        <v/>
      </c>
      <c r="E9786" s="30" t="inlineStr">
        <is>
          <t>FKS LOGISTICS LTDA</t>
        </is>
      </c>
      <c r="F9786" s="30" t="inlineStr">
        <is>
          <t>2023</t>
        </is>
      </c>
      <c r="G9786" s="40" t="n">
        <v>2116168.15</v>
      </c>
    </row>
    <row r="9787" ht="12" customHeight="1">
      <c r="A9787" s="30" t="inlineStr">
        <is>
          <t>POR</t>
        </is>
      </c>
      <c r="B9787" s="30" t="inlineStr">
        <is>
          <t>Porto Real</t>
        </is>
      </c>
      <c r="C9787" s="30" t="n">
        <v>12943202</v>
      </c>
      <c r="D9787" s="30">
        <f>"08294788000440"</f>
        <v/>
      </c>
      <c r="E9787" s="30" t="inlineStr">
        <is>
          <t>SAF-HOLLAND DO BRASIL INDUSTRIA E PRODUCAO DE EIXOS E EQUIPAMENT</t>
        </is>
      </c>
      <c r="F9787" s="30" t="inlineStr">
        <is>
          <t>2021</t>
        </is>
      </c>
      <c r="G9787" s="40" t="n">
        <v>0</v>
      </c>
    </row>
    <row r="9788" ht="12" customHeight="1">
      <c r="A9788" s="30" t="inlineStr">
        <is>
          <t>POR</t>
        </is>
      </c>
      <c r="B9788" s="30" t="inlineStr">
        <is>
          <t>Porto Real</t>
        </is>
      </c>
      <c r="C9788" s="30" t="n">
        <v>12943202</v>
      </c>
      <c r="D9788" s="30">
        <f>"08294788000440"</f>
        <v/>
      </c>
      <c r="E9788" s="30" t="inlineStr">
        <is>
          <t>SAF-HOLLAND DO BRASIL INDUSTRIA E PRODUCAO DE EIXOS E EQUIPAMENT</t>
        </is>
      </c>
      <c r="F9788" s="30" t="inlineStr">
        <is>
          <t>2022</t>
        </is>
      </c>
      <c r="G9788" s="40" t="n">
        <v>0</v>
      </c>
    </row>
    <row r="9789" ht="12" customHeight="1">
      <c r="A9789" s="30" t="inlineStr">
        <is>
          <t>POR</t>
        </is>
      </c>
      <c r="B9789" s="30" t="inlineStr">
        <is>
          <t>Porto Real</t>
        </is>
      </c>
      <c r="C9789" s="30" t="n">
        <v>12943202</v>
      </c>
      <c r="D9789" s="30">
        <f>"08294788000440"</f>
        <v/>
      </c>
      <c r="E9789" s="30" t="inlineStr">
        <is>
          <t>SAF-HOLLAND DO BRASIL INDUSTRIA E PRODUCAO DE EIXOS E EQUIPAMENT</t>
        </is>
      </c>
      <c r="F9789" s="30" t="inlineStr">
        <is>
          <t>2023</t>
        </is>
      </c>
      <c r="G9789" s="40" t="n">
        <v>1532646.06</v>
      </c>
    </row>
    <row r="9790" ht="12" customHeight="1">
      <c r="A9790" s="30" t="inlineStr">
        <is>
          <t>POR</t>
        </is>
      </c>
      <c r="B9790" s="30" t="inlineStr">
        <is>
          <t>Porto Real</t>
        </is>
      </c>
      <c r="C9790" s="30" t="n">
        <v>13104026</v>
      </c>
      <c r="D9790" s="30">
        <f>"03176032002001"</f>
        <v/>
      </c>
      <c r="E9790" s="30" t="inlineStr">
        <is>
          <t>TRANSMORENO TRANSPORTES E SERVI?OS LTDA</t>
        </is>
      </c>
      <c r="F9790" s="30" t="inlineStr">
        <is>
          <t>2021</t>
        </is>
      </c>
      <c r="G9790" s="40" t="n">
        <v>0</v>
      </c>
    </row>
    <row r="9791" ht="12" customHeight="1">
      <c r="A9791" s="30" t="inlineStr">
        <is>
          <t>POR</t>
        </is>
      </c>
      <c r="B9791" s="30" t="inlineStr">
        <is>
          <t>Porto Real</t>
        </is>
      </c>
      <c r="C9791" s="30" t="n">
        <v>13104026</v>
      </c>
      <c r="D9791" s="30">
        <f>"03176032002001"</f>
        <v/>
      </c>
      <c r="E9791" s="30" t="inlineStr">
        <is>
          <t>TRANSMORENO TRANSPORTES E SERVI?OS LTDA</t>
        </is>
      </c>
      <c r="F9791" s="30" t="inlineStr">
        <is>
          <t>2022</t>
        </is>
      </c>
      <c r="G9791" s="40" t="n">
        <v>0</v>
      </c>
    </row>
    <row r="9792" ht="12" customHeight="1">
      <c r="A9792" s="30" t="inlineStr">
        <is>
          <t>POR</t>
        </is>
      </c>
      <c r="B9792" s="30" t="inlineStr">
        <is>
          <t>Porto Real</t>
        </is>
      </c>
      <c r="C9792" s="30" t="n">
        <v>13104026</v>
      </c>
      <c r="D9792" s="30">
        <f>"03176032002001"</f>
        <v/>
      </c>
      <c r="E9792" s="30" t="inlineStr">
        <is>
          <t>TRANSMORENO TRANSPORTES E SERVI?OS LTDA</t>
        </is>
      </c>
      <c r="F9792" s="30" t="inlineStr">
        <is>
          <t>2023</t>
        </is>
      </c>
      <c r="G9792" s="40" t="n">
        <v>0</v>
      </c>
    </row>
    <row r="9793" ht="12" customHeight="1">
      <c r="A9793" s="30" t="inlineStr">
        <is>
          <t>POR</t>
        </is>
      </c>
      <c r="B9793" s="30" t="inlineStr">
        <is>
          <t>Porto Real</t>
        </is>
      </c>
      <c r="C9793" s="30" t="n">
        <v>13741735</v>
      </c>
      <c r="D9793" s="30">
        <f>"16701716004658"</f>
        <v/>
      </c>
      <c r="E9793" s="30" t="inlineStr">
        <is>
          <t>FCA FIAT CHRYSLER AUTOMOVEIS BRASIL LTDA</t>
        </is>
      </c>
      <c r="F9793" s="30" t="inlineStr">
        <is>
          <t>2021</t>
        </is>
      </c>
      <c r="G9793" s="40" t="n">
        <v>0</v>
      </c>
    </row>
    <row r="9794" ht="12" customHeight="1">
      <c r="A9794" s="30" t="inlineStr">
        <is>
          <t>POR</t>
        </is>
      </c>
      <c r="B9794" s="30" t="inlineStr">
        <is>
          <t>Porto Real</t>
        </is>
      </c>
      <c r="C9794" s="30" t="n">
        <v>13741735</v>
      </c>
      <c r="D9794" s="30">
        <f>"16701716004658"</f>
        <v/>
      </c>
      <c r="E9794" s="30" t="inlineStr">
        <is>
          <t>FCA FIAT CHRYSLER AUTOMOVEIS BRASIL LTDA</t>
        </is>
      </c>
      <c r="F9794" s="30" t="inlineStr">
        <is>
          <t>2022</t>
        </is>
      </c>
      <c r="G9794" s="40" t="n">
        <v>0</v>
      </c>
    </row>
    <row r="9795" ht="12" customHeight="1">
      <c r="A9795" s="30" t="inlineStr">
        <is>
          <t>POR</t>
        </is>
      </c>
      <c r="B9795" s="30" t="inlineStr">
        <is>
          <t>Porto Real</t>
        </is>
      </c>
      <c r="C9795" s="30" t="n">
        <v>13741735</v>
      </c>
      <c r="D9795" s="30">
        <f>"16701716004658"</f>
        <v/>
      </c>
      <c r="E9795" s="30" t="inlineStr">
        <is>
          <t>FCA FIAT CHRYSLER AUTOMOVEIS BRASIL LTDA</t>
        </is>
      </c>
      <c r="F9795" s="30" t="inlineStr">
        <is>
          <t>2023</t>
        </is>
      </c>
      <c r="G9795" s="40" t="n">
        <v>0</v>
      </c>
    </row>
    <row r="9796" ht="12" customHeight="1">
      <c r="A9796" s="30" t="inlineStr">
        <is>
          <t>POR</t>
        </is>
      </c>
      <c r="B9796" s="30" t="inlineStr">
        <is>
          <t>Porto Real</t>
        </is>
      </c>
      <c r="C9796" s="30" t="n">
        <v>71288269</v>
      </c>
      <c r="D9796" s="30">
        <f>"08775926830"</f>
        <v/>
      </c>
      <c r="E9796" s="30" t="inlineStr">
        <is>
          <t>GERSON TAVERNARI</t>
        </is>
      </c>
      <c r="F9796" s="30" t="inlineStr">
        <is>
          <t>2017</t>
        </is>
      </c>
      <c r="G9796" s="40" t="n">
        <v>0</v>
      </c>
    </row>
    <row r="9797" ht="12" customHeight="1">
      <c r="A9797" s="30" t="inlineStr">
        <is>
          <t>POR</t>
        </is>
      </c>
      <c r="B9797" s="30" t="inlineStr">
        <is>
          <t>Porto Real</t>
        </is>
      </c>
      <c r="C9797" s="30" t="n">
        <v>71288269</v>
      </c>
      <c r="D9797" s="30">
        <f>"08775926830"</f>
        <v/>
      </c>
      <c r="E9797" s="30" t="inlineStr">
        <is>
          <t>GERSON TAVERNARI</t>
        </is>
      </c>
      <c r="F9797" s="30" t="inlineStr">
        <is>
          <t>2018</t>
        </is>
      </c>
      <c r="G9797" s="40" t="n">
        <v>0</v>
      </c>
    </row>
    <row r="9798" ht="12" customHeight="1">
      <c r="A9798" s="30" t="inlineStr">
        <is>
          <t>POR</t>
        </is>
      </c>
      <c r="B9798" s="30" t="inlineStr">
        <is>
          <t>Porto Real</t>
        </is>
      </c>
      <c r="C9798" s="30" t="n">
        <v>71288269</v>
      </c>
      <c r="D9798" s="30">
        <f>"08775926830"</f>
        <v/>
      </c>
      <c r="E9798" s="30" t="inlineStr">
        <is>
          <t>GERSON TAVERNARI</t>
        </is>
      </c>
      <c r="F9798" s="30" t="inlineStr">
        <is>
          <t>2019</t>
        </is>
      </c>
      <c r="G9798" s="40" t="n">
        <v>22134</v>
      </c>
    </row>
    <row r="9799" ht="12" customHeight="1">
      <c r="A9799" s="30" t="inlineStr">
        <is>
          <t>POR</t>
        </is>
      </c>
      <c r="B9799" s="30" t="inlineStr">
        <is>
          <t>Porto Real</t>
        </is>
      </c>
      <c r="C9799" s="30" t="n">
        <v>71288269</v>
      </c>
      <c r="D9799" s="30">
        <f>"08775926830"</f>
        <v/>
      </c>
      <c r="E9799" s="30" t="inlineStr">
        <is>
          <t>GERSON TAVERNARI</t>
        </is>
      </c>
      <c r="F9799" s="30" t="inlineStr">
        <is>
          <t>2020</t>
        </is>
      </c>
      <c r="G9799" s="40" t="n">
        <v>15000</v>
      </c>
    </row>
    <row r="9800" ht="12" customHeight="1">
      <c r="A9800" s="30" t="inlineStr">
        <is>
          <t>POR</t>
        </is>
      </c>
      <c r="B9800" s="30" t="inlineStr">
        <is>
          <t>Porto Real</t>
        </is>
      </c>
      <c r="C9800" s="30" t="n">
        <v>71288269</v>
      </c>
      <c r="D9800" s="30">
        <f>"08775926830"</f>
        <v/>
      </c>
      <c r="E9800" s="30" t="inlineStr">
        <is>
          <t>GERSON TAVERNARI</t>
        </is>
      </c>
      <c r="F9800" s="30" t="inlineStr">
        <is>
          <t>2021</t>
        </is>
      </c>
      <c r="G9800" s="40" t="n">
        <v>10500</v>
      </c>
    </row>
    <row r="9801" ht="12" customHeight="1">
      <c r="A9801" s="30" t="inlineStr">
        <is>
          <t>POR</t>
        </is>
      </c>
      <c r="B9801" s="30" t="inlineStr">
        <is>
          <t>Porto Real</t>
        </is>
      </c>
      <c r="C9801" s="30" t="n">
        <v>71288269</v>
      </c>
      <c r="D9801" s="30">
        <f>"08775926830"</f>
        <v/>
      </c>
      <c r="E9801" s="30" t="inlineStr">
        <is>
          <t>GERSON TAVERNARI</t>
        </is>
      </c>
      <c r="F9801" s="30" t="inlineStr">
        <is>
          <t>2022</t>
        </is>
      </c>
      <c r="G9801" s="40" t="n">
        <v>5711.2</v>
      </c>
    </row>
    <row r="9802" ht="12" customHeight="1">
      <c r="A9802" s="30" t="inlineStr">
        <is>
          <t>POR</t>
        </is>
      </c>
      <c r="B9802" s="30" t="inlineStr">
        <is>
          <t>Porto Real</t>
        </is>
      </c>
      <c r="C9802" s="30" t="n">
        <v>71288269</v>
      </c>
      <c r="D9802" s="30">
        <f>"08775926830"</f>
        <v/>
      </c>
      <c r="E9802" s="30" t="inlineStr">
        <is>
          <t>GERSON TAVERNARI</t>
        </is>
      </c>
      <c r="F9802" s="30" t="inlineStr">
        <is>
          <t>2023</t>
        </is>
      </c>
      <c r="G9802" s="40" t="n">
        <v>7512</v>
      </c>
    </row>
    <row r="9803" ht="12" customHeight="1">
      <c r="A9803" s="30" t="inlineStr">
        <is>
          <t>POR</t>
        </is>
      </c>
      <c r="B9803" s="30" t="inlineStr">
        <is>
          <t>Porto Real</t>
        </is>
      </c>
      <c r="C9803" s="30" t="n">
        <v>71288315</v>
      </c>
      <c r="D9803" s="30">
        <f>"09232663724"</f>
        <v/>
      </c>
      <c r="E9803" s="30" t="inlineStr">
        <is>
          <t>MARLENE MARIA DE OLIVEIRA COSTA</t>
        </is>
      </c>
      <c r="F9803" s="30" t="inlineStr">
        <is>
          <t>2019</t>
        </is>
      </c>
      <c r="G9803" s="40" t="n">
        <v>0</v>
      </c>
    </row>
    <row r="9804" ht="12" customHeight="1">
      <c r="A9804" s="30" t="inlineStr">
        <is>
          <t>POR</t>
        </is>
      </c>
      <c r="B9804" s="30" t="inlineStr">
        <is>
          <t>Porto Real</t>
        </is>
      </c>
      <c r="C9804" s="30" t="n">
        <v>71288315</v>
      </c>
      <c r="D9804" s="30">
        <f>"09232663724"</f>
        <v/>
      </c>
      <c r="E9804" s="30" t="inlineStr">
        <is>
          <t>MARLENE MARIA DE OLIVEIRA COSTA</t>
        </is>
      </c>
      <c r="F9804" s="30" t="inlineStr">
        <is>
          <t>2020</t>
        </is>
      </c>
      <c r="G9804" s="40" t="n">
        <v>0</v>
      </c>
    </row>
    <row r="9805" ht="12" customHeight="1">
      <c r="A9805" s="30" t="inlineStr">
        <is>
          <t>POR</t>
        </is>
      </c>
      <c r="B9805" s="30" t="inlineStr">
        <is>
          <t>Porto Real</t>
        </is>
      </c>
      <c r="C9805" s="30" t="n">
        <v>71288315</v>
      </c>
      <c r="D9805" s="30">
        <f>"09232663724"</f>
        <v/>
      </c>
      <c r="E9805" s="30" t="inlineStr">
        <is>
          <t>MARLENE MARIA DE OLIVEIRA COSTA</t>
        </is>
      </c>
      <c r="F9805" s="30" t="inlineStr">
        <is>
          <t>2021</t>
        </is>
      </c>
      <c r="G9805" s="40" t="n">
        <v>0</v>
      </c>
    </row>
    <row r="9806" ht="12" customHeight="1">
      <c r="A9806" s="30" t="inlineStr">
        <is>
          <t>POR</t>
        </is>
      </c>
      <c r="B9806" s="30" t="inlineStr">
        <is>
          <t>Porto Real</t>
        </is>
      </c>
      <c r="C9806" s="30" t="n">
        <v>71288315</v>
      </c>
      <c r="D9806" s="30">
        <f>"09232663724"</f>
        <v/>
      </c>
      <c r="E9806" s="30" t="inlineStr">
        <is>
          <t>MARLENE MARIA DE OLIVEIRA COSTA</t>
        </is>
      </c>
      <c r="F9806" s="30" t="inlineStr">
        <is>
          <t>2022</t>
        </is>
      </c>
      <c r="G9806" s="40" t="n">
        <v>0</v>
      </c>
    </row>
    <row r="9807" ht="12" customHeight="1">
      <c r="A9807" s="30" t="inlineStr">
        <is>
          <t>POR</t>
        </is>
      </c>
      <c r="B9807" s="30" t="inlineStr">
        <is>
          <t>Porto Real</t>
        </is>
      </c>
      <c r="C9807" s="30" t="n">
        <v>71288315</v>
      </c>
      <c r="D9807" s="30">
        <f>"09232663724"</f>
        <v/>
      </c>
      <c r="E9807" s="30" t="inlineStr">
        <is>
          <t>MARLENE MARIA DE OLIVEIRA COSTA</t>
        </is>
      </c>
      <c r="F9807" s="30" t="inlineStr">
        <is>
          <t>2023</t>
        </is>
      </c>
      <c r="G9807" s="40" t="n">
        <v>0</v>
      </c>
    </row>
    <row r="9808" ht="12" customHeight="1">
      <c r="A9808" s="30" t="inlineStr">
        <is>
          <t>POR</t>
        </is>
      </c>
      <c r="B9808" s="30" t="inlineStr">
        <is>
          <t>Porto Real</t>
        </is>
      </c>
      <c r="C9808" s="30" t="n">
        <v>71603075</v>
      </c>
      <c r="D9808" s="30">
        <f>"49900560787"</f>
        <v/>
      </c>
      <c r="E9808" s="30" t="inlineStr">
        <is>
          <t>CASA GRANDE</t>
        </is>
      </c>
      <c r="F9808" s="30" t="inlineStr">
        <is>
          <t>2017</t>
        </is>
      </c>
      <c r="G9808" s="40" t="n">
        <v>0</v>
      </c>
    </row>
    <row r="9809" ht="12" customHeight="1">
      <c r="A9809" s="30" t="inlineStr">
        <is>
          <t>POR</t>
        </is>
      </c>
      <c r="B9809" s="30" t="inlineStr">
        <is>
          <t>Porto Real</t>
        </is>
      </c>
      <c r="C9809" s="30" t="n">
        <v>71603075</v>
      </c>
      <c r="D9809" s="30">
        <f>"49900560787"</f>
        <v/>
      </c>
      <c r="E9809" s="30" t="inlineStr">
        <is>
          <t>CASA GRANDE</t>
        </is>
      </c>
      <c r="F9809" s="30" t="inlineStr">
        <is>
          <t>2018</t>
        </is>
      </c>
      <c r="G9809" s="40" t="n">
        <v>0</v>
      </c>
    </row>
    <row r="9810" ht="12" customHeight="1">
      <c r="A9810" s="30" t="inlineStr">
        <is>
          <t>POR</t>
        </is>
      </c>
      <c r="B9810" s="30" t="inlineStr">
        <is>
          <t>Porto Real</t>
        </is>
      </c>
      <c r="C9810" s="30" t="n">
        <v>71603075</v>
      </c>
      <c r="D9810" s="30">
        <f>"49900560787"</f>
        <v/>
      </c>
      <c r="E9810" s="30" t="inlineStr">
        <is>
          <t>CASA GRANDE</t>
        </is>
      </c>
      <c r="F9810" s="30" t="inlineStr">
        <is>
          <t>2019</t>
        </is>
      </c>
      <c r="G9810" s="40" t="n">
        <v>44280</v>
      </c>
    </row>
    <row r="9811" ht="12" customHeight="1">
      <c r="A9811" s="30" t="inlineStr">
        <is>
          <t>POR</t>
        </is>
      </c>
      <c r="B9811" s="30" t="inlineStr">
        <is>
          <t>Porto Real</t>
        </is>
      </c>
      <c r="C9811" s="30" t="n">
        <v>71603075</v>
      </c>
      <c r="D9811" s="30">
        <f>"49900560787"</f>
        <v/>
      </c>
      <c r="E9811" s="30" t="inlineStr">
        <is>
          <t>CASA GRANDE</t>
        </is>
      </c>
      <c r="F9811" s="30" t="inlineStr">
        <is>
          <t>2020</t>
        </is>
      </c>
      <c r="G9811" s="40" t="n">
        <v>0</v>
      </c>
    </row>
    <row r="9812" ht="12" customHeight="1">
      <c r="A9812" s="30" t="inlineStr">
        <is>
          <t>POR</t>
        </is>
      </c>
      <c r="B9812" s="30" t="inlineStr">
        <is>
          <t>Porto Real</t>
        </is>
      </c>
      <c r="C9812" s="30" t="n">
        <v>71603075</v>
      </c>
      <c r="D9812" s="30">
        <f>"49900560787"</f>
        <v/>
      </c>
      <c r="E9812" s="30" t="inlineStr">
        <is>
          <t>CASA GRANDE</t>
        </is>
      </c>
      <c r="F9812" s="30" t="inlineStr">
        <is>
          <t>2021</t>
        </is>
      </c>
      <c r="G9812" s="40" t="n">
        <v>0</v>
      </c>
    </row>
    <row r="9813" ht="12" customHeight="1">
      <c r="A9813" s="30" t="inlineStr">
        <is>
          <t>POR</t>
        </is>
      </c>
      <c r="B9813" s="30" t="inlineStr">
        <is>
          <t>Porto Real</t>
        </is>
      </c>
      <c r="C9813" s="30" t="n">
        <v>71603075</v>
      </c>
      <c r="D9813" s="30">
        <f>"49900560787"</f>
        <v/>
      </c>
      <c r="E9813" s="30" t="inlineStr">
        <is>
          <t>CASA GRANDE</t>
        </is>
      </c>
      <c r="F9813" s="30" t="inlineStr">
        <is>
          <t>2022</t>
        </is>
      </c>
      <c r="G9813" s="40" t="n">
        <v>0</v>
      </c>
    </row>
    <row r="9814" ht="12" customHeight="1">
      <c r="A9814" s="30" t="inlineStr">
        <is>
          <t>POR</t>
        </is>
      </c>
      <c r="B9814" s="30" t="inlineStr">
        <is>
          <t>Porto Real</t>
        </is>
      </c>
      <c r="C9814" s="30" t="n">
        <v>71603075</v>
      </c>
      <c r="D9814" s="30">
        <f>"49900560787"</f>
        <v/>
      </c>
      <c r="E9814" s="30" t="inlineStr">
        <is>
          <t>CASA GRANDE</t>
        </is>
      </c>
      <c r="F9814" s="30" t="inlineStr">
        <is>
          <t>2023</t>
        </is>
      </c>
      <c r="G9814" s="40" t="n">
        <v>0</v>
      </c>
    </row>
    <row r="9815" ht="12" customHeight="1">
      <c r="A9815" s="30" t="inlineStr">
        <is>
          <t>POR</t>
        </is>
      </c>
      <c r="B9815" s="30" t="inlineStr">
        <is>
          <t>Porto Real</t>
        </is>
      </c>
      <c r="C9815" s="30" t="n">
        <v>71681580</v>
      </c>
      <c r="D9815" s="30">
        <f>"00753331713"</f>
        <v/>
      </c>
      <c r="E9815" s="30" t="inlineStr">
        <is>
          <t>PAULO SERGIO DA SILVA</t>
        </is>
      </c>
      <c r="F9815" s="30" t="inlineStr">
        <is>
          <t>2017</t>
        </is>
      </c>
      <c r="G9815" s="40" t="n">
        <v>0</v>
      </c>
    </row>
    <row r="9816" ht="12" customHeight="1">
      <c r="A9816" s="30" t="inlineStr">
        <is>
          <t>POR</t>
        </is>
      </c>
      <c r="B9816" s="30" t="inlineStr">
        <is>
          <t>Porto Real</t>
        </is>
      </c>
      <c r="C9816" s="30" t="n">
        <v>71681580</v>
      </c>
      <c r="D9816" s="30">
        <f>"00753331713"</f>
        <v/>
      </c>
      <c r="E9816" s="30" t="inlineStr">
        <is>
          <t>PAULO SERGIO DA SILVA</t>
        </is>
      </c>
      <c r="F9816" s="30" t="inlineStr">
        <is>
          <t>2018</t>
        </is>
      </c>
      <c r="G9816" s="40" t="n">
        <v>0</v>
      </c>
    </row>
    <row r="9817" ht="12" customHeight="1">
      <c r="A9817" s="30" t="inlineStr">
        <is>
          <t>POR</t>
        </is>
      </c>
      <c r="B9817" s="30" t="inlineStr">
        <is>
          <t>Porto Real</t>
        </is>
      </c>
      <c r="C9817" s="30" t="n">
        <v>71681580</v>
      </c>
      <c r="D9817" s="30">
        <f>"00753331713"</f>
        <v/>
      </c>
      <c r="E9817" s="30" t="inlineStr">
        <is>
          <t>PAULO SERGIO DA SILVA</t>
        </is>
      </c>
      <c r="F9817" s="30" t="inlineStr">
        <is>
          <t>2019</t>
        </is>
      </c>
      <c r="G9817" s="40" t="n">
        <v>0</v>
      </c>
    </row>
    <row r="9818" ht="12" customHeight="1">
      <c r="A9818" s="30" t="inlineStr">
        <is>
          <t>POR</t>
        </is>
      </c>
      <c r="B9818" s="30" t="inlineStr">
        <is>
          <t>Porto Real</t>
        </is>
      </c>
      <c r="C9818" s="30" t="n">
        <v>71681580</v>
      </c>
      <c r="D9818" s="30">
        <f>"00753331713"</f>
        <v/>
      </c>
      <c r="E9818" s="30" t="inlineStr">
        <is>
          <t>PAULO SERGIO DA SILVA</t>
        </is>
      </c>
      <c r="F9818" s="30" t="inlineStr">
        <is>
          <t>2020</t>
        </is>
      </c>
      <c r="G9818" s="40" t="n">
        <v>0</v>
      </c>
    </row>
    <row r="9819" ht="12" customHeight="1">
      <c r="A9819" s="30" t="inlineStr">
        <is>
          <t>POR</t>
        </is>
      </c>
      <c r="B9819" s="30" t="inlineStr">
        <is>
          <t>Porto Real</t>
        </is>
      </c>
      <c r="C9819" s="30" t="n">
        <v>71681580</v>
      </c>
      <c r="D9819" s="30">
        <f>"00753331713"</f>
        <v/>
      </c>
      <c r="E9819" s="30" t="inlineStr">
        <is>
          <t>PAULO SERGIO DA SILVA</t>
        </is>
      </c>
      <c r="F9819" s="30" t="inlineStr">
        <is>
          <t>2021</t>
        </is>
      </c>
      <c r="G9819" s="40" t="n">
        <v>863013.55</v>
      </c>
    </row>
    <row r="9820" ht="12" customHeight="1">
      <c r="A9820" s="30" t="inlineStr">
        <is>
          <t>POR</t>
        </is>
      </c>
      <c r="B9820" s="30" t="inlineStr">
        <is>
          <t>Porto Real</t>
        </is>
      </c>
      <c r="C9820" s="30" t="n">
        <v>71681580</v>
      </c>
      <c r="D9820" s="30">
        <f>"00753331713"</f>
        <v/>
      </c>
      <c r="E9820" s="30" t="inlineStr">
        <is>
          <t>PAULO SERGIO DA SILVA</t>
        </is>
      </c>
      <c r="F9820" s="30" t="inlineStr">
        <is>
          <t>2022</t>
        </is>
      </c>
      <c r="G9820" s="40" t="n">
        <v>1052297.44</v>
      </c>
    </row>
    <row r="9821" ht="12" customHeight="1">
      <c r="A9821" s="30" t="inlineStr">
        <is>
          <t>POR</t>
        </is>
      </c>
      <c r="B9821" s="30" t="inlineStr">
        <is>
          <t>Porto Real</t>
        </is>
      </c>
      <c r="C9821" s="30" t="n">
        <v>71681580</v>
      </c>
      <c r="D9821" s="30">
        <f>"00753331713"</f>
        <v/>
      </c>
      <c r="E9821" s="30" t="inlineStr">
        <is>
          <t>PAULO SERGIO DA SILVA</t>
        </is>
      </c>
      <c r="F9821" s="30" t="inlineStr">
        <is>
          <t>2023</t>
        </is>
      </c>
      <c r="G9821" s="40" t="n">
        <v>0</v>
      </c>
    </row>
    <row r="9822" ht="12" customHeight="1">
      <c r="A9822" s="30" t="inlineStr">
        <is>
          <t>POR</t>
        </is>
      </c>
      <c r="B9822" s="30" t="inlineStr">
        <is>
          <t>Porto Real</t>
        </is>
      </c>
      <c r="C9822" s="30" t="n">
        <v>71695301</v>
      </c>
      <c r="D9822" s="30">
        <f>"08693285734"</f>
        <v/>
      </c>
      <c r="E9822" s="30" t="inlineStr">
        <is>
          <t>PAULO HENRIQUE PEREIRA</t>
        </is>
      </c>
      <c r="F9822" s="30" t="inlineStr">
        <is>
          <t>2017</t>
        </is>
      </c>
      <c r="G9822" s="40" t="n">
        <v>0</v>
      </c>
    </row>
    <row r="9823" ht="12" customHeight="1">
      <c r="A9823" s="30" t="inlineStr">
        <is>
          <t>POR</t>
        </is>
      </c>
      <c r="B9823" s="30" t="inlineStr">
        <is>
          <t>Porto Real</t>
        </is>
      </c>
      <c r="C9823" s="30" t="n">
        <v>71695301</v>
      </c>
      <c r="D9823" s="30">
        <f>"08693285734"</f>
        <v/>
      </c>
      <c r="E9823" s="30" t="inlineStr">
        <is>
          <t>PAULO HENRIQUE PEREIRA</t>
        </is>
      </c>
      <c r="F9823" s="30" t="inlineStr">
        <is>
          <t>2018</t>
        </is>
      </c>
      <c r="G9823" s="40" t="n">
        <v>0</v>
      </c>
    </row>
    <row r="9824" ht="12" customHeight="1">
      <c r="A9824" s="30" t="inlineStr">
        <is>
          <t>POR</t>
        </is>
      </c>
      <c r="B9824" s="30" t="inlineStr">
        <is>
          <t>Porto Real</t>
        </is>
      </c>
      <c r="C9824" s="30" t="n">
        <v>71695301</v>
      </c>
      <c r="D9824" s="30">
        <f>"08693285734"</f>
        <v/>
      </c>
      <c r="E9824" s="30" t="inlineStr">
        <is>
          <t>PAULO HENRIQUE PEREIRA</t>
        </is>
      </c>
      <c r="F9824" s="30" t="inlineStr">
        <is>
          <t>2019</t>
        </is>
      </c>
      <c r="G9824" s="40" t="n">
        <v>0</v>
      </c>
    </row>
    <row r="9825" ht="12" customHeight="1">
      <c r="A9825" s="30" t="inlineStr">
        <is>
          <t>POR</t>
        </is>
      </c>
      <c r="B9825" s="30" t="inlineStr">
        <is>
          <t>Porto Real</t>
        </is>
      </c>
      <c r="C9825" s="30" t="n">
        <v>71695301</v>
      </c>
      <c r="D9825" s="30">
        <f>"08693285734"</f>
        <v/>
      </c>
      <c r="E9825" s="30" t="inlineStr">
        <is>
          <t>PAULO HENRIQUE PEREIRA</t>
        </is>
      </c>
      <c r="F9825" s="30" t="inlineStr">
        <is>
          <t>2020</t>
        </is>
      </c>
      <c r="G9825" s="40" t="n">
        <v>0</v>
      </c>
    </row>
    <row r="9826" ht="12" customHeight="1">
      <c r="A9826" s="30" t="inlineStr">
        <is>
          <t>POR</t>
        </is>
      </c>
      <c r="B9826" s="30" t="inlineStr">
        <is>
          <t>Porto Real</t>
        </is>
      </c>
      <c r="C9826" s="30" t="n">
        <v>71695751</v>
      </c>
      <c r="D9826" s="30">
        <f>"31860060749"</f>
        <v/>
      </c>
      <c r="E9826" s="30" t="inlineStr">
        <is>
          <t>AFONSO COSTA DA CONCEICAO</t>
        </is>
      </c>
      <c r="F9826" s="30" t="inlineStr">
        <is>
          <t>2017</t>
        </is>
      </c>
      <c r="G9826" s="40" t="n">
        <v>0</v>
      </c>
    </row>
    <row r="9827" ht="12" customHeight="1">
      <c r="A9827" s="30" t="inlineStr">
        <is>
          <t>POR</t>
        </is>
      </c>
      <c r="B9827" s="30" t="inlineStr">
        <is>
          <t>Porto Real</t>
        </is>
      </c>
      <c r="C9827" s="30" t="n">
        <v>71695751</v>
      </c>
      <c r="D9827" s="30">
        <f>"31860060749"</f>
        <v/>
      </c>
      <c r="E9827" s="30" t="inlineStr">
        <is>
          <t>AFONSO COSTA DA CONCEICAO</t>
        </is>
      </c>
      <c r="F9827" s="30" t="inlineStr">
        <is>
          <t>2018</t>
        </is>
      </c>
      <c r="G9827" s="40" t="n">
        <v>0</v>
      </c>
    </row>
    <row r="9828" ht="12" customHeight="1">
      <c r="A9828" s="30" t="inlineStr">
        <is>
          <t>POR</t>
        </is>
      </c>
      <c r="B9828" s="30" t="inlineStr">
        <is>
          <t>Porto Real</t>
        </is>
      </c>
      <c r="C9828" s="30" t="n">
        <v>71695751</v>
      </c>
      <c r="D9828" s="30">
        <f>"31860060749"</f>
        <v/>
      </c>
      <c r="E9828" s="30" t="inlineStr">
        <is>
          <t>AFONSO COSTA DA CONCEICAO</t>
        </is>
      </c>
      <c r="F9828" s="30" t="inlineStr">
        <is>
          <t>2019</t>
        </is>
      </c>
      <c r="G9828" s="40" t="n">
        <v>0</v>
      </c>
    </row>
    <row r="9829" ht="12" customHeight="1">
      <c r="A9829" s="30" t="inlineStr">
        <is>
          <t>POR</t>
        </is>
      </c>
      <c r="B9829" s="30" t="inlineStr">
        <is>
          <t>Porto Real</t>
        </is>
      </c>
      <c r="C9829" s="30" t="n">
        <v>71695751</v>
      </c>
      <c r="D9829" s="30">
        <f>"31860060749"</f>
        <v/>
      </c>
      <c r="E9829" s="30" t="inlineStr">
        <is>
          <t>AFONSO COSTA DA CONCEICAO</t>
        </is>
      </c>
      <c r="F9829" s="30" t="inlineStr">
        <is>
          <t>2020</t>
        </is>
      </c>
      <c r="G9829" s="40" t="n">
        <v>0</v>
      </c>
    </row>
    <row r="9830" ht="12" customHeight="1">
      <c r="A9830" s="30" t="inlineStr">
        <is>
          <t>POR</t>
        </is>
      </c>
      <c r="B9830" s="30" t="inlineStr">
        <is>
          <t>Porto Real</t>
        </is>
      </c>
      <c r="C9830" s="30" t="n">
        <v>71695751</v>
      </c>
      <c r="D9830" s="30">
        <f>"31860060749"</f>
        <v/>
      </c>
      <c r="E9830" s="30" t="inlineStr">
        <is>
          <t>AFONSO COSTA DA CONCEICAO</t>
        </is>
      </c>
      <c r="F9830" s="30" t="inlineStr">
        <is>
          <t>2021</t>
        </is>
      </c>
      <c r="G9830" s="40" t="n">
        <v>109917.34</v>
      </c>
    </row>
    <row r="9831" ht="12" customHeight="1">
      <c r="A9831" s="30" t="inlineStr">
        <is>
          <t>POR</t>
        </is>
      </c>
      <c r="B9831" s="30" t="inlineStr">
        <is>
          <t>Porto Real</t>
        </is>
      </c>
      <c r="C9831" s="30" t="n">
        <v>71695751</v>
      </c>
      <c r="D9831" s="30">
        <f>"31860060749"</f>
        <v/>
      </c>
      <c r="E9831" s="30" t="inlineStr">
        <is>
          <t>AFONSO COSTA DA CONCEICAO</t>
        </is>
      </c>
      <c r="F9831" s="30" t="inlineStr">
        <is>
          <t>2022</t>
        </is>
      </c>
      <c r="G9831" s="40" t="n">
        <v>21190.82</v>
      </c>
    </row>
    <row r="9832" ht="12" customHeight="1">
      <c r="A9832" s="30" t="inlineStr">
        <is>
          <t>POR</t>
        </is>
      </c>
      <c r="B9832" s="30" t="inlineStr">
        <is>
          <t>Porto Real</t>
        </is>
      </c>
      <c r="C9832" s="30" t="n">
        <v>71695751</v>
      </c>
      <c r="D9832" s="30">
        <f>"31860060749"</f>
        <v/>
      </c>
      <c r="E9832" s="30" t="inlineStr">
        <is>
          <t>AFONSO COSTA DA CONCEICAO</t>
        </is>
      </c>
      <c r="F9832" s="30" t="inlineStr">
        <is>
          <t>2023</t>
        </is>
      </c>
      <c r="G9832" s="40" t="n">
        <v>65580.66</v>
      </c>
    </row>
    <row r="9833" ht="12" customHeight="1">
      <c r="A9833" s="30" t="inlineStr">
        <is>
          <t>POR</t>
        </is>
      </c>
      <c r="B9833" s="30" t="inlineStr">
        <is>
          <t>Porto Real</t>
        </is>
      </c>
      <c r="C9833" s="30" t="n">
        <v>71696235</v>
      </c>
      <c r="D9833" s="30">
        <f>"08631719749"</f>
        <v/>
      </c>
      <c r="E9833" s="30" t="inlineStr">
        <is>
          <t>CARLOS TOSHIMITSU</t>
        </is>
      </c>
      <c r="F9833" s="30" t="inlineStr">
        <is>
          <t>2017</t>
        </is>
      </c>
      <c r="G9833" s="40" t="n">
        <v>0</v>
      </c>
    </row>
    <row r="9834" ht="12" customHeight="1">
      <c r="A9834" s="30" t="inlineStr">
        <is>
          <t>POR</t>
        </is>
      </c>
      <c r="B9834" s="30" t="inlineStr">
        <is>
          <t>Porto Real</t>
        </is>
      </c>
      <c r="C9834" s="30" t="n">
        <v>71696235</v>
      </c>
      <c r="D9834" s="30">
        <f>"08631719749"</f>
        <v/>
      </c>
      <c r="E9834" s="30" t="inlineStr">
        <is>
          <t>CARLOS TOSHIMITSU</t>
        </is>
      </c>
      <c r="F9834" s="30" t="inlineStr">
        <is>
          <t>2018</t>
        </is>
      </c>
      <c r="G9834" s="40" t="n">
        <v>0</v>
      </c>
    </row>
    <row r="9835" ht="12" customHeight="1">
      <c r="A9835" s="30" t="inlineStr">
        <is>
          <t>POR</t>
        </is>
      </c>
      <c r="B9835" s="30" t="inlineStr">
        <is>
          <t>Porto Real</t>
        </is>
      </c>
      <c r="C9835" s="30" t="n">
        <v>71696235</v>
      </c>
      <c r="D9835" s="30">
        <f>"08631719749"</f>
        <v/>
      </c>
      <c r="E9835" s="30" t="inlineStr">
        <is>
          <t>CARLOS TOSHIMITSU</t>
        </is>
      </c>
      <c r="F9835" s="30" t="inlineStr">
        <is>
          <t>2019</t>
        </is>
      </c>
      <c r="G9835" s="40" t="n">
        <v>0</v>
      </c>
    </row>
    <row r="9836" ht="12" customHeight="1">
      <c r="A9836" s="30" t="inlineStr">
        <is>
          <t>POR</t>
        </is>
      </c>
      <c r="B9836" s="30" t="inlineStr">
        <is>
          <t>Porto Real</t>
        </is>
      </c>
      <c r="C9836" s="30" t="n">
        <v>71696235</v>
      </c>
      <c r="D9836" s="30">
        <f>"08631719749"</f>
        <v/>
      </c>
      <c r="E9836" s="30" t="inlineStr">
        <is>
          <t>CARLOS TOSHIMITSU</t>
        </is>
      </c>
      <c r="F9836" s="30" t="inlineStr">
        <is>
          <t>2021</t>
        </is>
      </c>
      <c r="G9836" s="40" t="n">
        <v>0</v>
      </c>
    </row>
    <row r="9837" ht="12" customHeight="1">
      <c r="A9837" s="30" t="inlineStr">
        <is>
          <t>POR</t>
        </is>
      </c>
      <c r="B9837" s="30" t="inlineStr">
        <is>
          <t>Porto Real</t>
        </is>
      </c>
      <c r="C9837" s="30" t="n">
        <v>71696235</v>
      </c>
      <c r="D9837" s="30">
        <f>"08631719749"</f>
        <v/>
      </c>
      <c r="E9837" s="30" t="inlineStr">
        <is>
          <t>CARLOS TOSHIMITSU</t>
        </is>
      </c>
      <c r="F9837" s="30" t="inlineStr">
        <is>
          <t>2022</t>
        </is>
      </c>
      <c r="G9837" s="40" t="n">
        <v>0</v>
      </c>
    </row>
    <row r="9838" ht="12" customHeight="1">
      <c r="A9838" s="30" t="inlineStr">
        <is>
          <t>POR</t>
        </is>
      </c>
      <c r="B9838" s="30" t="inlineStr">
        <is>
          <t>Porto Real</t>
        </is>
      </c>
      <c r="C9838" s="30" t="n">
        <v>71696235</v>
      </c>
      <c r="D9838" s="30">
        <f>"08631719749"</f>
        <v/>
      </c>
      <c r="E9838" s="30" t="inlineStr">
        <is>
          <t>CARLOS TOSHIMITSU</t>
        </is>
      </c>
      <c r="F9838" s="30" t="inlineStr">
        <is>
          <t>2023</t>
        </is>
      </c>
      <c r="G9838" s="40" t="n">
        <v>39393.67</v>
      </c>
    </row>
    <row r="9839" ht="12" customHeight="1">
      <c r="A9839" s="30" t="inlineStr">
        <is>
          <t>POR</t>
        </is>
      </c>
      <c r="B9839" s="30" t="inlineStr">
        <is>
          <t>Porto Real</t>
        </is>
      </c>
      <c r="C9839" s="30" t="n">
        <v>71764451</v>
      </c>
      <c r="D9839" s="30">
        <f>"63090015820"</f>
        <v/>
      </c>
      <c r="E9839" s="30" t="inlineStr">
        <is>
          <t>VALDIR OLIVO DALLA VECCHIA</t>
        </is>
      </c>
      <c r="F9839" s="30" t="inlineStr">
        <is>
          <t>2017</t>
        </is>
      </c>
      <c r="G9839" s="40" t="n">
        <v>0</v>
      </c>
    </row>
    <row r="9840" ht="12" customHeight="1">
      <c r="A9840" s="30" t="inlineStr">
        <is>
          <t>POR</t>
        </is>
      </c>
      <c r="B9840" s="30" t="inlineStr">
        <is>
          <t>Porto Real</t>
        </is>
      </c>
      <c r="C9840" s="30" t="n">
        <v>71764451</v>
      </c>
      <c r="D9840" s="30">
        <f>"63090015820"</f>
        <v/>
      </c>
      <c r="E9840" s="30" t="inlineStr">
        <is>
          <t>VALDIR OLIVO DALLA VECCHIA</t>
        </is>
      </c>
      <c r="F9840" s="30" t="inlineStr">
        <is>
          <t>2018</t>
        </is>
      </c>
      <c r="G9840" s="40" t="n">
        <v>0</v>
      </c>
    </row>
    <row r="9841" ht="12" customHeight="1">
      <c r="A9841" s="30" t="inlineStr">
        <is>
          <t>POR</t>
        </is>
      </c>
      <c r="B9841" s="30" t="inlineStr">
        <is>
          <t>Porto Real</t>
        </is>
      </c>
      <c r="C9841" s="30" t="n">
        <v>71764451</v>
      </c>
      <c r="D9841" s="30">
        <f>"63090015820"</f>
        <v/>
      </c>
      <c r="E9841" s="30" t="inlineStr">
        <is>
          <t>VALDIR OLIVO DALLA VECCHIA</t>
        </is>
      </c>
      <c r="F9841" s="30" t="inlineStr">
        <is>
          <t>2019</t>
        </is>
      </c>
      <c r="G9841" s="40" t="n">
        <v>0</v>
      </c>
    </row>
    <row r="9842" ht="12" customHeight="1">
      <c r="A9842" s="30" t="inlineStr">
        <is>
          <t>POR</t>
        </is>
      </c>
      <c r="B9842" s="30" t="inlineStr">
        <is>
          <t>Porto Real</t>
        </is>
      </c>
      <c r="C9842" s="30" t="n">
        <v>71764478</v>
      </c>
      <c r="D9842" s="30">
        <f>"41235177734"</f>
        <v/>
      </c>
      <c r="E9842" s="30" t="inlineStr">
        <is>
          <t>OSVALDINO PAULO DA CUNHA CORDEIRO</t>
        </is>
      </c>
      <c r="F9842" s="30" t="inlineStr">
        <is>
          <t>2017</t>
        </is>
      </c>
      <c r="G9842" s="40" t="n">
        <v>187693.88</v>
      </c>
    </row>
    <row r="9843" ht="12" customHeight="1">
      <c r="A9843" s="30" t="inlineStr">
        <is>
          <t>POR</t>
        </is>
      </c>
      <c r="B9843" s="30" t="inlineStr">
        <is>
          <t>Porto Real</t>
        </is>
      </c>
      <c r="C9843" s="30" t="n">
        <v>71764478</v>
      </c>
      <c r="D9843" s="30">
        <f>"41235177734"</f>
        <v/>
      </c>
      <c r="E9843" s="30" t="inlineStr">
        <is>
          <t>OSVALDINO PAULO DA CUNHA CORDEIRO</t>
        </is>
      </c>
      <c r="F9843" s="30" t="inlineStr">
        <is>
          <t>2018</t>
        </is>
      </c>
      <c r="G9843" s="40" t="n">
        <v>90719</v>
      </c>
    </row>
    <row r="9844" ht="12" customHeight="1">
      <c r="A9844" s="30" t="inlineStr">
        <is>
          <t>POR</t>
        </is>
      </c>
      <c r="B9844" s="30" t="inlineStr">
        <is>
          <t>Porto Real</t>
        </is>
      </c>
      <c r="C9844" s="30" t="n">
        <v>71764478</v>
      </c>
      <c r="D9844" s="30">
        <f>"41235177734"</f>
        <v/>
      </c>
      <c r="E9844" s="30" t="inlineStr">
        <is>
          <t>OSVALDINO PAULO DA CUNHA CORDEIRO</t>
        </is>
      </c>
      <c r="F9844" s="30" t="inlineStr">
        <is>
          <t>2019</t>
        </is>
      </c>
      <c r="G9844" s="40" t="n">
        <v>0</v>
      </c>
    </row>
    <row r="9845" ht="12" customHeight="1">
      <c r="A9845" s="30" t="inlineStr">
        <is>
          <t>POR</t>
        </is>
      </c>
      <c r="B9845" s="30" t="inlineStr">
        <is>
          <t>Porto Real</t>
        </is>
      </c>
      <c r="C9845" s="30" t="n">
        <v>71764478</v>
      </c>
      <c r="D9845" s="30">
        <f>"41235177734"</f>
        <v/>
      </c>
      <c r="E9845" s="30" t="inlineStr">
        <is>
          <t>OSVALDINO PAULO DA CUNHA CORDEIRO</t>
        </is>
      </c>
      <c r="F9845" s="30" t="inlineStr">
        <is>
          <t>2020</t>
        </is>
      </c>
      <c r="G9845" s="40" t="n">
        <v>0</v>
      </c>
    </row>
    <row r="9846" ht="12" customHeight="1">
      <c r="A9846" s="30" t="inlineStr">
        <is>
          <t>POR</t>
        </is>
      </c>
      <c r="B9846" s="30" t="inlineStr">
        <is>
          <t>Porto Real</t>
        </is>
      </c>
      <c r="C9846" s="30" t="n">
        <v>71764478</v>
      </c>
      <c r="D9846" s="30">
        <f>"41235177734"</f>
        <v/>
      </c>
      <c r="E9846" s="30" t="inlineStr">
        <is>
          <t>OSVALDINO PAULO DA CUNHA CORDEIRO</t>
        </is>
      </c>
      <c r="F9846" s="30" t="inlineStr">
        <is>
          <t>2021</t>
        </is>
      </c>
      <c r="G9846" s="40" t="n">
        <v>0</v>
      </c>
    </row>
    <row r="9847" ht="12" customHeight="1">
      <c r="A9847" s="30" t="inlineStr">
        <is>
          <t>POR</t>
        </is>
      </c>
      <c r="B9847" s="30" t="inlineStr">
        <is>
          <t>Porto Real</t>
        </is>
      </c>
      <c r="C9847" s="30" t="n">
        <v>71764478</v>
      </c>
      <c r="D9847" s="30">
        <f>"41235177734"</f>
        <v/>
      </c>
      <c r="E9847" s="30" t="inlineStr">
        <is>
          <t>OSVALDINO PAULO DA CUNHA CORDEIRO</t>
        </is>
      </c>
      <c r="F9847" s="30" t="inlineStr">
        <is>
          <t>2022</t>
        </is>
      </c>
      <c r="G9847" s="40" t="n">
        <v>0</v>
      </c>
    </row>
    <row r="9848" ht="12" customHeight="1">
      <c r="A9848" s="30" t="inlineStr">
        <is>
          <t>POR</t>
        </is>
      </c>
      <c r="B9848" s="30" t="inlineStr">
        <is>
          <t>Porto Real</t>
        </is>
      </c>
      <c r="C9848" s="30" t="n">
        <v>71764478</v>
      </c>
      <c r="D9848" s="30">
        <f>"41235177734"</f>
        <v/>
      </c>
      <c r="E9848" s="30" t="inlineStr">
        <is>
          <t>OSVALDINO PAULO DA CUNHA CORDEIRO</t>
        </is>
      </c>
      <c r="F9848" s="30" t="inlineStr">
        <is>
          <t>2023</t>
        </is>
      </c>
      <c r="G9848" s="40" t="n">
        <v>0</v>
      </c>
    </row>
    <row r="9849" ht="12" customHeight="1">
      <c r="A9849" s="30" t="inlineStr">
        <is>
          <t>POR</t>
        </is>
      </c>
      <c r="B9849" s="30" t="inlineStr">
        <is>
          <t>Porto Real</t>
        </is>
      </c>
      <c r="C9849" s="30" t="n">
        <v>71782026</v>
      </c>
      <c r="D9849" s="30">
        <f>"25413660782"</f>
        <v/>
      </c>
      <c r="E9849" s="30" t="inlineStr">
        <is>
          <t>MAURILIO ETTORE</t>
        </is>
      </c>
      <c r="F9849" s="30" t="inlineStr">
        <is>
          <t>2017</t>
        </is>
      </c>
      <c r="G9849" s="40" t="n">
        <v>0</v>
      </c>
    </row>
    <row r="9850" ht="12" customHeight="1">
      <c r="A9850" s="30" t="inlineStr">
        <is>
          <t>POR</t>
        </is>
      </c>
      <c r="B9850" s="30" t="inlineStr">
        <is>
          <t>Porto Real</t>
        </is>
      </c>
      <c r="C9850" s="30" t="n">
        <v>71782026</v>
      </c>
      <c r="D9850" s="30">
        <f>"25413660782"</f>
        <v/>
      </c>
      <c r="E9850" s="30" t="inlineStr">
        <is>
          <t>MAURILIO ETTORE</t>
        </is>
      </c>
      <c r="F9850" s="30" t="inlineStr">
        <is>
          <t>2018</t>
        </is>
      </c>
      <c r="G9850" s="40" t="n">
        <v>0</v>
      </c>
    </row>
    <row r="9851" ht="12" customHeight="1">
      <c r="A9851" s="30" t="inlineStr">
        <is>
          <t>POR</t>
        </is>
      </c>
      <c r="B9851" s="30" t="inlineStr">
        <is>
          <t>Porto Real</t>
        </is>
      </c>
      <c r="C9851" s="30" t="n">
        <v>71782026</v>
      </c>
      <c r="D9851" s="30">
        <f>"25413660782"</f>
        <v/>
      </c>
      <c r="E9851" s="30" t="inlineStr">
        <is>
          <t>MAURILIO ETTORE</t>
        </is>
      </c>
      <c r="F9851" s="30" t="inlineStr">
        <is>
          <t>2019</t>
        </is>
      </c>
      <c r="G9851" s="40" t="n">
        <v>0</v>
      </c>
    </row>
    <row r="9852" ht="12" customHeight="1">
      <c r="A9852" s="30" t="inlineStr">
        <is>
          <t>POR</t>
        </is>
      </c>
      <c r="B9852" s="30" t="inlineStr">
        <is>
          <t>Porto Real</t>
        </is>
      </c>
      <c r="C9852" s="30" t="n">
        <v>71782026</v>
      </c>
      <c r="D9852" s="30">
        <f>"25413660782"</f>
        <v/>
      </c>
      <c r="E9852" s="30" t="inlineStr">
        <is>
          <t>MAURILIO ETTORE</t>
        </is>
      </c>
      <c r="F9852" s="30" t="inlineStr">
        <is>
          <t>2020</t>
        </is>
      </c>
      <c r="G9852" s="40" t="n">
        <v>0</v>
      </c>
    </row>
    <row r="9853" ht="12" customHeight="1">
      <c r="A9853" s="30" t="inlineStr">
        <is>
          <t>POR</t>
        </is>
      </c>
      <c r="B9853" s="30" t="inlineStr">
        <is>
          <t>Porto Real</t>
        </is>
      </c>
      <c r="C9853" s="30" t="n">
        <v>71782026</v>
      </c>
      <c r="D9853" s="30">
        <f>"25413660782"</f>
        <v/>
      </c>
      <c r="E9853" s="30" t="inlineStr">
        <is>
          <t>MAURILIO ETTORE</t>
        </is>
      </c>
      <c r="F9853" s="30" t="inlineStr">
        <is>
          <t>2021</t>
        </is>
      </c>
      <c r="G9853" s="40" t="n">
        <v>0</v>
      </c>
    </row>
    <row r="9854" ht="12" customHeight="1">
      <c r="A9854" s="30" t="inlineStr">
        <is>
          <t>POR</t>
        </is>
      </c>
      <c r="B9854" s="30" t="inlineStr">
        <is>
          <t>Porto Real</t>
        </is>
      </c>
      <c r="C9854" s="30" t="n">
        <v>71782026</v>
      </c>
      <c r="D9854" s="30">
        <f>"25413660782"</f>
        <v/>
      </c>
      <c r="E9854" s="30" t="inlineStr">
        <is>
          <t>MAURILIO ETTORE</t>
        </is>
      </c>
      <c r="F9854" s="30" t="inlineStr">
        <is>
          <t>2022</t>
        </is>
      </c>
      <c r="G9854" s="40" t="n">
        <v>0</v>
      </c>
    </row>
    <row r="9855" ht="12" customHeight="1">
      <c r="A9855" s="30" t="inlineStr">
        <is>
          <t>POR</t>
        </is>
      </c>
      <c r="B9855" s="30" t="inlineStr">
        <is>
          <t>Porto Real</t>
        </is>
      </c>
      <c r="C9855" s="30" t="n">
        <v>71782026</v>
      </c>
      <c r="D9855" s="30">
        <f>"25413660782"</f>
        <v/>
      </c>
      <c r="E9855" s="30" t="inlineStr">
        <is>
          <t>MAURILIO ETTORE</t>
        </is>
      </c>
      <c r="F9855" s="30" t="inlineStr">
        <is>
          <t>2023</t>
        </is>
      </c>
      <c r="G9855" s="40" t="n">
        <v>0</v>
      </c>
    </row>
    <row r="9856" ht="12" customHeight="1">
      <c r="A9856" s="30" t="inlineStr">
        <is>
          <t>POR</t>
        </is>
      </c>
      <c r="B9856" s="30" t="inlineStr">
        <is>
          <t>Porto Real</t>
        </is>
      </c>
      <c r="C9856" s="30" t="n">
        <v>72073428</v>
      </c>
      <c r="D9856" s="30">
        <f>"07142665742"</f>
        <v/>
      </c>
      <c r="E9856" s="30" t="inlineStr">
        <is>
          <t>CARLOS ROBERTO DE CARVALHO</t>
        </is>
      </c>
      <c r="F9856" s="30" t="inlineStr">
        <is>
          <t>2017</t>
        </is>
      </c>
      <c r="G9856" s="40" t="n">
        <v>0</v>
      </c>
    </row>
    <row r="9857" ht="12" customHeight="1">
      <c r="A9857" s="30" t="inlineStr">
        <is>
          <t>POR</t>
        </is>
      </c>
      <c r="B9857" s="30" t="inlineStr">
        <is>
          <t>Porto Real</t>
        </is>
      </c>
      <c r="C9857" s="30" t="n">
        <v>72073428</v>
      </c>
      <c r="D9857" s="30">
        <f>"07142665742"</f>
        <v/>
      </c>
      <c r="E9857" s="30" t="inlineStr">
        <is>
          <t>CARLOS ROBERTO DE CARVALHO</t>
        </is>
      </c>
      <c r="F9857" s="30" t="inlineStr">
        <is>
          <t>2018</t>
        </is>
      </c>
      <c r="G9857" s="40" t="n">
        <v>0</v>
      </c>
    </row>
    <row r="9858" ht="12" customHeight="1">
      <c r="A9858" s="30" t="inlineStr">
        <is>
          <t>POR</t>
        </is>
      </c>
      <c r="B9858" s="30" t="inlineStr">
        <is>
          <t>Porto Real</t>
        </is>
      </c>
      <c r="C9858" s="30" t="n">
        <v>72073428</v>
      </c>
      <c r="D9858" s="30">
        <f>"07142665742"</f>
        <v/>
      </c>
      <c r="E9858" s="30" t="inlineStr">
        <is>
          <t>CARLOS ROBERTO DE CARVALHO</t>
        </is>
      </c>
      <c r="F9858" s="30" t="inlineStr">
        <is>
          <t>2019</t>
        </is>
      </c>
      <c r="G9858" s="40" t="n">
        <v>0</v>
      </c>
    </row>
    <row r="9859" ht="12" customHeight="1">
      <c r="A9859" s="30" t="inlineStr">
        <is>
          <t>POR</t>
        </is>
      </c>
      <c r="B9859" s="30" t="inlineStr">
        <is>
          <t>Porto Real</t>
        </is>
      </c>
      <c r="C9859" s="30" t="n">
        <v>72073428</v>
      </c>
      <c r="D9859" s="30">
        <f>"07142665742"</f>
        <v/>
      </c>
      <c r="E9859" s="30" t="inlineStr">
        <is>
          <t>CARLOS ROBERTO DE CARVALHO</t>
        </is>
      </c>
      <c r="F9859" s="30" t="inlineStr">
        <is>
          <t>2020</t>
        </is>
      </c>
      <c r="G9859" s="40" t="n">
        <v>0</v>
      </c>
    </row>
    <row r="9860" ht="12" customHeight="1">
      <c r="A9860" s="30" t="inlineStr">
        <is>
          <t>POR</t>
        </is>
      </c>
      <c r="B9860" s="30" t="inlineStr">
        <is>
          <t>Porto Real</t>
        </is>
      </c>
      <c r="C9860" s="30" t="n">
        <v>72079736</v>
      </c>
      <c r="D9860" s="30">
        <f>"71781684715"</f>
        <v/>
      </c>
      <c r="E9860" s="30" t="inlineStr">
        <is>
          <t>ANTONIO MARCIO RIBEIRO XAVIER</t>
        </is>
      </c>
      <c r="F9860" s="30" t="inlineStr">
        <is>
          <t>2017</t>
        </is>
      </c>
      <c r="G9860" s="40" t="n">
        <v>0</v>
      </c>
    </row>
    <row r="9861" ht="12" customHeight="1">
      <c r="A9861" s="30" t="inlineStr">
        <is>
          <t>POR</t>
        </is>
      </c>
      <c r="B9861" s="30" t="inlineStr">
        <is>
          <t>Porto Real</t>
        </is>
      </c>
      <c r="C9861" s="30" t="n">
        <v>72079736</v>
      </c>
      <c r="D9861" s="30">
        <f>"71781684715"</f>
        <v/>
      </c>
      <c r="E9861" s="30" t="inlineStr">
        <is>
          <t>ANTONIO MARCIO RIBEIRO XAVIER</t>
        </is>
      </c>
      <c r="F9861" s="30" t="inlineStr">
        <is>
          <t>2018</t>
        </is>
      </c>
      <c r="G9861" s="40" t="n">
        <v>0</v>
      </c>
    </row>
    <row r="9862" ht="12" customHeight="1">
      <c r="A9862" s="30" t="inlineStr">
        <is>
          <t>POR</t>
        </is>
      </c>
      <c r="B9862" s="30" t="inlineStr">
        <is>
          <t>Porto Real</t>
        </is>
      </c>
      <c r="C9862" s="30" t="n">
        <v>72079736</v>
      </c>
      <c r="D9862" s="30">
        <f>"71781684715"</f>
        <v/>
      </c>
      <c r="E9862" s="30" t="inlineStr">
        <is>
          <t>ANTONIO MARCIO RIBEIRO XAVIER</t>
        </is>
      </c>
      <c r="F9862" s="30" t="inlineStr">
        <is>
          <t>2019</t>
        </is>
      </c>
      <c r="G9862" s="40" t="n">
        <v>0</v>
      </c>
    </row>
    <row r="9863" ht="12" customHeight="1">
      <c r="A9863" s="30" t="inlineStr">
        <is>
          <t>POR</t>
        </is>
      </c>
      <c r="B9863" s="30" t="inlineStr">
        <is>
          <t>Porto Real</t>
        </is>
      </c>
      <c r="C9863" s="30" t="n">
        <v>72079736</v>
      </c>
      <c r="D9863" s="30">
        <f>"71781684715"</f>
        <v/>
      </c>
      <c r="E9863" s="30" t="inlineStr">
        <is>
          <t>ANTONIO MARCIO RIBEIRO XAVIER</t>
        </is>
      </c>
      <c r="F9863" s="30" t="inlineStr">
        <is>
          <t>2020</t>
        </is>
      </c>
      <c r="G9863" s="40" t="n">
        <v>0</v>
      </c>
    </row>
    <row r="9864" ht="12" customHeight="1">
      <c r="A9864" s="30" t="inlineStr">
        <is>
          <t>POR</t>
        </is>
      </c>
      <c r="B9864" s="30" t="inlineStr">
        <is>
          <t>Porto Real</t>
        </is>
      </c>
      <c r="C9864" s="30" t="n">
        <v>72079736</v>
      </c>
      <c r="D9864" s="30">
        <f>"71781684715"</f>
        <v/>
      </c>
      <c r="E9864" s="30" t="inlineStr">
        <is>
          <t>ANTONIO MARCIO RIBEIRO XAVIER</t>
        </is>
      </c>
      <c r="F9864" s="30" t="inlineStr">
        <is>
          <t>2021</t>
        </is>
      </c>
      <c r="G9864" s="40" t="n">
        <v>0</v>
      </c>
    </row>
    <row r="9865" ht="12" customHeight="1">
      <c r="A9865" s="30" t="inlineStr">
        <is>
          <t>POR</t>
        </is>
      </c>
      <c r="B9865" s="30" t="inlineStr">
        <is>
          <t>Porto Real</t>
        </is>
      </c>
      <c r="C9865" s="30" t="n">
        <v>72079736</v>
      </c>
      <c r="D9865" s="30">
        <f>"71781684715"</f>
        <v/>
      </c>
      <c r="E9865" s="30" t="inlineStr">
        <is>
          <t>ANTONIO MARCIO RIBEIRO XAVIER</t>
        </is>
      </c>
      <c r="F9865" s="30" t="inlineStr">
        <is>
          <t>2022</t>
        </is>
      </c>
      <c r="G9865" s="40" t="n">
        <v>0</v>
      </c>
    </row>
    <row r="9866" ht="12" customHeight="1">
      <c r="A9866" s="30" t="inlineStr">
        <is>
          <t>POR</t>
        </is>
      </c>
      <c r="B9866" s="30" t="inlineStr">
        <is>
          <t>Porto Real</t>
        </is>
      </c>
      <c r="C9866" s="30" t="n">
        <v>72079736</v>
      </c>
      <c r="D9866" s="30">
        <f>"71781684715"</f>
        <v/>
      </c>
      <c r="E9866" s="30" t="inlineStr">
        <is>
          <t>ANTONIO MARCIO RIBEIRO XAVIER</t>
        </is>
      </c>
      <c r="F9866" s="30" t="inlineStr">
        <is>
          <t>2023</t>
        </is>
      </c>
      <c r="G9866" s="40" t="n">
        <v>0</v>
      </c>
    </row>
    <row r="9867" ht="12" customHeight="1">
      <c r="A9867" s="30" t="inlineStr">
        <is>
          <t>POR</t>
        </is>
      </c>
      <c r="B9867" s="30" t="inlineStr">
        <is>
          <t>Porto Real</t>
        </is>
      </c>
      <c r="C9867" s="30" t="n">
        <v>72116461</v>
      </c>
      <c r="D9867" s="30">
        <f>"00755013760"</f>
        <v/>
      </c>
      <c r="E9867" s="30" t="inlineStr">
        <is>
          <t>ALAIDE FERNANDES</t>
        </is>
      </c>
      <c r="F9867" s="30" t="inlineStr">
        <is>
          <t>2017</t>
        </is>
      </c>
      <c r="G9867" s="40" t="n">
        <v>0</v>
      </c>
    </row>
    <row r="9868" ht="12" customHeight="1">
      <c r="A9868" s="30" t="inlineStr">
        <is>
          <t>POR</t>
        </is>
      </c>
      <c r="B9868" s="30" t="inlineStr">
        <is>
          <t>Porto Real</t>
        </is>
      </c>
      <c r="C9868" s="30" t="n">
        <v>72116461</v>
      </c>
      <c r="D9868" s="30">
        <f>"00755013760"</f>
        <v/>
      </c>
      <c r="E9868" s="30" t="inlineStr">
        <is>
          <t>ALAIDE FERNANDES</t>
        </is>
      </c>
      <c r="F9868" s="30" t="inlineStr">
        <is>
          <t>2018</t>
        </is>
      </c>
      <c r="G9868" s="40" t="n">
        <v>0</v>
      </c>
    </row>
    <row r="9869" ht="12" customHeight="1">
      <c r="A9869" s="30" t="inlineStr">
        <is>
          <t>POR</t>
        </is>
      </c>
      <c r="B9869" s="30" t="inlineStr">
        <is>
          <t>Porto Real</t>
        </is>
      </c>
      <c r="C9869" s="30" t="n">
        <v>72116461</v>
      </c>
      <c r="D9869" s="30">
        <f>"00755013760"</f>
        <v/>
      </c>
      <c r="E9869" s="30" t="inlineStr">
        <is>
          <t>ALAIDE FERNANDES</t>
        </is>
      </c>
      <c r="F9869" s="30" t="inlineStr">
        <is>
          <t>2019</t>
        </is>
      </c>
      <c r="G9869" s="40" t="n">
        <v>0</v>
      </c>
    </row>
    <row r="9870" ht="12" customHeight="1">
      <c r="A9870" s="30" t="inlineStr">
        <is>
          <t>POR</t>
        </is>
      </c>
      <c r="B9870" s="30" t="inlineStr">
        <is>
          <t>Porto Real</t>
        </is>
      </c>
      <c r="C9870" s="30" t="n">
        <v>72116461</v>
      </c>
      <c r="D9870" s="30">
        <f>"00755013760"</f>
        <v/>
      </c>
      <c r="E9870" s="30" t="inlineStr">
        <is>
          <t>ALAIDE FERNANDES</t>
        </is>
      </c>
      <c r="F9870" s="30" t="inlineStr">
        <is>
          <t>2020</t>
        </is>
      </c>
      <c r="G9870" s="40" t="n">
        <v>0</v>
      </c>
    </row>
    <row r="9871" ht="12" customHeight="1">
      <c r="A9871" s="30" t="inlineStr">
        <is>
          <t>POR</t>
        </is>
      </c>
      <c r="B9871" s="30" t="inlineStr">
        <is>
          <t>Porto Real</t>
        </is>
      </c>
      <c r="C9871" s="30" t="n">
        <v>72120957</v>
      </c>
      <c r="D9871" s="30">
        <f>"02861101725"</f>
        <v/>
      </c>
      <c r="E9871" s="30" t="inlineStr">
        <is>
          <t>CARMELITA DOS SANTOS</t>
        </is>
      </c>
      <c r="F9871" s="30" t="inlineStr">
        <is>
          <t>2017</t>
        </is>
      </c>
      <c r="G9871" s="40" t="n">
        <v>0</v>
      </c>
    </row>
    <row r="9872" ht="12" customHeight="1">
      <c r="A9872" s="30" t="inlineStr">
        <is>
          <t>POR</t>
        </is>
      </c>
      <c r="B9872" s="30" t="inlineStr">
        <is>
          <t>Porto Real</t>
        </is>
      </c>
      <c r="C9872" s="30" t="n">
        <v>72120957</v>
      </c>
      <c r="D9872" s="30">
        <f>"02861101725"</f>
        <v/>
      </c>
      <c r="E9872" s="30" t="inlineStr">
        <is>
          <t>CARMELITA DOS SANTOS</t>
        </is>
      </c>
      <c r="F9872" s="30" t="inlineStr">
        <is>
          <t>2018</t>
        </is>
      </c>
      <c r="G9872" s="40" t="n">
        <v>0</v>
      </c>
    </row>
    <row r="9873" ht="12" customHeight="1">
      <c r="A9873" s="30" t="inlineStr">
        <is>
          <t>POR</t>
        </is>
      </c>
      <c r="B9873" s="30" t="inlineStr">
        <is>
          <t>Porto Real</t>
        </is>
      </c>
      <c r="C9873" s="30" t="n">
        <v>72120957</v>
      </c>
      <c r="D9873" s="30">
        <f>"02861101725"</f>
        <v/>
      </c>
      <c r="E9873" s="30" t="inlineStr">
        <is>
          <t>CARMELITA DOS SANTOS</t>
        </is>
      </c>
      <c r="F9873" s="30" t="inlineStr">
        <is>
          <t>2019</t>
        </is>
      </c>
      <c r="G9873" s="40" t="n">
        <v>0</v>
      </c>
    </row>
    <row r="9874" ht="12" customHeight="1">
      <c r="A9874" s="30" t="inlineStr">
        <is>
          <t>POR</t>
        </is>
      </c>
      <c r="B9874" s="30" t="inlineStr">
        <is>
          <t>Porto Real</t>
        </is>
      </c>
      <c r="C9874" s="30" t="n">
        <v>72120957</v>
      </c>
      <c r="D9874" s="30">
        <f>"02861101725"</f>
        <v/>
      </c>
      <c r="E9874" s="30" t="inlineStr">
        <is>
          <t>CARMELITA DOS SANTOS</t>
        </is>
      </c>
      <c r="F9874" s="30" t="inlineStr">
        <is>
          <t>2020</t>
        </is>
      </c>
      <c r="G9874" s="40" t="n">
        <v>0</v>
      </c>
    </row>
    <row r="9875" ht="12" customHeight="1">
      <c r="A9875" s="30" t="inlineStr">
        <is>
          <t>POR</t>
        </is>
      </c>
      <c r="B9875" s="30" t="inlineStr">
        <is>
          <t>Porto Real</t>
        </is>
      </c>
      <c r="C9875" s="30" t="n">
        <v>72120957</v>
      </c>
      <c r="D9875" s="30">
        <f>"02861101725"</f>
        <v/>
      </c>
      <c r="E9875" s="30" t="inlineStr">
        <is>
          <t>CARMELITA DOS SANTOS</t>
        </is>
      </c>
      <c r="F9875" s="30" t="inlineStr">
        <is>
          <t>2021</t>
        </is>
      </c>
      <c r="G9875" s="40" t="n">
        <v>0</v>
      </c>
    </row>
    <row r="9876" ht="12" customHeight="1">
      <c r="A9876" s="30" t="inlineStr">
        <is>
          <t>POR</t>
        </is>
      </c>
      <c r="B9876" s="30" t="inlineStr">
        <is>
          <t>Porto Real</t>
        </is>
      </c>
      <c r="C9876" s="30" t="n">
        <v>72120957</v>
      </c>
      <c r="D9876" s="30">
        <f>"02861101725"</f>
        <v/>
      </c>
      <c r="E9876" s="30" t="inlineStr">
        <is>
          <t>CARMELITA DOS SANTOS</t>
        </is>
      </c>
      <c r="F9876" s="30" t="inlineStr">
        <is>
          <t>2022</t>
        </is>
      </c>
      <c r="G9876" s="40" t="n">
        <v>3909.88</v>
      </c>
    </row>
    <row r="9877" ht="12" customHeight="1">
      <c r="A9877" s="30" t="inlineStr">
        <is>
          <t>POR</t>
        </is>
      </c>
      <c r="B9877" s="30" t="inlineStr">
        <is>
          <t>Porto Real</t>
        </is>
      </c>
      <c r="C9877" s="30" t="n">
        <v>72120957</v>
      </c>
      <c r="D9877" s="30">
        <f>"02861101725"</f>
        <v/>
      </c>
      <c r="E9877" s="30" t="inlineStr">
        <is>
          <t>CARMELITA DOS SANTOS</t>
        </is>
      </c>
      <c r="F9877" s="30" t="inlineStr">
        <is>
          <t>2023</t>
        </is>
      </c>
      <c r="G9877" s="40" t="n">
        <v>1043.6</v>
      </c>
    </row>
    <row r="9878" ht="12" customHeight="1">
      <c r="A9878" s="30" t="inlineStr">
        <is>
          <t>POR</t>
        </is>
      </c>
      <c r="B9878" s="30" t="inlineStr">
        <is>
          <t>Porto Real</t>
        </is>
      </c>
      <c r="C9878" s="30" t="n">
        <v>72132467</v>
      </c>
      <c r="D9878" s="30">
        <f>"61332984720"</f>
        <v/>
      </c>
      <c r="E9878" s="30" t="inlineStr">
        <is>
          <t>LUIS FERNANDO MARQUES D ALMEIDA</t>
        </is>
      </c>
      <c r="F9878" s="30" t="inlineStr">
        <is>
          <t>2017</t>
        </is>
      </c>
      <c r="G9878" s="40" t="n">
        <v>0</v>
      </c>
    </row>
    <row r="9879" ht="12" customHeight="1">
      <c r="A9879" s="30" t="inlineStr">
        <is>
          <t>POR</t>
        </is>
      </c>
      <c r="B9879" s="30" t="inlineStr">
        <is>
          <t>Porto Real</t>
        </is>
      </c>
      <c r="C9879" s="30" t="n">
        <v>72132467</v>
      </c>
      <c r="D9879" s="30">
        <f>"61332984720"</f>
        <v/>
      </c>
      <c r="E9879" s="30" t="inlineStr">
        <is>
          <t>LUIS FERNANDO MARQUES D ALMEIDA</t>
        </is>
      </c>
      <c r="F9879" s="30" t="inlineStr">
        <is>
          <t>2018</t>
        </is>
      </c>
      <c r="G9879" s="40" t="n">
        <v>0</v>
      </c>
    </row>
    <row r="9880" ht="12" customHeight="1">
      <c r="A9880" s="30" t="inlineStr">
        <is>
          <t>POR</t>
        </is>
      </c>
      <c r="B9880" s="30" t="inlineStr">
        <is>
          <t>Porto Real</t>
        </is>
      </c>
      <c r="C9880" s="30" t="n">
        <v>72132467</v>
      </c>
      <c r="D9880" s="30">
        <f>"61332984720"</f>
        <v/>
      </c>
      <c r="E9880" s="30" t="inlineStr">
        <is>
          <t>LUIS FERNANDO MARQUES D ALMEIDA</t>
        </is>
      </c>
      <c r="F9880" s="30" t="inlineStr">
        <is>
          <t>2019</t>
        </is>
      </c>
      <c r="G9880" s="40" t="n">
        <v>0</v>
      </c>
    </row>
    <row r="9881" ht="12" customHeight="1">
      <c r="A9881" s="30" t="inlineStr">
        <is>
          <t>POR</t>
        </is>
      </c>
      <c r="B9881" s="30" t="inlineStr">
        <is>
          <t>Porto Real</t>
        </is>
      </c>
      <c r="C9881" s="30" t="n">
        <v>72132467</v>
      </c>
      <c r="D9881" s="30">
        <f>"61332984720"</f>
        <v/>
      </c>
      <c r="E9881" s="30" t="inlineStr">
        <is>
          <t>LUIS FERNANDO MARQUES D ALMEIDA</t>
        </is>
      </c>
      <c r="F9881" s="30" t="inlineStr">
        <is>
          <t>2020</t>
        </is>
      </c>
      <c r="G9881" s="40" t="n">
        <v>0</v>
      </c>
    </row>
    <row r="9882" ht="12" customHeight="1">
      <c r="A9882" s="30" t="inlineStr">
        <is>
          <t>POR</t>
        </is>
      </c>
      <c r="B9882" s="30" t="inlineStr">
        <is>
          <t>Porto Real</t>
        </is>
      </c>
      <c r="C9882" s="30" t="n">
        <v>72132467</v>
      </c>
      <c r="D9882" s="30">
        <f>"61332984720"</f>
        <v/>
      </c>
      <c r="E9882" s="30" t="inlineStr">
        <is>
          <t>LUIS FERNANDO MARQUES D ALMEIDA</t>
        </is>
      </c>
      <c r="F9882" s="30" t="inlineStr">
        <is>
          <t>2021</t>
        </is>
      </c>
      <c r="G9882" s="40" t="n">
        <v>74986.09</v>
      </c>
    </row>
    <row r="9883" ht="12" customHeight="1">
      <c r="A9883" s="30" t="inlineStr">
        <is>
          <t>POR</t>
        </is>
      </c>
      <c r="B9883" s="30" t="inlineStr">
        <is>
          <t>Porto Real</t>
        </is>
      </c>
      <c r="C9883" s="30" t="n">
        <v>72132467</v>
      </c>
      <c r="D9883" s="30">
        <f>"61332984720"</f>
        <v/>
      </c>
      <c r="E9883" s="30" t="inlineStr">
        <is>
          <t>LUIS FERNANDO MARQUES D ALMEIDA</t>
        </is>
      </c>
      <c r="F9883" s="30" t="inlineStr">
        <is>
          <t>2022</t>
        </is>
      </c>
      <c r="G9883" s="40" t="n">
        <v>126846.96</v>
      </c>
    </row>
    <row r="9884" ht="12" customHeight="1">
      <c r="A9884" s="30" t="inlineStr">
        <is>
          <t>POR</t>
        </is>
      </c>
      <c r="B9884" s="30" t="inlineStr">
        <is>
          <t>Porto Real</t>
        </is>
      </c>
      <c r="C9884" s="30" t="n">
        <v>72132467</v>
      </c>
      <c r="D9884" s="30">
        <f>"61332984720"</f>
        <v/>
      </c>
      <c r="E9884" s="30" t="inlineStr">
        <is>
          <t>LUIS FERNANDO MARQUES D ALMEIDA</t>
        </is>
      </c>
      <c r="F9884" s="30" t="inlineStr">
        <is>
          <t>2023</t>
        </is>
      </c>
      <c r="G9884" s="40" t="n">
        <v>101263.11</v>
      </c>
    </row>
    <row r="9885" ht="12" customHeight="1">
      <c r="A9885" s="30" t="inlineStr">
        <is>
          <t>POR</t>
        </is>
      </c>
      <c r="B9885" s="30" t="inlineStr">
        <is>
          <t>Porto Real</t>
        </is>
      </c>
      <c r="C9885" s="30" t="n">
        <v>72138333</v>
      </c>
      <c r="D9885" s="30">
        <f>"02675399752"</f>
        <v/>
      </c>
      <c r="E9885" s="30" t="inlineStr">
        <is>
          <t>ANGELA MARIA ROCHA SILVA</t>
        </is>
      </c>
      <c r="F9885" s="30" t="inlineStr">
        <is>
          <t>2017</t>
        </is>
      </c>
      <c r="G9885" s="40" t="n">
        <v>47500</v>
      </c>
    </row>
    <row r="9886" ht="12" customHeight="1">
      <c r="A9886" s="30" t="inlineStr">
        <is>
          <t>POR</t>
        </is>
      </c>
      <c r="B9886" s="30" t="inlineStr">
        <is>
          <t>Porto Real</t>
        </is>
      </c>
      <c r="C9886" s="30" t="n">
        <v>72138333</v>
      </c>
      <c r="D9886" s="30">
        <f>"02675399752"</f>
        <v/>
      </c>
      <c r="E9886" s="30" t="inlineStr">
        <is>
          <t>ANGELA MARIA ROCHA SILVA</t>
        </is>
      </c>
      <c r="F9886" s="30" t="inlineStr">
        <is>
          <t>2018</t>
        </is>
      </c>
      <c r="G9886" s="40" t="n">
        <v>0</v>
      </c>
    </row>
    <row r="9887" ht="12" customHeight="1">
      <c r="A9887" s="30" t="inlineStr">
        <is>
          <t>POR</t>
        </is>
      </c>
      <c r="B9887" s="30" t="inlineStr">
        <is>
          <t>Porto Real</t>
        </is>
      </c>
      <c r="C9887" s="30" t="n">
        <v>72138333</v>
      </c>
      <c r="D9887" s="30">
        <f>"02675399752"</f>
        <v/>
      </c>
      <c r="E9887" s="30" t="inlineStr">
        <is>
          <t>ANGELA MARIA ROCHA SILVA</t>
        </is>
      </c>
      <c r="F9887" s="30" t="inlineStr">
        <is>
          <t>2019</t>
        </is>
      </c>
      <c r="G9887" s="40" t="n">
        <v>0</v>
      </c>
    </row>
    <row r="9888" ht="12" customHeight="1">
      <c r="A9888" s="30" t="inlineStr">
        <is>
          <t>POR</t>
        </is>
      </c>
      <c r="B9888" s="30" t="inlineStr">
        <is>
          <t>Porto Real</t>
        </is>
      </c>
      <c r="C9888" s="30" t="n">
        <v>72138333</v>
      </c>
      <c r="D9888" s="30">
        <f>"02675399752"</f>
        <v/>
      </c>
      <c r="E9888" s="30" t="inlineStr">
        <is>
          <t>ANGELA MARIA ROCHA SILVA</t>
        </is>
      </c>
      <c r="F9888" s="30" t="inlineStr">
        <is>
          <t>2020</t>
        </is>
      </c>
      <c r="G9888" s="40" t="n">
        <v>0</v>
      </c>
    </row>
    <row r="9889" ht="12" customHeight="1">
      <c r="A9889" s="30" t="inlineStr">
        <is>
          <t>POR</t>
        </is>
      </c>
      <c r="B9889" s="30" t="inlineStr">
        <is>
          <t>Porto Real</t>
        </is>
      </c>
      <c r="C9889" s="30" t="n">
        <v>72138333</v>
      </c>
      <c r="D9889" s="30">
        <f>"02675399752"</f>
        <v/>
      </c>
      <c r="E9889" s="30" t="inlineStr">
        <is>
          <t>ANGELA MARIA ROCHA SILVA</t>
        </is>
      </c>
      <c r="F9889" s="30" t="inlineStr">
        <is>
          <t>2021</t>
        </is>
      </c>
      <c r="G9889" s="40" t="n">
        <v>0</v>
      </c>
    </row>
    <row r="9890" ht="12" customHeight="1">
      <c r="A9890" s="30" t="inlineStr">
        <is>
          <t>POR</t>
        </is>
      </c>
      <c r="B9890" s="30" t="inlineStr">
        <is>
          <t>Porto Real</t>
        </is>
      </c>
      <c r="C9890" s="30" t="n">
        <v>72138333</v>
      </c>
      <c r="D9890" s="30">
        <f>"02675399752"</f>
        <v/>
      </c>
      <c r="E9890" s="30" t="inlineStr">
        <is>
          <t>ANGELA MARIA ROCHA SILVA</t>
        </is>
      </c>
      <c r="F9890" s="30" t="inlineStr">
        <is>
          <t>2022</t>
        </is>
      </c>
      <c r="G9890" s="40" t="n">
        <v>0</v>
      </c>
    </row>
    <row r="9891" ht="12" customHeight="1">
      <c r="A9891" s="30" t="inlineStr">
        <is>
          <t>POR</t>
        </is>
      </c>
      <c r="B9891" s="30" t="inlineStr">
        <is>
          <t>Porto Real</t>
        </is>
      </c>
      <c r="C9891" s="30" t="n">
        <v>72138333</v>
      </c>
      <c r="D9891" s="30">
        <f>"02675399752"</f>
        <v/>
      </c>
      <c r="E9891" s="30" t="inlineStr">
        <is>
          <t>ANGELA MARIA ROCHA SILVA</t>
        </is>
      </c>
      <c r="F9891" s="30" t="inlineStr">
        <is>
          <t>2023</t>
        </is>
      </c>
      <c r="G9891" s="40" t="n">
        <v>0</v>
      </c>
    </row>
    <row r="9892" ht="12" customHeight="1">
      <c r="A9892" s="30" t="inlineStr">
        <is>
          <t>POR</t>
        </is>
      </c>
      <c r="B9892" s="30" t="inlineStr">
        <is>
          <t>Porto Real</t>
        </is>
      </c>
      <c r="C9892" s="30" t="n">
        <v>72191854</v>
      </c>
      <c r="D9892" s="30">
        <f>"74919946791"</f>
        <v/>
      </c>
      <c r="E9892" s="30" t="inlineStr">
        <is>
          <t>GERALDO OZORIO RODRIGUES GONCALVES</t>
        </is>
      </c>
      <c r="F9892" s="30" t="inlineStr">
        <is>
          <t>2017</t>
        </is>
      </c>
      <c r="G9892" s="40" t="n">
        <v>0</v>
      </c>
    </row>
    <row r="9893" ht="12" customHeight="1">
      <c r="A9893" s="30" t="inlineStr">
        <is>
          <t>POR</t>
        </is>
      </c>
      <c r="B9893" s="30" t="inlineStr">
        <is>
          <t>Porto Real</t>
        </is>
      </c>
      <c r="C9893" s="30" t="n">
        <v>72191854</v>
      </c>
      <c r="D9893" s="30">
        <f>"74919946791"</f>
        <v/>
      </c>
      <c r="E9893" s="30" t="inlineStr">
        <is>
          <t>GERALDO OZORIO RODRIGUES GONCALVES</t>
        </is>
      </c>
      <c r="F9893" s="30" t="inlineStr">
        <is>
          <t>2018</t>
        </is>
      </c>
      <c r="G9893" s="40" t="n">
        <v>0</v>
      </c>
    </row>
    <row r="9894" ht="12" customHeight="1">
      <c r="A9894" s="30" t="inlineStr">
        <is>
          <t>POR</t>
        </is>
      </c>
      <c r="B9894" s="30" t="inlineStr">
        <is>
          <t>Porto Real</t>
        </is>
      </c>
      <c r="C9894" s="30" t="n">
        <v>72191854</v>
      </c>
      <c r="D9894" s="30">
        <f>"74919946791"</f>
        <v/>
      </c>
      <c r="E9894" s="30" t="inlineStr">
        <is>
          <t>GERALDO OZORIO RODRIGUES GONCALVES</t>
        </is>
      </c>
      <c r="F9894" s="30" t="inlineStr">
        <is>
          <t>2019</t>
        </is>
      </c>
      <c r="G9894" s="40" t="n">
        <v>0</v>
      </c>
    </row>
    <row r="9895" ht="12" customHeight="1">
      <c r="A9895" s="30" t="inlineStr">
        <is>
          <t>POR</t>
        </is>
      </c>
      <c r="B9895" s="30" t="inlineStr">
        <is>
          <t>Porto Real</t>
        </is>
      </c>
      <c r="C9895" s="30" t="n">
        <v>72191854</v>
      </c>
      <c r="D9895" s="30">
        <f>"74919946791"</f>
        <v/>
      </c>
      <c r="E9895" s="30" t="inlineStr">
        <is>
          <t>GERALDO OZORIO RODRIGUES GONCALVES</t>
        </is>
      </c>
      <c r="F9895" s="30" t="inlineStr">
        <is>
          <t>2020</t>
        </is>
      </c>
      <c r="G9895" s="40" t="n">
        <v>0</v>
      </c>
    </row>
    <row r="9896" ht="12" customHeight="1">
      <c r="A9896" s="30" t="inlineStr">
        <is>
          <t>POR</t>
        </is>
      </c>
      <c r="B9896" s="30" t="inlineStr">
        <is>
          <t>Porto Real</t>
        </is>
      </c>
      <c r="C9896" s="30" t="n">
        <v>72191854</v>
      </c>
      <c r="D9896" s="30">
        <f>"74919946791"</f>
        <v/>
      </c>
      <c r="E9896" s="30" t="inlineStr">
        <is>
          <t>GERALDO OZORIO RODRIGUES GONCALVES</t>
        </is>
      </c>
      <c r="F9896" s="30" t="inlineStr">
        <is>
          <t>2021</t>
        </is>
      </c>
      <c r="G9896" s="40" t="n">
        <v>0</v>
      </c>
    </row>
    <row r="9897" ht="12" customHeight="1">
      <c r="A9897" s="30" t="inlineStr">
        <is>
          <t>POR</t>
        </is>
      </c>
      <c r="B9897" s="30" t="inlineStr">
        <is>
          <t>Porto Real</t>
        </is>
      </c>
      <c r="C9897" s="30" t="n">
        <v>72191854</v>
      </c>
      <c r="D9897" s="30">
        <f>"74919946791"</f>
        <v/>
      </c>
      <c r="E9897" s="30" t="inlineStr">
        <is>
          <t>GERALDO OZORIO RODRIGUES GONCALVES</t>
        </is>
      </c>
      <c r="F9897" s="30" t="inlineStr">
        <is>
          <t>2022</t>
        </is>
      </c>
      <c r="G9897" s="40" t="n">
        <v>0</v>
      </c>
    </row>
    <row r="9898" ht="12" customHeight="1">
      <c r="A9898" s="30" t="inlineStr">
        <is>
          <t>POR</t>
        </is>
      </c>
      <c r="B9898" s="30" t="inlineStr">
        <is>
          <t>Porto Real</t>
        </is>
      </c>
      <c r="C9898" s="30" t="n">
        <v>72191854</v>
      </c>
      <c r="D9898" s="30">
        <f>"74919946791"</f>
        <v/>
      </c>
      <c r="E9898" s="30" t="inlineStr">
        <is>
          <t>GERALDO OZORIO RODRIGUES GONCALVES</t>
        </is>
      </c>
      <c r="F9898" s="30" t="inlineStr">
        <is>
          <t>2023</t>
        </is>
      </c>
      <c r="G9898" s="40" t="n">
        <v>0</v>
      </c>
    </row>
    <row r="9899" ht="12" customHeight="1">
      <c r="A9899" s="30" t="inlineStr">
        <is>
          <t>POR</t>
        </is>
      </c>
      <c r="B9899" s="30" t="inlineStr">
        <is>
          <t>Porto Real</t>
        </is>
      </c>
      <c r="C9899" s="30" t="n">
        <v>72239776</v>
      </c>
      <c r="D9899" s="30">
        <f>"00629011761"</f>
        <v/>
      </c>
      <c r="E9899" s="30" t="inlineStr">
        <is>
          <t>ARTIDONIO LUCINDO FILHO</t>
        </is>
      </c>
      <c r="F9899" s="30" t="inlineStr">
        <is>
          <t>2017</t>
        </is>
      </c>
      <c r="G9899" s="40" t="n">
        <v>0</v>
      </c>
    </row>
    <row r="9900" ht="12" customHeight="1">
      <c r="A9900" s="30" t="inlineStr">
        <is>
          <t>POR</t>
        </is>
      </c>
      <c r="B9900" s="30" t="inlineStr">
        <is>
          <t>Porto Real</t>
        </is>
      </c>
      <c r="C9900" s="30" t="n">
        <v>72239776</v>
      </c>
      <c r="D9900" s="30">
        <f>"00629011761"</f>
        <v/>
      </c>
      <c r="E9900" s="30" t="inlineStr">
        <is>
          <t>ARTIDONIO LUCINDO FILHO</t>
        </is>
      </c>
      <c r="F9900" s="30" t="inlineStr">
        <is>
          <t>2018</t>
        </is>
      </c>
      <c r="G9900" s="40" t="n">
        <v>0</v>
      </c>
    </row>
    <row r="9901" ht="12" customHeight="1">
      <c r="A9901" s="30" t="inlineStr">
        <is>
          <t>POR</t>
        </is>
      </c>
      <c r="B9901" s="30" t="inlineStr">
        <is>
          <t>Porto Real</t>
        </is>
      </c>
      <c r="C9901" s="30" t="n">
        <v>72239776</v>
      </c>
      <c r="D9901" s="30">
        <f>"00629011761"</f>
        <v/>
      </c>
      <c r="E9901" s="30" t="inlineStr">
        <is>
          <t>ARTIDONIO LUCINDO FILHO</t>
        </is>
      </c>
      <c r="F9901" s="30" t="inlineStr">
        <is>
          <t>2019</t>
        </is>
      </c>
      <c r="G9901" s="40" t="n">
        <v>0</v>
      </c>
    </row>
    <row r="9902" ht="12" customHeight="1">
      <c r="A9902" s="30" t="inlineStr">
        <is>
          <t>POR</t>
        </is>
      </c>
      <c r="B9902" s="30" t="inlineStr">
        <is>
          <t>Porto Real</t>
        </is>
      </c>
      <c r="C9902" s="30" t="n">
        <v>72239776</v>
      </c>
      <c r="D9902" s="30">
        <f>"00629011761"</f>
        <v/>
      </c>
      <c r="E9902" s="30" t="inlineStr">
        <is>
          <t>ARTIDONIO LUCINDO FILHO</t>
        </is>
      </c>
      <c r="F9902" s="30" t="inlineStr">
        <is>
          <t>2020</t>
        </is>
      </c>
      <c r="G9902" s="40" t="n">
        <v>0</v>
      </c>
    </row>
    <row r="9903" ht="12" customHeight="1">
      <c r="A9903" s="30" t="inlineStr">
        <is>
          <t>POR</t>
        </is>
      </c>
      <c r="B9903" s="30" t="inlineStr">
        <is>
          <t>Porto Real</t>
        </is>
      </c>
      <c r="C9903" s="30" t="n">
        <v>72239776</v>
      </c>
      <c r="D9903" s="30">
        <f>"00629011761"</f>
        <v/>
      </c>
      <c r="E9903" s="30" t="inlineStr">
        <is>
          <t>ARTIDONIO LUCINDO FILHO</t>
        </is>
      </c>
      <c r="F9903" s="30" t="inlineStr">
        <is>
          <t>2021</t>
        </is>
      </c>
      <c r="G9903" s="40" t="n">
        <v>98427.92</v>
      </c>
    </row>
    <row r="9904" ht="12" customHeight="1">
      <c r="A9904" s="30" t="inlineStr">
        <is>
          <t>POR</t>
        </is>
      </c>
      <c r="B9904" s="30" t="inlineStr">
        <is>
          <t>Porto Real</t>
        </is>
      </c>
      <c r="C9904" s="30" t="n">
        <v>72239776</v>
      </c>
      <c r="D9904" s="30">
        <f>"00629011761"</f>
        <v/>
      </c>
      <c r="E9904" s="30" t="inlineStr">
        <is>
          <t>ARTIDONIO LUCINDO FILHO</t>
        </is>
      </c>
      <c r="F9904" s="30" t="inlineStr">
        <is>
          <t>2022</t>
        </is>
      </c>
      <c r="G9904" s="40" t="n">
        <v>587050.8199999999</v>
      </c>
    </row>
    <row r="9905" ht="12" customHeight="1">
      <c r="A9905" s="30" t="inlineStr">
        <is>
          <t>POR</t>
        </is>
      </c>
      <c r="B9905" s="30" t="inlineStr">
        <is>
          <t>Porto Real</t>
        </is>
      </c>
      <c r="C9905" s="30" t="n">
        <v>72239776</v>
      </c>
      <c r="D9905" s="30">
        <f>"00629011761"</f>
        <v/>
      </c>
      <c r="E9905" s="30" t="inlineStr">
        <is>
          <t>ARTIDONIO LUCINDO FILHO</t>
        </is>
      </c>
      <c r="F9905" s="30" t="inlineStr">
        <is>
          <t>2023</t>
        </is>
      </c>
      <c r="G9905" s="40" t="n">
        <v>481667.02</v>
      </c>
    </row>
    <row r="9906" ht="12" customHeight="1">
      <c r="A9906" s="30" t="inlineStr">
        <is>
          <t>POR</t>
        </is>
      </c>
      <c r="B9906" s="30" t="inlineStr">
        <is>
          <t>Porto Real</t>
        </is>
      </c>
      <c r="C9906" s="30" t="n">
        <v>72317025</v>
      </c>
      <c r="D9906" s="30">
        <f>"00008176865761"</f>
        <v/>
      </c>
      <c r="E9906" s="30" t="inlineStr">
        <is>
          <t>JOSE CARLOS PEDROSO</t>
        </is>
      </c>
      <c r="F9906" s="30" t="inlineStr">
        <is>
          <t>2018</t>
        </is>
      </c>
      <c r="G9906" s="40" t="n">
        <v>0</v>
      </c>
    </row>
    <row r="9907" ht="12" customHeight="1">
      <c r="A9907" s="30" t="inlineStr">
        <is>
          <t>POR</t>
        </is>
      </c>
      <c r="B9907" s="30" t="inlineStr">
        <is>
          <t>Porto Real</t>
        </is>
      </c>
      <c r="C9907" s="30" t="n">
        <v>72317025</v>
      </c>
      <c r="D9907" s="30">
        <f>"00008176865761"</f>
        <v/>
      </c>
      <c r="E9907" s="30" t="inlineStr">
        <is>
          <t>JOSE CARLOS PEDROSO</t>
        </is>
      </c>
      <c r="F9907" s="30" t="inlineStr">
        <is>
          <t>2019</t>
        </is>
      </c>
      <c r="G9907" s="40" t="n">
        <v>0</v>
      </c>
    </row>
    <row r="9908" ht="12" customHeight="1">
      <c r="A9908" s="30" t="inlineStr">
        <is>
          <t>POR</t>
        </is>
      </c>
      <c r="B9908" s="30" t="inlineStr">
        <is>
          <t>Porto Real</t>
        </is>
      </c>
      <c r="C9908" s="30" t="n">
        <v>72317025</v>
      </c>
      <c r="D9908" s="30">
        <f>"00008176865761"</f>
        <v/>
      </c>
      <c r="E9908" s="30" t="inlineStr">
        <is>
          <t>JOSE CARLOS PEDROSO</t>
        </is>
      </c>
      <c r="F9908" s="30" t="inlineStr">
        <is>
          <t>2020</t>
        </is>
      </c>
      <c r="G9908" s="40" t="n">
        <v>37755.48</v>
      </c>
    </row>
    <row r="9909" ht="12" customHeight="1">
      <c r="A9909" s="30" t="inlineStr">
        <is>
          <t>POR</t>
        </is>
      </c>
      <c r="B9909" s="30" t="inlineStr">
        <is>
          <t>Porto Real</t>
        </is>
      </c>
      <c r="C9909" s="30" t="n">
        <v>72317025</v>
      </c>
      <c r="D9909" s="30">
        <f>"00008176865761"</f>
        <v/>
      </c>
      <c r="E9909" s="30" t="inlineStr">
        <is>
          <t>JOSE CARLOS PEDROSO</t>
        </is>
      </c>
      <c r="F9909" s="30" t="inlineStr">
        <is>
          <t>2021</t>
        </is>
      </c>
      <c r="G9909" s="40" t="n">
        <v>0</v>
      </c>
    </row>
    <row r="9910" ht="12" customHeight="1">
      <c r="A9910" s="30" t="inlineStr">
        <is>
          <t>POR</t>
        </is>
      </c>
      <c r="B9910" s="30" t="inlineStr">
        <is>
          <t>Porto Real</t>
        </is>
      </c>
      <c r="C9910" s="30" t="n">
        <v>72317025</v>
      </c>
      <c r="D9910" s="30">
        <f>"00008176865761"</f>
        <v/>
      </c>
      <c r="E9910" s="30" t="inlineStr">
        <is>
          <t>JOSE CARLOS PEDROSO</t>
        </is>
      </c>
      <c r="F9910" s="30" t="inlineStr">
        <is>
          <t>2022</t>
        </is>
      </c>
      <c r="G9910" s="40" t="n">
        <v>0</v>
      </c>
    </row>
    <row r="9911" ht="12" customHeight="1">
      <c r="A9911" s="30" t="inlineStr">
        <is>
          <t>POR</t>
        </is>
      </c>
      <c r="B9911" s="30" t="inlineStr">
        <is>
          <t>Porto Real</t>
        </is>
      </c>
      <c r="C9911" s="30" t="n">
        <v>72317025</v>
      </c>
      <c r="D9911" s="30">
        <f>"00008176865761"</f>
        <v/>
      </c>
      <c r="E9911" s="30" t="inlineStr">
        <is>
          <t>JOSE CARLOS PEDROSO</t>
        </is>
      </c>
      <c r="F9911" s="30" t="inlineStr">
        <is>
          <t>2023</t>
        </is>
      </c>
      <c r="G9911" s="40" t="n">
        <v>0</v>
      </c>
    </row>
    <row r="9912" ht="12" customHeight="1">
      <c r="A9912" s="30" t="inlineStr">
        <is>
          <t>POR</t>
        </is>
      </c>
      <c r="B9912" s="30" t="inlineStr">
        <is>
          <t>Porto Real</t>
        </is>
      </c>
      <c r="C9912" s="30" t="n">
        <v>72334213</v>
      </c>
      <c r="D9912" s="30">
        <f>"00361406789"</f>
        <v/>
      </c>
      <c r="E9912" s="30" t="inlineStr">
        <is>
          <t>JORGE LUIZ SANTANA CHAVES</t>
        </is>
      </c>
      <c r="F9912" s="30" t="inlineStr">
        <is>
          <t>2017</t>
        </is>
      </c>
      <c r="G9912" s="40" t="n">
        <v>0</v>
      </c>
    </row>
    <row r="9913" ht="12" customHeight="1">
      <c r="A9913" s="30" t="inlineStr">
        <is>
          <t>POR</t>
        </is>
      </c>
      <c r="B9913" s="30" t="inlineStr">
        <is>
          <t>Porto Real</t>
        </is>
      </c>
      <c r="C9913" s="30" t="n">
        <v>72334213</v>
      </c>
      <c r="D9913" s="30">
        <f>"00361406789"</f>
        <v/>
      </c>
      <c r="E9913" s="30" t="inlineStr">
        <is>
          <t>JORGE LUIZ SANTANA CHAVES</t>
        </is>
      </c>
      <c r="F9913" s="30" t="inlineStr">
        <is>
          <t>2018</t>
        </is>
      </c>
      <c r="G9913" s="40" t="n">
        <v>0</v>
      </c>
    </row>
    <row r="9914" ht="12" customHeight="1">
      <c r="A9914" s="30" t="inlineStr">
        <is>
          <t>POR</t>
        </is>
      </c>
      <c r="B9914" s="30" t="inlineStr">
        <is>
          <t>Porto Real</t>
        </is>
      </c>
      <c r="C9914" s="30" t="n">
        <v>72334213</v>
      </c>
      <c r="D9914" s="30">
        <f>"00361406789"</f>
        <v/>
      </c>
      <c r="E9914" s="30" t="inlineStr">
        <is>
          <t>JORGE LUIZ SANTANA CHAVES</t>
        </is>
      </c>
      <c r="F9914" s="30" t="inlineStr">
        <is>
          <t>2019</t>
        </is>
      </c>
      <c r="G9914" s="40" t="n">
        <v>0</v>
      </c>
    </row>
    <row r="9915" ht="12" customHeight="1">
      <c r="A9915" s="30" t="inlineStr">
        <is>
          <t>POR</t>
        </is>
      </c>
      <c r="B9915" s="30" t="inlineStr">
        <is>
          <t>Porto Real</t>
        </is>
      </c>
      <c r="C9915" s="30" t="n">
        <v>72334213</v>
      </c>
      <c r="D9915" s="30">
        <f>"00361406789"</f>
        <v/>
      </c>
      <c r="E9915" s="30" t="inlineStr">
        <is>
          <t>JORGE LUIZ SANTANA CHAVES</t>
        </is>
      </c>
      <c r="F9915" s="30" t="inlineStr">
        <is>
          <t>2020</t>
        </is>
      </c>
      <c r="G9915" s="40" t="n">
        <v>0</v>
      </c>
    </row>
    <row r="9916" ht="12" customHeight="1">
      <c r="A9916" s="30" t="inlineStr">
        <is>
          <t>POR</t>
        </is>
      </c>
      <c r="B9916" s="30" t="inlineStr">
        <is>
          <t>Porto Real</t>
        </is>
      </c>
      <c r="C9916" s="30" t="n">
        <v>72334213</v>
      </c>
      <c r="D9916" s="30">
        <f>"00361406789"</f>
        <v/>
      </c>
      <c r="E9916" s="30" t="inlineStr">
        <is>
          <t>JORGE LUIZ SANTANA CHAVES</t>
        </is>
      </c>
      <c r="F9916" s="30" t="inlineStr">
        <is>
          <t>2021</t>
        </is>
      </c>
      <c r="G9916" s="40" t="n">
        <v>571972.9399999999</v>
      </c>
    </row>
    <row r="9917" ht="12" customHeight="1">
      <c r="A9917" s="30" t="inlineStr">
        <is>
          <t>POR</t>
        </is>
      </c>
      <c r="B9917" s="30" t="inlineStr">
        <is>
          <t>Porto Real</t>
        </is>
      </c>
      <c r="C9917" s="30" t="n">
        <v>72334213</v>
      </c>
      <c r="D9917" s="30">
        <f>"00361406789"</f>
        <v/>
      </c>
      <c r="E9917" s="30" t="inlineStr">
        <is>
          <t>JORGE LUIZ SANTANA CHAVES</t>
        </is>
      </c>
      <c r="F9917" s="30" t="inlineStr">
        <is>
          <t>2022</t>
        </is>
      </c>
      <c r="G9917" s="40" t="n">
        <v>624759.05</v>
      </c>
    </row>
    <row r="9918" ht="12" customHeight="1">
      <c r="A9918" s="30" t="inlineStr">
        <is>
          <t>POR</t>
        </is>
      </c>
      <c r="B9918" s="30" t="inlineStr">
        <is>
          <t>Porto Real</t>
        </is>
      </c>
      <c r="C9918" s="30" t="n">
        <v>72334213</v>
      </c>
      <c r="D9918" s="30">
        <f>"00361406789"</f>
        <v/>
      </c>
      <c r="E9918" s="30" t="inlineStr">
        <is>
          <t>JORGE LUIZ SANTANA CHAVES</t>
        </is>
      </c>
      <c r="F9918" s="30" t="inlineStr">
        <is>
          <t>2023</t>
        </is>
      </c>
      <c r="G9918" s="40" t="n">
        <v>755008.41</v>
      </c>
    </row>
    <row r="9919" ht="12" customHeight="1">
      <c r="A9919" s="30" t="inlineStr">
        <is>
          <t>POR</t>
        </is>
      </c>
      <c r="B9919" s="30" t="inlineStr">
        <is>
          <t>Porto Real</t>
        </is>
      </c>
      <c r="C9919" s="30" t="n">
        <v>72344510</v>
      </c>
      <c r="D9919" s="30">
        <f>"73148857704"</f>
        <v/>
      </c>
      <c r="E9919" s="30" t="inlineStr">
        <is>
          <t>JORGE RIBEIRO MARTINS</t>
        </is>
      </c>
      <c r="F9919" s="30" t="inlineStr">
        <is>
          <t>2017</t>
        </is>
      </c>
      <c r="G9919" s="40" t="n">
        <v>0</v>
      </c>
    </row>
    <row r="9920" ht="12" customHeight="1">
      <c r="A9920" s="30" t="inlineStr">
        <is>
          <t>POR</t>
        </is>
      </c>
      <c r="B9920" s="30" t="inlineStr">
        <is>
          <t>Porto Real</t>
        </is>
      </c>
      <c r="C9920" s="30" t="n">
        <v>72344510</v>
      </c>
      <c r="D9920" s="30">
        <f>"73148857704"</f>
        <v/>
      </c>
      <c r="E9920" s="30" t="inlineStr">
        <is>
          <t>JORGE RIBEIRO MARTINS</t>
        </is>
      </c>
      <c r="F9920" s="30" t="inlineStr">
        <is>
          <t>2018</t>
        </is>
      </c>
      <c r="G9920" s="40" t="n">
        <v>0</v>
      </c>
    </row>
    <row r="9921" ht="12" customHeight="1">
      <c r="A9921" s="30" t="inlineStr">
        <is>
          <t>POR</t>
        </is>
      </c>
      <c r="B9921" s="30" t="inlineStr">
        <is>
          <t>Porto Real</t>
        </is>
      </c>
      <c r="C9921" s="30" t="n">
        <v>72344510</v>
      </c>
      <c r="D9921" s="30">
        <f>"73148857704"</f>
        <v/>
      </c>
      <c r="E9921" s="30" t="inlineStr">
        <is>
          <t>JORGE RIBEIRO MARTINS</t>
        </is>
      </c>
      <c r="F9921" s="30" t="inlineStr">
        <is>
          <t>2019</t>
        </is>
      </c>
      <c r="G9921" s="40" t="n">
        <v>0</v>
      </c>
    </row>
    <row r="9922" ht="12" customHeight="1">
      <c r="A9922" s="30" t="inlineStr">
        <is>
          <t>POR</t>
        </is>
      </c>
      <c r="B9922" s="30" t="inlineStr">
        <is>
          <t>Porto Real</t>
        </is>
      </c>
      <c r="C9922" s="30" t="n">
        <v>72361296</v>
      </c>
      <c r="D9922" s="30">
        <f>"11648315771"</f>
        <v/>
      </c>
      <c r="E9922" s="30" t="inlineStr">
        <is>
          <t>ROSIANA DOS SANTOS MARASSI</t>
        </is>
      </c>
      <c r="F9922" s="30" t="inlineStr">
        <is>
          <t>2017</t>
        </is>
      </c>
      <c r="G9922" s="40" t="n">
        <v>0</v>
      </c>
    </row>
    <row r="9923" ht="12" customHeight="1">
      <c r="A9923" s="30" t="inlineStr">
        <is>
          <t>POR</t>
        </is>
      </c>
      <c r="B9923" s="30" t="inlineStr">
        <is>
          <t>Porto Real</t>
        </is>
      </c>
      <c r="C9923" s="30" t="n">
        <v>72361296</v>
      </c>
      <c r="D9923" s="30">
        <f>"11648315771"</f>
        <v/>
      </c>
      <c r="E9923" s="30" t="inlineStr">
        <is>
          <t>ROSIANA DOS SANTOS MARASSI</t>
        </is>
      </c>
      <c r="F9923" s="30" t="inlineStr">
        <is>
          <t>2018</t>
        </is>
      </c>
      <c r="G9923" s="40" t="n">
        <v>0</v>
      </c>
    </row>
    <row r="9924" ht="12" customHeight="1">
      <c r="A9924" s="30" t="inlineStr">
        <is>
          <t>POR</t>
        </is>
      </c>
      <c r="B9924" s="30" t="inlineStr">
        <is>
          <t>Porto Real</t>
        </is>
      </c>
      <c r="C9924" s="30" t="n">
        <v>72361296</v>
      </c>
      <c r="D9924" s="30">
        <f>"11648315771"</f>
        <v/>
      </c>
      <c r="E9924" s="30" t="inlineStr">
        <is>
          <t>ROSIANA DOS SANTOS MARASSI</t>
        </is>
      </c>
      <c r="F9924" s="30" t="inlineStr">
        <is>
          <t>2019</t>
        </is>
      </c>
      <c r="G9924" s="40" t="n">
        <v>0</v>
      </c>
    </row>
    <row r="9925" ht="12" customHeight="1">
      <c r="A9925" s="30" t="inlineStr">
        <is>
          <t>POR</t>
        </is>
      </c>
      <c r="B9925" s="30" t="inlineStr">
        <is>
          <t>Porto Real</t>
        </is>
      </c>
      <c r="C9925" s="30" t="n">
        <v>72361296</v>
      </c>
      <c r="D9925" s="30">
        <f>"11648315771"</f>
        <v/>
      </c>
      <c r="E9925" s="30" t="inlineStr">
        <is>
          <t>ROSIANA DOS SANTOS MARASSI</t>
        </is>
      </c>
      <c r="F9925" s="30" t="inlineStr">
        <is>
          <t>2020</t>
        </is>
      </c>
      <c r="G9925" s="40" t="n">
        <v>0</v>
      </c>
    </row>
    <row r="9926" ht="12" customHeight="1">
      <c r="A9926" s="30" t="inlineStr">
        <is>
          <t>POR</t>
        </is>
      </c>
      <c r="B9926" s="30" t="inlineStr">
        <is>
          <t>Porto Real</t>
        </is>
      </c>
      <c r="C9926" s="30" t="n">
        <v>72361296</v>
      </c>
      <c r="D9926" s="30">
        <f>"11648315771"</f>
        <v/>
      </c>
      <c r="E9926" s="30" t="inlineStr">
        <is>
          <t>ROSIANA DOS SANTOS MARASSI</t>
        </is>
      </c>
      <c r="F9926" s="30" t="inlineStr">
        <is>
          <t>2021</t>
        </is>
      </c>
      <c r="G9926" s="40" t="n">
        <v>0</v>
      </c>
    </row>
    <row r="9927" ht="12" customHeight="1">
      <c r="A9927" s="30" t="inlineStr">
        <is>
          <t>POR</t>
        </is>
      </c>
      <c r="B9927" s="30" t="inlineStr">
        <is>
          <t>Porto Real</t>
        </is>
      </c>
      <c r="C9927" s="30" t="n">
        <v>72405250</v>
      </c>
      <c r="D9927" s="30">
        <f>"00002115057732"</f>
        <v/>
      </c>
      <c r="E9927" s="30" t="inlineStr">
        <is>
          <t>ANTONIO FONTES ROCHA SILVA</t>
        </is>
      </c>
      <c r="F9927" s="30" t="inlineStr">
        <is>
          <t>2020</t>
        </is>
      </c>
      <c r="G9927" s="40" t="n">
        <v>0</v>
      </c>
    </row>
    <row r="9928" ht="12" customHeight="1">
      <c r="A9928" s="30" t="inlineStr">
        <is>
          <t>POR</t>
        </is>
      </c>
      <c r="B9928" s="30" t="inlineStr">
        <is>
          <t>Porto Real</t>
        </is>
      </c>
      <c r="C9928" s="30" t="n">
        <v>72405250</v>
      </c>
      <c r="D9928" s="30">
        <f>"00002115057732"</f>
        <v/>
      </c>
      <c r="E9928" s="30" t="inlineStr">
        <is>
          <t>ANTONIO FONTES ROCHA SILVA</t>
        </is>
      </c>
      <c r="F9928" s="30" t="inlineStr">
        <is>
          <t>2021</t>
        </is>
      </c>
      <c r="G9928" s="40" t="n">
        <v>0</v>
      </c>
    </row>
    <row r="9929" ht="12" customHeight="1">
      <c r="A9929" s="30" t="inlineStr">
        <is>
          <t>POR</t>
        </is>
      </c>
      <c r="B9929" s="30" t="inlineStr">
        <is>
          <t>Porto Real</t>
        </is>
      </c>
      <c r="C9929" s="30" t="n">
        <v>72405250</v>
      </c>
      <c r="D9929" s="30">
        <f>"00002115057732"</f>
        <v/>
      </c>
      <c r="E9929" s="30" t="inlineStr">
        <is>
          <t>ANTONIO FONTES ROCHA SILVA</t>
        </is>
      </c>
      <c r="F9929" s="30" t="inlineStr">
        <is>
          <t>2022</t>
        </is>
      </c>
      <c r="G9929" s="40" t="n">
        <v>0</v>
      </c>
    </row>
    <row r="9930" ht="12" customHeight="1">
      <c r="A9930" s="30" t="inlineStr">
        <is>
          <t>POR</t>
        </is>
      </c>
      <c r="B9930" s="30" t="inlineStr">
        <is>
          <t>Porto Real</t>
        </is>
      </c>
      <c r="C9930" s="30" t="n">
        <v>72405250</v>
      </c>
      <c r="D9930" s="30">
        <f>"00002115057732"</f>
        <v/>
      </c>
      <c r="E9930" s="30" t="inlineStr">
        <is>
          <t>ANTONIO FONTES ROCHA SILVA</t>
        </is>
      </c>
      <c r="F9930" s="30" t="inlineStr">
        <is>
          <t>2023</t>
        </is>
      </c>
      <c r="G9930" s="40" t="n">
        <v>0</v>
      </c>
    </row>
    <row r="9931" ht="12" customHeight="1">
      <c r="A9931" s="30" t="inlineStr">
        <is>
          <t>POR</t>
        </is>
      </c>
      <c r="B9931" s="30" t="inlineStr">
        <is>
          <t>Porto Real</t>
        </is>
      </c>
      <c r="C9931" s="30" t="n">
        <v>72412761</v>
      </c>
      <c r="D9931" s="30">
        <f>"08509435740"</f>
        <v/>
      </c>
      <c r="E9931" s="30" t="inlineStr">
        <is>
          <t>LUCAS ORIOLI DE SOUZA</t>
        </is>
      </c>
      <c r="F9931" s="30" t="inlineStr">
        <is>
          <t>2017</t>
        </is>
      </c>
      <c r="G9931" s="40" t="n">
        <v>0</v>
      </c>
    </row>
    <row r="9932" ht="12" customHeight="1">
      <c r="A9932" s="30" t="inlineStr">
        <is>
          <t>POR</t>
        </is>
      </c>
      <c r="B9932" s="30" t="inlineStr">
        <is>
          <t>Porto Real</t>
        </is>
      </c>
      <c r="C9932" s="30" t="n">
        <v>72412761</v>
      </c>
      <c r="D9932" s="30">
        <f>"08509435740"</f>
        <v/>
      </c>
      <c r="E9932" s="30" t="inlineStr">
        <is>
          <t>LUCAS ORIOLI DE SOUZA</t>
        </is>
      </c>
      <c r="F9932" s="30" t="inlineStr">
        <is>
          <t>2018</t>
        </is>
      </c>
      <c r="G9932" s="40" t="n">
        <v>0</v>
      </c>
    </row>
    <row r="9933" ht="12" customHeight="1">
      <c r="A9933" s="30" t="inlineStr">
        <is>
          <t>POR</t>
        </is>
      </c>
      <c r="B9933" s="30" t="inlineStr">
        <is>
          <t>Porto Real</t>
        </is>
      </c>
      <c r="C9933" s="30" t="n">
        <v>72412761</v>
      </c>
      <c r="D9933" s="30">
        <f>"08509435740"</f>
        <v/>
      </c>
      <c r="E9933" s="30" t="inlineStr">
        <is>
          <t>LUCAS ORIOLI DE SOUZA</t>
        </is>
      </c>
      <c r="F9933" s="30" t="inlineStr">
        <is>
          <t>2019</t>
        </is>
      </c>
      <c r="G9933" s="40" t="n">
        <v>0</v>
      </c>
    </row>
    <row r="9934" ht="12" customHeight="1">
      <c r="A9934" s="30" t="inlineStr">
        <is>
          <t>POR</t>
        </is>
      </c>
      <c r="B9934" s="30" t="inlineStr">
        <is>
          <t>Porto Real</t>
        </is>
      </c>
      <c r="C9934" s="30" t="n">
        <v>72412761</v>
      </c>
      <c r="D9934" s="30">
        <f>"08509435740"</f>
        <v/>
      </c>
      <c r="E9934" s="30" t="inlineStr">
        <is>
          <t>LUCAS ORIOLI DE SOUZA</t>
        </is>
      </c>
      <c r="F9934" s="30" t="inlineStr">
        <is>
          <t>2020</t>
        </is>
      </c>
      <c r="G9934" s="40" t="n">
        <v>0</v>
      </c>
    </row>
    <row r="9935" ht="12" customHeight="1">
      <c r="A9935" s="30" t="inlineStr">
        <is>
          <t>POR</t>
        </is>
      </c>
      <c r="B9935" s="30" t="inlineStr">
        <is>
          <t>Porto Real</t>
        </is>
      </c>
      <c r="C9935" s="30" t="n">
        <v>72412761</v>
      </c>
      <c r="D9935" s="30">
        <f>"08509435740"</f>
        <v/>
      </c>
      <c r="E9935" s="30" t="inlineStr">
        <is>
          <t>LUCAS ORIOLI DE SOUZA</t>
        </is>
      </c>
      <c r="F9935" s="30" t="inlineStr">
        <is>
          <t>2021</t>
        </is>
      </c>
      <c r="G9935" s="40" t="n">
        <v>0</v>
      </c>
    </row>
    <row r="9936" ht="12" customHeight="1">
      <c r="A9936" s="30" t="inlineStr">
        <is>
          <t>POR</t>
        </is>
      </c>
      <c r="B9936" s="30" t="inlineStr">
        <is>
          <t>Porto Real</t>
        </is>
      </c>
      <c r="C9936" s="30" t="n">
        <v>72448391</v>
      </c>
      <c r="D9936" s="30">
        <f>"12391726724"</f>
        <v/>
      </c>
      <c r="E9936" s="30" t="inlineStr">
        <is>
          <t>LEANDRO LUIS TROCOLI</t>
        </is>
      </c>
      <c r="F9936" s="30" t="inlineStr">
        <is>
          <t>2017</t>
        </is>
      </c>
      <c r="G9936" s="40" t="n">
        <v>0</v>
      </c>
    </row>
    <row r="9937" ht="12" customHeight="1">
      <c r="A9937" s="30" t="inlineStr">
        <is>
          <t>POR</t>
        </is>
      </c>
      <c r="B9937" s="30" t="inlineStr">
        <is>
          <t>Porto Real</t>
        </is>
      </c>
      <c r="C9937" s="30" t="n">
        <v>72448391</v>
      </c>
      <c r="D9937" s="30">
        <f>"12391726724"</f>
        <v/>
      </c>
      <c r="E9937" s="30" t="inlineStr">
        <is>
          <t>LEANDRO LUIS TROCOLI</t>
        </is>
      </c>
      <c r="F9937" s="30" t="inlineStr">
        <is>
          <t>2018</t>
        </is>
      </c>
      <c r="G9937" s="40" t="n">
        <v>0</v>
      </c>
    </row>
    <row r="9938" ht="12" customHeight="1">
      <c r="A9938" s="30" t="inlineStr">
        <is>
          <t>POR</t>
        </is>
      </c>
      <c r="B9938" s="30" t="inlineStr">
        <is>
          <t>Porto Real</t>
        </is>
      </c>
      <c r="C9938" s="30" t="n">
        <v>72448391</v>
      </c>
      <c r="D9938" s="30">
        <f>"12391726724"</f>
        <v/>
      </c>
      <c r="E9938" s="30" t="inlineStr">
        <is>
          <t>LEANDRO LUIS TROCOLI</t>
        </is>
      </c>
      <c r="F9938" s="30" t="inlineStr">
        <is>
          <t>2019</t>
        </is>
      </c>
      <c r="G9938" s="40" t="n">
        <v>0</v>
      </c>
    </row>
    <row r="9939" ht="12" customHeight="1">
      <c r="A9939" s="30" t="inlineStr">
        <is>
          <t>POR</t>
        </is>
      </c>
      <c r="B9939" s="30" t="inlineStr">
        <is>
          <t>Porto Real</t>
        </is>
      </c>
      <c r="C9939" s="30" t="n">
        <v>72448391</v>
      </c>
      <c r="D9939" s="30">
        <f>"12391726724"</f>
        <v/>
      </c>
      <c r="E9939" s="30" t="inlineStr">
        <is>
          <t>LEANDRO LUIS TROCOLI</t>
        </is>
      </c>
      <c r="F9939" s="30" t="inlineStr">
        <is>
          <t>2020</t>
        </is>
      </c>
      <c r="G9939" s="40" t="n">
        <v>0</v>
      </c>
    </row>
    <row r="9940" ht="12" customHeight="1">
      <c r="A9940" s="30" t="inlineStr">
        <is>
          <t>POR</t>
        </is>
      </c>
      <c r="B9940" s="30" t="inlineStr">
        <is>
          <t>Porto Real</t>
        </is>
      </c>
      <c r="C9940" s="30" t="n">
        <v>72464915</v>
      </c>
      <c r="D9940" s="30">
        <f>"05165746712"</f>
        <v/>
      </c>
      <c r="E9940" s="30" t="inlineStr">
        <is>
          <t>RODRIGO JOSE DE ALVARENGA</t>
        </is>
      </c>
      <c r="F9940" s="30" t="inlineStr">
        <is>
          <t>2017</t>
        </is>
      </c>
      <c r="G9940" s="40" t="n">
        <v>0</v>
      </c>
    </row>
    <row r="9941" ht="12" customHeight="1">
      <c r="A9941" s="30" t="inlineStr">
        <is>
          <t>POR</t>
        </is>
      </c>
      <c r="B9941" s="30" t="inlineStr">
        <is>
          <t>Porto Real</t>
        </is>
      </c>
      <c r="C9941" s="30" t="n">
        <v>72464915</v>
      </c>
      <c r="D9941" s="30">
        <f>"05165746712"</f>
        <v/>
      </c>
      <c r="E9941" s="30" t="inlineStr">
        <is>
          <t>RODRIGO JOSE DE ALVARENGA</t>
        </is>
      </c>
      <c r="F9941" s="30" t="inlineStr">
        <is>
          <t>2018</t>
        </is>
      </c>
      <c r="G9941" s="40" t="n">
        <v>0</v>
      </c>
    </row>
    <row r="9942" ht="12" customHeight="1">
      <c r="A9942" s="30" t="inlineStr">
        <is>
          <t>POR</t>
        </is>
      </c>
      <c r="B9942" s="30" t="inlineStr">
        <is>
          <t>Porto Real</t>
        </is>
      </c>
      <c r="C9942" s="30" t="n">
        <v>72464915</v>
      </c>
      <c r="D9942" s="30">
        <f>"05165746712"</f>
        <v/>
      </c>
      <c r="E9942" s="30" t="inlineStr">
        <is>
          <t>RODRIGO JOSE DE ALVARENGA</t>
        </is>
      </c>
      <c r="F9942" s="30" t="inlineStr">
        <is>
          <t>2019</t>
        </is>
      </c>
      <c r="G9942" s="40" t="n">
        <v>0</v>
      </c>
    </row>
    <row r="9943" ht="12" customHeight="1">
      <c r="A9943" s="30" t="inlineStr">
        <is>
          <t>POR</t>
        </is>
      </c>
      <c r="B9943" s="30" t="inlineStr">
        <is>
          <t>Porto Real</t>
        </is>
      </c>
      <c r="C9943" s="30" t="n">
        <v>72464915</v>
      </c>
      <c r="D9943" s="30">
        <f>"05165746712"</f>
        <v/>
      </c>
      <c r="E9943" s="30" t="inlineStr">
        <is>
          <t>RODRIGO JOSE DE ALVARENGA</t>
        </is>
      </c>
      <c r="F9943" s="30" t="inlineStr">
        <is>
          <t>2020</t>
        </is>
      </c>
      <c r="G9943" s="40" t="n">
        <v>0</v>
      </c>
    </row>
    <row r="9944" ht="12" customHeight="1">
      <c r="A9944" s="30" t="inlineStr">
        <is>
          <t>POR</t>
        </is>
      </c>
      <c r="B9944" s="30" t="inlineStr">
        <is>
          <t>Porto Real</t>
        </is>
      </c>
      <c r="C9944" s="30" t="n">
        <v>72494873</v>
      </c>
      <c r="D9944" s="30">
        <f>"32178786715"</f>
        <v/>
      </c>
      <c r="E9944" s="30" t="inlineStr">
        <is>
          <t>ISAC SOARES DA COSTA</t>
        </is>
      </c>
      <c r="F9944" s="30" t="inlineStr">
        <is>
          <t>2017</t>
        </is>
      </c>
      <c r="G9944" s="40" t="n">
        <v>0</v>
      </c>
    </row>
    <row r="9945" ht="12" customHeight="1">
      <c r="A9945" s="30" t="inlineStr">
        <is>
          <t>POR</t>
        </is>
      </c>
      <c r="B9945" s="30" t="inlineStr">
        <is>
          <t>Porto Real</t>
        </is>
      </c>
      <c r="C9945" s="30" t="n">
        <v>72494873</v>
      </c>
      <c r="D9945" s="30">
        <f>"32178786715"</f>
        <v/>
      </c>
      <c r="E9945" s="30" t="inlineStr">
        <is>
          <t>ISAC SOARES DA COSTA</t>
        </is>
      </c>
      <c r="F9945" s="30" t="inlineStr">
        <is>
          <t>2018</t>
        </is>
      </c>
      <c r="G9945" s="40" t="n">
        <v>0</v>
      </c>
    </row>
    <row r="9946" ht="12" customHeight="1">
      <c r="A9946" s="30" t="inlineStr">
        <is>
          <t>POR</t>
        </is>
      </c>
      <c r="B9946" s="30" t="inlineStr">
        <is>
          <t>Porto Real</t>
        </is>
      </c>
      <c r="C9946" s="30" t="n">
        <v>72494873</v>
      </c>
      <c r="D9946" s="30">
        <f>"32178786715"</f>
        <v/>
      </c>
      <c r="E9946" s="30" t="inlineStr">
        <is>
          <t>ISAC SOARES DA COSTA</t>
        </is>
      </c>
      <c r="F9946" s="30" t="inlineStr">
        <is>
          <t>2019</t>
        </is>
      </c>
      <c r="G9946" s="40" t="n">
        <v>0</v>
      </c>
    </row>
    <row r="9947" ht="12" customHeight="1">
      <c r="A9947" s="30" t="inlineStr">
        <is>
          <t>POR</t>
        </is>
      </c>
      <c r="B9947" s="30" t="inlineStr">
        <is>
          <t>Porto Real</t>
        </is>
      </c>
      <c r="C9947" s="30" t="n">
        <v>72494873</v>
      </c>
      <c r="D9947" s="30">
        <f>"32178786715"</f>
        <v/>
      </c>
      <c r="E9947" s="30" t="inlineStr">
        <is>
          <t>ISAC SOARES DA COSTA</t>
        </is>
      </c>
      <c r="F9947" s="30" t="inlineStr">
        <is>
          <t>2020</t>
        </is>
      </c>
      <c r="G9947" s="40" t="n">
        <v>0</v>
      </c>
    </row>
    <row r="9948" ht="12" customHeight="1">
      <c r="A9948" s="30" t="inlineStr">
        <is>
          <t>POR</t>
        </is>
      </c>
      <c r="B9948" s="30" t="inlineStr">
        <is>
          <t>Porto Real</t>
        </is>
      </c>
      <c r="C9948" s="30" t="n">
        <v>72494873</v>
      </c>
      <c r="D9948" s="30">
        <f>"32178786715"</f>
        <v/>
      </c>
      <c r="E9948" s="30" t="inlineStr">
        <is>
          <t>ISAC SOARES DA COSTA</t>
        </is>
      </c>
      <c r="F9948" s="30" t="inlineStr">
        <is>
          <t>2021</t>
        </is>
      </c>
      <c r="G9948" s="40" t="n">
        <v>0</v>
      </c>
    </row>
    <row r="9949" ht="12" customHeight="1">
      <c r="A9949" s="30" t="inlineStr">
        <is>
          <t>POR</t>
        </is>
      </c>
      <c r="B9949" s="30" t="inlineStr">
        <is>
          <t>Porto Real</t>
        </is>
      </c>
      <c r="C9949" s="30" t="n">
        <v>72494873</v>
      </c>
      <c r="D9949" s="30">
        <f>"32178786715"</f>
        <v/>
      </c>
      <c r="E9949" s="30" t="inlineStr">
        <is>
          <t>ISAC SOARES DA COSTA</t>
        </is>
      </c>
      <c r="F9949" s="30" t="inlineStr">
        <is>
          <t>2022</t>
        </is>
      </c>
      <c r="G9949" s="40" t="n">
        <v>0</v>
      </c>
    </row>
    <row r="9950" ht="12" customHeight="1">
      <c r="A9950" s="30" t="inlineStr">
        <is>
          <t>POR</t>
        </is>
      </c>
      <c r="B9950" s="30" t="inlineStr">
        <is>
          <t>Porto Real</t>
        </is>
      </c>
      <c r="C9950" s="30" t="n">
        <v>72494873</v>
      </c>
      <c r="D9950" s="30">
        <f>"32178786715"</f>
        <v/>
      </c>
      <c r="E9950" s="30" t="inlineStr">
        <is>
          <t>ISAC SOARES DA COSTA</t>
        </is>
      </c>
      <c r="F9950" s="30" t="inlineStr">
        <is>
          <t>2023</t>
        </is>
      </c>
      <c r="G9950" s="40" t="n">
        <v>0</v>
      </c>
    </row>
    <row r="9951" ht="12" customHeight="1">
      <c r="A9951" s="30" t="inlineStr">
        <is>
          <t>POR</t>
        </is>
      </c>
      <c r="B9951" s="30" t="inlineStr">
        <is>
          <t>Porto Real</t>
        </is>
      </c>
      <c r="C9951" s="30" t="n">
        <v>72501349</v>
      </c>
      <c r="D9951" s="30">
        <f>"08018115702"</f>
        <v/>
      </c>
      <c r="E9951" s="30" t="inlineStr">
        <is>
          <t>DANIEL PEREIRA GONCALVES</t>
        </is>
      </c>
      <c r="F9951" s="30" t="inlineStr">
        <is>
          <t>2017</t>
        </is>
      </c>
      <c r="G9951" s="40" t="n">
        <v>0</v>
      </c>
    </row>
    <row r="9952" ht="12" customHeight="1">
      <c r="A9952" s="30" t="inlineStr">
        <is>
          <t>POR</t>
        </is>
      </c>
      <c r="B9952" s="30" t="inlineStr">
        <is>
          <t>Porto Real</t>
        </is>
      </c>
      <c r="C9952" s="30" t="n">
        <v>72501349</v>
      </c>
      <c r="D9952" s="30">
        <f>"08018115702"</f>
        <v/>
      </c>
      <c r="E9952" s="30" t="inlineStr">
        <is>
          <t>DANIEL PEREIRA GONCALVES</t>
        </is>
      </c>
      <c r="F9952" s="30" t="inlineStr">
        <is>
          <t>2018</t>
        </is>
      </c>
      <c r="G9952" s="40" t="n">
        <v>69261.08</v>
      </c>
    </row>
    <row r="9953" ht="12" customHeight="1">
      <c r="A9953" s="30" t="inlineStr">
        <is>
          <t>POR</t>
        </is>
      </c>
      <c r="B9953" s="30" t="inlineStr">
        <is>
          <t>Porto Real</t>
        </is>
      </c>
      <c r="C9953" s="30" t="n">
        <v>72501349</v>
      </c>
      <c r="D9953" s="30">
        <f>"08018115702"</f>
        <v/>
      </c>
      <c r="E9953" s="30" t="inlineStr">
        <is>
          <t>DANIEL PEREIRA GONCALVES</t>
        </is>
      </c>
      <c r="F9953" s="30" t="inlineStr">
        <is>
          <t>2019</t>
        </is>
      </c>
      <c r="G9953" s="40" t="n">
        <v>169363.97</v>
      </c>
    </row>
    <row r="9954" ht="12" customHeight="1">
      <c r="A9954" s="30" t="inlineStr">
        <is>
          <t>POR</t>
        </is>
      </c>
      <c r="B9954" s="30" t="inlineStr">
        <is>
          <t>Porto Real</t>
        </is>
      </c>
      <c r="C9954" s="30" t="n">
        <v>72501349</v>
      </c>
      <c r="D9954" s="30">
        <f>"08018115702"</f>
        <v/>
      </c>
      <c r="E9954" s="30" t="inlineStr">
        <is>
          <t>DANIEL PEREIRA GONCALVES</t>
        </is>
      </c>
      <c r="F9954" s="30" t="inlineStr">
        <is>
          <t>2020</t>
        </is>
      </c>
      <c r="G9954" s="40" t="n">
        <v>0</v>
      </c>
    </row>
    <row r="9955" ht="12" customHeight="1">
      <c r="A9955" s="30" t="inlineStr">
        <is>
          <t>POR</t>
        </is>
      </c>
      <c r="B9955" s="30" t="inlineStr">
        <is>
          <t>Porto Real</t>
        </is>
      </c>
      <c r="C9955" s="30" t="n">
        <v>72501349</v>
      </c>
      <c r="D9955" s="30">
        <f>"08018115702"</f>
        <v/>
      </c>
      <c r="E9955" s="30" t="inlineStr">
        <is>
          <t>DANIEL PEREIRA GONCALVES</t>
        </is>
      </c>
      <c r="F9955" s="30" t="inlineStr">
        <is>
          <t>2021</t>
        </is>
      </c>
      <c r="G9955" s="40" t="n">
        <v>0</v>
      </c>
    </row>
    <row r="9956" ht="12" customHeight="1">
      <c r="A9956" s="30" t="inlineStr">
        <is>
          <t>POR</t>
        </is>
      </c>
      <c r="B9956" s="30" t="inlineStr">
        <is>
          <t>Porto Real</t>
        </is>
      </c>
      <c r="C9956" s="30" t="n">
        <v>72510178</v>
      </c>
      <c r="D9956" s="30">
        <f>"92677720744"</f>
        <v/>
      </c>
      <c r="E9956" s="30" t="inlineStr">
        <is>
          <t>PAULO CESAR ALBARELO</t>
        </is>
      </c>
      <c r="F9956" s="30" t="inlineStr">
        <is>
          <t>2017</t>
        </is>
      </c>
      <c r="G9956" s="40" t="n">
        <v>0</v>
      </c>
    </row>
    <row r="9957" ht="12" customHeight="1">
      <c r="A9957" s="30" t="inlineStr">
        <is>
          <t>POR</t>
        </is>
      </c>
      <c r="B9957" s="30" t="inlineStr">
        <is>
          <t>Porto Real</t>
        </is>
      </c>
      <c r="C9957" s="30" t="n">
        <v>72510178</v>
      </c>
      <c r="D9957" s="30">
        <f>"92677720744"</f>
        <v/>
      </c>
      <c r="E9957" s="30" t="inlineStr">
        <is>
          <t>PAULO CESAR ALBARELO</t>
        </is>
      </c>
      <c r="F9957" s="30" t="inlineStr">
        <is>
          <t>2018</t>
        </is>
      </c>
      <c r="G9957" s="40" t="n">
        <v>0</v>
      </c>
    </row>
    <row r="9958" ht="12" customHeight="1">
      <c r="A9958" s="30" t="inlineStr">
        <is>
          <t>POR</t>
        </is>
      </c>
      <c r="B9958" s="30" t="inlineStr">
        <is>
          <t>Porto Real</t>
        </is>
      </c>
      <c r="C9958" s="30" t="n">
        <v>72510178</v>
      </c>
      <c r="D9958" s="30">
        <f>"92677720744"</f>
        <v/>
      </c>
      <c r="E9958" s="30" t="inlineStr">
        <is>
          <t>PAULO CESAR ALBARELO</t>
        </is>
      </c>
      <c r="F9958" s="30" t="inlineStr">
        <is>
          <t>2019</t>
        </is>
      </c>
      <c r="G9958" s="40" t="n">
        <v>0</v>
      </c>
    </row>
    <row r="9959" ht="12" customHeight="1">
      <c r="A9959" s="30" t="inlineStr">
        <is>
          <t>POR</t>
        </is>
      </c>
      <c r="B9959" s="30" t="inlineStr">
        <is>
          <t>Porto Real</t>
        </is>
      </c>
      <c r="C9959" s="30" t="n">
        <v>72510178</v>
      </c>
      <c r="D9959" s="30">
        <f>"92677720744"</f>
        <v/>
      </c>
      <c r="E9959" s="30" t="inlineStr">
        <is>
          <t>PAULO CESAR ALBARELO</t>
        </is>
      </c>
      <c r="F9959" s="30" t="inlineStr">
        <is>
          <t>2020</t>
        </is>
      </c>
      <c r="G9959" s="40" t="n">
        <v>0</v>
      </c>
    </row>
    <row r="9960" ht="12" customHeight="1">
      <c r="A9960" s="30" t="inlineStr">
        <is>
          <t>POR</t>
        </is>
      </c>
      <c r="B9960" s="30" t="inlineStr">
        <is>
          <t>Porto Real</t>
        </is>
      </c>
      <c r="C9960" s="30" t="n">
        <v>72510178</v>
      </c>
      <c r="D9960" s="30">
        <f>"92677720744"</f>
        <v/>
      </c>
      <c r="E9960" s="30" t="inlineStr">
        <is>
          <t>PAULO CESAR ALBARELO</t>
        </is>
      </c>
      <c r="F9960" s="30" t="inlineStr">
        <is>
          <t>2021</t>
        </is>
      </c>
      <c r="G9960" s="40" t="n">
        <v>20430</v>
      </c>
    </row>
    <row r="9961" ht="12" customHeight="1">
      <c r="A9961" s="30" t="inlineStr">
        <is>
          <t>POR</t>
        </is>
      </c>
      <c r="B9961" s="30" t="inlineStr">
        <is>
          <t>Porto Real</t>
        </is>
      </c>
      <c r="C9961" s="30" t="n">
        <v>72510178</v>
      </c>
      <c r="D9961" s="30">
        <f>"92677720744"</f>
        <v/>
      </c>
      <c r="E9961" s="30" t="inlineStr">
        <is>
          <t>PAULO CESAR ALBARELO</t>
        </is>
      </c>
      <c r="F9961" s="30" t="inlineStr">
        <is>
          <t>2022</t>
        </is>
      </c>
      <c r="G9961" s="40" t="n">
        <v>57000</v>
      </c>
    </row>
    <row r="9962" ht="12" customHeight="1">
      <c r="A9962" s="30" t="inlineStr">
        <is>
          <t>POR</t>
        </is>
      </c>
      <c r="B9962" s="30" t="inlineStr">
        <is>
          <t>Porto Real</t>
        </is>
      </c>
      <c r="C9962" s="30" t="n">
        <v>72510178</v>
      </c>
      <c r="D9962" s="30">
        <f>"92677720744"</f>
        <v/>
      </c>
      <c r="E9962" s="30" t="inlineStr">
        <is>
          <t>PAULO CESAR ALBARELO</t>
        </is>
      </c>
      <c r="F9962" s="30" t="inlineStr">
        <is>
          <t>2023</t>
        </is>
      </c>
      <c r="G9962" s="40" t="n">
        <v>81870</v>
      </c>
    </row>
    <row r="9963" ht="12" customHeight="1">
      <c r="A9963" s="30" t="inlineStr">
        <is>
          <t>POR</t>
        </is>
      </c>
      <c r="B9963" s="30" t="inlineStr">
        <is>
          <t>Porto Real</t>
        </is>
      </c>
      <c r="C9963" s="30" t="n">
        <v>72527356</v>
      </c>
      <c r="D9963" s="30">
        <f>"14410576763"</f>
        <v/>
      </c>
      <c r="E9963" s="30" t="inlineStr">
        <is>
          <t>IZABELLE CRISTINA RODRIGUES DE AQUINO</t>
        </is>
      </c>
      <c r="F9963" s="30" t="inlineStr">
        <is>
          <t>2017</t>
        </is>
      </c>
      <c r="G9963" s="40" t="n">
        <v>0</v>
      </c>
    </row>
    <row r="9964" ht="12" customHeight="1">
      <c r="A9964" s="30" t="inlineStr">
        <is>
          <t>POR</t>
        </is>
      </c>
      <c r="B9964" s="30" t="inlineStr">
        <is>
          <t>Porto Real</t>
        </is>
      </c>
      <c r="C9964" s="30" t="n">
        <v>72527356</v>
      </c>
      <c r="D9964" s="30">
        <f>"14410576763"</f>
        <v/>
      </c>
      <c r="E9964" s="30" t="inlineStr">
        <is>
          <t>IZABELLE CRISTINA RODRIGUES DE AQUINO</t>
        </is>
      </c>
      <c r="F9964" s="30" t="inlineStr">
        <is>
          <t>2018</t>
        </is>
      </c>
      <c r="G9964" s="40" t="n">
        <v>0</v>
      </c>
    </row>
    <row r="9965" ht="12" customHeight="1">
      <c r="A9965" s="30" t="inlineStr">
        <is>
          <t>POR</t>
        </is>
      </c>
      <c r="B9965" s="30" t="inlineStr">
        <is>
          <t>Porto Real</t>
        </is>
      </c>
      <c r="C9965" s="30" t="n">
        <v>72527356</v>
      </c>
      <c r="D9965" s="30">
        <f>"14410576763"</f>
        <v/>
      </c>
      <c r="E9965" s="30" t="inlineStr">
        <is>
          <t>IZABELLE CRISTINA RODRIGUES DE AQUINO</t>
        </is>
      </c>
      <c r="F9965" s="30" t="inlineStr">
        <is>
          <t>2019</t>
        </is>
      </c>
      <c r="G9965" s="40" t="n">
        <v>0</v>
      </c>
    </row>
    <row r="9966" ht="12" customHeight="1">
      <c r="A9966" s="30" t="inlineStr">
        <is>
          <t>POR</t>
        </is>
      </c>
      <c r="B9966" s="30" t="inlineStr">
        <is>
          <t>Porto Real</t>
        </is>
      </c>
      <c r="C9966" s="30" t="n">
        <v>75086261</v>
      </c>
      <c r="D9966" s="30">
        <f>"02512449000164"</f>
        <v/>
      </c>
      <c r="E9966" s="30" t="inlineStr">
        <is>
          <t>TRANSBANANAL TRANSPORTES LTDA</t>
        </is>
      </c>
      <c r="F9966" s="30" t="inlineStr">
        <is>
          <t>2018</t>
        </is>
      </c>
      <c r="G9966" s="40" t="n">
        <v>0</v>
      </c>
    </row>
    <row r="9967" ht="12" customHeight="1">
      <c r="A9967" s="30" t="inlineStr">
        <is>
          <t>POR</t>
        </is>
      </c>
      <c r="B9967" s="30" t="inlineStr">
        <is>
          <t>Porto Real</t>
        </is>
      </c>
      <c r="C9967" s="30" t="n">
        <v>75086261</v>
      </c>
      <c r="D9967" s="30">
        <f>"02512449000164"</f>
        <v/>
      </c>
      <c r="E9967" s="30" t="inlineStr">
        <is>
          <t>TRANSBANANAL TRANSPORTES LTDA</t>
        </is>
      </c>
      <c r="F9967" s="30" t="inlineStr">
        <is>
          <t>2019</t>
        </is>
      </c>
      <c r="G9967" s="40" t="n">
        <v>0</v>
      </c>
    </row>
    <row r="9968" ht="12" customHeight="1">
      <c r="A9968" s="30" t="inlineStr">
        <is>
          <t>POR</t>
        </is>
      </c>
      <c r="B9968" s="30" t="inlineStr">
        <is>
          <t>Porto Real</t>
        </is>
      </c>
      <c r="C9968" s="30" t="n">
        <v>75086261</v>
      </c>
      <c r="D9968" s="30">
        <f>"02512449000164"</f>
        <v/>
      </c>
      <c r="E9968" s="30" t="inlineStr">
        <is>
          <t>TRANSBANANAL TRANSPORTES LTDA</t>
        </is>
      </c>
      <c r="F9968" s="30" t="inlineStr">
        <is>
          <t>2020</t>
        </is>
      </c>
      <c r="G9968" s="40" t="n">
        <v>137083.49</v>
      </c>
    </row>
    <row r="9969" ht="12" customHeight="1">
      <c r="A9969" s="30" t="inlineStr">
        <is>
          <t>POR</t>
        </is>
      </c>
      <c r="B9969" s="30" t="inlineStr">
        <is>
          <t>Porto Real</t>
        </is>
      </c>
      <c r="C9969" s="30" t="n">
        <v>75086261</v>
      </c>
      <c r="D9969" s="30">
        <f>"02512449000164"</f>
        <v/>
      </c>
      <c r="E9969" s="30" t="inlineStr">
        <is>
          <t>TRANSBANANAL TRANSPORTES LTDA</t>
        </is>
      </c>
      <c r="F9969" s="30" t="inlineStr">
        <is>
          <t>2021</t>
        </is>
      </c>
      <c r="G9969" s="40" t="n">
        <v>0</v>
      </c>
    </row>
    <row r="9970" ht="12" customHeight="1">
      <c r="A9970" s="30" t="inlineStr">
        <is>
          <t>POR</t>
        </is>
      </c>
      <c r="B9970" s="30" t="inlineStr">
        <is>
          <t>Porto Real</t>
        </is>
      </c>
      <c r="C9970" s="30" t="n">
        <v>75086261</v>
      </c>
      <c r="D9970" s="30">
        <f>"02512449000164"</f>
        <v/>
      </c>
      <c r="E9970" s="30" t="inlineStr">
        <is>
          <t>TRANSBANANAL TRANSPORTES LTDA</t>
        </is>
      </c>
      <c r="F9970" s="30" t="inlineStr">
        <is>
          <t>2022</t>
        </is>
      </c>
      <c r="G9970" s="40" t="n">
        <v>0</v>
      </c>
    </row>
    <row r="9971" ht="12" customHeight="1">
      <c r="A9971" s="30" t="inlineStr">
        <is>
          <t>POR</t>
        </is>
      </c>
      <c r="B9971" s="30" t="inlineStr">
        <is>
          <t>Porto Real</t>
        </is>
      </c>
      <c r="C9971" s="30" t="n">
        <v>75424809</v>
      </c>
      <c r="D9971" s="30">
        <f>"30709661000151"</f>
        <v/>
      </c>
      <c r="E9971" s="30" t="inlineStr">
        <is>
          <t>REMON IMOBILIARIA E AGROPECUARIA LTDA</t>
        </is>
      </c>
      <c r="F9971" s="30" t="inlineStr">
        <is>
          <t>2017</t>
        </is>
      </c>
      <c r="G9971" s="40" t="n">
        <v>778503.88</v>
      </c>
    </row>
    <row r="9972" ht="12" customHeight="1">
      <c r="A9972" s="30" t="inlineStr">
        <is>
          <t>POR</t>
        </is>
      </c>
      <c r="B9972" s="30" t="inlineStr">
        <is>
          <t>Porto Real</t>
        </is>
      </c>
      <c r="C9972" s="30" t="n">
        <v>75424809</v>
      </c>
      <c r="D9972" s="30">
        <f>"30709661000151"</f>
        <v/>
      </c>
      <c r="E9972" s="30" t="inlineStr">
        <is>
          <t>REMON IMOBILIARIA E AGROPECUARIA LTDA</t>
        </is>
      </c>
      <c r="F9972" s="30" t="inlineStr">
        <is>
          <t>2018</t>
        </is>
      </c>
      <c r="G9972" s="40" t="n">
        <v>427583.41</v>
      </c>
    </row>
    <row r="9973" ht="12" customHeight="1">
      <c r="A9973" s="30" t="inlineStr">
        <is>
          <t>POR</t>
        </is>
      </c>
      <c r="B9973" s="30" t="inlineStr">
        <is>
          <t>Porto Real</t>
        </is>
      </c>
      <c r="C9973" s="30" t="n">
        <v>75424809</v>
      </c>
      <c r="D9973" s="30">
        <f>"30709661000151"</f>
        <v/>
      </c>
      <c r="E9973" s="30" t="inlineStr">
        <is>
          <t>REMON IMOBILIARIA E AGROPECUARIA LTDA</t>
        </is>
      </c>
      <c r="F9973" s="30" t="inlineStr">
        <is>
          <t>2019</t>
        </is>
      </c>
      <c r="G9973" s="40" t="n">
        <v>1544050.96</v>
      </c>
    </row>
    <row r="9974" ht="12" customHeight="1">
      <c r="A9974" s="30" t="inlineStr">
        <is>
          <t>POR</t>
        </is>
      </c>
      <c r="B9974" s="30" t="inlineStr">
        <is>
          <t>Porto Real</t>
        </is>
      </c>
      <c r="C9974" s="30" t="n">
        <v>75424809</v>
      </c>
      <c r="D9974" s="30">
        <f>"30709661000151"</f>
        <v/>
      </c>
      <c r="E9974" s="30" t="inlineStr">
        <is>
          <t>REMON IMOBILIARIA E AGROPECUARIA LTDA</t>
        </is>
      </c>
      <c r="F9974" s="30" t="inlineStr">
        <is>
          <t>2020</t>
        </is>
      </c>
      <c r="G9974" s="40" t="n">
        <v>2102381.01</v>
      </c>
    </row>
    <row r="9975" ht="12" customHeight="1">
      <c r="A9975" s="30" t="inlineStr">
        <is>
          <t>POR</t>
        </is>
      </c>
      <c r="B9975" s="30" t="inlineStr">
        <is>
          <t>Porto Real</t>
        </is>
      </c>
      <c r="C9975" s="30" t="n">
        <v>75424809</v>
      </c>
      <c r="D9975" s="30">
        <f>"30709661000151"</f>
        <v/>
      </c>
      <c r="E9975" s="30" t="inlineStr">
        <is>
          <t>REMON IMOBILIARIA E AGROPECUARIA LTDA</t>
        </is>
      </c>
      <c r="F9975" s="30" t="inlineStr">
        <is>
          <t>2021</t>
        </is>
      </c>
      <c r="G9975" s="40" t="n">
        <v>2238980.08</v>
      </c>
    </row>
    <row r="9976" ht="12" customHeight="1">
      <c r="A9976" s="30" t="inlineStr">
        <is>
          <t>POR</t>
        </is>
      </c>
      <c r="B9976" s="30" t="inlineStr">
        <is>
          <t>Porto Real</t>
        </is>
      </c>
      <c r="C9976" s="30" t="n">
        <v>75424809</v>
      </c>
      <c r="D9976" s="30">
        <f>"30709661000151"</f>
        <v/>
      </c>
      <c r="E9976" s="30" t="inlineStr">
        <is>
          <t>REMON IMOBILIARIA E AGROPECUARIA LTDA</t>
        </is>
      </c>
      <c r="F9976" s="30" t="inlineStr">
        <is>
          <t>2022</t>
        </is>
      </c>
      <c r="G9976" s="40" t="n">
        <v>0</v>
      </c>
    </row>
    <row r="9977" ht="12" customHeight="1">
      <c r="A9977" s="30" t="inlineStr">
        <is>
          <t>POR</t>
        </is>
      </c>
      <c r="B9977" s="30" t="inlineStr">
        <is>
          <t>Porto Real</t>
        </is>
      </c>
      <c r="C9977" s="30" t="n">
        <v>75424809</v>
      </c>
      <c r="D9977" s="30">
        <f>"30709661000151"</f>
        <v/>
      </c>
      <c r="E9977" s="30" t="inlineStr">
        <is>
          <t>REMON IMOBILIARIA E AGROPECUARIA LTDA</t>
        </is>
      </c>
      <c r="F9977" s="30" t="inlineStr">
        <is>
          <t>2023</t>
        </is>
      </c>
      <c r="G9977" s="40" t="n">
        <v>1408985.69</v>
      </c>
    </row>
    <row r="9978" ht="12" customHeight="1">
      <c r="A9978" s="30" t="inlineStr">
        <is>
          <t>POR</t>
        </is>
      </c>
      <c r="B9978" s="30" t="inlineStr">
        <is>
          <t>Porto Real</t>
        </is>
      </c>
      <c r="C9978" s="30" t="n">
        <v>75434901</v>
      </c>
      <c r="D9978" s="30">
        <f>"32147829000108"</f>
        <v/>
      </c>
      <c r="E9978" s="30" t="inlineStr">
        <is>
          <t>MARCA AGOPECUARIA LTDA</t>
        </is>
      </c>
      <c r="F9978" s="30" t="inlineStr">
        <is>
          <t>2017</t>
        </is>
      </c>
      <c r="G9978" s="40" t="n">
        <v>0</v>
      </c>
    </row>
    <row r="9979" ht="12" customHeight="1">
      <c r="A9979" s="30" t="inlineStr">
        <is>
          <t>POR</t>
        </is>
      </c>
      <c r="B9979" s="30" t="inlineStr">
        <is>
          <t>Porto Real</t>
        </is>
      </c>
      <c r="C9979" s="30" t="n">
        <v>75434901</v>
      </c>
      <c r="D9979" s="30">
        <f>"32147829000108"</f>
        <v/>
      </c>
      <c r="E9979" s="30" t="inlineStr">
        <is>
          <t>MARCA AGOPECUARIA LTDA</t>
        </is>
      </c>
      <c r="F9979" s="30" t="inlineStr">
        <is>
          <t>2018</t>
        </is>
      </c>
      <c r="G9979" s="40" t="n">
        <v>0</v>
      </c>
    </row>
    <row r="9980" ht="12" customHeight="1">
      <c r="A9980" s="30" t="inlineStr">
        <is>
          <t>POR</t>
        </is>
      </c>
      <c r="B9980" s="30" t="inlineStr">
        <is>
          <t>Porto Real</t>
        </is>
      </c>
      <c r="C9980" s="30" t="n">
        <v>75434901</v>
      </c>
      <c r="D9980" s="30">
        <f>"32147829000108"</f>
        <v/>
      </c>
      <c r="E9980" s="30" t="inlineStr">
        <is>
          <t>MARCA AGOPECUARIA LTDA</t>
        </is>
      </c>
      <c r="F9980" s="30" t="inlineStr">
        <is>
          <t>2019</t>
        </is>
      </c>
      <c r="G9980" s="40" t="n">
        <v>268209.99</v>
      </c>
    </row>
    <row r="9981" ht="12" customHeight="1">
      <c r="A9981" s="30" t="inlineStr">
        <is>
          <t>POR</t>
        </is>
      </c>
      <c r="B9981" s="30" t="inlineStr">
        <is>
          <t>Porto Real</t>
        </is>
      </c>
      <c r="C9981" s="30" t="n">
        <v>75434901</v>
      </c>
      <c r="D9981" s="30">
        <f>"32147829000108"</f>
        <v/>
      </c>
      <c r="E9981" s="30" t="inlineStr">
        <is>
          <t>MARCA AGOPECUARIA LTDA</t>
        </is>
      </c>
      <c r="F9981" s="30" t="inlineStr">
        <is>
          <t>2020</t>
        </is>
      </c>
      <c r="G9981" s="40" t="n">
        <v>0</v>
      </c>
    </row>
    <row r="9982" ht="12" customHeight="1">
      <c r="A9982" s="30" t="inlineStr">
        <is>
          <t>POR</t>
        </is>
      </c>
      <c r="B9982" s="30" t="inlineStr">
        <is>
          <t>Porto Real</t>
        </is>
      </c>
      <c r="C9982" s="30" t="n">
        <v>75434901</v>
      </c>
      <c r="D9982" s="30">
        <f>"32147829000108"</f>
        <v/>
      </c>
      <c r="E9982" s="30" t="inlineStr">
        <is>
          <t>MARCA AGOPECUARIA LTDA</t>
        </is>
      </c>
      <c r="F9982" s="30" t="inlineStr">
        <is>
          <t>2021</t>
        </is>
      </c>
      <c r="G9982" s="40" t="n">
        <v>0</v>
      </c>
    </row>
    <row r="9983" ht="12" customHeight="1">
      <c r="A9983" s="30" t="inlineStr">
        <is>
          <t>POR</t>
        </is>
      </c>
      <c r="B9983" s="30" t="inlineStr">
        <is>
          <t>Porto Real</t>
        </is>
      </c>
      <c r="C9983" s="30" t="n">
        <v>75566417</v>
      </c>
      <c r="D9983" s="30">
        <f>"33042730013001"</f>
        <v/>
      </c>
      <c r="E9983" s="30" t="inlineStr">
        <is>
          <t>COMPANHIA SIDERURGICA NACIONAL</t>
        </is>
      </c>
      <c r="F9983" s="30" t="inlineStr">
        <is>
          <t>2017</t>
        </is>
      </c>
      <c r="G9983" s="40" t="n">
        <v>86392804.54000001</v>
      </c>
    </row>
    <row r="9984" ht="12" customHeight="1">
      <c r="A9984" s="30" t="inlineStr">
        <is>
          <t>POR</t>
        </is>
      </c>
      <c r="B9984" s="30" t="inlineStr">
        <is>
          <t>Porto Real</t>
        </is>
      </c>
      <c r="C9984" s="30" t="n">
        <v>75566417</v>
      </c>
      <c r="D9984" s="30">
        <f>"33042730013001"</f>
        <v/>
      </c>
      <c r="E9984" s="30" t="inlineStr">
        <is>
          <t>COMPANHIA SIDERURGICA NACIONAL</t>
        </is>
      </c>
      <c r="F9984" s="30" t="inlineStr">
        <is>
          <t>2018</t>
        </is>
      </c>
      <c r="G9984" s="40" t="n">
        <v>132679399.75</v>
      </c>
    </row>
    <row r="9985" ht="12" customHeight="1">
      <c r="A9985" s="30" t="inlineStr">
        <is>
          <t>POR</t>
        </is>
      </c>
      <c r="B9985" s="30" t="inlineStr">
        <is>
          <t>Porto Real</t>
        </is>
      </c>
      <c r="C9985" s="30" t="n">
        <v>75566417</v>
      </c>
      <c r="D9985" s="30">
        <f>"33042730013001"</f>
        <v/>
      </c>
      <c r="E9985" s="30" t="inlineStr">
        <is>
          <t>COMPANHIA SIDERURGICA NACIONAL</t>
        </is>
      </c>
      <c r="F9985" s="30" t="inlineStr">
        <is>
          <t>2019</t>
        </is>
      </c>
      <c r="G9985" s="40" t="n">
        <v>15550380.96</v>
      </c>
    </row>
    <row r="9986" ht="12" customHeight="1">
      <c r="A9986" s="30" t="inlineStr">
        <is>
          <t>POR</t>
        </is>
      </c>
      <c r="B9986" s="30" t="inlineStr">
        <is>
          <t>Porto Real</t>
        </is>
      </c>
      <c r="C9986" s="30" t="n">
        <v>75566417</v>
      </c>
      <c r="D9986" s="30">
        <f>"33042730013001"</f>
        <v/>
      </c>
      <c r="E9986" s="30" t="inlineStr">
        <is>
          <t>COMPANHIA SIDERURGICA NACIONAL</t>
        </is>
      </c>
      <c r="F9986" s="30" t="inlineStr">
        <is>
          <t>2020</t>
        </is>
      </c>
      <c r="G9986" s="40" t="n">
        <v>77304720.93000001</v>
      </c>
    </row>
    <row r="9987" ht="12" customHeight="1">
      <c r="A9987" s="30" t="inlineStr">
        <is>
          <t>POR</t>
        </is>
      </c>
      <c r="B9987" s="30" t="inlineStr">
        <is>
          <t>Porto Real</t>
        </is>
      </c>
      <c r="C9987" s="30" t="n">
        <v>75566417</v>
      </c>
      <c r="D9987" s="30">
        <f>"33042730013001"</f>
        <v/>
      </c>
      <c r="E9987" s="30" t="inlineStr">
        <is>
          <t>COMPANHIA SIDERURGICA NACIONAL</t>
        </is>
      </c>
      <c r="F9987" s="30" t="inlineStr">
        <is>
          <t>2021</t>
        </is>
      </c>
      <c r="G9987" s="40" t="n">
        <v>484490759.09</v>
      </c>
    </row>
    <row r="9988" ht="12" customHeight="1">
      <c r="A9988" s="30" t="inlineStr">
        <is>
          <t>POR</t>
        </is>
      </c>
      <c r="B9988" s="30" t="inlineStr">
        <is>
          <t>Porto Real</t>
        </is>
      </c>
      <c r="C9988" s="30" t="n">
        <v>75566417</v>
      </c>
      <c r="D9988" s="30">
        <f>"33042730013001"</f>
        <v/>
      </c>
      <c r="E9988" s="30" t="inlineStr">
        <is>
          <t>COMPANHIA SIDERURGICA NACIONAL</t>
        </is>
      </c>
      <c r="F9988" s="30" t="inlineStr">
        <is>
          <t>2022</t>
        </is>
      </c>
      <c r="G9988" s="40" t="n">
        <v>67000174.95</v>
      </c>
    </row>
    <row r="9989" ht="12" customHeight="1">
      <c r="A9989" s="30" t="inlineStr">
        <is>
          <t>POR</t>
        </is>
      </c>
      <c r="B9989" s="30" t="inlineStr">
        <is>
          <t>Porto Real</t>
        </is>
      </c>
      <c r="C9989" s="30" t="n">
        <v>75566417</v>
      </c>
      <c r="D9989" s="30">
        <f>"33042730013001"</f>
        <v/>
      </c>
      <c r="E9989" s="30" t="inlineStr">
        <is>
          <t>COMPANHIA SIDERURGICA NACIONAL</t>
        </is>
      </c>
      <c r="F9989" s="30" t="inlineStr">
        <is>
          <t>2023</t>
        </is>
      </c>
      <c r="G9989" s="40" t="n">
        <v>4214076.06</v>
      </c>
    </row>
    <row r="9990" ht="12" customHeight="1">
      <c r="A9990" s="30" t="inlineStr">
        <is>
          <t>POR</t>
        </is>
      </c>
      <c r="B9990" s="30" t="inlineStr">
        <is>
          <t>Porto Real</t>
        </is>
      </c>
      <c r="C9990" s="30" t="n">
        <v>75586744</v>
      </c>
      <c r="D9990" s="30">
        <f>"57012098000548"</f>
        <v/>
      </c>
      <c r="E9990" s="30" t="inlineStr">
        <is>
          <t>TRANSLUTE TRANSPORTES RODOVIARIO LTDA</t>
        </is>
      </c>
      <c r="F9990" s="30" t="inlineStr">
        <is>
          <t>2017</t>
        </is>
      </c>
      <c r="G9990" s="40" t="n">
        <v>0</v>
      </c>
    </row>
    <row r="9991" ht="12" customHeight="1">
      <c r="A9991" s="30" t="inlineStr">
        <is>
          <t>POR</t>
        </is>
      </c>
      <c r="B9991" s="30" t="inlineStr">
        <is>
          <t>Porto Real</t>
        </is>
      </c>
      <c r="C9991" s="30" t="n">
        <v>75586744</v>
      </c>
      <c r="D9991" s="30">
        <f>"57012098000548"</f>
        <v/>
      </c>
      <c r="E9991" s="30" t="inlineStr">
        <is>
          <t>TRANSLUTE TRANSPORTES RODOVIARIO LTDA</t>
        </is>
      </c>
      <c r="F9991" s="30" t="inlineStr">
        <is>
          <t>2018</t>
        </is>
      </c>
      <c r="G9991" s="40" t="n">
        <v>673.01</v>
      </c>
    </row>
    <row r="9992" ht="12" customHeight="1">
      <c r="A9992" s="30" t="inlineStr">
        <is>
          <t>POR</t>
        </is>
      </c>
      <c r="B9992" s="30" t="inlineStr">
        <is>
          <t>Porto Real</t>
        </is>
      </c>
      <c r="C9992" s="30" t="n">
        <v>75586744</v>
      </c>
      <c r="D9992" s="30">
        <f>"57012098000548"</f>
        <v/>
      </c>
      <c r="E9992" s="30" t="inlineStr">
        <is>
          <t>TRANSLUTE TRANSPORTES RODOVIARIO LTDA</t>
        </is>
      </c>
      <c r="F9992" s="30" t="inlineStr">
        <is>
          <t>2019</t>
        </is>
      </c>
      <c r="G9992" s="40" t="n">
        <v>827.76</v>
      </c>
    </row>
    <row r="9993" ht="12" customHeight="1">
      <c r="A9993" s="30" t="inlineStr">
        <is>
          <t>POR</t>
        </is>
      </c>
      <c r="B9993" s="30" t="inlineStr">
        <is>
          <t>Porto Real</t>
        </is>
      </c>
      <c r="C9993" s="30" t="n">
        <v>75586744</v>
      </c>
      <c r="D9993" s="30">
        <f>"57012098000548"</f>
        <v/>
      </c>
      <c r="E9993" s="30" t="inlineStr">
        <is>
          <t>TRANSLUTE TRANSPORTES RODOVIARIO LTDA</t>
        </is>
      </c>
      <c r="F9993" s="30" t="inlineStr">
        <is>
          <t>2020</t>
        </is>
      </c>
      <c r="G9993" s="40" t="n">
        <v>4.38</v>
      </c>
    </row>
    <row r="9994" ht="12" customHeight="1">
      <c r="A9994" s="30" t="inlineStr">
        <is>
          <t>POR</t>
        </is>
      </c>
      <c r="B9994" s="30" t="inlineStr">
        <is>
          <t>Porto Real</t>
        </is>
      </c>
      <c r="C9994" s="30" t="n">
        <v>75586744</v>
      </c>
      <c r="D9994" s="30">
        <f>"57012098000548"</f>
        <v/>
      </c>
      <c r="E9994" s="30" t="inlineStr">
        <is>
          <t>TRANSLUTE TRANSPORTES RODOVIARIO LTDA</t>
        </is>
      </c>
      <c r="F9994" s="30" t="inlineStr">
        <is>
          <t>2021</t>
        </is>
      </c>
      <c r="G9994" s="40" t="n">
        <v>31.71</v>
      </c>
    </row>
    <row r="9995" ht="12" customHeight="1">
      <c r="A9995" s="30" t="inlineStr">
        <is>
          <t>POR</t>
        </is>
      </c>
      <c r="B9995" s="30" t="inlineStr">
        <is>
          <t>Porto Real</t>
        </is>
      </c>
      <c r="C9995" s="30" t="n">
        <v>75586744</v>
      </c>
      <c r="D9995" s="30">
        <f>"57012098000548"</f>
        <v/>
      </c>
      <c r="E9995" s="30" t="inlineStr">
        <is>
          <t>TRANSLUTE TRANSPORTES RODOVIARIO LTDA</t>
        </is>
      </c>
      <c r="F9995" s="30" t="inlineStr">
        <is>
          <t>2022</t>
        </is>
      </c>
      <c r="G9995" s="40" t="n">
        <v>23.57</v>
      </c>
    </row>
    <row r="9996" ht="12" customHeight="1">
      <c r="A9996" s="30" t="inlineStr">
        <is>
          <t>POR</t>
        </is>
      </c>
      <c r="B9996" s="30" t="inlineStr">
        <is>
          <t>Porto Real</t>
        </is>
      </c>
      <c r="C9996" s="30" t="n">
        <v>75586744</v>
      </c>
      <c r="D9996" s="30">
        <f>"57012098000548"</f>
        <v/>
      </c>
      <c r="E9996" s="30" t="inlineStr">
        <is>
          <t>TRANSLUTE TRANSPORTES RODOVIARIO LTDA</t>
        </is>
      </c>
      <c r="F9996" s="30" t="inlineStr">
        <is>
          <t>2023</t>
        </is>
      </c>
      <c r="G9996" s="40" t="n">
        <v>1666.27</v>
      </c>
    </row>
    <row r="9997" ht="12" customHeight="1">
      <c r="A9997" s="30" t="inlineStr">
        <is>
          <t>POR</t>
        </is>
      </c>
      <c r="B9997" s="30" t="inlineStr">
        <is>
          <t>Porto Real</t>
        </is>
      </c>
      <c r="C9997" s="30" t="n">
        <v>75794134</v>
      </c>
      <c r="D9997" s="30">
        <f>"43244631002455"</f>
        <v/>
      </c>
      <c r="E9997" s="30" t="inlineStr">
        <is>
          <t>TRANSPORTADORA AMERICANA LTDA</t>
        </is>
      </c>
      <c r="F9997" s="30" t="inlineStr">
        <is>
          <t>2017</t>
        </is>
      </c>
      <c r="G9997" s="40" t="n">
        <v>1373.1</v>
      </c>
    </row>
    <row r="9998" ht="12" customHeight="1">
      <c r="A9998" s="30" t="inlineStr">
        <is>
          <t>POR</t>
        </is>
      </c>
      <c r="B9998" s="30" t="inlineStr">
        <is>
          <t>Porto Real</t>
        </is>
      </c>
      <c r="C9998" s="30" t="n">
        <v>75794134</v>
      </c>
      <c r="D9998" s="30">
        <f>"43244631002455"</f>
        <v/>
      </c>
      <c r="E9998" s="30" t="inlineStr">
        <is>
          <t>TRANSPORTADORA AMERICANA LTDA</t>
        </is>
      </c>
      <c r="F9998" s="30" t="inlineStr">
        <is>
          <t>2018</t>
        </is>
      </c>
      <c r="G9998" s="40" t="n">
        <v>430.66</v>
      </c>
    </row>
    <row r="9999" ht="12" customHeight="1">
      <c r="A9999" s="30" t="inlineStr">
        <is>
          <t>POR</t>
        </is>
      </c>
      <c r="B9999" s="30" t="inlineStr">
        <is>
          <t>Porto Real</t>
        </is>
      </c>
      <c r="C9999" s="30" t="n">
        <v>75794134</v>
      </c>
      <c r="D9999" s="30">
        <f>"43244631002455"</f>
        <v/>
      </c>
      <c r="E9999" s="30" t="inlineStr">
        <is>
          <t>TRANSPORTADORA AMERICANA LTDA</t>
        </is>
      </c>
      <c r="F9999" s="30" t="inlineStr">
        <is>
          <t>2019</t>
        </is>
      </c>
      <c r="G9999" s="40" t="n">
        <v>462.03</v>
      </c>
    </row>
    <row r="10000" ht="12" customHeight="1">
      <c r="A10000" s="30" t="inlineStr">
        <is>
          <t>POR</t>
        </is>
      </c>
      <c r="B10000" s="30" t="inlineStr">
        <is>
          <t>Porto Real</t>
        </is>
      </c>
      <c r="C10000" s="30" t="n">
        <v>75794134</v>
      </c>
      <c r="D10000" s="30">
        <f>"43244631002455"</f>
        <v/>
      </c>
      <c r="E10000" s="30" t="inlineStr">
        <is>
          <t>TRANSPORTADORA AMERICANA LTDA</t>
        </is>
      </c>
      <c r="F10000" s="30" t="inlineStr">
        <is>
          <t>2020</t>
        </is>
      </c>
      <c r="G10000" s="40" t="n">
        <v>191.77</v>
      </c>
    </row>
    <row r="10001" ht="12" customHeight="1">
      <c r="A10001" s="30" t="inlineStr">
        <is>
          <t>POR</t>
        </is>
      </c>
      <c r="B10001" s="30" t="inlineStr">
        <is>
          <t>Porto Real</t>
        </is>
      </c>
      <c r="C10001" s="30" t="n">
        <v>75794134</v>
      </c>
      <c r="D10001" s="30">
        <f>"43244631002455"</f>
        <v/>
      </c>
      <c r="E10001" s="30" t="inlineStr">
        <is>
          <t>TRANSPORTADORA AMERICANA LTDA</t>
        </is>
      </c>
      <c r="F10001" s="30" t="inlineStr">
        <is>
          <t>2021</t>
        </is>
      </c>
      <c r="G10001" s="40" t="n">
        <v>410.69</v>
      </c>
    </row>
    <row r="10002" ht="12" customHeight="1">
      <c r="A10002" s="30" t="inlineStr">
        <is>
          <t>POR</t>
        </is>
      </c>
      <c r="B10002" s="30" t="inlineStr">
        <is>
          <t>Porto Real</t>
        </is>
      </c>
      <c r="C10002" s="30" t="n">
        <v>75794134</v>
      </c>
      <c r="D10002" s="30">
        <f>"43244631002455"</f>
        <v/>
      </c>
      <c r="E10002" s="30" t="inlineStr">
        <is>
          <t>TRANSPORTADORA AMERICANA LTDA</t>
        </is>
      </c>
      <c r="F10002" s="30" t="inlineStr">
        <is>
          <t>2022</t>
        </is>
      </c>
      <c r="G10002" s="40" t="n">
        <v>0</v>
      </c>
    </row>
    <row r="10003" ht="12" customHeight="1">
      <c r="A10003" s="30" t="inlineStr">
        <is>
          <t>POR</t>
        </is>
      </c>
      <c r="B10003" s="30" t="inlineStr">
        <is>
          <t>Porto Real</t>
        </is>
      </c>
      <c r="C10003" s="30" t="n">
        <v>75794134</v>
      </c>
      <c r="D10003" s="30">
        <f>"43244631002455"</f>
        <v/>
      </c>
      <c r="E10003" s="30" t="inlineStr">
        <is>
          <t>TRANSPORTADORA AMERICANA LTDA</t>
        </is>
      </c>
      <c r="F10003" s="30" t="inlineStr">
        <is>
          <t>2023</t>
        </is>
      </c>
      <c r="G10003" s="40" t="n">
        <v>0</v>
      </c>
    </row>
    <row r="10004" ht="12" customHeight="1">
      <c r="A10004" s="30" t="inlineStr">
        <is>
          <t>POR</t>
        </is>
      </c>
      <c r="B10004" s="30" t="inlineStr">
        <is>
          <t>Porto Real</t>
        </is>
      </c>
      <c r="C10004" s="30" t="n">
        <v>75795580</v>
      </c>
      <c r="D10004" s="30">
        <f>"02714518000112"</f>
        <v/>
      </c>
      <c r="E10004" s="30" t="inlineStr">
        <is>
          <t>A PRIMORDIAL LOGISTICA EM TRANSPORTES LTDA</t>
        </is>
      </c>
      <c r="F10004" s="30" t="inlineStr">
        <is>
          <t>2019</t>
        </is>
      </c>
      <c r="G10004" s="40" t="n">
        <v>0</v>
      </c>
    </row>
    <row r="10005" ht="12" customHeight="1">
      <c r="A10005" s="30" t="inlineStr">
        <is>
          <t>POR</t>
        </is>
      </c>
      <c r="B10005" s="30" t="inlineStr">
        <is>
          <t>Porto Real</t>
        </is>
      </c>
      <c r="C10005" s="30" t="n">
        <v>75795580</v>
      </c>
      <c r="D10005" s="30">
        <f>"02714518000112"</f>
        <v/>
      </c>
      <c r="E10005" s="30" t="inlineStr">
        <is>
          <t>A PRIMORDIAL LOGISTICA EM TRANSPORTES LTDA</t>
        </is>
      </c>
      <c r="F10005" s="30" t="inlineStr">
        <is>
          <t>2020</t>
        </is>
      </c>
      <c r="G10005" s="40" t="n">
        <v>0</v>
      </c>
    </row>
    <row r="10006" ht="12" customHeight="1">
      <c r="A10006" s="30" t="inlineStr">
        <is>
          <t>POR</t>
        </is>
      </c>
      <c r="B10006" s="30" t="inlineStr">
        <is>
          <t>Porto Real</t>
        </is>
      </c>
      <c r="C10006" s="30" t="n">
        <v>75795580</v>
      </c>
      <c r="D10006" s="30">
        <f>"02714518000112"</f>
        <v/>
      </c>
      <c r="E10006" s="30" t="inlineStr">
        <is>
          <t>A PRIMORDIAL LOGISTICA EM TRANSPORTES LTDA</t>
        </is>
      </c>
      <c r="F10006" s="30" t="inlineStr">
        <is>
          <t>2021</t>
        </is>
      </c>
      <c r="G10006" s="40" t="n">
        <v>553.49</v>
      </c>
    </row>
    <row r="10007" ht="12" customHeight="1">
      <c r="A10007" s="30" t="inlineStr">
        <is>
          <t>POR</t>
        </is>
      </c>
      <c r="B10007" s="30" t="inlineStr">
        <is>
          <t>Porto Real</t>
        </is>
      </c>
      <c r="C10007" s="30" t="n">
        <v>75795580</v>
      </c>
      <c r="D10007" s="30">
        <f>"02714518000112"</f>
        <v/>
      </c>
      <c r="E10007" s="30" t="inlineStr">
        <is>
          <t>A PRIMORDIAL LOGISTICA EM TRANSPORTES LTDA</t>
        </is>
      </c>
      <c r="F10007" s="30" t="inlineStr">
        <is>
          <t>2022</t>
        </is>
      </c>
      <c r="G10007" s="40" t="n">
        <v>0</v>
      </c>
    </row>
    <row r="10008" ht="12" customHeight="1">
      <c r="A10008" s="30" t="inlineStr">
        <is>
          <t>POR</t>
        </is>
      </c>
      <c r="B10008" s="30" t="inlineStr">
        <is>
          <t>Porto Real</t>
        </is>
      </c>
      <c r="C10008" s="30" t="n">
        <v>75795580</v>
      </c>
      <c r="D10008" s="30">
        <f>"02714518000112"</f>
        <v/>
      </c>
      <c r="E10008" s="30" t="inlineStr">
        <is>
          <t>A PRIMORDIAL LOGISTICA EM TRANSPORTES LTDA</t>
        </is>
      </c>
      <c r="F10008" s="30" t="inlineStr">
        <is>
          <t>2023</t>
        </is>
      </c>
      <c r="G10008" s="40" t="n">
        <v>0</v>
      </c>
    </row>
    <row r="10009" ht="12" customHeight="1">
      <c r="A10009" s="30" t="inlineStr">
        <is>
          <t>POR</t>
        </is>
      </c>
      <c r="B10009" s="30" t="inlineStr">
        <is>
          <t>Porto Real</t>
        </is>
      </c>
      <c r="C10009" s="30" t="n">
        <v>75795629</v>
      </c>
      <c r="D10009" s="30">
        <f>"01114430000288"</f>
        <v/>
      </c>
      <c r="E10009" s="30" t="inlineStr">
        <is>
          <t>TRANSFUTURO TRANSPORTES LTDA</t>
        </is>
      </c>
      <c r="F10009" s="30" t="inlineStr">
        <is>
          <t>2017</t>
        </is>
      </c>
      <c r="G10009" s="40" t="n">
        <v>1664.26</v>
      </c>
    </row>
    <row r="10010" ht="12" customHeight="1">
      <c r="A10010" s="30" t="inlineStr">
        <is>
          <t>POR</t>
        </is>
      </c>
      <c r="B10010" s="30" t="inlineStr">
        <is>
          <t>Porto Real</t>
        </is>
      </c>
      <c r="C10010" s="30" t="n">
        <v>75795629</v>
      </c>
      <c r="D10010" s="30">
        <f>"01114430000288"</f>
        <v/>
      </c>
      <c r="E10010" s="30" t="inlineStr">
        <is>
          <t>TRANSFUTURO TRANSPORTES LTDA</t>
        </is>
      </c>
      <c r="F10010" s="30" t="inlineStr">
        <is>
          <t>2018</t>
        </is>
      </c>
      <c r="G10010" s="40" t="n">
        <v>0</v>
      </c>
    </row>
    <row r="10011" ht="12" customHeight="1">
      <c r="A10011" s="30" t="inlineStr">
        <is>
          <t>POR</t>
        </is>
      </c>
      <c r="B10011" s="30" t="inlineStr">
        <is>
          <t>Porto Real</t>
        </is>
      </c>
      <c r="C10011" s="30" t="n">
        <v>75795629</v>
      </c>
      <c r="D10011" s="30">
        <f>"01114430000288"</f>
        <v/>
      </c>
      <c r="E10011" s="30" t="inlineStr">
        <is>
          <t>TRANSFUTURO TRANSPORTES LTDA</t>
        </is>
      </c>
      <c r="F10011" s="30" t="inlineStr">
        <is>
          <t>2019</t>
        </is>
      </c>
      <c r="G10011" s="40" t="n">
        <v>0</v>
      </c>
    </row>
    <row r="10012" ht="12" customHeight="1">
      <c r="A10012" s="30" t="inlineStr">
        <is>
          <t>POR</t>
        </is>
      </c>
      <c r="B10012" s="30" t="inlineStr">
        <is>
          <t>Porto Real</t>
        </is>
      </c>
      <c r="C10012" s="30" t="n">
        <v>75819595</v>
      </c>
      <c r="D10012" s="30">
        <f>"03072077000165"</f>
        <v/>
      </c>
      <c r="E10012" s="30" t="inlineStr">
        <is>
          <t>PCI DO BRASIL INSTALACOES INDUSTRIAIS LTDA</t>
        </is>
      </c>
      <c r="F10012" s="30" t="inlineStr">
        <is>
          <t>2017</t>
        </is>
      </c>
      <c r="G10012" s="40" t="n">
        <v>0</v>
      </c>
    </row>
    <row r="10013" ht="12" customHeight="1">
      <c r="A10013" s="30" t="inlineStr">
        <is>
          <t>POR</t>
        </is>
      </c>
      <c r="B10013" s="30" t="inlineStr">
        <is>
          <t>Porto Real</t>
        </is>
      </c>
      <c r="C10013" s="30" t="n">
        <v>75819595</v>
      </c>
      <c r="D10013" s="30">
        <f>"03072077000165"</f>
        <v/>
      </c>
      <c r="E10013" s="30" t="inlineStr">
        <is>
          <t>PCI DO BRASIL INSTALACOES INDUSTRIAIS LTDA</t>
        </is>
      </c>
      <c r="F10013" s="30" t="inlineStr">
        <is>
          <t>2018</t>
        </is>
      </c>
      <c r="G10013" s="40" t="n">
        <v>0</v>
      </c>
    </row>
    <row r="10014" ht="12" customHeight="1">
      <c r="A10014" s="30" t="inlineStr">
        <is>
          <t>POR</t>
        </is>
      </c>
      <c r="B10014" s="30" t="inlineStr">
        <is>
          <t>Porto Real</t>
        </is>
      </c>
      <c r="C10014" s="30" t="n">
        <v>75819595</v>
      </c>
      <c r="D10014" s="30">
        <f>"03072077000165"</f>
        <v/>
      </c>
      <c r="E10014" s="30" t="inlineStr">
        <is>
          <t>PCI DO BRASIL INSTALACOES INDUSTRIAIS LTDA</t>
        </is>
      </c>
      <c r="F10014" s="30" t="inlineStr">
        <is>
          <t>2019</t>
        </is>
      </c>
      <c r="G10014" s="40" t="n">
        <v>0</v>
      </c>
    </row>
    <row r="10015" ht="12" customHeight="1">
      <c r="A10015" s="30" t="inlineStr">
        <is>
          <t>POR</t>
        </is>
      </c>
      <c r="B10015" s="30" t="inlineStr">
        <is>
          <t>Porto Real</t>
        </is>
      </c>
      <c r="C10015" s="30" t="n">
        <v>75819595</v>
      </c>
      <c r="D10015" s="30">
        <f>"03072077000165"</f>
        <v/>
      </c>
      <c r="E10015" s="30" t="inlineStr">
        <is>
          <t>PCI DO BRASIL INSTALACOES INDUSTRIAIS LTDA</t>
        </is>
      </c>
      <c r="F10015" s="30" t="inlineStr">
        <is>
          <t>2020</t>
        </is>
      </c>
      <c r="G10015" s="40" t="n">
        <v>0</v>
      </c>
    </row>
    <row r="10016" ht="12" customHeight="1">
      <c r="A10016" s="30" t="inlineStr">
        <is>
          <t>POR</t>
        </is>
      </c>
      <c r="B10016" s="30" t="inlineStr">
        <is>
          <t>Porto Real</t>
        </is>
      </c>
      <c r="C10016" s="30" t="n">
        <v>75819595</v>
      </c>
      <c r="D10016" s="30">
        <f>"03072077000165"</f>
        <v/>
      </c>
      <c r="E10016" s="30" t="inlineStr">
        <is>
          <t>PCI DO BRASIL INSTALACOES INDUSTRIAIS LTDA</t>
        </is>
      </c>
      <c r="F10016" s="30" t="inlineStr">
        <is>
          <t>2021</t>
        </is>
      </c>
      <c r="G10016" s="40" t="n">
        <v>0</v>
      </c>
    </row>
    <row r="10017" ht="12" customHeight="1">
      <c r="A10017" s="30" t="inlineStr">
        <is>
          <t>POR</t>
        </is>
      </c>
      <c r="B10017" s="30" t="inlineStr">
        <is>
          <t>Porto Real</t>
        </is>
      </c>
      <c r="C10017" s="30" t="n">
        <v>75819595</v>
      </c>
      <c r="D10017" s="30">
        <f>"03072077000165"</f>
        <v/>
      </c>
      <c r="E10017" s="30" t="inlineStr">
        <is>
          <t>PCI DO BRASIL INSTALACOES INDUSTRIAIS LTDA</t>
        </is>
      </c>
      <c r="F10017" s="30" t="inlineStr">
        <is>
          <t>2022</t>
        </is>
      </c>
      <c r="G10017" s="40" t="n">
        <v>0</v>
      </c>
    </row>
    <row r="10018" ht="12" customHeight="1">
      <c r="A10018" s="30" t="inlineStr">
        <is>
          <t>POR</t>
        </is>
      </c>
      <c r="B10018" s="30" t="inlineStr">
        <is>
          <t>Porto Real</t>
        </is>
      </c>
      <c r="C10018" s="30" t="n">
        <v>75819595</v>
      </c>
      <c r="D10018" s="30">
        <f>"03072077000165"</f>
        <v/>
      </c>
      <c r="E10018" s="30" t="inlineStr">
        <is>
          <t>PCI DO BRASIL INSTALACOES INDUSTRIAIS LTDA</t>
        </is>
      </c>
      <c r="F10018" s="30" t="inlineStr">
        <is>
          <t>2023</t>
        </is>
      </c>
      <c r="G10018" s="40" t="n">
        <v>0</v>
      </c>
    </row>
    <row r="10019" ht="12" customHeight="1">
      <c r="A10019" s="30" t="inlineStr">
        <is>
          <t>POR</t>
        </is>
      </c>
      <c r="B10019" s="30" t="inlineStr">
        <is>
          <t>Porto Real</t>
        </is>
      </c>
      <c r="C10019" s="30" t="n">
        <v>75819625</v>
      </c>
      <c r="D10019" s="30">
        <f>"03094658000106"</f>
        <v/>
      </c>
      <c r="E10019" s="30" t="inlineStr">
        <is>
          <t>GEFCO LOGISTICA DO BRASIL LTDA</t>
        </is>
      </c>
      <c r="F10019" s="30" t="inlineStr">
        <is>
          <t>2017</t>
        </is>
      </c>
      <c r="G10019" s="40" t="n">
        <v>905249.71</v>
      </c>
    </row>
    <row r="10020" ht="12" customHeight="1">
      <c r="A10020" s="30" t="inlineStr">
        <is>
          <t>POR</t>
        </is>
      </c>
      <c r="B10020" s="30" t="inlineStr">
        <is>
          <t>Porto Real</t>
        </is>
      </c>
      <c r="C10020" s="30" t="n">
        <v>75819625</v>
      </c>
      <c r="D10020" s="30">
        <f>"03094658000106"</f>
        <v/>
      </c>
      <c r="E10020" s="30" t="inlineStr">
        <is>
          <t>GEFCO LOGISTICA DO BRASIL LTDA</t>
        </is>
      </c>
      <c r="F10020" s="30" t="inlineStr">
        <is>
          <t>2018</t>
        </is>
      </c>
      <c r="G10020" s="40" t="n">
        <v>8589972.1</v>
      </c>
    </row>
    <row r="10021" ht="12" customHeight="1">
      <c r="A10021" s="30" t="inlineStr">
        <is>
          <t>POR</t>
        </is>
      </c>
      <c r="B10021" s="30" t="inlineStr">
        <is>
          <t>Porto Real</t>
        </is>
      </c>
      <c r="C10021" s="30" t="n">
        <v>75819625</v>
      </c>
      <c r="D10021" s="30">
        <f>"03094658000106"</f>
        <v/>
      </c>
      <c r="E10021" s="30" t="inlineStr">
        <is>
          <t>GEFCO LOGISTICA DO BRASIL LTDA</t>
        </is>
      </c>
      <c r="F10021" s="30" t="inlineStr">
        <is>
          <t>2019</t>
        </is>
      </c>
      <c r="G10021" s="40" t="n">
        <v>5315641.9</v>
      </c>
    </row>
    <row r="10022" ht="12" customHeight="1">
      <c r="A10022" s="30" t="inlineStr">
        <is>
          <t>POR</t>
        </is>
      </c>
      <c r="B10022" s="30" t="inlineStr">
        <is>
          <t>Porto Real</t>
        </is>
      </c>
      <c r="C10022" s="30" t="n">
        <v>75819625</v>
      </c>
      <c r="D10022" s="30">
        <f>"03094658000106"</f>
        <v/>
      </c>
      <c r="E10022" s="30" t="inlineStr">
        <is>
          <t>GEFCO LOGISTICA DO BRASIL LTDA</t>
        </is>
      </c>
      <c r="F10022" s="30" t="inlineStr">
        <is>
          <t>2020</t>
        </is>
      </c>
      <c r="G10022" s="40" t="n">
        <v>569855.3100000001</v>
      </c>
    </row>
    <row r="10023" ht="12" customHeight="1">
      <c r="A10023" s="30" t="inlineStr">
        <is>
          <t>POR</t>
        </is>
      </c>
      <c r="B10023" s="30" t="inlineStr">
        <is>
          <t>Porto Real</t>
        </is>
      </c>
      <c r="C10023" s="30" t="n">
        <v>75819625</v>
      </c>
      <c r="D10023" s="30">
        <f>"03094658000106"</f>
        <v/>
      </c>
      <c r="E10023" s="30" t="inlineStr">
        <is>
          <t>GEFCO LOGISTICA DO BRASIL LTDA</t>
        </is>
      </c>
      <c r="F10023" s="30" t="inlineStr">
        <is>
          <t>2021</t>
        </is>
      </c>
      <c r="G10023" s="40" t="n">
        <v>979348.33</v>
      </c>
    </row>
    <row r="10024" ht="12" customHeight="1">
      <c r="A10024" s="30" t="inlineStr">
        <is>
          <t>POR</t>
        </is>
      </c>
      <c r="B10024" s="30" t="inlineStr">
        <is>
          <t>Porto Real</t>
        </is>
      </c>
      <c r="C10024" s="30" t="n">
        <v>75819625</v>
      </c>
      <c r="D10024" s="30">
        <f>"03094658000106"</f>
        <v/>
      </c>
      <c r="E10024" s="30" t="inlineStr">
        <is>
          <t>GEFCO LOGISTICA DO BRASIL LTDA</t>
        </is>
      </c>
      <c r="F10024" s="30" t="inlineStr">
        <is>
          <t>2022</t>
        </is>
      </c>
      <c r="G10024" s="40" t="n">
        <v>2595497.27</v>
      </c>
    </row>
    <row r="10025" ht="12" customHeight="1">
      <c r="A10025" s="30" t="inlineStr">
        <is>
          <t>POR</t>
        </is>
      </c>
      <c r="B10025" s="30" t="inlineStr">
        <is>
          <t>Porto Real</t>
        </is>
      </c>
      <c r="C10025" s="30" t="n">
        <v>75819625</v>
      </c>
      <c r="D10025" s="30">
        <f>"03094658000106"</f>
        <v/>
      </c>
      <c r="E10025" s="30" t="inlineStr">
        <is>
          <t>GEFCO LOGISTICA DO BRASIL LTDA</t>
        </is>
      </c>
      <c r="F10025" s="30" t="inlineStr">
        <is>
          <t>2023</t>
        </is>
      </c>
      <c r="G10025" s="40" t="n">
        <v>1412039.24</v>
      </c>
    </row>
    <row r="10026" ht="12" customHeight="1">
      <c r="A10026" s="30" t="inlineStr">
        <is>
          <t>POR</t>
        </is>
      </c>
      <c r="B10026" s="30" t="inlineStr">
        <is>
          <t>Porto Real</t>
        </is>
      </c>
      <c r="C10026" s="30" t="n">
        <v>75849567</v>
      </c>
      <c r="D10026" s="30">
        <f>"19694199000476"</f>
        <v/>
      </c>
      <c r="E10026" s="30" t="inlineStr">
        <is>
          <t>TRANSREFER TRANSPORTE E LOGISTICA LTDA</t>
        </is>
      </c>
      <c r="F10026" s="30" t="inlineStr">
        <is>
          <t>2017</t>
        </is>
      </c>
      <c r="G10026" s="40" t="n">
        <v>0</v>
      </c>
    </row>
    <row r="10027" ht="12" customHeight="1">
      <c r="A10027" s="30" t="inlineStr">
        <is>
          <t>POR</t>
        </is>
      </c>
      <c r="B10027" s="30" t="inlineStr">
        <is>
          <t>Porto Real</t>
        </is>
      </c>
      <c r="C10027" s="30" t="n">
        <v>75849567</v>
      </c>
      <c r="D10027" s="30">
        <f>"19694199000476"</f>
        <v/>
      </c>
      <c r="E10027" s="30" t="inlineStr">
        <is>
          <t>TRANSREFER TRANSPORTE E LOGISTICA LTDA</t>
        </is>
      </c>
      <c r="F10027" s="30" t="inlineStr">
        <is>
          <t>2018</t>
        </is>
      </c>
      <c r="G10027" s="40" t="n">
        <v>148.81</v>
      </c>
    </row>
    <row r="10028" ht="12" customHeight="1">
      <c r="A10028" s="30" t="inlineStr">
        <is>
          <t>POR</t>
        </is>
      </c>
      <c r="B10028" s="30" t="inlineStr">
        <is>
          <t>Porto Real</t>
        </is>
      </c>
      <c r="C10028" s="30" t="n">
        <v>75849567</v>
      </c>
      <c r="D10028" s="30">
        <f>"19694199000476"</f>
        <v/>
      </c>
      <c r="E10028" s="30" t="inlineStr">
        <is>
          <t>TRANSREFER TRANSPORTE E LOGISTICA LTDA</t>
        </is>
      </c>
      <c r="F10028" s="30" t="inlineStr">
        <is>
          <t>2019</t>
        </is>
      </c>
      <c r="G10028" s="40" t="n">
        <v>0</v>
      </c>
    </row>
    <row r="10029" ht="12" customHeight="1">
      <c r="A10029" s="30" t="inlineStr">
        <is>
          <t>POR</t>
        </is>
      </c>
      <c r="B10029" s="30" t="inlineStr">
        <is>
          <t>Porto Real</t>
        </is>
      </c>
      <c r="C10029" s="30" t="n">
        <v>75849567</v>
      </c>
      <c r="D10029" s="30">
        <f>"19694199000476"</f>
        <v/>
      </c>
      <c r="E10029" s="30" t="inlineStr">
        <is>
          <t>TRANSREFER TRANSPORTE E LOGISTICA LTDA</t>
        </is>
      </c>
      <c r="F10029" s="30" t="inlineStr">
        <is>
          <t>2020</t>
        </is>
      </c>
      <c r="G10029" s="40" t="n">
        <v>0</v>
      </c>
    </row>
    <row r="10030" ht="12" customHeight="1">
      <c r="A10030" s="30" t="inlineStr">
        <is>
          <t>POR</t>
        </is>
      </c>
      <c r="B10030" s="30" t="inlineStr">
        <is>
          <t>Porto Real</t>
        </is>
      </c>
      <c r="C10030" s="30" t="n">
        <v>75849699</v>
      </c>
      <c r="D10030" s="30">
        <f>"58506155000427"</f>
        <v/>
      </c>
      <c r="E10030" s="30" t="inlineStr">
        <is>
          <t>MIRA OTM TRANSPORTES LTDA</t>
        </is>
      </c>
      <c r="F10030" s="30" t="inlineStr">
        <is>
          <t>2018</t>
        </is>
      </c>
      <c r="G10030" s="40" t="n">
        <v>0</v>
      </c>
    </row>
    <row r="10031" ht="12" customHeight="1">
      <c r="A10031" s="30" t="inlineStr">
        <is>
          <t>POR</t>
        </is>
      </c>
      <c r="B10031" s="30" t="inlineStr">
        <is>
          <t>Porto Real</t>
        </is>
      </c>
      <c r="C10031" s="30" t="n">
        <v>75849699</v>
      </c>
      <c r="D10031" s="30">
        <f>"58506155000427"</f>
        <v/>
      </c>
      <c r="E10031" s="30" t="inlineStr">
        <is>
          <t>MIRA OTM TRANSPORTES LTDA</t>
        </is>
      </c>
      <c r="F10031" s="30" t="inlineStr">
        <is>
          <t>2019</t>
        </is>
      </c>
      <c r="G10031" s="40" t="n">
        <v>0</v>
      </c>
    </row>
    <row r="10032" ht="12" customHeight="1">
      <c r="A10032" s="30" t="inlineStr">
        <is>
          <t>POR</t>
        </is>
      </c>
      <c r="B10032" s="30" t="inlineStr">
        <is>
          <t>Porto Real</t>
        </is>
      </c>
      <c r="C10032" s="30" t="n">
        <v>75849699</v>
      </c>
      <c r="D10032" s="30">
        <f>"58506155000427"</f>
        <v/>
      </c>
      <c r="E10032" s="30" t="inlineStr">
        <is>
          <t>MIRA OTM TRANSPORTES LTDA</t>
        </is>
      </c>
      <c r="F10032" s="30" t="inlineStr">
        <is>
          <t>2020</t>
        </is>
      </c>
      <c r="G10032" s="40" t="n">
        <v>29901.99</v>
      </c>
    </row>
    <row r="10033" ht="12" customHeight="1">
      <c r="A10033" s="30" t="inlineStr">
        <is>
          <t>POR</t>
        </is>
      </c>
      <c r="B10033" s="30" t="inlineStr">
        <is>
          <t>Porto Real</t>
        </is>
      </c>
      <c r="C10033" s="30" t="n">
        <v>75849699</v>
      </c>
      <c r="D10033" s="30">
        <f>"58506155000427"</f>
        <v/>
      </c>
      <c r="E10033" s="30" t="inlineStr">
        <is>
          <t>MIRA OTM TRANSPORTES LTDA</t>
        </is>
      </c>
      <c r="F10033" s="30" t="inlineStr">
        <is>
          <t>2021</t>
        </is>
      </c>
      <c r="G10033" s="40" t="n">
        <v>0</v>
      </c>
    </row>
    <row r="10034" ht="12" customHeight="1">
      <c r="A10034" s="30" t="inlineStr">
        <is>
          <t>POR</t>
        </is>
      </c>
      <c r="B10034" s="30" t="inlineStr">
        <is>
          <t>Porto Real</t>
        </is>
      </c>
      <c r="C10034" s="30" t="n">
        <v>75849699</v>
      </c>
      <c r="D10034" s="30">
        <f>"58506155000427"</f>
        <v/>
      </c>
      <c r="E10034" s="30" t="inlineStr">
        <is>
          <t>MIRA OTM TRANSPORTES LTDA</t>
        </is>
      </c>
      <c r="F10034" s="30" t="inlineStr">
        <is>
          <t>2022</t>
        </is>
      </c>
      <c r="G10034" s="40" t="n">
        <v>0</v>
      </c>
    </row>
    <row r="10035" ht="12" customHeight="1">
      <c r="A10035" s="30" t="inlineStr">
        <is>
          <t>POR</t>
        </is>
      </c>
      <c r="B10035" s="30" t="inlineStr">
        <is>
          <t>Porto Real</t>
        </is>
      </c>
      <c r="C10035" s="30" t="n">
        <v>75904835</v>
      </c>
      <c r="D10035" s="30">
        <f>"02351144001432"</f>
        <v/>
      </c>
      <c r="E10035" s="30" t="inlineStr">
        <is>
          <t>TEGMA GESTAO LOGISTICA S/A</t>
        </is>
      </c>
      <c r="F10035" s="30" t="inlineStr">
        <is>
          <t>2017</t>
        </is>
      </c>
      <c r="G10035" s="40" t="n">
        <v>242064.06</v>
      </c>
    </row>
    <row r="10036" ht="12" customHeight="1">
      <c r="A10036" s="30" t="inlineStr">
        <is>
          <t>POR</t>
        </is>
      </c>
      <c r="B10036" s="30" t="inlineStr">
        <is>
          <t>Porto Real</t>
        </is>
      </c>
      <c r="C10036" s="30" t="n">
        <v>75904835</v>
      </c>
      <c r="D10036" s="30">
        <f>"02351144001432"</f>
        <v/>
      </c>
      <c r="E10036" s="30" t="inlineStr">
        <is>
          <t>TEGMA GESTAO LOGISTICA S/A</t>
        </is>
      </c>
      <c r="F10036" s="30" t="inlineStr">
        <is>
          <t>2018</t>
        </is>
      </c>
      <c r="G10036" s="40" t="n">
        <v>0</v>
      </c>
    </row>
    <row r="10037" ht="12" customHeight="1">
      <c r="A10037" s="30" t="inlineStr">
        <is>
          <t>POR</t>
        </is>
      </c>
      <c r="B10037" s="30" t="inlineStr">
        <is>
          <t>Porto Real</t>
        </is>
      </c>
      <c r="C10037" s="30" t="n">
        <v>75904835</v>
      </c>
      <c r="D10037" s="30">
        <f>"02351144001432"</f>
        <v/>
      </c>
      <c r="E10037" s="30" t="inlineStr">
        <is>
          <t>TEGMA GESTAO LOGISTICA S/A</t>
        </is>
      </c>
      <c r="F10037" s="30" t="inlineStr">
        <is>
          <t>2019</t>
        </is>
      </c>
      <c r="G10037" s="40" t="n">
        <v>0</v>
      </c>
    </row>
    <row r="10038" ht="12" customHeight="1">
      <c r="A10038" s="30" t="inlineStr">
        <is>
          <t>POR</t>
        </is>
      </c>
      <c r="B10038" s="30" t="inlineStr">
        <is>
          <t>Porto Real</t>
        </is>
      </c>
      <c r="C10038" s="30" t="n">
        <v>75964129</v>
      </c>
      <c r="D10038" s="30">
        <f>"67405936000416"</f>
        <v/>
      </c>
      <c r="E10038" s="30" t="inlineStr">
        <is>
          <t>PEUGEOT CITROEN DO BRASIL AUTOMOVEIS LTDA</t>
        </is>
      </c>
      <c r="F10038" s="30" t="inlineStr">
        <is>
          <t>2017</t>
        </is>
      </c>
      <c r="G10038" s="40" t="n">
        <v>141304922.27</v>
      </c>
    </row>
    <row r="10039" ht="12" customHeight="1">
      <c r="A10039" s="30" t="inlineStr">
        <is>
          <t>POR</t>
        </is>
      </c>
      <c r="B10039" s="30" t="inlineStr">
        <is>
          <t>Porto Real</t>
        </is>
      </c>
      <c r="C10039" s="30" t="n">
        <v>75964129</v>
      </c>
      <c r="D10039" s="30">
        <f>"67405936000416"</f>
        <v/>
      </c>
      <c r="E10039" s="30" t="inlineStr">
        <is>
          <t>PEUGEOT CITROEN DO BRASIL AUTOMOVEIS LTDA</t>
        </is>
      </c>
      <c r="F10039" s="30" t="inlineStr">
        <is>
          <t>2018</t>
        </is>
      </c>
      <c r="G10039" s="40" t="n">
        <v>0</v>
      </c>
    </row>
    <row r="10040" ht="12" customHeight="1">
      <c r="A10040" s="30" t="inlineStr">
        <is>
          <t>POR</t>
        </is>
      </c>
      <c r="B10040" s="30" t="inlineStr">
        <is>
          <t>Porto Real</t>
        </is>
      </c>
      <c r="C10040" s="30" t="n">
        <v>75964129</v>
      </c>
      <c r="D10040" s="30">
        <f>"67405936000416"</f>
        <v/>
      </c>
      <c r="E10040" s="30" t="inlineStr">
        <is>
          <t>PEUGEOT CITROEN DO BRASIL AUTOMOVEIS LTDA</t>
        </is>
      </c>
      <c r="F10040" s="30" t="inlineStr">
        <is>
          <t>2019</t>
        </is>
      </c>
      <c r="G10040" s="40" t="n">
        <v>0</v>
      </c>
    </row>
    <row r="10041" ht="12" customHeight="1">
      <c r="A10041" s="30" t="inlineStr">
        <is>
          <t>POR</t>
        </is>
      </c>
      <c r="B10041" s="30" t="inlineStr">
        <is>
          <t>Porto Real</t>
        </is>
      </c>
      <c r="C10041" s="30" t="n">
        <v>75964129</v>
      </c>
      <c r="D10041" s="30">
        <f>"67405936000416"</f>
        <v/>
      </c>
      <c r="E10041" s="30" t="inlineStr">
        <is>
          <t>PEUGEOT CITROEN DO BRASIL AUTOMOVEIS LTDA</t>
        </is>
      </c>
      <c r="F10041" s="30" t="inlineStr">
        <is>
          <t>2020</t>
        </is>
      </c>
      <c r="G10041" s="40" t="n">
        <v>0</v>
      </c>
    </row>
    <row r="10042" ht="12" customHeight="1">
      <c r="A10042" s="30" t="inlineStr">
        <is>
          <t>POR</t>
        </is>
      </c>
      <c r="B10042" s="30" t="inlineStr">
        <is>
          <t>Porto Real</t>
        </is>
      </c>
      <c r="C10042" s="30" t="n">
        <v>75964129</v>
      </c>
      <c r="D10042" s="30">
        <f>"67405936000416"</f>
        <v/>
      </c>
      <c r="E10042" s="30" t="inlineStr">
        <is>
          <t>PEUGEOT CITROEN DO BRASIL AUTOMOVEIS LTDA</t>
        </is>
      </c>
      <c r="F10042" s="30" t="inlineStr">
        <is>
          <t>2021</t>
        </is>
      </c>
      <c r="G10042" s="40" t="n">
        <v>0</v>
      </c>
    </row>
    <row r="10043" ht="12" customHeight="1">
      <c r="A10043" s="30" t="inlineStr">
        <is>
          <t>POR</t>
        </is>
      </c>
      <c r="B10043" s="30" t="inlineStr">
        <is>
          <t>Porto Real</t>
        </is>
      </c>
      <c r="C10043" s="30" t="n">
        <v>75964129</v>
      </c>
      <c r="D10043" s="30">
        <f>"67405936000416"</f>
        <v/>
      </c>
      <c r="E10043" s="30" t="inlineStr">
        <is>
          <t>PEUGEOT CITROEN DO BRASIL AUTOMOVEIS LTDA</t>
        </is>
      </c>
      <c r="F10043" s="30" t="inlineStr">
        <is>
          <t>2022</t>
        </is>
      </c>
      <c r="G10043" s="40" t="n">
        <v>0</v>
      </c>
    </row>
    <row r="10044" ht="12" customHeight="1">
      <c r="A10044" s="30" t="inlineStr">
        <is>
          <t>POR</t>
        </is>
      </c>
      <c r="B10044" s="30" t="inlineStr">
        <is>
          <t>Porto Real</t>
        </is>
      </c>
      <c r="C10044" s="30" t="n">
        <v>75964129</v>
      </c>
      <c r="D10044" s="30">
        <f>"67405936000416"</f>
        <v/>
      </c>
      <c r="E10044" s="30" t="inlineStr">
        <is>
          <t>PEUGEOT CITROEN DO BRASIL AUTOMOVEIS LTDA</t>
        </is>
      </c>
      <c r="F10044" s="30" t="inlineStr">
        <is>
          <t>2023</t>
        </is>
      </c>
      <c r="G10044" s="40" t="n">
        <v>155984448.71</v>
      </c>
    </row>
    <row r="10045" ht="12" customHeight="1">
      <c r="A10045" s="30" t="inlineStr">
        <is>
          <t>POR</t>
        </is>
      </c>
      <c r="B10045" s="30" t="inlineStr">
        <is>
          <t>Porto Real</t>
        </is>
      </c>
      <c r="C10045" s="30" t="n">
        <v>75968779</v>
      </c>
      <c r="D10045" s="30">
        <f>"88317847001460"</f>
        <v/>
      </c>
      <c r="E10045" s="30" t="inlineStr">
        <is>
          <t>RAPIDO TRANSPAULO LTDA</t>
        </is>
      </c>
      <c r="F10045" s="30" t="inlineStr">
        <is>
          <t>2017</t>
        </is>
      </c>
      <c r="G10045" s="40" t="n">
        <v>16906.43</v>
      </c>
    </row>
    <row r="10046" ht="12" customHeight="1">
      <c r="A10046" s="30" t="inlineStr">
        <is>
          <t>POR</t>
        </is>
      </c>
      <c r="B10046" s="30" t="inlineStr">
        <is>
          <t>Porto Real</t>
        </is>
      </c>
      <c r="C10046" s="30" t="n">
        <v>75968779</v>
      </c>
      <c r="D10046" s="30">
        <f>"88317847001460"</f>
        <v/>
      </c>
      <c r="E10046" s="30" t="inlineStr">
        <is>
          <t>RAPIDO TRANSPAULO LTDA</t>
        </is>
      </c>
      <c r="F10046" s="30" t="inlineStr">
        <is>
          <t>2018</t>
        </is>
      </c>
      <c r="G10046" s="40" t="n">
        <v>0</v>
      </c>
    </row>
    <row r="10047" ht="12" customHeight="1">
      <c r="A10047" s="30" t="inlineStr">
        <is>
          <t>POR</t>
        </is>
      </c>
      <c r="B10047" s="30" t="inlineStr">
        <is>
          <t>Porto Real</t>
        </is>
      </c>
      <c r="C10047" s="30" t="n">
        <v>75968779</v>
      </c>
      <c r="D10047" s="30">
        <f>"88317847001460"</f>
        <v/>
      </c>
      <c r="E10047" s="30" t="inlineStr">
        <is>
          <t>RAPIDO TRANSPAULO LTDA</t>
        </is>
      </c>
      <c r="F10047" s="30" t="inlineStr">
        <is>
          <t>2019</t>
        </is>
      </c>
      <c r="G10047" s="40" t="n">
        <v>0</v>
      </c>
    </row>
    <row r="10048" ht="12" customHeight="1">
      <c r="A10048" s="30" t="inlineStr">
        <is>
          <t>POR</t>
        </is>
      </c>
      <c r="B10048" s="30" t="inlineStr">
        <is>
          <t>Porto Real</t>
        </is>
      </c>
      <c r="C10048" s="30" t="n">
        <v>76026831</v>
      </c>
      <c r="D10048" s="30">
        <f>"60664828007340"</f>
        <v/>
      </c>
      <c r="E10048" s="30" t="inlineStr">
        <is>
          <t>EMPRESA DE TRANSPORTES ATLAS LTDA</t>
        </is>
      </c>
      <c r="F10048" s="30" t="inlineStr">
        <is>
          <t>2017</t>
        </is>
      </c>
      <c r="G10048" s="40" t="n">
        <v>1997.61</v>
      </c>
    </row>
    <row r="10049" ht="12" customHeight="1">
      <c r="A10049" s="30" t="inlineStr">
        <is>
          <t>POR</t>
        </is>
      </c>
      <c r="B10049" s="30" t="inlineStr">
        <is>
          <t>Porto Real</t>
        </is>
      </c>
      <c r="C10049" s="30" t="n">
        <v>76026831</v>
      </c>
      <c r="D10049" s="30">
        <f>"60664828007340"</f>
        <v/>
      </c>
      <c r="E10049" s="30" t="inlineStr">
        <is>
          <t>EMPRESA DE TRANSPORTES ATLAS LTDA</t>
        </is>
      </c>
      <c r="F10049" s="30" t="inlineStr">
        <is>
          <t>2018</t>
        </is>
      </c>
      <c r="G10049" s="40" t="n">
        <v>221.66</v>
      </c>
    </row>
    <row r="10050" ht="12" customHeight="1">
      <c r="A10050" s="30" t="inlineStr">
        <is>
          <t>POR</t>
        </is>
      </c>
      <c r="B10050" s="30" t="inlineStr">
        <is>
          <t>Porto Real</t>
        </is>
      </c>
      <c r="C10050" s="30" t="n">
        <v>76026831</v>
      </c>
      <c r="D10050" s="30">
        <f>"60664828007340"</f>
        <v/>
      </c>
      <c r="E10050" s="30" t="inlineStr">
        <is>
          <t>EMPRESA DE TRANSPORTES ATLAS LTDA</t>
        </is>
      </c>
      <c r="F10050" s="30" t="inlineStr">
        <is>
          <t>2019</t>
        </is>
      </c>
      <c r="G10050" s="40" t="n">
        <v>8.31</v>
      </c>
    </row>
    <row r="10051" ht="12" customHeight="1">
      <c r="A10051" s="30" t="inlineStr">
        <is>
          <t>POR</t>
        </is>
      </c>
      <c r="B10051" s="30" t="inlineStr">
        <is>
          <t>Porto Real</t>
        </is>
      </c>
      <c r="C10051" s="30" t="n">
        <v>76026831</v>
      </c>
      <c r="D10051" s="30">
        <f>"60664828007340"</f>
        <v/>
      </c>
      <c r="E10051" s="30" t="inlineStr">
        <is>
          <t>EMPRESA DE TRANSPORTES ATLAS LTDA</t>
        </is>
      </c>
      <c r="F10051" s="30" t="inlineStr">
        <is>
          <t>2020</t>
        </is>
      </c>
      <c r="G10051" s="40" t="n">
        <v>0</v>
      </c>
    </row>
    <row r="10052" ht="12" customHeight="1">
      <c r="A10052" s="30" t="inlineStr">
        <is>
          <t>POR</t>
        </is>
      </c>
      <c r="B10052" s="30" t="inlineStr">
        <is>
          <t>Porto Real</t>
        </is>
      </c>
      <c r="C10052" s="30" t="n">
        <v>76026831</v>
      </c>
      <c r="D10052" s="30">
        <f>"60664828007340"</f>
        <v/>
      </c>
      <c r="E10052" s="30" t="inlineStr">
        <is>
          <t>EMPRESA DE TRANSPORTES ATLAS LTDA</t>
        </is>
      </c>
      <c r="F10052" s="30" t="inlineStr">
        <is>
          <t>2021</t>
        </is>
      </c>
      <c r="G10052" s="40" t="n">
        <v>0</v>
      </c>
    </row>
    <row r="10053" ht="12" customHeight="1">
      <c r="A10053" s="30" t="inlineStr">
        <is>
          <t>POR</t>
        </is>
      </c>
      <c r="B10053" s="30" t="inlineStr">
        <is>
          <t>Porto Real</t>
        </is>
      </c>
      <c r="C10053" s="30" t="n">
        <v>76051909</v>
      </c>
      <c r="D10053" s="30">
        <f>"90030156000531"</f>
        <v/>
      </c>
      <c r="E10053" s="30" t="inlineStr">
        <is>
          <t>TRANSPORTADORA HAMMES LTDA</t>
        </is>
      </c>
      <c r="F10053" s="30" t="inlineStr">
        <is>
          <t>2020</t>
        </is>
      </c>
      <c r="G10053" s="40" t="n">
        <v>0</v>
      </c>
    </row>
    <row r="10054" ht="12" customHeight="1">
      <c r="A10054" s="30" t="inlineStr">
        <is>
          <t>POR</t>
        </is>
      </c>
      <c r="B10054" s="30" t="inlineStr">
        <is>
          <t>Porto Real</t>
        </is>
      </c>
      <c r="C10054" s="30" t="n">
        <v>76051909</v>
      </c>
      <c r="D10054" s="30">
        <f>"90030156000531"</f>
        <v/>
      </c>
      <c r="E10054" s="30" t="inlineStr">
        <is>
          <t>TRANSPORTADORA HAMMES LTDA</t>
        </is>
      </c>
      <c r="F10054" s="30" t="inlineStr">
        <is>
          <t>2021</t>
        </is>
      </c>
      <c r="G10054" s="40" t="n">
        <v>0</v>
      </c>
    </row>
    <row r="10055" ht="12" customHeight="1">
      <c r="A10055" s="30" t="inlineStr">
        <is>
          <t>POR</t>
        </is>
      </c>
      <c r="B10055" s="30" t="inlineStr">
        <is>
          <t>Porto Real</t>
        </is>
      </c>
      <c r="C10055" s="30" t="n">
        <v>76051909</v>
      </c>
      <c r="D10055" s="30">
        <f>"90030156000531"</f>
        <v/>
      </c>
      <c r="E10055" s="30" t="inlineStr">
        <is>
          <t>TRANSPORTADORA HAMMES LTDA</t>
        </is>
      </c>
      <c r="F10055" s="30" t="inlineStr">
        <is>
          <t>2022</t>
        </is>
      </c>
      <c r="G10055" s="40" t="n">
        <v>27051</v>
      </c>
    </row>
    <row r="10056" ht="12" customHeight="1">
      <c r="A10056" s="30" t="inlineStr">
        <is>
          <t>POR</t>
        </is>
      </c>
      <c r="B10056" s="30" t="inlineStr">
        <is>
          <t>Porto Real</t>
        </is>
      </c>
      <c r="C10056" s="30" t="n">
        <v>76051909</v>
      </c>
      <c r="D10056" s="30">
        <f>"90030156000531"</f>
        <v/>
      </c>
      <c r="E10056" s="30" t="inlineStr">
        <is>
          <t>TRANSPORTADORA HAMMES LTDA</t>
        </is>
      </c>
      <c r="F10056" s="30" t="inlineStr">
        <is>
          <t>2023</t>
        </is>
      </c>
      <c r="G10056" s="40" t="n">
        <v>0</v>
      </c>
    </row>
    <row r="10057" ht="12" customHeight="1">
      <c r="A10057" s="30" t="inlineStr">
        <is>
          <t>POR</t>
        </is>
      </c>
      <c r="B10057" s="30" t="inlineStr">
        <is>
          <t>Porto Real</t>
        </is>
      </c>
      <c r="C10057" s="30" t="n">
        <v>76105502</v>
      </c>
      <c r="D10057" s="30">
        <f>"03419953000187"</f>
        <v/>
      </c>
      <c r="E10057" s="30" t="inlineStr">
        <is>
          <t>MARFRAN TRANSPORTES E LOGISTICA LTDA ME</t>
        </is>
      </c>
      <c r="F10057" s="30" t="inlineStr">
        <is>
          <t>2017</t>
        </is>
      </c>
      <c r="G10057" s="40" t="n">
        <v>242523.83</v>
      </c>
    </row>
    <row r="10058" ht="12" customHeight="1">
      <c r="A10058" s="30" t="inlineStr">
        <is>
          <t>POR</t>
        </is>
      </c>
      <c r="B10058" s="30" t="inlineStr">
        <is>
          <t>Porto Real</t>
        </is>
      </c>
      <c r="C10058" s="30" t="n">
        <v>76105502</v>
      </c>
      <c r="D10058" s="30">
        <f>"03419953000187"</f>
        <v/>
      </c>
      <c r="E10058" s="30" t="inlineStr">
        <is>
          <t>MARFRAN TRANSPORTES E LOGISTICA LTDA ME</t>
        </is>
      </c>
      <c r="F10058" s="30" t="inlineStr">
        <is>
          <t>2018</t>
        </is>
      </c>
      <c r="G10058" s="40" t="n">
        <v>1090175.66</v>
      </c>
    </row>
    <row r="10059" ht="12" customHeight="1">
      <c r="A10059" s="30" t="inlineStr">
        <is>
          <t>POR</t>
        </is>
      </c>
      <c r="B10059" s="30" t="inlineStr">
        <is>
          <t>Porto Real</t>
        </is>
      </c>
      <c r="C10059" s="30" t="n">
        <v>76105502</v>
      </c>
      <c r="D10059" s="30">
        <f>"03419953000187"</f>
        <v/>
      </c>
      <c r="E10059" s="30" t="inlineStr">
        <is>
          <t>MARFRAN TRANSPORTES E LOGISTICA LTDA ME</t>
        </is>
      </c>
      <c r="F10059" s="30" t="inlineStr">
        <is>
          <t>2019</t>
        </is>
      </c>
      <c r="G10059" s="40" t="n">
        <v>468939.7</v>
      </c>
    </row>
    <row r="10060" ht="12" customHeight="1">
      <c r="A10060" s="30" t="inlineStr">
        <is>
          <t>POR</t>
        </is>
      </c>
      <c r="B10060" s="30" t="inlineStr">
        <is>
          <t>Porto Real</t>
        </is>
      </c>
      <c r="C10060" s="30" t="n">
        <v>76105502</v>
      </c>
      <c r="D10060" s="30">
        <f>"03419953000187"</f>
        <v/>
      </c>
      <c r="E10060" s="30" t="inlineStr">
        <is>
          <t>MARFRAN TRANSPORTES E LOGISTICA LTDA ME</t>
        </is>
      </c>
      <c r="F10060" s="30" t="inlineStr">
        <is>
          <t>2020</t>
        </is>
      </c>
      <c r="G10060" s="40" t="n">
        <v>181294.97</v>
      </c>
    </row>
    <row r="10061" ht="12" customHeight="1">
      <c r="A10061" s="30" t="inlineStr">
        <is>
          <t>POR</t>
        </is>
      </c>
      <c r="B10061" s="30" t="inlineStr">
        <is>
          <t>Porto Real</t>
        </is>
      </c>
      <c r="C10061" s="30" t="n">
        <v>76105502</v>
      </c>
      <c r="D10061" s="30">
        <f>"03419953000187"</f>
        <v/>
      </c>
      <c r="E10061" s="30" t="inlineStr">
        <is>
          <t>MARFRAN TRANSPORTES E LOGISTICA LTDA ME</t>
        </is>
      </c>
      <c r="F10061" s="30" t="inlineStr">
        <is>
          <t>2021</t>
        </is>
      </c>
      <c r="G10061" s="40" t="n">
        <v>0</v>
      </c>
    </row>
    <row r="10062" ht="12" customHeight="1">
      <c r="A10062" s="30" t="inlineStr">
        <is>
          <t>POR</t>
        </is>
      </c>
      <c r="B10062" s="30" t="inlineStr">
        <is>
          <t>Porto Real</t>
        </is>
      </c>
      <c r="C10062" s="30" t="n">
        <v>76105502</v>
      </c>
      <c r="D10062" s="30">
        <f>"03419953000187"</f>
        <v/>
      </c>
      <c r="E10062" s="30" t="inlineStr">
        <is>
          <t>MARFRAN TRANSPORTES E LOGISTICA LTDA ME</t>
        </is>
      </c>
      <c r="F10062" s="30" t="inlineStr">
        <is>
          <t>2022</t>
        </is>
      </c>
      <c r="G10062" s="40" t="n">
        <v>215140.89</v>
      </c>
    </row>
    <row r="10063" ht="12" customHeight="1">
      <c r="A10063" s="30" t="inlineStr">
        <is>
          <t>POR</t>
        </is>
      </c>
      <c r="B10063" s="30" t="inlineStr">
        <is>
          <t>Porto Real</t>
        </is>
      </c>
      <c r="C10063" s="30" t="n">
        <v>76105502</v>
      </c>
      <c r="D10063" s="30">
        <f>"03419953000187"</f>
        <v/>
      </c>
      <c r="E10063" s="30" t="inlineStr">
        <is>
          <t>MARFRAN TRANSPORTES E LOGISTICA LTDA ME</t>
        </is>
      </c>
      <c r="F10063" s="30" t="inlineStr">
        <is>
          <t>2023</t>
        </is>
      </c>
      <c r="G10063" s="40" t="n">
        <v>360133.06</v>
      </c>
    </row>
    <row r="10064" ht="12" customHeight="1">
      <c r="A10064" s="30" t="inlineStr">
        <is>
          <t>POR</t>
        </is>
      </c>
      <c r="B10064" s="30" t="inlineStr">
        <is>
          <t>Porto Real</t>
        </is>
      </c>
      <c r="C10064" s="30" t="n">
        <v>76159122</v>
      </c>
      <c r="D10064" s="30">
        <f>"03537249000129"</f>
        <v/>
      </c>
      <c r="E10064" s="30" t="inlineStr">
        <is>
          <t>CSN ENERGIA S/A</t>
        </is>
      </c>
      <c r="F10064" s="30" t="inlineStr">
        <is>
          <t>2017</t>
        </is>
      </c>
      <c r="G10064" s="40" t="n">
        <v>4802743.81</v>
      </c>
    </row>
    <row r="10065" ht="12" customHeight="1">
      <c r="A10065" s="30" t="inlineStr">
        <is>
          <t>POR</t>
        </is>
      </c>
      <c r="B10065" s="30" t="inlineStr">
        <is>
          <t>Porto Real</t>
        </is>
      </c>
      <c r="C10065" s="30" t="n">
        <v>76159122</v>
      </c>
      <c r="D10065" s="30">
        <f>"03537249000129"</f>
        <v/>
      </c>
      <c r="E10065" s="30" t="inlineStr">
        <is>
          <t>CSN ENERGIA S/A</t>
        </is>
      </c>
      <c r="F10065" s="30" t="inlineStr">
        <is>
          <t>2018</t>
        </is>
      </c>
      <c r="G10065" s="40" t="n">
        <v>3397819.61</v>
      </c>
    </row>
    <row r="10066" ht="12" customHeight="1">
      <c r="A10066" s="30" t="inlineStr">
        <is>
          <t>POR</t>
        </is>
      </c>
      <c r="B10066" s="30" t="inlineStr">
        <is>
          <t>Porto Real</t>
        </is>
      </c>
      <c r="C10066" s="30" t="n">
        <v>76159122</v>
      </c>
      <c r="D10066" s="30">
        <f>"03537249000129"</f>
        <v/>
      </c>
      <c r="E10066" s="30" t="inlineStr">
        <is>
          <t>CSN ENERGIA S/A</t>
        </is>
      </c>
      <c r="F10066" s="30" t="inlineStr">
        <is>
          <t>2019</t>
        </is>
      </c>
      <c r="G10066" s="40" t="n">
        <v>2994469.81</v>
      </c>
    </row>
    <row r="10067" ht="12" customHeight="1">
      <c r="A10067" s="30" t="inlineStr">
        <is>
          <t>POR</t>
        </is>
      </c>
      <c r="B10067" s="30" t="inlineStr">
        <is>
          <t>Porto Real</t>
        </is>
      </c>
      <c r="C10067" s="30" t="n">
        <v>76159122</v>
      </c>
      <c r="D10067" s="30">
        <f>"03537249000129"</f>
        <v/>
      </c>
      <c r="E10067" s="30" t="inlineStr">
        <is>
          <t>CSN ENERGIA S/A</t>
        </is>
      </c>
      <c r="F10067" s="30" t="inlineStr">
        <is>
          <t>2020</t>
        </is>
      </c>
      <c r="G10067" s="40" t="n">
        <v>861322.23</v>
      </c>
    </row>
    <row r="10068" ht="12" customHeight="1">
      <c r="A10068" s="30" t="inlineStr">
        <is>
          <t>POR</t>
        </is>
      </c>
      <c r="B10068" s="30" t="inlineStr">
        <is>
          <t>Porto Real</t>
        </is>
      </c>
      <c r="C10068" s="30" t="n">
        <v>76159122</v>
      </c>
      <c r="D10068" s="30">
        <f>"03537249000129"</f>
        <v/>
      </c>
      <c r="E10068" s="30" t="inlineStr">
        <is>
          <t>CSN ENERGIA S/A</t>
        </is>
      </c>
      <c r="F10068" s="30" t="inlineStr">
        <is>
          <t>2021</t>
        </is>
      </c>
      <c r="G10068" s="40" t="n">
        <v>729052.0699999999</v>
      </c>
    </row>
    <row r="10069" ht="12" customHeight="1">
      <c r="A10069" s="30" t="inlineStr">
        <is>
          <t>POR</t>
        </is>
      </c>
      <c r="B10069" s="30" t="inlineStr">
        <is>
          <t>Porto Real</t>
        </is>
      </c>
      <c r="C10069" s="30" t="n">
        <v>76159122</v>
      </c>
      <c r="D10069" s="30">
        <f>"03537249000129"</f>
        <v/>
      </c>
      <c r="E10069" s="30" t="inlineStr">
        <is>
          <t>CSN ENERGIA S/A</t>
        </is>
      </c>
      <c r="F10069" s="30" t="inlineStr">
        <is>
          <t>2022</t>
        </is>
      </c>
      <c r="G10069" s="40" t="n">
        <v>3762492.95</v>
      </c>
    </row>
    <row r="10070" ht="12" customHeight="1">
      <c r="A10070" s="30" t="inlineStr">
        <is>
          <t>POR</t>
        </is>
      </c>
      <c r="B10070" s="30" t="inlineStr">
        <is>
          <t>Porto Real</t>
        </is>
      </c>
      <c r="C10070" s="30" t="n">
        <v>76159122</v>
      </c>
      <c r="D10070" s="30">
        <f>"03537249000129"</f>
        <v/>
      </c>
      <c r="E10070" s="30" t="inlineStr">
        <is>
          <t>CSN ENERGIA S/A</t>
        </is>
      </c>
      <c r="F10070" s="30" t="inlineStr">
        <is>
          <t>2023</t>
        </is>
      </c>
      <c r="G10070" s="40" t="n">
        <v>1997861.1</v>
      </c>
    </row>
    <row r="10071" ht="12" customHeight="1">
      <c r="A10071" s="30" t="inlineStr">
        <is>
          <t>POR</t>
        </is>
      </c>
      <c r="B10071" s="30" t="inlineStr">
        <is>
          <t>Porto Real</t>
        </is>
      </c>
      <c r="C10071" s="30" t="n">
        <v>76167605</v>
      </c>
      <c r="D10071" s="30">
        <f>"03662454000116"</f>
        <v/>
      </c>
      <c r="E10071" s="30" t="inlineStr">
        <is>
          <t>IPEOLEO COMERCIO DE COMBUSTIVEIS EIRELI</t>
        </is>
      </c>
      <c r="F10071" s="30" t="inlineStr">
        <is>
          <t>2017</t>
        </is>
      </c>
      <c r="G10071" s="40" t="n">
        <v>0</v>
      </c>
    </row>
    <row r="10072" ht="12" customHeight="1">
      <c r="A10072" s="30" t="inlineStr">
        <is>
          <t>POR</t>
        </is>
      </c>
      <c r="B10072" s="30" t="inlineStr">
        <is>
          <t>Porto Real</t>
        </is>
      </c>
      <c r="C10072" s="30" t="n">
        <v>76167605</v>
      </c>
      <c r="D10072" s="30">
        <f>"03662454000116"</f>
        <v/>
      </c>
      <c r="E10072" s="30" t="inlineStr">
        <is>
          <t>IPEOLEO COMERCIO DE COMBUSTIVEIS EIRELI</t>
        </is>
      </c>
      <c r="F10072" s="30" t="inlineStr">
        <is>
          <t>2018</t>
        </is>
      </c>
      <c r="G10072" s="40" t="n">
        <v>39490.56</v>
      </c>
    </row>
    <row r="10073" ht="12" customHeight="1">
      <c r="A10073" s="30" t="inlineStr">
        <is>
          <t>POR</t>
        </is>
      </c>
      <c r="B10073" s="30" t="inlineStr">
        <is>
          <t>Porto Real</t>
        </is>
      </c>
      <c r="C10073" s="30" t="n">
        <v>76167605</v>
      </c>
      <c r="D10073" s="30">
        <f>"03662454000116"</f>
        <v/>
      </c>
      <c r="E10073" s="30" t="inlineStr">
        <is>
          <t>IPEOLEO COMERCIO DE COMBUSTIVEIS EIRELI</t>
        </is>
      </c>
      <c r="F10073" s="30" t="inlineStr">
        <is>
          <t>2019</t>
        </is>
      </c>
      <c r="G10073" s="40" t="n">
        <v>68006.31</v>
      </c>
    </row>
    <row r="10074" ht="12" customHeight="1">
      <c r="A10074" s="30" t="inlineStr">
        <is>
          <t>POR</t>
        </is>
      </c>
      <c r="B10074" s="30" t="inlineStr">
        <is>
          <t>Porto Real</t>
        </is>
      </c>
      <c r="C10074" s="30" t="n">
        <v>76167605</v>
      </c>
      <c r="D10074" s="30">
        <f>"03662454000116"</f>
        <v/>
      </c>
      <c r="E10074" s="30" t="inlineStr">
        <is>
          <t>IPEOLEO COMERCIO DE COMBUSTIVEIS EIRELI</t>
        </is>
      </c>
      <c r="F10074" s="30" t="inlineStr">
        <is>
          <t>2020</t>
        </is>
      </c>
      <c r="G10074" s="40" t="n">
        <v>60777.85</v>
      </c>
    </row>
    <row r="10075" ht="12" customHeight="1">
      <c r="A10075" s="30" t="inlineStr">
        <is>
          <t>POR</t>
        </is>
      </c>
      <c r="B10075" s="30" t="inlineStr">
        <is>
          <t>Porto Real</t>
        </is>
      </c>
      <c r="C10075" s="30" t="n">
        <v>76167605</v>
      </c>
      <c r="D10075" s="30">
        <f>"03662454000116"</f>
        <v/>
      </c>
      <c r="E10075" s="30" t="inlineStr">
        <is>
          <t>IPEOLEO COMERCIO DE COMBUSTIVEIS EIRELI</t>
        </is>
      </c>
      <c r="F10075" s="30" t="inlineStr">
        <is>
          <t>2021</t>
        </is>
      </c>
      <c r="G10075" s="40" t="n">
        <v>0</v>
      </c>
    </row>
    <row r="10076" ht="12" customHeight="1">
      <c r="A10076" s="30" t="inlineStr">
        <is>
          <t>POR</t>
        </is>
      </c>
      <c r="B10076" s="30" t="inlineStr">
        <is>
          <t>Porto Real</t>
        </is>
      </c>
      <c r="C10076" s="30" t="n">
        <v>76167605</v>
      </c>
      <c r="D10076" s="30">
        <f>"03662454000116"</f>
        <v/>
      </c>
      <c r="E10076" s="30" t="inlineStr">
        <is>
          <t>IPEOLEO COMERCIO DE COMBUSTIVEIS EIRELI</t>
        </is>
      </c>
      <c r="F10076" s="30" t="inlineStr">
        <is>
          <t>2022</t>
        </is>
      </c>
      <c r="G10076" s="40" t="n">
        <v>0</v>
      </c>
    </row>
    <row r="10077" ht="12" customHeight="1">
      <c r="A10077" s="30" t="inlineStr">
        <is>
          <t>POR</t>
        </is>
      </c>
      <c r="B10077" s="30" t="inlineStr">
        <is>
          <t>Porto Real</t>
        </is>
      </c>
      <c r="C10077" s="30" t="n">
        <v>76171718</v>
      </c>
      <c r="D10077" s="30">
        <f>"50935436001708"</f>
        <v/>
      </c>
      <c r="E10077" s="30" t="inlineStr">
        <is>
          <t>EXPRESSO JUNDIAI LOGISTICA E TRANSPORTE LTDA</t>
        </is>
      </c>
      <c r="F10077" s="30" t="inlineStr">
        <is>
          <t>2017</t>
        </is>
      </c>
      <c r="G10077" s="40" t="n">
        <v>5827.79</v>
      </c>
    </row>
    <row r="10078" ht="12" customHeight="1">
      <c r="A10078" s="30" t="inlineStr">
        <is>
          <t>POR</t>
        </is>
      </c>
      <c r="B10078" s="30" t="inlineStr">
        <is>
          <t>Porto Real</t>
        </is>
      </c>
      <c r="C10078" s="30" t="n">
        <v>76171718</v>
      </c>
      <c r="D10078" s="30">
        <f>"50935436001708"</f>
        <v/>
      </c>
      <c r="E10078" s="30" t="inlineStr">
        <is>
          <t>EXPRESSO JUNDIAI LOGISTICA E TRANSPORTE LTDA</t>
        </is>
      </c>
      <c r="F10078" s="30" t="inlineStr">
        <is>
          <t>2018</t>
        </is>
      </c>
      <c r="G10078" s="40" t="n">
        <v>0</v>
      </c>
    </row>
    <row r="10079" ht="12" customHeight="1">
      <c r="A10079" s="30" t="inlineStr">
        <is>
          <t>POR</t>
        </is>
      </c>
      <c r="B10079" s="30" t="inlineStr">
        <is>
          <t>Porto Real</t>
        </is>
      </c>
      <c r="C10079" s="30" t="n">
        <v>76171718</v>
      </c>
      <c r="D10079" s="30">
        <f>"50935436001708"</f>
        <v/>
      </c>
      <c r="E10079" s="30" t="inlineStr">
        <is>
          <t>EXPRESSO JUNDIAI LOGISTICA E TRANSPORTE LTDA</t>
        </is>
      </c>
      <c r="F10079" s="30" t="inlineStr">
        <is>
          <t>2019</t>
        </is>
      </c>
      <c r="G10079" s="40" t="n">
        <v>0</v>
      </c>
    </row>
    <row r="10080" ht="12" customHeight="1">
      <c r="A10080" s="30" t="inlineStr">
        <is>
          <t>POR</t>
        </is>
      </c>
      <c r="B10080" s="30" t="inlineStr">
        <is>
          <t>Porto Real</t>
        </is>
      </c>
      <c r="C10080" s="30" t="n">
        <v>76171769</v>
      </c>
      <c r="D10080" s="30">
        <f>"04532167000154"</f>
        <v/>
      </c>
      <c r="E10080" s="30" t="inlineStr">
        <is>
          <t>BMB MODE CENTER - INDUSTRIA COMERCIO E SERVICOS LTDA</t>
        </is>
      </c>
      <c r="F10080" s="30" t="inlineStr">
        <is>
          <t>2017</t>
        </is>
      </c>
      <c r="G10080" s="40" t="n">
        <v>20203196.94</v>
      </c>
    </row>
    <row r="10081" ht="12" customHeight="1">
      <c r="A10081" s="30" t="inlineStr">
        <is>
          <t>POR</t>
        </is>
      </c>
      <c r="B10081" s="30" t="inlineStr">
        <is>
          <t>Porto Real</t>
        </is>
      </c>
      <c r="C10081" s="30" t="n">
        <v>76171769</v>
      </c>
      <c r="D10081" s="30">
        <f>"04532167000154"</f>
        <v/>
      </c>
      <c r="E10081" s="30" t="inlineStr">
        <is>
          <t>BMB MODE CENTER - INDUSTRIA COMERCIO E SERVICOS LTDA</t>
        </is>
      </c>
      <c r="F10081" s="30" t="inlineStr">
        <is>
          <t>2018</t>
        </is>
      </c>
      <c r="G10081" s="40" t="n">
        <v>28304883.98</v>
      </c>
    </row>
    <row r="10082" ht="12" customHeight="1">
      <c r="A10082" s="30" t="inlineStr">
        <is>
          <t>POR</t>
        </is>
      </c>
      <c r="B10082" s="30" t="inlineStr">
        <is>
          <t>Porto Real</t>
        </is>
      </c>
      <c r="C10082" s="30" t="n">
        <v>76171769</v>
      </c>
      <c r="D10082" s="30">
        <f>"04532167000154"</f>
        <v/>
      </c>
      <c r="E10082" s="30" t="inlineStr">
        <is>
          <t>BMB MODE CENTER - INDUSTRIA COMERCIO E SERVICOS LTDA</t>
        </is>
      </c>
      <c r="F10082" s="30" t="inlineStr">
        <is>
          <t>2019</t>
        </is>
      </c>
      <c r="G10082" s="40" t="n">
        <v>32476574.8</v>
      </c>
    </row>
    <row r="10083" ht="12" customHeight="1">
      <c r="A10083" s="30" t="inlineStr">
        <is>
          <t>POR</t>
        </is>
      </c>
      <c r="B10083" s="30" t="inlineStr">
        <is>
          <t>Porto Real</t>
        </is>
      </c>
      <c r="C10083" s="30" t="n">
        <v>76171769</v>
      </c>
      <c r="D10083" s="30">
        <f>"04532167000154"</f>
        <v/>
      </c>
      <c r="E10083" s="30" t="inlineStr">
        <is>
          <t>BMB MODE CENTER - INDUSTRIA COMERCIO E SERVICOS LTDA</t>
        </is>
      </c>
      <c r="F10083" s="30" t="inlineStr">
        <is>
          <t>2020</t>
        </is>
      </c>
      <c r="G10083" s="40" t="n">
        <v>30462581.28</v>
      </c>
    </row>
    <row r="10084" ht="12" customHeight="1">
      <c r="A10084" s="30" t="inlineStr">
        <is>
          <t>POR</t>
        </is>
      </c>
      <c r="B10084" s="30" t="inlineStr">
        <is>
          <t>Porto Real</t>
        </is>
      </c>
      <c r="C10084" s="30" t="n">
        <v>76171769</v>
      </c>
      <c r="D10084" s="30">
        <f>"04532167000154"</f>
        <v/>
      </c>
      <c r="E10084" s="30" t="inlineStr">
        <is>
          <t>BMB MODE CENTER - INDUSTRIA COMERCIO E SERVICOS LTDA</t>
        </is>
      </c>
      <c r="F10084" s="30" t="inlineStr">
        <is>
          <t>2021</t>
        </is>
      </c>
      <c r="G10084" s="40" t="n">
        <v>44980017.2</v>
      </c>
    </row>
    <row r="10085" ht="12" customHeight="1">
      <c r="A10085" s="30" t="inlineStr">
        <is>
          <t>POR</t>
        </is>
      </c>
      <c r="B10085" s="30" t="inlineStr">
        <is>
          <t>Porto Real</t>
        </is>
      </c>
      <c r="C10085" s="30" t="n">
        <v>76171769</v>
      </c>
      <c r="D10085" s="30">
        <f>"04532167000154"</f>
        <v/>
      </c>
      <c r="E10085" s="30" t="inlineStr">
        <is>
          <t>BMB MODE CENTER - INDUSTRIA COMERCIO E SERVICOS LTDA</t>
        </is>
      </c>
      <c r="F10085" s="30" t="inlineStr">
        <is>
          <t>2022</t>
        </is>
      </c>
      <c r="G10085" s="40" t="n">
        <v>32176470.73</v>
      </c>
    </row>
    <row r="10086" ht="12" customHeight="1">
      <c r="A10086" s="30" t="inlineStr">
        <is>
          <t>POR</t>
        </is>
      </c>
      <c r="B10086" s="30" t="inlineStr">
        <is>
          <t>Porto Real</t>
        </is>
      </c>
      <c r="C10086" s="30" t="n">
        <v>76171769</v>
      </c>
      <c r="D10086" s="30">
        <f>"04532167000154"</f>
        <v/>
      </c>
      <c r="E10086" s="30" t="inlineStr">
        <is>
          <t>BMB MODE CENTER - INDUSTRIA COMERCIO E SERVICOS LTDA</t>
        </is>
      </c>
      <c r="F10086" s="30" t="inlineStr">
        <is>
          <t>2023</t>
        </is>
      </c>
      <c r="G10086" s="40" t="n">
        <v>28581527.54</v>
      </c>
    </row>
    <row r="10087" ht="12" customHeight="1">
      <c r="A10087" s="30" t="inlineStr">
        <is>
          <t>POR</t>
        </is>
      </c>
      <c r="B10087" s="30" t="inlineStr">
        <is>
          <t>Porto Real</t>
        </is>
      </c>
      <c r="C10087" s="30" t="n">
        <v>76197482</v>
      </c>
      <c r="D10087" s="30">
        <f>"01619241000186"</f>
        <v/>
      </c>
      <c r="E10087" s="30" t="inlineStr">
        <is>
          <t>WMS WORLD MARINE SERVICE LTDA</t>
        </is>
      </c>
      <c r="F10087" s="30" t="inlineStr">
        <is>
          <t>2021</t>
        </is>
      </c>
      <c r="G10087" s="40" t="n">
        <v>0</v>
      </c>
    </row>
    <row r="10088" ht="12" customHeight="1">
      <c r="A10088" s="30" t="inlineStr">
        <is>
          <t>POR</t>
        </is>
      </c>
      <c r="B10088" s="30" t="inlineStr">
        <is>
          <t>Porto Real</t>
        </is>
      </c>
      <c r="C10088" s="30" t="n">
        <v>76197482</v>
      </c>
      <c r="D10088" s="30">
        <f>"01619241000186"</f>
        <v/>
      </c>
      <c r="E10088" s="30" t="inlineStr">
        <is>
          <t>WMS WORLD MARINE SERVICE LTDA</t>
        </is>
      </c>
      <c r="F10088" s="30" t="inlineStr">
        <is>
          <t>2022</t>
        </is>
      </c>
      <c r="G10088" s="40" t="n">
        <v>0</v>
      </c>
    </row>
    <row r="10089" ht="12" customHeight="1">
      <c r="A10089" s="30" t="inlineStr">
        <is>
          <t>POR</t>
        </is>
      </c>
      <c r="B10089" s="30" t="inlineStr">
        <is>
          <t>Porto Real</t>
        </is>
      </c>
      <c r="C10089" s="30" t="n">
        <v>76197482</v>
      </c>
      <c r="D10089" s="30">
        <f>"01619241000186"</f>
        <v/>
      </c>
      <c r="E10089" s="30" t="inlineStr">
        <is>
          <t>WMS WORLD MARINE SERVICE LTDA</t>
        </is>
      </c>
      <c r="F10089" s="30" t="inlineStr">
        <is>
          <t>2023</t>
        </is>
      </c>
      <c r="G10089" s="40" t="n">
        <v>6467.5</v>
      </c>
    </row>
    <row r="10090" ht="12" customHeight="1">
      <c r="A10090" s="30" t="inlineStr">
        <is>
          <t>POR</t>
        </is>
      </c>
      <c r="B10090" s="30" t="inlineStr">
        <is>
          <t>Porto Real</t>
        </is>
      </c>
      <c r="C10090" s="30" t="n">
        <v>77015523</v>
      </c>
      <c r="D10090" s="30">
        <f>"03571044000160"</f>
        <v/>
      </c>
      <c r="E10090" s="30" t="inlineStr">
        <is>
          <t>MA AUTOMOTIVE BRASIL LTDA</t>
        </is>
      </c>
      <c r="F10090" s="30" t="inlineStr">
        <is>
          <t>2017</t>
        </is>
      </c>
      <c r="G10090" s="40" t="n">
        <v>162245886.2</v>
      </c>
    </row>
    <row r="10091" ht="12" customHeight="1">
      <c r="A10091" s="30" t="inlineStr">
        <is>
          <t>POR</t>
        </is>
      </c>
      <c r="B10091" s="30" t="inlineStr">
        <is>
          <t>Porto Real</t>
        </is>
      </c>
      <c r="C10091" s="30" t="n">
        <v>77015523</v>
      </c>
      <c r="D10091" s="30">
        <f>"03571044000160"</f>
        <v/>
      </c>
      <c r="E10091" s="30" t="inlineStr">
        <is>
          <t>MA AUTOMOTIVE BRASIL LTDA</t>
        </is>
      </c>
      <c r="F10091" s="30" t="inlineStr">
        <is>
          <t>2018</t>
        </is>
      </c>
      <c r="G10091" s="40" t="n">
        <v>193086998.23</v>
      </c>
    </row>
    <row r="10092" ht="12" customHeight="1">
      <c r="A10092" s="30" t="inlineStr">
        <is>
          <t>POR</t>
        </is>
      </c>
      <c r="B10092" s="30" t="inlineStr">
        <is>
          <t>Porto Real</t>
        </is>
      </c>
      <c r="C10092" s="30" t="n">
        <v>77015523</v>
      </c>
      <c r="D10092" s="30">
        <f>"03571044000160"</f>
        <v/>
      </c>
      <c r="E10092" s="30" t="inlineStr">
        <is>
          <t>MA AUTOMOTIVE BRASIL LTDA</t>
        </is>
      </c>
      <c r="F10092" s="30" t="inlineStr">
        <is>
          <t>2019</t>
        </is>
      </c>
      <c r="G10092" s="40" t="n">
        <v>148847873.57</v>
      </c>
    </row>
    <row r="10093" ht="12" customHeight="1">
      <c r="A10093" s="30" t="inlineStr">
        <is>
          <t>POR</t>
        </is>
      </c>
      <c r="B10093" s="30" t="inlineStr">
        <is>
          <t>Porto Real</t>
        </is>
      </c>
      <c r="C10093" s="30" t="n">
        <v>77015523</v>
      </c>
      <c r="D10093" s="30">
        <f>"03571044000160"</f>
        <v/>
      </c>
      <c r="E10093" s="30" t="inlineStr">
        <is>
          <t>MA AUTOMOTIVE BRASIL LTDA</t>
        </is>
      </c>
      <c r="F10093" s="30" t="inlineStr">
        <is>
          <t>2020</t>
        </is>
      </c>
      <c r="G10093" s="40" t="n">
        <v>111791571.71</v>
      </c>
    </row>
    <row r="10094" ht="12" customHeight="1">
      <c r="A10094" s="30" t="inlineStr">
        <is>
          <t>POR</t>
        </is>
      </c>
      <c r="B10094" s="30" t="inlineStr">
        <is>
          <t>Porto Real</t>
        </is>
      </c>
      <c r="C10094" s="30" t="n">
        <v>77015523</v>
      </c>
      <c r="D10094" s="30">
        <f>"03571044000160"</f>
        <v/>
      </c>
      <c r="E10094" s="30" t="inlineStr">
        <is>
          <t>MA AUTOMOTIVE BRASIL LTDA</t>
        </is>
      </c>
      <c r="F10094" s="30" t="inlineStr">
        <is>
          <t>2021</t>
        </is>
      </c>
      <c r="G10094" s="40" t="n">
        <v>134598704.53</v>
      </c>
    </row>
    <row r="10095" ht="12" customHeight="1">
      <c r="A10095" s="30" t="inlineStr">
        <is>
          <t>POR</t>
        </is>
      </c>
      <c r="B10095" s="30" t="inlineStr">
        <is>
          <t>Porto Real</t>
        </is>
      </c>
      <c r="C10095" s="30" t="n">
        <v>77015523</v>
      </c>
      <c r="D10095" s="30">
        <f>"03571044000160"</f>
        <v/>
      </c>
      <c r="E10095" s="30" t="inlineStr">
        <is>
          <t>MA AUTOMOTIVE BRASIL LTDA</t>
        </is>
      </c>
      <c r="F10095" s="30" t="inlineStr">
        <is>
          <t>2022</t>
        </is>
      </c>
      <c r="G10095" s="40" t="n">
        <v>115467618.68</v>
      </c>
    </row>
    <row r="10096" ht="12" customHeight="1">
      <c r="A10096" s="30" t="inlineStr">
        <is>
          <t>POR</t>
        </is>
      </c>
      <c r="B10096" s="30" t="inlineStr">
        <is>
          <t>Porto Real</t>
        </is>
      </c>
      <c r="C10096" s="30" t="n">
        <v>77015523</v>
      </c>
      <c r="D10096" s="30">
        <f>"03571044000160"</f>
        <v/>
      </c>
      <c r="E10096" s="30" t="inlineStr">
        <is>
          <t>MA AUTOMOTIVE BRASIL LTDA</t>
        </is>
      </c>
      <c r="F10096" s="30" t="inlineStr">
        <is>
          <t>2023</t>
        </is>
      </c>
      <c r="G10096" s="40" t="n">
        <v>132548045.03</v>
      </c>
    </row>
    <row r="10097" ht="12" customHeight="1">
      <c r="A10097" s="30" t="inlineStr">
        <is>
          <t>POR</t>
        </is>
      </c>
      <c r="B10097" s="30" t="inlineStr">
        <is>
          <t>Porto Real</t>
        </is>
      </c>
      <c r="C10097" s="30" t="n">
        <v>77017488</v>
      </c>
      <c r="D10097" s="30">
        <f>"03077452000240"</f>
        <v/>
      </c>
      <c r="E10097" s="30" t="inlineStr">
        <is>
          <t>SUPRICEL LOGISTICA LTDA</t>
        </is>
      </c>
      <c r="F10097" s="30" t="inlineStr">
        <is>
          <t>2017</t>
        </is>
      </c>
      <c r="G10097" s="40" t="n">
        <v>5897.73</v>
      </c>
    </row>
    <row r="10098" ht="12" customHeight="1">
      <c r="A10098" s="30" t="inlineStr">
        <is>
          <t>POR</t>
        </is>
      </c>
      <c r="B10098" s="30" t="inlineStr">
        <is>
          <t>Porto Real</t>
        </is>
      </c>
      <c r="C10098" s="30" t="n">
        <v>77017488</v>
      </c>
      <c r="D10098" s="30">
        <f>"03077452000240"</f>
        <v/>
      </c>
      <c r="E10098" s="30" t="inlineStr">
        <is>
          <t>SUPRICEL LOGISTICA LTDA</t>
        </is>
      </c>
      <c r="F10098" s="30" t="inlineStr">
        <is>
          <t>2018</t>
        </is>
      </c>
      <c r="G10098" s="40" t="n">
        <v>8152</v>
      </c>
    </row>
    <row r="10099" ht="12" customHeight="1">
      <c r="A10099" s="30" t="inlineStr">
        <is>
          <t>POR</t>
        </is>
      </c>
      <c r="B10099" s="30" t="inlineStr">
        <is>
          <t>Porto Real</t>
        </is>
      </c>
      <c r="C10099" s="30" t="n">
        <v>77017488</v>
      </c>
      <c r="D10099" s="30">
        <f>"03077452000240"</f>
        <v/>
      </c>
      <c r="E10099" s="30" t="inlineStr">
        <is>
          <t>SUPRICEL LOGISTICA LTDA</t>
        </is>
      </c>
      <c r="F10099" s="30" t="inlineStr">
        <is>
          <t>2019</t>
        </is>
      </c>
      <c r="G10099" s="40" t="n">
        <v>0</v>
      </c>
    </row>
    <row r="10100" ht="12" customHeight="1">
      <c r="A10100" s="30" t="inlineStr">
        <is>
          <t>POR</t>
        </is>
      </c>
      <c r="B10100" s="30" t="inlineStr">
        <is>
          <t>Porto Real</t>
        </is>
      </c>
      <c r="C10100" s="30" t="n">
        <v>77017488</v>
      </c>
      <c r="D10100" s="30">
        <f>"03077452000240"</f>
        <v/>
      </c>
      <c r="E10100" s="30" t="inlineStr">
        <is>
          <t>SUPRICEL LOGISTICA LTDA</t>
        </is>
      </c>
      <c r="F10100" s="30" t="inlineStr">
        <is>
          <t>2020</t>
        </is>
      </c>
      <c r="G10100" s="40" t="n">
        <v>0</v>
      </c>
    </row>
    <row r="10101" ht="12" customHeight="1">
      <c r="A10101" s="30" t="inlineStr">
        <is>
          <t>POR</t>
        </is>
      </c>
      <c r="B10101" s="30" t="inlineStr">
        <is>
          <t>Porto Real</t>
        </is>
      </c>
      <c r="C10101" s="30" t="n">
        <v>77028412</v>
      </c>
      <c r="D10101" s="30">
        <f>"17215039000552"</f>
        <v/>
      </c>
      <c r="E10101" s="30" t="inlineStr">
        <is>
          <t>TRANSPORTES PESADOS MINAS S A</t>
        </is>
      </c>
      <c r="F10101" s="30" t="inlineStr">
        <is>
          <t>2018</t>
        </is>
      </c>
      <c r="G10101" s="40" t="n">
        <v>0</v>
      </c>
    </row>
    <row r="10102" ht="12" customHeight="1">
      <c r="A10102" s="30" t="inlineStr">
        <is>
          <t>POR</t>
        </is>
      </c>
      <c r="B10102" s="30" t="inlineStr">
        <is>
          <t>Porto Real</t>
        </is>
      </c>
      <c r="C10102" s="30" t="n">
        <v>77028412</v>
      </c>
      <c r="D10102" s="30">
        <f>"17215039000552"</f>
        <v/>
      </c>
      <c r="E10102" s="30" t="inlineStr">
        <is>
          <t>TRANSPORTES PESADOS MINAS S A</t>
        </is>
      </c>
      <c r="F10102" s="30" t="inlineStr">
        <is>
          <t>2019</t>
        </is>
      </c>
      <c r="G10102" s="40" t="n">
        <v>0</v>
      </c>
    </row>
    <row r="10103" ht="12" customHeight="1">
      <c r="A10103" s="30" t="inlineStr">
        <is>
          <t>POR</t>
        </is>
      </c>
      <c r="B10103" s="30" t="inlineStr">
        <is>
          <t>Porto Real</t>
        </is>
      </c>
      <c r="C10103" s="30" t="n">
        <v>77028412</v>
      </c>
      <c r="D10103" s="30">
        <f>"17215039000552"</f>
        <v/>
      </c>
      <c r="E10103" s="30" t="inlineStr">
        <is>
          <t>TRANSPORTES PESADOS MINAS S A</t>
        </is>
      </c>
      <c r="F10103" s="30" t="inlineStr">
        <is>
          <t>2020</t>
        </is>
      </c>
      <c r="G10103" s="40" t="n">
        <v>1545.45</v>
      </c>
    </row>
    <row r="10104" ht="12" customHeight="1">
      <c r="A10104" s="30" t="inlineStr">
        <is>
          <t>POR</t>
        </is>
      </c>
      <c r="B10104" s="30" t="inlineStr">
        <is>
          <t>Porto Real</t>
        </is>
      </c>
      <c r="C10104" s="30" t="n">
        <v>77028412</v>
      </c>
      <c r="D10104" s="30">
        <f>"17215039000552"</f>
        <v/>
      </c>
      <c r="E10104" s="30" t="inlineStr">
        <is>
          <t>TRANSPORTES PESADOS MINAS S A</t>
        </is>
      </c>
      <c r="F10104" s="30" t="inlineStr">
        <is>
          <t>2021</t>
        </is>
      </c>
      <c r="G10104" s="40" t="n">
        <v>0</v>
      </c>
    </row>
    <row r="10105" ht="12" customHeight="1">
      <c r="A10105" s="30" t="inlineStr">
        <is>
          <t>POR</t>
        </is>
      </c>
      <c r="B10105" s="30" t="inlineStr">
        <is>
          <t>Porto Real</t>
        </is>
      </c>
      <c r="C10105" s="30" t="n">
        <v>77028412</v>
      </c>
      <c r="D10105" s="30">
        <f>"17215039000552"</f>
        <v/>
      </c>
      <c r="E10105" s="30" t="inlineStr">
        <is>
          <t>TRANSPORTES PESADOS MINAS S A</t>
        </is>
      </c>
      <c r="F10105" s="30" t="inlineStr">
        <is>
          <t>2022</t>
        </is>
      </c>
      <c r="G10105" s="40" t="n">
        <v>0</v>
      </c>
    </row>
    <row r="10106" ht="12" customHeight="1">
      <c r="A10106" s="30" t="inlineStr">
        <is>
          <t>POR</t>
        </is>
      </c>
      <c r="B10106" s="30" t="inlineStr">
        <is>
          <t>Porto Real</t>
        </is>
      </c>
      <c r="C10106" s="30" t="n">
        <v>77032037</v>
      </c>
      <c r="D10106" s="30">
        <f>"03564702000196"</f>
        <v/>
      </c>
      <c r="E10106" s="30" t="inlineStr">
        <is>
          <t>PH TRANSPORTES EIRELI</t>
        </is>
      </c>
      <c r="F10106" s="30" t="inlineStr">
        <is>
          <t>2021</t>
        </is>
      </c>
      <c r="G10106" s="40" t="n">
        <v>0</v>
      </c>
    </row>
    <row r="10107" ht="12" customHeight="1">
      <c r="A10107" s="30" t="inlineStr">
        <is>
          <t>POR</t>
        </is>
      </c>
      <c r="B10107" s="30" t="inlineStr">
        <is>
          <t>Porto Real</t>
        </is>
      </c>
      <c r="C10107" s="30" t="n">
        <v>77032037</v>
      </c>
      <c r="D10107" s="30">
        <f>"03564702000196"</f>
        <v/>
      </c>
      <c r="E10107" s="30" t="inlineStr">
        <is>
          <t>PH TRANSPORTES EIRELI</t>
        </is>
      </c>
      <c r="F10107" s="30" t="inlineStr">
        <is>
          <t>2022</t>
        </is>
      </c>
      <c r="G10107" s="40" t="n">
        <v>0</v>
      </c>
    </row>
    <row r="10108" ht="12" customHeight="1">
      <c r="A10108" s="30" t="inlineStr">
        <is>
          <t>POR</t>
        </is>
      </c>
      <c r="B10108" s="30" t="inlineStr">
        <is>
          <t>Porto Real</t>
        </is>
      </c>
      <c r="C10108" s="30" t="n">
        <v>77032037</v>
      </c>
      <c r="D10108" s="30">
        <f>"03564702000196"</f>
        <v/>
      </c>
      <c r="E10108" s="30" t="inlineStr">
        <is>
          <t>PH TRANSPORTES EIRELI</t>
        </is>
      </c>
      <c r="F10108" s="30" t="inlineStr">
        <is>
          <t>2023</t>
        </is>
      </c>
      <c r="G10108" s="40" t="n">
        <v>81450.74000000001</v>
      </c>
    </row>
    <row r="10109" ht="12" customHeight="1">
      <c r="A10109" s="30" t="inlineStr">
        <is>
          <t>POR</t>
        </is>
      </c>
      <c r="B10109" s="30" t="inlineStr">
        <is>
          <t>Porto Real</t>
        </is>
      </c>
      <c r="C10109" s="30" t="n">
        <v>77044442</v>
      </c>
      <c r="D10109" s="30">
        <f>"03094658000289"</f>
        <v/>
      </c>
      <c r="E10109" s="30" t="inlineStr">
        <is>
          <t>GEFCO LOGISTICA DO BRASIL LTDA</t>
        </is>
      </c>
      <c r="F10109" s="30" t="inlineStr">
        <is>
          <t>2017</t>
        </is>
      </c>
      <c r="G10109" s="40" t="n">
        <v>326584.85</v>
      </c>
    </row>
    <row r="10110" ht="12" customHeight="1">
      <c r="A10110" s="30" t="inlineStr">
        <is>
          <t>POR</t>
        </is>
      </c>
      <c r="B10110" s="30" t="inlineStr">
        <is>
          <t>Porto Real</t>
        </is>
      </c>
      <c r="C10110" s="30" t="n">
        <v>77044442</v>
      </c>
      <c r="D10110" s="30">
        <f>"03094658000289"</f>
        <v/>
      </c>
      <c r="E10110" s="30" t="inlineStr">
        <is>
          <t>GEFCO LOGISTICA DO BRASIL LTDA</t>
        </is>
      </c>
      <c r="F10110" s="30" t="inlineStr">
        <is>
          <t>2018</t>
        </is>
      </c>
      <c r="G10110" s="40" t="n">
        <v>6422918.9</v>
      </c>
    </row>
    <row r="10111" ht="12" customHeight="1">
      <c r="A10111" s="30" t="inlineStr">
        <is>
          <t>POR</t>
        </is>
      </c>
      <c r="B10111" s="30" t="inlineStr">
        <is>
          <t>Porto Real</t>
        </is>
      </c>
      <c r="C10111" s="30" t="n">
        <v>77044442</v>
      </c>
      <c r="D10111" s="30">
        <f>"03094658000289"</f>
        <v/>
      </c>
      <c r="E10111" s="30" t="inlineStr">
        <is>
          <t>GEFCO LOGISTICA DO BRASIL LTDA</t>
        </is>
      </c>
      <c r="F10111" s="30" t="inlineStr">
        <is>
          <t>2019</t>
        </is>
      </c>
      <c r="G10111" s="40" t="n">
        <v>0</v>
      </c>
    </row>
    <row r="10112" ht="12" customHeight="1">
      <c r="A10112" s="30" t="inlineStr">
        <is>
          <t>POR</t>
        </is>
      </c>
      <c r="B10112" s="30" t="inlineStr">
        <is>
          <t>Porto Real</t>
        </is>
      </c>
      <c r="C10112" s="30" t="n">
        <v>77044442</v>
      </c>
      <c r="D10112" s="30">
        <f>"03094658000289"</f>
        <v/>
      </c>
      <c r="E10112" s="30" t="inlineStr">
        <is>
          <t>GEFCO LOGISTICA DO BRASIL LTDA</t>
        </is>
      </c>
      <c r="F10112" s="30" t="inlineStr">
        <is>
          <t>2020</t>
        </is>
      </c>
      <c r="G10112" s="40" t="n">
        <v>0</v>
      </c>
    </row>
    <row r="10113" ht="12" customHeight="1">
      <c r="A10113" s="30" t="inlineStr">
        <is>
          <t>POR</t>
        </is>
      </c>
      <c r="B10113" s="30" t="inlineStr">
        <is>
          <t>Porto Real</t>
        </is>
      </c>
      <c r="C10113" s="30" t="n">
        <v>77054545</v>
      </c>
      <c r="D10113" s="30">
        <f>"03757239000107"</f>
        <v/>
      </c>
      <c r="E10113" s="30" t="inlineStr">
        <is>
          <t>SPEED WORK TRANSPORTES EIRELI</t>
        </is>
      </c>
      <c r="F10113" s="30" t="inlineStr">
        <is>
          <t>2020</t>
        </is>
      </c>
      <c r="G10113" s="40" t="n">
        <v>0</v>
      </c>
    </row>
    <row r="10114" ht="12" customHeight="1">
      <c r="A10114" s="30" t="inlineStr">
        <is>
          <t>POR</t>
        </is>
      </c>
      <c r="B10114" s="30" t="inlineStr">
        <is>
          <t>Porto Real</t>
        </is>
      </c>
      <c r="C10114" s="30" t="n">
        <v>77054545</v>
      </c>
      <c r="D10114" s="30">
        <f>"03757239000107"</f>
        <v/>
      </c>
      <c r="E10114" s="30" t="inlineStr">
        <is>
          <t>SPEED WORK TRANSPORTES EIRELI</t>
        </is>
      </c>
      <c r="F10114" s="30" t="inlineStr">
        <is>
          <t>2021</t>
        </is>
      </c>
      <c r="G10114" s="40" t="n">
        <v>0</v>
      </c>
    </row>
    <row r="10115" ht="12" customHeight="1">
      <c r="A10115" s="30" t="inlineStr">
        <is>
          <t>POR</t>
        </is>
      </c>
      <c r="B10115" s="30" t="inlineStr">
        <is>
          <t>Porto Real</t>
        </is>
      </c>
      <c r="C10115" s="30" t="n">
        <v>77054545</v>
      </c>
      <c r="D10115" s="30">
        <f>"03757239000107"</f>
        <v/>
      </c>
      <c r="E10115" s="30" t="inlineStr">
        <is>
          <t>SPEED WORK TRANSPORTES EIRELI</t>
        </is>
      </c>
      <c r="F10115" s="30" t="inlineStr">
        <is>
          <t>2022</t>
        </is>
      </c>
      <c r="G10115" s="40" t="n">
        <v>139.7</v>
      </c>
    </row>
    <row r="10116" ht="12" customHeight="1">
      <c r="A10116" s="30" t="inlineStr">
        <is>
          <t>POR</t>
        </is>
      </c>
      <c r="B10116" s="30" t="inlineStr">
        <is>
          <t>Porto Real</t>
        </is>
      </c>
      <c r="C10116" s="30" t="n">
        <v>77054545</v>
      </c>
      <c r="D10116" s="30">
        <f>"03757239000107"</f>
        <v/>
      </c>
      <c r="E10116" s="30" t="inlineStr">
        <is>
          <t>SPEED WORK TRANSPORTES EIRELI</t>
        </is>
      </c>
      <c r="F10116" s="30" t="inlineStr">
        <is>
          <t>2023</t>
        </is>
      </c>
      <c r="G10116" s="40" t="n">
        <v>113.68</v>
      </c>
    </row>
    <row r="10117" ht="12" customHeight="1">
      <c r="A10117" s="30" t="inlineStr">
        <is>
          <t>POR</t>
        </is>
      </c>
      <c r="B10117" s="30" t="inlineStr">
        <is>
          <t>Porto Real</t>
        </is>
      </c>
      <c r="C10117" s="30" t="n">
        <v>77062238</v>
      </c>
      <c r="D10117" s="30">
        <f>"20468310009360"</f>
        <v/>
      </c>
      <c r="E10117" s="30" t="inlineStr">
        <is>
          <t>TORA TRANSPORTES INDUSTRIAIS LTDA</t>
        </is>
      </c>
      <c r="F10117" s="30" t="inlineStr">
        <is>
          <t>2017</t>
        </is>
      </c>
      <c r="G10117" s="40" t="n">
        <v>2082.07</v>
      </c>
    </row>
    <row r="10118" ht="12" customHeight="1">
      <c r="A10118" s="30" t="inlineStr">
        <is>
          <t>POR</t>
        </is>
      </c>
      <c r="B10118" s="30" t="inlineStr">
        <is>
          <t>Porto Real</t>
        </is>
      </c>
      <c r="C10118" s="30" t="n">
        <v>77062238</v>
      </c>
      <c r="D10118" s="30">
        <f>"20468310009360"</f>
        <v/>
      </c>
      <c r="E10118" s="30" t="inlineStr">
        <is>
          <t>TORA TRANSPORTES INDUSTRIAIS LTDA</t>
        </is>
      </c>
      <c r="F10118" s="30" t="inlineStr">
        <is>
          <t>2018</t>
        </is>
      </c>
      <c r="G10118" s="40" t="n">
        <v>0</v>
      </c>
    </row>
    <row r="10119" ht="12" customHeight="1">
      <c r="A10119" s="30" t="inlineStr">
        <is>
          <t>POR</t>
        </is>
      </c>
      <c r="B10119" s="30" t="inlineStr">
        <is>
          <t>Porto Real</t>
        </is>
      </c>
      <c r="C10119" s="30" t="n">
        <v>77062238</v>
      </c>
      <c r="D10119" s="30">
        <f>"20468310009360"</f>
        <v/>
      </c>
      <c r="E10119" s="30" t="inlineStr">
        <is>
          <t>TORA TRANSPORTES INDUSTRIAIS LTDA</t>
        </is>
      </c>
      <c r="F10119" s="30" t="inlineStr">
        <is>
          <t>2019</t>
        </is>
      </c>
      <c r="G10119" s="40" t="n">
        <v>0</v>
      </c>
    </row>
    <row r="10120" ht="12" customHeight="1">
      <c r="A10120" s="30" t="inlineStr">
        <is>
          <t>POR</t>
        </is>
      </c>
      <c r="B10120" s="30" t="inlineStr">
        <is>
          <t>Porto Real</t>
        </is>
      </c>
      <c r="C10120" s="30" t="n">
        <v>77071865</v>
      </c>
      <c r="D10120" s="30">
        <f>"03930702000162"</f>
        <v/>
      </c>
      <c r="E10120" s="30" t="inlineStr">
        <is>
          <t>ULTRANSPORTES TRANSPORTADORA LTDA</t>
        </is>
      </c>
      <c r="F10120" s="30" t="inlineStr">
        <is>
          <t>2017</t>
        </is>
      </c>
      <c r="G10120" s="40" t="n">
        <v>1323.56</v>
      </c>
    </row>
    <row r="10121" ht="12" customHeight="1">
      <c r="A10121" s="30" t="inlineStr">
        <is>
          <t>POR</t>
        </is>
      </c>
      <c r="B10121" s="30" t="inlineStr">
        <is>
          <t>Porto Real</t>
        </is>
      </c>
      <c r="C10121" s="30" t="n">
        <v>77071865</v>
      </c>
      <c r="D10121" s="30">
        <f>"03930702000162"</f>
        <v/>
      </c>
      <c r="E10121" s="30" t="inlineStr">
        <is>
          <t>ULTRANSPORTES TRANSPORTADORA LTDA</t>
        </is>
      </c>
      <c r="F10121" s="30" t="inlineStr">
        <is>
          <t>2018</t>
        </is>
      </c>
      <c r="G10121" s="40" t="n">
        <v>10.5</v>
      </c>
    </row>
    <row r="10122" ht="12" customHeight="1">
      <c r="A10122" s="30" t="inlineStr">
        <is>
          <t>POR</t>
        </is>
      </c>
      <c r="B10122" s="30" t="inlineStr">
        <is>
          <t>Porto Real</t>
        </is>
      </c>
      <c r="C10122" s="30" t="n">
        <v>77071865</v>
      </c>
      <c r="D10122" s="30">
        <f>"03930702000162"</f>
        <v/>
      </c>
      <c r="E10122" s="30" t="inlineStr">
        <is>
          <t>ULTRANSPORTES TRANSPORTADORA LTDA</t>
        </is>
      </c>
      <c r="F10122" s="30" t="inlineStr">
        <is>
          <t>2019</t>
        </is>
      </c>
      <c r="G10122" s="40" t="n">
        <v>0</v>
      </c>
    </row>
    <row r="10123" ht="12" customHeight="1">
      <c r="A10123" s="30" t="inlineStr">
        <is>
          <t>POR</t>
        </is>
      </c>
      <c r="B10123" s="30" t="inlineStr">
        <is>
          <t>Porto Real</t>
        </is>
      </c>
      <c r="C10123" s="30" t="n">
        <v>77071865</v>
      </c>
      <c r="D10123" s="30">
        <f>"03930702000162"</f>
        <v/>
      </c>
      <c r="E10123" s="30" t="inlineStr">
        <is>
          <t>ULTRANSPORTES TRANSPORTADORA LTDA</t>
        </is>
      </c>
      <c r="F10123" s="30" t="inlineStr">
        <is>
          <t>2020</t>
        </is>
      </c>
      <c r="G10123" s="40" t="n">
        <v>0</v>
      </c>
    </row>
    <row r="10124" ht="12" customHeight="1">
      <c r="A10124" s="30" t="inlineStr">
        <is>
          <t>POR</t>
        </is>
      </c>
      <c r="B10124" s="30" t="inlineStr">
        <is>
          <t>Porto Real</t>
        </is>
      </c>
      <c r="C10124" s="30" t="n">
        <v>77076042</v>
      </c>
      <c r="D10124" s="30">
        <f>"03948646000193"</f>
        <v/>
      </c>
      <c r="E10124" s="30" t="inlineStr">
        <is>
          <t>EQUITRANS EQUIPAMENTOS TRANSPORTE E LOGISTICA LTDA</t>
        </is>
      </c>
      <c r="F10124" s="30" t="inlineStr">
        <is>
          <t>2017</t>
        </is>
      </c>
      <c r="G10124" s="40" t="n">
        <v>0</v>
      </c>
    </row>
    <row r="10125" ht="12" customHeight="1">
      <c r="A10125" s="30" t="inlineStr">
        <is>
          <t>POR</t>
        </is>
      </c>
      <c r="B10125" s="30" t="inlineStr">
        <is>
          <t>Porto Real</t>
        </is>
      </c>
      <c r="C10125" s="30" t="n">
        <v>77076042</v>
      </c>
      <c r="D10125" s="30">
        <f>"03948646000193"</f>
        <v/>
      </c>
      <c r="E10125" s="30" t="inlineStr">
        <is>
          <t>EQUITRANS EQUIPAMENTOS TRANSPORTE E LOGISTICA LTDA</t>
        </is>
      </c>
      <c r="F10125" s="30" t="inlineStr">
        <is>
          <t>2018</t>
        </is>
      </c>
      <c r="G10125" s="40" t="n">
        <v>300</v>
      </c>
    </row>
    <row r="10126" ht="12" customHeight="1">
      <c r="A10126" s="30" t="inlineStr">
        <is>
          <t>POR</t>
        </is>
      </c>
      <c r="B10126" s="30" t="inlineStr">
        <is>
          <t>Porto Real</t>
        </is>
      </c>
      <c r="C10126" s="30" t="n">
        <v>77076042</v>
      </c>
      <c r="D10126" s="30">
        <f>"03948646000193"</f>
        <v/>
      </c>
      <c r="E10126" s="30" t="inlineStr">
        <is>
          <t>EQUITRANS EQUIPAMENTOS TRANSPORTE E LOGISTICA LTDA</t>
        </is>
      </c>
      <c r="F10126" s="30" t="inlineStr">
        <is>
          <t>2019</t>
        </is>
      </c>
      <c r="G10126" s="40" t="n">
        <v>0</v>
      </c>
    </row>
    <row r="10127" ht="12" customHeight="1">
      <c r="A10127" s="30" t="inlineStr">
        <is>
          <t>POR</t>
        </is>
      </c>
      <c r="B10127" s="30" t="inlineStr">
        <is>
          <t>Porto Real</t>
        </is>
      </c>
      <c r="C10127" s="30" t="n">
        <v>77076042</v>
      </c>
      <c r="D10127" s="30">
        <f>"03948646000193"</f>
        <v/>
      </c>
      <c r="E10127" s="30" t="inlineStr">
        <is>
          <t>EQUITRANS EQUIPAMENTOS TRANSPORTE E LOGISTICA LTDA</t>
        </is>
      </c>
      <c r="F10127" s="30" t="inlineStr">
        <is>
          <t>2020</t>
        </is>
      </c>
      <c r="G10127" s="40" t="n">
        <v>0</v>
      </c>
    </row>
    <row r="10128" ht="12" customHeight="1">
      <c r="A10128" s="30" t="inlineStr">
        <is>
          <t>POR</t>
        </is>
      </c>
      <c r="B10128" s="30" t="inlineStr">
        <is>
          <t>Porto Real</t>
        </is>
      </c>
      <c r="C10128" s="30" t="n">
        <v>77089535</v>
      </c>
      <c r="D10128" s="30">
        <f>"36761633000402"</f>
        <v/>
      </c>
      <c r="E10128" s="30" t="inlineStr">
        <is>
          <t>SEM FURO TRANSPORTES LTDA</t>
        </is>
      </c>
      <c r="F10128" s="30" t="inlineStr">
        <is>
          <t>2017</t>
        </is>
      </c>
      <c r="G10128" s="40" t="n">
        <v>0</v>
      </c>
    </row>
    <row r="10129" ht="12" customHeight="1">
      <c r="A10129" s="30" t="inlineStr">
        <is>
          <t>POR</t>
        </is>
      </c>
      <c r="B10129" s="30" t="inlineStr">
        <is>
          <t>Porto Real</t>
        </is>
      </c>
      <c r="C10129" s="30" t="n">
        <v>77089535</v>
      </c>
      <c r="D10129" s="30">
        <f>"36761633000402"</f>
        <v/>
      </c>
      <c r="E10129" s="30" t="inlineStr">
        <is>
          <t>SEM FURO TRANSPORTES LTDA</t>
        </is>
      </c>
      <c r="F10129" s="30" t="inlineStr">
        <is>
          <t>2018</t>
        </is>
      </c>
      <c r="G10129" s="40" t="n">
        <v>231.48</v>
      </c>
    </row>
    <row r="10130" ht="12" customHeight="1">
      <c r="A10130" s="30" t="inlineStr">
        <is>
          <t>POR</t>
        </is>
      </c>
      <c r="B10130" s="30" t="inlineStr">
        <is>
          <t>Porto Real</t>
        </is>
      </c>
      <c r="C10130" s="30" t="n">
        <v>77089535</v>
      </c>
      <c r="D10130" s="30">
        <f>"36761633000402"</f>
        <v/>
      </c>
      <c r="E10130" s="30" t="inlineStr">
        <is>
          <t>SEM FURO TRANSPORTES LTDA</t>
        </is>
      </c>
      <c r="F10130" s="30" t="inlineStr">
        <is>
          <t>2019</t>
        </is>
      </c>
      <c r="G10130" s="40" t="n">
        <v>0</v>
      </c>
    </row>
    <row r="10131" ht="12" customHeight="1">
      <c r="A10131" s="30" t="inlineStr">
        <is>
          <t>POR</t>
        </is>
      </c>
      <c r="B10131" s="30" t="inlineStr">
        <is>
          <t>Porto Real</t>
        </is>
      </c>
      <c r="C10131" s="30" t="n">
        <v>77089535</v>
      </c>
      <c r="D10131" s="30">
        <f>"36761633000402"</f>
        <v/>
      </c>
      <c r="E10131" s="30" t="inlineStr">
        <is>
          <t>SEM FURO TRANSPORTES LTDA</t>
        </is>
      </c>
      <c r="F10131" s="30" t="inlineStr">
        <is>
          <t>2020</t>
        </is>
      </c>
      <c r="G10131" s="40" t="n">
        <v>0</v>
      </c>
    </row>
    <row r="10132" ht="12" customHeight="1">
      <c r="A10132" s="30" t="inlineStr">
        <is>
          <t>POR</t>
        </is>
      </c>
      <c r="B10132" s="30" t="inlineStr">
        <is>
          <t>Porto Real</t>
        </is>
      </c>
      <c r="C10132" s="30" t="n">
        <v>77099301</v>
      </c>
      <c r="D10132" s="30">
        <f>"92644483000851"</f>
        <v/>
      </c>
      <c r="E10132" s="30" t="inlineStr">
        <is>
          <t>TRANSPORTES GABARDO LTDA</t>
        </is>
      </c>
      <c r="F10132" s="30" t="inlineStr">
        <is>
          <t>2019</t>
        </is>
      </c>
      <c r="G10132" s="40" t="n">
        <v>0</v>
      </c>
    </row>
    <row r="10133" ht="12" customHeight="1">
      <c r="A10133" s="30" t="inlineStr">
        <is>
          <t>POR</t>
        </is>
      </c>
      <c r="B10133" s="30" t="inlineStr">
        <is>
          <t>Porto Real</t>
        </is>
      </c>
      <c r="C10133" s="30" t="n">
        <v>77099301</v>
      </c>
      <c r="D10133" s="30">
        <f>"92644483000851"</f>
        <v/>
      </c>
      <c r="E10133" s="30" t="inlineStr">
        <is>
          <t>TRANSPORTES GABARDO LTDA</t>
        </is>
      </c>
      <c r="F10133" s="30" t="inlineStr">
        <is>
          <t>2020</t>
        </is>
      </c>
      <c r="G10133" s="40" t="n">
        <v>0</v>
      </c>
    </row>
    <row r="10134" ht="12" customHeight="1">
      <c r="A10134" s="30" t="inlineStr">
        <is>
          <t>POR</t>
        </is>
      </c>
      <c r="B10134" s="30" t="inlineStr">
        <is>
          <t>Porto Real</t>
        </is>
      </c>
      <c r="C10134" s="30" t="n">
        <v>77099301</v>
      </c>
      <c r="D10134" s="30">
        <f>"92644483000851"</f>
        <v/>
      </c>
      <c r="E10134" s="30" t="inlineStr">
        <is>
          <t>TRANSPORTES GABARDO LTDA</t>
        </is>
      </c>
      <c r="F10134" s="30" t="inlineStr">
        <is>
          <t>2021</t>
        </is>
      </c>
      <c r="G10134" s="40" t="n">
        <v>1700</v>
      </c>
    </row>
    <row r="10135" ht="12" customHeight="1">
      <c r="A10135" s="30" t="inlineStr">
        <is>
          <t>POR</t>
        </is>
      </c>
      <c r="B10135" s="30" t="inlineStr">
        <is>
          <t>Porto Real</t>
        </is>
      </c>
      <c r="C10135" s="30" t="n">
        <v>77099301</v>
      </c>
      <c r="D10135" s="30">
        <f>"92644483000851"</f>
        <v/>
      </c>
      <c r="E10135" s="30" t="inlineStr">
        <is>
          <t>TRANSPORTES GABARDO LTDA</t>
        </is>
      </c>
      <c r="F10135" s="30" t="inlineStr">
        <is>
          <t>2022</t>
        </is>
      </c>
      <c r="G10135" s="40" t="n">
        <v>4000</v>
      </c>
    </row>
    <row r="10136" ht="12" customHeight="1">
      <c r="A10136" s="30" t="inlineStr">
        <is>
          <t>POR</t>
        </is>
      </c>
      <c r="B10136" s="30" t="inlineStr">
        <is>
          <t>Porto Real</t>
        </is>
      </c>
      <c r="C10136" s="30" t="n">
        <v>77099301</v>
      </c>
      <c r="D10136" s="30">
        <f>"92644483000851"</f>
        <v/>
      </c>
      <c r="E10136" s="30" t="inlineStr">
        <is>
          <t>TRANSPORTES GABARDO LTDA</t>
        </is>
      </c>
      <c r="F10136" s="30" t="inlineStr">
        <is>
          <t>2023</t>
        </is>
      </c>
      <c r="G10136" s="40" t="n">
        <v>14000</v>
      </c>
    </row>
    <row r="10137" ht="12" customHeight="1">
      <c r="A10137" s="30" t="inlineStr">
        <is>
          <t>POR</t>
        </is>
      </c>
      <c r="B10137" s="30" t="inlineStr">
        <is>
          <t>Porto Real</t>
        </is>
      </c>
      <c r="C10137" s="30" t="n">
        <v>77108661</v>
      </c>
      <c r="D10137" s="30">
        <f>"38625968000267"</f>
        <v/>
      </c>
      <c r="E10137" s="30" t="inlineStr">
        <is>
          <t>TRANSVALENTE LOGISTICA LIMITADA</t>
        </is>
      </c>
      <c r="F10137" s="30" t="inlineStr">
        <is>
          <t>2019</t>
        </is>
      </c>
      <c r="G10137" s="40" t="n">
        <v>0</v>
      </c>
    </row>
    <row r="10138" ht="12" customHeight="1">
      <c r="A10138" s="30" t="inlineStr">
        <is>
          <t>POR</t>
        </is>
      </c>
      <c r="B10138" s="30" t="inlineStr">
        <is>
          <t>Porto Real</t>
        </is>
      </c>
      <c r="C10138" s="30" t="n">
        <v>77108661</v>
      </c>
      <c r="D10138" s="30">
        <f>"38625968000267"</f>
        <v/>
      </c>
      <c r="E10138" s="30" t="inlineStr">
        <is>
          <t>TRANSVALENTE LOGISTICA LIMITADA</t>
        </is>
      </c>
      <c r="F10138" s="30" t="inlineStr">
        <is>
          <t>2020</t>
        </is>
      </c>
      <c r="G10138" s="40" t="n">
        <v>0</v>
      </c>
    </row>
    <row r="10139" ht="12" customHeight="1">
      <c r="A10139" s="30" t="inlineStr">
        <is>
          <t>POR</t>
        </is>
      </c>
      <c r="B10139" s="30" t="inlineStr">
        <is>
          <t>Porto Real</t>
        </is>
      </c>
      <c r="C10139" s="30" t="n">
        <v>77108661</v>
      </c>
      <c r="D10139" s="30">
        <f>"38625968000267"</f>
        <v/>
      </c>
      <c r="E10139" s="30" t="inlineStr">
        <is>
          <t>TRANSVALENTE LOGISTICA LIMITADA</t>
        </is>
      </c>
      <c r="F10139" s="30" t="inlineStr">
        <is>
          <t>2021</t>
        </is>
      </c>
      <c r="G10139" s="40" t="n">
        <v>7604.1</v>
      </c>
    </row>
    <row r="10140" ht="12" customHeight="1">
      <c r="A10140" s="30" t="inlineStr">
        <is>
          <t>POR</t>
        </is>
      </c>
      <c r="B10140" s="30" t="inlineStr">
        <is>
          <t>Porto Real</t>
        </is>
      </c>
      <c r="C10140" s="30" t="n">
        <v>77108661</v>
      </c>
      <c r="D10140" s="30">
        <f>"38625968000267"</f>
        <v/>
      </c>
      <c r="E10140" s="30" t="inlineStr">
        <is>
          <t>TRANSVALENTE LOGISTICA LIMITADA</t>
        </is>
      </c>
      <c r="F10140" s="30" t="inlineStr">
        <is>
          <t>2022</t>
        </is>
      </c>
      <c r="G10140" s="40" t="n">
        <v>0</v>
      </c>
    </row>
    <row r="10141" ht="12" customHeight="1">
      <c r="A10141" s="30" t="inlineStr">
        <is>
          <t>POR</t>
        </is>
      </c>
      <c r="B10141" s="30" t="inlineStr">
        <is>
          <t>Porto Real</t>
        </is>
      </c>
      <c r="C10141" s="30" t="n">
        <v>77108661</v>
      </c>
      <c r="D10141" s="30">
        <f>"38625968000267"</f>
        <v/>
      </c>
      <c r="E10141" s="30" t="inlineStr">
        <is>
          <t>TRANSVALENTE LOGISTICA LIMITADA</t>
        </is>
      </c>
      <c r="F10141" s="30" t="inlineStr">
        <is>
          <t>2023</t>
        </is>
      </c>
      <c r="G10141" s="40" t="n">
        <v>0</v>
      </c>
    </row>
    <row r="10142" ht="12" customHeight="1">
      <c r="A10142" s="30" t="inlineStr">
        <is>
          <t>POR</t>
        </is>
      </c>
      <c r="B10142" s="30" t="inlineStr">
        <is>
          <t>Porto Real</t>
        </is>
      </c>
      <c r="C10142" s="30" t="n">
        <v>77120688</v>
      </c>
      <c r="D10142" s="30">
        <f>"19368927001006"</f>
        <v/>
      </c>
      <c r="E10142" s="30" t="inlineStr">
        <is>
          <t>EXPRESSO NEPOMUCENO SA</t>
        </is>
      </c>
      <c r="F10142" s="30" t="inlineStr">
        <is>
          <t>2017</t>
        </is>
      </c>
      <c r="G10142" s="40" t="n">
        <v>1080170.39</v>
      </c>
    </row>
    <row r="10143" ht="12" customHeight="1">
      <c r="A10143" s="30" t="inlineStr">
        <is>
          <t>POR</t>
        </is>
      </c>
      <c r="B10143" s="30" t="inlineStr">
        <is>
          <t>Porto Real</t>
        </is>
      </c>
      <c r="C10143" s="30" t="n">
        <v>77120688</v>
      </c>
      <c r="D10143" s="30">
        <f>"19368927001006"</f>
        <v/>
      </c>
      <c r="E10143" s="30" t="inlineStr">
        <is>
          <t>EXPRESSO NEPOMUCENO SA</t>
        </is>
      </c>
      <c r="F10143" s="30" t="inlineStr">
        <is>
          <t>2018</t>
        </is>
      </c>
      <c r="G10143" s="40" t="n">
        <v>1487025.23</v>
      </c>
    </row>
    <row r="10144" ht="12" customHeight="1">
      <c r="A10144" s="30" t="inlineStr">
        <is>
          <t>POR</t>
        </is>
      </c>
      <c r="B10144" s="30" t="inlineStr">
        <is>
          <t>Porto Real</t>
        </is>
      </c>
      <c r="C10144" s="30" t="n">
        <v>77120688</v>
      </c>
      <c r="D10144" s="30">
        <f>"19368927001006"</f>
        <v/>
      </c>
      <c r="E10144" s="30" t="inlineStr">
        <is>
          <t>EXPRESSO NEPOMUCENO SA</t>
        </is>
      </c>
      <c r="F10144" s="30" t="inlineStr">
        <is>
          <t>2019</t>
        </is>
      </c>
      <c r="G10144" s="40" t="n">
        <v>414650.06</v>
      </c>
    </row>
    <row r="10145" ht="12" customHeight="1">
      <c r="A10145" s="30" t="inlineStr">
        <is>
          <t>POR</t>
        </is>
      </c>
      <c r="B10145" s="30" t="inlineStr">
        <is>
          <t>Porto Real</t>
        </is>
      </c>
      <c r="C10145" s="30" t="n">
        <v>77120688</v>
      </c>
      <c r="D10145" s="30">
        <f>"19368927001006"</f>
        <v/>
      </c>
      <c r="E10145" s="30" t="inlineStr">
        <is>
          <t>EXPRESSO NEPOMUCENO SA</t>
        </is>
      </c>
      <c r="F10145" s="30" t="inlineStr">
        <is>
          <t>2020</t>
        </is>
      </c>
      <c r="G10145" s="40" t="n">
        <v>133885.03</v>
      </c>
    </row>
    <row r="10146" ht="12" customHeight="1">
      <c r="A10146" s="30" t="inlineStr">
        <is>
          <t>POR</t>
        </is>
      </c>
      <c r="B10146" s="30" t="inlineStr">
        <is>
          <t>Porto Real</t>
        </is>
      </c>
      <c r="C10146" s="30" t="n">
        <v>77120688</v>
      </c>
      <c r="D10146" s="30">
        <f>"19368927001006"</f>
        <v/>
      </c>
      <c r="E10146" s="30" t="inlineStr">
        <is>
          <t>EXPRESSO NEPOMUCENO SA</t>
        </is>
      </c>
      <c r="F10146" s="30" t="inlineStr">
        <is>
          <t>2021</t>
        </is>
      </c>
      <c r="G10146" s="40" t="n">
        <v>348541.94</v>
      </c>
    </row>
    <row r="10147" ht="12" customHeight="1">
      <c r="A10147" s="30" t="inlineStr">
        <is>
          <t>POR</t>
        </is>
      </c>
      <c r="B10147" s="30" t="inlineStr">
        <is>
          <t>Porto Real</t>
        </is>
      </c>
      <c r="C10147" s="30" t="n">
        <v>77120688</v>
      </c>
      <c r="D10147" s="30">
        <f>"19368927001006"</f>
        <v/>
      </c>
      <c r="E10147" s="30" t="inlineStr">
        <is>
          <t>EXPRESSO NEPOMUCENO SA</t>
        </is>
      </c>
      <c r="F10147" s="30" t="inlineStr">
        <is>
          <t>2022</t>
        </is>
      </c>
      <c r="G10147" s="40" t="n">
        <v>209735.99</v>
      </c>
    </row>
    <row r="10148" ht="12" customHeight="1">
      <c r="A10148" s="30" t="inlineStr">
        <is>
          <t>POR</t>
        </is>
      </c>
      <c r="B10148" s="30" t="inlineStr">
        <is>
          <t>Porto Real</t>
        </is>
      </c>
      <c r="C10148" s="30" t="n">
        <v>77120688</v>
      </c>
      <c r="D10148" s="30">
        <f>"19368927001006"</f>
        <v/>
      </c>
      <c r="E10148" s="30" t="inlineStr">
        <is>
          <t>EXPRESSO NEPOMUCENO SA</t>
        </is>
      </c>
      <c r="F10148" s="30" t="inlineStr">
        <is>
          <t>2023</t>
        </is>
      </c>
      <c r="G10148" s="40" t="n">
        <v>161553.42</v>
      </c>
    </row>
    <row r="10149" ht="12" customHeight="1">
      <c r="A10149" s="30" t="inlineStr">
        <is>
          <t>POR</t>
        </is>
      </c>
      <c r="B10149" s="30" t="inlineStr">
        <is>
          <t>Porto Real</t>
        </is>
      </c>
      <c r="C10149" s="30" t="n">
        <v>77126600</v>
      </c>
      <c r="D10149" s="30">
        <f>"62408703000534"</f>
        <v/>
      </c>
      <c r="E10149" s="30" t="inlineStr">
        <is>
          <t>MOPRI TRANSPORTE LTDA</t>
        </is>
      </c>
      <c r="F10149" s="30" t="inlineStr">
        <is>
          <t>2017</t>
        </is>
      </c>
      <c r="G10149" s="40" t="n">
        <v>423.31</v>
      </c>
    </row>
    <row r="10150" ht="12" customHeight="1">
      <c r="A10150" s="30" t="inlineStr">
        <is>
          <t>POR</t>
        </is>
      </c>
      <c r="B10150" s="30" t="inlineStr">
        <is>
          <t>Porto Real</t>
        </is>
      </c>
      <c r="C10150" s="30" t="n">
        <v>77126600</v>
      </c>
      <c r="D10150" s="30">
        <f>"62408703000534"</f>
        <v/>
      </c>
      <c r="E10150" s="30" t="inlineStr">
        <is>
          <t>MOPRI TRANSPORTE LTDA</t>
        </is>
      </c>
      <c r="F10150" s="30" t="inlineStr">
        <is>
          <t>2018</t>
        </is>
      </c>
      <c r="G10150" s="40" t="n">
        <v>69.62</v>
      </c>
    </row>
    <row r="10151" ht="12" customHeight="1">
      <c r="A10151" s="30" t="inlineStr">
        <is>
          <t>POR</t>
        </is>
      </c>
      <c r="B10151" s="30" t="inlineStr">
        <is>
          <t>Porto Real</t>
        </is>
      </c>
      <c r="C10151" s="30" t="n">
        <v>77126600</v>
      </c>
      <c r="D10151" s="30">
        <f>"62408703000534"</f>
        <v/>
      </c>
      <c r="E10151" s="30" t="inlineStr">
        <is>
          <t>MOPRI TRANSPORTE LTDA</t>
        </is>
      </c>
      <c r="F10151" s="30" t="inlineStr">
        <is>
          <t>2019</t>
        </is>
      </c>
      <c r="G10151" s="40" t="n">
        <v>0</v>
      </c>
    </row>
    <row r="10152" ht="12" customHeight="1">
      <c r="A10152" s="30" t="inlineStr">
        <is>
          <t>POR</t>
        </is>
      </c>
      <c r="B10152" s="30" t="inlineStr">
        <is>
          <t>Porto Real</t>
        </is>
      </c>
      <c r="C10152" s="30" t="n">
        <v>77126600</v>
      </c>
      <c r="D10152" s="30">
        <f>"62408703000534"</f>
        <v/>
      </c>
      <c r="E10152" s="30" t="inlineStr">
        <is>
          <t>MOPRI TRANSPORTE LTDA</t>
        </is>
      </c>
      <c r="F10152" s="30" t="inlineStr">
        <is>
          <t>2020</t>
        </is>
      </c>
      <c r="G10152" s="40" t="n">
        <v>0</v>
      </c>
    </row>
    <row r="10153" ht="12" customHeight="1">
      <c r="A10153" s="30" t="inlineStr">
        <is>
          <t>POR</t>
        </is>
      </c>
      <c r="B10153" s="30" t="inlineStr">
        <is>
          <t>Porto Real</t>
        </is>
      </c>
      <c r="C10153" s="30" t="n">
        <v>77142126</v>
      </c>
      <c r="D10153" s="30">
        <f>"04155259000324"</f>
        <v/>
      </c>
      <c r="E10153" s="30" t="inlineStr">
        <is>
          <t>TRANSPORTADORA M M A LTDA</t>
        </is>
      </c>
      <c r="F10153" s="30" t="inlineStr">
        <is>
          <t>2018</t>
        </is>
      </c>
      <c r="G10153" s="40" t="n">
        <v>0</v>
      </c>
    </row>
    <row r="10154" ht="12" customHeight="1">
      <c r="A10154" s="30" t="inlineStr">
        <is>
          <t>POR</t>
        </is>
      </c>
      <c r="B10154" s="30" t="inlineStr">
        <is>
          <t>Porto Real</t>
        </is>
      </c>
      <c r="C10154" s="30" t="n">
        <v>77142126</v>
      </c>
      <c r="D10154" s="30">
        <f>"04155259000324"</f>
        <v/>
      </c>
      <c r="E10154" s="30" t="inlineStr">
        <is>
          <t>TRANSPORTADORA M M A LTDA</t>
        </is>
      </c>
      <c r="F10154" s="30" t="inlineStr">
        <is>
          <t>2019</t>
        </is>
      </c>
      <c r="G10154" s="40" t="n">
        <v>0</v>
      </c>
    </row>
    <row r="10155" ht="12" customHeight="1">
      <c r="A10155" s="30" t="inlineStr">
        <is>
          <t>POR</t>
        </is>
      </c>
      <c r="B10155" s="30" t="inlineStr">
        <is>
          <t>Porto Real</t>
        </is>
      </c>
      <c r="C10155" s="30" t="n">
        <v>77142126</v>
      </c>
      <c r="D10155" s="30">
        <f>"04155259000324"</f>
        <v/>
      </c>
      <c r="E10155" s="30" t="inlineStr">
        <is>
          <t>TRANSPORTADORA M M A LTDA</t>
        </is>
      </c>
      <c r="F10155" s="30" t="inlineStr">
        <is>
          <t>2020</t>
        </is>
      </c>
      <c r="G10155" s="40" t="n">
        <v>194.78</v>
      </c>
    </row>
    <row r="10156" ht="12" customHeight="1">
      <c r="A10156" s="30" t="inlineStr">
        <is>
          <t>POR</t>
        </is>
      </c>
      <c r="B10156" s="30" t="inlineStr">
        <is>
          <t>Porto Real</t>
        </is>
      </c>
      <c r="C10156" s="30" t="n">
        <v>77142126</v>
      </c>
      <c r="D10156" s="30">
        <f>"04155259000324"</f>
        <v/>
      </c>
      <c r="E10156" s="30" t="inlineStr">
        <is>
          <t>TRANSPORTADORA M M A LTDA</t>
        </is>
      </c>
      <c r="F10156" s="30" t="inlineStr">
        <is>
          <t>2021</t>
        </is>
      </c>
      <c r="G10156" s="40" t="n">
        <v>62.55</v>
      </c>
    </row>
    <row r="10157" ht="12" customHeight="1">
      <c r="A10157" s="30" t="inlineStr">
        <is>
          <t>POR</t>
        </is>
      </c>
      <c r="B10157" s="30" t="inlineStr">
        <is>
          <t>Porto Real</t>
        </is>
      </c>
      <c r="C10157" s="30" t="n">
        <v>77142126</v>
      </c>
      <c r="D10157" s="30">
        <f>"04155259000324"</f>
        <v/>
      </c>
      <c r="E10157" s="30" t="inlineStr">
        <is>
          <t>TRANSPORTADORA M M A LTDA</t>
        </is>
      </c>
      <c r="F10157" s="30" t="inlineStr">
        <is>
          <t>2022</t>
        </is>
      </c>
      <c r="G10157" s="40" t="n">
        <v>256.04</v>
      </c>
    </row>
    <row r="10158" ht="12" customHeight="1">
      <c r="A10158" s="30" t="inlineStr">
        <is>
          <t>POR</t>
        </is>
      </c>
      <c r="B10158" s="30" t="inlineStr">
        <is>
          <t>Porto Real</t>
        </is>
      </c>
      <c r="C10158" s="30" t="n">
        <v>77142126</v>
      </c>
      <c r="D10158" s="30">
        <f>"04155259000324"</f>
        <v/>
      </c>
      <c r="E10158" s="30" t="inlineStr">
        <is>
          <t>TRANSPORTADORA M M A LTDA</t>
        </is>
      </c>
      <c r="F10158" s="30" t="inlineStr">
        <is>
          <t>2023</t>
        </is>
      </c>
      <c r="G10158" s="40" t="n">
        <v>89.8</v>
      </c>
    </row>
    <row r="10159" ht="12" customHeight="1">
      <c r="A10159" s="30" t="inlineStr">
        <is>
          <t>POR</t>
        </is>
      </c>
      <c r="B10159" s="30" t="inlineStr">
        <is>
          <t>Porto Real</t>
        </is>
      </c>
      <c r="C10159" s="30" t="n">
        <v>77164677</v>
      </c>
      <c r="D10159" s="30">
        <f>"03341541000252"</f>
        <v/>
      </c>
      <c r="E10159" s="30" t="inlineStr">
        <is>
          <t>RTM REDE DE TELECOMUNICACOES PARA O MERCADO LTDA</t>
        </is>
      </c>
      <c r="F10159" s="30" t="inlineStr">
        <is>
          <t>2017</t>
        </is>
      </c>
      <c r="G10159" s="40" t="n">
        <v>492.48</v>
      </c>
    </row>
    <row r="10160" ht="12" customHeight="1">
      <c r="A10160" s="30" t="inlineStr">
        <is>
          <t>POR</t>
        </is>
      </c>
      <c r="B10160" s="30" t="inlineStr">
        <is>
          <t>Porto Real</t>
        </is>
      </c>
      <c r="C10160" s="30" t="n">
        <v>77164677</v>
      </c>
      <c r="D10160" s="30">
        <f>"03341541000252"</f>
        <v/>
      </c>
      <c r="E10160" s="30" t="inlineStr">
        <is>
          <t>RTM REDE DE TELECOMUNICACOES PARA O MERCADO LTDA</t>
        </is>
      </c>
      <c r="F10160" s="30" t="inlineStr">
        <is>
          <t>2018</t>
        </is>
      </c>
      <c r="G10160" s="40" t="n">
        <v>458.67</v>
      </c>
    </row>
    <row r="10161" ht="12" customHeight="1">
      <c r="A10161" s="30" t="inlineStr">
        <is>
          <t>POR</t>
        </is>
      </c>
      <c r="B10161" s="30" t="inlineStr">
        <is>
          <t>Porto Real</t>
        </is>
      </c>
      <c r="C10161" s="30" t="n">
        <v>77164677</v>
      </c>
      <c r="D10161" s="30">
        <f>"03341541000252"</f>
        <v/>
      </c>
      <c r="E10161" s="30" t="inlineStr">
        <is>
          <t>RTM REDE DE TELECOMUNICACOES PARA O MERCADO LTDA</t>
        </is>
      </c>
      <c r="F10161" s="30" t="inlineStr">
        <is>
          <t>2019</t>
        </is>
      </c>
      <c r="G10161" s="40" t="n">
        <v>587.91</v>
      </c>
    </row>
    <row r="10162" ht="12" customHeight="1">
      <c r="A10162" s="30" t="inlineStr">
        <is>
          <t>POR</t>
        </is>
      </c>
      <c r="B10162" s="30" t="inlineStr">
        <is>
          <t>Porto Real</t>
        </is>
      </c>
      <c r="C10162" s="30" t="n">
        <v>77164677</v>
      </c>
      <c r="D10162" s="30">
        <f>"03341541000252"</f>
        <v/>
      </c>
      <c r="E10162" s="30" t="inlineStr">
        <is>
          <t>RTM REDE DE TELECOMUNICACOES PARA O MERCADO LTDA</t>
        </is>
      </c>
      <c r="F10162" s="30" t="inlineStr">
        <is>
          <t>2020</t>
        </is>
      </c>
      <c r="G10162" s="40" t="n">
        <v>968.2</v>
      </c>
    </row>
    <row r="10163" ht="12" customHeight="1">
      <c r="A10163" s="30" t="inlineStr">
        <is>
          <t>POR</t>
        </is>
      </c>
      <c r="B10163" s="30" t="inlineStr">
        <is>
          <t>Porto Real</t>
        </is>
      </c>
      <c r="C10163" s="30" t="n">
        <v>77164677</v>
      </c>
      <c r="D10163" s="30">
        <f>"03341541000252"</f>
        <v/>
      </c>
      <c r="E10163" s="30" t="inlineStr">
        <is>
          <t>RTM REDE DE TELECOMUNICACOES PARA O MERCADO LTDA</t>
        </is>
      </c>
      <c r="F10163" s="30" t="inlineStr">
        <is>
          <t>2021</t>
        </is>
      </c>
      <c r="G10163" s="40" t="n">
        <v>1031.12</v>
      </c>
    </row>
    <row r="10164" ht="12" customHeight="1">
      <c r="A10164" s="30" t="inlineStr">
        <is>
          <t>POR</t>
        </is>
      </c>
      <c r="B10164" s="30" t="inlineStr">
        <is>
          <t>Porto Real</t>
        </is>
      </c>
      <c r="C10164" s="30" t="n">
        <v>77164677</v>
      </c>
      <c r="D10164" s="30">
        <f>"03341541000252"</f>
        <v/>
      </c>
      <c r="E10164" s="30" t="inlineStr">
        <is>
          <t>RTM REDE DE TELECOMUNICACOES PARA O MERCADO LTDA</t>
        </is>
      </c>
      <c r="F10164" s="30" t="inlineStr">
        <is>
          <t>2022</t>
        </is>
      </c>
      <c r="G10164" s="40" t="n">
        <v>1026.69</v>
      </c>
    </row>
    <row r="10165" ht="12" customHeight="1">
      <c r="A10165" s="30" t="inlineStr">
        <is>
          <t>POR</t>
        </is>
      </c>
      <c r="B10165" s="30" t="inlineStr">
        <is>
          <t>Porto Real</t>
        </is>
      </c>
      <c r="C10165" s="30" t="n">
        <v>77164677</v>
      </c>
      <c r="D10165" s="30">
        <f>"03341541000252"</f>
        <v/>
      </c>
      <c r="E10165" s="30" t="inlineStr">
        <is>
          <t>RTM REDE DE TELECOMUNICACOES PARA O MERCADO LTDA</t>
        </is>
      </c>
      <c r="F10165" s="30" t="inlineStr">
        <is>
          <t>2023</t>
        </is>
      </c>
      <c r="G10165" s="40" t="n">
        <v>1083.53</v>
      </c>
    </row>
    <row r="10166" ht="12" customHeight="1">
      <c r="A10166" s="30" t="inlineStr">
        <is>
          <t>POR</t>
        </is>
      </c>
      <c r="B10166" s="30" t="inlineStr">
        <is>
          <t>Porto Real</t>
        </is>
      </c>
      <c r="C10166" s="30" t="n">
        <v>77169261</v>
      </c>
      <c r="D10166" s="30">
        <f>"32492373002167"</f>
        <v/>
      </c>
      <c r="E10166" s="30" t="inlineStr">
        <is>
          <t>TRANSPORTE EXCELSIOR LTDA</t>
        </is>
      </c>
      <c r="F10166" s="30" t="inlineStr">
        <is>
          <t>2017</t>
        </is>
      </c>
      <c r="G10166" s="40" t="n">
        <v>160370.65</v>
      </c>
    </row>
    <row r="10167" ht="12" customHeight="1">
      <c r="A10167" s="30" t="inlineStr">
        <is>
          <t>POR</t>
        </is>
      </c>
      <c r="B10167" s="30" t="inlineStr">
        <is>
          <t>Porto Real</t>
        </is>
      </c>
      <c r="C10167" s="30" t="n">
        <v>77169261</v>
      </c>
      <c r="D10167" s="30">
        <f>"32492373002167"</f>
        <v/>
      </c>
      <c r="E10167" s="30" t="inlineStr">
        <is>
          <t>TRANSPORTE EXCELSIOR LTDA</t>
        </is>
      </c>
      <c r="F10167" s="30" t="inlineStr">
        <is>
          <t>2018</t>
        </is>
      </c>
      <c r="G10167" s="40" t="n">
        <v>91612.85000000001</v>
      </c>
    </row>
    <row r="10168" ht="12" customHeight="1">
      <c r="A10168" s="30" t="inlineStr">
        <is>
          <t>POR</t>
        </is>
      </c>
      <c r="B10168" s="30" t="inlineStr">
        <is>
          <t>Porto Real</t>
        </is>
      </c>
      <c r="C10168" s="30" t="n">
        <v>77169261</v>
      </c>
      <c r="D10168" s="30">
        <f>"32492373002167"</f>
        <v/>
      </c>
      <c r="E10168" s="30" t="inlineStr">
        <is>
          <t>TRANSPORTE EXCELSIOR LTDA</t>
        </is>
      </c>
      <c r="F10168" s="30" t="inlineStr">
        <is>
          <t>2019</t>
        </is>
      </c>
      <c r="G10168" s="40" t="n">
        <v>167198.57</v>
      </c>
    </row>
    <row r="10169" ht="12" customHeight="1">
      <c r="A10169" s="30" t="inlineStr">
        <is>
          <t>POR</t>
        </is>
      </c>
      <c r="B10169" s="30" t="inlineStr">
        <is>
          <t>Porto Real</t>
        </is>
      </c>
      <c r="C10169" s="30" t="n">
        <v>77169261</v>
      </c>
      <c r="D10169" s="30">
        <f>"32492373002167"</f>
        <v/>
      </c>
      <c r="E10169" s="30" t="inlineStr">
        <is>
          <t>TRANSPORTE EXCELSIOR LTDA</t>
        </is>
      </c>
      <c r="F10169" s="30" t="inlineStr">
        <is>
          <t>2020</t>
        </is>
      </c>
      <c r="G10169" s="40" t="n">
        <v>112488.74</v>
      </c>
    </row>
    <row r="10170" ht="12" customHeight="1">
      <c r="A10170" s="30" t="inlineStr">
        <is>
          <t>POR</t>
        </is>
      </c>
      <c r="B10170" s="30" t="inlineStr">
        <is>
          <t>Porto Real</t>
        </is>
      </c>
      <c r="C10170" s="30" t="n">
        <v>77169261</v>
      </c>
      <c r="D10170" s="30">
        <f>"32492373002167"</f>
        <v/>
      </c>
      <c r="E10170" s="30" t="inlineStr">
        <is>
          <t>TRANSPORTE EXCELSIOR LTDA</t>
        </is>
      </c>
      <c r="F10170" s="30" t="inlineStr">
        <is>
          <t>2021</t>
        </is>
      </c>
      <c r="G10170" s="40" t="n">
        <v>123391.24</v>
      </c>
    </row>
    <row r="10171" ht="12" customHeight="1">
      <c r="A10171" s="30" t="inlineStr">
        <is>
          <t>POR</t>
        </is>
      </c>
      <c r="B10171" s="30" t="inlineStr">
        <is>
          <t>Porto Real</t>
        </is>
      </c>
      <c r="C10171" s="30" t="n">
        <v>77169261</v>
      </c>
      <c r="D10171" s="30">
        <f>"32492373002167"</f>
        <v/>
      </c>
      <c r="E10171" s="30" t="inlineStr">
        <is>
          <t>TRANSPORTE EXCELSIOR LTDA</t>
        </is>
      </c>
      <c r="F10171" s="30" t="inlineStr">
        <is>
          <t>2022</t>
        </is>
      </c>
      <c r="G10171" s="40" t="n">
        <v>180642.38</v>
      </c>
    </row>
    <row r="10172" ht="12" customHeight="1">
      <c r="A10172" s="30" t="inlineStr">
        <is>
          <t>POR</t>
        </is>
      </c>
      <c r="B10172" s="30" t="inlineStr">
        <is>
          <t>Porto Real</t>
        </is>
      </c>
      <c r="C10172" s="30" t="n">
        <v>77169261</v>
      </c>
      <c r="D10172" s="30">
        <f>"32492373002167"</f>
        <v/>
      </c>
      <c r="E10172" s="30" t="inlineStr">
        <is>
          <t>TRANSPORTE EXCELSIOR LTDA</t>
        </is>
      </c>
      <c r="F10172" s="30" t="inlineStr">
        <is>
          <t>2023</t>
        </is>
      </c>
      <c r="G10172" s="40" t="n">
        <v>306464.82</v>
      </c>
    </row>
    <row r="10173" ht="12" customHeight="1">
      <c r="A10173" s="30" t="inlineStr">
        <is>
          <t>POR</t>
        </is>
      </c>
      <c r="B10173" s="30" t="inlineStr">
        <is>
          <t>Porto Real</t>
        </is>
      </c>
      <c r="C10173" s="30" t="n">
        <v>77191097</v>
      </c>
      <c r="D10173" s="30">
        <f>"04020515000376"</f>
        <v/>
      </c>
      <c r="E10173" s="30" t="inlineStr">
        <is>
          <t>PONTOCOM SERVICES LTDA</t>
        </is>
      </c>
      <c r="F10173" s="30" t="inlineStr">
        <is>
          <t>2017</t>
        </is>
      </c>
      <c r="G10173" s="40" t="n">
        <v>0</v>
      </c>
    </row>
    <row r="10174" ht="12" customHeight="1">
      <c r="A10174" s="30" t="inlineStr">
        <is>
          <t>POR</t>
        </is>
      </c>
      <c r="B10174" s="30" t="inlineStr">
        <is>
          <t>Porto Real</t>
        </is>
      </c>
      <c r="C10174" s="30" t="n">
        <v>77191097</v>
      </c>
      <c r="D10174" s="30">
        <f>"04020515000376"</f>
        <v/>
      </c>
      <c r="E10174" s="30" t="inlineStr">
        <is>
          <t>PONTOCOM SERVICES LTDA</t>
        </is>
      </c>
      <c r="F10174" s="30" t="inlineStr">
        <is>
          <t>2018</t>
        </is>
      </c>
      <c r="G10174" s="40" t="n">
        <v>0</v>
      </c>
    </row>
    <row r="10175" ht="12" customHeight="1">
      <c r="A10175" s="30" t="inlineStr">
        <is>
          <t>POR</t>
        </is>
      </c>
      <c r="B10175" s="30" t="inlineStr">
        <is>
          <t>Porto Real</t>
        </is>
      </c>
      <c r="C10175" s="30" t="n">
        <v>77191097</v>
      </c>
      <c r="D10175" s="30">
        <f>"04020515000376"</f>
        <v/>
      </c>
      <c r="E10175" s="30" t="inlineStr">
        <is>
          <t>PONTOCOM SERVICES LTDA</t>
        </is>
      </c>
      <c r="F10175" s="30" t="inlineStr">
        <is>
          <t>2019</t>
        </is>
      </c>
      <c r="G10175" s="40" t="n">
        <v>47.49</v>
      </c>
    </row>
    <row r="10176" ht="12" customHeight="1">
      <c r="A10176" s="30" t="inlineStr">
        <is>
          <t>POR</t>
        </is>
      </c>
      <c r="B10176" s="30" t="inlineStr">
        <is>
          <t>Porto Real</t>
        </is>
      </c>
      <c r="C10176" s="30" t="n">
        <v>77191097</v>
      </c>
      <c r="D10176" s="30">
        <f>"04020515000376"</f>
        <v/>
      </c>
      <c r="E10176" s="30" t="inlineStr">
        <is>
          <t>PONTOCOM SERVICES LTDA</t>
        </is>
      </c>
      <c r="F10176" s="30" t="inlineStr">
        <is>
          <t>2020</t>
        </is>
      </c>
      <c r="G10176" s="40" t="n">
        <v>0</v>
      </c>
    </row>
    <row r="10177" ht="12" customHeight="1">
      <c r="A10177" s="30" t="inlineStr">
        <is>
          <t>POR</t>
        </is>
      </c>
      <c r="B10177" s="30" t="inlineStr">
        <is>
          <t>Porto Real</t>
        </is>
      </c>
      <c r="C10177" s="30" t="n">
        <v>77191097</v>
      </c>
      <c r="D10177" s="30">
        <f>"04020515000376"</f>
        <v/>
      </c>
      <c r="E10177" s="30" t="inlineStr">
        <is>
          <t>PONTOCOM SERVICES LTDA</t>
        </is>
      </c>
      <c r="F10177" s="30" t="inlineStr">
        <is>
          <t>2021</t>
        </is>
      </c>
      <c r="G10177" s="40" t="n">
        <v>17.99</v>
      </c>
    </row>
    <row r="10178" ht="12" customHeight="1">
      <c r="A10178" s="30" t="inlineStr">
        <is>
          <t>POR</t>
        </is>
      </c>
      <c r="B10178" s="30" t="inlineStr">
        <is>
          <t>Porto Real</t>
        </is>
      </c>
      <c r="C10178" s="30" t="n">
        <v>77191097</v>
      </c>
      <c r="D10178" s="30">
        <f>"04020515000376"</f>
        <v/>
      </c>
      <c r="E10178" s="30" t="inlineStr">
        <is>
          <t>PONTOCOM SERVICES LTDA</t>
        </is>
      </c>
      <c r="F10178" s="30" t="inlineStr">
        <is>
          <t>2022</t>
        </is>
      </c>
      <c r="G10178" s="40" t="n">
        <v>0</v>
      </c>
    </row>
    <row r="10179" ht="12" customHeight="1">
      <c r="A10179" s="30" t="inlineStr">
        <is>
          <t>POR</t>
        </is>
      </c>
      <c r="B10179" s="30" t="inlineStr">
        <is>
          <t>Porto Real</t>
        </is>
      </c>
      <c r="C10179" s="30" t="n">
        <v>77191097</v>
      </c>
      <c r="D10179" s="30">
        <f>"04020515000376"</f>
        <v/>
      </c>
      <c r="E10179" s="30" t="inlineStr">
        <is>
          <t>PONTOCOM SERVICES LTDA</t>
        </is>
      </c>
      <c r="F10179" s="30" t="inlineStr">
        <is>
          <t>2023</t>
        </is>
      </c>
      <c r="G10179" s="40" t="n">
        <v>0</v>
      </c>
    </row>
    <row r="10180" ht="12" customHeight="1">
      <c r="A10180" s="30" t="inlineStr">
        <is>
          <t>POR</t>
        </is>
      </c>
      <c r="B10180" s="30" t="inlineStr">
        <is>
          <t>Porto Real</t>
        </is>
      </c>
      <c r="C10180" s="30" t="n">
        <v>77215573</v>
      </c>
      <c r="D10180" s="30">
        <f>"93793842000714"</f>
        <v/>
      </c>
      <c r="E10180" s="30" t="inlineStr">
        <is>
          <t>SERVICARGA TRANSPORTES E SERVICOS LTDA</t>
        </is>
      </c>
      <c r="F10180" s="30" t="inlineStr">
        <is>
          <t>2017</t>
        </is>
      </c>
      <c r="G10180" s="40" t="n">
        <v>3963.64</v>
      </c>
    </row>
    <row r="10181" ht="12" customHeight="1">
      <c r="A10181" s="30" t="inlineStr">
        <is>
          <t>POR</t>
        </is>
      </c>
      <c r="B10181" s="30" t="inlineStr">
        <is>
          <t>Porto Real</t>
        </is>
      </c>
      <c r="C10181" s="30" t="n">
        <v>77215573</v>
      </c>
      <c r="D10181" s="30">
        <f>"93793842000714"</f>
        <v/>
      </c>
      <c r="E10181" s="30" t="inlineStr">
        <is>
          <t>SERVICARGA TRANSPORTES E SERVICOS LTDA</t>
        </is>
      </c>
      <c r="F10181" s="30" t="inlineStr">
        <is>
          <t>2018</t>
        </is>
      </c>
      <c r="G10181" s="40" t="n">
        <v>0</v>
      </c>
    </row>
    <row r="10182" ht="12" customHeight="1">
      <c r="A10182" s="30" t="inlineStr">
        <is>
          <t>POR</t>
        </is>
      </c>
      <c r="B10182" s="30" t="inlineStr">
        <is>
          <t>Porto Real</t>
        </is>
      </c>
      <c r="C10182" s="30" t="n">
        <v>77215573</v>
      </c>
      <c r="D10182" s="30">
        <f>"93793842000714"</f>
        <v/>
      </c>
      <c r="E10182" s="30" t="inlineStr">
        <is>
          <t>SERVICARGA TRANSPORTES E SERVICOS LTDA</t>
        </is>
      </c>
      <c r="F10182" s="30" t="inlineStr">
        <is>
          <t>2019</t>
        </is>
      </c>
      <c r="G10182" s="40" t="n">
        <v>0</v>
      </c>
    </row>
    <row r="10183" ht="12" customHeight="1">
      <c r="A10183" s="30" t="inlineStr">
        <is>
          <t>POR</t>
        </is>
      </c>
      <c r="B10183" s="30" t="inlineStr">
        <is>
          <t>Porto Real</t>
        </is>
      </c>
      <c r="C10183" s="30" t="n">
        <v>77215573</v>
      </c>
      <c r="D10183" s="30">
        <f>"93793842000714"</f>
        <v/>
      </c>
      <c r="E10183" s="30" t="inlineStr">
        <is>
          <t>SERVICARGA TRANSPORTES E SERVICOS LTDA</t>
        </is>
      </c>
      <c r="F10183" s="30" t="inlineStr">
        <is>
          <t>2020</t>
        </is>
      </c>
      <c r="G10183" s="40" t="n">
        <v>10647.56</v>
      </c>
    </row>
    <row r="10184" ht="12" customHeight="1">
      <c r="A10184" s="30" t="inlineStr">
        <is>
          <t>POR</t>
        </is>
      </c>
      <c r="B10184" s="30" t="inlineStr">
        <is>
          <t>Porto Real</t>
        </is>
      </c>
      <c r="C10184" s="30" t="n">
        <v>77215573</v>
      </c>
      <c r="D10184" s="30">
        <f>"93793842000714"</f>
        <v/>
      </c>
      <c r="E10184" s="30" t="inlineStr">
        <is>
          <t>SERVICARGA TRANSPORTES E SERVICOS LTDA</t>
        </is>
      </c>
      <c r="F10184" s="30" t="inlineStr">
        <is>
          <t>2021</t>
        </is>
      </c>
      <c r="G10184" s="40" t="n">
        <v>0</v>
      </c>
    </row>
    <row r="10185" ht="12" customHeight="1">
      <c r="A10185" s="30" t="inlineStr">
        <is>
          <t>POR</t>
        </is>
      </c>
      <c r="B10185" s="30" t="inlineStr">
        <is>
          <t>Porto Real</t>
        </is>
      </c>
      <c r="C10185" s="30" t="n">
        <v>77215573</v>
      </c>
      <c r="D10185" s="30">
        <f>"93793842000714"</f>
        <v/>
      </c>
      <c r="E10185" s="30" t="inlineStr">
        <is>
          <t>SERVICARGA TRANSPORTES E SERVICOS LTDA</t>
        </is>
      </c>
      <c r="F10185" s="30" t="inlineStr">
        <is>
          <t>2022</t>
        </is>
      </c>
      <c r="G10185" s="40" t="n">
        <v>0</v>
      </c>
    </row>
    <row r="10186" ht="12" customHeight="1">
      <c r="A10186" s="30" t="inlineStr">
        <is>
          <t>POR</t>
        </is>
      </c>
      <c r="B10186" s="30" t="inlineStr">
        <is>
          <t>Porto Real</t>
        </is>
      </c>
      <c r="C10186" s="30" t="n">
        <v>77215573</v>
      </c>
      <c r="D10186" s="30">
        <f>"93793842000714"</f>
        <v/>
      </c>
      <c r="E10186" s="30" t="inlineStr">
        <is>
          <t>SERVICARGA TRANSPORTES E SERVICOS LTDA</t>
        </is>
      </c>
      <c r="F10186" s="30" t="inlineStr">
        <is>
          <t>2023</t>
        </is>
      </c>
      <c r="G10186" s="40" t="n">
        <v>0</v>
      </c>
    </row>
    <row r="10187" ht="12" customHeight="1">
      <c r="A10187" s="30" t="inlineStr">
        <is>
          <t>POR</t>
        </is>
      </c>
      <c r="B10187" s="30" t="inlineStr">
        <is>
          <t>Porto Real</t>
        </is>
      </c>
      <c r="C10187" s="30" t="n">
        <v>77234055</v>
      </c>
      <c r="D10187" s="30">
        <f>"04650344000105"</f>
        <v/>
      </c>
      <c r="E10187" s="30" t="inlineStr">
        <is>
          <t>MERCEARIA 37 DE PORTO REAL LTDA</t>
        </is>
      </c>
      <c r="F10187" s="30" t="inlineStr">
        <is>
          <t>2017</t>
        </is>
      </c>
      <c r="G10187" s="40" t="n">
        <v>0</v>
      </c>
    </row>
    <row r="10188" ht="12" customHeight="1">
      <c r="A10188" s="30" t="inlineStr">
        <is>
          <t>POR</t>
        </is>
      </c>
      <c r="B10188" s="30" t="inlineStr">
        <is>
          <t>Porto Real</t>
        </is>
      </c>
      <c r="C10188" s="30" t="n">
        <v>77234055</v>
      </c>
      <c r="D10188" s="30">
        <f>"04650344000105"</f>
        <v/>
      </c>
      <c r="E10188" s="30" t="inlineStr">
        <is>
          <t>MERCEARIA 37 DE PORTO REAL LTDA</t>
        </is>
      </c>
      <c r="F10188" s="30" t="inlineStr">
        <is>
          <t>2018</t>
        </is>
      </c>
      <c r="G10188" s="40" t="n">
        <v>0</v>
      </c>
    </row>
    <row r="10189" ht="12" customHeight="1">
      <c r="A10189" s="30" t="inlineStr">
        <is>
          <t>POR</t>
        </is>
      </c>
      <c r="B10189" s="30" t="inlineStr">
        <is>
          <t>Porto Real</t>
        </is>
      </c>
      <c r="C10189" s="30" t="n">
        <v>77234055</v>
      </c>
      <c r="D10189" s="30">
        <f>"04650344000105"</f>
        <v/>
      </c>
      <c r="E10189" s="30" t="inlineStr">
        <is>
          <t>MERCEARIA 37 DE PORTO REAL LTDA</t>
        </is>
      </c>
      <c r="F10189" s="30" t="inlineStr">
        <is>
          <t>2019</t>
        </is>
      </c>
      <c r="G10189" s="40" t="n">
        <v>0</v>
      </c>
    </row>
    <row r="10190" ht="12" customHeight="1">
      <c r="A10190" s="30" t="inlineStr">
        <is>
          <t>POR</t>
        </is>
      </c>
      <c r="B10190" s="30" t="inlineStr">
        <is>
          <t>Porto Real</t>
        </is>
      </c>
      <c r="C10190" s="30" t="n">
        <v>77238182</v>
      </c>
      <c r="D10190" s="30">
        <f>"04206050004410"</f>
        <v/>
      </c>
      <c r="E10190" s="30" t="inlineStr">
        <is>
          <t>TIM CELULAR S/A</t>
        </is>
      </c>
      <c r="F10190" s="30" t="inlineStr">
        <is>
          <t>2017</t>
        </is>
      </c>
      <c r="G10190" s="40" t="n">
        <v>210837.33</v>
      </c>
    </row>
    <row r="10191" ht="12" customHeight="1">
      <c r="A10191" s="30" t="inlineStr">
        <is>
          <t>POR</t>
        </is>
      </c>
      <c r="B10191" s="30" t="inlineStr">
        <is>
          <t>Porto Real</t>
        </is>
      </c>
      <c r="C10191" s="30" t="n">
        <v>77238182</v>
      </c>
      <c r="D10191" s="30">
        <f>"04206050004410"</f>
        <v/>
      </c>
      <c r="E10191" s="30" t="inlineStr">
        <is>
          <t>TIM CELULAR S/A</t>
        </is>
      </c>
      <c r="F10191" s="30" t="inlineStr">
        <is>
          <t>2018</t>
        </is>
      </c>
      <c r="G10191" s="40" t="n">
        <v>178714.18</v>
      </c>
    </row>
    <row r="10192" ht="12" customHeight="1">
      <c r="A10192" s="30" t="inlineStr">
        <is>
          <t>POR</t>
        </is>
      </c>
      <c r="B10192" s="30" t="inlineStr">
        <is>
          <t>Porto Real</t>
        </is>
      </c>
      <c r="C10192" s="30" t="n">
        <v>77238182</v>
      </c>
      <c r="D10192" s="30">
        <f>"04206050004410"</f>
        <v/>
      </c>
      <c r="E10192" s="30" t="inlineStr">
        <is>
          <t>TIM CELULAR S/A</t>
        </is>
      </c>
      <c r="F10192" s="30" t="inlineStr">
        <is>
          <t>2019</t>
        </is>
      </c>
      <c r="G10192" s="40" t="n">
        <v>0</v>
      </c>
    </row>
    <row r="10193" ht="12" customHeight="1">
      <c r="A10193" s="30" t="inlineStr">
        <is>
          <t>POR</t>
        </is>
      </c>
      <c r="B10193" s="30" t="inlineStr">
        <is>
          <t>Porto Real</t>
        </is>
      </c>
      <c r="C10193" s="30" t="n">
        <v>77238182</v>
      </c>
      <c r="D10193" s="30">
        <f>"04206050004410"</f>
        <v/>
      </c>
      <c r="E10193" s="30" t="inlineStr">
        <is>
          <t>TIM CELULAR S/A</t>
        </is>
      </c>
      <c r="F10193" s="30" t="inlineStr">
        <is>
          <t>2020</t>
        </is>
      </c>
      <c r="G10193" s="40" t="n">
        <v>0</v>
      </c>
    </row>
    <row r="10194" ht="12" customHeight="1">
      <c r="A10194" s="30" t="inlineStr">
        <is>
          <t>POR</t>
        </is>
      </c>
      <c r="B10194" s="30" t="inlineStr">
        <is>
          <t>Porto Real</t>
        </is>
      </c>
      <c r="C10194" s="30" t="n">
        <v>77257594</v>
      </c>
      <c r="D10194" s="30">
        <f>"32681371001144"</f>
        <v/>
      </c>
      <c r="E10194" s="30" t="inlineStr">
        <is>
          <t>VIX LOGISTICA S/A</t>
        </is>
      </c>
      <c r="F10194" s="30" t="inlineStr">
        <is>
          <t>2017</t>
        </is>
      </c>
      <c r="G10194" s="40" t="n">
        <v>0</v>
      </c>
    </row>
    <row r="10195" ht="12" customHeight="1">
      <c r="A10195" s="30" t="inlineStr">
        <is>
          <t>POR</t>
        </is>
      </c>
      <c r="B10195" s="30" t="inlineStr">
        <is>
          <t>Porto Real</t>
        </is>
      </c>
      <c r="C10195" s="30" t="n">
        <v>77257594</v>
      </c>
      <c r="D10195" s="30">
        <f>"32681371001144"</f>
        <v/>
      </c>
      <c r="E10195" s="30" t="inlineStr">
        <is>
          <t>VIX LOGISTICA S/A</t>
        </is>
      </c>
      <c r="F10195" s="30" t="inlineStr">
        <is>
          <t>2018</t>
        </is>
      </c>
      <c r="G10195" s="40" t="n">
        <v>0</v>
      </c>
    </row>
    <row r="10196" ht="12" customHeight="1">
      <c r="A10196" s="30" t="inlineStr">
        <is>
          <t>POR</t>
        </is>
      </c>
      <c r="B10196" s="30" t="inlineStr">
        <is>
          <t>Porto Real</t>
        </is>
      </c>
      <c r="C10196" s="30" t="n">
        <v>77257594</v>
      </c>
      <c r="D10196" s="30">
        <f>"32681371001144"</f>
        <v/>
      </c>
      <c r="E10196" s="30" t="inlineStr">
        <is>
          <t>VIX LOGISTICA S/A</t>
        </is>
      </c>
      <c r="F10196" s="30" t="inlineStr">
        <is>
          <t>2019</t>
        </is>
      </c>
      <c r="G10196" s="40" t="n">
        <v>0</v>
      </c>
    </row>
    <row r="10197" ht="12" customHeight="1">
      <c r="A10197" s="30" t="inlineStr">
        <is>
          <t>POR</t>
        </is>
      </c>
      <c r="B10197" s="30" t="inlineStr">
        <is>
          <t>Porto Real</t>
        </is>
      </c>
      <c r="C10197" s="30" t="n">
        <v>77257594</v>
      </c>
      <c r="D10197" s="30">
        <f>"32681371001144"</f>
        <v/>
      </c>
      <c r="E10197" s="30" t="inlineStr">
        <is>
          <t>VIX LOGISTICA S/A</t>
        </is>
      </c>
      <c r="F10197" s="30" t="inlineStr">
        <is>
          <t>2020</t>
        </is>
      </c>
      <c r="G10197" s="40" t="n">
        <v>0</v>
      </c>
    </row>
    <row r="10198" ht="12" customHeight="1">
      <c r="A10198" s="30" t="inlineStr">
        <is>
          <t>POR</t>
        </is>
      </c>
      <c r="B10198" s="30" t="inlineStr">
        <is>
          <t>Porto Real</t>
        </is>
      </c>
      <c r="C10198" s="30" t="n">
        <v>77257594</v>
      </c>
      <c r="D10198" s="30">
        <f>"32681371001144"</f>
        <v/>
      </c>
      <c r="E10198" s="30" t="inlineStr">
        <is>
          <t>VIX LOGISTICA S/A</t>
        </is>
      </c>
      <c r="F10198" s="30" t="inlineStr">
        <is>
          <t>2021</t>
        </is>
      </c>
      <c r="G10198" s="40" t="n">
        <v>0</v>
      </c>
    </row>
    <row r="10199" ht="12" customHeight="1">
      <c r="A10199" s="30" t="inlineStr">
        <is>
          <t>POR</t>
        </is>
      </c>
      <c r="B10199" s="30" t="inlineStr">
        <is>
          <t>Porto Real</t>
        </is>
      </c>
      <c r="C10199" s="30" t="n">
        <v>77257594</v>
      </c>
      <c r="D10199" s="30">
        <f>"32681371001144"</f>
        <v/>
      </c>
      <c r="E10199" s="30" t="inlineStr">
        <is>
          <t>VIX LOGISTICA S/A</t>
        </is>
      </c>
      <c r="F10199" s="30" t="inlineStr">
        <is>
          <t>2022</t>
        </is>
      </c>
      <c r="G10199" s="40" t="n">
        <v>0</v>
      </c>
    </row>
    <row r="10200" ht="12" customHeight="1">
      <c r="A10200" s="30" t="inlineStr">
        <is>
          <t>POR</t>
        </is>
      </c>
      <c r="B10200" s="30" t="inlineStr">
        <is>
          <t>Porto Real</t>
        </is>
      </c>
      <c r="C10200" s="30" t="n">
        <v>77257594</v>
      </c>
      <c r="D10200" s="30">
        <f>"32681371001144"</f>
        <v/>
      </c>
      <c r="E10200" s="30" t="inlineStr">
        <is>
          <t>VIX LOGISTICA S/A</t>
        </is>
      </c>
      <c r="F10200" s="30" t="inlineStr">
        <is>
          <t>2023</t>
        </is>
      </c>
      <c r="G10200" s="40" t="n">
        <v>0</v>
      </c>
    </row>
    <row r="10201" ht="12" customHeight="1">
      <c r="A10201" s="30" t="inlineStr">
        <is>
          <t>POR</t>
        </is>
      </c>
      <c r="B10201" s="30" t="inlineStr">
        <is>
          <t>Porto Real</t>
        </is>
      </c>
      <c r="C10201" s="30" t="n">
        <v>77290028</v>
      </c>
      <c r="D10201" s="30">
        <f>"03341775000461"</f>
        <v/>
      </c>
      <c r="E10201" s="30" t="inlineStr">
        <is>
          <t>TRANSPORTES MOBILINE LTDA</t>
        </is>
      </c>
      <c r="F10201" s="30" t="inlineStr">
        <is>
          <t>2018</t>
        </is>
      </c>
      <c r="G10201" s="40" t="n">
        <v>0</v>
      </c>
    </row>
    <row r="10202" ht="12" customHeight="1">
      <c r="A10202" s="30" t="inlineStr">
        <is>
          <t>POR</t>
        </is>
      </c>
      <c r="B10202" s="30" t="inlineStr">
        <is>
          <t>Porto Real</t>
        </is>
      </c>
      <c r="C10202" s="30" t="n">
        <v>77290028</v>
      </c>
      <c r="D10202" s="30">
        <f>"03341775000461"</f>
        <v/>
      </c>
      <c r="E10202" s="30" t="inlineStr">
        <is>
          <t>TRANSPORTES MOBILINE LTDA</t>
        </is>
      </c>
      <c r="F10202" s="30" t="inlineStr">
        <is>
          <t>2019</t>
        </is>
      </c>
      <c r="G10202" s="40" t="n">
        <v>0</v>
      </c>
    </row>
    <row r="10203" ht="12" customHeight="1">
      <c r="A10203" s="30" t="inlineStr">
        <is>
          <t>POR</t>
        </is>
      </c>
      <c r="B10203" s="30" t="inlineStr">
        <is>
          <t>Porto Real</t>
        </is>
      </c>
      <c r="C10203" s="30" t="n">
        <v>77290028</v>
      </c>
      <c r="D10203" s="30">
        <f>"03341775000461"</f>
        <v/>
      </c>
      <c r="E10203" s="30" t="inlineStr">
        <is>
          <t>TRANSPORTES MOBILINE LTDA</t>
        </is>
      </c>
      <c r="F10203" s="30" t="inlineStr">
        <is>
          <t>2020</t>
        </is>
      </c>
      <c r="G10203" s="40" t="n">
        <v>510</v>
      </c>
    </row>
    <row r="10204" ht="12" customHeight="1">
      <c r="A10204" s="30" t="inlineStr">
        <is>
          <t>POR</t>
        </is>
      </c>
      <c r="B10204" s="30" t="inlineStr">
        <is>
          <t>Porto Real</t>
        </is>
      </c>
      <c r="C10204" s="30" t="n">
        <v>77290028</v>
      </c>
      <c r="D10204" s="30">
        <f>"03341775000461"</f>
        <v/>
      </c>
      <c r="E10204" s="30" t="inlineStr">
        <is>
          <t>TRANSPORTES MOBILINE LTDA</t>
        </is>
      </c>
      <c r="F10204" s="30" t="inlineStr">
        <is>
          <t>2021</t>
        </is>
      </c>
      <c r="G10204" s="40" t="n">
        <v>0</v>
      </c>
    </row>
    <row r="10205" ht="12" customHeight="1">
      <c r="A10205" s="30" t="inlineStr">
        <is>
          <t>POR</t>
        </is>
      </c>
      <c r="B10205" s="30" t="inlineStr">
        <is>
          <t>Porto Real</t>
        </is>
      </c>
      <c r="C10205" s="30" t="n">
        <v>77290028</v>
      </c>
      <c r="D10205" s="30">
        <f>"03341775000461"</f>
        <v/>
      </c>
      <c r="E10205" s="30" t="inlineStr">
        <is>
          <t>TRANSPORTES MOBILINE LTDA</t>
        </is>
      </c>
      <c r="F10205" s="30" t="inlineStr">
        <is>
          <t>2022</t>
        </is>
      </c>
      <c r="G10205" s="40" t="n">
        <v>870</v>
      </c>
    </row>
    <row r="10206" ht="12" customHeight="1">
      <c r="A10206" s="30" t="inlineStr">
        <is>
          <t>POR</t>
        </is>
      </c>
      <c r="B10206" s="30" t="inlineStr">
        <is>
          <t>Porto Real</t>
        </is>
      </c>
      <c r="C10206" s="30" t="n">
        <v>77290028</v>
      </c>
      <c r="D10206" s="30">
        <f>"03341775000461"</f>
        <v/>
      </c>
      <c r="E10206" s="30" t="inlineStr">
        <is>
          <t>TRANSPORTES MOBILINE LTDA</t>
        </is>
      </c>
      <c r="F10206" s="30" t="inlineStr">
        <is>
          <t>2023</t>
        </is>
      </c>
      <c r="G10206" s="40" t="n">
        <v>939.99</v>
      </c>
    </row>
    <row r="10207" ht="12" customHeight="1">
      <c r="A10207" s="30" t="inlineStr">
        <is>
          <t>POR</t>
        </is>
      </c>
      <c r="B10207" s="30" t="inlineStr">
        <is>
          <t>Porto Real</t>
        </is>
      </c>
      <c r="C10207" s="30" t="n">
        <v>77329145</v>
      </c>
      <c r="D10207" s="30">
        <f>"04927116000121"</f>
        <v/>
      </c>
      <c r="E10207" s="30" t="inlineStr">
        <is>
          <t>V B SILVA JUNIOR TRANSPORTES</t>
        </is>
      </c>
      <c r="F10207" s="30" t="inlineStr">
        <is>
          <t>2017</t>
        </is>
      </c>
      <c r="G10207" s="40" t="n">
        <v>0</v>
      </c>
    </row>
    <row r="10208" ht="12" customHeight="1">
      <c r="A10208" s="30" t="inlineStr">
        <is>
          <t>POR</t>
        </is>
      </c>
      <c r="B10208" s="30" t="inlineStr">
        <is>
          <t>Porto Real</t>
        </is>
      </c>
      <c r="C10208" s="30" t="n">
        <v>77329145</v>
      </c>
      <c r="D10208" s="30">
        <f>"04927116000121"</f>
        <v/>
      </c>
      <c r="E10208" s="30" t="inlineStr">
        <is>
          <t>V B SILVA JUNIOR TRANSPORTES</t>
        </is>
      </c>
      <c r="F10208" s="30" t="inlineStr">
        <is>
          <t>2018</t>
        </is>
      </c>
      <c r="G10208" s="40" t="n">
        <v>244782.04</v>
      </c>
    </row>
    <row r="10209" ht="12" customHeight="1">
      <c r="A10209" s="30" t="inlineStr">
        <is>
          <t>POR</t>
        </is>
      </c>
      <c r="B10209" s="30" t="inlineStr">
        <is>
          <t>Porto Real</t>
        </is>
      </c>
      <c r="C10209" s="30" t="n">
        <v>77329145</v>
      </c>
      <c r="D10209" s="30">
        <f>"04927116000121"</f>
        <v/>
      </c>
      <c r="E10209" s="30" t="inlineStr">
        <is>
          <t>V B SILVA JUNIOR TRANSPORTES</t>
        </is>
      </c>
      <c r="F10209" s="30" t="inlineStr">
        <is>
          <t>2019</t>
        </is>
      </c>
      <c r="G10209" s="40" t="n">
        <v>2401.63</v>
      </c>
    </row>
    <row r="10210" ht="12" customHeight="1">
      <c r="A10210" s="30" t="inlineStr">
        <is>
          <t>POR</t>
        </is>
      </c>
      <c r="B10210" s="30" t="inlineStr">
        <is>
          <t>Porto Real</t>
        </is>
      </c>
      <c r="C10210" s="30" t="n">
        <v>77329145</v>
      </c>
      <c r="D10210" s="30">
        <f>"04927116000121"</f>
        <v/>
      </c>
      <c r="E10210" s="30" t="inlineStr">
        <is>
          <t>V B SILVA JUNIOR TRANSPORTES</t>
        </is>
      </c>
      <c r="F10210" s="30" t="inlineStr">
        <is>
          <t>2020</t>
        </is>
      </c>
      <c r="G10210" s="40" t="n">
        <v>2183.3</v>
      </c>
    </row>
    <row r="10211" ht="12" customHeight="1">
      <c r="A10211" s="30" t="inlineStr">
        <is>
          <t>POR</t>
        </is>
      </c>
      <c r="B10211" s="30" t="inlineStr">
        <is>
          <t>Porto Real</t>
        </is>
      </c>
      <c r="C10211" s="30" t="n">
        <v>77329145</v>
      </c>
      <c r="D10211" s="30">
        <f>"04927116000121"</f>
        <v/>
      </c>
      <c r="E10211" s="30" t="inlineStr">
        <is>
          <t>V B SILVA JUNIOR TRANSPORTES</t>
        </is>
      </c>
      <c r="F10211" s="30" t="inlineStr">
        <is>
          <t>2021</t>
        </is>
      </c>
      <c r="G10211" s="40" t="n">
        <v>0</v>
      </c>
    </row>
    <row r="10212" ht="12" customHeight="1">
      <c r="A10212" s="30" t="inlineStr">
        <is>
          <t>POR</t>
        </is>
      </c>
      <c r="B10212" s="30" t="inlineStr">
        <is>
          <t>Porto Real</t>
        </is>
      </c>
      <c r="C10212" s="30" t="n">
        <v>77329145</v>
      </c>
      <c r="D10212" s="30">
        <f>"04927116000121"</f>
        <v/>
      </c>
      <c r="E10212" s="30" t="inlineStr">
        <is>
          <t>V B SILVA JUNIOR TRANSPORTES</t>
        </is>
      </c>
      <c r="F10212" s="30" t="inlineStr">
        <is>
          <t>2022</t>
        </is>
      </c>
      <c r="G10212" s="40" t="n">
        <v>0</v>
      </c>
    </row>
    <row r="10213" ht="12" customHeight="1">
      <c r="A10213" s="30" t="inlineStr">
        <is>
          <t>POR</t>
        </is>
      </c>
      <c r="B10213" s="30" t="inlineStr">
        <is>
          <t>Porto Real</t>
        </is>
      </c>
      <c r="C10213" s="30" t="n">
        <v>77346015</v>
      </c>
      <c r="D10213" s="30">
        <f>"81382525000483"</f>
        <v/>
      </c>
      <c r="E10213" s="30" t="inlineStr">
        <is>
          <t>SUL CONTINENTAL TRANSPORTES LTDA</t>
        </is>
      </c>
      <c r="F10213" s="30" t="inlineStr">
        <is>
          <t>2017</t>
        </is>
      </c>
      <c r="G10213" s="40" t="n">
        <v>796.8200000000001</v>
      </c>
    </row>
    <row r="10214" ht="12" customHeight="1">
      <c r="A10214" s="30" t="inlineStr">
        <is>
          <t>POR</t>
        </is>
      </c>
      <c r="B10214" s="30" t="inlineStr">
        <is>
          <t>Porto Real</t>
        </is>
      </c>
      <c r="C10214" s="30" t="n">
        <v>77346015</v>
      </c>
      <c r="D10214" s="30">
        <f>"81382525000483"</f>
        <v/>
      </c>
      <c r="E10214" s="30" t="inlineStr">
        <is>
          <t>SUL CONTINENTAL TRANSPORTES LTDA</t>
        </is>
      </c>
      <c r="F10214" s="30" t="inlineStr">
        <is>
          <t>2018</t>
        </is>
      </c>
      <c r="G10214" s="40" t="n">
        <v>0</v>
      </c>
    </row>
    <row r="10215" ht="12" customHeight="1">
      <c r="A10215" s="30" t="inlineStr">
        <is>
          <t>POR</t>
        </is>
      </c>
      <c r="B10215" s="30" t="inlineStr">
        <is>
          <t>Porto Real</t>
        </is>
      </c>
      <c r="C10215" s="30" t="n">
        <v>77346015</v>
      </c>
      <c r="D10215" s="30">
        <f>"81382525000483"</f>
        <v/>
      </c>
      <c r="E10215" s="30" t="inlineStr">
        <is>
          <t>SUL CONTINENTAL TRANSPORTES LTDA</t>
        </is>
      </c>
      <c r="F10215" s="30" t="inlineStr">
        <is>
          <t>2019</t>
        </is>
      </c>
      <c r="G10215" s="40" t="n">
        <v>0</v>
      </c>
    </row>
    <row r="10216" ht="12" customHeight="1">
      <c r="A10216" s="30" t="inlineStr">
        <is>
          <t>POR</t>
        </is>
      </c>
      <c r="B10216" s="30" t="inlineStr">
        <is>
          <t>Porto Real</t>
        </is>
      </c>
      <c r="C10216" s="30" t="n">
        <v>77356584</v>
      </c>
      <c r="D10216" s="30">
        <f>"04965862000100"</f>
        <v/>
      </c>
      <c r="E10216" s="30" t="inlineStr">
        <is>
          <t>MG ENGENHARIA E CONSULTORIA EIRELI</t>
        </is>
      </c>
      <c r="F10216" s="30" t="inlineStr">
        <is>
          <t>2017</t>
        </is>
      </c>
      <c r="G10216" s="40" t="n">
        <v>0</v>
      </c>
    </row>
    <row r="10217" ht="12" customHeight="1">
      <c r="A10217" s="30" t="inlineStr">
        <is>
          <t>POR</t>
        </is>
      </c>
      <c r="B10217" s="30" t="inlineStr">
        <is>
          <t>Porto Real</t>
        </is>
      </c>
      <c r="C10217" s="30" t="n">
        <v>77356584</v>
      </c>
      <c r="D10217" s="30">
        <f>"04965862000100"</f>
        <v/>
      </c>
      <c r="E10217" s="30" t="inlineStr">
        <is>
          <t>MG ENGENHARIA E CONSULTORIA EIRELI</t>
        </is>
      </c>
      <c r="F10217" s="30" t="inlineStr">
        <is>
          <t>2018</t>
        </is>
      </c>
      <c r="G10217" s="40" t="n">
        <v>0</v>
      </c>
    </row>
    <row r="10218" ht="12" customHeight="1">
      <c r="A10218" s="30" t="inlineStr">
        <is>
          <t>POR</t>
        </is>
      </c>
      <c r="B10218" s="30" t="inlineStr">
        <is>
          <t>Porto Real</t>
        </is>
      </c>
      <c r="C10218" s="30" t="n">
        <v>77356584</v>
      </c>
      <c r="D10218" s="30">
        <f>"04965862000100"</f>
        <v/>
      </c>
      <c r="E10218" s="30" t="inlineStr">
        <is>
          <t>MG ENGENHARIA E CONSULTORIA EIRELI</t>
        </is>
      </c>
      <c r="F10218" s="30" t="inlineStr">
        <is>
          <t>2019</t>
        </is>
      </c>
      <c r="G10218" s="40" t="n">
        <v>0</v>
      </c>
    </row>
    <row r="10219" ht="12" customHeight="1">
      <c r="A10219" s="30" t="inlineStr">
        <is>
          <t>POR</t>
        </is>
      </c>
      <c r="B10219" s="30" t="inlineStr">
        <is>
          <t>Porto Real</t>
        </is>
      </c>
      <c r="C10219" s="30" t="n">
        <v>77356584</v>
      </c>
      <c r="D10219" s="30">
        <f>"04965862000100"</f>
        <v/>
      </c>
      <c r="E10219" s="30" t="inlineStr">
        <is>
          <t>MG ENGENHARIA E CONSULTORIA EIRELI</t>
        </is>
      </c>
      <c r="F10219" s="30" t="inlineStr">
        <is>
          <t>2020</t>
        </is>
      </c>
      <c r="G10219" s="40" t="n">
        <v>0</v>
      </c>
    </row>
    <row r="10220" ht="12" customHeight="1">
      <c r="A10220" s="30" t="inlineStr">
        <is>
          <t>POR</t>
        </is>
      </c>
      <c r="B10220" s="30" t="inlineStr">
        <is>
          <t>Porto Real</t>
        </is>
      </c>
      <c r="C10220" s="30" t="n">
        <v>77365117</v>
      </c>
      <c r="D10220" s="30">
        <f>"05014171000193"</f>
        <v/>
      </c>
      <c r="E10220" s="30" t="inlineStr">
        <is>
          <t>A D G DE JESUS TRANSPORTES LTDA</t>
        </is>
      </c>
      <c r="F10220" s="30" t="inlineStr">
        <is>
          <t>2017</t>
        </is>
      </c>
      <c r="G10220" s="40" t="n">
        <v>100960</v>
      </c>
    </row>
    <row r="10221" ht="12" customHeight="1">
      <c r="A10221" s="30" t="inlineStr">
        <is>
          <t>POR</t>
        </is>
      </c>
      <c r="B10221" s="30" t="inlineStr">
        <is>
          <t>Porto Real</t>
        </is>
      </c>
      <c r="C10221" s="30" t="n">
        <v>77365117</v>
      </c>
      <c r="D10221" s="30">
        <f>"05014171000193"</f>
        <v/>
      </c>
      <c r="E10221" s="30" t="inlineStr">
        <is>
          <t>A D G DE JESUS TRANSPORTES LTDA</t>
        </is>
      </c>
      <c r="F10221" s="30" t="inlineStr">
        <is>
          <t>2018</t>
        </is>
      </c>
      <c r="G10221" s="40" t="n">
        <v>94877.42</v>
      </c>
    </row>
    <row r="10222" ht="12" customHeight="1">
      <c r="A10222" s="30" t="inlineStr">
        <is>
          <t>POR</t>
        </is>
      </c>
      <c r="B10222" s="30" t="inlineStr">
        <is>
          <t>Porto Real</t>
        </is>
      </c>
      <c r="C10222" s="30" t="n">
        <v>77365117</v>
      </c>
      <c r="D10222" s="30">
        <f>"05014171000193"</f>
        <v/>
      </c>
      <c r="E10222" s="30" t="inlineStr">
        <is>
          <t>A D G DE JESUS TRANSPORTES LTDA</t>
        </is>
      </c>
      <c r="F10222" s="30" t="inlineStr">
        <is>
          <t>2019</t>
        </is>
      </c>
      <c r="G10222" s="40" t="n">
        <v>0</v>
      </c>
    </row>
    <row r="10223" ht="12" customHeight="1">
      <c r="A10223" s="30" t="inlineStr">
        <is>
          <t>POR</t>
        </is>
      </c>
      <c r="B10223" s="30" t="inlineStr">
        <is>
          <t>Porto Real</t>
        </is>
      </c>
      <c r="C10223" s="30" t="n">
        <v>77365117</v>
      </c>
      <c r="D10223" s="30">
        <f>"05014171000193"</f>
        <v/>
      </c>
      <c r="E10223" s="30" t="inlineStr">
        <is>
          <t>A D G DE JESUS TRANSPORTES LTDA</t>
        </is>
      </c>
      <c r="F10223" s="30" t="inlineStr">
        <is>
          <t>2020</t>
        </is>
      </c>
      <c r="G10223" s="40" t="n">
        <v>0</v>
      </c>
    </row>
    <row r="10224" ht="12" customHeight="1">
      <c r="A10224" s="30" t="inlineStr">
        <is>
          <t>POR</t>
        </is>
      </c>
      <c r="B10224" s="30" t="inlineStr">
        <is>
          <t>Porto Real</t>
        </is>
      </c>
      <c r="C10224" s="30" t="n">
        <v>77368280</v>
      </c>
      <c r="D10224" s="30">
        <f>"60619202000571"</f>
        <v/>
      </c>
      <c r="E10224" s="30" t="inlineStr">
        <is>
          <t>MESSER GASES LTDA.</t>
        </is>
      </c>
      <c r="F10224" s="30" t="inlineStr">
        <is>
          <t>2017</t>
        </is>
      </c>
      <c r="G10224" s="40" t="n">
        <v>0</v>
      </c>
    </row>
    <row r="10225" ht="12" customHeight="1">
      <c r="A10225" s="30" t="inlineStr">
        <is>
          <t>POR</t>
        </is>
      </c>
      <c r="B10225" s="30" t="inlineStr">
        <is>
          <t>Porto Real</t>
        </is>
      </c>
      <c r="C10225" s="30" t="n">
        <v>77368280</v>
      </c>
      <c r="D10225" s="30">
        <f>"60619202000571"</f>
        <v/>
      </c>
      <c r="E10225" s="30" t="inlineStr">
        <is>
          <t>MESSER GASES LTDA.</t>
        </is>
      </c>
      <c r="F10225" s="30" t="inlineStr">
        <is>
          <t>2018</t>
        </is>
      </c>
      <c r="G10225" s="40" t="n">
        <v>0</v>
      </c>
    </row>
    <row r="10226" ht="12" customHeight="1">
      <c r="A10226" s="30" t="inlineStr">
        <is>
          <t>POR</t>
        </is>
      </c>
      <c r="B10226" s="30" t="inlineStr">
        <is>
          <t>Porto Real</t>
        </is>
      </c>
      <c r="C10226" s="30" t="n">
        <v>77368280</v>
      </c>
      <c r="D10226" s="30">
        <f>"60619202000571"</f>
        <v/>
      </c>
      <c r="E10226" s="30" t="inlineStr">
        <is>
          <t>MESSER GASES LTDA.</t>
        </is>
      </c>
      <c r="F10226" s="30" t="inlineStr">
        <is>
          <t>2019</t>
        </is>
      </c>
      <c r="G10226" s="40" t="n">
        <v>0</v>
      </c>
    </row>
    <row r="10227" ht="12" customHeight="1">
      <c r="A10227" s="30" t="inlineStr">
        <is>
          <t>POR</t>
        </is>
      </c>
      <c r="B10227" s="30" t="inlineStr">
        <is>
          <t>Porto Real</t>
        </is>
      </c>
      <c r="C10227" s="30" t="n">
        <v>77368280</v>
      </c>
      <c r="D10227" s="30">
        <f>"60619202000571"</f>
        <v/>
      </c>
      <c r="E10227" s="30" t="inlineStr">
        <is>
          <t>MESSER GASES LTDA.</t>
        </is>
      </c>
      <c r="F10227" s="30" t="inlineStr">
        <is>
          <t>2020</t>
        </is>
      </c>
      <c r="G10227" s="40" t="n">
        <v>0</v>
      </c>
    </row>
    <row r="10228" ht="12" customHeight="1">
      <c r="A10228" s="30" t="inlineStr">
        <is>
          <t>POR</t>
        </is>
      </c>
      <c r="B10228" s="30" t="inlineStr">
        <is>
          <t>Porto Real</t>
        </is>
      </c>
      <c r="C10228" s="30" t="n">
        <v>77368280</v>
      </c>
      <c r="D10228" s="30">
        <f>"60619202000571"</f>
        <v/>
      </c>
      <c r="E10228" s="30" t="inlineStr">
        <is>
          <t>MESSER GASES LTDA.</t>
        </is>
      </c>
      <c r="F10228" s="30" t="inlineStr">
        <is>
          <t>2021</t>
        </is>
      </c>
      <c r="G10228" s="40" t="n">
        <v>0</v>
      </c>
    </row>
    <row r="10229" ht="12" customHeight="1">
      <c r="A10229" s="30" t="inlineStr">
        <is>
          <t>POR</t>
        </is>
      </c>
      <c r="B10229" s="30" t="inlineStr">
        <is>
          <t>Porto Real</t>
        </is>
      </c>
      <c r="C10229" s="30" t="n">
        <v>77368280</v>
      </c>
      <c r="D10229" s="30">
        <f>"60619202000571"</f>
        <v/>
      </c>
      <c r="E10229" s="30" t="inlineStr">
        <is>
          <t>MESSER GASES LTDA.</t>
        </is>
      </c>
      <c r="F10229" s="30" t="inlineStr">
        <is>
          <t>2022</t>
        </is>
      </c>
      <c r="G10229" s="40" t="n">
        <v>0</v>
      </c>
    </row>
    <row r="10230" ht="12" customHeight="1">
      <c r="A10230" s="30" t="inlineStr">
        <is>
          <t>POR</t>
        </is>
      </c>
      <c r="B10230" s="30" t="inlineStr">
        <is>
          <t>Porto Real</t>
        </is>
      </c>
      <c r="C10230" s="30" t="n">
        <v>77368280</v>
      </c>
      <c r="D10230" s="30">
        <f>"60619202000571"</f>
        <v/>
      </c>
      <c r="E10230" s="30" t="inlineStr">
        <is>
          <t>MESSER GASES LTDA.</t>
        </is>
      </c>
      <c r="F10230" s="30" t="inlineStr">
        <is>
          <t>2023</t>
        </is>
      </c>
      <c r="G10230" s="40" t="n">
        <v>0</v>
      </c>
    </row>
    <row r="10231" ht="12" customHeight="1">
      <c r="A10231" s="30" t="inlineStr">
        <is>
          <t>POR</t>
        </is>
      </c>
      <c r="B10231" s="30" t="inlineStr">
        <is>
          <t>Porto Real</t>
        </is>
      </c>
      <c r="C10231" s="30" t="n">
        <v>77380450</v>
      </c>
      <c r="D10231" s="30">
        <f>"19199348003284"</f>
        <v/>
      </c>
      <c r="E10231" s="30" t="inlineStr">
        <is>
          <t>SADA TRANSPORTES E ARMAZENAGENS S/A</t>
        </is>
      </c>
      <c r="F10231" s="30" t="inlineStr">
        <is>
          <t>2017</t>
        </is>
      </c>
      <c r="G10231" s="40" t="n">
        <v>8001262.97</v>
      </c>
    </row>
    <row r="10232" ht="12" customHeight="1">
      <c r="A10232" s="30" t="inlineStr">
        <is>
          <t>POR</t>
        </is>
      </c>
      <c r="B10232" s="30" t="inlineStr">
        <is>
          <t>Porto Real</t>
        </is>
      </c>
      <c r="C10232" s="30" t="n">
        <v>77380450</v>
      </c>
      <c r="D10232" s="30">
        <f>"19199348003284"</f>
        <v/>
      </c>
      <c r="E10232" s="30" t="inlineStr">
        <is>
          <t>SADA TRANSPORTES E ARMAZENAGENS S/A</t>
        </is>
      </c>
      <c r="F10232" s="30" t="inlineStr">
        <is>
          <t>2018</t>
        </is>
      </c>
      <c r="G10232" s="40" t="n">
        <v>7297446.64</v>
      </c>
    </row>
    <row r="10233" ht="12" customHeight="1">
      <c r="A10233" s="30" t="inlineStr">
        <is>
          <t>POR</t>
        </is>
      </c>
      <c r="B10233" s="30" t="inlineStr">
        <is>
          <t>Porto Real</t>
        </is>
      </c>
      <c r="C10233" s="30" t="n">
        <v>77380450</v>
      </c>
      <c r="D10233" s="30">
        <f>"19199348003284"</f>
        <v/>
      </c>
      <c r="E10233" s="30" t="inlineStr">
        <is>
          <t>SADA TRANSPORTES E ARMAZENAGENS S/A</t>
        </is>
      </c>
      <c r="F10233" s="30" t="inlineStr">
        <is>
          <t>2019</t>
        </is>
      </c>
      <c r="G10233" s="40" t="n">
        <v>7731105.36</v>
      </c>
    </row>
    <row r="10234" ht="12" customHeight="1">
      <c r="A10234" s="30" t="inlineStr">
        <is>
          <t>POR</t>
        </is>
      </c>
      <c r="B10234" s="30" t="inlineStr">
        <is>
          <t>Porto Real</t>
        </is>
      </c>
      <c r="C10234" s="30" t="n">
        <v>77380450</v>
      </c>
      <c r="D10234" s="30">
        <f>"19199348003284"</f>
        <v/>
      </c>
      <c r="E10234" s="30" t="inlineStr">
        <is>
          <t>SADA TRANSPORTES E ARMAZENAGENS S/A</t>
        </is>
      </c>
      <c r="F10234" s="30" t="inlineStr">
        <is>
          <t>2020</t>
        </is>
      </c>
      <c r="G10234" s="40" t="n">
        <v>4148239.32</v>
      </c>
    </row>
    <row r="10235" ht="12" customHeight="1">
      <c r="A10235" s="30" t="inlineStr">
        <is>
          <t>POR</t>
        </is>
      </c>
      <c r="B10235" s="30" t="inlineStr">
        <is>
          <t>Porto Real</t>
        </is>
      </c>
      <c r="C10235" s="30" t="n">
        <v>77380450</v>
      </c>
      <c r="D10235" s="30">
        <f>"19199348003284"</f>
        <v/>
      </c>
      <c r="E10235" s="30" t="inlineStr">
        <is>
          <t>SADA TRANSPORTES E ARMAZENAGENS S/A</t>
        </is>
      </c>
      <c r="F10235" s="30" t="inlineStr">
        <is>
          <t>2021</t>
        </is>
      </c>
      <c r="G10235" s="40" t="n">
        <v>9512714.199999999</v>
      </c>
    </row>
    <row r="10236" ht="12" customHeight="1">
      <c r="A10236" s="30" t="inlineStr">
        <is>
          <t>POR</t>
        </is>
      </c>
      <c r="B10236" s="30" t="inlineStr">
        <is>
          <t>Porto Real</t>
        </is>
      </c>
      <c r="C10236" s="30" t="n">
        <v>77380450</v>
      </c>
      <c r="D10236" s="30">
        <f>"19199348003284"</f>
        <v/>
      </c>
      <c r="E10236" s="30" t="inlineStr">
        <is>
          <t>SADA TRANSPORTES E ARMAZENAGENS S/A</t>
        </is>
      </c>
      <c r="F10236" s="30" t="inlineStr">
        <is>
          <t>2022</t>
        </is>
      </c>
      <c r="G10236" s="40" t="n">
        <v>22515771.49</v>
      </c>
    </row>
    <row r="10237" ht="12" customHeight="1">
      <c r="A10237" s="30" t="inlineStr">
        <is>
          <t>POR</t>
        </is>
      </c>
      <c r="B10237" s="30" t="inlineStr">
        <is>
          <t>Porto Real</t>
        </is>
      </c>
      <c r="C10237" s="30" t="n">
        <v>77380450</v>
      </c>
      <c r="D10237" s="30">
        <f>"19199348003284"</f>
        <v/>
      </c>
      <c r="E10237" s="30" t="inlineStr">
        <is>
          <t>SADA TRANSPORTES E ARMAZENAGENS S/A</t>
        </is>
      </c>
      <c r="F10237" s="30" t="inlineStr">
        <is>
          <t>2023</t>
        </is>
      </c>
      <c r="G10237" s="40" t="n">
        <v>15150360.38</v>
      </c>
    </row>
    <row r="10238" ht="12" customHeight="1">
      <c r="A10238" s="30" t="inlineStr">
        <is>
          <t>POR</t>
        </is>
      </c>
      <c r="B10238" s="30" t="inlineStr">
        <is>
          <t>Porto Real</t>
        </is>
      </c>
      <c r="C10238" s="30" t="n">
        <v>77410716</v>
      </c>
      <c r="D10238" s="30">
        <f>"78147105001056"</f>
        <v/>
      </c>
      <c r="E10238" s="30" t="inlineStr">
        <is>
          <t>TRANSPORTADORA VANTROBA LTDA</t>
        </is>
      </c>
      <c r="F10238" s="30" t="inlineStr">
        <is>
          <t>2018</t>
        </is>
      </c>
      <c r="G10238" s="40" t="n">
        <v>0</v>
      </c>
    </row>
    <row r="10239" ht="12" customHeight="1">
      <c r="A10239" s="30" t="inlineStr">
        <is>
          <t>POR</t>
        </is>
      </c>
      <c r="B10239" s="30" t="inlineStr">
        <is>
          <t>Porto Real</t>
        </is>
      </c>
      <c r="C10239" s="30" t="n">
        <v>77410716</v>
      </c>
      <c r="D10239" s="30">
        <f>"78147105001056"</f>
        <v/>
      </c>
      <c r="E10239" s="30" t="inlineStr">
        <is>
          <t>TRANSPORTADORA VANTROBA LTDA</t>
        </is>
      </c>
      <c r="F10239" s="30" t="inlineStr">
        <is>
          <t>2019</t>
        </is>
      </c>
      <c r="G10239" s="40" t="n">
        <v>0</v>
      </c>
    </row>
    <row r="10240" ht="12" customHeight="1">
      <c r="A10240" s="30" t="inlineStr">
        <is>
          <t>POR</t>
        </is>
      </c>
      <c r="B10240" s="30" t="inlineStr">
        <is>
          <t>Porto Real</t>
        </is>
      </c>
      <c r="C10240" s="30" t="n">
        <v>77410716</v>
      </c>
      <c r="D10240" s="30">
        <f>"78147105001056"</f>
        <v/>
      </c>
      <c r="E10240" s="30" t="inlineStr">
        <is>
          <t>TRANSPORTADORA VANTROBA LTDA</t>
        </is>
      </c>
      <c r="F10240" s="30" t="inlineStr">
        <is>
          <t>2020</t>
        </is>
      </c>
      <c r="G10240" s="40" t="n">
        <v>3237.68</v>
      </c>
    </row>
    <row r="10241" ht="12" customHeight="1">
      <c r="A10241" s="30" t="inlineStr">
        <is>
          <t>POR</t>
        </is>
      </c>
      <c r="B10241" s="30" t="inlineStr">
        <is>
          <t>Porto Real</t>
        </is>
      </c>
      <c r="C10241" s="30" t="n">
        <v>77410716</v>
      </c>
      <c r="D10241" s="30">
        <f>"78147105001056"</f>
        <v/>
      </c>
      <c r="E10241" s="30" t="inlineStr">
        <is>
          <t>TRANSPORTADORA VANTROBA LTDA</t>
        </is>
      </c>
      <c r="F10241" s="30" t="inlineStr">
        <is>
          <t>2021</t>
        </is>
      </c>
      <c r="G10241" s="40" t="n">
        <v>0</v>
      </c>
    </row>
    <row r="10242" ht="12" customHeight="1">
      <c r="A10242" s="30" t="inlineStr">
        <is>
          <t>POR</t>
        </is>
      </c>
      <c r="B10242" s="30" t="inlineStr">
        <is>
          <t>Porto Real</t>
        </is>
      </c>
      <c r="C10242" s="30" t="n">
        <v>77410716</v>
      </c>
      <c r="D10242" s="30">
        <f>"78147105001056"</f>
        <v/>
      </c>
      <c r="E10242" s="30" t="inlineStr">
        <is>
          <t>TRANSPORTADORA VANTROBA LTDA</t>
        </is>
      </c>
      <c r="F10242" s="30" t="inlineStr">
        <is>
          <t>2022</t>
        </is>
      </c>
      <c r="G10242" s="40" t="n">
        <v>0</v>
      </c>
    </row>
    <row r="10243" ht="12" customHeight="1">
      <c r="A10243" s="30" t="inlineStr">
        <is>
          <t>POR</t>
        </is>
      </c>
      <c r="B10243" s="30" t="inlineStr">
        <is>
          <t>Porto Real</t>
        </is>
      </c>
      <c r="C10243" s="30" t="n">
        <v>77421718</v>
      </c>
      <c r="D10243" s="30">
        <f>"01014373000508"</f>
        <v/>
      </c>
      <c r="E10243" s="30" t="inlineStr">
        <is>
          <t>AEROSOFT CARGAS AEREAS LTDA</t>
        </is>
      </c>
      <c r="F10243" s="30" t="inlineStr">
        <is>
          <t>2017</t>
        </is>
      </c>
      <c r="G10243" s="40" t="n">
        <v>0</v>
      </c>
    </row>
    <row r="10244" ht="12" customHeight="1">
      <c r="A10244" s="30" t="inlineStr">
        <is>
          <t>POR</t>
        </is>
      </c>
      <c r="B10244" s="30" t="inlineStr">
        <is>
          <t>Porto Real</t>
        </is>
      </c>
      <c r="C10244" s="30" t="n">
        <v>77421718</v>
      </c>
      <c r="D10244" s="30">
        <f>"01014373000508"</f>
        <v/>
      </c>
      <c r="E10244" s="30" t="inlineStr">
        <is>
          <t>AEROSOFT CARGAS AEREAS LTDA</t>
        </is>
      </c>
      <c r="F10244" s="30" t="inlineStr">
        <is>
          <t>2018</t>
        </is>
      </c>
      <c r="G10244" s="40" t="n">
        <v>0</v>
      </c>
    </row>
    <row r="10245" ht="12" customHeight="1">
      <c r="A10245" s="30" t="inlineStr">
        <is>
          <t>POR</t>
        </is>
      </c>
      <c r="B10245" s="30" t="inlineStr">
        <is>
          <t>Porto Real</t>
        </is>
      </c>
      <c r="C10245" s="30" t="n">
        <v>77421718</v>
      </c>
      <c r="D10245" s="30">
        <f>"01014373000508"</f>
        <v/>
      </c>
      <c r="E10245" s="30" t="inlineStr">
        <is>
          <t>AEROSOFT CARGAS AEREAS LTDA</t>
        </is>
      </c>
      <c r="F10245" s="30" t="inlineStr">
        <is>
          <t>2019</t>
        </is>
      </c>
      <c r="G10245" s="40" t="n">
        <v>104.49</v>
      </c>
    </row>
    <row r="10246" ht="12" customHeight="1">
      <c r="A10246" s="30" t="inlineStr">
        <is>
          <t>POR</t>
        </is>
      </c>
      <c r="B10246" s="30" t="inlineStr">
        <is>
          <t>Porto Real</t>
        </is>
      </c>
      <c r="C10246" s="30" t="n">
        <v>77421718</v>
      </c>
      <c r="D10246" s="30">
        <f>"01014373000508"</f>
        <v/>
      </c>
      <c r="E10246" s="30" t="inlineStr">
        <is>
          <t>AEROSOFT CARGAS AEREAS LTDA</t>
        </is>
      </c>
      <c r="F10246" s="30" t="inlineStr">
        <is>
          <t>2020</t>
        </is>
      </c>
      <c r="G10246" s="40" t="n">
        <v>0</v>
      </c>
    </row>
    <row r="10247" ht="12" customHeight="1">
      <c r="A10247" s="30" t="inlineStr">
        <is>
          <t>POR</t>
        </is>
      </c>
      <c r="B10247" s="30" t="inlineStr">
        <is>
          <t>Porto Real</t>
        </is>
      </c>
      <c r="C10247" s="30" t="n">
        <v>77421718</v>
      </c>
      <c r="D10247" s="30">
        <f>"01014373000508"</f>
        <v/>
      </c>
      <c r="E10247" s="30" t="inlineStr">
        <is>
          <t>AEROSOFT CARGAS AEREAS LTDA</t>
        </is>
      </c>
      <c r="F10247" s="30" t="inlineStr">
        <is>
          <t>2021</t>
        </is>
      </c>
      <c r="G10247" s="40" t="n">
        <v>32.44</v>
      </c>
    </row>
    <row r="10248" ht="12" customHeight="1">
      <c r="A10248" s="30" t="inlineStr">
        <is>
          <t>POR</t>
        </is>
      </c>
      <c r="B10248" s="30" t="inlineStr">
        <is>
          <t>Porto Real</t>
        </is>
      </c>
      <c r="C10248" s="30" t="n">
        <v>77421718</v>
      </c>
      <c r="D10248" s="30">
        <f>"01014373000508"</f>
        <v/>
      </c>
      <c r="E10248" s="30" t="inlineStr">
        <is>
          <t>AEROSOFT CARGAS AEREAS LTDA</t>
        </is>
      </c>
      <c r="F10248" s="30" t="inlineStr">
        <is>
          <t>2022</t>
        </is>
      </c>
      <c r="G10248" s="40" t="n">
        <v>0</v>
      </c>
    </row>
    <row r="10249" ht="12" customHeight="1">
      <c r="A10249" s="30" t="inlineStr">
        <is>
          <t>POR</t>
        </is>
      </c>
      <c r="B10249" s="30" t="inlineStr">
        <is>
          <t>Porto Real</t>
        </is>
      </c>
      <c r="C10249" s="30" t="n">
        <v>77421718</v>
      </c>
      <c r="D10249" s="30">
        <f>"01014373000508"</f>
        <v/>
      </c>
      <c r="E10249" s="30" t="inlineStr">
        <is>
          <t>AEROSOFT CARGAS AEREAS LTDA</t>
        </is>
      </c>
      <c r="F10249" s="30" t="inlineStr">
        <is>
          <t>2023</t>
        </is>
      </c>
      <c r="G10249" s="40" t="n">
        <v>0</v>
      </c>
    </row>
    <row r="10250" ht="12" customHeight="1">
      <c r="A10250" s="30" t="inlineStr">
        <is>
          <t>POR</t>
        </is>
      </c>
      <c r="B10250" s="30" t="inlineStr">
        <is>
          <t>Porto Real</t>
        </is>
      </c>
      <c r="C10250" s="30" t="n">
        <v>77422765</v>
      </c>
      <c r="D10250" s="30">
        <f>"05251648000154"</f>
        <v/>
      </c>
      <c r="E10250" s="30" t="inlineStr">
        <is>
          <t>MACROPO TRANSPORTES EIRELI</t>
        </is>
      </c>
      <c r="F10250" s="30" t="inlineStr">
        <is>
          <t>2017</t>
        </is>
      </c>
      <c r="G10250" s="40" t="n">
        <v>0</v>
      </c>
    </row>
    <row r="10251" ht="12" customHeight="1">
      <c r="A10251" s="30" t="inlineStr">
        <is>
          <t>POR</t>
        </is>
      </c>
      <c r="B10251" s="30" t="inlineStr">
        <is>
          <t>Porto Real</t>
        </is>
      </c>
      <c r="C10251" s="30" t="n">
        <v>77422765</v>
      </c>
      <c r="D10251" s="30">
        <f>"05251648000154"</f>
        <v/>
      </c>
      <c r="E10251" s="30" t="inlineStr">
        <is>
          <t>MACROPO TRANSPORTES EIRELI</t>
        </is>
      </c>
      <c r="F10251" s="30" t="inlineStr">
        <is>
          <t>2018</t>
        </is>
      </c>
      <c r="G10251" s="40" t="n">
        <v>68775</v>
      </c>
    </row>
    <row r="10252" ht="12" customHeight="1">
      <c r="A10252" s="30" t="inlineStr">
        <is>
          <t>POR</t>
        </is>
      </c>
      <c r="B10252" s="30" t="inlineStr">
        <is>
          <t>Porto Real</t>
        </is>
      </c>
      <c r="C10252" s="30" t="n">
        <v>77422765</v>
      </c>
      <c r="D10252" s="30">
        <f>"05251648000154"</f>
        <v/>
      </c>
      <c r="E10252" s="30" t="inlineStr">
        <is>
          <t>MACROPO TRANSPORTES EIRELI</t>
        </is>
      </c>
      <c r="F10252" s="30" t="inlineStr">
        <is>
          <t>2019</t>
        </is>
      </c>
      <c r="G10252" s="40" t="n">
        <v>245650</v>
      </c>
    </row>
    <row r="10253" ht="12" customHeight="1">
      <c r="A10253" s="30" t="inlineStr">
        <is>
          <t>POR</t>
        </is>
      </c>
      <c r="B10253" s="30" t="inlineStr">
        <is>
          <t>Porto Real</t>
        </is>
      </c>
      <c r="C10253" s="30" t="n">
        <v>77422765</v>
      </c>
      <c r="D10253" s="30">
        <f>"05251648000154"</f>
        <v/>
      </c>
      <c r="E10253" s="30" t="inlineStr">
        <is>
          <t>MACROPO TRANSPORTES EIRELI</t>
        </is>
      </c>
      <c r="F10253" s="30" t="inlineStr">
        <is>
          <t>2020</t>
        </is>
      </c>
      <c r="G10253" s="40" t="n">
        <v>34400</v>
      </c>
    </row>
    <row r="10254" ht="12" customHeight="1">
      <c r="A10254" s="30" t="inlineStr">
        <is>
          <t>POR</t>
        </is>
      </c>
      <c r="B10254" s="30" t="inlineStr">
        <is>
          <t>Porto Real</t>
        </is>
      </c>
      <c r="C10254" s="30" t="n">
        <v>77422765</v>
      </c>
      <c r="D10254" s="30">
        <f>"05251648000154"</f>
        <v/>
      </c>
      <c r="E10254" s="30" t="inlineStr">
        <is>
          <t>MACROPO TRANSPORTES EIRELI</t>
        </is>
      </c>
      <c r="F10254" s="30" t="inlineStr">
        <is>
          <t>2021</t>
        </is>
      </c>
      <c r="G10254" s="40" t="n">
        <v>86000</v>
      </c>
    </row>
    <row r="10255" ht="12" customHeight="1">
      <c r="A10255" s="30" t="inlineStr">
        <is>
          <t>POR</t>
        </is>
      </c>
      <c r="B10255" s="30" t="inlineStr">
        <is>
          <t>Porto Real</t>
        </is>
      </c>
      <c r="C10255" s="30" t="n">
        <v>77422765</v>
      </c>
      <c r="D10255" s="30">
        <f>"05251648000154"</f>
        <v/>
      </c>
      <c r="E10255" s="30" t="inlineStr">
        <is>
          <t>MACROPO TRANSPORTES EIRELI</t>
        </is>
      </c>
      <c r="F10255" s="30" t="inlineStr">
        <is>
          <t>2022</t>
        </is>
      </c>
      <c r="G10255" s="40" t="n">
        <v>0</v>
      </c>
    </row>
    <row r="10256" ht="12" customHeight="1">
      <c r="A10256" s="30" t="inlineStr">
        <is>
          <t>POR</t>
        </is>
      </c>
      <c r="B10256" s="30" t="inlineStr">
        <is>
          <t>Porto Real</t>
        </is>
      </c>
      <c r="C10256" s="30" t="n">
        <v>77422765</v>
      </c>
      <c r="D10256" s="30">
        <f>"05251648000154"</f>
        <v/>
      </c>
      <c r="E10256" s="30" t="inlineStr">
        <is>
          <t>MACROPO TRANSPORTES EIRELI</t>
        </is>
      </c>
      <c r="F10256" s="30" t="inlineStr">
        <is>
          <t>2023</t>
        </is>
      </c>
      <c r="G10256" s="40" t="n">
        <v>0</v>
      </c>
    </row>
    <row r="10257" ht="12" customHeight="1">
      <c r="A10257" s="30" t="inlineStr">
        <is>
          <t>POR</t>
        </is>
      </c>
      <c r="B10257" s="30" t="inlineStr">
        <is>
          <t>Porto Real</t>
        </is>
      </c>
      <c r="C10257" s="30" t="n">
        <v>77440330</v>
      </c>
      <c r="D10257" s="30">
        <f>"04335814000138"</f>
        <v/>
      </c>
      <c r="E10257" s="30" t="inlineStr">
        <is>
          <t>S &amp; A TRANSPORTES LTDA</t>
        </is>
      </c>
      <c r="F10257" s="30" t="inlineStr">
        <is>
          <t>2017</t>
        </is>
      </c>
      <c r="G10257" s="40" t="n">
        <v>1750</v>
      </c>
    </row>
    <row r="10258" ht="12" customHeight="1">
      <c r="A10258" s="30" t="inlineStr">
        <is>
          <t>POR</t>
        </is>
      </c>
      <c r="B10258" s="30" t="inlineStr">
        <is>
          <t>Porto Real</t>
        </is>
      </c>
      <c r="C10258" s="30" t="n">
        <v>77440330</v>
      </c>
      <c r="D10258" s="30">
        <f>"04335814000138"</f>
        <v/>
      </c>
      <c r="E10258" s="30" t="inlineStr">
        <is>
          <t>S &amp; A TRANSPORTES LTDA</t>
        </is>
      </c>
      <c r="F10258" s="30" t="inlineStr">
        <is>
          <t>2018</t>
        </is>
      </c>
      <c r="G10258" s="40" t="n">
        <v>1600</v>
      </c>
    </row>
    <row r="10259" ht="12" customHeight="1">
      <c r="A10259" s="30" t="inlineStr">
        <is>
          <t>POR</t>
        </is>
      </c>
      <c r="B10259" s="30" t="inlineStr">
        <is>
          <t>Porto Real</t>
        </is>
      </c>
      <c r="C10259" s="30" t="n">
        <v>77440330</v>
      </c>
      <c r="D10259" s="30">
        <f>"04335814000138"</f>
        <v/>
      </c>
      <c r="E10259" s="30" t="inlineStr">
        <is>
          <t>S &amp; A TRANSPORTES LTDA</t>
        </is>
      </c>
      <c r="F10259" s="30" t="inlineStr">
        <is>
          <t>2019</t>
        </is>
      </c>
      <c r="G10259" s="40" t="n">
        <v>0</v>
      </c>
    </row>
    <row r="10260" ht="12" customHeight="1">
      <c r="A10260" s="30" t="inlineStr">
        <is>
          <t>POR</t>
        </is>
      </c>
      <c r="B10260" s="30" t="inlineStr">
        <is>
          <t>Porto Real</t>
        </is>
      </c>
      <c r="C10260" s="30" t="n">
        <v>77440330</v>
      </c>
      <c r="D10260" s="30">
        <f>"04335814000138"</f>
        <v/>
      </c>
      <c r="E10260" s="30" t="inlineStr">
        <is>
          <t>S &amp; A TRANSPORTES LTDA</t>
        </is>
      </c>
      <c r="F10260" s="30" t="inlineStr">
        <is>
          <t>2020</t>
        </is>
      </c>
      <c r="G10260" s="40" t="n">
        <v>0</v>
      </c>
    </row>
    <row r="10261" ht="12" customHeight="1">
      <c r="A10261" s="30" t="inlineStr">
        <is>
          <t>POR</t>
        </is>
      </c>
      <c r="B10261" s="30" t="inlineStr">
        <is>
          <t>Porto Real</t>
        </is>
      </c>
      <c r="C10261" s="30" t="n">
        <v>77440330</v>
      </c>
      <c r="D10261" s="30">
        <f>"04335814000138"</f>
        <v/>
      </c>
      <c r="E10261" s="30" t="inlineStr">
        <is>
          <t>S &amp; A TRANSPORTES LTDA</t>
        </is>
      </c>
      <c r="F10261" s="30" t="inlineStr">
        <is>
          <t>2021</t>
        </is>
      </c>
      <c r="G10261" s="40" t="n">
        <v>0</v>
      </c>
    </row>
    <row r="10262" ht="12" customHeight="1">
      <c r="A10262" s="30" t="inlineStr">
        <is>
          <t>POR</t>
        </is>
      </c>
      <c r="B10262" s="30" t="inlineStr">
        <is>
          <t>Porto Real</t>
        </is>
      </c>
      <c r="C10262" s="30" t="n">
        <v>77440330</v>
      </c>
      <c r="D10262" s="30">
        <f>"04335814000138"</f>
        <v/>
      </c>
      <c r="E10262" s="30" t="inlineStr">
        <is>
          <t>S &amp; A TRANSPORTES LTDA</t>
        </is>
      </c>
      <c r="F10262" s="30" t="inlineStr">
        <is>
          <t>2022</t>
        </is>
      </c>
      <c r="G10262" s="40" t="n">
        <v>36900</v>
      </c>
    </row>
    <row r="10263" ht="12" customHeight="1">
      <c r="A10263" s="30" t="inlineStr">
        <is>
          <t>POR</t>
        </is>
      </c>
      <c r="B10263" s="30" t="inlineStr">
        <is>
          <t>Porto Real</t>
        </is>
      </c>
      <c r="C10263" s="30" t="n">
        <v>77440330</v>
      </c>
      <c r="D10263" s="30">
        <f>"04335814000138"</f>
        <v/>
      </c>
      <c r="E10263" s="30" t="inlineStr">
        <is>
          <t>S &amp; A TRANSPORTES LTDA</t>
        </is>
      </c>
      <c r="F10263" s="30" t="inlineStr">
        <is>
          <t>2023</t>
        </is>
      </c>
      <c r="G10263" s="40" t="n">
        <v>0</v>
      </c>
    </row>
    <row r="10264" ht="12" customHeight="1">
      <c r="A10264" s="30" t="inlineStr">
        <is>
          <t>POR</t>
        </is>
      </c>
      <c r="B10264" s="30" t="inlineStr">
        <is>
          <t>Porto Real</t>
        </is>
      </c>
      <c r="C10264" s="30" t="n">
        <v>77443673</v>
      </c>
      <c r="D10264" s="30">
        <f>"05294609000134"</f>
        <v/>
      </c>
      <c r="E10264" s="30" t="inlineStr">
        <is>
          <t>ZIRANLOG ARMAZENS GERAIS E TRANSPORTES EIRELI</t>
        </is>
      </c>
      <c r="F10264" s="30" t="inlineStr">
        <is>
          <t>2018</t>
        </is>
      </c>
      <c r="G10264" s="40" t="n">
        <v>0</v>
      </c>
    </row>
    <row r="10265" ht="12" customHeight="1">
      <c r="A10265" s="30" t="inlineStr">
        <is>
          <t>POR</t>
        </is>
      </c>
      <c r="B10265" s="30" t="inlineStr">
        <is>
          <t>Porto Real</t>
        </is>
      </c>
      <c r="C10265" s="30" t="n">
        <v>77443673</v>
      </c>
      <c r="D10265" s="30">
        <f>"05294609000134"</f>
        <v/>
      </c>
      <c r="E10265" s="30" t="inlineStr">
        <is>
          <t>ZIRANLOG ARMAZENS GERAIS E TRANSPORTES EIRELI</t>
        </is>
      </c>
      <c r="F10265" s="30" t="inlineStr">
        <is>
          <t>2019</t>
        </is>
      </c>
      <c r="G10265" s="40" t="n">
        <v>0</v>
      </c>
    </row>
    <row r="10266" ht="12" customHeight="1">
      <c r="A10266" s="30" t="inlineStr">
        <is>
          <t>POR</t>
        </is>
      </c>
      <c r="B10266" s="30" t="inlineStr">
        <is>
          <t>Porto Real</t>
        </is>
      </c>
      <c r="C10266" s="30" t="n">
        <v>77443673</v>
      </c>
      <c r="D10266" s="30">
        <f>"05294609000134"</f>
        <v/>
      </c>
      <c r="E10266" s="30" t="inlineStr">
        <is>
          <t>ZIRANLOG ARMAZENS GERAIS E TRANSPORTES EIRELI</t>
        </is>
      </c>
      <c r="F10266" s="30" t="inlineStr">
        <is>
          <t>2020</t>
        </is>
      </c>
      <c r="G10266" s="40" t="n">
        <v>2853.69</v>
      </c>
    </row>
    <row r="10267" ht="12" customHeight="1">
      <c r="A10267" s="30" t="inlineStr">
        <is>
          <t>POR</t>
        </is>
      </c>
      <c r="B10267" s="30" t="inlineStr">
        <is>
          <t>Porto Real</t>
        </is>
      </c>
      <c r="C10267" s="30" t="n">
        <v>77443673</v>
      </c>
      <c r="D10267" s="30">
        <f>"05294609000134"</f>
        <v/>
      </c>
      <c r="E10267" s="30" t="inlineStr">
        <is>
          <t>ZIRANLOG ARMAZENS GERAIS E TRANSPORTES EIRELI</t>
        </is>
      </c>
      <c r="F10267" s="30" t="inlineStr">
        <is>
          <t>2021</t>
        </is>
      </c>
      <c r="G10267" s="40" t="n">
        <v>0</v>
      </c>
    </row>
    <row r="10268" ht="12" customHeight="1">
      <c r="A10268" s="30" t="inlineStr">
        <is>
          <t>POR</t>
        </is>
      </c>
      <c r="B10268" s="30" t="inlineStr">
        <is>
          <t>Porto Real</t>
        </is>
      </c>
      <c r="C10268" s="30" t="n">
        <v>77443673</v>
      </c>
      <c r="D10268" s="30">
        <f>"05294609000134"</f>
        <v/>
      </c>
      <c r="E10268" s="30" t="inlineStr">
        <is>
          <t>ZIRANLOG ARMAZENS GERAIS E TRANSPORTES EIRELI</t>
        </is>
      </c>
      <c r="F10268" s="30" t="inlineStr">
        <is>
          <t>2022</t>
        </is>
      </c>
      <c r="G10268" s="40" t="n">
        <v>0</v>
      </c>
    </row>
    <row r="10269" ht="12" customHeight="1">
      <c r="A10269" s="30" t="inlineStr">
        <is>
          <t>POR</t>
        </is>
      </c>
      <c r="B10269" s="30" t="inlineStr">
        <is>
          <t>Porto Real</t>
        </is>
      </c>
      <c r="C10269" s="30" t="n">
        <v>77452443</v>
      </c>
      <c r="D10269" s="30">
        <f>"02558157001487"</f>
        <v/>
      </c>
      <c r="E10269" s="30" t="inlineStr">
        <is>
          <t>TELEFONICA BRASIL S.A.</t>
        </is>
      </c>
      <c r="F10269" s="30" t="inlineStr">
        <is>
          <t>2017</t>
        </is>
      </c>
      <c r="G10269" s="40" t="n">
        <v>3529894.71</v>
      </c>
    </row>
    <row r="10270" ht="12" customHeight="1">
      <c r="A10270" s="30" t="inlineStr">
        <is>
          <t>POR</t>
        </is>
      </c>
      <c r="B10270" s="30" t="inlineStr">
        <is>
          <t>Porto Real</t>
        </is>
      </c>
      <c r="C10270" s="30" t="n">
        <v>77452443</v>
      </c>
      <c r="D10270" s="30">
        <f>"02558157001487"</f>
        <v/>
      </c>
      <c r="E10270" s="30" t="inlineStr">
        <is>
          <t>TELEFONICA BRASIL S.A.</t>
        </is>
      </c>
      <c r="F10270" s="30" t="inlineStr">
        <is>
          <t>2018</t>
        </is>
      </c>
      <c r="G10270" s="40" t="n">
        <v>3021810.47</v>
      </c>
    </row>
    <row r="10271" ht="12" customHeight="1">
      <c r="A10271" s="30" t="inlineStr">
        <is>
          <t>POR</t>
        </is>
      </c>
      <c r="B10271" s="30" t="inlineStr">
        <is>
          <t>Porto Real</t>
        </is>
      </c>
      <c r="C10271" s="30" t="n">
        <v>77452443</v>
      </c>
      <c r="D10271" s="30">
        <f>"02558157001487"</f>
        <v/>
      </c>
      <c r="E10271" s="30" t="inlineStr">
        <is>
          <t>TELEFONICA BRASIL S.A.</t>
        </is>
      </c>
      <c r="F10271" s="30" t="inlineStr">
        <is>
          <t>2019</t>
        </is>
      </c>
      <c r="G10271" s="40" t="n">
        <v>2855069.86</v>
      </c>
    </row>
    <row r="10272" ht="12" customHeight="1">
      <c r="A10272" s="30" t="inlineStr">
        <is>
          <t>POR</t>
        </is>
      </c>
      <c r="B10272" s="30" t="inlineStr">
        <is>
          <t>Porto Real</t>
        </is>
      </c>
      <c r="C10272" s="30" t="n">
        <v>77452443</v>
      </c>
      <c r="D10272" s="30">
        <f>"02558157001487"</f>
        <v/>
      </c>
      <c r="E10272" s="30" t="inlineStr">
        <is>
          <t>TELEFONICA BRASIL S.A.</t>
        </is>
      </c>
      <c r="F10272" s="30" t="inlineStr">
        <is>
          <t>2020</t>
        </is>
      </c>
      <c r="G10272" s="40" t="n">
        <v>2669998.12</v>
      </c>
    </row>
    <row r="10273" ht="12" customHeight="1">
      <c r="A10273" s="30" t="inlineStr">
        <is>
          <t>POR</t>
        </is>
      </c>
      <c r="B10273" s="30" t="inlineStr">
        <is>
          <t>Porto Real</t>
        </is>
      </c>
      <c r="C10273" s="30" t="n">
        <v>77452443</v>
      </c>
      <c r="D10273" s="30">
        <f>"02558157001487"</f>
        <v/>
      </c>
      <c r="E10273" s="30" t="inlineStr">
        <is>
          <t>TELEFONICA BRASIL S.A.</t>
        </is>
      </c>
      <c r="F10273" s="30" t="inlineStr">
        <is>
          <t>2021</t>
        </is>
      </c>
      <c r="G10273" s="40" t="n">
        <v>4290449.86</v>
      </c>
    </row>
    <row r="10274" ht="12" customHeight="1">
      <c r="A10274" s="30" t="inlineStr">
        <is>
          <t>POR</t>
        </is>
      </c>
      <c r="B10274" s="30" t="inlineStr">
        <is>
          <t>Porto Real</t>
        </is>
      </c>
      <c r="C10274" s="30" t="n">
        <v>77452443</v>
      </c>
      <c r="D10274" s="30">
        <f>"02558157001487"</f>
        <v/>
      </c>
      <c r="E10274" s="30" t="inlineStr">
        <is>
          <t>TELEFONICA BRASIL S.A.</t>
        </is>
      </c>
      <c r="F10274" s="30" t="inlineStr">
        <is>
          <t>2022</t>
        </is>
      </c>
      <c r="G10274" s="40" t="n">
        <v>4229168.45</v>
      </c>
    </row>
    <row r="10275" ht="12" customHeight="1">
      <c r="A10275" s="30" t="inlineStr">
        <is>
          <t>POR</t>
        </is>
      </c>
      <c r="B10275" s="30" t="inlineStr">
        <is>
          <t>Porto Real</t>
        </is>
      </c>
      <c r="C10275" s="30" t="n">
        <v>77452443</v>
      </c>
      <c r="D10275" s="30">
        <f>"02558157001487"</f>
        <v/>
      </c>
      <c r="E10275" s="30" t="inlineStr">
        <is>
          <t>TELEFONICA BRASIL S.A.</t>
        </is>
      </c>
      <c r="F10275" s="30" t="inlineStr">
        <is>
          <t>2023</t>
        </is>
      </c>
      <c r="G10275" s="40" t="n">
        <v>3889534.14</v>
      </c>
    </row>
    <row r="10276" ht="12" customHeight="1">
      <c r="A10276" s="30" t="inlineStr">
        <is>
          <t>POR</t>
        </is>
      </c>
      <c r="B10276" s="30" t="inlineStr">
        <is>
          <t>Porto Real</t>
        </is>
      </c>
      <c r="C10276" s="30" t="n">
        <v>77455132</v>
      </c>
      <c r="D10276" s="30">
        <f>"86458478000185"</f>
        <v/>
      </c>
      <c r="E10276" s="30" t="inlineStr">
        <is>
          <t>TRANSANTA RITA LTDA</t>
        </is>
      </c>
      <c r="F10276" s="30" t="inlineStr">
        <is>
          <t>2020</t>
        </is>
      </c>
      <c r="G10276" s="40" t="n">
        <v>0</v>
      </c>
    </row>
    <row r="10277" ht="12" customHeight="1">
      <c r="A10277" s="30" t="inlineStr">
        <is>
          <t>POR</t>
        </is>
      </c>
      <c r="B10277" s="30" t="inlineStr">
        <is>
          <t>Porto Real</t>
        </is>
      </c>
      <c r="C10277" s="30" t="n">
        <v>77455132</v>
      </c>
      <c r="D10277" s="30">
        <f>"86458478000185"</f>
        <v/>
      </c>
      <c r="E10277" s="30" t="inlineStr">
        <is>
          <t>TRANSANTA RITA LTDA</t>
        </is>
      </c>
      <c r="F10277" s="30" t="inlineStr">
        <is>
          <t>2021</t>
        </is>
      </c>
      <c r="G10277" s="40" t="n">
        <v>0</v>
      </c>
    </row>
    <row r="10278" ht="12" customHeight="1">
      <c r="A10278" s="30" t="inlineStr">
        <is>
          <t>POR</t>
        </is>
      </c>
      <c r="B10278" s="30" t="inlineStr">
        <is>
          <t>Porto Real</t>
        </is>
      </c>
      <c r="C10278" s="30" t="n">
        <v>77455132</v>
      </c>
      <c r="D10278" s="30">
        <f>"86458478000185"</f>
        <v/>
      </c>
      <c r="E10278" s="30" t="inlineStr">
        <is>
          <t>TRANSANTA RITA LTDA</t>
        </is>
      </c>
      <c r="F10278" s="30" t="inlineStr">
        <is>
          <t>2022</t>
        </is>
      </c>
      <c r="G10278" s="40" t="n">
        <v>5460.82</v>
      </c>
    </row>
    <row r="10279" ht="12" customHeight="1">
      <c r="A10279" s="30" t="inlineStr">
        <is>
          <t>POR</t>
        </is>
      </c>
      <c r="B10279" s="30" t="inlineStr">
        <is>
          <t>Porto Real</t>
        </is>
      </c>
      <c r="C10279" s="30" t="n">
        <v>77455132</v>
      </c>
      <c r="D10279" s="30">
        <f>"86458478000185"</f>
        <v/>
      </c>
      <c r="E10279" s="30" t="inlineStr">
        <is>
          <t>TRANSANTA RITA LTDA</t>
        </is>
      </c>
      <c r="F10279" s="30" t="inlineStr">
        <is>
          <t>2023</t>
        </is>
      </c>
      <c r="G10279" s="40" t="n">
        <v>0</v>
      </c>
    </row>
    <row r="10280" ht="12" customHeight="1">
      <c r="A10280" s="30" t="inlineStr">
        <is>
          <t>POR</t>
        </is>
      </c>
      <c r="B10280" s="30" t="inlineStr">
        <is>
          <t>Porto Real</t>
        </is>
      </c>
      <c r="C10280" s="30" t="n">
        <v>77485554</v>
      </c>
      <c r="D10280" s="30">
        <f>"44597524000420"</f>
        <v/>
      </c>
      <c r="E10280" s="30" t="inlineStr">
        <is>
          <t>TRANSPORTADORA CAPIVARI LTDA</t>
        </is>
      </c>
      <c r="F10280" s="30" t="inlineStr">
        <is>
          <t>2017</t>
        </is>
      </c>
      <c r="G10280" s="40" t="n">
        <v>0</v>
      </c>
    </row>
    <row r="10281" ht="12" customHeight="1">
      <c r="A10281" s="30" t="inlineStr">
        <is>
          <t>POR</t>
        </is>
      </c>
      <c r="B10281" s="30" t="inlineStr">
        <is>
          <t>Porto Real</t>
        </is>
      </c>
      <c r="C10281" s="30" t="n">
        <v>77485554</v>
      </c>
      <c r="D10281" s="30">
        <f>"44597524000420"</f>
        <v/>
      </c>
      <c r="E10281" s="30" t="inlineStr">
        <is>
          <t>TRANSPORTADORA CAPIVARI LTDA</t>
        </is>
      </c>
      <c r="F10281" s="30" t="inlineStr">
        <is>
          <t>2018</t>
        </is>
      </c>
      <c r="G10281" s="40" t="n">
        <v>527.28</v>
      </c>
    </row>
    <row r="10282" ht="12" customHeight="1">
      <c r="A10282" s="30" t="inlineStr">
        <is>
          <t>POR</t>
        </is>
      </c>
      <c r="B10282" s="30" t="inlineStr">
        <is>
          <t>Porto Real</t>
        </is>
      </c>
      <c r="C10282" s="30" t="n">
        <v>77485554</v>
      </c>
      <c r="D10282" s="30">
        <f>"44597524000420"</f>
        <v/>
      </c>
      <c r="E10282" s="30" t="inlineStr">
        <is>
          <t>TRANSPORTADORA CAPIVARI LTDA</t>
        </is>
      </c>
      <c r="F10282" s="30" t="inlineStr">
        <is>
          <t>2019</t>
        </is>
      </c>
      <c r="G10282" s="40" t="n">
        <v>347.89</v>
      </c>
    </row>
    <row r="10283" ht="12" customHeight="1">
      <c r="A10283" s="30" t="inlineStr">
        <is>
          <t>POR</t>
        </is>
      </c>
      <c r="B10283" s="30" t="inlineStr">
        <is>
          <t>Porto Real</t>
        </is>
      </c>
      <c r="C10283" s="30" t="n">
        <v>77485554</v>
      </c>
      <c r="D10283" s="30">
        <f>"44597524000420"</f>
        <v/>
      </c>
      <c r="E10283" s="30" t="inlineStr">
        <is>
          <t>TRANSPORTADORA CAPIVARI LTDA</t>
        </is>
      </c>
      <c r="F10283" s="30" t="inlineStr">
        <is>
          <t>2020</t>
        </is>
      </c>
      <c r="G10283" s="40" t="n">
        <v>0</v>
      </c>
    </row>
    <row r="10284" ht="12" customHeight="1">
      <c r="A10284" s="30" t="inlineStr">
        <is>
          <t>POR</t>
        </is>
      </c>
      <c r="B10284" s="30" t="inlineStr">
        <is>
          <t>Porto Real</t>
        </is>
      </c>
      <c r="C10284" s="30" t="n">
        <v>77485554</v>
      </c>
      <c r="D10284" s="30">
        <f>"44597524000420"</f>
        <v/>
      </c>
      <c r="E10284" s="30" t="inlineStr">
        <is>
          <t>TRANSPORTADORA CAPIVARI LTDA</t>
        </is>
      </c>
      <c r="F10284" s="30" t="inlineStr">
        <is>
          <t>2021</t>
        </is>
      </c>
      <c r="G10284" s="40" t="n">
        <v>89.28</v>
      </c>
    </row>
    <row r="10285" ht="12" customHeight="1">
      <c r="A10285" s="30" t="inlineStr">
        <is>
          <t>POR</t>
        </is>
      </c>
      <c r="B10285" s="30" t="inlineStr">
        <is>
          <t>Porto Real</t>
        </is>
      </c>
      <c r="C10285" s="30" t="n">
        <v>77485554</v>
      </c>
      <c r="D10285" s="30">
        <f>"44597524000420"</f>
        <v/>
      </c>
      <c r="E10285" s="30" t="inlineStr">
        <is>
          <t>TRANSPORTADORA CAPIVARI LTDA</t>
        </is>
      </c>
      <c r="F10285" s="30" t="inlineStr">
        <is>
          <t>2022</t>
        </is>
      </c>
      <c r="G10285" s="40" t="n">
        <v>0</v>
      </c>
    </row>
    <row r="10286" ht="12" customHeight="1">
      <c r="A10286" s="30" t="inlineStr">
        <is>
          <t>POR</t>
        </is>
      </c>
      <c r="B10286" s="30" t="inlineStr">
        <is>
          <t>Porto Real</t>
        </is>
      </c>
      <c r="C10286" s="30" t="n">
        <v>77485554</v>
      </c>
      <c r="D10286" s="30">
        <f>"44597524000420"</f>
        <v/>
      </c>
      <c r="E10286" s="30" t="inlineStr">
        <is>
          <t>TRANSPORTADORA CAPIVARI LTDA</t>
        </is>
      </c>
      <c r="F10286" s="30" t="inlineStr">
        <is>
          <t>2023</t>
        </is>
      </c>
      <c r="G10286" s="40" t="n">
        <v>0</v>
      </c>
    </row>
    <row r="10287" ht="12" customHeight="1">
      <c r="A10287" s="30" t="inlineStr">
        <is>
          <t>POR</t>
        </is>
      </c>
      <c r="B10287" s="30" t="inlineStr">
        <is>
          <t>Porto Real</t>
        </is>
      </c>
      <c r="C10287" s="30" t="n">
        <v>77522905</v>
      </c>
      <c r="D10287" s="30">
        <f>"04833584000137"</f>
        <v/>
      </c>
      <c r="E10287" s="30" t="inlineStr">
        <is>
          <t>TRANSMARGOO TURISMO E FRETAMENTO EIRELI</t>
        </is>
      </c>
      <c r="F10287" s="30" t="inlineStr">
        <is>
          <t>2017</t>
        </is>
      </c>
      <c r="G10287" s="40" t="n">
        <v>6317843.99</v>
      </c>
    </row>
    <row r="10288" ht="12" customHeight="1">
      <c r="A10288" s="30" t="inlineStr">
        <is>
          <t>POR</t>
        </is>
      </c>
      <c r="B10288" s="30" t="inlineStr">
        <is>
          <t>Porto Real</t>
        </is>
      </c>
      <c r="C10288" s="30" t="n">
        <v>77522905</v>
      </c>
      <c r="D10288" s="30">
        <f>"04833584000137"</f>
        <v/>
      </c>
      <c r="E10288" s="30" t="inlineStr">
        <is>
          <t>TRANSMARGOO TURISMO E FRETAMENTO EIRELI</t>
        </is>
      </c>
      <c r="F10288" s="30" t="inlineStr">
        <is>
          <t>2018</t>
        </is>
      </c>
      <c r="G10288" s="40" t="n">
        <v>0</v>
      </c>
    </row>
    <row r="10289" ht="12" customHeight="1">
      <c r="A10289" s="30" t="inlineStr">
        <is>
          <t>POR</t>
        </is>
      </c>
      <c r="B10289" s="30" t="inlineStr">
        <is>
          <t>Porto Real</t>
        </is>
      </c>
      <c r="C10289" s="30" t="n">
        <v>77522905</v>
      </c>
      <c r="D10289" s="30">
        <f>"04833584000137"</f>
        <v/>
      </c>
      <c r="E10289" s="30" t="inlineStr">
        <is>
          <t>TRANSMARGOO TURISMO E FRETAMENTO EIRELI</t>
        </is>
      </c>
      <c r="F10289" s="30" t="inlineStr">
        <is>
          <t>2019</t>
        </is>
      </c>
      <c r="G10289" s="40" t="n">
        <v>5206817.06</v>
      </c>
    </row>
    <row r="10290" ht="12" customHeight="1">
      <c r="A10290" s="30" t="inlineStr">
        <is>
          <t>POR</t>
        </is>
      </c>
      <c r="B10290" s="30" t="inlineStr">
        <is>
          <t>Porto Real</t>
        </is>
      </c>
      <c r="C10290" s="30" t="n">
        <v>77522905</v>
      </c>
      <c r="D10290" s="30">
        <f>"04833584000137"</f>
        <v/>
      </c>
      <c r="E10290" s="30" t="inlineStr">
        <is>
          <t>TRANSMARGOO TURISMO E FRETAMENTO EIRELI</t>
        </is>
      </c>
      <c r="F10290" s="30" t="inlineStr">
        <is>
          <t>2020</t>
        </is>
      </c>
      <c r="G10290" s="40" t="n">
        <v>0</v>
      </c>
    </row>
    <row r="10291" ht="12" customHeight="1">
      <c r="A10291" s="30" t="inlineStr">
        <is>
          <t>POR</t>
        </is>
      </c>
      <c r="B10291" s="30" t="inlineStr">
        <is>
          <t>Porto Real</t>
        </is>
      </c>
      <c r="C10291" s="30" t="n">
        <v>77522905</v>
      </c>
      <c r="D10291" s="30">
        <f>"04833584000137"</f>
        <v/>
      </c>
      <c r="E10291" s="30" t="inlineStr">
        <is>
          <t>TRANSMARGOO TURISMO E FRETAMENTO EIRELI</t>
        </is>
      </c>
      <c r="F10291" s="30" t="inlineStr">
        <is>
          <t>2021</t>
        </is>
      </c>
      <c r="G10291" s="40" t="n">
        <v>255809.29</v>
      </c>
    </row>
    <row r="10292" ht="12" customHeight="1">
      <c r="A10292" s="30" t="inlineStr">
        <is>
          <t>POR</t>
        </is>
      </c>
      <c r="B10292" s="30" t="inlineStr">
        <is>
          <t>Porto Real</t>
        </is>
      </c>
      <c r="C10292" s="30" t="n">
        <v>77522905</v>
      </c>
      <c r="D10292" s="30">
        <f>"04833584000137"</f>
        <v/>
      </c>
      <c r="E10292" s="30" t="inlineStr">
        <is>
          <t>TRANSMARGOO TURISMO E FRETAMENTO EIRELI</t>
        </is>
      </c>
      <c r="F10292" s="30" t="inlineStr">
        <is>
          <t>2022</t>
        </is>
      </c>
      <c r="G10292" s="40" t="n">
        <v>284673.38</v>
      </c>
    </row>
    <row r="10293" ht="12" customHeight="1">
      <c r="A10293" s="30" t="inlineStr">
        <is>
          <t>POR</t>
        </is>
      </c>
      <c r="B10293" s="30" t="inlineStr">
        <is>
          <t>Porto Real</t>
        </is>
      </c>
      <c r="C10293" s="30" t="n">
        <v>77522905</v>
      </c>
      <c r="D10293" s="30">
        <f>"04833584000137"</f>
        <v/>
      </c>
      <c r="E10293" s="30" t="inlineStr">
        <is>
          <t>TRANSMARGOO TURISMO E FRETAMENTO EIRELI</t>
        </is>
      </c>
      <c r="F10293" s="30" t="inlineStr">
        <is>
          <t>2023</t>
        </is>
      </c>
      <c r="G10293" s="40" t="n">
        <v>251308.11</v>
      </c>
    </row>
    <row r="10294" ht="12" customHeight="1">
      <c r="A10294" s="30" t="inlineStr">
        <is>
          <t>POR</t>
        </is>
      </c>
      <c r="B10294" s="30" t="inlineStr">
        <is>
          <t>Porto Real</t>
        </is>
      </c>
      <c r="C10294" s="30" t="n">
        <v>77523219</v>
      </c>
      <c r="D10294" s="30">
        <f>"03410650000101"</f>
        <v/>
      </c>
      <c r="E10294" s="30" t="inlineStr">
        <is>
          <t>NOVACOOPER- COOPERATIVA DOS MOTORISTAS AUTONOMOS DE RESENDE LTDA</t>
        </is>
      </c>
      <c r="F10294" s="30" t="inlineStr">
        <is>
          <t>2017</t>
        </is>
      </c>
      <c r="G10294" s="40" t="n">
        <v>106521</v>
      </c>
    </row>
    <row r="10295" ht="12" customHeight="1">
      <c r="A10295" s="30" t="inlineStr">
        <is>
          <t>POR</t>
        </is>
      </c>
      <c r="B10295" s="30" t="inlineStr">
        <is>
          <t>Porto Real</t>
        </is>
      </c>
      <c r="C10295" s="30" t="n">
        <v>77523219</v>
      </c>
      <c r="D10295" s="30">
        <f>"03410650000101"</f>
        <v/>
      </c>
      <c r="E10295" s="30" t="inlineStr">
        <is>
          <t>NOVACOOPER- COOPERATIVA DOS MOTORISTAS AUTONOMOS DE RESENDE LTDA</t>
        </is>
      </c>
      <c r="F10295" s="30" t="inlineStr">
        <is>
          <t>2018</t>
        </is>
      </c>
      <c r="G10295" s="40" t="n">
        <v>273109</v>
      </c>
    </row>
    <row r="10296" ht="12" customHeight="1">
      <c r="A10296" s="30" t="inlineStr">
        <is>
          <t>POR</t>
        </is>
      </c>
      <c r="B10296" s="30" t="inlineStr">
        <is>
          <t>Porto Real</t>
        </is>
      </c>
      <c r="C10296" s="30" t="n">
        <v>77523219</v>
      </c>
      <c r="D10296" s="30">
        <f>"03410650000101"</f>
        <v/>
      </c>
      <c r="E10296" s="30" t="inlineStr">
        <is>
          <t>NOVACOOPER- COOPERATIVA DOS MOTORISTAS AUTONOMOS DE RESENDE LTDA</t>
        </is>
      </c>
      <c r="F10296" s="30" t="inlineStr">
        <is>
          <t>2019</t>
        </is>
      </c>
      <c r="G10296" s="40" t="n">
        <v>554342.5699999999</v>
      </c>
    </row>
    <row r="10297" ht="12" customHeight="1">
      <c r="A10297" s="30" t="inlineStr">
        <is>
          <t>POR</t>
        </is>
      </c>
      <c r="B10297" s="30" t="inlineStr">
        <is>
          <t>Porto Real</t>
        </is>
      </c>
      <c r="C10297" s="30" t="n">
        <v>77523219</v>
      </c>
      <c r="D10297" s="30">
        <f>"03410650000101"</f>
        <v/>
      </c>
      <c r="E10297" s="30" t="inlineStr">
        <is>
          <t>NOVACOOPER- COOPERATIVA DOS MOTORISTAS AUTONOMOS DE RESENDE LTDA</t>
        </is>
      </c>
      <c r="F10297" s="30" t="inlineStr">
        <is>
          <t>2020</t>
        </is>
      </c>
      <c r="G10297" s="40" t="n">
        <v>457530.96</v>
      </c>
    </row>
    <row r="10298" ht="12" customHeight="1">
      <c r="A10298" s="30" t="inlineStr">
        <is>
          <t>POR</t>
        </is>
      </c>
      <c r="B10298" s="30" t="inlineStr">
        <is>
          <t>Porto Real</t>
        </is>
      </c>
      <c r="C10298" s="30" t="n">
        <v>77523219</v>
      </c>
      <c r="D10298" s="30">
        <f>"03410650000101"</f>
        <v/>
      </c>
      <c r="E10298" s="30" t="inlineStr">
        <is>
          <t>NOVACOOPER- COOPERATIVA DOS MOTORISTAS AUTONOMOS DE RESENDE LTDA</t>
        </is>
      </c>
      <c r="F10298" s="30" t="inlineStr">
        <is>
          <t>2021</t>
        </is>
      </c>
      <c r="G10298" s="40" t="n">
        <v>449661.04</v>
      </c>
    </row>
    <row r="10299" ht="12" customHeight="1">
      <c r="A10299" s="30" t="inlineStr">
        <is>
          <t>POR</t>
        </is>
      </c>
      <c r="B10299" s="30" t="inlineStr">
        <is>
          <t>Porto Real</t>
        </is>
      </c>
      <c r="C10299" s="30" t="n">
        <v>77523219</v>
      </c>
      <c r="D10299" s="30">
        <f>"03410650000101"</f>
        <v/>
      </c>
      <c r="E10299" s="30" t="inlineStr">
        <is>
          <t>NOVACOOPER- COOPERATIVA DOS MOTORISTAS AUTONOMOS DE RESENDE LTDA</t>
        </is>
      </c>
      <c r="F10299" s="30" t="inlineStr">
        <is>
          <t>2022</t>
        </is>
      </c>
      <c r="G10299" s="40" t="n">
        <v>0</v>
      </c>
    </row>
    <row r="10300" ht="12" customHeight="1">
      <c r="A10300" s="30" t="inlineStr">
        <is>
          <t>POR</t>
        </is>
      </c>
      <c r="B10300" s="30" t="inlineStr">
        <is>
          <t>Porto Real</t>
        </is>
      </c>
      <c r="C10300" s="30" t="n">
        <v>77523219</v>
      </c>
      <c r="D10300" s="30">
        <f>"03410650000101"</f>
        <v/>
      </c>
      <c r="E10300" s="30" t="inlineStr">
        <is>
          <t>NOVACOOPER- COOPERATIVA DOS MOTORISTAS AUTONOMOS DE RESENDE LTDA</t>
        </is>
      </c>
      <c r="F10300" s="30" t="inlineStr">
        <is>
          <t>2023</t>
        </is>
      </c>
      <c r="G10300" s="40" t="n">
        <v>500</v>
      </c>
    </row>
    <row r="10301" ht="12" customHeight="1">
      <c r="A10301" s="30" t="inlineStr">
        <is>
          <t>POR</t>
        </is>
      </c>
      <c r="B10301" s="30" t="inlineStr">
        <is>
          <t>Porto Real</t>
        </is>
      </c>
      <c r="C10301" s="30" t="n">
        <v>77535950</v>
      </c>
      <c r="D10301" s="30">
        <f>"65271314000255"</f>
        <v/>
      </c>
      <c r="E10301" s="30" t="inlineStr">
        <is>
          <t>TWM TRANSPORTES ESPECIAIS LTDA</t>
        </is>
      </c>
      <c r="F10301" s="30" t="inlineStr">
        <is>
          <t>2017</t>
        </is>
      </c>
      <c r="G10301" s="40" t="n">
        <v>76206.59</v>
      </c>
    </row>
    <row r="10302" ht="12" customHeight="1">
      <c r="A10302" s="30" t="inlineStr">
        <is>
          <t>POR</t>
        </is>
      </c>
      <c r="B10302" s="30" t="inlineStr">
        <is>
          <t>Porto Real</t>
        </is>
      </c>
      <c r="C10302" s="30" t="n">
        <v>77535950</v>
      </c>
      <c r="D10302" s="30">
        <f>"65271314000255"</f>
        <v/>
      </c>
      <c r="E10302" s="30" t="inlineStr">
        <is>
          <t>TWM TRANSPORTES ESPECIAIS LTDA</t>
        </is>
      </c>
      <c r="F10302" s="30" t="inlineStr">
        <is>
          <t>2018</t>
        </is>
      </c>
      <c r="G10302" s="40" t="n">
        <v>86831.36</v>
      </c>
    </row>
    <row r="10303" ht="12" customHeight="1">
      <c r="A10303" s="30" t="inlineStr">
        <is>
          <t>POR</t>
        </is>
      </c>
      <c r="B10303" s="30" t="inlineStr">
        <is>
          <t>Porto Real</t>
        </is>
      </c>
      <c r="C10303" s="30" t="n">
        <v>77535950</v>
      </c>
      <c r="D10303" s="30">
        <f>"65271314000255"</f>
        <v/>
      </c>
      <c r="E10303" s="30" t="inlineStr">
        <is>
          <t>TWM TRANSPORTES ESPECIAIS LTDA</t>
        </is>
      </c>
      <c r="F10303" s="30" t="inlineStr">
        <is>
          <t>2019</t>
        </is>
      </c>
      <c r="G10303" s="40" t="n">
        <v>286399.55</v>
      </c>
    </row>
    <row r="10304" ht="12" customHeight="1">
      <c r="A10304" s="30" t="inlineStr">
        <is>
          <t>POR</t>
        </is>
      </c>
      <c r="B10304" s="30" t="inlineStr">
        <is>
          <t>Porto Real</t>
        </is>
      </c>
      <c r="C10304" s="30" t="n">
        <v>77535950</v>
      </c>
      <c r="D10304" s="30">
        <f>"65271314000255"</f>
        <v/>
      </c>
      <c r="E10304" s="30" t="inlineStr">
        <is>
          <t>TWM TRANSPORTES ESPECIAIS LTDA</t>
        </is>
      </c>
      <c r="F10304" s="30" t="inlineStr">
        <is>
          <t>2020</t>
        </is>
      </c>
      <c r="G10304" s="40" t="n">
        <v>125807.19</v>
      </c>
    </row>
    <row r="10305" ht="12" customHeight="1">
      <c r="A10305" s="30" t="inlineStr">
        <is>
          <t>POR</t>
        </is>
      </c>
      <c r="B10305" s="30" t="inlineStr">
        <is>
          <t>Porto Real</t>
        </is>
      </c>
      <c r="C10305" s="30" t="n">
        <v>77535950</v>
      </c>
      <c r="D10305" s="30">
        <f>"65271314000255"</f>
        <v/>
      </c>
      <c r="E10305" s="30" t="inlineStr">
        <is>
          <t>TWM TRANSPORTES ESPECIAIS LTDA</t>
        </is>
      </c>
      <c r="F10305" s="30" t="inlineStr">
        <is>
          <t>2021</t>
        </is>
      </c>
      <c r="G10305" s="40" t="n">
        <v>59331.19</v>
      </c>
    </row>
    <row r="10306" ht="12" customHeight="1">
      <c r="A10306" s="30" t="inlineStr">
        <is>
          <t>POR</t>
        </is>
      </c>
      <c r="B10306" s="30" t="inlineStr">
        <is>
          <t>Porto Real</t>
        </is>
      </c>
      <c r="C10306" s="30" t="n">
        <v>77535950</v>
      </c>
      <c r="D10306" s="30">
        <f>"65271314000255"</f>
        <v/>
      </c>
      <c r="E10306" s="30" t="inlineStr">
        <is>
          <t>TWM TRANSPORTES ESPECIAIS LTDA</t>
        </is>
      </c>
      <c r="F10306" s="30" t="inlineStr">
        <is>
          <t>2022</t>
        </is>
      </c>
      <c r="G10306" s="40" t="n">
        <v>0</v>
      </c>
    </row>
    <row r="10307" ht="12" customHeight="1">
      <c r="A10307" s="30" t="inlineStr">
        <is>
          <t>POR</t>
        </is>
      </c>
      <c r="B10307" s="30" t="inlineStr">
        <is>
          <t>Porto Real</t>
        </is>
      </c>
      <c r="C10307" s="30" t="n">
        <v>77535950</v>
      </c>
      <c r="D10307" s="30">
        <f>"65271314000255"</f>
        <v/>
      </c>
      <c r="E10307" s="30" t="inlineStr">
        <is>
          <t>TWM TRANSPORTES ESPECIAIS LTDA</t>
        </is>
      </c>
      <c r="F10307" s="30" t="inlineStr">
        <is>
          <t>2023</t>
        </is>
      </c>
      <c r="G10307" s="40" t="n">
        <v>19396.4</v>
      </c>
    </row>
    <row r="10308" ht="12" customHeight="1">
      <c r="A10308" s="30" t="inlineStr">
        <is>
          <t>POR</t>
        </is>
      </c>
      <c r="B10308" s="30" t="inlineStr">
        <is>
          <t>Porto Real</t>
        </is>
      </c>
      <c r="C10308" s="30" t="n">
        <v>77557741</v>
      </c>
      <c r="D10308" s="30">
        <f>"05660403000180"</f>
        <v/>
      </c>
      <c r="E10308" s="30" t="inlineStr">
        <is>
          <t>QUIMREAL - REAL INDUSTRIA QUIMICA LTDA</t>
        </is>
      </c>
      <c r="F10308" s="30" t="inlineStr">
        <is>
          <t>2017</t>
        </is>
      </c>
      <c r="G10308" s="40" t="n">
        <v>7668854.47</v>
      </c>
    </row>
    <row r="10309" ht="12" customHeight="1">
      <c r="A10309" s="30" t="inlineStr">
        <is>
          <t>POR</t>
        </is>
      </c>
      <c r="B10309" s="30" t="inlineStr">
        <is>
          <t>Porto Real</t>
        </is>
      </c>
      <c r="C10309" s="30" t="n">
        <v>77557741</v>
      </c>
      <c r="D10309" s="30">
        <f>"05660403000180"</f>
        <v/>
      </c>
      <c r="E10309" s="30" t="inlineStr">
        <is>
          <t>QUIMREAL - REAL INDUSTRIA QUIMICA LTDA</t>
        </is>
      </c>
      <c r="F10309" s="30" t="inlineStr">
        <is>
          <t>2018</t>
        </is>
      </c>
      <c r="G10309" s="40" t="n">
        <v>6505698.37</v>
      </c>
    </row>
    <row r="10310" ht="12" customHeight="1">
      <c r="A10310" s="30" t="inlineStr">
        <is>
          <t>POR</t>
        </is>
      </c>
      <c r="B10310" s="30" t="inlineStr">
        <is>
          <t>Porto Real</t>
        </is>
      </c>
      <c r="C10310" s="30" t="n">
        <v>77557741</v>
      </c>
      <c r="D10310" s="30">
        <f>"05660403000180"</f>
        <v/>
      </c>
      <c r="E10310" s="30" t="inlineStr">
        <is>
          <t>QUIMREAL - REAL INDUSTRIA QUIMICA LTDA</t>
        </is>
      </c>
      <c r="F10310" s="30" t="inlineStr">
        <is>
          <t>2019</t>
        </is>
      </c>
      <c r="G10310" s="40" t="n">
        <v>9301334.82</v>
      </c>
    </row>
    <row r="10311" ht="12" customHeight="1">
      <c r="A10311" s="30" t="inlineStr">
        <is>
          <t>POR</t>
        </is>
      </c>
      <c r="B10311" s="30" t="inlineStr">
        <is>
          <t>Porto Real</t>
        </is>
      </c>
      <c r="C10311" s="30" t="n">
        <v>77557741</v>
      </c>
      <c r="D10311" s="30">
        <f>"05660403000180"</f>
        <v/>
      </c>
      <c r="E10311" s="30" t="inlineStr">
        <is>
          <t>QUIMREAL - REAL INDUSTRIA QUIMICA LTDA</t>
        </is>
      </c>
      <c r="F10311" s="30" t="inlineStr">
        <is>
          <t>2020</t>
        </is>
      </c>
      <c r="G10311" s="40" t="n">
        <v>11394564.88</v>
      </c>
    </row>
    <row r="10312" ht="12" customHeight="1">
      <c r="A10312" s="30" t="inlineStr">
        <is>
          <t>POR</t>
        </is>
      </c>
      <c r="B10312" s="30" t="inlineStr">
        <is>
          <t>Porto Real</t>
        </is>
      </c>
      <c r="C10312" s="30" t="n">
        <v>77557741</v>
      </c>
      <c r="D10312" s="30">
        <f>"05660403000180"</f>
        <v/>
      </c>
      <c r="E10312" s="30" t="inlineStr">
        <is>
          <t>QUIMREAL - REAL INDUSTRIA QUIMICA LTDA</t>
        </is>
      </c>
      <c r="F10312" s="30" t="inlineStr">
        <is>
          <t>2021</t>
        </is>
      </c>
      <c r="G10312" s="40" t="n">
        <v>7681530.07</v>
      </c>
    </row>
    <row r="10313" ht="12" customHeight="1">
      <c r="A10313" s="30" t="inlineStr">
        <is>
          <t>POR</t>
        </is>
      </c>
      <c r="B10313" s="30" t="inlineStr">
        <is>
          <t>Porto Real</t>
        </is>
      </c>
      <c r="C10313" s="30" t="n">
        <v>77557741</v>
      </c>
      <c r="D10313" s="30">
        <f>"05660403000180"</f>
        <v/>
      </c>
      <c r="E10313" s="30" t="inlineStr">
        <is>
          <t>QUIMREAL - REAL INDUSTRIA QUIMICA LTDA</t>
        </is>
      </c>
      <c r="F10313" s="30" t="inlineStr">
        <is>
          <t>2022</t>
        </is>
      </c>
      <c r="G10313" s="40" t="n">
        <v>23762397.93</v>
      </c>
    </row>
    <row r="10314" ht="12" customHeight="1">
      <c r="A10314" s="30" t="inlineStr">
        <is>
          <t>POR</t>
        </is>
      </c>
      <c r="B10314" s="30" t="inlineStr">
        <is>
          <t>Porto Real</t>
        </is>
      </c>
      <c r="C10314" s="30" t="n">
        <v>77557741</v>
      </c>
      <c r="D10314" s="30">
        <f>"05660403000180"</f>
        <v/>
      </c>
      <c r="E10314" s="30" t="inlineStr">
        <is>
          <t>QUIMREAL - REAL INDUSTRIA QUIMICA LTDA</t>
        </is>
      </c>
      <c r="F10314" s="30" t="inlineStr">
        <is>
          <t>2023</t>
        </is>
      </c>
      <c r="G10314" s="40" t="n">
        <v>25596670.1</v>
      </c>
    </row>
    <row r="10315" ht="12" customHeight="1">
      <c r="A10315" s="30" t="inlineStr">
        <is>
          <t>POR</t>
        </is>
      </c>
      <c r="B10315" s="30" t="inlineStr">
        <is>
          <t>Porto Real</t>
        </is>
      </c>
      <c r="C10315" s="30" t="n">
        <v>77594540</v>
      </c>
      <c r="D10315" s="30">
        <f>"88301882001490"</f>
        <v/>
      </c>
      <c r="E10315" s="30" t="inlineStr">
        <is>
          <t>HENRIQUE STEFANI TRANSPORTE E LOGISTICA LTDA</t>
        </is>
      </c>
      <c r="F10315" s="30" t="inlineStr">
        <is>
          <t>2017</t>
        </is>
      </c>
      <c r="G10315" s="40" t="n">
        <v>19660</v>
      </c>
    </row>
    <row r="10316" ht="12" customHeight="1">
      <c r="A10316" s="30" t="inlineStr">
        <is>
          <t>POR</t>
        </is>
      </c>
      <c r="B10316" s="30" t="inlineStr">
        <is>
          <t>Porto Real</t>
        </is>
      </c>
      <c r="C10316" s="30" t="n">
        <v>77594540</v>
      </c>
      <c r="D10316" s="30">
        <f>"88301882001490"</f>
        <v/>
      </c>
      <c r="E10316" s="30" t="inlineStr">
        <is>
          <t>HENRIQUE STEFANI TRANSPORTE E LOGISTICA LTDA</t>
        </is>
      </c>
      <c r="F10316" s="30" t="inlineStr">
        <is>
          <t>2018</t>
        </is>
      </c>
      <c r="G10316" s="40" t="n">
        <v>354501.67</v>
      </c>
    </row>
    <row r="10317" ht="12" customHeight="1">
      <c r="A10317" s="30" t="inlineStr">
        <is>
          <t>POR</t>
        </is>
      </c>
      <c r="B10317" s="30" t="inlineStr">
        <is>
          <t>Porto Real</t>
        </is>
      </c>
      <c r="C10317" s="30" t="n">
        <v>77594540</v>
      </c>
      <c r="D10317" s="30">
        <f>"88301882001490"</f>
        <v/>
      </c>
      <c r="E10317" s="30" t="inlineStr">
        <is>
          <t>HENRIQUE STEFANI TRANSPORTE E LOGISTICA LTDA</t>
        </is>
      </c>
      <c r="F10317" s="30" t="inlineStr">
        <is>
          <t>2019</t>
        </is>
      </c>
      <c r="G10317" s="40" t="n">
        <v>146728.19</v>
      </c>
    </row>
    <row r="10318" ht="12" customHeight="1">
      <c r="A10318" s="30" t="inlineStr">
        <is>
          <t>POR</t>
        </is>
      </c>
      <c r="B10318" s="30" t="inlineStr">
        <is>
          <t>Porto Real</t>
        </is>
      </c>
      <c r="C10318" s="30" t="n">
        <v>77594540</v>
      </c>
      <c r="D10318" s="30">
        <f>"88301882001490"</f>
        <v/>
      </c>
      <c r="E10318" s="30" t="inlineStr">
        <is>
          <t>HENRIQUE STEFANI TRANSPORTE E LOGISTICA LTDA</t>
        </is>
      </c>
      <c r="F10318" s="30" t="inlineStr">
        <is>
          <t>2020</t>
        </is>
      </c>
      <c r="G10318" s="40" t="n">
        <v>408069.06</v>
      </c>
    </row>
    <row r="10319" ht="12" customHeight="1">
      <c r="A10319" s="30" t="inlineStr">
        <is>
          <t>POR</t>
        </is>
      </c>
      <c r="B10319" s="30" t="inlineStr">
        <is>
          <t>Porto Real</t>
        </is>
      </c>
      <c r="C10319" s="30" t="n">
        <v>77594540</v>
      </c>
      <c r="D10319" s="30">
        <f>"88301882001490"</f>
        <v/>
      </c>
      <c r="E10319" s="30" t="inlineStr">
        <is>
          <t>HENRIQUE STEFANI TRANSPORTE E LOGISTICA LTDA</t>
        </is>
      </c>
      <c r="F10319" s="30" t="inlineStr">
        <is>
          <t>2021</t>
        </is>
      </c>
      <c r="G10319" s="40" t="n">
        <v>69122.99000000001</v>
      </c>
    </row>
    <row r="10320" ht="12" customHeight="1">
      <c r="A10320" s="30" t="inlineStr">
        <is>
          <t>POR</t>
        </is>
      </c>
      <c r="B10320" s="30" t="inlineStr">
        <is>
          <t>Porto Real</t>
        </is>
      </c>
      <c r="C10320" s="30" t="n">
        <v>77594540</v>
      </c>
      <c r="D10320" s="30">
        <f>"88301882001490"</f>
        <v/>
      </c>
      <c r="E10320" s="30" t="inlineStr">
        <is>
          <t>HENRIQUE STEFANI TRANSPORTE E LOGISTICA LTDA</t>
        </is>
      </c>
      <c r="F10320" s="30" t="inlineStr">
        <is>
          <t>2022</t>
        </is>
      </c>
      <c r="G10320" s="40" t="n">
        <v>13995.06</v>
      </c>
    </row>
    <row r="10321" ht="12" customHeight="1">
      <c r="A10321" s="30" t="inlineStr">
        <is>
          <t>POR</t>
        </is>
      </c>
      <c r="B10321" s="30" t="inlineStr">
        <is>
          <t>Porto Real</t>
        </is>
      </c>
      <c r="C10321" s="30" t="n">
        <v>77594540</v>
      </c>
      <c r="D10321" s="30">
        <f>"88301882001490"</f>
        <v/>
      </c>
      <c r="E10321" s="30" t="inlineStr">
        <is>
          <t>HENRIQUE STEFANI TRANSPORTE E LOGISTICA LTDA</t>
        </is>
      </c>
      <c r="F10321" s="30" t="inlineStr">
        <is>
          <t>2023</t>
        </is>
      </c>
      <c r="G10321" s="40" t="n">
        <v>0</v>
      </c>
    </row>
    <row r="10322" ht="12" customHeight="1">
      <c r="A10322" s="30" t="inlineStr">
        <is>
          <t>POR</t>
        </is>
      </c>
      <c r="B10322" s="30" t="inlineStr">
        <is>
          <t>Porto Real</t>
        </is>
      </c>
      <c r="C10322" s="30" t="n">
        <v>77594949</v>
      </c>
      <c r="D10322" s="30">
        <f>"00650831000370"</f>
        <v/>
      </c>
      <c r="E10322" s="30" t="inlineStr">
        <is>
          <t>EFITRANS TRANSPORTES LTDA</t>
        </is>
      </c>
      <c r="F10322" s="30" t="inlineStr">
        <is>
          <t>2017</t>
        </is>
      </c>
      <c r="G10322" s="40" t="n">
        <v>135.95</v>
      </c>
    </row>
    <row r="10323" ht="12" customHeight="1">
      <c r="A10323" s="30" t="inlineStr">
        <is>
          <t>POR</t>
        </is>
      </c>
      <c r="B10323" s="30" t="inlineStr">
        <is>
          <t>Porto Real</t>
        </is>
      </c>
      <c r="C10323" s="30" t="n">
        <v>77594949</v>
      </c>
      <c r="D10323" s="30">
        <f>"00650831000370"</f>
        <v/>
      </c>
      <c r="E10323" s="30" t="inlineStr">
        <is>
          <t>EFITRANS TRANSPORTES LTDA</t>
        </is>
      </c>
      <c r="F10323" s="30" t="inlineStr">
        <is>
          <t>2018</t>
        </is>
      </c>
      <c r="G10323" s="40" t="n">
        <v>0</v>
      </c>
    </row>
    <row r="10324" ht="12" customHeight="1">
      <c r="A10324" s="30" t="inlineStr">
        <is>
          <t>POR</t>
        </is>
      </c>
      <c r="B10324" s="30" t="inlineStr">
        <is>
          <t>Porto Real</t>
        </is>
      </c>
      <c r="C10324" s="30" t="n">
        <v>77594949</v>
      </c>
      <c r="D10324" s="30">
        <f>"00650831000370"</f>
        <v/>
      </c>
      <c r="E10324" s="30" t="inlineStr">
        <is>
          <t>EFITRANS TRANSPORTES LTDA</t>
        </is>
      </c>
      <c r="F10324" s="30" t="inlineStr">
        <is>
          <t>2019</t>
        </is>
      </c>
      <c r="G10324" s="40" t="n">
        <v>0</v>
      </c>
    </row>
    <row r="10325" ht="12" customHeight="1">
      <c r="A10325" s="30" t="inlineStr">
        <is>
          <t>POR</t>
        </is>
      </c>
      <c r="B10325" s="30" t="inlineStr">
        <is>
          <t>Porto Real</t>
        </is>
      </c>
      <c r="C10325" s="30" t="n">
        <v>77594949</v>
      </c>
      <c r="D10325" s="30">
        <f>"00650831000370"</f>
        <v/>
      </c>
      <c r="E10325" s="30" t="inlineStr">
        <is>
          <t>EFITRANS TRANSPORTES LTDA</t>
        </is>
      </c>
      <c r="F10325" s="30" t="inlineStr">
        <is>
          <t>2020</t>
        </is>
      </c>
      <c r="G10325" s="40" t="n">
        <v>6989.93</v>
      </c>
    </row>
    <row r="10326" ht="12" customHeight="1">
      <c r="A10326" s="30" t="inlineStr">
        <is>
          <t>POR</t>
        </is>
      </c>
      <c r="B10326" s="30" t="inlineStr">
        <is>
          <t>Porto Real</t>
        </is>
      </c>
      <c r="C10326" s="30" t="n">
        <v>77594949</v>
      </c>
      <c r="D10326" s="30">
        <f>"00650831000370"</f>
        <v/>
      </c>
      <c r="E10326" s="30" t="inlineStr">
        <is>
          <t>EFITRANS TRANSPORTES LTDA</t>
        </is>
      </c>
      <c r="F10326" s="30" t="inlineStr">
        <is>
          <t>2021</t>
        </is>
      </c>
      <c r="G10326" s="40" t="n">
        <v>0</v>
      </c>
    </row>
    <row r="10327" ht="12" customHeight="1">
      <c r="A10327" s="30" t="inlineStr">
        <is>
          <t>POR</t>
        </is>
      </c>
      <c r="B10327" s="30" t="inlineStr">
        <is>
          <t>Porto Real</t>
        </is>
      </c>
      <c r="C10327" s="30" t="n">
        <v>77594949</v>
      </c>
      <c r="D10327" s="30">
        <f>"00650831000370"</f>
        <v/>
      </c>
      <c r="E10327" s="30" t="inlineStr">
        <is>
          <t>EFITRANS TRANSPORTES LTDA</t>
        </is>
      </c>
      <c r="F10327" s="30" t="inlineStr">
        <is>
          <t>2022</t>
        </is>
      </c>
      <c r="G10327" s="40" t="n">
        <v>0</v>
      </c>
    </row>
    <row r="10328" ht="12" customHeight="1">
      <c r="A10328" s="30" t="inlineStr">
        <is>
          <t>POR</t>
        </is>
      </c>
      <c r="B10328" s="30" t="inlineStr">
        <is>
          <t>Porto Real</t>
        </is>
      </c>
      <c r="C10328" s="30" t="n">
        <v>77596763</v>
      </c>
      <c r="D10328" s="30">
        <f>"00823106000195"</f>
        <v/>
      </c>
      <c r="E10328" s="30" t="inlineStr">
        <is>
          <t>TAIGA TRANSPORTE E TURISMO LTDA</t>
        </is>
      </c>
      <c r="F10328" s="30" t="inlineStr">
        <is>
          <t>2020</t>
        </is>
      </c>
      <c r="G10328" s="40" t="n">
        <v>0</v>
      </c>
    </row>
    <row r="10329" ht="12" customHeight="1">
      <c r="A10329" s="30" t="inlineStr">
        <is>
          <t>POR</t>
        </is>
      </c>
      <c r="B10329" s="30" t="inlineStr">
        <is>
          <t>Porto Real</t>
        </is>
      </c>
      <c r="C10329" s="30" t="n">
        <v>77596763</v>
      </c>
      <c r="D10329" s="30">
        <f>"00823106000195"</f>
        <v/>
      </c>
      <c r="E10329" s="30" t="inlineStr">
        <is>
          <t>TAIGA TRANSPORTE E TURISMO LTDA</t>
        </is>
      </c>
      <c r="F10329" s="30" t="inlineStr">
        <is>
          <t>2021</t>
        </is>
      </c>
      <c r="G10329" s="40" t="n">
        <v>0</v>
      </c>
    </row>
    <row r="10330" ht="12" customHeight="1">
      <c r="A10330" s="30" t="inlineStr">
        <is>
          <t>POR</t>
        </is>
      </c>
      <c r="B10330" s="30" t="inlineStr">
        <is>
          <t>Porto Real</t>
        </is>
      </c>
      <c r="C10330" s="30" t="n">
        <v>77596763</v>
      </c>
      <c r="D10330" s="30">
        <f>"00823106000195"</f>
        <v/>
      </c>
      <c r="E10330" s="30" t="inlineStr">
        <is>
          <t>TAIGA TRANSPORTE E TURISMO LTDA</t>
        </is>
      </c>
      <c r="F10330" s="30" t="inlineStr">
        <is>
          <t>2022</t>
        </is>
      </c>
      <c r="G10330" s="40" t="n">
        <v>660</v>
      </c>
    </row>
    <row r="10331" ht="12" customHeight="1">
      <c r="A10331" s="30" t="inlineStr">
        <is>
          <t>POR</t>
        </is>
      </c>
      <c r="B10331" s="30" t="inlineStr">
        <is>
          <t>Porto Real</t>
        </is>
      </c>
      <c r="C10331" s="30" t="n">
        <v>77596763</v>
      </c>
      <c r="D10331" s="30">
        <f>"00823106000195"</f>
        <v/>
      </c>
      <c r="E10331" s="30" t="inlineStr">
        <is>
          <t>TAIGA TRANSPORTE E TURISMO LTDA</t>
        </is>
      </c>
      <c r="F10331" s="30" t="inlineStr">
        <is>
          <t>2023</t>
        </is>
      </c>
      <c r="G10331" s="40" t="n">
        <v>0</v>
      </c>
    </row>
    <row r="10332" ht="12" customHeight="1">
      <c r="A10332" s="30" t="inlineStr">
        <is>
          <t>POR</t>
        </is>
      </c>
      <c r="B10332" s="30" t="inlineStr">
        <is>
          <t>Porto Real</t>
        </is>
      </c>
      <c r="C10332" s="30" t="n">
        <v>77608060</v>
      </c>
      <c r="D10332" s="30">
        <f>"05828227000143"</f>
        <v/>
      </c>
      <c r="E10332" s="30" t="inlineStr">
        <is>
          <t>ARARIB? ENGENHARIA COM?RCIO E MEIO AMBIENTE LTDA ME</t>
        </is>
      </c>
      <c r="F10332" s="30" t="inlineStr">
        <is>
          <t>2017</t>
        </is>
      </c>
      <c r="G10332" s="40" t="n">
        <v>0</v>
      </c>
    </row>
    <row r="10333" ht="12" customHeight="1">
      <c r="A10333" s="30" t="inlineStr">
        <is>
          <t>POR</t>
        </is>
      </c>
      <c r="B10333" s="30" t="inlineStr">
        <is>
          <t>Porto Real</t>
        </is>
      </c>
      <c r="C10333" s="30" t="n">
        <v>77608060</v>
      </c>
      <c r="D10333" s="30">
        <f>"05828227000143"</f>
        <v/>
      </c>
      <c r="E10333" s="30" t="inlineStr">
        <is>
          <t>ARARIB? ENGENHARIA COM?RCIO E MEIO AMBIENTE LTDA ME</t>
        </is>
      </c>
      <c r="F10333" s="30" t="inlineStr">
        <is>
          <t>2018</t>
        </is>
      </c>
      <c r="G10333" s="40" t="n">
        <v>0</v>
      </c>
    </row>
    <row r="10334" ht="12" customHeight="1">
      <c r="A10334" s="30" t="inlineStr">
        <is>
          <t>POR</t>
        </is>
      </c>
      <c r="B10334" s="30" t="inlineStr">
        <is>
          <t>Porto Real</t>
        </is>
      </c>
      <c r="C10334" s="30" t="n">
        <v>77608060</v>
      </c>
      <c r="D10334" s="30">
        <f>"05828227000143"</f>
        <v/>
      </c>
      <c r="E10334" s="30" t="inlineStr">
        <is>
          <t>ARARIB? ENGENHARIA COM?RCIO E MEIO AMBIENTE LTDA ME</t>
        </is>
      </c>
      <c r="F10334" s="30" t="inlineStr">
        <is>
          <t>2019</t>
        </is>
      </c>
      <c r="G10334" s="40" t="n">
        <v>0</v>
      </c>
    </row>
    <row r="10335" ht="12" customHeight="1">
      <c r="A10335" s="30" t="inlineStr">
        <is>
          <t>POR</t>
        </is>
      </c>
      <c r="B10335" s="30" t="inlineStr">
        <is>
          <t>Porto Real</t>
        </is>
      </c>
      <c r="C10335" s="30" t="n">
        <v>77608060</v>
      </c>
      <c r="D10335" s="30">
        <f>"05828227000143"</f>
        <v/>
      </c>
      <c r="E10335" s="30" t="inlineStr">
        <is>
          <t>ARARIB? ENGENHARIA COM?RCIO E MEIO AMBIENTE LTDA ME</t>
        </is>
      </c>
      <c r="F10335" s="30" t="inlineStr">
        <is>
          <t>2020</t>
        </is>
      </c>
      <c r="G10335" s="40" t="n">
        <v>0</v>
      </c>
    </row>
    <row r="10336" ht="12" customHeight="1">
      <c r="A10336" s="30" t="inlineStr">
        <is>
          <t>POR</t>
        </is>
      </c>
      <c r="B10336" s="30" t="inlineStr">
        <is>
          <t>Porto Real</t>
        </is>
      </c>
      <c r="C10336" s="30" t="n">
        <v>77608060</v>
      </c>
      <c r="D10336" s="30">
        <f>"05828227000143"</f>
        <v/>
      </c>
      <c r="E10336" s="30" t="inlineStr">
        <is>
          <t>ARARIB? ENGENHARIA COM?RCIO E MEIO AMBIENTE LTDA ME</t>
        </is>
      </c>
      <c r="F10336" s="30" t="inlineStr">
        <is>
          <t>2021</t>
        </is>
      </c>
      <c r="G10336" s="40" t="n">
        <v>0</v>
      </c>
    </row>
    <row r="10337" ht="12" customHeight="1">
      <c r="A10337" s="30" t="inlineStr">
        <is>
          <t>POR</t>
        </is>
      </c>
      <c r="B10337" s="30" t="inlineStr">
        <is>
          <t>Porto Real</t>
        </is>
      </c>
      <c r="C10337" s="30" t="n">
        <v>77617515</v>
      </c>
      <c r="D10337" s="30">
        <f>"05454543000100"</f>
        <v/>
      </c>
      <c r="E10337" s="30" t="inlineStr">
        <is>
          <t>RECIBRAS PORTO REAL RESIDUOS LTDA</t>
        </is>
      </c>
      <c r="F10337" s="30" t="inlineStr">
        <is>
          <t>2017</t>
        </is>
      </c>
      <c r="G10337" s="40" t="n">
        <v>10267196.54</v>
      </c>
    </row>
    <row r="10338" ht="12" customHeight="1">
      <c r="A10338" s="30" t="inlineStr">
        <is>
          <t>POR</t>
        </is>
      </c>
      <c r="B10338" s="30" t="inlineStr">
        <is>
          <t>Porto Real</t>
        </is>
      </c>
      <c r="C10338" s="30" t="n">
        <v>77617515</v>
      </c>
      <c r="D10338" s="30">
        <f>"05454543000100"</f>
        <v/>
      </c>
      <c r="E10338" s="30" t="inlineStr">
        <is>
          <t>RECIBRAS PORTO REAL RESIDUOS LTDA</t>
        </is>
      </c>
      <c r="F10338" s="30" t="inlineStr">
        <is>
          <t>2018</t>
        </is>
      </c>
      <c r="G10338" s="40" t="n">
        <v>13033242.29</v>
      </c>
    </row>
    <row r="10339" ht="12" customHeight="1">
      <c r="A10339" s="30" t="inlineStr">
        <is>
          <t>POR</t>
        </is>
      </c>
      <c r="B10339" s="30" t="inlineStr">
        <is>
          <t>Porto Real</t>
        </is>
      </c>
      <c r="C10339" s="30" t="n">
        <v>77617515</v>
      </c>
      <c r="D10339" s="30">
        <f>"05454543000100"</f>
        <v/>
      </c>
      <c r="E10339" s="30" t="inlineStr">
        <is>
          <t>RECIBRAS PORTO REAL RESIDUOS LTDA</t>
        </is>
      </c>
      <c r="F10339" s="30" t="inlineStr">
        <is>
          <t>2019</t>
        </is>
      </c>
      <c r="G10339" s="40" t="n">
        <v>7198779.27</v>
      </c>
    </row>
    <row r="10340" ht="12" customHeight="1">
      <c r="A10340" s="30" t="inlineStr">
        <is>
          <t>POR</t>
        </is>
      </c>
      <c r="B10340" s="30" t="inlineStr">
        <is>
          <t>Porto Real</t>
        </is>
      </c>
      <c r="C10340" s="30" t="n">
        <v>77617515</v>
      </c>
      <c r="D10340" s="30">
        <f>"05454543000100"</f>
        <v/>
      </c>
      <c r="E10340" s="30" t="inlineStr">
        <is>
          <t>RECIBRAS PORTO REAL RESIDUOS LTDA</t>
        </is>
      </c>
      <c r="F10340" s="30" t="inlineStr">
        <is>
          <t>2020</t>
        </is>
      </c>
      <c r="G10340" s="40" t="n">
        <v>15486769.17</v>
      </c>
    </row>
    <row r="10341" ht="12" customHeight="1">
      <c r="A10341" s="30" t="inlineStr">
        <is>
          <t>POR</t>
        </is>
      </c>
      <c r="B10341" s="30" t="inlineStr">
        <is>
          <t>Porto Real</t>
        </is>
      </c>
      <c r="C10341" s="30" t="n">
        <v>77617515</v>
      </c>
      <c r="D10341" s="30">
        <f>"05454543000100"</f>
        <v/>
      </c>
      <c r="E10341" s="30" t="inlineStr">
        <is>
          <t>RECIBRAS PORTO REAL RESIDUOS LTDA</t>
        </is>
      </c>
      <c r="F10341" s="30" t="inlineStr">
        <is>
          <t>2021</t>
        </is>
      </c>
      <c r="G10341" s="40" t="n">
        <v>29701981.55</v>
      </c>
    </row>
    <row r="10342" ht="12" customHeight="1">
      <c r="A10342" s="30" t="inlineStr">
        <is>
          <t>POR</t>
        </is>
      </c>
      <c r="B10342" s="30" t="inlineStr">
        <is>
          <t>Porto Real</t>
        </is>
      </c>
      <c r="C10342" s="30" t="n">
        <v>77617515</v>
      </c>
      <c r="D10342" s="30">
        <f>"05454543000100"</f>
        <v/>
      </c>
      <c r="E10342" s="30" t="inlineStr">
        <is>
          <t>RECIBRAS PORTO REAL RESIDUOS LTDA</t>
        </is>
      </c>
      <c r="F10342" s="30" t="inlineStr">
        <is>
          <t>2022</t>
        </is>
      </c>
      <c r="G10342" s="40" t="n">
        <v>34022019.57</v>
      </c>
    </row>
    <row r="10343" ht="12" customHeight="1">
      <c r="A10343" s="30" t="inlineStr">
        <is>
          <t>POR</t>
        </is>
      </c>
      <c r="B10343" s="30" t="inlineStr">
        <is>
          <t>Porto Real</t>
        </is>
      </c>
      <c r="C10343" s="30" t="n">
        <v>77617515</v>
      </c>
      <c r="D10343" s="30">
        <f>"05454543000100"</f>
        <v/>
      </c>
      <c r="E10343" s="30" t="inlineStr">
        <is>
          <t>RECIBRAS PORTO REAL RESIDUOS LTDA</t>
        </is>
      </c>
      <c r="F10343" s="30" t="inlineStr">
        <is>
          <t>2023</t>
        </is>
      </c>
      <c r="G10343" s="40" t="n">
        <v>38143546.87</v>
      </c>
    </row>
    <row r="10344" ht="12" customHeight="1">
      <c r="A10344" s="30" t="inlineStr">
        <is>
          <t>POR</t>
        </is>
      </c>
      <c r="B10344" s="30" t="inlineStr">
        <is>
          <t>Porto Real</t>
        </is>
      </c>
      <c r="C10344" s="30" t="n">
        <v>77649328</v>
      </c>
      <c r="D10344" s="30">
        <f>"02836056004284"</f>
        <v/>
      </c>
      <c r="E10344" s="30" t="inlineStr">
        <is>
          <t>DHL LOGISTICS (BRAZIL) LTDA</t>
        </is>
      </c>
      <c r="F10344" s="30" t="inlineStr">
        <is>
          <t>2017</t>
        </is>
      </c>
      <c r="G10344" s="40" t="n">
        <v>0</v>
      </c>
    </row>
    <row r="10345" ht="12" customHeight="1">
      <c r="A10345" s="30" t="inlineStr">
        <is>
          <t>POR</t>
        </is>
      </c>
      <c r="B10345" s="30" t="inlineStr">
        <is>
          <t>Porto Real</t>
        </is>
      </c>
      <c r="C10345" s="30" t="n">
        <v>77649328</v>
      </c>
      <c r="D10345" s="30">
        <f>"02836056004284"</f>
        <v/>
      </c>
      <c r="E10345" s="30" t="inlineStr">
        <is>
          <t>DHL LOGISTICS (BRAZIL) LTDA</t>
        </is>
      </c>
      <c r="F10345" s="30" t="inlineStr">
        <is>
          <t>2018</t>
        </is>
      </c>
      <c r="G10345" s="40" t="n">
        <v>63.68</v>
      </c>
    </row>
    <row r="10346" ht="12" customHeight="1">
      <c r="A10346" s="30" t="inlineStr">
        <is>
          <t>POR</t>
        </is>
      </c>
      <c r="B10346" s="30" t="inlineStr">
        <is>
          <t>Porto Real</t>
        </is>
      </c>
      <c r="C10346" s="30" t="n">
        <v>77649328</v>
      </c>
      <c r="D10346" s="30">
        <f>"02836056004284"</f>
        <v/>
      </c>
      <c r="E10346" s="30" t="inlineStr">
        <is>
          <t>DHL LOGISTICS (BRAZIL) LTDA</t>
        </is>
      </c>
      <c r="F10346" s="30" t="inlineStr">
        <is>
          <t>2019</t>
        </is>
      </c>
      <c r="G10346" s="40" t="n">
        <v>0</v>
      </c>
    </row>
    <row r="10347" ht="12" customHeight="1">
      <c r="A10347" s="30" t="inlineStr">
        <is>
          <t>POR</t>
        </is>
      </c>
      <c r="B10347" s="30" t="inlineStr">
        <is>
          <t>Porto Real</t>
        </is>
      </c>
      <c r="C10347" s="30" t="n">
        <v>77649328</v>
      </c>
      <c r="D10347" s="30">
        <f>"02836056004284"</f>
        <v/>
      </c>
      <c r="E10347" s="30" t="inlineStr">
        <is>
          <t>DHL LOGISTICS (BRAZIL) LTDA</t>
        </is>
      </c>
      <c r="F10347" s="30" t="inlineStr">
        <is>
          <t>2020</t>
        </is>
      </c>
      <c r="G10347" s="40" t="n">
        <v>0</v>
      </c>
    </row>
    <row r="10348" ht="12" customHeight="1">
      <c r="A10348" s="30" t="inlineStr">
        <is>
          <t>POR</t>
        </is>
      </c>
      <c r="B10348" s="30" t="inlineStr">
        <is>
          <t>Porto Real</t>
        </is>
      </c>
      <c r="C10348" s="30" t="n">
        <v>77663711</v>
      </c>
      <c r="D10348" s="30">
        <f>"05931640000139"</f>
        <v/>
      </c>
      <c r="E10348" s="30" t="inlineStr">
        <is>
          <t>TRANSPORTES SOUZA ARAUJO LTDA</t>
        </is>
      </c>
      <c r="F10348" s="30" t="inlineStr">
        <is>
          <t>2017</t>
        </is>
      </c>
      <c r="G10348" s="40" t="n">
        <v>0</v>
      </c>
    </row>
    <row r="10349" ht="12" customHeight="1">
      <c r="A10349" s="30" t="inlineStr">
        <is>
          <t>POR</t>
        </is>
      </c>
      <c r="B10349" s="30" t="inlineStr">
        <is>
          <t>Porto Real</t>
        </is>
      </c>
      <c r="C10349" s="30" t="n">
        <v>77663711</v>
      </c>
      <c r="D10349" s="30">
        <f>"05931640000139"</f>
        <v/>
      </c>
      <c r="E10349" s="30" t="inlineStr">
        <is>
          <t>TRANSPORTES SOUZA ARAUJO LTDA</t>
        </is>
      </c>
      <c r="F10349" s="30" t="inlineStr">
        <is>
          <t>2018</t>
        </is>
      </c>
      <c r="G10349" s="40" t="n">
        <v>274634.62</v>
      </c>
    </row>
    <row r="10350" ht="12" customHeight="1">
      <c r="A10350" s="30" t="inlineStr">
        <is>
          <t>POR</t>
        </is>
      </c>
      <c r="B10350" s="30" t="inlineStr">
        <is>
          <t>Porto Real</t>
        </is>
      </c>
      <c r="C10350" s="30" t="n">
        <v>77663711</v>
      </c>
      <c r="D10350" s="30">
        <f>"05931640000139"</f>
        <v/>
      </c>
      <c r="E10350" s="30" t="inlineStr">
        <is>
          <t>TRANSPORTES SOUZA ARAUJO LTDA</t>
        </is>
      </c>
      <c r="F10350" s="30" t="inlineStr">
        <is>
          <t>2019</t>
        </is>
      </c>
      <c r="G10350" s="40" t="n">
        <v>86501.64999999999</v>
      </c>
    </row>
    <row r="10351" ht="12" customHeight="1">
      <c r="A10351" s="30" t="inlineStr">
        <is>
          <t>POR</t>
        </is>
      </c>
      <c r="B10351" s="30" t="inlineStr">
        <is>
          <t>Porto Real</t>
        </is>
      </c>
      <c r="C10351" s="30" t="n">
        <v>77663711</v>
      </c>
      <c r="D10351" s="30">
        <f>"05931640000139"</f>
        <v/>
      </c>
      <c r="E10351" s="30" t="inlineStr">
        <is>
          <t>TRANSPORTES SOUZA ARAUJO LTDA</t>
        </is>
      </c>
      <c r="F10351" s="30" t="inlineStr">
        <is>
          <t>2020</t>
        </is>
      </c>
      <c r="G10351" s="40" t="n">
        <v>294101.62</v>
      </c>
    </row>
    <row r="10352" ht="12" customHeight="1">
      <c r="A10352" s="30" t="inlineStr">
        <is>
          <t>POR</t>
        </is>
      </c>
      <c r="B10352" s="30" t="inlineStr">
        <is>
          <t>Porto Real</t>
        </is>
      </c>
      <c r="C10352" s="30" t="n">
        <v>77663711</v>
      </c>
      <c r="D10352" s="30">
        <f>"05931640000139"</f>
        <v/>
      </c>
      <c r="E10352" s="30" t="inlineStr">
        <is>
          <t>TRANSPORTES SOUZA ARAUJO LTDA</t>
        </is>
      </c>
      <c r="F10352" s="30" t="inlineStr">
        <is>
          <t>2021</t>
        </is>
      </c>
      <c r="G10352" s="40" t="n">
        <v>0</v>
      </c>
    </row>
    <row r="10353" ht="12" customHeight="1">
      <c r="A10353" s="30" t="inlineStr">
        <is>
          <t>POR</t>
        </is>
      </c>
      <c r="B10353" s="30" t="inlineStr">
        <is>
          <t>Porto Real</t>
        </is>
      </c>
      <c r="C10353" s="30" t="n">
        <v>77663711</v>
      </c>
      <c r="D10353" s="30">
        <f>"05931640000139"</f>
        <v/>
      </c>
      <c r="E10353" s="30" t="inlineStr">
        <is>
          <t>TRANSPORTES SOUZA ARAUJO LTDA</t>
        </is>
      </c>
      <c r="F10353" s="30" t="inlineStr">
        <is>
          <t>2022</t>
        </is>
      </c>
      <c r="G10353" s="40" t="n">
        <v>757010.08</v>
      </c>
    </row>
    <row r="10354" ht="12" customHeight="1">
      <c r="A10354" s="30" t="inlineStr">
        <is>
          <t>POR</t>
        </is>
      </c>
      <c r="B10354" s="30" t="inlineStr">
        <is>
          <t>Porto Real</t>
        </is>
      </c>
      <c r="C10354" s="30" t="n">
        <v>77663711</v>
      </c>
      <c r="D10354" s="30">
        <f>"05931640000139"</f>
        <v/>
      </c>
      <c r="E10354" s="30" t="inlineStr">
        <is>
          <t>TRANSPORTES SOUZA ARAUJO LTDA</t>
        </is>
      </c>
      <c r="F10354" s="30" t="inlineStr">
        <is>
          <t>2023</t>
        </is>
      </c>
      <c r="G10354" s="40" t="n">
        <v>532419.8199999999</v>
      </c>
    </row>
    <row r="10355" ht="12" customHeight="1">
      <c r="A10355" s="30" t="inlineStr">
        <is>
          <t>POR</t>
        </is>
      </c>
      <c r="B10355" s="30" t="inlineStr">
        <is>
          <t>Porto Real</t>
        </is>
      </c>
      <c r="C10355" s="30" t="n">
        <v>77685022</v>
      </c>
      <c r="D10355" s="30">
        <f>"76535764033157"</f>
        <v/>
      </c>
      <c r="E10355" s="30" t="inlineStr">
        <is>
          <t>OI SA - EM RECUPERACAO JUDICIAL</t>
        </is>
      </c>
      <c r="F10355" s="30" t="inlineStr">
        <is>
          <t>2019</t>
        </is>
      </c>
      <c r="G10355" s="40" t="n">
        <v>0</v>
      </c>
    </row>
    <row r="10356" ht="12" customHeight="1">
      <c r="A10356" s="30" t="inlineStr">
        <is>
          <t>POR</t>
        </is>
      </c>
      <c r="B10356" s="30" t="inlineStr">
        <is>
          <t>Porto Real</t>
        </is>
      </c>
      <c r="C10356" s="30" t="n">
        <v>77685022</v>
      </c>
      <c r="D10356" s="30">
        <f>"76535764033157"</f>
        <v/>
      </c>
      <c r="E10356" s="30" t="inlineStr">
        <is>
          <t>OI SA - EM RECUPERACAO JUDICIAL</t>
        </is>
      </c>
      <c r="F10356" s="30" t="inlineStr">
        <is>
          <t>2020</t>
        </is>
      </c>
      <c r="G10356" s="40" t="n">
        <v>0</v>
      </c>
    </row>
    <row r="10357" ht="12" customHeight="1">
      <c r="A10357" s="30" t="inlineStr">
        <is>
          <t>POR</t>
        </is>
      </c>
      <c r="B10357" s="30" t="inlineStr">
        <is>
          <t>Porto Real</t>
        </is>
      </c>
      <c r="C10357" s="30" t="n">
        <v>77685022</v>
      </c>
      <c r="D10357" s="30">
        <f>"76535764033157"</f>
        <v/>
      </c>
      <c r="E10357" s="30" t="inlineStr">
        <is>
          <t>OI SA - EM RECUPERACAO JUDICIAL</t>
        </is>
      </c>
      <c r="F10357" s="30" t="inlineStr">
        <is>
          <t>2021</t>
        </is>
      </c>
      <c r="G10357" s="40" t="n">
        <v>437132.13</v>
      </c>
    </row>
    <row r="10358" ht="12" customHeight="1">
      <c r="A10358" s="30" t="inlineStr">
        <is>
          <t>POR</t>
        </is>
      </c>
      <c r="B10358" s="30" t="inlineStr">
        <is>
          <t>Porto Real</t>
        </is>
      </c>
      <c r="C10358" s="30" t="n">
        <v>77685022</v>
      </c>
      <c r="D10358" s="30">
        <f>"76535764033157"</f>
        <v/>
      </c>
      <c r="E10358" s="30" t="inlineStr">
        <is>
          <t>OI SA - EM RECUPERACAO JUDICIAL</t>
        </is>
      </c>
      <c r="F10358" s="30" t="inlineStr">
        <is>
          <t>2022</t>
        </is>
      </c>
      <c r="G10358" s="40" t="n">
        <v>795110.2</v>
      </c>
    </row>
    <row r="10359" ht="12" customHeight="1">
      <c r="A10359" s="30" t="inlineStr">
        <is>
          <t>POR</t>
        </is>
      </c>
      <c r="B10359" s="30" t="inlineStr">
        <is>
          <t>Porto Real</t>
        </is>
      </c>
      <c r="C10359" s="30" t="n">
        <v>77685022</v>
      </c>
      <c r="D10359" s="30">
        <f>"76535764033157"</f>
        <v/>
      </c>
      <c r="E10359" s="30" t="inlineStr">
        <is>
          <t>OI SA - EM RECUPERACAO JUDICIAL</t>
        </is>
      </c>
      <c r="F10359" s="30" t="inlineStr">
        <is>
          <t>2023</t>
        </is>
      </c>
      <c r="G10359" s="40" t="n">
        <v>614306.9399999999</v>
      </c>
    </row>
    <row r="10360" ht="12" customHeight="1">
      <c r="A10360" s="30" t="inlineStr">
        <is>
          <t>POR</t>
        </is>
      </c>
      <c r="B10360" s="30" t="inlineStr">
        <is>
          <t>Porto Real</t>
        </is>
      </c>
      <c r="C10360" s="30" t="n">
        <v>77689630</v>
      </c>
      <c r="D10360" s="30">
        <f>"02427026002009"</f>
        <v/>
      </c>
      <c r="E10360" s="30" t="inlineStr">
        <is>
          <t>ALIANCA NAVEGACAO E LOGISTICA LTDA</t>
        </is>
      </c>
      <c r="F10360" s="30" t="inlineStr">
        <is>
          <t>2017</t>
        </is>
      </c>
      <c r="G10360" s="40" t="n">
        <v>0</v>
      </c>
    </row>
    <row r="10361" ht="12" customHeight="1">
      <c r="A10361" s="30" t="inlineStr">
        <is>
          <t>POR</t>
        </is>
      </c>
      <c r="B10361" s="30" t="inlineStr">
        <is>
          <t>Porto Real</t>
        </is>
      </c>
      <c r="C10361" s="30" t="n">
        <v>77689630</v>
      </c>
      <c r="D10361" s="30">
        <f>"02427026002009"</f>
        <v/>
      </c>
      <c r="E10361" s="30" t="inlineStr">
        <is>
          <t>ALIANCA NAVEGACAO E LOGISTICA LTDA</t>
        </is>
      </c>
      <c r="F10361" s="30" t="inlineStr">
        <is>
          <t>2018</t>
        </is>
      </c>
      <c r="G10361" s="40" t="n">
        <v>143905.44</v>
      </c>
    </row>
    <row r="10362" ht="12" customHeight="1">
      <c r="A10362" s="30" t="inlineStr">
        <is>
          <t>POR</t>
        </is>
      </c>
      <c r="B10362" s="30" t="inlineStr">
        <is>
          <t>Porto Real</t>
        </is>
      </c>
      <c r="C10362" s="30" t="n">
        <v>77689630</v>
      </c>
      <c r="D10362" s="30">
        <f>"02427026002009"</f>
        <v/>
      </c>
      <c r="E10362" s="30" t="inlineStr">
        <is>
          <t>ALIANCA NAVEGACAO E LOGISTICA LTDA</t>
        </is>
      </c>
      <c r="F10362" s="30" t="inlineStr">
        <is>
          <t>2019</t>
        </is>
      </c>
      <c r="G10362" s="40" t="n">
        <v>71733.22</v>
      </c>
    </row>
    <row r="10363" ht="12" customHeight="1">
      <c r="A10363" s="30" t="inlineStr">
        <is>
          <t>POR</t>
        </is>
      </c>
      <c r="B10363" s="30" t="inlineStr">
        <is>
          <t>Porto Real</t>
        </is>
      </c>
      <c r="C10363" s="30" t="n">
        <v>77689630</v>
      </c>
      <c r="D10363" s="30">
        <f>"02427026002009"</f>
        <v/>
      </c>
      <c r="E10363" s="30" t="inlineStr">
        <is>
          <t>ALIANCA NAVEGACAO E LOGISTICA LTDA</t>
        </is>
      </c>
      <c r="F10363" s="30" t="inlineStr">
        <is>
          <t>2020</t>
        </is>
      </c>
      <c r="G10363" s="40" t="n">
        <v>2611.03</v>
      </c>
    </row>
    <row r="10364" ht="12" customHeight="1">
      <c r="A10364" s="30" t="inlineStr">
        <is>
          <t>POR</t>
        </is>
      </c>
      <c r="B10364" s="30" t="inlineStr">
        <is>
          <t>Porto Real</t>
        </is>
      </c>
      <c r="C10364" s="30" t="n">
        <v>77689630</v>
      </c>
      <c r="D10364" s="30">
        <f>"02427026002009"</f>
        <v/>
      </c>
      <c r="E10364" s="30" t="inlineStr">
        <is>
          <t>ALIANCA NAVEGACAO E LOGISTICA LTDA</t>
        </is>
      </c>
      <c r="F10364" s="30" t="inlineStr">
        <is>
          <t>2021</t>
        </is>
      </c>
      <c r="G10364" s="40" t="n">
        <v>76476.78999999999</v>
      </c>
    </row>
    <row r="10365" ht="12" customHeight="1">
      <c r="A10365" s="30" t="inlineStr">
        <is>
          <t>POR</t>
        </is>
      </c>
      <c r="B10365" s="30" t="inlineStr">
        <is>
          <t>Porto Real</t>
        </is>
      </c>
      <c r="C10365" s="30" t="n">
        <v>77689630</v>
      </c>
      <c r="D10365" s="30">
        <f>"02427026002009"</f>
        <v/>
      </c>
      <c r="E10365" s="30" t="inlineStr">
        <is>
          <t>ALIANCA NAVEGACAO E LOGISTICA LTDA</t>
        </is>
      </c>
      <c r="F10365" s="30" t="inlineStr">
        <is>
          <t>2022</t>
        </is>
      </c>
      <c r="G10365" s="40" t="n">
        <v>0</v>
      </c>
    </row>
    <row r="10366" ht="12" customHeight="1">
      <c r="A10366" s="30" t="inlineStr">
        <is>
          <t>POR</t>
        </is>
      </c>
      <c r="B10366" s="30" t="inlineStr">
        <is>
          <t>Porto Real</t>
        </is>
      </c>
      <c r="C10366" s="30" t="n">
        <v>77689630</v>
      </c>
      <c r="D10366" s="30">
        <f>"02427026002009"</f>
        <v/>
      </c>
      <c r="E10366" s="30" t="inlineStr">
        <is>
          <t>ALIANCA NAVEGACAO E LOGISTICA LTDA</t>
        </is>
      </c>
      <c r="F10366" s="30" t="inlineStr">
        <is>
          <t>2023</t>
        </is>
      </c>
      <c r="G10366" s="40" t="n">
        <v>135842.29</v>
      </c>
    </row>
    <row r="10367" ht="12" customHeight="1">
      <c r="A10367" s="30" t="inlineStr">
        <is>
          <t>POR</t>
        </is>
      </c>
      <c r="B10367" s="30" t="inlineStr">
        <is>
          <t>Porto Real</t>
        </is>
      </c>
      <c r="C10367" s="30" t="n">
        <v>77700501</v>
      </c>
      <c r="D10367" s="30">
        <f>"71208516017140"</f>
        <v/>
      </c>
      <c r="E10367" s="30" t="inlineStr">
        <is>
          <t>ALGAR TELECOM S A</t>
        </is>
      </c>
      <c r="F10367" s="30" t="inlineStr">
        <is>
          <t>2017</t>
        </is>
      </c>
      <c r="G10367" s="40" t="n">
        <v>30.84</v>
      </c>
    </row>
    <row r="10368" ht="12" customHeight="1">
      <c r="A10368" s="30" t="inlineStr">
        <is>
          <t>POR</t>
        </is>
      </c>
      <c r="B10368" s="30" t="inlineStr">
        <is>
          <t>Porto Real</t>
        </is>
      </c>
      <c r="C10368" s="30" t="n">
        <v>77700501</v>
      </c>
      <c r="D10368" s="30">
        <f>"71208516017140"</f>
        <v/>
      </c>
      <c r="E10368" s="30" t="inlineStr">
        <is>
          <t>ALGAR TELECOM S A</t>
        </is>
      </c>
      <c r="F10368" s="30" t="inlineStr">
        <is>
          <t>2018</t>
        </is>
      </c>
      <c r="G10368" s="40" t="n">
        <v>85.81</v>
      </c>
    </row>
    <row r="10369" ht="12" customHeight="1">
      <c r="A10369" s="30" t="inlineStr">
        <is>
          <t>POR</t>
        </is>
      </c>
      <c r="B10369" s="30" t="inlineStr">
        <is>
          <t>Porto Real</t>
        </is>
      </c>
      <c r="C10369" s="30" t="n">
        <v>77700501</v>
      </c>
      <c r="D10369" s="30">
        <f>"71208516017140"</f>
        <v/>
      </c>
      <c r="E10369" s="30" t="inlineStr">
        <is>
          <t>ALGAR TELECOM S A</t>
        </is>
      </c>
      <c r="F10369" s="30" t="inlineStr">
        <is>
          <t>2019</t>
        </is>
      </c>
      <c r="G10369" s="40" t="n">
        <v>186.44</v>
      </c>
    </row>
    <row r="10370" ht="12" customHeight="1">
      <c r="A10370" s="30" t="inlineStr">
        <is>
          <t>POR</t>
        </is>
      </c>
      <c r="B10370" s="30" t="inlineStr">
        <is>
          <t>Porto Real</t>
        </is>
      </c>
      <c r="C10370" s="30" t="n">
        <v>77700501</v>
      </c>
      <c r="D10370" s="30">
        <f>"71208516017140"</f>
        <v/>
      </c>
      <c r="E10370" s="30" t="inlineStr">
        <is>
          <t>ALGAR TELECOM S A</t>
        </is>
      </c>
      <c r="F10370" s="30" t="inlineStr">
        <is>
          <t>2020</t>
        </is>
      </c>
      <c r="G10370" s="40" t="n">
        <v>105.33</v>
      </c>
    </row>
    <row r="10371" ht="12" customHeight="1">
      <c r="A10371" s="30" t="inlineStr">
        <is>
          <t>POR</t>
        </is>
      </c>
      <c r="B10371" s="30" t="inlineStr">
        <is>
          <t>Porto Real</t>
        </is>
      </c>
      <c r="C10371" s="30" t="n">
        <v>77700501</v>
      </c>
      <c r="D10371" s="30">
        <f>"71208516017140"</f>
        <v/>
      </c>
      <c r="E10371" s="30" t="inlineStr">
        <is>
          <t>ALGAR TELECOM S A</t>
        </is>
      </c>
      <c r="F10371" s="30" t="inlineStr">
        <is>
          <t>2021</t>
        </is>
      </c>
      <c r="G10371" s="40" t="n">
        <v>57.53</v>
      </c>
    </row>
    <row r="10372" ht="12" customHeight="1">
      <c r="A10372" s="30" t="inlineStr">
        <is>
          <t>POR</t>
        </is>
      </c>
      <c r="B10372" s="30" t="inlineStr">
        <is>
          <t>Porto Real</t>
        </is>
      </c>
      <c r="C10372" s="30" t="n">
        <v>77700501</v>
      </c>
      <c r="D10372" s="30">
        <f>"71208516017140"</f>
        <v/>
      </c>
      <c r="E10372" s="30" t="inlineStr">
        <is>
          <t>ALGAR TELECOM S A</t>
        </is>
      </c>
      <c r="F10372" s="30" t="inlineStr">
        <is>
          <t>2022</t>
        </is>
      </c>
      <c r="G10372" s="40" t="n">
        <v>6.45</v>
      </c>
    </row>
    <row r="10373" ht="12" customHeight="1">
      <c r="A10373" s="30" t="inlineStr">
        <is>
          <t>POR</t>
        </is>
      </c>
      <c r="B10373" s="30" t="inlineStr">
        <is>
          <t>Porto Real</t>
        </is>
      </c>
      <c r="C10373" s="30" t="n">
        <v>77700501</v>
      </c>
      <c r="D10373" s="30">
        <f>"71208516017140"</f>
        <v/>
      </c>
      <c r="E10373" s="30" t="inlineStr">
        <is>
          <t>ALGAR TELECOM S A</t>
        </is>
      </c>
      <c r="F10373" s="30" t="inlineStr">
        <is>
          <t>2023</t>
        </is>
      </c>
      <c r="G10373" s="40" t="n">
        <v>3.88</v>
      </c>
    </row>
    <row r="10374" ht="12" customHeight="1">
      <c r="A10374" s="30" t="inlineStr">
        <is>
          <t>POR</t>
        </is>
      </c>
      <c r="B10374" s="30" t="inlineStr">
        <is>
          <t>Porto Real</t>
        </is>
      </c>
      <c r="C10374" s="30" t="n">
        <v>77712755</v>
      </c>
      <c r="D10374" s="30">
        <f>"06229098000563"</f>
        <v/>
      </c>
      <c r="E10374" s="30" t="inlineStr">
        <is>
          <t>VERIZON TELECOMUNICACOES DO BRASIL LTDA</t>
        </is>
      </c>
      <c r="F10374" s="30" t="inlineStr">
        <is>
          <t>2017</t>
        </is>
      </c>
      <c r="G10374" s="40" t="n">
        <v>0</v>
      </c>
    </row>
    <row r="10375" ht="12" customHeight="1">
      <c r="A10375" s="30" t="inlineStr">
        <is>
          <t>POR</t>
        </is>
      </c>
      <c r="B10375" s="30" t="inlineStr">
        <is>
          <t>Porto Real</t>
        </is>
      </c>
      <c r="C10375" s="30" t="n">
        <v>77712755</v>
      </c>
      <c r="D10375" s="30">
        <f>"06229098000563"</f>
        <v/>
      </c>
      <c r="E10375" s="30" t="inlineStr">
        <is>
          <t>VERIZON TELECOMUNICACOES DO BRASIL LTDA</t>
        </is>
      </c>
      <c r="F10375" s="30" t="inlineStr">
        <is>
          <t>2018</t>
        </is>
      </c>
      <c r="G10375" s="40" t="n">
        <v>107815.56</v>
      </c>
    </row>
    <row r="10376" ht="12" customHeight="1">
      <c r="A10376" s="30" t="inlineStr">
        <is>
          <t>POR</t>
        </is>
      </c>
      <c r="B10376" s="30" t="inlineStr">
        <is>
          <t>Porto Real</t>
        </is>
      </c>
      <c r="C10376" s="30" t="n">
        <v>77712755</v>
      </c>
      <c r="D10376" s="30">
        <f>"06229098000563"</f>
        <v/>
      </c>
      <c r="E10376" s="30" t="inlineStr">
        <is>
          <t>VERIZON TELECOMUNICACOES DO BRASIL LTDA</t>
        </is>
      </c>
      <c r="F10376" s="30" t="inlineStr">
        <is>
          <t>2019</t>
        </is>
      </c>
      <c r="G10376" s="40" t="n">
        <v>131957.12</v>
      </c>
    </row>
    <row r="10377" ht="12" customHeight="1">
      <c r="A10377" s="30" t="inlineStr">
        <is>
          <t>POR</t>
        </is>
      </c>
      <c r="B10377" s="30" t="inlineStr">
        <is>
          <t>Porto Real</t>
        </is>
      </c>
      <c r="C10377" s="30" t="n">
        <v>77712755</v>
      </c>
      <c r="D10377" s="30">
        <f>"06229098000563"</f>
        <v/>
      </c>
      <c r="E10377" s="30" t="inlineStr">
        <is>
          <t>VERIZON TELECOMUNICACOES DO BRASIL LTDA</t>
        </is>
      </c>
      <c r="F10377" s="30" t="inlineStr">
        <is>
          <t>2020</t>
        </is>
      </c>
      <c r="G10377" s="40" t="n">
        <v>0</v>
      </c>
    </row>
    <row r="10378" ht="12" customHeight="1">
      <c r="A10378" s="30" t="inlineStr">
        <is>
          <t>POR</t>
        </is>
      </c>
      <c r="B10378" s="30" t="inlineStr">
        <is>
          <t>Porto Real</t>
        </is>
      </c>
      <c r="C10378" s="30" t="n">
        <v>77712755</v>
      </c>
      <c r="D10378" s="30">
        <f>"06229098000563"</f>
        <v/>
      </c>
      <c r="E10378" s="30" t="inlineStr">
        <is>
          <t>VERIZON TELECOMUNICACOES DO BRASIL LTDA</t>
        </is>
      </c>
      <c r="F10378" s="30" t="inlineStr">
        <is>
          <t>2021</t>
        </is>
      </c>
      <c r="G10378" s="40" t="n">
        <v>0</v>
      </c>
    </row>
    <row r="10379" ht="12" customHeight="1">
      <c r="A10379" s="30" t="inlineStr">
        <is>
          <t>POR</t>
        </is>
      </c>
      <c r="B10379" s="30" t="inlineStr">
        <is>
          <t>Porto Real</t>
        </is>
      </c>
      <c r="C10379" s="30" t="n">
        <v>77730729</v>
      </c>
      <c r="D10379" s="30">
        <f>"48740351000408"</f>
        <v/>
      </c>
      <c r="E10379" s="30" t="inlineStr">
        <is>
          <t>BRASPRESS TRANSPORTES URGENTES LTDA</t>
        </is>
      </c>
      <c r="F10379" s="30" t="inlineStr">
        <is>
          <t>2017</t>
        </is>
      </c>
      <c r="G10379" s="40" t="n">
        <v>2295.61</v>
      </c>
    </row>
    <row r="10380" ht="12" customHeight="1">
      <c r="A10380" s="30" t="inlineStr">
        <is>
          <t>POR</t>
        </is>
      </c>
      <c r="B10380" s="30" t="inlineStr">
        <is>
          <t>Porto Real</t>
        </is>
      </c>
      <c r="C10380" s="30" t="n">
        <v>77730729</v>
      </c>
      <c r="D10380" s="30">
        <f>"48740351000408"</f>
        <v/>
      </c>
      <c r="E10380" s="30" t="inlineStr">
        <is>
          <t>BRASPRESS TRANSPORTES URGENTES LTDA</t>
        </is>
      </c>
      <c r="F10380" s="30" t="inlineStr">
        <is>
          <t>2018</t>
        </is>
      </c>
      <c r="G10380" s="40" t="n">
        <v>5538.1</v>
      </c>
    </row>
    <row r="10381" ht="12" customHeight="1">
      <c r="A10381" s="30" t="inlineStr">
        <is>
          <t>POR</t>
        </is>
      </c>
      <c r="B10381" s="30" t="inlineStr">
        <is>
          <t>Porto Real</t>
        </is>
      </c>
      <c r="C10381" s="30" t="n">
        <v>77730729</v>
      </c>
      <c r="D10381" s="30">
        <f>"48740351000408"</f>
        <v/>
      </c>
      <c r="E10381" s="30" t="inlineStr">
        <is>
          <t>BRASPRESS TRANSPORTES URGENTES LTDA</t>
        </is>
      </c>
      <c r="F10381" s="30" t="inlineStr">
        <is>
          <t>2019</t>
        </is>
      </c>
      <c r="G10381" s="40" t="n">
        <v>1275.68</v>
      </c>
    </row>
    <row r="10382" ht="12" customHeight="1">
      <c r="A10382" s="30" t="inlineStr">
        <is>
          <t>POR</t>
        </is>
      </c>
      <c r="B10382" s="30" t="inlineStr">
        <is>
          <t>Porto Real</t>
        </is>
      </c>
      <c r="C10382" s="30" t="n">
        <v>77730729</v>
      </c>
      <c r="D10382" s="30">
        <f>"48740351000408"</f>
        <v/>
      </c>
      <c r="E10382" s="30" t="inlineStr">
        <is>
          <t>BRASPRESS TRANSPORTES URGENTES LTDA</t>
        </is>
      </c>
      <c r="F10382" s="30" t="inlineStr">
        <is>
          <t>2020</t>
        </is>
      </c>
      <c r="G10382" s="40" t="n">
        <v>1717.23</v>
      </c>
    </row>
    <row r="10383" ht="12" customHeight="1">
      <c r="A10383" s="30" t="inlineStr">
        <is>
          <t>POR</t>
        </is>
      </c>
      <c r="B10383" s="30" t="inlineStr">
        <is>
          <t>Porto Real</t>
        </is>
      </c>
      <c r="C10383" s="30" t="n">
        <v>77730729</v>
      </c>
      <c r="D10383" s="30">
        <f>"48740351000408"</f>
        <v/>
      </c>
      <c r="E10383" s="30" t="inlineStr">
        <is>
          <t>BRASPRESS TRANSPORTES URGENTES LTDA</t>
        </is>
      </c>
      <c r="F10383" s="30" t="inlineStr">
        <is>
          <t>2021</t>
        </is>
      </c>
      <c r="G10383" s="40" t="n">
        <v>4182.37</v>
      </c>
    </row>
    <row r="10384" ht="12" customHeight="1">
      <c r="A10384" s="30" t="inlineStr">
        <is>
          <t>POR</t>
        </is>
      </c>
      <c r="B10384" s="30" t="inlineStr">
        <is>
          <t>Porto Real</t>
        </is>
      </c>
      <c r="C10384" s="30" t="n">
        <v>77730729</v>
      </c>
      <c r="D10384" s="30">
        <f>"48740351000408"</f>
        <v/>
      </c>
      <c r="E10384" s="30" t="inlineStr">
        <is>
          <t>BRASPRESS TRANSPORTES URGENTES LTDA</t>
        </is>
      </c>
      <c r="F10384" s="30" t="inlineStr">
        <is>
          <t>2022</t>
        </is>
      </c>
      <c r="G10384" s="40" t="n">
        <v>0</v>
      </c>
    </row>
    <row r="10385" ht="12" customHeight="1">
      <c r="A10385" s="30" t="inlineStr">
        <is>
          <t>POR</t>
        </is>
      </c>
      <c r="B10385" s="30" t="inlineStr">
        <is>
          <t>Porto Real</t>
        </is>
      </c>
      <c r="C10385" s="30" t="n">
        <v>77730729</v>
      </c>
      <c r="D10385" s="30">
        <f>"48740351000408"</f>
        <v/>
      </c>
      <c r="E10385" s="30" t="inlineStr">
        <is>
          <t>BRASPRESS TRANSPORTES URGENTES LTDA</t>
        </is>
      </c>
      <c r="F10385" s="30" t="inlineStr">
        <is>
          <t>2023</t>
        </is>
      </c>
      <c r="G10385" s="40" t="n">
        <v>72.01000000000001</v>
      </c>
    </row>
    <row r="10386" ht="12" customHeight="1">
      <c r="A10386" s="30" t="inlineStr">
        <is>
          <t>POR</t>
        </is>
      </c>
      <c r="B10386" s="30" t="inlineStr">
        <is>
          <t>Porto Real</t>
        </is>
      </c>
      <c r="C10386" s="30" t="n">
        <v>77734686</v>
      </c>
      <c r="D10386" s="30">
        <f>"48740351003008"</f>
        <v/>
      </c>
      <c r="E10386" s="30" t="inlineStr">
        <is>
          <t>BRASPRESS TRANSPORTES URGENTES LTDA</t>
        </is>
      </c>
      <c r="F10386" s="30" t="inlineStr">
        <is>
          <t>2017</t>
        </is>
      </c>
      <c r="G10386" s="40" t="n">
        <v>976.47</v>
      </c>
    </row>
    <row r="10387" ht="12" customHeight="1">
      <c r="A10387" s="30" t="inlineStr">
        <is>
          <t>POR</t>
        </is>
      </c>
      <c r="B10387" s="30" t="inlineStr">
        <is>
          <t>Porto Real</t>
        </is>
      </c>
      <c r="C10387" s="30" t="n">
        <v>77734686</v>
      </c>
      <c r="D10387" s="30">
        <f>"48740351003008"</f>
        <v/>
      </c>
      <c r="E10387" s="30" t="inlineStr">
        <is>
          <t>BRASPRESS TRANSPORTES URGENTES LTDA</t>
        </is>
      </c>
      <c r="F10387" s="30" t="inlineStr">
        <is>
          <t>2018</t>
        </is>
      </c>
      <c r="G10387" s="40" t="n">
        <v>287.19</v>
      </c>
    </row>
    <row r="10388" ht="12" customHeight="1">
      <c r="A10388" s="30" t="inlineStr">
        <is>
          <t>POR</t>
        </is>
      </c>
      <c r="B10388" s="30" t="inlineStr">
        <is>
          <t>Porto Real</t>
        </is>
      </c>
      <c r="C10388" s="30" t="n">
        <v>77734686</v>
      </c>
      <c r="D10388" s="30">
        <f>"48740351003008"</f>
        <v/>
      </c>
      <c r="E10388" s="30" t="inlineStr">
        <is>
          <t>BRASPRESS TRANSPORTES URGENTES LTDA</t>
        </is>
      </c>
      <c r="F10388" s="30" t="inlineStr">
        <is>
          <t>2019</t>
        </is>
      </c>
      <c r="G10388" s="40" t="n">
        <v>303.94</v>
      </c>
    </row>
    <row r="10389" ht="12" customHeight="1">
      <c r="A10389" s="30" t="inlineStr">
        <is>
          <t>POR</t>
        </is>
      </c>
      <c r="B10389" s="30" t="inlineStr">
        <is>
          <t>Porto Real</t>
        </is>
      </c>
      <c r="C10389" s="30" t="n">
        <v>77734686</v>
      </c>
      <c r="D10389" s="30">
        <f>"48740351003008"</f>
        <v/>
      </c>
      <c r="E10389" s="30" t="inlineStr">
        <is>
          <t>BRASPRESS TRANSPORTES URGENTES LTDA</t>
        </is>
      </c>
      <c r="F10389" s="30" t="inlineStr">
        <is>
          <t>2020</t>
        </is>
      </c>
      <c r="G10389" s="40" t="n">
        <v>0</v>
      </c>
    </row>
    <row r="10390" ht="12" customHeight="1">
      <c r="A10390" s="30" t="inlineStr">
        <is>
          <t>POR</t>
        </is>
      </c>
      <c r="B10390" s="30" t="inlineStr">
        <is>
          <t>Porto Real</t>
        </is>
      </c>
      <c r="C10390" s="30" t="n">
        <v>77734686</v>
      </c>
      <c r="D10390" s="30">
        <f>"48740351003008"</f>
        <v/>
      </c>
      <c r="E10390" s="30" t="inlineStr">
        <is>
          <t>BRASPRESS TRANSPORTES URGENTES LTDA</t>
        </is>
      </c>
      <c r="F10390" s="30" t="inlineStr">
        <is>
          <t>2021</t>
        </is>
      </c>
      <c r="G10390" s="40" t="n">
        <v>0</v>
      </c>
    </row>
    <row r="10391" ht="12" customHeight="1">
      <c r="A10391" s="30" t="inlineStr">
        <is>
          <t>POR</t>
        </is>
      </c>
      <c r="B10391" s="30" t="inlineStr">
        <is>
          <t>Porto Real</t>
        </is>
      </c>
      <c r="C10391" s="30" t="n">
        <v>77734708</v>
      </c>
      <c r="D10391" s="30">
        <f>"48740351003261"</f>
        <v/>
      </c>
      <c r="E10391" s="30" t="inlineStr">
        <is>
          <t>BRASPRESS TRANSPORTES URGENTES LTDA</t>
        </is>
      </c>
      <c r="F10391" s="30" t="inlineStr">
        <is>
          <t>2017</t>
        </is>
      </c>
      <c r="G10391" s="40" t="n">
        <v>294.54</v>
      </c>
    </row>
    <row r="10392" ht="12" customHeight="1">
      <c r="A10392" s="30" t="inlineStr">
        <is>
          <t>POR</t>
        </is>
      </c>
      <c r="B10392" s="30" t="inlineStr">
        <is>
          <t>Porto Real</t>
        </is>
      </c>
      <c r="C10392" s="30" t="n">
        <v>77734708</v>
      </c>
      <c r="D10392" s="30">
        <f>"48740351003261"</f>
        <v/>
      </c>
      <c r="E10392" s="30" t="inlineStr">
        <is>
          <t>BRASPRESS TRANSPORTES URGENTES LTDA</t>
        </is>
      </c>
      <c r="F10392" s="30" t="inlineStr">
        <is>
          <t>2018</t>
        </is>
      </c>
      <c r="G10392" s="40" t="n">
        <v>0</v>
      </c>
    </row>
    <row r="10393" ht="12" customHeight="1">
      <c r="A10393" s="30" t="inlineStr">
        <is>
          <t>POR</t>
        </is>
      </c>
      <c r="B10393" s="30" t="inlineStr">
        <is>
          <t>Porto Real</t>
        </is>
      </c>
      <c r="C10393" s="30" t="n">
        <v>77734708</v>
      </c>
      <c r="D10393" s="30">
        <f>"48740351003261"</f>
        <v/>
      </c>
      <c r="E10393" s="30" t="inlineStr">
        <is>
          <t>BRASPRESS TRANSPORTES URGENTES LTDA</t>
        </is>
      </c>
      <c r="F10393" s="30" t="inlineStr">
        <is>
          <t>2019</t>
        </is>
      </c>
      <c r="G10393" s="40" t="n">
        <v>0</v>
      </c>
    </row>
    <row r="10394" ht="12" customHeight="1">
      <c r="A10394" s="30" t="inlineStr">
        <is>
          <t>POR</t>
        </is>
      </c>
      <c r="B10394" s="30" t="inlineStr">
        <is>
          <t>Porto Real</t>
        </is>
      </c>
      <c r="C10394" s="30" t="n">
        <v>77734708</v>
      </c>
      <c r="D10394" s="30">
        <f>"48740351003261"</f>
        <v/>
      </c>
      <c r="E10394" s="30" t="inlineStr">
        <is>
          <t>BRASPRESS TRANSPORTES URGENTES LTDA</t>
        </is>
      </c>
      <c r="F10394" s="30" t="inlineStr">
        <is>
          <t>2020</t>
        </is>
      </c>
      <c r="G10394" s="40" t="n">
        <v>0</v>
      </c>
    </row>
    <row r="10395" ht="12" customHeight="1">
      <c r="A10395" s="30" t="inlineStr">
        <is>
          <t>POR</t>
        </is>
      </c>
      <c r="B10395" s="30" t="inlineStr">
        <is>
          <t>Porto Real</t>
        </is>
      </c>
      <c r="C10395" s="30" t="n">
        <v>77734708</v>
      </c>
      <c r="D10395" s="30">
        <f>"48740351003261"</f>
        <v/>
      </c>
      <c r="E10395" s="30" t="inlineStr">
        <is>
          <t>BRASPRESS TRANSPORTES URGENTES LTDA</t>
        </is>
      </c>
      <c r="F10395" s="30" t="inlineStr">
        <is>
          <t>2021</t>
        </is>
      </c>
      <c r="G10395" s="40" t="n">
        <v>85.69</v>
      </c>
    </row>
    <row r="10396" ht="12" customHeight="1">
      <c r="A10396" s="30" t="inlineStr">
        <is>
          <t>POR</t>
        </is>
      </c>
      <c r="B10396" s="30" t="inlineStr">
        <is>
          <t>Porto Real</t>
        </is>
      </c>
      <c r="C10396" s="30" t="n">
        <v>77734708</v>
      </c>
      <c r="D10396" s="30">
        <f>"48740351003261"</f>
        <v/>
      </c>
      <c r="E10396" s="30" t="inlineStr">
        <is>
          <t>BRASPRESS TRANSPORTES URGENTES LTDA</t>
        </is>
      </c>
      <c r="F10396" s="30" t="inlineStr">
        <is>
          <t>2022</t>
        </is>
      </c>
      <c r="G10396" s="40" t="n">
        <v>0</v>
      </c>
    </row>
    <row r="10397" ht="12" customHeight="1">
      <c r="A10397" s="30" t="inlineStr">
        <is>
          <t>POR</t>
        </is>
      </c>
      <c r="B10397" s="30" t="inlineStr">
        <is>
          <t>Porto Real</t>
        </is>
      </c>
      <c r="C10397" s="30" t="n">
        <v>77734708</v>
      </c>
      <c r="D10397" s="30">
        <f>"48740351003261"</f>
        <v/>
      </c>
      <c r="E10397" s="30" t="inlineStr">
        <is>
          <t>BRASPRESS TRANSPORTES URGENTES LTDA</t>
        </is>
      </c>
      <c r="F10397" s="30" t="inlineStr">
        <is>
          <t>2023</t>
        </is>
      </c>
      <c r="G10397" s="40" t="n">
        <v>0</v>
      </c>
    </row>
    <row r="10398" ht="12" customHeight="1">
      <c r="A10398" s="30" t="inlineStr">
        <is>
          <t>POR</t>
        </is>
      </c>
      <c r="B10398" s="30" t="inlineStr">
        <is>
          <t>Porto Real</t>
        </is>
      </c>
      <c r="C10398" s="30" t="n">
        <v>77742638</v>
      </c>
      <c r="D10398" s="30">
        <f>"05602186000253"</f>
        <v/>
      </c>
      <c r="E10398" s="30" t="inlineStr">
        <is>
          <t>TRANSNITRO LOGISTICA E TRANSPORTES DE VEICULOS LTDA</t>
        </is>
      </c>
      <c r="F10398" s="30" t="inlineStr">
        <is>
          <t>2017</t>
        </is>
      </c>
      <c r="G10398" s="40" t="n">
        <v>0</v>
      </c>
    </row>
    <row r="10399" ht="12" customHeight="1">
      <c r="A10399" s="30" t="inlineStr">
        <is>
          <t>POR</t>
        </is>
      </c>
      <c r="B10399" s="30" t="inlineStr">
        <is>
          <t>Porto Real</t>
        </is>
      </c>
      <c r="C10399" s="30" t="n">
        <v>77742638</v>
      </c>
      <c r="D10399" s="30">
        <f>"05602186000253"</f>
        <v/>
      </c>
      <c r="E10399" s="30" t="inlineStr">
        <is>
          <t>TRANSNITRO LOGISTICA E TRANSPORTES DE VEICULOS LTDA</t>
        </is>
      </c>
      <c r="F10399" s="30" t="inlineStr">
        <is>
          <t>2018</t>
        </is>
      </c>
      <c r="G10399" s="40" t="n">
        <v>0</v>
      </c>
    </row>
    <row r="10400" ht="12" customHeight="1">
      <c r="A10400" s="30" t="inlineStr">
        <is>
          <t>POR</t>
        </is>
      </c>
      <c r="B10400" s="30" t="inlineStr">
        <is>
          <t>Porto Real</t>
        </is>
      </c>
      <c r="C10400" s="30" t="n">
        <v>77742638</v>
      </c>
      <c r="D10400" s="30">
        <f>"05602186000253"</f>
        <v/>
      </c>
      <c r="E10400" s="30" t="inlineStr">
        <is>
          <t>TRANSNITRO LOGISTICA E TRANSPORTES DE VEICULOS LTDA</t>
        </is>
      </c>
      <c r="F10400" s="30" t="inlineStr">
        <is>
          <t>2019</t>
        </is>
      </c>
      <c r="G10400" s="40" t="n">
        <v>0</v>
      </c>
    </row>
    <row r="10401" ht="12" customHeight="1">
      <c r="A10401" s="30" t="inlineStr">
        <is>
          <t>POR</t>
        </is>
      </c>
      <c r="B10401" s="30" t="inlineStr">
        <is>
          <t>Porto Real</t>
        </is>
      </c>
      <c r="C10401" s="30" t="n">
        <v>77785361</v>
      </c>
      <c r="D10401" s="30">
        <f>"00972696000380"</f>
        <v/>
      </c>
      <c r="E10401" s="30" t="inlineStr">
        <is>
          <t>V M RAMOS &amp; CIA LTDA</t>
        </is>
      </c>
      <c r="F10401" s="30" t="inlineStr">
        <is>
          <t>2019</t>
        </is>
      </c>
      <c r="G10401" s="40" t="n">
        <v>0</v>
      </c>
    </row>
    <row r="10402" ht="12" customHeight="1">
      <c r="A10402" s="30" t="inlineStr">
        <is>
          <t>POR</t>
        </is>
      </c>
      <c r="B10402" s="30" t="inlineStr">
        <is>
          <t>Porto Real</t>
        </is>
      </c>
      <c r="C10402" s="30" t="n">
        <v>77785361</v>
      </c>
      <c r="D10402" s="30">
        <f>"00972696000380"</f>
        <v/>
      </c>
      <c r="E10402" s="30" t="inlineStr">
        <is>
          <t>V M RAMOS &amp; CIA LTDA</t>
        </is>
      </c>
      <c r="F10402" s="30" t="inlineStr">
        <is>
          <t>2020</t>
        </is>
      </c>
      <c r="G10402" s="40" t="n">
        <v>0</v>
      </c>
    </row>
    <row r="10403" ht="12" customHeight="1">
      <c r="A10403" s="30" t="inlineStr">
        <is>
          <t>POR</t>
        </is>
      </c>
      <c r="B10403" s="30" t="inlineStr">
        <is>
          <t>Porto Real</t>
        </is>
      </c>
      <c r="C10403" s="30" t="n">
        <v>77785361</v>
      </c>
      <c r="D10403" s="30">
        <f>"00972696000380"</f>
        <v/>
      </c>
      <c r="E10403" s="30" t="inlineStr">
        <is>
          <t>V M RAMOS &amp; CIA LTDA</t>
        </is>
      </c>
      <c r="F10403" s="30" t="inlineStr">
        <is>
          <t>2021</t>
        </is>
      </c>
      <c r="G10403" s="40" t="n">
        <v>251.62</v>
      </c>
    </row>
    <row r="10404" ht="12" customHeight="1">
      <c r="A10404" s="30" t="inlineStr">
        <is>
          <t>POR</t>
        </is>
      </c>
      <c r="B10404" s="30" t="inlineStr">
        <is>
          <t>Porto Real</t>
        </is>
      </c>
      <c r="C10404" s="30" t="n">
        <v>77785361</v>
      </c>
      <c r="D10404" s="30">
        <f>"00972696000380"</f>
        <v/>
      </c>
      <c r="E10404" s="30" t="inlineStr">
        <is>
          <t>V M RAMOS &amp; CIA LTDA</t>
        </is>
      </c>
      <c r="F10404" s="30" t="inlineStr">
        <is>
          <t>2022</t>
        </is>
      </c>
      <c r="G10404" s="40" t="n">
        <v>0.71</v>
      </c>
    </row>
    <row r="10405" ht="12" customHeight="1">
      <c r="A10405" s="30" t="inlineStr">
        <is>
          <t>POR</t>
        </is>
      </c>
      <c r="B10405" s="30" t="inlineStr">
        <is>
          <t>Porto Real</t>
        </is>
      </c>
      <c r="C10405" s="30" t="n">
        <v>77785361</v>
      </c>
      <c r="D10405" s="30">
        <f>"00972696000380"</f>
        <v/>
      </c>
      <c r="E10405" s="30" t="inlineStr">
        <is>
          <t>V M RAMOS &amp; CIA LTDA</t>
        </is>
      </c>
      <c r="F10405" s="30" t="inlineStr">
        <is>
          <t>2023</t>
        </is>
      </c>
      <c r="G10405" s="40" t="n">
        <v>149.45</v>
      </c>
    </row>
    <row r="10406" ht="12" customHeight="1">
      <c r="A10406" s="30" t="inlineStr">
        <is>
          <t>POR</t>
        </is>
      </c>
      <c r="B10406" s="30" t="inlineStr">
        <is>
          <t>Porto Real</t>
        </is>
      </c>
      <c r="C10406" s="30" t="n">
        <v>77790241</v>
      </c>
      <c r="D10406" s="30">
        <f>"06957675000100"</f>
        <v/>
      </c>
      <c r="E10406" s="30" t="inlineStr">
        <is>
          <t>LOG IN RIO TRANSPORTES LTDA</t>
        </is>
      </c>
      <c r="F10406" s="30" t="inlineStr">
        <is>
          <t>2021</t>
        </is>
      </c>
      <c r="G10406" s="40" t="n">
        <v>0</v>
      </c>
    </row>
    <row r="10407" ht="12" customHeight="1">
      <c r="A10407" s="30" t="inlineStr">
        <is>
          <t>POR</t>
        </is>
      </c>
      <c r="B10407" s="30" t="inlineStr">
        <is>
          <t>Porto Real</t>
        </is>
      </c>
      <c r="C10407" s="30" t="n">
        <v>77790241</v>
      </c>
      <c r="D10407" s="30">
        <f>"06957675000100"</f>
        <v/>
      </c>
      <c r="E10407" s="30" t="inlineStr">
        <is>
          <t>LOG IN RIO TRANSPORTES LTDA</t>
        </is>
      </c>
      <c r="F10407" s="30" t="inlineStr">
        <is>
          <t>2022</t>
        </is>
      </c>
      <c r="G10407" s="40" t="n">
        <v>0</v>
      </c>
    </row>
    <row r="10408" ht="12" customHeight="1">
      <c r="A10408" s="30" t="inlineStr">
        <is>
          <t>POR</t>
        </is>
      </c>
      <c r="B10408" s="30" t="inlineStr">
        <is>
          <t>Porto Real</t>
        </is>
      </c>
      <c r="C10408" s="30" t="n">
        <v>77790241</v>
      </c>
      <c r="D10408" s="30">
        <f>"06957675000100"</f>
        <v/>
      </c>
      <c r="E10408" s="30" t="inlineStr">
        <is>
          <t>LOG IN RIO TRANSPORTES LTDA</t>
        </is>
      </c>
      <c r="F10408" s="30" t="inlineStr">
        <is>
          <t>2023</t>
        </is>
      </c>
      <c r="G10408" s="40" t="n">
        <v>45.5</v>
      </c>
    </row>
    <row r="10409" ht="12" customHeight="1">
      <c r="A10409" s="30" t="inlineStr">
        <is>
          <t>POR</t>
        </is>
      </c>
      <c r="B10409" s="30" t="inlineStr">
        <is>
          <t>Porto Real</t>
        </is>
      </c>
      <c r="C10409" s="30" t="n">
        <v>77807004</v>
      </c>
      <c r="D10409" s="30">
        <f>"22635197000330"</f>
        <v/>
      </c>
      <c r="E10409" s="30" t="inlineStr">
        <is>
          <t>TRANSFAL TRANSPORTES LTDA</t>
        </is>
      </c>
      <c r="F10409" s="30" t="inlineStr">
        <is>
          <t>2018</t>
        </is>
      </c>
      <c r="G10409" s="40" t="n">
        <v>0</v>
      </c>
    </row>
    <row r="10410" ht="12" customHeight="1">
      <c r="A10410" s="30" t="inlineStr">
        <is>
          <t>POR</t>
        </is>
      </c>
      <c r="B10410" s="30" t="inlineStr">
        <is>
          <t>Porto Real</t>
        </is>
      </c>
      <c r="C10410" s="30" t="n">
        <v>77807004</v>
      </c>
      <c r="D10410" s="30">
        <f>"22635197000330"</f>
        <v/>
      </c>
      <c r="E10410" s="30" t="inlineStr">
        <is>
          <t>TRANSFAL TRANSPORTES LTDA</t>
        </is>
      </c>
      <c r="F10410" s="30" t="inlineStr">
        <is>
          <t>2019</t>
        </is>
      </c>
      <c r="G10410" s="40" t="n">
        <v>0</v>
      </c>
    </row>
    <row r="10411" ht="12" customHeight="1">
      <c r="A10411" s="30" t="inlineStr">
        <is>
          <t>POR</t>
        </is>
      </c>
      <c r="B10411" s="30" t="inlineStr">
        <is>
          <t>Porto Real</t>
        </is>
      </c>
      <c r="C10411" s="30" t="n">
        <v>77807004</v>
      </c>
      <c r="D10411" s="30">
        <f>"22635197000330"</f>
        <v/>
      </c>
      <c r="E10411" s="30" t="inlineStr">
        <is>
          <t>TRANSFAL TRANSPORTES LTDA</t>
        </is>
      </c>
      <c r="F10411" s="30" t="inlineStr">
        <is>
          <t>2020</t>
        </is>
      </c>
      <c r="G10411" s="40" t="n">
        <v>258077.42</v>
      </c>
    </row>
    <row r="10412" ht="12" customHeight="1">
      <c r="A10412" s="30" t="inlineStr">
        <is>
          <t>POR</t>
        </is>
      </c>
      <c r="B10412" s="30" t="inlineStr">
        <is>
          <t>Porto Real</t>
        </is>
      </c>
      <c r="C10412" s="30" t="n">
        <v>77807004</v>
      </c>
      <c r="D10412" s="30">
        <f>"22635197000330"</f>
        <v/>
      </c>
      <c r="E10412" s="30" t="inlineStr">
        <is>
          <t>TRANSFAL TRANSPORTES LTDA</t>
        </is>
      </c>
      <c r="F10412" s="30" t="inlineStr">
        <is>
          <t>2021</t>
        </is>
      </c>
      <c r="G10412" s="40" t="n">
        <v>57543.3</v>
      </c>
    </row>
    <row r="10413" ht="12" customHeight="1">
      <c r="A10413" s="30" t="inlineStr">
        <is>
          <t>POR</t>
        </is>
      </c>
      <c r="B10413" s="30" t="inlineStr">
        <is>
          <t>Porto Real</t>
        </is>
      </c>
      <c r="C10413" s="30" t="n">
        <v>77807004</v>
      </c>
      <c r="D10413" s="30">
        <f>"22635197000330"</f>
        <v/>
      </c>
      <c r="E10413" s="30" t="inlineStr">
        <is>
          <t>TRANSFAL TRANSPORTES LTDA</t>
        </is>
      </c>
      <c r="F10413" s="30" t="inlineStr">
        <is>
          <t>2022</t>
        </is>
      </c>
      <c r="G10413" s="40" t="n">
        <v>0</v>
      </c>
    </row>
    <row r="10414" ht="12" customHeight="1">
      <c r="A10414" s="30" t="inlineStr">
        <is>
          <t>POR</t>
        </is>
      </c>
      <c r="B10414" s="30" t="inlineStr">
        <is>
          <t>Porto Real</t>
        </is>
      </c>
      <c r="C10414" s="30" t="n">
        <v>77807004</v>
      </c>
      <c r="D10414" s="30">
        <f>"22635197000330"</f>
        <v/>
      </c>
      <c r="E10414" s="30" t="inlineStr">
        <is>
          <t>TRANSFAL TRANSPORTES LTDA</t>
        </is>
      </c>
      <c r="F10414" s="30" t="inlineStr">
        <is>
          <t>2023</t>
        </is>
      </c>
      <c r="G10414" s="40" t="n">
        <v>0</v>
      </c>
    </row>
    <row r="10415" ht="12" customHeight="1">
      <c r="A10415" s="30" t="inlineStr">
        <is>
          <t>POR</t>
        </is>
      </c>
      <c r="B10415" s="30" t="inlineStr">
        <is>
          <t>Porto Real</t>
        </is>
      </c>
      <c r="C10415" s="30" t="n">
        <v>77812393</v>
      </c>
      <c r="D10415" s="30">
        <f>"00972696000207"</f>
        <v/>
      </c>
      <c r="E10415" s="30" t="inlineStr">
        <is>
          <t>V M RAMOS &amp; CIA LTDA</t>
        </is>
      </c>
      <c r="F10415" s="30" t="inlineStr">
        <is>
          <t>2019</t>
        </is>
      </c>
      <c r="G10415" s="40" t="n">
        <v>0</v>
      </c>
    </row>
    <row r="10416" ht="12" customHeight="1">
      <c r="A10416" s="30" t="inlineStr">
        <is>
          <t>POR</t>
        </is>
      </c>
      <c r="B10416" s="30" t="inlineStr">
        <is>
          <t>Porto Real</t>
        </is>
      </c>
      <c r="C10416" s="30" t="n">
        <v>77812393</v>
      </c>
      <c r="D10416" s="30">
        <f>"00972696000207"</f>
        <v/>
      </c>
      <c r="E10416" s="30" t="inlineStr">
        <is>
          <t>V M RAMOS &amp; CIA LTDA</t>
        </is>
      </c>
      <c r="F10416" s="30" t="inlineStr">
        <is>
          <t>2020</t>
        </is>
      </c>
      <c r="G10416" s="40" t="n">
        <v>0</v>
      </c>
    </row>
    <row r="10417" ht="12" customHeight="1">
      <c r="A10417" s="30" t="inlineStr">
        <is>
          <t>POR</t>
        </is>
      </c>
      <c r="B10417" s="30" t="inlineStr">
        <is>
          <t>Porto Real</t>
        </is>
      </c>
      <c r="C10417" s="30" t="n">
        <v>77812393</v>
      </c>
      <c r="D10417" s="30">
        <f>"00972696000207"</f>
        <v/>
      </c>
      <c r="E10417" s="30" t="inlineStr">
        <is>
          <t>V M RAMOS &amp; CIA LTDA</t>
        </is>
      </c>
      <c r="F10417" s="30" t="inlineStr">
        <is>
          <t>2021</t>
        </is>
      </c>
      <c r="G10417" s="40" t="n">
        <v>47.17</v>
      </c>
    </row>
    <row r="10418" ht="12" customHeight="1">
      <c r="A10418" s="30" t="inlineStr">
        <is>
          <t>POR</t>
        </is>
      </c>
      <c r="B10418" s="30" t="inlineStr">
        <is>
          <t>Porto Real</t>
        </is>
      </c>
      <c r="C10418" s="30" t="n">
        <v>77812393</v>
      </c>
      <c r="D10418" s="30">
        <f>"00972696000207"</f>
        <v/>
      </c>
      <c r="E10418" s="30" t="inlineStr">
        <is>
          <t>V M RAMOS &amp; CIA LTDA</t>
        </is>
      </c>
      <c r="F10418" s="30" t="inlineStr">
        <is>
          <t>2022</t>
        </is>
      </c>
      <c r="G10418" s="40" t="n">
        <v>0</v>
      </c>
    </row>
    <row r="10419" ht="12" customHeight="1">
      <c r="A10419" s="30" t="inlineStr">
        <is>
          <t>POR</t>
        </is>
      </c>
      <c r="B10419" s="30" t="inlineStr">
        <is>
          <t>Porto Real</t>
        </is>
      </c>
      <c r="C10419" s="30" t="n">
        <v>77812393</v>
      </c>
      <c r="D10419" s="30">
        <f>"00972696000207"</f>
        <v/>
      </c>
      <c r="E10419" s="30" t="inlineStr">
        <is>
          <t>V M RAMOS &amp; CIA LTDA</t>
        </is>
      </c>
      <c r="F10419" s="30" t="inlineStr">
        <is>
          <t>2023</t>
        </is>
      </c>
      <c r="G10419" s="40" t="n">
        <v>0</v>
      </c>
    </row>
    <row r="10420" ht="12" customHeight="1">
      <c r="A10420" s="30" t="inlineStr">
        <is>
          <t>POR</t>
        </is>
      </c>
      <c r="B10420" s="30" t="inlineStr">
        <is>
          <t>Porto Real</t>
        </is>
      </c>
      <c r="C10420" s="30" t="n">
        <v>77812741</v>
      </c>
      <c r="D10420" s="30">
        <f>"07003492000118"</f>
        <v/>
      </c>
      <c r="E10420" s="30" t="inlineStr">
        <is>
          <t>USITEL INDUSTRIA E COMERCIO DE USINAGEM E CALDERARIA LTDA</t>
        </is>
      </c>
      <c r="F10420" s="30" t="inlineStr">
        <is>
          <t>2020</t>
        </is>
      </c>
      <c r="G10420" s="40" t="n">
        <v>0</v>
      </c>
    </row>
    <row r="10421" ht="12" customHeight="1">
      <c r="A10421" s="30" t="inlineStr">
        <is>
          <t>POR</t>
        </is>
      </c>
      <c r="B10421" s="30" t="inlineStr">
        <is>
          <t>Porto Real</t>
        </is>
      </c>
      <c r="C10421" s="30" t="n">
        <v>77812741</v>
      </c>
      <c r="D10421" s="30">
        <f>"07003492000118"</f>
        <v/>
      </c>
      <c r="E10421" s="30" t="inlineStr">
        <is>
          <t>USITEL INDUSTRIA E COMERCIO DE USINAGEM E CALDERARIA LTDA</t>
        </is>
      </c>
      <c r="F10421" s="30" t="inlineStr">
        <is>
          <t>2021</t>
        </is>
      </c>
      <c r="G10421" s="40" t="n">
        <v>0</v>
      </c>
    </row>
    <row r="10422" ht="12" customHeight="1">
      <c r="A10422" s="30" t="inlineStr">
        <is>
          <t>POR</t>
        </is>
      </c>
      <c r="B10422" s="30" t="inlineStr">
        <is>
          <t>Porto Real</t>
        </is>
      </c>
      <c r="C10422" s="30" t="n">
        <v>77812741</v>
      </c>
      <c r="D10422" s="30">
        <f>"07003492000118"</f>
        <v/>
      </c>
      <c r="E10422" s="30" t="inlineStr">
        <is>
          <t>USITEL INDUSTRIA E COMERCIO DE USINAGEM E CALDERARIA LTDA</t>
        </is>
      </c>
      <c r="F10422" s="30" t="inlineStr">
        <is>
          <t>2022</t>
        </is>
      </c>
      <c r="G10422" s="40" t="n">
        <v>1356817.49</v>
      </c>
    </row>
    <row r="10423" ht="12" customHeight="1">
      <c r="A10423" s="30" t="inlineStr">
        <is>
          <t>POR</t>
        </is>
      </c>
      <c r="B10423" s="30" t="inlineStr">
        <is>
          <t>Porto Real</t>
        </is>
      </c>
      <c r="C10423" s="30" t="n">
        <v>77812741</v>
      </c>
      <c r="D10423" s="30">
        <f>"07003492000118"</f>
        <v/>
      </c>
      <c r="E10423" s="30" t="inlineStr">
        <is>
          <t>USITEL INDUSTRIA E COMERCIO DE USINAGEM E CALDERARIA LTDA</t>
        </is>
      </c>
      <c r="F10423" s="30" t="inlineStr">
        <is>
          <t>2023</t>
        </is>
      </c>
      <c r="G10423" s="40" t="n">
        <v>0</v>
      </c>
    </row>
    <row r="10424" ht="12" customHeight="1">
      <c r="A10424" s="30" t="inlineStr">
        <is>
          <t>POR</t>
        </is>
      </c>
      <c r="B10424" s="30" t="inlineStr">
        <is>
          <t>Porto Real</t>
        </is>
      </c>
      <c r="C10424" s="30" t="n">
        <v>77812814</v>
      </c>
      <c r="D10424" s="30">
        <f>"06371265000182"</f>
        <v/>
      </c>
      <c r="E10424" s="30" t="inlineStr">
        <is>
          <t>MP 2019 TRANSPORTES LTDA</t>
        </is>
      </c>
      <c r="F10424" s="30" t="inlineStr">
        <is>
          <t>2019</t>
        </is>
      </c>
      <c r="G10424" s="40" t="n">
        <v>0</v>
      </c>
    </row>
    <row r="10425" ht="12" customHeight="1">
      <c r="A10425" s="30" t="inlineStr">
        <is>
          <t>POR</t>
        </is>
      </c>
      <c r="B10425" s="30" t="inlineStr">
        <is>
          <t>Porto Real</t>
        </is>
      </c>
      <c r="C10425" s="30" t="n">
        <v>77812814</v>
      </c>
      <c r="D10425" s="30">
        <f>"06371265000182"</f>
        <v/>
      </c>
      <c r="E10425" s="30" t="inlineStr">
        <is>
          <t>MP 2019 TRANSPORTES LTDA</t>
        </is>
      </c>
      <c r="F10425" s="30" t="inlineStr">
        <is>
          <t>2020</t>
        </is>
      </c>
      <c r="G10425" s="40" t="n">
        <v>0</v>
      </c>
    </row>
    <row r="10426" ht="12" customHeight="1">
      <c r="A10426" s="30" t="inlineStr">
        <is>
          <t>POR</t>
        </is>
      </c>
      <c r="B10426" s="30" t="inlineStr">
        <is>
          <t>Porto Real</t>
        </is>
      </c>
      <c r="C10426" s="30" t="n">
        <v>77812814</v>
      </c>
      <c r="D10426" s="30">
        <f>"06371265000182"</f>
        <v/>
      </c>
      <c r="E10426" s="30" t="inlineStr">
        <is>
          <t>MP 2019 TRANSPORTES LTDA</t>
        </is>
      </c>
      <c r="F10426" s="30" t="inlineStr">
        <is>
          <t>2021</t>
        </is>
      </c>
      <c r="G10426" s="40" t="n">
        <v>2374.99</v>
      </c>
    </row>
    <row r="10427" ht="12" customHeight="1">
      <c r="A10427" s="30" t="inlineStr">
        <is>
          <t>POR</t>
        </is>
      </c>
      <c r="B10427" s="30" t="inlineStr">
        <is>
          <t>Porto Real</t>
        </is>
      </c>
      <c r="C10427" s="30" t="n">
        <v>77812814</v>
      </c>
      <c r="D10427" s="30">
        <f>"06371265000182"</f>
        <v/>
      </c>
      <c r="E10427" s="30" t="inlineStr">
        <is>
          <t>MP 2019 TRANSPORTES LTDA</t>
        </is>
      </c>
      <c r="F10427" s="30" t="inlineStr">
        <is>
          <t>2022</t>
        </is>
      </c>
      <c r="G10427" s="40" t="n">
        <v>0</v>
      </c>
    </row>
    <row r="10428" ht="12" customHeight="1">
      <c r="A10428" s="30" t="inlineStr">
        <is>
          <t>POR</t>
        </is>
      </c>
      <c r="B10428" s="30" t="inlineStr">
        <is>
          <t>Porto Real</t>
        </is>
      </c>
      <c r="C10428" s="30" t="n">
        <v>77812814</v>
      </c>
      <c r="D10428" s="30">
        <f>"06371265000182"</f>
        <v/>
      </c>
      <c r="E10428" s="30" t="inlineStr">
        <is>
          <t>MP 2019 TRANSPORTES LTDA</t>
        </is>
      </c>
      <c r="F10428" s="30" t="inlineStr">
        <is>
          <t>2023</t>
        </is>
      </c>
      <c r="G10428" s="40" t="n">
        <v>0</v>
      </c>
    </row>
    <row r="10429" ht="12" customHeight="1">
      <c r="A10429" s="30" t="inlineStr">
        <is>
          <t>POR</t>
        </is>
      </c>
      <c r="B10429" s="30" t="inlineStr">
        <is>
          <t>Porto Real</t>
        </is>
      </c>
      <c r="C10429" s="30" t="n">
        <v>77836349</v>
      </c>
      <c r="D10429" s="30">
        <f>"03708458000279"</f>
        <v/>
      </c>
      <c r="E10429" s="30" t="inlineStr">
        <is>
          <t>REDIVIX TRANSPORTES LTDA</t>
        </is>
      </c>
      <c r="F10429" s="30" t="inlineStr">
        <is>
          <t>2018</t>
        </is>
      </c>
      <c r="G10429" s="40" t="n">
        <v>0</v>
      </c>
    </row>
    <row r="10430" ht="12" customHeight="1">
      <c r="A10430" s="30" t="inlineStr">
        <is>
          <t>POR</t>
        </is>
      </c>
      <c r="B10430" s="30" t="inlineStr">
        <is>
          <t>Porto Real</t>
        </is>
      </c>
      <c r="C10430" s="30" t="n">
        <v>77836349</v>
      </c>
      <c r="D10430" s="30">
        <f>"03708458000279"</f>
        <v/>
      </c>
      <c r="E10430" s="30" t="inlineStr">
        <is>
          <t>REDIVIX TRANSPORTES LTDA</t>
        </is>
      </c>
      <c r="F10430" s="30" t="inlineStr">
        <is>
          <t>2019</t>
        </is>
      </c>
      <c r="G10430" s="40" t="n">
        <v>0</v>
      </c>
    </row>
    <row r="10431" ht="12" customHeight="1">
      <c r="A10431" s="30" t="inlineStr">
        <is>
          <t>POR</t>
        </is>
      </c>
      <c r="B10431" s="30" t="inlineStr">
        <is>
          <t>Porto Real</t>
        </is>
      </c>
      <c r="C10431" s="30" t="n">
        <v>77836349</v>
      </c>
      <c r="D10431" s="30">
        <f>"03708458000279"</f>
        <v/>
      </c>
      <c r="E10431" s="30" t="inlineStr">
        <is>
          <t>REDIVIX TRANSPORTES LTDA</t>
        </is>
      </c>
      <c r="F10431" s="30" t="inlineStr">
        <is>
          <t>2020</t>
        </is>
      </c>
      <c r="G10431" s="40" t="n">
        <v>106.03</v>
      </c>
    </row>
    <row r="10432" ht="12" customHeight="1">
      <c r="A10432" s="30" t="inlineStr">
        <is>
          <t>POR</t>
        </is>
      </c>
      <c r="B10432" s="30" t="inlineStr">
        <is>
          <t>Porto Real</t>
        </is>
      </c>
      <c r="C10432" s="30" t="n">
        <v>77836349</v>
      </c>
      <c r="D10432" s="30">
        <f>"03708458000279"</f>
        <v/>
      </c>
      <c r="E10432" s="30" t="inlineStr">
        <is>
          <t>REDIVIX TRANSPORTES LTDA</t>
        </is>
      </c>
      <c r="F10432" s="30" t="inlineStr">
        <is>
          <t>2021</t>
        </is>
      </c>
      <c r="G10432" s="40" t="n">
        <v>842.59</v>
      </c>
    </row>
    <row r="10433" ht="12" customHeight="1">
      <c r="A10433" s="30" t="inlineStr">
        <is>
          <t>POR</t>
        </is>
      </c>
      <c r="B10433" s="30" t="inlineStr">
        <is>
          <t>Porto Real</t>
        </is>
      </c>
      <c r="C10433" s="30" t="n">
        <v>77836349</v>
      </c>
      <c r="D10433" s="30">
        <f>"03708458000279"</f>
        <v/>
      </c>
      <c r="E10433" s="30" t="inlineStr">
        <is>
          <t>REDIVIX TRANSPORTES LTDA</t>
        </is>
      </c>
      <c r="F10433" s="30" t="inlineStr">
        <is>
          <t>2022</t>
        </is>
      </c>
      <c r="G10433" s="40" t="n">
        <v>68.81</v>
      </c>
    </row>
    <row r="10434" ht="12" customHeight="1">
      <c r="A10434" s="30" t="inlineStr">
        <is>
          <t>POR</t>
        </is>
      </c>
      <c r="B10434" s="30" t="inlineStr">
        <is>
          <t>Porto Real</t>
        </is>
      </c>
      <c r="C10434" s="30" t="n">
        <v>77836349</v>
      </c>
      <c r="D10434" s="30">
        <f>"03708458000279"</f>
        <v/>
      </c>
      <c r="E10434" s="30" t="inlineStr">
        <is>
          <t>REDIVIX TRANSPORTES LTDA</t>
        </is>
      </c>
      <c r="F10434" s="30" t="inlineStr">
        <is>
          <t>2023</t>
        </is>
      </c>
      <c r="G10434" s="40" t="n">
        <v>0</v>
      </c>
    </row>
    <row r="10435" ht="12" customHeight="1">
      <c r="A10435" s="30" t="inlineStr">
        <is>
          <t>POR</t>
        </is>
      </c>
      <c r="B10435" s="30" t="inlineStr">
        <is>
          <t>Porto Real</t>
        </is>
      </c>
      <c r="C10435" s="30" t="n">
        <v>77842411</v>
      </c>
      <c r="D10435" s="30">
        <f>"03197023000479"</f>
        <v/>
      </c>
      <c r="E10435" s="30" t="inlineStr">
        <is>
          <t>UNIVERSAL TELECOM SA</t>
        </is>
      </c>
      <c r="F10435" s="30" t="inlineStr">
        <is>
          <t>2018</t>
        </is>
      </c>
      <c r="G10435" s="40" t="n">
        <v>0</v>
      </c>
    </row>
    <row r="10436" ht="12" customHeight="1">
      <c r="A10436" s="30" t="inlineStr">
        <is>
          <t>POR</t>
        </is>
      </c>
      <c r="B10436" s="30" t="inlineStr">
        <is>
          <t>Porto Real</t>
        </is>
      </c>
      <c r="C10436" s="30" t="n">
        <v>77842411</v>
      </c>
      <c r="D10436" s="30">
        <f>"03197023000479"</f>
        <v/>
      </c>
      <c r="E10436" s="30" t="inlineStr">
        <is>
          <t>UNIVERSAL TELECOM SA</t>
        </is>
      </c>
      <c r="F10436" s="30" t="inlineStr">
        <is>
          <t>2019</t>
        </is>
      </c>
      <c r="G10436" s="40" t="n">
        <v>0</v>
      </c>
    </row>
    <row r="10437" ht="12" customHeight="1">
      <c r="A10437" s="30" t="inlineStr">
        <is>
          <t>POR</t>
        </is>
      </c>
      <c r="B10437" s="30" t="inlineStr">
        <is>
          <t>Porto Real</t>
        </is>
      </c>
      <c r="C10437" s="30" t="n">
        <v>77842411</v>
      </c>
      <c r="D10437" s="30">
        <f>"03197023000479"</f>
        <v/>
      </c>
      <c r="E10437" s="30" t="inlineStr">
        <is>
          <t>UNIVERSAL TELECOM SA</t>
        </is>
      </c>
      <c r="F10437" s="30" t="inlineStr">
        <is>
          <t>2020</t>
        </is>
      </c>
      <c r="G10437" s="40" t="n">
        <v>7020</v>
      </c>
    </row>
    <row r="10438" ht="12" customHeight="1">
      <c r="A10438" s="30" t="inlineStr">
        <is>
          <t>POR</t>
        </is>
      </c>
      <c r="B10438" s="30" t="inlineStr">
        <is>
          <t>Porto Real</t>
        </is>
      </c>
      <c r="C10438" s="30" t="n">
        <v>77842411</v>
      </c>
      <c r="D10438" s="30">
        <f>"03197023000479"</f>
        <v/>
      </c>
      <c r="E10438" s="30" t="inlineStr">
        <is>
          <t>UNIVERSAL TELECOM SA</t>
        </is>
      </c>
      <c r="F10438" s="30" t="inlineStr">
        <is>
          <t>2021</t>
        </is>
      </c>
      <c r="G10438" s="40" t="n">
        <v>7020</v>
      </c>
    </row>
    <row r="10439" ht="12" customHeight="1">
      <c r="A10439" s="30" t="inlineStr">
        <is>
          <t>POR</t>
        </is>
      </c>
      <c r="B10439" s="30" t="inlineStr">
        <is>
          <t>Porto Real</t>
        </is>
      </c>
      <c r="C10439" s="30" t="n">
        <v>77842411</v>
      </c>
      <c r="D10439" s="30">
        <f>"03197023000479"</f>
        <v/>
      </c>
      <c r="E10439" s="30" t="inlineStr">
        <is>
          <t>UNIVERSAL TELECOM SA</t>
        </is>
      </c>
      <c r="F10439" s="30" t="inlineStr">
        <is>
          <t>2022</t>
        </is>
      </c>
      <c r="G10439" s="40" t="n">
        <v>7341.74</v>
      </c>
    </row>
    <row r="10440" ht="12" customHeight="1">
      <c r="A10440" s="30" t="inlineStr">
        <is>
          <t>POR</t>
        </is>
      </c>
      <c r="B10440" s="30" t="inlineStr">
        <is>
          <t>Porto Real</t>
        </is>
      </c>
      <c r="C10440" s="30" t="n">
        <v>77842411</v>
      </c>
      <c r="D10440" s="30">
        <f>"03197023000479"</f>
        <v/>
      </c>
      <c r="E10440" s="30" t="inlineStr">
        <is>
          <t>UNIVERSAL TELECOM SA</t>
        </is>
      </c>
      <c r="F10440" s="30" t="inlineStr">
        <is>
          <t>2023</t>
        </is>
      </c>
      <c r="G10440" s="40" t="n">
        <v>4550</v>
      </c>
    </row>
    <row r="10441" ht="12" customHeight="1">
      <c r="A10441" s="30" t="inlineStr">
        <is>
          <t>POR</t>
        </is>
      </c>
      <c r="B10441" s="30" t="inlineStr">
        <is>
          <t>Porto Real</t>
        </is>
      </c>
      <c r="C10441" s="30" t="n">
        <v>77843655</v>
      </c>
      <c r="D10441" s="30">
        <f>"06992662000171"</f>
        <v/>
      </c>
      <c r="E10441" s="30" t="inlineStr">
        <is>
          <t>SANTA HELENA DE PORTO REAL INCORPORACAO IMOB E CONSTRUTORA LTDA</t>
        </is>
      </c>
      <c r="F10441" s="30" t="inlineStr">
        <is>
          <t>2017</t>
        </is>
      </c>
      <c r="G10441" s="40" t="n">
        <v>0</v>
      </c>
    </row>
    <row r="10442" ht="12" customHeight="1">
      <c r="A10442" s="30" t="inlineStr">
        <is>
          <t>POR</t>
        </is>
      </c>
      <c r="B10442" s="30" t="inlineStr">
        <is>
          <t>Porto Real</t>
        </is>
      </c>
      <c r="C10442" s="30" t="n">
        <v>77843655</v>
      </c>
      <c r="D10442" s="30">
        <f>"06992662000171"</f>
        <v/>
      </c>
      <c r="E10442" s="30" t="inlineStr">
        <is>
          <t>SANTA HELENA DE PORTO REAL INCORPORACAO IMOB E CONSTRUTORA LTDA</t>
        </is>
      </c>
      <c r="F10442" s="30" t="inlineStr">
        <is>
          <t>2018</t>
        </is>
      </c>
      <c r="G10442" s="40" t="n">
        <v>0</v>
      </c>
    </row>
    <row r="10443" ht="12" customHeight="1">
      <c r="A10443" s="30" t="inlineStr">
        <is>
          <t>POR</t>
        </is>
      </c>
      <c r="B10443" s="30" t="inlineStr">
        <is>
          <t>Porto Real</t>
        </is>
      </c>
      <c r="C10443" s="30" t="n">
        <v>77843655</v>
      </c>
      <c r="D10443" s="30">
        <f>"06992662000171"</f>
        <v/>
      </c>
      <c r="E10443" s="30" t="inlineStr">
        <is>
          <t>SANTA HELENA DE PORTO REAL INCORPORACAO IMOB E CONSTRUTORA LTDA</t>
        </is>
      </c>
      <c r="F10443" s="30" t="inlineStr">
        <is>
          <t>2019</t>
        </is>
      </c>
      <c r="G10443" s="40" t="n">
        <v>0</v>
      </c>
    </row>
    <row r="10444" ht="12" customHeight="1">
      <c r="A10444" s="30" t="inlineStr">
        <is>
          <t>POR</t>
        </is>
      </c>
      <c r="B10444" s="30" t="inlineStr">
        <is>
          <t>Porto Real</t>
        </is>
      </c>
      <c r="C10444" s="30" t="n">
        <v>77843655</v>
      </c>
      <c r="D10444" s="30">
        <f>"06992662000171"</f>
        <v/>
      </c>
      <c r="E10444" s="30" t="inlineStr">
        <is>
          <t>SANTA HELENA DE PORTO REAL INCORPORACAO IMOB E CONSTRUTORA LTDA</t>
        </is>
      </c>
      <c r="F10444" s="30" t="inlineStr">
        <is>
          <t>2020</t>
        </is>
      </c>
      <c r="G10444" s="40" t="n">
        <v>0</v>
      </c>
    </row>
    <row r="10445" ht="12" customHeight="1">
      <c r="A10445" s="30" t="inlineStr">
        <is>
          <t>POR</t>
        </is>
      </c>
      <c r="B10445" s="30" t="inlineStr">
        <is>
          <t>Porto Real</t>
        </is>
      </c>
      <c r="C10445" s="30" t="n">
        <v>77843655</v>
      </c>
      <c r="D10445" s="30">
        <f>"06992662000171"</f>
        <v/>
      </c>
      <c r="E10445" s="30" t="inlineStr">
        <is>
          <t>SANTA HELENA DE PORTO REAL INCORPORACAO IMOB E CONSTRUTORA LTDA</t>
        </is>
      </c>
      <c r="F10445" s="30" t="inlineStr">
        <is>
          <t>2021</t>
        </is>
      </c>
      <c r="G10445" s="40" t="n">
        <v>0</v>
      </c>
    </row>
    <row r="10446" ht="12" customHeight="1">
      <c r="A10446" s="30" t="inlineStr">
        <is>
          <t>POR</t>
        </is>
      </c>
      <c r="B10446" s="30" t="inlineStr">
        <is>
          <t>Porto Real</t>
        </is>
      </c>
      <c r="C10446" s="30" t="n">
        <v>77843655</v>
      </c>
      <c r="D10446" s="30">
        <f>"06992662000171"</f>
        <v/>
      </c>
      <c r="E10446" s="30" t="inlineStr">
        <is>
          <t>SANTA HELENA DE PORTO REAL INCORPORACAO IMOB E CONSTRUTORA LTDA</t>
        </is>
      </c>
      <c r="F10446" s="30" t="inlineStr">
        <is>
          <t>2022</t>
        </is>
      </c>
      <c r="G10446" s="40" t="n">
        <v>0</v>
      </c>
    </row>
    <row r="10447" ht="12" customHeight="1">
      <c r="A10447" s="30" t="inlineStr">
        <is>
          <t>POR</t>
        </is>
      </c>
      <c r="B10447" s="30" t="inlineStr">
        <is>
          <t>Porto Real</t>
        </is>
      </c>
      <c r="C10447" s="30" t="n">
        <v>77843655</v>
      </c>
      <c r="D10447" s="30">
        <f>"06992662000171"</f>
        <v/>
      </c>
      <c r="E10447" s="30" t="inlineStr">
        <is>
          <t>SANTA HELENA DE PORTO REAL INCORPORACAO IMOB E CONSTRUTORA LTDA</t>
        </is>
      </c>
      <c r="F10447" s="30" t="inlineStr">
        <is>
          <t>2023</t>
        </is>
      </c>
      <c r="G10447" s="40" t="n">
        <v>0</v>
      </c>
    </row>
    <row r="10448" ht="12" customHeight="1">
      <c r="A10448" s="30" t="inlineStr">
        <is>
          <t>POR</t>
        </is>
      </c>
      <c r="B10448" s="30" t="inlineStr">
        <is>
          <t>Porto Real</t>
        </is>
      </c>
      <c r="C10448" s="30" t="n">
        <v>77878734</v>
      </c>
      <c r="D10448" s="30">
        <f>"07212594000143"</f>
        <v/>
      </c>
      <c r="E10448" s="30" t="inlineStr">
        <is>
          <t>G MOR FABRICACAO COMERCIO E SERVICOS INDUSTRIAIS LTDA</t>
        </is>
      </c>
      <c r="F10448" s="30" t="inlineStr">
        <is>
          <t>2017</t>
        </is>
      </c>
      <c r="G10448" s="40" t="n">
        <v>4766.85</v>
      </c>
    </row>
    <row r="10449" ht="12" customHeight="1">
      <c r="A10449" s="30" t="inlineStr">
        <is>
          <t>POR</t>
        </is>
      </c>
      <c r="B10449" s="30" t="inlineStr">
        <is>
          <t>Porto Real</t>
        </is>
      </c>
      <c r="C10449" s="30" t="n">
        <v>77878734</v>
      </c>
      <c r="D10449" s="30">
        <f>"07212594000143"</f>
        <v/>
      </c>
      <c r="E10449" s="30" t="inlineStr">
        <is>
          <t>G MOR FABRICACAO COMERCIO E SERVICOS INDUSTRIAIS LTDA</t>
        </is>
      </c>
      <c r="F10449" s="30" t="inlineStr">
        <is>
          <t>2018</t>
        </is>
      </c>
      <c r="G10449" s="40" t="n">
        <v>7169.71</v>
      </c>
    </row>
    <row r="10450" ht="12" customHeight="1">
      <c r="A10450" s="30" t="inlineStr">
        <is>
          <t>POR</t>
        </is>
      </c>
      <c r="B10450" s="30" t="inlineStr">
        <is>
          <t>Porto Real</t>
        </is>
      </c>
      <c r="C10450" s="30" t="n">
        <v>77878734</v>
      </c>
      <c r="D10450" s="30">
        <f>"07212594000143"</f>
        <v/>
      </c>
      <c r="E10450" s="30" t="inlineStr">
        <is>
          <t>G MOR FABRICACAO COMERCIO E SERVICOS INDUSTRIAIS LTDA</t>
        </is>
      </c>
      <c r="F10450" s="30" t="inlineStr">
        <is>
          <t>2019</t>
        </is>
      </c>
      <c r="G10450" s="40" t="n">
        <v>0</v>
      </c>
    </row>
    <row r="10451" ht="12" customHeight="1">
      <c r="A10451" s="30" t="inlineStr">
        <is>
          <t>POR</t>
        </is>
      </c>
      <c r="B10451" s="30" t="inlineStr">
        <is>
          <t>Porto Real</t>
        </is>
      </c>
      <c r="C10451" s="30" t="n">
        <v>77878734</v>
      </c>
      <c r="D10451" s="30">
        <f>"07212594000143"</f>
        <v/>
      </c>
      <c r="E10451" s="30" t="inlineStr">
        <is>
          <t>G MOR FABRICACAO COMERCIO E SERVICOS INDUSTRIAIS LTDA</t>
        </is>
      </c>
      <c r="F10451" s="30" t="inlineStr">
        <is>
          <t>2020</t>
        </is>
      </c>
      <c r="G10451" s="40" t="n">
        <v>0</v>
      </c>
    </row>
    <row r="10452" ht="12" customHeight="1">
      <c r="A10452" s="30" t="inlineStr">
        <is>
          <t>POR</t>
        </is>
      </c>
      <c r="B10452" s="30" t="inlineStr">
        <is>
          <t>Porto Real</t>
        </is>
      </c>
      <c r="C10452" s="30" t="n">
        <v>77878734</v>
      </c>
      <c r="D10452" s="30">
        <f>"07212594000143"</f>
        <v/>
      </c>
      <c r="E10452" s="30" t="inlineStr">
        <is>
          <t>G MOR FABRICACAO COMERCIO E SERVICOS INDUSTRIAIS LTDA</t>
        </is>
      </c>
      <c r="F10452" s="30" t="inlineStr">
        <is>
          <t>2021</t>
        </is>
      </c>
      <c r="G10452" s="40" t="n">
        <v>0</v>
      </c>
    </row>
    <row r="10453" ht="12" customHeight="1">
      <c r="A10453" s="30" t="inlineStr">
        <is>
          <t>POR</t>
        </is>
      </c>
      <c r="B10453" s="30" t="inlineStr">
        <is>
          <t>Porto Real</t>
        </is>
      </c>
      <c r="C10453" s="30" t="n">
        <v>77885030</v>
      </c>
      <c r="D10453" s="30">
        <f>"92644483001408"</f>
        <v/>
      </c>
      <c r="E10453" s="30" t="inlineStr">
        <is>
          <t>TRANSPORTES GABARDO LTDA</t>
        </is>
      </c>
      <c r="F10453" s="30" t="inlineStr">
        <is>
          <t>2017</t>
        </is>
      </c>
      <c r="G10453" s="40" t="n">
        <v>22181984.59</v>
      </c>
    </row>
    <row r="10454" ht="12" customHeight="1">
      <c r="A10454" s="30" t="inlineStr">
        <is>
          <t>POR</t>
        </is>
      </c>
      <c r="B10454" s="30" t="inlineStr">
        <is>
          <t>Porto Real</t>
        </is>
      </c>
      <c r="C10454" s="30" t="n">
        <v>77885030</v>
      </c>
      <c r="D10454" s="30">
        <f>"92644483001408"</f>
        <v/>
      </c>
      <c r="E10454" s="30" t="inlineStr">
        <is>
          <t>TRANSPORTES GABARDO LTDA</t>
        </is>
      </c>
      <c r="F10454" s="30" t="inlineStr">
        <is>
          <t>2018</t>
        </is>
      </c>
      <c r="G10454" s="40" t="n">
        <v>959789.5699999999</v>
      </c>
    </row>
    <row r="10455" ht="12" customHeight="1">
      <c r="A10455" s="30" t="inlineStr">
        <is>
          <t>POR</t>
        </is>
      </c>
      <c r="B10455" s="30" t="inlineStr">
        <is>
          <t>Porto Real</t>
        </is>
      </c>
      <c r="C10455" s="30" t="n">
        <v>77885030</v>
      </c>
      <c r="D10455" s="30">
        <f>"92644483001408"</f>
        <v/>
      </c>
      <c r="E10455" s="30" t="inlineStr">
        <is>
          <t>TRANSPORTES GABARDO LTDA</t>
        </is>
      </c>
      <c r="F10455" s="30" t="inlineStr">
        <is>
          <t>2019</t>
        </is>
      </c>
      <c r="G10455" s="40" t="n">
        <v>808880.6</v>
      </c>
    </row>
    <row r="10456" ht="12" customHeight="1">
      <c r="A10456" s="30" t="inlineStr">
        <is>
          <t>POR</t>
        </is>
      </c>
      <c r="B10456" s="30" t="inlineStr">
        <is>
          <t>Porto Real</t>
        </is>
      </c>
      <c r="C10456" s="30" t="n">
        <v>77885030</v>
      </c>
      <c r="D10456" s="30">
        <f>"92644483001408"</f>
        <v/>
      </c>
      <c r="E10456" s="30" t="inlineStr">
        <is>
          <t>TRANSPORTES GABARDO LTDA</t>
        </is>
      </c>
      <c r="F10456" s="30" t="inlineStr">
        <is>
          <t>2020</t>
        </is>
      </c>
      <c r="G10456" s="40" t="n">
        <v>173285.67</v>
      </c>
    </row>
    <row r="10457" ht="12" customHeight="1">
      <c r="A10457" s="30" t="inlineStr">
        <is>
          <t>POR</t>
        </is>
      </c>
      <c r="B10457" s="30" t="inlineStr">
        <is>
          <t>Porto Real</t>
        </is>
      </c>
      <c r="C10457" s="30" t="n">
        <v>77885030</v>
      </c>
      <c r="D10457" s="30">
        <f>"92644483001408"</f>
        <v/>
      </c>
      <c r="E10457" s="30" t="inlineStr">
        <is>
          <t>TRANSPORTES GABARDO LTDA</t>
        </is>
      </c>
      <c r="F10457" s="30" t="inlineStr">
        <is>
          <t>2021</t>
        </is>
      </c>
      <c r="G10457" s="40" t="n">
        <v>1358727.64</v>
      </c>
    </row>
    <row r="10458" ht="12" customHeight="1">
      <c r="A10458" s="30" t="inlineStr">
        <is>
          <t>POR</t>
        </is>
      </c>
      <c r="B10458" s="30" t="inlineStr">
        <is>
          <t>Porto Real</t>
        </is>
      </c>
      <c r="C10458" s="30" t="n">
        <v>77885030</v>
      </c>
      <c r="D10458" s="30">
        <f>"92644483001408"</f>
        <v/>
      </c>
      <c r="E10458" s="30" t="inlineStr">
        <is>
          <t>TRANSPORTES GABARDO LTDA</t>
        </is>
      </c>
      <c r="F10458" s="30" t="inlineStr">
        <is>
          <t>2022</t>
        </is>
      </c>
      <c r="G10458" s="40" t="n">
        <v>14860591.08</v>
      </c>
    </row>
    <row r="10459" ht="12" customHeight="1">
      <c r="A10459" s="30" t="inlineStr">
        <is>
          <t>POR</t>
        </is>
      </c>
      <c r="B10459" s="30" t="inlineStr">
        <is>
          <t>Porto Real</t>
        </is>
      </c>
      <c r="C10459" s="30" t="n">
        <v>77885030</v>
      </c>
      <c r="D10459" s="30">
        <f>"92644483001408"</f>
        <v/>
      </c>
      <c r="E10459" s="30" t="inlineStr">
        <is>
          <t>TRANSPORTES GABARDO LTDA</t>
        </is>
      </c>
      <c r="F10459" s="30" t="inlineStr">
        <is>
          <t>2023</t>
        </is>
      </c>
      <c r="G10459" s="40" t="n">
        <v>937918.89</v>
      </c>
    </row>
    <row r="10460" ht="12" customHeight="1">
      <c r="A10460" s="30" t="inlineStr">
        <is>
          <t>POR</t>
        </is>
      </c>
      <c r="B10460" s="30" t="inlineStr">
        <is>
          <t>Porto Real</t>
        </is>
      </c>
      <c r="C10460" s="30" t="n">
        <v>77888020</v>
      </c>
      <c r="D10460" s="30">
        <f>"07268172000190"</f>
        <v/>
      </c>
      <c r="E10460" s="30" t="inlineStr">
        <is>
          <t>S MARASSI NETO AGROPECUARIA ME</t>
        </is>
      </c>
      <c r="F10460" s="30" t="inlineStr">
        <is>
          <t>2017</t>
        </is>
      </c>
      <c r="G10460" s="40" t="n">
        <v>0</v>
      </c>
    </row>
    <row r="10461" ht="12" customHeight="1">
      <c r="A10461" s="30" t="inlineStr">
        <is>
          <t>POR</t>
        </is>
      </c>
      <c r="B10461" s="30" t="inlineStr">
        <is>
          <t>Porto Real</t>
        </is>
      </c>
      <c r="C10461" s="30" t="n">
        <v>77888020</v>
      </c>
      <c r="D10461" s="30">
        <f>"07268172000190"</f>
        <v/>
      </c>
      <c r="E10461" s="30" t="inlineStr">
        <is>
          <t>S MARASSI NETO AGROPECUARIA ME</t>
        </is>
      </c>
      <c r="F10461" s="30" t="inlineStr">
        <is>
          <t>2018</t>
        </is>
      </c>
      <c r="G10461" s="40" t="n">
        <v>0</v>
      </c>
    </row>
    <row r="10462" ht="12" customHeight="1">
      <c r="A10462" s="30" t="inlineStr">
        <is>
          <t>POR</t>
        </is>
      </c>
      <c r="B10462" s="30" t="inlineStr">
        <is>
          <t>Porto Real</t>
        </is>
      </c>
      <c r="C10462" s="30" t="n">
        <v>77888020</v>
      </c>
      <c r="D10462" s="30">
        <f>"07268172000190"</f>
        <v/>
      </c>
      <c r="E10462" s="30" t="inlineStr">
        <is>
          <t>S MARASSI NETO AGROPECUARIA ME</t>
        </is>
      </c>
      <c r="F10462" s="30" t="inlineStr">
        <is>
          <t>2019</t>
        </is>
      </c>
      <c r="G10462" s="40" t="n">
        <v>0</v>
      </c>
    </row>
    <row r="10463" ht="12" customHeight="1">
      <c r="A10463" s="30" t="inlineStr">
        <is>
          <t>POR</t>
        </is>
      </c>
      <c r="B10463" s="30" t="inlineStr">
        <is>
          <t>Porto Real</t>
        </is>
      </c>
      <c r="C10463" s="30" t="n">
        <v>77888020</v>
      </c>
      <c r="D10463" s="30">
        <f>"07268172000190"</f>
        <v/>
      </c>
      <c r="E10463" s="30" t="inlineStr">
        <is>
          <t>S MARASSI NETO AGROPECUARIA ME</t>
        </is>
      </c>
      <c r="F10463" s="30" t="inlineStr">
        <is>
          <t>2020</t>
        </is>
      </c>
      <c r="G10463" s="40" t="n">
        <v>0</v>
      </c>
    </row>
    <row r="10464" ht="12" customHeight="1">
      <c r="A10464" s="30" t="inlineStr">
        <is>
          <t>POR</t>
        </is>
      </c>
      <c r="B10464" s="30" t="inlineStr">
        <is>
          <t>Porto Real</t>
        </is>
      </c>
      <c r="C10464" s="30" t="n">
        <v>77888020</v>
      </c>
      <c r="D10464" s="30">
        <f>"07268172000190"</f>
        <v/>
      </c>
      <c r="E10464" s="30" t="inlineStr">
        <is>
          <t>S MARASSI NETO AGROPECUARIA ME</t>
        </is>
      </c>
      <c r="F10464" s="30" t="inlineStr">
        <is>
          <t>2021</t>
        </is>
      </c>
      <c r="G10464" s="40" t="n">
        <v>0</v>
      </c>
    </row>
    <row r="10465" ht="12" customHeight="1">
      <c r="A10465" s="30" t="inlineStr">
        <is>
          <t>POR</t>
        </is>
      </c>
      <c r="B10465" s="30" t="inlineStr">
        <is>
          <t>Porto Real</t>
        </is>
      </c>
      <c r="C10465" s="30" t="n">
        <v>77888020</v>
      </c>
      <c r="D10465" s="30">
        <f>"07268172000190"</f>
        <v/>
      </c>
      <c r="E10465" s="30" t="inlineStr">
        <is>
          <t>S MARASSI NETO AGROPECUARIA ME</t>
        </is>
      </c>
      <c r="F10465" s="30" t="inlineStr">
        <is>
          <t>2022</t>
        </is>
      </c>
      <c r="G10465" s="40" t="n">
        <v>0</v>
      </c>
    </row>
    <row r="10466" ht="12" customHeight="1">
      <c r="A10466" s="30" t="inlineStr">
        <is>
          <t>POR</t>
        </is>
      </c>
      <c r="B10466" s="30" t="inlineStr">
        <is>
          <t>Porto Real</t>
        </is>
      </c>
      <c r="C10466" s="30" t="n">
        <v>77888020</v>
      </c>
      <c r="D10466" s="30">
        <f>"07268172000190"</f>
        <v/>
      </c>
      <c r="E10466" s="30" t="inlineStr">
        <is>
          <t>S MARASSI NETO AGROPECUARIA ME</t>
        </is>
      </c>
      <c r="F10466" s="30" t="inlineStr">
        <is>
          <t>2023</t>
        </is>
      </c>
      <c r="G10466" s="40" t="n">
        <v>0</v>
      </c>
    </row>
    <row r="10467" ht="12" customHeight="1">
      <c r="A10467" s="30" t="inlineStr">
        <is>
          <t>POR</t>
        </is>
      </c>
      <c r="B10467" s="30" t="inlineStr">
        <is>
          <t>Porto Real</t>
        </is>
      </c>
      <c r="C10467" s="30" t="n">
        <v>77909028</v>
      </c>
      <c r="D10467" s="30">
        <f>"03558055001009"</f>
        <v/>
      </c>
      <c r="E10467" s="30" t="inlineStr">
        <is>
          <t>INTERMODAL BRASIL LOGISTICA LTDA</t>
        </is>
      </c>
      <c r="F10467" s="30" t="inlineStr">
        <is>
          <t>2017</t>
        </is>
      </c>
      <c r="G10467" s="40" t="n">
        <v>0</v>
      </c>
    </row>
    <row r="10468" ht="12" customHeight="1">
      <c r="A10468" s="30" t="inlineStr">
        <is>
          <t>POR</t>
        </is>
      </c>
      <c r="B10468" s="30" t="inlineStr">
        <is>
          <t>Porto Real</t>
        </is>
      </c>
      <c r="C10468" s="30" t="n">
        <v>77909028</v>
      </c>
      <c r="D10468" s="30">
        <f>"03558055001009"</f>
        <v/>
      </c>
      <c r="E10468" s="30" t="inlineStr">
        <is>
          <t>INTERMODAL BRASIL LOGISTICA LTDA</t>
        </is>
      </c>
      <c r="F10468" s="30" t="inlineStr">
        <is>
          <t>2018</t>
        </is>
      </c>
      <c r="G10468" s="40" t="n">
        <v>0</v>
      </c>
    </row>
    <row r="10469" ht="12" customHeight="1">
      <c r="A10469" s="30" t="inlineStr">
        <is>
          <t>POR</t>
        </is>
      </c>
      <c r="B10469" s="30" t="inlineStr">
        <is>
          <t>Porto Real</t>
        </is>
      </c>
      <c r="C10469" s="30" t="n">
        <v>77909028</v>
      </c>
      <c r="D10469" s="30">
        <f>"03558055001009"</f>
        <v/>
      </c>
      <c r="E10469" s="30" t="inlineStr">
        <is>
          <t>INTERMODAL BRASIL LOGISTICA LTDA</t>
        </is>
      </c>
      <c r="F10469" s="30" t="inlineStr">
        <is>
          <t>2019</t>
        </is>
      </c>
      <c r="G10469" s="40" t="n">
        <v>12.5</v>
      </c>
    </row>
    <row r="10470" ht="12" customHeight="1">
      <c r="A10470" s="30" t="inlineStr">
        <is>
          <t>POR</t>
        </is>
      </c>
      <c r="B10470" s="30" t="inlineStr">
        <is>
          <t>Porto Real</t>
        </is>
      </c>
      <c r="C10470" s="30" t="n">
        <v>77909028</v>
      </c>
      <c r="D10470" s="30">
        <f>"03558055001009"</f>
        <v/>
      </c>
      <c r="E10470" s="30" t="inlineStr">
        <is>
          <t>INTERMODAL BRASIL LOGISTICA LTDA</t>
        </is>
      </c>
      <c r="F10470" s="30" t="inlineStr">
        <is>
          <t>2020</t>
        </is>
      </c>
      <c r="G10470" s="40" t="n">
        <v>199.06</v>
      </c>
    </row>
    <row r="10471" ht="12" customHeight="1">
      <c r="A10471" s="30" t="inlineStr">
        <is>
          <t>POR</t>
        </is>
      </c>
      <c r="B10471" s="30" t="inlineStr">
        <is>
          <t>Porto Real</t>
        </is>
      </c>
      <c r="C10471" s="30" t="n">
        <v>77909028</v>
      </c>
      <c r="D10471" s="30">
        <f>"03558055001009"</f>
        <v/>
      </c>
      <c r="E10471" s="30" t="inlineStr">
        <is>
          <t>INTERMODAL BRASIL LOGISTICA LTDA</t>
        </is>
      </c>
      <c r="F10471" s="30" t="inlineStr">
        <is>
          <t>2021</t>
        </is>
      </c>
      <c r="G10471" s="40" t="n">
        <v>0</v>
      </c>
    </row>
    <row r="10472" ht="12" customHeight="1">
      <c r="A10472" s="30" t="inlineStr">
        <is>
          <t>POR</t>
        </is>
      </c>
      <c r="B10472" s="30" t="inlineStr">
        <is>
          <t>Porto Real</t>
        </is>
      </c>
      <c r="C10472" s="30" t="n">
        <v>77909028</v>
      </c>
      <c r="D10472" s="30">
        <f>"03558055001009"</f>
        <v/>
      </c>
      <c r="E10472" s="30" t="inlineStr">
        <is>
          <t>INTERMODAL BRASIL LOGISTICA LTDA</t>
        </is>
      </c>
      <c r="F10472" s="30" t="inlineStr">
        <is>
          <t>2022</t>
        </is>
      </c>
      <c r="G10472" s="40" t="n">
        <v>0</v>
      </c>
    </row>
    <row r="10473" ht="12" customHeight="1">
      <c r="A10473" s="30" t="inlineStr">
        <is>
          <t>POR</t>
        </is>
      </c>
      <c r="B10473" s="30" t="inlineStr">
        <is>
          <t>Porto Real</t>
        </is>
      </c>
      <c r="C10473" s="30" t="n">
        <v>77924817</v>
      </c>
      <c r="D10473" s="30">
        <f>"07430035000100"</f>
        <v/>
      </c>
      <c r="E10473" s="30" t="inlineStr">
        <is>
          <t>BIOTA CONSTRUCOES SERVICOS E TRANSPORTES LTDA EPP</t>
        </is>
      </c>
      <c r="F10473" s="30" t="inlineStr">
        <is>
          <t>2017</t>
        </is>
      </c>
      <c r="G10473" s="40" t="n">
        <v>0</v>
      </c>
    </row>
    <row r="10474" ht="12" customHeight="1">
      <c r="A10474" s="30" t="inlineStr">
        <is>
          <t>POR</t>
        </is>
      </c>
      <c r="B10474" s="30" t="inlineStr">
        <is>
          <t>Porto Real</t>
        </is>
      </c>
      <c r="C10474" s="30" t="n">
        <v>77924817</v>
      </c>
      <c r="D10474" s="30">
        <f>"07430035000100"</f>
        <v/>
      </c>
      <c r="E10474" s="30" t="inlineStr">
        <is>
          <t>BIOTA CONSTRUCOES SERVICOS E TRANSPORTES LTDA EPP</t>
        </is>
      </c>
      <c r="F10474" s="30" t="inlineStr">
        <is>
          <t>2018</t>
        </is>
      </c>
      <c r="G10474" s="40" t="n">
        <v>0</v>
      </c>
    </row>
    <row r="10475" ht="12" customHeight="1">
      <c r="A10475" s="30" t="inlineStr">
        <is>
          <t>POR</t>
        </is>
      </c>
      <c r="B10475" s="30" t="inlineStr">
        <is>
          <t>Porto Real</t>
        </is>
      </c>
      <c r="C10475" s="30" t="n">
        <v>77924817</v>
      </c>
      <c r="D10475" s="30">
        <f>"07430035000100"</f>
        <v/>
      </c>
      <c r="E10475" s="30" t="inlineStr">
        <is>
          <t>BIOTA CONSTRUCOES SERVICOS E TRANSPORTES LTDA EPP</t>
        </is>
      </c>
      <c r="F10475" s="30" t="inlineStr">
        <is>
          <t>2019</t>
        </is>
      </c>
      <c r="G10475" s="40" t="n">
        <v>0</v>
      </c>
    </row>
    <row r="10476" ht="12" customHeight="1">
      <c r="A10476" s="30" t="inlineStr">
        <is>
          <t>POR</t>
        </is>
      </c>
      <c r="B10476" s="30" t="inlineStr">
        <is>
          <t>Porto Real</t>
        </is>
      </c>
      <c r="C10476" s="30" t="n">
        <v>77924817</v>
      </c>
      <c r="D10476" s="30">
        <f>"07430035000100"</f>
        <v/>
      </c>
      <c r="E10476" s="30" t="inlineStr">
        <is>
          <t>BIOTA CONSTRUCOES SERVICOS E TRANSPORTES LTDA EPP</t>
        </is>
      </c>
      <c r="F10476" s="30" t="inlineStr">
        <is>
          <t>2020</t>
        </is>
      </c>
      <c r="G10476" s="40" t="n">
        <v>0</v>
      </c>
    </row>
    <row r="10477" ht="12" customHeight="1">
      <c r="A10477" s="30" t="inlineStr">
        <is>
          <t>POR</t>
        </is>
      </c>
      <c r="B10477" s="30" t="inlineStr">
        <is>
          <t>Porto Real</t>
        </is>
      </c>
      <c r="C10477" s="30" t="n">
        <v>77924817</v>
      </c>
      <c r="D10477" s="30">
        <f>"07430035000100"</f>
        <v/>
      </c>
      <c r="E10477" s="30" t="inlineStr">
        <is>
          <t>BIOTA CONSTRUCOES SERVICOS E TRANSPORTES LTDA EPP</t>
        </is>
      </c>
      <c r="F10477" s="30" t="inlineStr">
        <is>
          <t>2021</t>
        </is>
      </c>
      <c r="G10477" s="40" t="n">
        <v>0</v>
      </c>
    </row>
    <row r="10478" ht="12" customHeight="1">
      <c r="A10478" s="30" t="inlineStr">
        <is>
          <t>POR</t>
        </is>
      </c>
      <c r="B10478" s="30" t="inlineStr">
        <is>
          <t>Porto Real</t>
        </is>
      </c>
      <c r="C10478" s="30" t="n">
        <v>77924817</v>
      </c>
      <c r="D10478" s="30">
        <f>"07430035000100"</f>
        <v/>
      </c>
      <c r="E10478" s="30" t="inlineStr">
        <is>
          <t>BIOTA CONSTRUCOES SERVICOS E TRANSPORTES LTDA EPP</t>
        </is>
      </c>
      <c r="F10478" s="30" t="inlineStr">
        <is>
          <t>2022</t>
        </is>
      </c>
      <c r="G10478" s="40" t="n">
        <v>0</v>
      </c>
    </row>
    <row r="10479" ht="12" customHeight="1">
      <c r="A10479" s="30" t="inlineStr">
        <is>
          <t>POR</t>
        </is>
      </c>
      <c r="B10479" s="30" t="inlineStr">
        <is>
          <t>Porto Real</t>
        </is>
      </c>
      <c r="C10479" s="30" t="n">
        <v>77924817</v>
      </c>
      <c r="D10479" s="30">
        <f>"07430035000100"</f>
        <v/>
      </c>
      <c r="E10479" s="30" t="inlineStr">
        <is>
          <t>BIOTA CONSTRUCOES SERVICOS E TRANSPORTES LTDA EPP</t>
        </is>
      </c>
      <c r="F10479" s="30" t="inlineStr">
        <is>
          <t>2023</t>
        </is>
      </c>
      <c r="G10479" s="40" t="n">
        <v>0</v>
      </c>
    </row>
    <row r="10480" ht="12" customHeight="1">
      <c r="A10480" s="30" t="inlineStr">
        <is>
          <t>POR</t>
        </is>
      </c>
      <c r="B10480" s="30" t="inlineStr">
        <is>
          <t>Porto Real</t>
        </is>
      </c>
      <c r="C10480" s="30" t="n">
        <v>77959912</v>
      </c>
      <c r="D10480" s="30">
        <f>"07463749000114"</f>
        <v/>
      </c>
      <c r="E10480" s="30" t="inlineStr">
        <is>
          <t>WEIDNER DO BRASIL INDUSTRIA DE PRODUTOS PLASTICOS LTDA</t>
        </is>
      </c>
      <c r="F10480" s="30" t="inlineStr">
        <is>
          <t>2017</t>
        </is>
      </c>
      <c r="G10480" s="40" t="n">
        <v>297149.26</v>
      </c>
    </row>
    <row r="10481" ht="12" customHeight="1">
      <c r="A10481" s="30" t="inlineStr">
        <is>
          <t>POR</t>
        </is>
      </c>
      <c r="B10481" s="30" t="inlineStr">
        <is>
          <t>Porto Real</t>
        </is>
      </c>
      <c r="C10481" s="30" t="n">
        <v>77959912</v>
      </c>
      <c r="D10481" s="30">
        <f>"07463749000114"</f>
        <v/>
      </c>
      <c r="E10481" s="30" t="inlineStr">
        <is>
          <t>WEIDNER DO BRASIL INDUSTRIA DE PRODUTOS PLASTICOS LTDA</t>
        </is>
      </c>
      <c r="F10481" s="30" t="inlineStr">
        <is>
          <t>2018</t>
        </is>
      </c>
      <c r="G10481" s="40" t="n">
        <v>195173.67</v>
      </c>
    </row>
    <row r="10482" ht="12" customHeight="1">
      <c r="A10482" s="30" t="inlineStr">
        <is>
          <t>POR</t>
        </is>
      </c>
      <c r="B10482" s="30" t="inlineStr">
        <is>
          <t>Porto Real</t>
        </is>
      </c>
      <c r="C10482" s="30" t="n">
        <v>77959912</v>
      </c>
      <c r="D10482" s="30">
        <f>"07463749000114"</f>
        <v/>
      </c>
      <c r="E10482" s="30" t="inlineStr">
        <is>
          <t>WEIDNER DO BRASIL INDUSTRIA DE PRODUTOS PLASTICOS LTDA</t>
        </is>
      </c>
      <c r="F10482" s="30" t="inlineStr">
        <is>
          <t>2019</t>
        </is>
      </c>
      <c r="G10482" s="40" t="n">
        <v>191847.79</v>
      </c>
    </row>
    <row r="10483" ht="12" customHeight="1">
      <c r="A10483" s="30" t="inlineStr">
        <is>
          <t>POR</t>
        </is>
      </c>
      <c r="B10483" s="30" t="inlineStr">
        <is>
          <t>Porto Real</t>
        </is>
      </c>
      <c r="C10483" s="30" t="n">
        <v>77959912</v>
      </c>
      <c r="D10483" s="30">
        <f>"07463749000114"</f>
        <v/>
      </c>
      <c r="E10483" s="30" t="inlineStr">
        <is>
          <t>WEIDNER DO BRASIL INDUSTRIA DE PRODUTOS PLASTICOS LTDA</t>
        </is>
      </c>
      <c r="F10483" s="30" t="inlineStr">
        <is>
          <t>2020</t>
        </is>
      </c>
      <c r="G10483" s="40" t="n">
        <v>0</v>
      </c>
    </row>
    <row r="10484" ht="12" customHeight="1">
      <c r="A10484" s="30" t="inlineStr">
        <is>
          <t>POR</t>
        </is>
      </c>
      <c r="B10484" s="30" t="inlineStr">
        <is>
          <t>Porto Real</t>
        </is>
      </c>
      <c r="C10484" s="30" t="n">
        <v>77959912</v>
      </c>
      <c r="D10484" s="30">
        <f>"07463749000114"</f>
        <v/>
      </c>
      <c r="E10484" s="30" t="inlineStr">
        <is>
          <t>WEIDNER DO BRASIL INDUSTRIA DE PRODUTOS PLASTICOS LTDA</t>
        </is>
      </c>
      <c r="F10484" s="30" t="inlineStr">
        <is>
          <t>2021</t>
        </is>
      </c>
      <c r="G10484" s="40" t="n">
        <v>0</v>
      </c>
    </row>
    <row r="10485" ht="12" customHeight="1">
      <c r="A10485" s="30" t="inlineStr">
        <is>
          <t>POR</t>
        </is>
      </c>
      <c r="B10485" s="30" t="inlineStr">
        <is>
          <t>Porto Real</t>
        </is>
      </c>
      <c r="C10485" s="30" t="n">
        <v>77959912</v>
      </c>
      <c r="D10485" s="30">
        <f>"07463749000114"</f>
        <v/>
      </c>
      <c r="E10485" s="30" t="inlineStr">
        <is>
          <t>WEIDNER DO BRASIL INDUSTRIA DE PRODUTOS PLASTICOS LTDA</t>
        </is>
      </c>
      <c r="F10485" s="30" t="inlineStr">
        <is>
          <t>2022</t>
        </is>
      </c>
      <c r="G10485" s="40" t="n">
        <v>115297.57</v>
      </c>
    </row>
    <row r="10486" ht="12" customHeight="1">
      <c r="A10486" s="30" t="inlineStr">
        <is>
          <t>POR</t>
        </is>
      </c>
      <c r="B10486" s="30" t="inlineStr">
        <is>
          <t>Porto Real</t>
        </is>
      </c>
      <c r="C10486" s="30" t="n">
        <v>77959912</v>
      </c>
      <c r="D10486" s="30">
        <f>"07463749000114"</f>
        <v/>
      </c>
      <c r="E10486" s="30" t="inlineStr">
        <is>
          <t>WEIDNER DO BRASIL INDUSTRIA DE PRODUTOS PLASTICOS LTDA</t>
        </is>
      </c>
      <c r="F10486" s="30" t="inlineStr">
        <is>
          <t>2023</t>
        </is>
      </c>
      <c r="G10486" s="40" t="n">
        <v>174782.32</v>
      </c>
    </row>
    <row r="10487" ht="12" customHeight="1">
      <c r="A10487" s="30" t="inlineStr">
        <is>
          <t>POR</t>
        </is>
      </c>
      <c r="B10487" s="30" t="inlineStr">
        <is>
          <t>Porto Real</t>
        </is>
      </c>
      <c r="C10487" s="30" t="n">
        <v>77968938</v>
      </c>
      <c r="D10487" s="30">
        <f>"22447684000883"</f>
        <v/>
      </c>
      <c r="E10487" s="30" t="inlineStr">
        <is>
          <t>DGRA NEL TRANSPORTES E COMERCIO LTDA</t>
        </is>
      </c>
      <c r="F10487" s="30" t="inlineStr">
        <is>
          <t>2017</t>
        </is>
      </c>
      <c r="G10487" s="40" t="n">
        <v>0</v>
      </c>
    </row>
    <row r="10488" ht="12" customHeight="1">
      <c r="A10488" s="30" t="inlineStr">
        <is>
          <t>POR</t>
        </is>
      </c>
      <c r="B10488" s="30" t="inlineStr">
        <is>
          <t>Porto Real</t>
        </is>
      </c>
      <c r="C10488" s="30" t="n">
        <v>77968938</v>
      </c>
      <c r="D10488" s="30">
        <f>"22447684000883"</f>
        <v/>
      </c>
      <c r="E10488" s="30" t="inlineStr">
        <is>
          <t>DGRA NEL TRANSPORTES E COMERCIO LTDA</t>
        </is>
      </c>
      <c r="F10488" s="30" t="inlineStr">
        <is>
          <t>2018</t>
        </is>
      </c>
      <c r="G10488" s="40" t="n">
        <v>0</v>
      </c>
    </row>
    <row r="10489" ht="12" customHeight="1">
      <c r="A10489" s="30" t="inlineStr">
        <is>
          <t>POR</t>
        </is>
      </c>
      <c r="B10489" s="30" t="inlineStr">
        <is>
          <t>Porto Real</t>
        </is>
      </c>
      <c r="C10489" s="30" t="n">
        <v>77968938</v>
      </c>
      <c r="D10489" s="30">
        <f>"22447684000883"</f>
        <v/>
      </c>
      <c r="E10489" s="30" t="inlineStr">
        <is>
          <t>DGRA NEL TRANSPORTES E COMERCIO LTDA</t>
        </is>
      </c>
      <c r="F10489" s="30" t="inlineStr">
        <is>
          <t>2019</t>
        </is>
      </c>
      <c r="G10489" s="40" t="n">
        <v>25259</v>
      </c>
    </row>
    <row r="10490" ht="12" customHeight="1">
      <c r="A10490" s="30" t="inlineStr">
        <is>
          <t>POR</t>
        </is>
      </c>
      <c r="B10490" s="30" t="inlineStr">
        <is>
          <t>Porto Real</t>
        </is>
      </c>
      <c r="C10490" s="30" t="n">
        <v>77968938</v>
      </c>
      <c r="D10490" s="30">
        <f>"22447684000883"</f>
        <v/>
      </c>
      <c r="E10490" s="30" t="inlineStr">
        <is>
          <t>DGRA NEL TRANSPORTES E COMERCIO LTDA</t>
        </is>
      </c>
      <c r="F10490" s="30" t="inlineStr">
        <is>
          <t>2020</t>
        </is>
      </c>
      <c r="G10490" s="40" t="n">
        <v>131716.5</v>
      </c>
    </row>
    <row r="10491" ht="12" customHeight="1">
      <c r="A10491" s="30" t="inlineStr">
        <is>
          <t>POR</t>
        </is>
      </c>
      <c r="B10491" s="30" t="inlineStr">
        <is>
          <t>Porto Real</t>
        </is>
      </c>
      <c r="C10491" s="30" t="n">
        <v>77968938</v>
      </c>
      <c r="D10491" s="30">
        <f>"22447684000883"</f>
        <v/>
      </c>
      <c r="E10491" s="30" t="inlineStr">
        <is>
          <t>DGRA NEL TRANSPORTES E COMERCIO LTDA</t>
        </is>
      </c>
      <c r="F10491" s="30" t="inlineStr">
        <is>
          <t>2021</t>
        </is>
      </c>
      <c r="G10491" s="40" t="n">
        <v>0</v>
      </c>
    </row>
    <row r="10492" ht="12" customHeight="1">
      <c r="A10492" s="30" t="inlineStr">
        <is>
          <t>POR</t>
        </is>
      </c>
      <c r="B10492" s="30" t="inlineStr">
        <is>
          <t>Porto Real</t>
        </is>
      </c>
      <c r="C10492" s="30" t="n">
        <v>77968938</v>
      </c>
      <c r="D10492" s="30">
        <f>"22447684000883"</f>
        <v/>
      </c>
      <c r="E10492" s="30" t="inlineStr">
        <is>
          <t>DGRA NEL TRANSPORTES E COMERCIO LTDA</t>
        </is>
      </c>
      <c r="F10492" s="30" t="inlineStr">
        <is>
          <t>2022</t>
        </is>
      </c>
      <c r="G10492" s="40" t="n">
        <v>0</v>
      </c>
    </row>
    <row r="10493" ht="12" customHeight="1">
      <c r="A10493" s="30" t="inlineStr">
        <is>
          <t>POR</t>
        </is>
      </c>
      <c r="B10493" s="30" t="inlineStr">
        <is>
          <t>Porto Real</t>
        </is>
      </c>
      <c r="C10493" s="30" t="n">
        <v>77968938</v>
      </c>
      <c r="D10493" s="30">
        <f>"22447684000883"</f>
        <v/>
      </c>
      <c r="E10493" s="30" t="inlineStr">
        <is>
          <t>DGRA NEL TRANSPORTES E COMERCIO LTDA</t>
        </is>
      </c>
      <c r="F10493" s="30" t="inlineStr">
        <is>
          <t>2023</t>
        </is>
      </c>
      <c r="G10493" s="40" t="n">
        <v>61928.77</v>
      </c>
    </row>
    <row r="10494" ht="12" customHeight="1">
      <c r="A10494" s="30" t="inlineStr">
        <is>
          <t>POR</t>
        </is>
      </c>
      <c r="B10494" s="30" t="inlineStr">
        <is>
          <t>Porto Real</t>
        </is>
      </c>
      <c r="C10494" s="30" t="n">
        <v>78002840</v>
      </c>
      <c r="D10494" s="30">
        <f>"40432544006269"</f>
        <v/>
      </c>
      <c r="E10494" s="30" t="inlineStr">
        <is>
          <t>CLARO S/A</t>
        </is>
      </c>
      <c r="F10494" s="30" t="inlineStr">
        <is>
          <t>2017</t>
        </is>
      </c>
      <c r="G10494" s="40" t="n">
        <v>2474943.67</v>
      </c>
    </row>
    <row r="10495" ht="12" customHeight="1">
      <c r="A10495" s="30" t="inlineStr">
        <is>
          <t>POR</t>
        </is>
      </c>
      <c r="B10495" s="30" t="inlineStr">
        <is>
          <t>Porto Real</t>
        </is>
      </c>
      <c r="C10495" s="30" t="n">
        <v>78002840</v>
      </c>
      <c r="D10495" s="30">
        <f>"40432544006269"</f>
        <v/>
      </c>
      <c r="E10495" s="30" t="inlineStr">
        <is>
          <t>CLARO S/A</t>
        </is>
      </c>
      <c r="F10495" s="30" t="inlineStr">
        <is>
          <t>2018</t>
        </is>
      </c>
      <c r="G10495" s="40" t="n">
        <v>2226483</v>
      </c>
    </row>
    <row r="10496" ht="12" customHeight="1">
      <c r="A10496" s="30" t="inlineStr">
        <is>
          <t>POR</t>
        </is>
      </c>
      <c r="B10496" s="30" t="inlineStr">
        <is>
          <t>Porto Real</t>
        </is>
      </c>
      <c r="C10496" s="30" t="n">
        <v>78002840</v>
      </c>
      <c r="D10496" s="30">
        <f>"40432544006269"</f>
        <v/>
      </c>
      <c r="E10496" s="30" t="inlineStr">
        <is>
          <t>CLARO S/A</t>
        </is>
      </c>
      <c r="F10496" s="30" t="inlineStr">
        <is>
          <t>2019</t>
        </is>
      </c>
      <c r="G10496" s="40" t="n">
        <v>2101002.63</v>
      </c>
    </row>
    <row r="10497" ht="12" customHeight="1">
      <c r="A10497" s="30" t="inlineStr">
        <is>
          <t>POR</t>
        </is>
      </c>
      <c r="B10497" s="30" t="inlineStr">
        <is>
          <t>Porto Real</t>
        </is>
      </c>
      <c r="C10497" s="30" t="n">
        <v>78002840</v>
      </c>
      <c r="D10497" s="30">
        <f>"40432544006269"</f>
        <v/>
      </c>
      <c r="E10497" s="30" t="inlineStr">
        <is>
          <t>CLARO S/A</t>
        </is>
      </c>
      <c r="F10497" s="30" t="inlineStr">
        <is>
          <t>2020</t>
        </is>
      </c>
      <c r="G10497" s="40" t="n">
        <v>2123108.94</v>
      </c>
    </row>
    <row r="10498" ht="12" customHeight="1">
      <c r="A10498" s="30" t="inlineStr">
        <is>
          <t>POR</t>
        </is>
      </c>
      <c r="B10498" s="30" t="inlineStr">
        <is>
          <t>Porto Real</t>
        </is>
      </c>
      <c r="C10498" s="30" t="n">
        <v>78002840</v>
      </c>
      <c r="D10498" s="30">
        <f>"40432544006269"</f>
        <v/>
      </c>
      <c r="E10498" s="30" t="inlineStr">
        <is>
          <t>CLARO S/A</t>
        </is>
      </c>
      <c r="F10498" s="30" t="inlineStr">
        <is>
          <t>2021</t>
        </is>
      </c>
      <c r="G10498" s="40" t="n">
        <v>1763840.84</v>
      </c>
    </row>
    <row r="10499" ht="12" customHeight="1">
      <c r="A10499" s="30" t="inlineStr">
        <is>
          <t>POR</t>
        </is>
      </c>
      <c r="B10499" s="30" t="inlineStr">
        <is>
          <t>Porto Real</t>
        </is>
      </c>
      <c r="C10499" s="30" t="n">
        <v>78002840</v>
      </c>
      <c r="D10499" s="30">
        <f>"40432544006269"</f>
        <v/>
      </c>
      <c r="E10499" s="30" t="inlineStr">
        <is>
          <t>CLARO S/A</t>
        </is>
      </c>
      <c r="F10499" s="30" t="inlineStr">
        <is>
          <t>2022</t>
        </is>
      </c>
      <c r="G10499" s="40" t="n">
        <v>1088555.77</v>
      </c>
    </row>
    <row r="10500" ht="12" customHeight="1">
      <c r="A10500" s="30" t="inlineStr">
        <is>
          <t>POR</t>
        </is>
      </c>
      <c r="B10500" s="30" t="inlineStr">
        <is>
          <t>Porto Real</t>
        </is>
      </c>
      <c r="C10500" s="30" t="n">
        <v>78002840</v>
      </c>
      <c r="D10500" s="30">
        <f>"40432544006269"</f>
        <v/>
      </c>
      <c r="E10500" s="30" t="inlineStr">
        <is>
          <t>CLARO S/A</t>
        </is>
      </c>
      <c r="F10500" s="30" t="inlineStr">
        <is>
          <t>2023</t>
        </is>
      </c>
      <c r="G10500" s="40" t="n">
        <v>1104605.92</v>
      </c>
    </row>
    <row r="10501" ht="12" customHeight="1">
      <c r="A10501" s="30" t="inlineStr">
        <is>
          <t>POR</t>
        </is>
      </c>
      <c r="B10501" s="30" t="inlineStr">
        <is>
          <t>Porto Real</t>
        </is>
      </c>
      <c r="C10501" s="30" t="n">
        <v>78017961</v>
      </c>
      <c r="D10501" s="30">
        <f>"07465184000104"</f>
        <v/>
      </c>
      <c r="E10501" s="30" t="inlineStr">
        <is>
          <t>ROTA BM TRANSPORTES LTDA EPP</t>
        </is>
      </c>
      <c r="F10501" s="30" t="inlineStr">
        <is>
          <t>2020</t>
        </is>
      </c>
      <c r="G10501" s="40" t="n">
        <v>0</v>
      </c>
    </row>
    <row r="10502" ht="12" customHeight="1">
      <c r="A10502" s="30" t="inlineStr">
        <is>
          <t>POR</t>
        </is>
      </c>
      <c r="B10502" s="30" t="inlineStr">
        <is>
          <t>Porto Real</t>
        </is>
      </c>
      <c r="C10502" s="30" t="n">
        <v>78017961</v>
      </c>
      <c r="D10502" s="30">
        <f>"07465184000104"</f>
        <v/>
      </c>
      <c r="E10502" s="30" t="inlineStr">
        <is>
          <t>ROTA BM TRANSPORTES LTDA EPP</t>
        </is>
      </c>
      <c r="F10502" s="30" t="inlineStr">
        <is>
          <t>2021</t>
        </is>
      </c>
      <c r="G10502" s="40" t="n">
        <v>0</v>
      </c>
    </row>
    <row r="10503" ht="12" customHeight="1">
      <c r="A10503" s="30" t="inlineStr">
        <is>
          <t>POR</t>
        </is>
      </c>
      <c r="B10503" s="30" t="inlineStr">
        <is>
          <t>Porto Real</t>
        </is>
      </c>
      <c r="C10503" s="30" t="n">
        <v>78017961</v>
      </c>
      <c r="D10503" s="30">
        <f>"07465184000104"</f>
        <v/>
      </c>
      <c r="E10503" s="30" t="inlineStr">
        <is>
          <t>ROTA BM TRANSPORTES LTDA EPP</t>
        </is>
      </c>
      <c r="F10503" s="30" t="inlineStr">
        <is>
          <t>2022</t>
        </is>
      </c>
      <c r="G10503" s="40" t="n">
        <v>54600</v>
      </c>
    </row>
    <row r="10504" ht="12" customHeight="1">
      <c r="A10504" s="30" t="inlineStr">
        <is>
          <t>POR</t>
        </is>
      </c>
      <c r="B10504" s="30" t="inlineStr">
        <is>
          <t>Porto Real</t>
        </is>
      </c>
      <c r="C10504" s="30" t="n">
        <v>78017961</v>
      </c>
      <c r="D10504" s="30">
        <f>"07465184000104"</f>
        <v/>
      </c>
      <c r="E10504" s="30" t="inlineStr">
        <is>
          <t>ROTA BM TRANSPORTES LTDA EPP</t>
        </is>
      </c>
      <c r="F10504" s="30" t="inlineStr">
        <is>
          <t>2023</t>
        </is>
      </c>
      <c r="G10504" s="40" t="n">
        <v>134800</v>
      </c>
    </row>
    <row r="10505" ht="12" customHeight="1">
      <c r="A10505" s="30" t="inlineStr">
        <is>
          <t>POR</t>
        </is>
      </c>
      <c r="B10505" s="30" t="inlineStr">
        <is>
          <t>Porto Real</t>
        </is>
      </c>
      <c r="C10505" s="30" t="n">
        <v>78022159</v>
      </c>
      <c r="D10505" s="30">
        <f>"07617959000110"</f>
        <v/>
      </c>
      <c r="E10505" s="30" t="inlineStr">
        <is>
          <t>THT LOGISTICA TRANSPORTES LTDA</t>
        </is>
      </c>
      <c r="F10505" s="30" t="inlineStr">
        <is>
          <t>2017</t>
        </is>
      </c>
      <c r="G10505" s="40" t="n">
        <v>35800</v>
      </c>
    </row>
    <row r="10506" ht="12" customHeight="1">
      <c r="A10506" s="30" t="inlineStr">
        <is>
          <t>POR</t>
        </is>
      </c>
      <c r="B10506" s="30" t="inlineStr">
        <is>
          <t>Porto Real</t>
        </is>
      </c>
      <c r="C10506" s="30" t="n">
        <v>78022159</v>
      </c>
      <c r="D10506" s="30">
        <f>"07617959000110"</f>
        <v/>
      </c>
      <c r="E10506" s="30" t="inlineStr">
        <is>
          <t>THT LOGISTICA TRANSPORTES LTDA</t>
        </is>
      </c>
      <c r="F10506" s="30" t="inlineStr">
        <is>
          <t>2018</t>
        </is>
      </c>
      <c r="G10506" s="40" t="n">
        <v>0</v>
      </c>
    </row>
    <row r="10507" ht="12" customHeight="1">
      <c r="A10507" s="30" t="inlineStr">
        <is>
          <t>POR</t>
        </is>
      </c>
      <c r="B10507" s="30" t="inlineStr">
        <is>
          <t>Porto Real</t>
        </is>
      </c>
      <c r="C10507" s="30" t="n">
        <v>78022159</v>
      </c>
      <c r="D10507" s="30">
        <f>"07617959000110"</f>
        <v/>
      </c>
      <c r="E10507" s="30" t="inlineStr">
        <is>
          <t>THT LOGISTICA TRANSPORTES LTDA</t>
        </is>
      </c>
      <c r="F10507" s="30" t="inlineStr">
        <is>
          <t>2019</t>
        </is>
      </c>
      <c r="G10507" s="40" t="n">
        <v>0</v>
      </c>
    </row>
    <row r="10508" ht="12" customHeight="1">
      <c r="A10508" s="30" t="inlineStr">
        <is>
          <t>POR</t>
        </is>
      </c>
      <c r="B10508" s="30" t="inlineStr">
        <is>
          <t>Porto Real</t>
        </is>
      </c>
      <c r="C10508" s="30" t="n">
        <v>78022159</v>
      </c>
      <c r="D10508" s="30">
        <f>"07617959000110"</f>
        <v/>
      </c>
      <c r="E10508" s="30" t="inlineStr">
        <is>
          <t>THT LOGISTICA TRANSPORTES LTDA</t>
        </is>
      </c>
      <c r="F10508" s="30" t="inlineStr">
        <is>
          <t>2020</t>
        </is>
      </c>
      <c r="G10508" s="40" t="n">
        <v>0</v>
      </c>
    </row>
    <row r="10509" ht="12" customHeight="1">
      <c r="A10509" s="30" t="inlineStr">
        <is>
          <t>POR</t>
        </is>
      </c>
      <c r="B10509" s="30" t="inlineStr">
        <is>
          <t>Porto Real</t>
        </is>
      </c>
      <c r="C10509" s="30" t="n">
        <v>78022159</v>
      </c>
      <c r="D10509" s="30">
        <f>"07617959000110"</f>
        <v/>
      </c>
      <c r="E10509" s="30" t="inlineStr">
        <is>
          <t>THT LOGISTICA TRANSPORTES LTDA</t>
        </is>
      </c>
      <c r="F10509" s="30" t="inlineStr">
        <is>
          <t>2021</t>
        </is>
      </c>
      <c r="G10509" s="40" t="n">
        <v>0</v>
      </c>
    </row>
    <row r="10510" ht="12" customHeight="1">
      <c r="A10510" s="30" t="inlineStr">
        <is>
          <t>POR</t>
        </is>
      </c>
      <c r="B10510" s="30" t="inlineStr">
        <is>
          <t>Porto Real</t>
        </is>
      </c>
      <c r="C10510" s="30" t="n">
        <v>78022159</v>
      </c>
      <c r="D10510" s="30">
        <f>"07617959000110"</f>
        <v/>
      </c>
      <c r="E10510" s="30" t="inlineStr">
        <is>
          <t>THT LOGISTICA TRANSPORTES LTDA</t>
        </is>
      </c>
      <c r="F10510" s="30" t="inlineStr">
        <is>
          <t>2022</t>
        </is>
      </c>
      <c r="G10510" s="40" t="n">
        <v>0</v>
      </c>
    </row>
    <row r="10511" ht="12" customHeight="1">
      <c r="A10511" s="30" t="inlineStr">
        <is>
          <t>POR</t>
        </is>
      </c>
      <c r="B10511" s="30" t="inlineStr">
        <is>
          <t>Porto Real</t>
        </is>
      </c>
      <c r="C10511" s="30" t="n">
        <v>78022159</v>
      </c>
      <c r="D10511" s="30">
        <f>"07617959000110"</f>
        <v/>
      </c>
      <c r="E10511" s="30" t="inlineStr">
        <is>
          <t>THT LOGISTICA TRANSPORTES LTDA</t>
        </is>
      </c>
      <c r="F10511" s="30" t="inlineStr">
        <is>
          <t>2023</t>
        </is>
      </c>
      <c r="G10511" s="40" t="n">
        <v>0</v>
      </c>
    </row>
    <row r="10512" ht="12" customHeight="1">
      <c r="A10512" s="30" t="inlineStr">
        <is>
          <t>POR</t>
        </is>
      </c>
      <c r="B10512" s="30" t="inlineStr">
        <is>
          <t>Porto Real</t>
        </is>
      </c>
      <c r="C10512" s="30" t="n">
        <v>78024623</v>
      </c>
      <c r="D10512" s="30">
        <f>"02645941000450"</f>
        <v/>
      </c>
      <c r="E10512" s="30" t="inlineStr">
        <is>
          <t>PLASTIC OMNIUM DO BRASIL LTDA</t>
        </is>
      </c>
      <c r="F10512" s="30" t="inlineStr">
        <is>
          <t>2017</t>
        </is>
      </c>
      <c r="G10512" s="40" t="n">
        <v>57577656.01</v>
      </c>
    </row>
    <row r="10513" ht="12" customHeight="1">
      <c r="A10513" s="30" t="inlineStr">
        <is>
          <t>POR</t>
        </is>
      </c>
      <c r="B10513" s="30" t="inlineStr">
        <is>
          <t>Porto Real</t>
        </is>
      </c>
      <c r="C10513" s="30" t="n">
        <v>78024623</v>
      </c>
      <c r="D10513" s="30">
        <f>"02645941000450"</f>
        <v/>
      </c>
      <c r="E10513" s="30" t="inlineStr">
        <is>
          <t>PLASTIC OMNIUM DO BRASIL LTDA</t>
        </is>
      </c>
      <c r="F10513" s="30" t="inlineStr">
        <is>
          <t>2018</t>
        </is>
      </c>
      <c r="G10513" s="40" t="n">
        <v>49641997.43</v>
      </c>
    </row>
    <row r="10514" ht="12" customHeight="1">
      <c r="A10514" s="30" t="inlineStr">
        <is>
          <t>POR</t>
        </is>
      </c>
      <c r="B10514" s="30" t="inlineStr">
        <is>
          <t>Porto Real</t>
        </is>
      </c>
      <c r="C10514" s="30" t="n">
        <v>78024623</v>
      </c>
      <c r="D10514" s="30">
        <f>"02645941000450"</f>
        <v/>
      </c>
      <c r="E10514" s="30" t="inlineStr">
        <is>
          <t>PLASTIC OMNIUM DO BRASIL LTDA</t>
        </is>
      </c>
      <c r="F10514" s="30" t="inlineStr">
        <is>
          <t>2019</t>
        </is>
      </c>
      <c r="G10514" s="40" t="n">
        <v>29838063.54</v>
      </c>
    </row>
    <row r="10515" ht="12" customHeight="1">
      <c r="A10515" s="30" t="inlineStr">
        <is>
          <t>POR</t>
        </is>
      </c>
      <c r="B10515" s="30" t="inlineStr">
        <is>
          <t>Porto Real</t>
        </is>
      </c>
      <c r="C10515" s="30" t="n">
        <v>78024623</v>
      </c>
      <c r="D10515" s="30">
        <f>"02645941000450"</f>
        <v/>
      </c>
      <c r="E10515" s="30" t="inlineStr">
        <is>
          <t>PLASTIC OMNIUM DO BRASIL LTDA</t>
        </is>
      </c>
      <c r="F10515" s="30" t="inlineStr">
        <is>
          <t>2020</t>
        </is>
      </c>
      <c r="G10515" s="40" t="n">
        <v>22500146.27</v>
      </c>
    </row>
    <row r="10516" ht="12" customHeight="1">
      <c r="A10516" s="30" t="inlineStr">
        <is>
          <t>POR</t>
        </is>
      </c>
      <c r="B10516" s="30" t="inlineStr">
        <is>
          <t>Porto Real</t>
        </is>
      </c>
      <c r="C10516" s="30" t="n">
        <v>78024623</v>
      </c>
      <c r="D10516" s="30">
        <f>"02645941000450"</f>
        <v/>
      </c>
      <c r="E10516" s="30" t="inlineStr">
        <is>
          <t>PLASTIC OMNIUM DO BRASIL LTDA</t>
        </is>
      </c>
      <c r="F10516" s="30" t="inlineStr">
        <is>
          <t>2021</t>
        </is>
      </c>
      <c r="G10516" s="40" t="n">
        <v>36205125.47</v>
      </c>
    </row>
    <row r="10517" ht="12" customHeight="1">
      <c r="A10517" s="30" t="inlineStr">
        <is>
          <t>POR</t>
        </is>
      </c>
      <c r="B10517" s="30" t="inlineStr">
        <is>
          <t>Porto Real</t>
        </is>
      </c>
      <c r="C10517" s="30" t="n">
        <v>78024623</v>
      </c>
      <c r="D10517" s="30">
        <f>"02645941000450"</f>
        <v/>
      </c>
      <c r="E10517" s="30" t="inlineStr">
        <is>
          <t>PLASTIC OMNIUM DO BRASIL LTDA</t>
        </is>
      </c>
      <c r="F10517" s="30" t="inlineStr">
        <is>
          <t>2022</t>
        </is>
      </c>
      <c r="G10517" s="40" t="n">
        <v>37819935.79</v>
      </c>
    </row>
    <row r="10518" ht="12" customHeight="1">
      <c r="A10518" s="30" t="inlineStr">
        <is>
          <t>POR</t>
        </is>
      </c>
      <c r="B10518" s="30" t="inlineStr">
        <is>
          <t>Porto Real</t>
        </is>
      </c>
      <c r="C10518" s="30" t="n">
        <v>78024623</v>
      </c>
      <c r="D10518" s="30">
        <f>"02645941000450"</f>
        <v/>
      </c>
      <c r="E10518" s="30" t="inlineStr">
        <is>
          <t>PLASTIC OMNIUM DO BRASIL LTDA</t>
        </is>
      </c>
      <c r="F10518" s="30" t="inlineStr">
        <is>
          <t>2023</t>
        </is>
      </c>
      <c r="G10518" s="40" t="n">
        <v>31128707.31</v>
      </c>
    </row>
    <row r="10519" ht="12" customHeight="1">
      <c r="A10519" s="30" t="inlineStr">
        <is>
          <t>POR</t>
        </is>
      </c>
      <c r="B10519" s="30" t="inlineStr">
        <is>
          <t>Porto Real</t>
        </is>
      </c>
      <c r="C10519" s="30" t="n">
        <v>78030844</v>
      </c>
      <c r="D10519" s="30">
        <f>"07714104000107"</f>
        <v/>
      </c>
      <c r="E10519" s="30" t="inlineStr">
        <is>
          <t>VM OPENLINK COMUNICAÇÃO MULTIMIDIA S.A.</t>
        </is>
      </c>
      <c r="F10519" s="30" t="inlineStr">
        <is>
          <t>2018</t>
        </is>
      </c>
      <c r="G10519" s="40" t="n">
        <v>0</v>
      </c>
    </row>
    <row r="10520" ht="12" customHeight="1">
      <c r="A10520" s="30" t="inlineStr">
        <is>
          <t>POR</t>
        </is>
      </c>
      <c r="B10520" s="30" t="inlineStr">
        <is>
          <t>Porto Real</t>
        </is>
      </c>
      <c r="C10520" s="30" t="n">
        <v>78030844</v>
      </c>
      <c r="D10520" s="30">
        <f>"07714104000107"</f>
        <v/>
      </c>
      <c r="E10520" s="30" t="inlineStr">
        <is>
          <t>VM OPENLINK COMUNICAÇÃO MULTIMIDIA S.A.</t>
        </is>
      </c>
      <c r="F10520" s="30" t="inlineStr">
        <is>
          <t>2019</t>
        </is>
      </c>
      <c r="G10520" s="40" t="n">
        <v>0</v>
      </c>
    </row>
    <row r="10521" ht="12" customHeight="1">
      <c r="A10521" s="30" t="inlineStr">
        <is>
          <t>POR</t>
        </is>
      </c>
      <c r="B10521" s="30" t="inlineStr">
        <is>
          <t>Porto Real</t>
        </is>
      </c>
      <c r="C10521" s="30" t="n">
        <v>78030844</v>
      </c>
      <c r="D10521" s="30">
        <f>"07714104000107"</f>
        <v/>
      </c>
      <c r="E10521" s="30" t="inlineStr">
        <is>
          <t>VM OPENLINK COMUNICAÇÃO MULTIMIDIA S.A.</t>
        </is>
      </c>
      <c r="F10521" s="30" t="inlineStr">
        <is>
          <t>2020</t>
        </is>
      </c>
      <c r="G10521" s="40" t="n">
        <v>189317.08</v>
      </c>
    </row>
    <row r="10522" ht="12" customHeight="1">
      <c r="A10522" s="30" t="inlineStr">
        <is>
          <t>POR</t>
        </is>
      </c>
      <c r="B10522" s="30" t="inlineStr">
        <is>
          <t>Porto Real</t>
        </is>
      </c>
      <c r="C10522" s="30" t="n">
        <v>78030844</v>
      </c>
      <c r="D10522" s="30">
        <f>"07714104000107"</f>
        <v/>
      </c>
      <c r="E10522" s="30" t="inlineStr">
        <is>
          <t>VM OPENLINK COMUNICAÇÃO MULTIMIDIA S.A.</t>
        </is>
      </c>
      <c r="F10522" s="30" t="inlineStr">
        <is>
          <t>2021</t>
        </is>
      </c>
      <c r="G10522" s="40" t="n">
        <v>448703.27</v>
      </c>
    </row>
    <row r="10523" ht="12" customHeight="1">
      <c r="A10523" s="30" t="inlineStr">
        <is>
          <t>POR</t>
        </is>
      </c>
      <c r="B10523" s="30" t="inlineStr">
        <is>
          <t>Porto Real</t>
        </is>
      </c>
      <c r="C10523" s="30" t="n">
        <v>78030844</v>
      </c>
      <c r="D10523" s="30">
        <f>"07714104000107"</f>
        <v/>
      </c>
      <c r="E10523" s="30" t="inlineStr">
        <is>
          <t>VM OPENLINK COMUNICAÇÃO MULTIMIDIA S.A.</t>
        </is>
      </c>
      <c r="F10523" s="30" t="inlineStr">
        <is>
          <t>2022</t>
        </is>
      </c>
      <c r="G10523" s="40" t="n">
        <v>510008.56</v>
      </c>
    </row>
    <row r="10524" ht="12" customHeight="1">
      <c r="A10524" s="30" t="inlineStr">
        <is>
          <t>POR</t>
        </is>
      </c>
      <c r="B10524" s="30" t="inlineStr">
        <is>
          <t>Porto Real</t>
        </is>
      </c>
      <c r="C10524" s="30" t="n">
        <v>78030844</v>
      </c>
      <c r="D10524" s="30">
        <f>"07714104000107"</f>
        <v/>
      </c>
      <c r="E10524" s="30" t="inlineStr">
        <is>
          <t>VM OPENLINK COMUNICAÇÃO MULTIMIDIA S.A.</t>
        </is>
      </c>
      <c r="F10524" s="30" t="inlineStr">
        <is>
          <t>2023</t>
        </is>
      </c>
      <c r="G10524" s="40" t="n">
        <v>552610.02</v>
      </c>
    </row>
    <row r="10525" ht="12" customHeight="1">
      <c r="A10525" s="30" t="inlineStr">
        <is>
          <t>POR</t>
        </is>
      </c>
      <c r="B10525" s="30" t="inlineStr">
        <is>
          <t>Porto Real</t>
        </is>
      </c>
      <c r="C10525" s="30" t="n">
        <v>78041293</v>
      </c>
      <c r="D10525" s="30">
        <f>"07031916000581"</f>
        <v/>
      </c>
      <c r="E10525" s="30" t="inlineStr">
        <is>
          <t>VIA LACTEOS TRANSPORTES - EIRELI</t>
        </is>
      </c>
      <c r="F10525" s="30" t="inlineStr">
        <is>
          <t>2020</t>
        </is>
      </c>
      <c r="G10525" s="40" t="n">
        <v>0</v>
      </c>
    </row>
    <row r="10526" ht="12" customHeight="1">
      <c r="A10526" s="30" t="inlineStr">
        <is>
          <t>POR</t>
        </is>
      </c>
      <c r="B10526" s="30" t="inlineStr">
        <is>
          <t>Porto Real</t>
        </is>
      </c>
      <c r="C10526" s="30" t="n">
        <v>78041293</v>
      </c>
      <c r="D10526" s="30">
        <f>"07031916000581"</f>
        <v/>
      </c>
      <c r="E10526" s="30" t="inlineStr">
        <is>
          <t>VIA LACTEOS TRANSPORTES - EIRELI</t>
        </is>
      </c>
      <c r="F10526" s="30" t="inlineStr">
        <is>
          <t>2021</t>
        </is>
      </c>
      <c r="G10526" s="40" t="n">
        <v>0</v>
      </c>
    </row>
    <row r="10527" ht="12" customHeight="1">
      <c r="A10527" s="30" t="inlineStr">
        <is>
          <t>POR</t>
        </is>
      </c>
      <c r="B10527" s="30" t="inlineStr">
        <is>
          <t>Porto Real</t>
        </is>
      </c>
      <c r="C10527" s="30" t="n">
        <v>78041293</v>
      </c>
      <c r="D10527" s="30">
        <f>"07031916000581"</f>
        <v/>
      </c>
      <c r="E10527" s="30" t="inlineStr">
        <is>
          <t>VIA LACTEOS TRANSPORTES - EIRELI</t>
        </is>
      </c>
      <c r="F10527" s="30" t="inlineStr">
        <is>
          <t>2022</t>
        </is>
      </c>
      <c r="G10527" s="40" t="n">
        <v>660</v>
      </c>
    </row>
    <row r="10528" ht="12" customHeight="1">
      <c r="A10528" s="30" t="inlineStr">
        <is>
          <t>POR</t>
        </is>
      </c>
      <c r="B10528" s="30" t="inlineStr">
        <is>
          <t>Porto Real</t>
        </is>
      </c>
      <c r="C10528" s="30" t="n">
        <v>78041293</v>
      </c>
      <c r="D10528" s="30">
        <f>"07031916000581"</f>
        <v/>
      </c>
      <c r="E10528" s="30" t="inlineStr">
        <is>
          <t>VIA LACTEOS TRANSPORTES - EIRELI</t>
        </is>
      </c>
      <c r="F10528" s="30" t="inlineStr">
        <is>
          <t>2023</t>
        </is>
      </c>
      <c r="G10528" s="40" t="n">
        <v>0</v>
      </c>
    </row>
    <row r="10529" ht="12" customHeight="1">
      <c r="A10529" s="30" t="inlineStr">
        <is>
          <t>POR</t>
        </is>
      </c>
      <c r="B10529" s="30" t="inlineStr">
        <is>
          <t>Porto Real</t>
        </is>
      </c>
      <c r="C10529" s="30" t="n">
        <v>78107944</v>
      </c>
      <c r="D10529" s="30">
        <f>"04425426000229"</f>
        <v/>
      </c>
      <c r="E10529" s="30" t="inlineStr">
        <is>
          <t>RADIO E TELEVISAO MODELO PAULISTA</t>
        </is>
      </c>
      <c r="F10529" s="30" t="inlineStr">
        <is>
          <t>2017</t>
        </is>
      </c>
      <c r="G10529" s="40" t="n">
        <v>4559.11</v>
      </c>
    </row>
    <row r="10530" ht="12" customHeight="1">
      <c r="A10530" s="30" t="inlineStr">
        <is>
          <t>POR</t>
        </is>
      </c>
      <c r="B10530" s="30" t="inlineStr">
        <is>
          <t>Porto Real</t>
        </is>
      </c>
      <c r="C10530" s="30" t="n">
        <v>78107944</v>
      </c>
      <c r="D10530" s="30">
        <f>"04425426000229"</f>
        <v/>
      </c>
      <c r="E10530" s="30" t="inlineStr">
        <is>
          <t>RADIO E TELEVISAO MODELO PAULISTA</t>
        </is>
      </c>
      <c r="F10530" s="30" t="inlineStr">
        <is>
          <t>2018</t>
        </is>
      </c>
      <c r="G10530" s="40" t="n">
        <v>3028.42</v>
      </c>
    </row>
    <row r="10531" ht="12" customHeight="1">
      <c r="A10531" s="30" t="inlineStr">
        <is>
          <t>POR</t>
        </is>
      </c>
      <c r="B10531" s="30" t="inlineStr">
        <is>
          <t>Porto Real</t>
        </is>
      </c>
      <c r="C10531" s="30" t="n">
        <v>78107944</v>
      </c>
      <c r="D10531" s="30">
        <f>"04425426000229"</f>
        <v/>
      </c>
      <c r="E10531" s="30" t="inlineStr">
        <is>
          <t>RADIO E TELEVISAO MODELO PAULISTA</t>
        </is>
      </c>
      <c r="F10531" s="30" t="inlineStr">
        <is>
          <t>2019</t>
        </is>
      </c>
      <c r="G10531" s="40" t="n">
        <v>4335.67</v>
      </c>
    </row>
    <row r="10532" ht="12" customHeight="1">
      <c r="A10532" s="30" t="inlineStr">
        <is>
          <t>POR</t>
        </is>
      </c>
      <c r="B10532" s="30" t="inlineStr">
        <is>
          <t>Porto Real</t>
        </is>
      </c>
      <c r="C10532" s="30" t="n">
        <v>78107944</v>
      </c>
      <c r="D10532" s="30">
        <f>"04425426000229"</f>
        <v/>
      </c>
      <c r="E10532" s="30" t="inlineStr">
        <is>
          <t>RADIO E TELEVISAO MODELO PAULISTA</t>
        </is>
      </c>
      <c r="F10532" s="30" t="inlineStr">
        <is>
          <t>2020</t>
        </is>
      </c>
      <c r="G10532" s="40" t="n">
        <v>2466.7</v>
      </c>
    </row>
    <row r="10533" ht="12" customHeight="1">
      <c r="A10533" s="30" t="inlineStr">
        <is>
          <t>POR</t>
        </is>
      </c>
      <c r="B10533" s="30" t="inlineStr">
        <is>
          <t>Porto Real</t>
        </is>
      </c>
      <c r="C10533" s="30" t="n">
        <v>78107944</v>
      </c>
      <c r="D10533" s="30">
        <f>"04425426000229"</f>
        <v/>
      </c>
      <c r="E10533" s="30" t="inlineStr">
        <is>
          <t>RADIO E TELEVISAO MODELO PAULISTA</t>
        </is>
      </c>
      <c r="F10533" s="30" t="inlineStr">
        <is>
          <t>2021</t>
        </is>
      </c>
      <c r="G10533" s="40" t="n">
        <v>965.28</v>
      </c>
    </row>
    <row r="10534" ht="12" customHeight="1">
      <c r="A10534" s="30" t="inlineStr">
        <is>
          <t>POR</t>
        </is>
      </c>
      <c r="B10534" s="30" t="inlineStr">
        <is>
          <t>Porto Real</t>
        </is>
      </c>
      <c r="C10534" s="30" t="n">
        <v>78107944</v>
      </c>
      <c r="D10534" s="30">
        <f>"04425426000229"</f>
        <v/>
      </c>
      <c r="E10534" s="30" t="inlineStr">
        <is>
          <t>RADIO E TELEVISAO MODELO PAULISTA</t>
        </is>
      </c>
      <c r="F10534" s="30" t="inlineStr">
        <is>
          <t>2022</t>
        </is>
      </c>
      <c r="G10534" s="40" t="n">
        <v>708.25</v>
      </c>
    </row>
    <row r="10535" ht="12" customHeight="1">
      <c r="A10535" s="30" t="inlineStr">
        <is>
          <t>POR</t>
        </is>
      </c>
      <c r="B10535" s="30" t="inlineStr">
        <is>
          <t>Porto Real</t>
        </is>
      </c>
      <c r="C10535" s="30" t="n">
        <v>78107944</v>
      </c>
      <c r="D10535" s="30">
        <f>"04425426000229"</f>
        <v/>
      </c>
      <c r="E10535" s="30" t="inlineStr">
        <is>
          <t>RADIO E TELEVISAO MODELO PAULISTA</t>
        </is>
      </c>
      <c r="F10535" s="30" t="inlineStr">
        <is>
          <t>2023</t>
        </is>
      </c>
      <c r="G10535" s="40" t="n">
        <v>546.6</v>
      </c>
    </row>
    <row r="10536" ht="12" customHeight="1">
      <c r="A10536" s="30" t="inlineStr">
        <is>
          <t>POR</t>
        </is>
      </c>
      <c r="B10536" s="30" t="inlineStr">
        <is>
          <t>Porto Real</t>
        </is>
      </c>
      <c r="C10536" s="30" t="n">
        <v>78118814</v>
      </c>
      <c r="D10536" s="30">
        <f>"05822091000245"</f>
        <v/>
      </c>
      <c r="E10536" s="30" t="inlineStr">
        <is>
          <t>RESTAURANTE TREM AZUL DE PENEDO LTDA ME</t>
        </is>
      </c>
      <c r="F10536" s="30" t="inlineStr">
        <is>
          <t>2017</t>
        </is>
      </c>
      <c r="G10536" s="40" t="n">
        <v>0</v>
      </c>
    </row>
    <row r="10537" ht="12" customHeight="1">
      <c r="A10537" s="30" t="inlineStr">
        <is>
          <t>POR</t>
        </is>
      </c>
      <c r="B10537" s="30" t="inlineStr">
        <is>
          <t>Porto Real</t>
        </is>
      </c>
      <c r="C10537" s="30" t="n">
        <v>78118814</v>
      </c>
      <c r="D10537" s="30">
        <f>"05822091000245"</f>
        <v/>
      </c>
      <c r="E10537" s="30" t="inlineStr">
        <is>
          <t>RESTAURANTE TREM AZUL DE PENEDO LTDA ME</t>
        </is>
      </c>
      <c r="F10537" s="30" t="inlineStr">
        <is>
          <t>2018</t>
        </is>
      </c>
      <c r="G10537" s="40" t="n">
        <v>0</v>
      </c>
    </row>
    <row r="10538" ht="12" customHeight="1">
      <c r="A10538" s="30" t="inlineStr">
        <is>
          <t>POR</t>
        </is>
      </c>
      <c r="B10538" s="30" t="inlineStr">
        <is>
          <t>Porto Real</t>
        </is>
      </c>
      <c r="C10538" s="30" t="n">
        <v>78118814</v>
      </c>
      <c r="D10538" s="30">
        <f>"05822091000245"</f>
        <v/>
      </c>
      <c r="E10538" s="30" t="inlineStr">
        <is>
          <t>RESTAURANTE TREM AZUL DE PENEDO LTDA ME</t>
        </is>
      </c>
      <c r="F10538" s="30" t="inlineStr">
        <is>
          <t>2019</t>
        </is>
      </c>
      <c r="G10538" s="40" t="n">
        <v>0</v>
      </c>
    </row>
    <row r="10539" ht="12" customHeight="1">
      <c r="A10539" s="30" t="inlineStr">
        <is>
          <t>POR</t>
        </is>
      </c>
      <c r="B10539" s="30" t="inlineStr">
        <is>
          <t>Porto Real</t>
        </is>
      </c>
      <c r="C10539" s="30" t="n">
        <v>78118814</v>
      </c>
      <c r="D10539" s="30">
        <f>"05822091000245"</f>
        <v/>
      </c>
      <c r="E10539" s="30" t="inlineStr">
        <is>
          <t>RESTAURANTE TREM AZUL DE PENEDO LTDA ME</t>
        </is>
      </c>
      <c r="F10539" s="30" t="inlineStr">
        <is>
          <t>2020</t>
        </is>
      </c>
      <c r="G10539" s="40" t="n">
        <v>0</v>
      </c>
    </row>
    <row r="10540" ht="12" customHeight="1">
      <c r="A10540" s="30" t="inlineStr">
        <is>
          <t>POR</t>
        </is>
      </c>
      <c r="B10540" s="30" t="inlineStr">
        <is>
          <t>Porto Real</t>
        </is>
      </c>
      <c r="C10540" s="30" t="n">
        <v>78118814</v>
      </c>
      <c r="D10540" s="30">
        <f>"05822091000245"</f>
        <v/>
      </c>
      <c r="E10540" s="30" t="inlineStr">
        <is>
          <t>RESTAURANTE TREM AZUL DE PENEDO LTDA ME</t>
        </is>
      </c>
      <c r="F10540" s="30" t="inlineStr">
        <is>
          <t>2021</t>
        </is>
      </c>
      <c r="G10540" s="40" t="n">
        <v>0</v>
      </c>
    </row>
    <row r="10541" ht="12" customHeight="1">
      <c r="A10541" s="30" t="inlineStr">
        <is>
          <t>POR</t>
        </is>
      </c>
      <c r="B10541" s="30" t="inlineStr">
        <is>
          <t>Porto Real</t>
        </is>
      </c>
      <c r="C10541" s="30" t="n">
        <v>78118814</v>
      </c>
      <c r="D10541" s="30">
        <f>"05822091000245"</f>
        <v/>
      </c>
      <c r="E10541" s="30" t="inlineStr">
        <is>
          <t>RESTAURANTE TREM AZUL DE PENEDO LTDA ME</t>
        </is>
      </c>
      <c r="F10541" s="30" t="inlineStr">
        <is>
          <t>2022</t>
        </is>
      </c>
      <c r="G10541" s="40" t="n">
        <v>0</v>
      </c>
    </row>
    <row r="10542" ht="12" customHeight="1">
      <c r="A10542" s="30" t="inlineStr">
        <is>
          <t>POR</t>
        </is>
      </c>
      <c r="B10542" s="30" t="inlineStr">
        <is>
          <t>Porto Real</t>
        </is>
      </c>
      <c r="C10542" s="30" t="n">
        <v>78138220</v>
      </c>
      <c r="D10542" s="30">
        <f>"88668298003179"</f>
        <v/>
      </c>
      <c r="E10542" s="30" t="inlineStr">
        <is>
          <t>IRAPURU TRANSPORTES LTDA</t>
        </is>
      </c>
      <c r="F10542" s="30" t="inlineStr">
        <is>
          <t>2017</t>
        </is>
      </c>
      <c r="G10542" s="40" t="n">
        <v>121194.96</v>
      </c>
    </row>
    <row r="10543" ht="12" customHeight="1">
      <c r="A10543" s="30" t="inlineStr">
        <is>
          <t>POR</t>
        </is>
      </c>
      <c r="B10543" s="30" t="inlineStr">
        <is>
          <t>Porto Real</t>
        </is>
      </c>
      <c r="C10543" s="30" t="n">
        <v>78138220</v>
      </c>
      <c r="D10543" s="30">
        <f>"88668298003179"</f>
        <v/>
      </c>
      <c r="E10543" s="30" t="inlineStr">
        <is>
          <t>IRAPURU TRANSPORTES LTDA</t>
        </is>
      </c>
      <c r="F10543" s="30" t="inlineStr">
        <is>
          <t>2018</t>
        </is>
      </c>
      <c r="G10543" s="40" t="n">
        <v>245526.72</v>
      </c>
    </row>
    <row r="10544" ht="12" customHeight="1">
      <c r="A10544" s="30" t="inlineStr">
        <is>
          <t>POR</t>
        </is>
      </c>
      <c r="B10544" s="30" t="inlineStr">
        <is>
          <t>Porto Real</t>
        </is>
      </c>
      <c r="C10544" s="30" t="n">
        <v>78138220</v>
      </c>
      <c r="D10544" s="30">
        <f>"88668298003179"</f>
        <v/>
      </c>
      <c r="E10544" s="30" t="inlineStr">
        <is>
          <t>IRAPURU TRANSPORTES LTDA</t>
        </is>
      </c>
      <c r="F10544" s="30" t="inlineStr">
        <is>
          <t>2019</t>
        </is>
      </c>
      <c r="G10544" s="40" t="n">
        <v>199004.06</v>
      </c>
    </row>
    <row r="10545" ht="12" customHeight="1">
      <c r="A10545" s="30" t="inlineStr">
        <is>
          <t>POR</t>
        </is>
      </c>
      <c r="B10545" s="30" t="inlineStr">
        <is>
          <t>Porto Real</t>
        </is>
      </c>
      <c r="C10545" s="30" t="n">
        <v>78138220</v>
      </c>
      <c r="D10545" s="30">
        <f>"88668298003179"</f>
        <v/>
      </c>
      <c r="E10545" s="30" t="inlineStr">
        <is>
          <t>IRAPURU TRANSPORTES LTDA</t>
        </is>
      </c>
      <c r="F10545" s="30" t="inlineStr">
        <is>
          <t>2020</t>
        </is>
      </c>
      <c r="G10545" s="40" t="n">
        <v>97460.37</v>
      </c>
    </row>
    <row r="10546" ht="12" customHeight="1">
      <c r="A10546" s="30" t="inlineStr">
        <is>
          <t>POR</t>
        </is>
      </c>
      <c r="B10546" s="30" t="inlineStr">
        <is>
          <t>Porto Real</t>
        </is>
      </c>
      <c r="C10546" s="30" t="n">
        <v>78138220</v>
      </c>
      <c r="D10546" s="30">
        <f>"88668298003179"</f>
        <v/>
      </c>
      <c r="E10546" s="30" t="inlineStr">
        <is>
          <t>IRAPURU TRANSPORTES LTDA</t>
        </is>
      </c>
      <c r="F10546" s="30" t="inlineStr">
        <is>
          <t>2021</t>
        </is>
      </c>
      <c r="G10546" s="40" t="n">
        <v>80444.08</v>
      </c>
    </row>
    <row r="10547" ht="12" customHeight="1">
      <c r="A10547" s="30" t="inlineStr">
        <is>
          <t>POR</t>
        </is>
      </c>
      <c r="B10547" s="30" t="inlineStr">
        <is>
          <t>Porto Real</t>
        </is>
      </c>
      <c r="C10547" s="30" t="n">
        <v>78138220</v>
      </c>
      <c r="D10547" s="30">
        <f>"88668298003179"</f>
        <v/>
      </c>
      <c r="E10547" s="30" t="inlineStr">
        <is>
          <t>IRAPURU TRANSPORTES LTDA</t>
        </is>
      </c>
      <c r="F10547" s="30" t="inlineStr">
        <is>
          <t>2022</t>
        </is>
      </c>
      <c r="G10547" s="40" t="n">
        <v>118268.69</v>
      </c>
    </row>
    <row r="10548" ht="12" customHeight="1">
      <c r="A10548" s="30" t="inlineStr">
        <is>
          <t>POR</t>
        </is>
      </c>
      <c r="B10548" s="30" t="inlineStr">
        <is>
          <t>Porto Real</t>
        </is>
      </c>
      <c r="C10548" s="30" t="n">
        <v>78138220</v>
      </c>
      <c r="D10548" s="30">
        <f>"88668298003179"</f>
        <v/>
      </c>
      <c r="E10548" s="30" t="inlineStr">
        <is>
          <t>IRAPURU TRANSPORTES LTDA</t>
        </is>
      </c>
      <c r="F10548" s="30" t="inlineStr">
        <is>
          <t>2023</t>
        </is>
      </c>
      <c r="G10548" s="40" t="n">
        <v>0</v>
      </c>
    </row>
    <row r="10549" ht="12" customHeight="1">
      <c r="A10549" s="30" t="inlineStr">
        <is>
          <t>POR</t>
        </is>
      </c>
      <c r="B10549" s="30" t="inlineStr">
        <is>
          <t>Porto Real</t>
        </is>
      </c>
      <c r="C10549" s="30" t="n">
        <v>78139587</v>
      </c>
      <c r="D10549" s="30">
        <f>"26178616000302"</f>
        <v/>
      </c>
      <c r="E10549" s="30" t="inlineStr">
        <is>
          <t>EMPREENDIMENTOS RODEIRO S/A</t>
        </is>
      </c>
      <c r="F10549" s="30" t="inlineStr">
        <is>
          <t>2017</t>
        </is>
      </c>
      <c r="G10549" s="40" t="n">
        <v>0</v>
      </c>
    </row>
    <row r="10550" ht="12" customHeight="1">
      <c r="A10550" s="30" t="inlineStr">
        <is>
          <t>POR</t>
        </is>
      </c>
      <c r="B10550" s="30" t="inlineStr">
        <is>
          <t>Porto Real</t>
        </is>
      </c>
      <c r="C10550" s="30" t="n">
        <v>78139587</v>
      </c>
      <c r="D10550" s="30">
        <f>"26178616000302"</f>
        <v/>
      </c>
      <c r="E10550" s="30" t="inlineStr">
        <is>
          <t>EMPREENDIMENTOS RODEIRO S/A</t>
        </is>
      </c>
      <c r="F10550" s="30" t="inlineStr">
        <is>
          <t>2018</t>
        </is>
      </c>
      <c r="G10550" s="40" t="n">
        <v>50146.22</v>
      </c>
    </row>
    <row r="10551" ht="12" customHeight="1">
      <c r="A10551" s="30" t="inlineStr">
        <is>
          <t>POR</t>
        </is>
      </c>
      <c r="B10551" s="30" t="inlineStr">
        <is>
          <t>Porto Real</t>
        </is>
      </c>
      <c r="C10551" s="30" t="n">
        <v>78139587</v>
      </c>
      <c r="D10551" s="30">
        <f>"26178616000302"</f>
        <v/>
      </c>
      <c r="E10551" s="30" t="inlineStr">
        <is>
          <t>EMPREENDIMENTOS RODEIRO S/A</t>
        </is>
      </c>
      <c r="F10551" s="30" t="inlineStr">
        <is>
          <t>2019</t>
        </is>
      </c>
      <c r="G10551" s="40" t="n">
        <v>16193.31</v>
      </c>
    </row>
    <row r="10552" ht="12" customHeight="1">
      <c r="A10552" s="30" t="inlineStr">
        <is>
          <t>POR</t>
        </is>
      </c>
      <c r="B10552" s="30" t="inlineStr">
        <is>
          <t>Porto Real</t>
        </is>
      </c>
      <c r="C10552" s="30" t="n">
        <v>78139587</v>
      </c>
      <c r="D10552" s="30">
        <f>"26178616000302"</f>
        <v/>
      </c>
      <c r="E10552" s="30" t="inlineStr">
        <is>
          <t>EMPREENDIMENTOS RODEIRO S/A</t>
        </is>
      </c>
      <c r="F10552" s="30" t="inlineStr">
        <is>
          <t>2020</t>
        </is>
      </c>
      <c r="G10552" s="40" t="n">
        <v>37991.81</v>
      </c>
    </row>
    <row r="10553" ht="12" customHeight="1">
      <c r="A10553" s="30" t="inlineStr">
        <is>
          <t>POR</t>
        </is>
      </c>
      <c r="B10553" s="30" t="inlineStr">
        <is>
          <t>Porto Real</t>
        </is>
      </c>
      <c r="C10553" s="30" t="n">
        <v>78139587</v>
      </c>
      <c r="D10553" s="30">
        <f>"26178616000302"</f>
        <v/>
      </c>
      <c r="E10553" s="30" t="inlineStr">
        <is>
          <t>EMPREENDIMENTOS RODEIRO S/A</t>
        </is>
      </c>
      <c r="F10553" s="30" t="inlineStr">
        <is>
          <t>2021</t>
        </is>
      </c>
      <c r="G10553" s="40" t="n">
        <v>41082.19</v>
      </c>
    </row>
    <row r="10554" ht="12" customHeight="1">
      <c r="A10554" s="30" t="inlineStr">
        <is>
          <t>POR</t>
        </is>
      </c>
      <c r="B10554" s="30" t="inlineStr">
        <is>
          <t>Porto Real</t>
        </is>
      </c>
      <c r="C10554" s="30" t="n">
        <v>78139587</v>
      </c>
      <c r="D10554" s="30">
        <f>"26178616000302"</f>
        <v/>
      </c>
      <c r="E10554" s="30" t="inlineStr">
        <is>
          <t>EMPREENDIMENTOS RODEIRO S/A</t>
        </is>
      </c>
      <c r="F10554" s="30" t="inlineStr">
        <is>
          <t>2022</t>
        </is>
      </c>
      <c r="G10554" s="40" t="n">
        <v>57009.45</v>
      </c>
    </row>
    <row r="10555" ht="12" customHeight="1">
      <c r="A10555" s="30" t="inlineStr">
        <is>
          <t>POR</t>
        </is>
      </c>
      <c r="B10555" s="30" t="inlineStr">
        <is>
          <t>Porto Real</t>
        </is>
      </c>
      <c r="C10555" s="30" t="n">
        <v>78139587</v>
      </c>
      <c r="D10555" s="30">
        <f>"26178616000302"</f>
        <v/>
      </c>
      <c r="E10555" s="30" t="inlineStr">
        <is>
          <t>EMPREENDIMENTOS RODEIRO S/A</t>
        </is>
      </c>
      <c r="F10555" s="30" t="inlineStr">
        <is>
          <t>2023</t>
        </is>
      </c>
      <c r="G10555" s="40" t="n">
        <v>100816.5</v>
      </c>
    </row>
    <row r="10556" ht="12" customHeight="1">
      <c r="A10556" s="30" t="inlineStr">
        <is>
          <t>POR</t>
        </is>
      </c>
      <c r="B10556" s="30" t="inlineStr">
        <is>
          <t>Porto Real</t>
        </is>
      </c>
      <c r="C10556" s="30" t="n">
        <v>78145528</v>
      </c>
      <c r="D10556" s="30">
        <f>"08186591000145"</f>
        <v/>
      </c>
      <c r="E10556" s="30" t="inlineStr">
        <is>
          <t>GIANNONE TRANSPORTES LTDA</t>
        </is>
      </c>
      <c r="F10556" s="30" t="inlineStr">
        <is>
          <t>2019</t>
        </is>
      </c>
      <c r="G10556" s="40" t="n">
        <v>0</v>
      </c>
    </row>
    <row r="10557" ht="12" customHeight="1">
      <c r="A10557" s="30" t="inlineStr">
        <is>
          <t>POR</t>
        </is>
      </c>
      <c r="B10557" s="30" t="inlineStr">
        <is>
          <t>Porto Real</t>
        </is>
      </c>
      <c r="C10557" s="30" t="n">
        <v>78145528</v>
      </c>
      <c r="D10557" s="30">
        <f>"08186591000145"</f>
        <v/>
      </c>
      <c r="E10557" s="30" t="inlineStr">
        <is>
          <t>GIANNONE TRANSPORTES LTDA</t>
        </is>
      </c>
      <c r="F10557" s="30" t="inlineStr">
        <is>
          <t>2020</t>
        </is>
      </c>
      <c r="G10557" s="40" t="n">
        <v>0</v>
      </c>
    </row>
    <row r="10558" ht="12" customHeight="1">
      <c r="A10558" s="30" t="inlineStr">
        <is>
          <t>POR</t>
        </is>
      </c>
      <c r="B10558" s="30" t="inlineStr">
        <is>
          <t>Porto Real</t>
        </is>
      </c>
      <c r="C10558" s="30" t="n">
        <v>78145528</v>
      </c>
      <c r="D10558" s="30">
        <f>"08186591000145"</f>
        <v/>
      </c>
      <c r="E10558" s="30" t="inlineStr">
        <is>
          <t>GIANNONE TRANSPORTES LTDA</t>
        </is>
      </c>
      <c r="F10558" s="30" t="inlineStr">
        <is>
          <t>2021</t>
        </is>
      </c>
      <c r="G10558" s="40" t="n">
        <v>107.9</v>
      </c>
    </row>
    <row r="10559" ht="12" customHeight="1">
      <c r="A10559" s="30" t="inlineStr">
        <is>
          <t>POR</t>
        </is>
      </c>
      <c r="B10559" s="30" t="inlineStr">
        <is>
          <t>Porto Real</t>
        </is>
      </c>
      <c r="C10559" s="30" t="n">
        <v>78145528</v>
      </c>
      <c r="D10559" s="30">
        <f>"08186591000145"</f>
        <v/>
      </c>
      <c r="E10559" s="30" t="inlineStr">
        <is>
          <t>GIANNONE TRANSPORTES LTDA</t>
        </is>
      </c>
      <c r="F10559" s="30" t="inlineStr">
        <is>
          <t>2022</t>
        </is>
      </c>
      <c r="G10559" s="40" t="n">
        <v>0</v>
      </c>
    </row>
    <row r="10560" ht="12" customHeight="1">
      <c r="A10560" s="30" t="inlineStr">
        <is>
          <t>POR</t>
        </is>
      </c>
      <c r="B10560" s="30" t="inlineStr">
        <is>
          <t>Porto Real</t>
        </is>
      </c>
      <c r="C10560" s="30" t="n">
        <v>78145528</v>
      </c>
      <c r="D10560" s="30">
        <f>"08186591000145"</f>
        <v/>
      </c>
      <c r="E10560" s="30" t="inlineStr">
        <is>
          <t>GIANNONE TRANSPORTES LTDA</t>
        </is>
      </c>
      <c r="F10560" s="30" t="inlineStr">
        <is>
          <t>2023</t>
        </is>
      </c>
      <c r="G10560" s="40" t="n">
        <v>0</v>
      </c>
    </row>
    <row r="10561" ht="12" customHeight="1">
      <c r="A10561" s="30" t="inlineStr">
        <is>
          <t>POR</t>
        </is>
      </c>
      <c r="B10561" s="30" t="inlineStr">
        <is>
          <t>Porto Real</t>
        </is>
      </c>
      <c r="C10561" s="30" t="n">
        <v>78156872</v>
      </c>
      <c r="D10561" s="30">
        <f>"73939449000940"</f>
        <v/>
      </c>
      <c r="E10561" s="30" t="inlineStr">
        <is>
          <t>TEX COURIER LTDA EM RECUPERACAO JUDICIAL</t>
        </is>
      </c>
      <c r="F10561" s="30" t="inlineStr">
        <is>
          <t>2018</t>
        </is>
      </c>
      <c r="G10561" s="40" t="n">
        <v>0</v>
      </c>
    </row>
    <row r="10562" ht="12" customHeight="1">
      <c r="A10562" s="30" t="inlineStr">
        <is>
          <t>POR</t>
        </is>
      </c>
      <c r="B10562" s="30" t="inlineStr">
        <is>
          <t>Porto Real</t>
        </is>
      </c>
      <c r="C10562" s="30" t="n">
        <v>78156872</v>
      </c>
      <c r="D10562" s="30">
        <f>"73939449000940"</f>
        <v/>
      </c>
      <c r="E10562" s="30" t="inlineStr">
        <is>
          <t>TEX COURIER LTDA EM RECUPERACAO JUDICIAL</t>
        </is>
      </c>
      <c r="F10562" s="30" t="inlineStr">
        <is>
          <t>2019</t>
        </is>
      </c>
      <c r="G10562" s="40" t="n">
        <v>0</v>
      </c>
    </row>
    <row r="10563" ht="12" customHeight="1">
      <c r="A10563" s="30" t="inlineStr">
        <is>
          <t>POR</t>
        </is>
      </c>
      <c r="B10563" s="30" t="inlineStr">
        <is>
          <t>Porto Real</t>
        </is>
      </c>
      <c r="C10563" s="30" t="n">
        <v>78156872</v>
      </c>
      <c r="D10563" s="30">
        <f>"73939449000940"</f>
        <v/>
      </c>
      <c r="E10563" s="30" t="inlineStr">
        <is>
          <t>TEX COURIER LTDA EM RECUPERACAO JUDICIAL</t>
        </is>
      </c>
      <c r="F10563" s="30" t="inlineStr">
        <is>
          <t>2020</t>
        </is>
      </c>
      <c r="G10563" s="40" t="n">
        <v>2971.28</v>
      </c>
    </row>
    <row r="10564" ht="12" customHeight="1">
      <c r="A10564" s="30" t="inlineStr">
        <is>
          <t>POR</t>
        </is>
      </c>
      <c r="B10564" s="30" t="inlineStr">
        <is>
          <t>Porto Real</t>
        </is>
      </c>
      <c r="C10564" s="30" t="n">
        <v>78156872</v>
      </c>
      <c r="D10564" s="30">
        <f>"73939449000940"</f>
        <v/>
      </c>
      <c r="E10564" s="30" t="inlineStr">
        <is>
          <t>TEX COURIER LTDA EM RECUPERACAO JUDICIAL</t>
        </is>
      </c>
      <c r="F10564" s="30" t="inlineStr">
        <is>
          <t>2021</t>
        </is>
      </c>
      <c r="G10564" s="40" t="n">
        <v>0</v>
      </c>
    </row>
    <row r="10565" ht="12" customHeight="1">
      <c r="A10565" s="30" t="inlineStr">
        <is>
          <t>POR</t>
        </is>
      </c>
      <c r="B10565" s="30" t="inlineStr">
        <is>
          <t>Porto Real</t>
        </is>
      </c>
      <c r="C10565" s="30" t="n">
        <v>78156872</v>
      </c>
      <c r="D10565" s="30">
        <f>"73939449000940"</f>
        <v/>
      </c>
      <c r="E10565" s="30" t="inlineStr">
        <is>
          <t>TEX COURIER LTDA EM RECUPERACAO JUDICIAL</t>
        </is>
      </c>
      <c r="F10565" s="30" t="inlineStr">
        <is>
          <t>2022</t>
        </is>
      </c>
      <c r="G10565" s="40" t="n">
        <v>0</v>
      </c>
    </row>
    <row r="10566" ht="12" customHeight="1">
      <c r="A10566" s="30" t="inlineStr">
        <is>
          <t>POR</t>
        </is>
      </c>
      <c r="B10566" s="30" t="inlineStr">
        <is>
          <t>Porto Real</t>
        </is>
      </c>
      <c r="C10566" s="30" t="n">
        <v>78180277</v>
      </c>
      <c r="D10566" s="30">
        <f>"50351014001523"</f>
        <v/>
      </c>
      <c r="E10566" s="30" t="inlineStr">
        <is>
          <t>ITOGRASS AGRICOLA LTDA</t>
        </is>
      </c>
      <c r="F10566" s="30" t="inlineStr">
        <is>
          <t>2017</t>
        </is>
      </c>
      <c r="G10566" s="40" t="n">
        <v>0</v>
      </c>
    </row>
    <row r="10567" ht="12" customHeight="1">
      <c r="A10567" s="30" t="inlineStr">
        <is>
          <t>POR</t>
        </is>
      </c>
      <c r="B10567" s="30" t="inlineStr">
        <is>
          <t>Porto Real</t>
        </is>
      </c>
      <c r="C10567" s="30" t="n">
        <v>78180277</v>
      </c>
      <c r="D10567" s="30">
        <f>"50351014001523"</f>
        <v/>
      </c>
      <c r="E10567" s="30" t="inlineStr">
        <is>
          <t>ITOGRASS AGRICOLA LTDA</t>
        </is>
      </c>
      <c r="F10567" s="30" t="inlineStr">
        <is>
          <t>2018</t>
        </is>
      </c>
      <c r="G10567" s="40" t="n">
        <v>0</v>
      </c>
    </row>
    <row r="10568" ht="12" customHeight="1">
      <c r="A10568" s="30" t="inlineStr">
        <is>
          <t>POR</t>
        </is>
      </c>
      <c r="B10568" s="30" t="inlineStr">
        <is>
          <t>Porto Real</t>
        </is>
      </c>
      <c r="C10568" s="30" t="n">
        <v>78180277</v>
      </c>
      <c r="D10568" s="30">
        <f>"50351014001523"</f>
        <v/>
      </c>
      <c r="E10568" s="30" t="inlineStr">
        <is>
          <t>ITOGRASS AGRICOLA LTDA</t>
        </is>
      </c>
      <c r="F10568" s="30" t="inlineStr">
        <is>
          <t>2019</t>
        </is>
      </c>
      <c r="G10568" s="40" t="n">
        <v>0</v>
      </c>
    </row>
    <row r="10569" ht="12" customHeight="1">
      <c r="A10569" s="30" t="inlineStr">
        <is>
          <t>POR</t>
        </is>
      </c>
      <c r="B10569" s="30" t="inlineStr">
        <is>
          <t>Porto Real</t>
        </is>
      </c>
      <c r="C10569" s="30" t="n">
        <v>78180277</v>
      </c>
      <c r="D10569" s="30">
        <f>"50351014001523"</f>
        <v/>
      </c>
      <c r="E10569" s="30" t="inlineStr">
        <is>
          <t>ITOGRASS AGRICOLA LTDA</t>
        </is>
      </c>
      <c r="F10569" s="30" t="inlineStr">
        <is>
          <t>2020</t>
        </is>
      </c>
      <c r="G10569" s="40" t="n">
        <v>0</v>
      </c>
    </row>
    <row r="10570" ht="12" customHeight="1">
      <c r="A10570" s="30" t="inlineStr">
        <is>
          <t>POR</t>
        </is>
      </c>
      <c r="B10570" s="30" t="inlineStr">
        <is>
          <t>Porto Real</t>
        </is>
      </c>
      <c r="C10570" s="30" t="n">
        <v>78191066</v>
      </c>
      <c r="D10570" s="30">
        <f>"07257228000887"</f>
        <v/>
      </c>
      <c r="E10570" s="30" t="inlineStr">
        <is>
          <t>RODOPLAN TRANSPORTE E PRESTACAO DE SERVICOS EIRELI</t>
        </is>
      </c>
      <c r="F10570" s="30" t="inlineStr">
        <is>
          <t>2017</t>
        </is>
      </c>
      <c r="G10570" s="40" t="n">
        <v>469927.28</v>
      </c>
    </row>
    <row r="10571" ht="12" customHeight="1">
      <c r="A10571" s="30" t="inlineStr">
        <is>
          <t>POR</t>
        </is>
      </c>
      <c r="B10571" s="30" t="inlineStr">
        <is>
          <t>Porto Real</t>
        </is>
      </c>
      <c r="C10571" s="30" t="n">
        <v>78191066</v>
      </c>
      <c r="D10571" s="30">
        <f>"07257228000887"</f>
        <v/>
      </c>
      <c r="E10571" s="30" t="inlineStr">
        <is>
          <t>RODOPLAN TRANSPORTE E PRESTACAO DE SERVICOS EIRELI</t>
        </is>
      </c>
      <c r="F10571" s="30" t="inlineStr">
        <is>
          <t>2018</t>
        </is>
      </c>
      <c r="G10571" s="40" t="n">
        <v>163866.37</v>
      </c>
    </row>
    <row r="10572" ht="12" customHeight="1">
      <c r="A10572" s="30" t="inlineStr">
        <is>
          <t>POR</t>
        </is>
      </c>
      <c r="B10572" s="30" t="inlineStr">
        <is>
          <t>Porto Real</t>
        </is>
      </c>
      <c r="C10572" s="30" t="n">
        <v>78191066</v>
      </c>
      <c r="D10572" s="30">
        <f>"07257228000887"</f>
        <v/>
      </c>
      <c r="E10572" s="30" t="inlineStr">
        <is>
          <t>RODOPLAN TRANSPORTE E PRESTACAO DE SERVICOS EIRELI</t>
        </is>
      </c>
      <c r="F10572" s="30" t="inlineStr">
        <is>
          <t>2019</t>
        </is>
      </c>
      <c r="G10572" s="40" t="n">
        <v>0</v>
      </c>
    </row>
    <row r="10573" ht="12" customHeight="1">
      <c r="A10573" s="30" t="inlineStr">
        <is>
          <t>POR</t>
        </is>
      </c>
      <c r="B10573" s="30" t="inlineStr">
        <is>
          <t>Porto Real</t>
        </is>
      </c>
      <c r="C10573" s="30" t="n">
        <v>78191066</v>
      </c>
      <c r="D10573" s="30">
        <f>"07257228000887"</f>
        <v/>
      </c>
      <c r="E10573" s="30" t="inlineStr">
        <is>
          <t>RODOPLAN TRANSPORTE E PRESTACAO DE SERVICOS EIRELI</t>
        </is>
      </c>
      <c r="F10573" s="30" t="inlineStr">
        <is>
          <t>2020</t>
        </is>
      </c>
      <c r="G10573" s="40" t="n">
        <v>0</v>
      </c>
    </row>
    <row r="10574" ht="12" customHeight="1">
      <c r="A10574" s="30" t="inlineStr">
        <is>
          <t>POR</t>
        </is>
      </c>
      <c r="B10574" s="30" t="inlineStr">
        <is>
          <t>Porto Real</t>
        </is>
      </c>
      <c r="C10574" s="30" t="n">
        <v>78194367</v>
      </c>
      <c r="D10574" s="30">
        <f>"08168884000108"</f>
        <v/>
      </c>
      <c r="E10574" s="30" t="inlineStr">
        <is>
          <t>NOVA UNIAO LOGISTICA E TRANSPORTES LTDA</t>
        </is>
      </c>
      <c r="F10574" s="30" t="inlineStr">
        <is>
          <t>2017</t>
        </is>
      </c>
      <c r="G10574" s="40" t="n">
        <v>7335.41</v>
      </c>
    </row>
    <row r="10575" ht="12" customHeight="1">
      <c r="A10575" s="30" t="inlineStr">
        <is>
          <t>POR</t>
        </is>
      </c>
      <c r="B10575" s="30" t="inlineStr">
        <is>
          <t>Porto Real</t>
        </is>
      </c>
      <c r="C10575" s="30" t="n">
        <v>78194367</v>
      </c>
      <c r="D10575" s="30">
        <f>"08168884000108"</f>
        <v/>
      </c>
      <c r="E10575" s="30" t="inlineStr">
        <is>
          <t>NOVA UNIAO LOGISTICA E TRANSPORTES LTDA</t>
        </is>
      </c>
      <c r="F10575" s="30" t="inlineStr">
        <is>
          <t>2018</t>
        </is>
      </c>
      <c r="G10575" s="40" t="n">
        <v>3800.82</v>
      </c>
    </row>
    <row r="10576" ht="12" customHeight="1">
      <c r="A10576" s="30" t="inlineStr">
        <is>
          <t>POR</t>
        </is>
      </c>
      <c r="B10576" s="30" t="inlineStr">
        <is>
          <t>Porto Real</t>
        </is>
      </c>
      <c r="C10576" s="30" t="n">
        <v>78194367</v>
      </c>
      <c r="D10576" s="30">
        <f>"08168884000108"</f>
        <v/>
      </c>
      <c r="E10576" s="30" t="inlineStr">
        <is>
          <t>NOVA UNIAO LOGISTICA E TRANSPORTES LTDA</t>
        </is>
      </c>
      <c r="F10576" s="30" t="inlineStr">
        <is>
          <t>2019</t>
        </is>
      </c>
      <c r="G10576" s="40" t="n">
        <v>0</v>
      </c>
    </row>
    <row r="10577" ht="12" customHeight="1">
      <c r="A10577" s="30" t="inlineStr">
        <is>
          <t>POR</t>
        </is>
      </c>
      <c r="B10577" s="30" t="inlineStr">
        <is>
          <t>Porto Real</t>
        </is>
      </c>
      <c r="C10577" s="30" t="n">
        <v>78194367</v>
      </c>
      <c r="D10577" s="30">
        <f>"08168884000108"</f>
        <v/>
      </c>
      <c r="E10577" s="30" t="inlineStr">
        <is>
          <t>NOVA UNIAO LOGISTICA E TRANSPORTES LTDA</t>
        </is>
      </c>
      <c r="F10577" s="30" t="inlineStr">
        <is>
          <t>2020</t>
        </is>
      </c>
      <c r="G10577" s="40" t="n">
        <v>0</v>
      </c>
    </row>
    <row r="10578" ht="12" customHeight="1">
      <c r="A10578" s="30" t="inlineStr">
        <is>
          <t>POR</t>
        </is>
      </c>
      <c r="B10578" s="30" t="inlineStr">
        <is>
          <t>Porto Real</t>
        </is>
      </c>
      <c r="C10578" s="30" t="n">
        <v>78196475</v>
      </c>
      <c r="D10578" s="30">
        <f>"76642743001603"</f>
        <v/>
      </c>
      <c r="E10578" s="30" t="inlineStr">
        <is>
          <t>DEL POZO TRANSPORTES RODOVIARIOS LTDA</t>
        </is>
      </c>
      <c r="F10578" s="30" t="inlineStr">
        <is>
          <t>2017</t>
        </is>
      </c>
      <c r="G10578" s="40" t="n">
        <v>166775.99</v>
      </c>
    </row>
    <row r="10579" ht="12" customHeight="1">
      <c r="A10579" s="30" t="inlineStr">
        <is>
          <t>POR</t>
        </is>
      </c>
      <c r="B10579" s="30" t="inlineStr">
        <is>
          <t>Porto Real</t>
        </is>
      </c>
      <c r="C10579" s="30" t="n">
        <v>78196475</v>
      </c>
      <c r="D10579" s="30">
        <f>"76642743001603"</f>
        <v/>
      </c>
      <c r="E10579" s="30" t="inlineStr">
        <is>
          <t>DEL POZO TRANSPORTES RODOVIARIOS LTDA</t>
        </is>
      </c>
      <c r="F10579" s="30" t="inlineStr">
        <is>
          <t>2018</t>
        </is>
      </c>
      <c r="G10579" s="40" t="n">
        <v>146676.02</v>
      </c>
    </row>
    <row r="10580" ht="12" customHeight="1">
      <c r="A10580" s="30" t="inlineStr">
        <is>
          <t>POR</t>
        </is>
      </c>
      <c r="B10580" s="30" t="inlineStr">
        <is>
          <t>Porto Real</t>
        </is>
      </c>
      <c r="C10580" s="30" t="n">
        <v>78196475</v>
      </c>
      <c r="D10580" s="30">
        <f>"76642743001603"</f>
        <v/>
      </c>
      <c r="E10580" s="30" t="inlineStr">
        <is>
          <t>DEL POZO TRANSPORTES RODOVIARIOS LTDA</t>
        </is>
      </c>
      <c r="F10580" s="30" t="inlineStr">
        <is>
          <t>2019</t>
        </is>
      </c>
      <c r="G10580" s="40" t="n">
        <v>48897</v>
      </c>
    </row>
    <row r="10581" ht="12" customHeight="1">
      <c r="A10581" s="30" t="inlineStr">
        <is>
          <t>POR</t>
        </is>
      </c>
      <c r="B10581" s="30" t="inlineStr">
        <is>
          <t>Porto Real</t>
        </is>
      </c>
      <c r="C10581" s="30" t="n">
        <v>78196475</v>
      </c>
      <c r="D10581" s="30">
        <f>"76642743001603"</f>
        <v/>
      </c>
      <c r="E10581" s="30" t="inlineStr">
        <is>
          <t>DEL POZO TRANSPORTES RODOVIARIOS LTDA</t>
        </is>
      </c>
      <c r="F10581" s="30" t="inlineStr">
        <is>
          <t>2020</t>
        </is>
      </c>
      <c r="G10581" s="40" t="n">
        <v>108732.22</v>
      </c>
    </row>
    <row r="10582" ht="12" customHeight="1">
      <c r="A10582" s="30" t="inlineStr">
        <is>
          <t>POR</t>
        </is>
      </c>
      <c r="B10582" s="30" t="inlineStr">
        <is>
          <t>Porto Real</t>
        </is>
      </c>
      <c r="C10582" s="30" t="n">
        <v>78196475</v>
      </c>
      <c r="D10582" s="30">
        <f>"76642743001603"</f>
        <v/>
      </c>
      <c r="E10582" s="30" t="inlineStr">
        <is>
          <t>DEL POZO TRANSPORTES RODOVIARIOS LTDA</t>
        </is>
      </c>
      <c r="F10582" s="30" t="inlineStr">
        <is>
          <t>2021</t>
        </is>
      </c>
      <c r="G10582" s="40" t="n">
        <v>4892</v>
      </c>
    </row>
    <row r="10583" ht="12" customHeight="1">
      <c r="A10583" s="30" t="inlineStr">
        <is>
          <t>POR</t>
        </is>
      </c>
      <c r="B10583" s="30" t="inlineStr">
        <is>
          <t>Porto Real</t>
        </is>
      </c>
      <c r="C10583" s="30" t="n">
        <v>78196475</v>
      </c>
      <c r="D10583" s="30">
        <f>"76642743001603"</f>
        <v/>
      </c>
      <c r="E10583" s="30" t="inlineStr">
        <is>
          <t>DEL POZO TRANSPORTES RODOVIARIOS LTDA</t>
        </is>
      </c>
      <c r="F10583" s="30" t="inlineStr">
        <is>
          <t>2022</t>
        </is>
      </c>
      <c r="G10583" s="40" t="n">
        <v>2802.19</v>
      </c>
    </row>
    <row r="10584" ht="12" customHeight="1">
      <c r="A10584" s="30" t="inlineStr">
        <is>
          <t>POR</t>
        </is>
      </c>
      <c r="B10584" s="30" t="inlineStr">
        <is>
          <t>Porto Real</t>
        </is>
      </c>
      <c r="C10584" s="30" t="n">
        <v>78196475</v>
      </c>
      <c r="D10584" s="30">
        <f>"76642743001603"</f>
        <v/>
      </c>
      <c r="E10584" s="30" t="inlineStr">
        <is>
          <t>DEL POZO TRANSPORTES RODOVIARIOS LTDA</t>
        </is>
      </c>
      <c r="F10584" s="30" t="inlineStr">
        <is>
          <t>2023</t>
        </is>
      </c>
      <c r="G10584" s="40" t="n">
        <v>314468.79</v>
      </c>
    </row>
    <row r="10585" ht="12" customHeight="1">
      <c r="A10585" s="30" t="inlineStr">
        <is>
          <t>POR</t>
        </is>
      </c>
      <c r="B10585" s="30" t="inlineStr">
        <is>
          <t>Porto Real</t>
        </is>
      </c>
      <c r="C10585" s="30" t="n">
        <v>78224533</v>
      </c>
      <c r="D10585" s="30">
        <f>"05132549000153"</f>
        <v/>
      </c>
      <c r="E10585" s="30" t="inlineStr">
        <is>
          <t>S O DO BRASIL TELECOMUNICACOES LTDA EPP</t>
        </is>
      </c>
      <c r="F10585" s="30" t="inlineStr">
        <is>
          <t>2017</t>
        </is>
      </c>
      <c r="G10585" s="40" t="n">
        <v>100059.12</v>
      </c>
    </row>
    <row r="10586" ht="12" customHeight="1">
      <c r="A10586" s="30" t="inlineStr">
        <is>
          <t>POR</t>
        </is>
      </c>
      <c r="B10586" s="30" t="inlineStr">
        <is>
          <t>Porto Real</t>
        </is>
      </c>
      <c r="C10586" s="30" t="n">
        <v>78224533</v>
      </c>
      <c r="D10586" s="30">
        <f>"05132549000153"</f>
        <v/>
      </c>
      <c r="E10586" s="30" t="inlineStr">
        <is>
          <t>S O DO BRASIL TELECOMUNICACOES LTDA EPP</t>
        </is>
      </c>
      <c r="F10586" s="30" t="inlineStr">
        <is>
          <t>2018</t>
        </is>
      </c>
      <c r="G10586" s="40" t="n">
        <v>168145.59</v>
      </c>
    </row>
    <row r="10587" ht="12" customHeight="1">
      <c r="A10587" s="30" t="inlineStr">
        <is>
          <t>POR</t>
        </is>
      </c>
      <c r="B10587" s="30" t="inlineStr">
        <is>
          <t>Porto Real</t>
        </is>
      </c>
      <c r="C10587" s="30" t="n">
        <v>78224533</v>
      </c>
      <c r="D10587" s="30">
        <f>"05132549000153"</f>
        <v/>
      </c>
      <c r="E10587" s="30" t="inlineStr">
        <is>
          <t>S O DO BRASIL TELECOMUNICACOES LTDA EPP</t>
        </is>
      </c>
      <c r="F10587" s="30" t="inlineStr">
        <is>
          <t>2019</t>
        </is>
      </c>
      <c r="G10587" s="40" t="n">
        <v>151136.98</v>
      </c>
    </row>
    <row r="10588" ht="12" customHeight="1">
      <c r="A10588" s="30" t="inlineStr">
        <is>
          <t>POR</t>
        </is>
      </c>
      <c r="B10588" s="30" t="inlineStr">
        <is>
          <t>Porto Real</t>
        </is>
      </c>
      <c r="C10588" s="30" t="n">
        <v>78224533</v>
      </c>
      <c r="D10588" s="30">
        <f>"05132549000153"</f>
        <v/>
      </c>
      <c r="E10588" s="30" t="inlineStr">
        <is>
          <t>S O DO BRASIL TELECOMUNICACOES LTDA EPP</t>
        </is>
      </c>
      <c r="F10588" s="30" t="inlineStr">
        <is>
          <t>2020</t>
        </is>
      </c>
      <c r="G10588" s="40" t="n">
        <v>102764.14</v>
      </c>
    </row>
    <row r="10589" ht="12" customHeight="1">
      <c r="A10589" s="30" t="inlineStr">
        <is>
          <t>POR</t>
        </is>
      </c>
      <c r="B10589" s="30" t="inlineStr">
        <is>
          <t>Porto Real</t>
        </is>
      </c>
      <c r="C10589" s="30" t="n">
        <v>78224533</v>
      </c>
      <c r="D10589" s="30">
        <f>"05132549000153"</f>
        <v/>
      </c>
      <c r="E10589" s="30" t="inlineStr">
        <is>
          <t>S O DO BRASIL TELECOMUNICACOES LTDA EPP</t>
        </is>
      </c>
      <c r="F10589" s="30" t="inlineStr">
        <is>
          <t>2021</t>
        </is>
      </c>
      <c r="G10589" s="40" t="n">
        <v>95296.92999999999</v>
      </c>
    </row>
    <row r="10590" ht="12" customHeight="1">
      <c r="A10590" s="30" t="inlineStr">
        <is>
          <t>POR</t>
        </is>
      </c>
      <c r="B10590" s="30" t="inlineStr">
        <is>
          <t>Porto Real</t>
        </is>
      </c>
      <c r="C10590" s="30" t="n">
        <v>78224533</v>
      </c>
      <c r="D10590" s="30">
        <f>"05132549000153"</f>
        <v/>
      </c>
      <c r="E10590" s="30" t="inlineStr">
        <is>
          <t>S O DO BRASIL TELECOMUNICACOES LTDA EPP</t>
        </is>
      </c>
      <c r="F10590" s="30" t="inlineStr">
        <is>
          <t>2022</t>
        </is>
      </c>
      <c r="G10590" s="40" t="n">
        <v>95514.07000000001</v>
      </c>
    </row>
    <row r="10591" ht="12" customHeight="1">
      <c r="A10591" s="30" t="inlineStr">
        <is>
          <t>POR</t>
        </is>
      </c>
      <c r="B10591" s="30" t="inlineStr">
        <is>
          <t>Porto Real</t>
        </is>
      </c>
      <c r="C10591" s="30" t="n">
        <v>78224533</v>
      </c>
      <c r="D10591" s="30">
        <f>"05132549000153"</f>
        <v/>
      </c>
      <c r="E10591" s="30" t="inlineStr">
        <is>
          <t>S O DO BRASIL TELECOMUNICACOES LTDA EPP</t>
        </is>
      </c>
      <c r="F10591" s="30" t="inlineStr">
        <is>
          <t>2023</t>
        </is>
      </c>
      <c r="G10591" s="40" t="n">
        <v>140031.95</v>
      </c>
    </row>
    <row r="10592" ht="12" customHeight="1">
      <c r="A10592" s="30" t="inlineStr">
        <is>
          <t>POR</t>
        </is>
      </c>
      <c r="B10592" s="30" t="inlineStr">
        <is>
          <t>Porto Real</t>
        </is>
      </c>
      <c r="C10592" s="30" t="n">
        <v>78254831</v>
      </c>
      <c r="D10592" s="30">
        <f>"87689402003572"</f>
        <v/>
      </c>
      <c r="E10592" s="30" t="inlineStr">
        <is>
          <t>TRANSPORTES LUFT LTDA</t>
        </is>
      </c>
      <c r="F10592" s="30" t="inlineStr">
        <is>
          <t>2018</t>
        </is>
      </c>
      <c r="G10592" s="40" t="n">
        <v>0</v>
      </c>
    </row>
    <row r="10593" ht="12" customHeight="1">
      <c r="A10593" s="30" t="inlineStr">
        <is>
          <t>POR</t>
        </is>
      </c>
      <c r="B10593" s="30" t="inlineStr">
        <is>
          <t>Porto Real</t>
        </is>
      </c>
      <c r="C10593" s="30" t="n">
        <v>78254831</v>
      </c>
      <c r="D10593" s="30">
        <f>"87689402003572"</f>
        <v/>
      </c>
      <c r="E10593" s="30" t="inlineStr">
        <is>
          <t>TRANSPORTES LUFT LTDA</t>
        </is>
      </c>
      <c r="F10593" s="30" t="inlineStr">
        <is>
          <t>2019</t>
        </is>
      </c>
      <c r="G10593" s="40" t="n">
        <v>0</v>
      </c>
    </row>
    <row r="10594" ht="12" customHeight="1">
      <c r="A10594" s="30" t="inlineStr">
        <is>
          <t>POR</t>
        </is>
      </c>
      <c r="B10594" s="30" t="inlineStr">
        <is>
          <t>Porto Real</t>
        </is>
      </c>
      <c r="C10594" s="30" t="n">
        <v>78254831</v>
      </c>
      <c r="D10594" s="30">
        <f>"87689402003572"</f>
        <v/>
      </c>
      <c r="E10594" s="30" t="inlineStr">
        <is>
          <t>TRANSPORTES LUFT LTDA</t>
        </is>
      </c>
      <c r="F10594" s="30" t="inlineStr">
        <is>
          <t>2020</t>
        </is>
      </c>
      <c r="G10594" s="40" t="n">
        <v>2078.84</v>
      </c>
    </row>
    <row r="10595" ht="12" customHeight="1">
      <c r="A10595" s="30" t="inlineStr">
        <is>
          <t>POR</t>
        </is>
      </c>
      <c r="B10595" s="30" t="inlineStr">
        <is>
          <t>Porto Real</t>
        </is>
      </c>
      <c r="C10595" s="30" t="n">
        <v>78254831</v>
      </c>
      <c r="D10595" s="30">
        <f>"87689402003572"</f>
        <v/>
      </c>
      <c r="E10595" s="30" t="inlineStr">
        <is>
          <t>TRANSPORTES LUFT LTDA</t>
        </is>
      </c>
      <c r="F10595" s="30" t="inlineStr">
        <is>
          <t>2021</t>
        </is>
      </c>
      <c r="G10595" s="40" t="n">
        <v>5935.58</v>
      </c>
    </row>
    <row r="10596" ht="12" customHeight="1">
      <c r="A10596" s="30" t="inlineStr">
        <is>
          <t>POR</t>
        </is>
      </c>
      <c r="B10596" s="30" t="inlineStr">
        <is>
          <t>Porto Real</t>
        </is>
      </c>
      <c r="C10596" s="30" t="n">
        <v>78254831</v>
      </c>
      <c r="D10596" s="30">
        <f>"87689402003572"</f>
        <v/>
      </c>
      <c r="E10596" s="30" t="inlineStr">
        <is>
          <t>TRANSPORTES LUFT LTDA</t>
        </is>
      </c>
      <c r="F10596" s="30" t="inlineStr">
        <is>
          <t>2022</t>
        </is>
      </c>
      <c r="G10596" s="40" t="n">
        <v>15562.69</v>
      </c>
    </row>
    <row r="10597" ht="12" customHeight="1">
      <c r="A10597" s="30" t="inlineStr">
        <is>
          <t>POR</t>
        </is>
      </c>
      <c r="B10597" s="30" t="inlineStr">
        <is>
          <t>Porto Real</t>
        </is>
      </c>
      <c r="C10597" s="30" t="n">
        <v>78254831</v>
      </c>
      <c r="D10597" s="30">
        <f>"87689402003572"</f>
        <v/>
      </c>
      <c r="E10597" s="30" t="inlineStr">
        <is>
          <t>TRANSPORTES LUFT LTDA</t>
        </is>
      </c>
      <c r="F10597" s="30" t="inlineStr">
        <is>
          <t>2023</t>
        </is>
      </c>
      <c r="G10597" s="40" t="n">
        <v>14938.35</v>
      </c>
    </row>
    <row r="10598" ht="12" customHeight="1">
      <c r="A10598" s="30" t="inlineStr">
        <is>
          <t>POR</t>
        </is>
      </c>
      <c r="B10598" s="30" t="inlineStr">
        <is>
          <t>Porto Real</t>
        </is>
      </c>
      <c r="C10598" s="30" t="n">
        <v>78258950</v>
      </c>
      <c r="D10598" s="30">
        <f>"08219203000690"</f>
        <v/>
      </c>
      <c r="E10598" s="30" t="inlineStr">
        <is>
          <t>DIRECIONAL TRANSPORTE E LOGISTICA S A</t>
        </is>
      </c>
      <c r="F10598" s="30" t="inlineStr">
        <is>
          <t>2017</t>
        </is>
      </c>
      <c r="G10598" s="40" t="n">
        <v>0</v>
      </c>
    </row>
    <row r="10599" ht="12" customHeight="1">
      <c r="A10599" s="30" t="inlineStr">
        <is>
          <t>POR</t>
        </is>
      </c>
      <c r="B10599" s="30" t="inlineStr">
        <is>
          <t>Porto Real</t>
        </is>
      </c>
      <c r="C10599" s="30" t="n">
        <v>78258950</v>
      </c>
      <c r="D10599" s="30">
        <f>"08219203000690"</f>
        <v/>
      </c>
      <c r="E10599" s="30" t="inlineStr">
        <is>
          <t>DIRECIONAL TRANSPORTE E LOGISTICA S A</t>
        </is>
      </c>
      <c r="F10599" s="30" t="inlineStr">
        <is>
          <t>2018</t>
        </is>
      </c>
      <c r="G10599" s="40" t="n">
        <v>62.49</v>
      </c>
    </row>
    <row r="10600" ht="12" customHeight="1">
      <c r="A10600" s="30" t="inlineStr">
        <is>
          <t>POR</t>
        </is>
      </c>
      <c r="B10600" s="30" t="inlineStr">
        <is>
          <t>Porto Real</t>
        </is>
      </c>
      <c r="C10600" s="30" t="n">
        <v>78258950</v>
      </c>
      <c r="D10600" s="30">
        <f>"08219203000690"</f>
        <v/>
      </c>
      <c r="E10600" s="30" t="inlineStr">
        <is>
          <t>DIRECIONAL TRANSPORTE E LOGISTICA S A</t>
        </is>
      </c>
      <c r="F10600" s="30" t="inlineStr">
        <is>
          <t>2019</t>
        </is>
      </c>
      <c r="G10600" s="40" t="n">
        <v>0</v>
      </c>
    </row>
    <row r="10601" ht="12" customHeight="1">
      <c r="A10601" s="30" t="inlineStr">
        <is>
          <t>POR</t>
        </is>
      </c>
      <c r="B10601" s="30" t="inlineStr">
        <is>
          <t>Porto Real</t>
        </is>
      </c>
      <c r="C10601" s="30" t="n">
        <v>78258950</v>
      </c>
      <c r="D10601" s="30">
        <f>"08219203000690"</f>
        <v/>
      </c>
      <c r="E10601" s="30" t="inlineStr">
        <is>
          <t>DIRECIONAL TRANSPORTE E LOGISTICA S A</t>
        </is>
      </c>
      <c r="F10601" s="30" t="inlineStr">
        <is>
          <t>2020</t>
        </is>
      </c>
      <c r="G10601" s="40" t="n">
        <v>0</v>
      </c>
    </row>
    <row r="10602" ht="12" customHeight="1">
      <c r="A10602" s="30" t="inlineStr">
        <is>
          <t>POR</t>
        </is>
      </c>
      <c r="B10602" s="30" t="inlineStr">
        <is>
          <t>Porto Real</t>
        </is>
      </c>
      <c r="C10602" s="30" t="n">
        <v>78258950</v>
      </c>
      <c r="D10602" s="30">
        <f>"08219203000690"</f>
        <v/>
      </c>
      <c r="E10602" s="30" t="inlineStr">
        <is>
          <t>DIRECIONAL TRANSPORTE E LOGISTICA S A</t>
        </is>
      </c>
      <c r="F10602" s="30" t="inlineStr">
        <is>
          <t>2021</t>
        </is>
      </c>
      <c r="G10602" s="40" t="n">
        <v>1372.91</v>
      </c>
    </row>
    <row r="10603" ht="12" customHeight="1">
      <c r="A10603" s="30" t="inlineStr">
        <is>
          <t>POR</t>
        </is>
      </c>
      <c r="B10603" s="30" t="inlineStr">
        <is>
          <t>Porto Real</t>
        </is>
      </c>
      <c r="C10603" s="30" t="n">
        <v>78258950</v>
      </c>
      <c r="D10603" s="30">
        <f>"08219203000690"</f>
        <v/>
      </c>
      <c r="E10603" s="30" t="inlineStr">
        <is>
          <t>DIRECIONAL TRANSPORTE E LOGISTICA S A</t>
        </is>
      </c>
      <c r="F10603" s="30" t="inlineStr">
        <is>
          <t>2022</t>
        </is>
      </c>
      <c r="G10603" s="40" t="n">
        <v>0</v>
      </c>
    </row>
    <row r="10604" ht="12" customHeight="1">
      <c r="A10604" s="30" t="inlineStr">
        <is>
          <t>POR</t>
        </is>
      </c>
      <c r="B10604" s="30" t="inlineStr">
        <is>
          <t>Porto Real</t>
        </is>
      </c>
      <c r="C10604" s="30" t="n">
        <v>78258950</v>
      </c>
      <c r="D10604" s="30">
        <f>"08219203000690"</f>
        <v/>
      </c>
      <c r="E10604" s="30" t="inlineStr">
        <is>
          <t>DIRECIONAL TRANSPORTE E LOGISTICA S A</t>
        </is>
      </c>
      <c r="F10604" s="30" t="inlineStr">
        <is>
          <t>2023</t>
        </is>
      </c>
      <c r="G10604" s="40" t="n">
        <v>0</v>
      </c>
    </row>
    <row r="10605" ht="12" customHeight="1">
      <c r="A10605" s="30" t="inlineStr">
        <is>
          <t>POR</t>
        </is>
      </c>
      <c r="B10605" s="30" t="inlineStr">
        <is>
          <t>Porto Real</t>
        </is>
      </c>
      <c r="C10605" s="30" t="n">
        <v>78275650</v>
      </c>
      <c r="D10605" s="30">
        <f>"07625852000113"</f>
        <v/>
      </c>
      <c r="E10605" s="30" t="inlineStr">
        <is>
          <t>TELEXPERTS TELECOMUNICACOES LTDA</t>
        </is>
      </c>
      <c r="F10605" s="30" t="inlineStr">
        <is>
          <t>2019</t>
        </is>
      </c>
      <c r="G10605" s="40" t="n">
        <v>0</v>
      </c>
    </row>
    <row r="10606" ht="12" customHeight="1">
      <c r="A10606" s="30" t="inlineStr">
        <is>
          <t>POR</t>
        </is>
      </c>
      <c r="B10606" s="30" t="inlineStr">
        <is>
          <t>Porto Real</t>
        </is>
      </c>
      <c r="C10606" s="30" t="n">
        <v>78275650</v>
      </c>
      <c r="D10606" s="30">
        <f>"07625852000113"</f>
        <v/>
      </c>
      <c r="E10606" s="30" t="inlineStr">
        <is>
          <t>TELEXPERTS TELECOMUNICACOES LTDA</t>
        </is>
      </c>
      <c r="F10606" s="30" t="inlineStr">
        <is>
          <t>2020</t>
        </is>
      </c>
      <c r="G10606" s="40" t="n">
        <v>0</v>
      </c>
    </row>
    <row r="10607" ht="12" customHeight="1">
      <c r="A10607" s="30" t="inlineStr">
        <is>
          <t>POR</t>
        </is>
      </c>
      <c r="B10607" s="30" t="inlineStr">
        <is>
          <t>Porto Real</t>
        </is>
      </c>
      <c r="C10607" s="30" t="n">
        <v>78275650</v>
      </c>
      <c r="D10607" s="30">
        <f>"07625852000113"</f>
        <v/>
      </c>
      <c r="E10607" s="30" t="inlineStr">
        <is>
          <t>TELEXPERTS TELECOMUNICACOES LTDA</t>
        </is>
      </c>
      <c r="F10607" s="30" t="inlineStr">
        <is>
          <t>2021</t>
        </is>
      </c>
      <c r="G10607" s="40" t="n">
        <v>285.3</v>
      </c>
    </row>
    <row r="10608" ht="12" customHeight="1">
      <c r="A10608" s="30" t="inlineStr">
        <is>
          <t>POR</t>
        </is>
      </c>
      <c r="B10608" s="30" t="inlineStr">
        <is>
          <t>Porto Real</t>
        </is>
      </c>
      <c r="C10608" s="30" t="n">
        <v>78275650</v>
      </c>
      <c r="D10608" s="30">
        <f>"07625852000113"</f>
        <v/>
      </c>
      <c r="E10608" s="30" t="inlineStr">
        <is>
          <t>TELEXPERTS TELECOMUNICACOES LTDA</t>
        </is>
      </c>
      <c r="F10608" s="30" t="inlineStr">
        <is>
          <t>2022</t>
        </is>
      </c>
      <c r="G10608" s="40" t="n">
        <v>1399.36</v>
      </c>
    </row>
    <row r="10609" ht="12" customHeight="1">
      <c r="A10609" s="30" t="inlineStr">
        <is>
          <t>POR</t>
        </is>
      </c>
      <c r="B10609" s="30" t="inlineStr">
        <is>
          <t>Porto Real</t>
        </is>
      </c>
      <c r="C10609" s="30" t="n">
        <v>78275650</v>
      </c>
      <c r="D10609" s="30">
        <f>"07625852000113"</f>
        <v/>
      </c>
      <c r="E10609" s="30" t="inlineStr">
        <is>
          <t>TELEXPERTS TELECOMUNICACOES LTDA</t>
        </is>
      </c>
      <c r="F10609" s="30" t="inlineStr">
        <is>
          <t>2023</t>
        </is>
      </c>
      <c r="G10609" s="40" t="n">
        <v>1020.92</v>
      </c>
    </row>
    <row r="10610" ht="12" customHeight="1">
      <c r="A10610" s="30" t="inlineStr">
        <is>
          <t>POR</t>
        </is>
      </c>
      <c r="B10610" s="30" t="inlineStr">
        <is>
          <t>Porto Real</t>
        </is>
      </c>
      <c r="C10610" s="30" t="n">
        <v>78288841</v>
      </c>
      <c r="D10610" s="30">
        <f>"75785675000516"</f>
        <v/>
      </c>
      <c r="E10610" s="30" t="inlineStr">
        <is>
          <t>TRANSPORTADORA OCIANI LTDA</t>
        </is>
      </c>
      <c r="F10610" s="30" t="inlineStr">
        <is>
          <t>2021</t>
        </is>
      </c>
      <c r="G10610" s="40" t="n">
        <v>0</v>
      </c>
    </row>
    <row r="10611" ht="12" customHeight="1">
      <c r="A10611" s="30" t="inlineStr">
        <is>
          <t>POR</t>
        </is>
      </c>
      <c r="B10611" s="30" t="inlineStr">
        <is>
          <t>Porto Real</t>
        </is>
      </c>
      <c r="C10611" s="30" t="n">
        <v>78288841</v>
      </c>
      <c r="D10611" s="30">
        <f>"75785675000516"</f>
        <v/>
      </c>
      <c r="E10611" s="30" t="inlineStr">
        <is>
          <t>TRANSPORTADORA OCIANI LTDA</t>
        </is>
      </c>
      <c r="F10611" s="30" t="inlineStr">
        <is>
          <t>2022</t>
        </is>
      </c>
      <c r="G10611" s="40" t="n">
        <v>0</v>
      </c>
    </row>
    <row r="10612" ht="12" customHeight="1">
      <c r="A10612" s="30" t="inlineStr">
        <is>
          <t>POR</t>
        </is>
      </c>
      <c r="B10612" s="30" t="inlineStr">
        <is>
          <t>Porto Real</t>
        </is>
      </c>
      <c r="C10612" s="30" t="n">
        <v>78288841</v>
      </c>
      <c r="D10612" s="30">
        <f>"75785675000516"</f>
        <v/>
      </c>
      <c r="E10612" s="30" t="inlineStr">
        <is>
          <t>TRANSPORTADORA OCIANI LTDA</t>
        </is>
      </c>
      <c r="F10612" s="30" t="inlineStr">
        <is>
          <t>2023</t>
        </is>
      </c>
      <c r="G10612" s="40" t="n">
        <v>152.45</v>
      </c>
    </row>
    <row r="10613" ht="12" customHeight="1">
      <c r="A10613" s="30" t="inlineStr">
        <is>
          <t>POR</t>
        </is>
      </c>
      <c r="B10613" s="30" t="inlineStr">
        <is>
          <t>Porto Real</t>
        </is>
      </c>
      <c r="C10613" s="30" t="n">
        <v>78290188</v>
      </c>
      <c r="D10613" s="30">
        <f>"01009876000242"</f>
        <v/>
      </c>
      <c r="E10613" s="30" t="inlineStr">
        <is>
          <t>FALKLAND TECNOLOGIA EM TELECOMUNICACOES S/A</t>
        </is>
      </c>
      <c r="F10613" s="30" t="inlineStr">
        <is>
          <t>2017</t>
        </is>
      </c>
      <c r="G10613" s="40" t="n">
        <v>5486.94</v>
      </c>
    </row>
    <row r="10614" ht="12" customHeight="1">
      <c r="A10614" s="30" t="inlineStr">
        <is>
          <t>POR</t>
        </is>
      </c>
      <c r="B10614" s="30" t="inlineStr">
        <is>
          <t>Porto Real</t>
        </is>
      </c>
      <c r="C10614" s="30" t="n">
        <v>78290188</v>
      </c>
      <c r="D10614" s="30">
        <f>"01009876000242"</f>
        <v/>
      </c>
      <c r="E10614" s="30" t="inlineStr">
        <is>
          <t>FALKLAND TECNOLOGIA EM TELECOMUNICACOES S/A</t>
        </is>
      </c>
      <c r="F10614" s="30" t="inlineStr">
        <is>
          <t>2018</t>
        </is>
      </c>
      <c r="G10614" s="40" t="n">
        <v>6560.7</v>
      </c>
    </row>
    <row r="10615" ht="12" customHeight="1">
      <c r="A10615" s="30" t="inlineStr">
        <is>
          <t>POR</t>
        </is>
      </c>
      <c r="B10615" s="30" t="inlineStr">
        <is>
          <t>Porto Real</t>
        </is>
      </c>
      <c r="C10615" s="30" t="n">
        <v>78290188</v>
      </c>
      <c r="D10615" s="30">
        <f>"01009876000242"</f>
        <v/>
      </c>
      <c r="E10615" s="30" t="inlineStr">
        <is>
          <t>FALKLAND TECNOLOGIA EM TELECOMUNICACOES S/A</t>
        </is>
      </c>
      <c r="F10615" s="30" t="inlineStr">
        <is>
          <t>2019</t>
        </is>
      </c>
      <c r="G10615" s="40" t="n">
        <v>806.22</v>
      </c>
    </row>
    <row r="10616" ht="12" customHeight="1">
      <c r="A10616" s="30" t="inlineStr">
        <is>
          <t>POR</t>
        </is>
      </c>
      <c r="B10616" s="30" t="inlineStr">
        <is>
          <t>Porto Real</t>
        </is>
      </c>
      <c r="C10616" s="30" t="n">
        <v>78290188</v>
      </c>
      <c r="D10616" s="30">
        <f>"01009876000242"</f>
        <v/>
      </c>
      <c r="E10616" s="30" t="inlineStr">
        <is>
          <t>FALKLAND TECNOLOGIA EM TELECOMUNICACOES S/A</t>
        </is>
      </c>
      <c r="F10616" s="30" t="inlineStr">
        <is>
          <t>2020</t>
        </is>
      </c>
      <c r="G10616" s="40" t="n">
        <v>0</v>
      </c>
    </row>
    <row r="10617" ht="12" customHeight="1">
      <c r="A10617" s="30" t="inlineStr">
        <is>
          <t>POR</t>
        </is>
      </c>
      <c r="B10617" s="30" t="inlineStr">
        <is>
          <t>Porto Real</t>
        </is>
      </c>
      <c r="C10617" s="30" t="n">
        <v>78290188</v>
      </c>
      <c r="D10617" s="30">
        <f>"01009876000242"</f>
        <v/>
      </c>
      <c r="E10617" s="30" t="inlineStr">
        <is>
          <t>FALKLAND TECNOLOGIA EM TELECOMUNICACOES S/A</t>
        </is>
      </c>
      <c r="F10617" s="30" t="inlineStr">
        <is>
          <t>2021</t>
        </is>
      </c>
      <c r="G10617" s="40" t="n">
        <v>0</v>
      </c>
    </row>
    <row r="10618" ht="12" customHeight="1">
      <c r="A10618" s="30" t="inlineStr">
        <is>
          <t>POR</t>
        </is>
      </c>
      <c r="B10618" s="30" t="inlineStr">
        <is>
          <t>Porto Real</t>
        </is>
      </c>
      <c r="C10618" s="30" t="n">
        <v>78336820</v>
      </c>
      <c r="D10618" s="30">
        <f>"08964218000178"</f>
        <v/>
      </c>
      <c r="E10618" s="30" t="inlineStr">
        <is>
          <t>J S FERREIRA FRIGORIFICO LTDA</t>
        </is>
      </c>
      <c r="F10618" s="30" t="inlineStr">
        <is>
          <t>2017</t>
        </is>
      </c>
      <c r="G10618" s="40" t="n">
        <v>0</v>
      </c>
    </row>
    <row r="10619" ht="12" customHeight="1">
      <c r="A10619" s="30" t="inlineStr">
        <is>
          <t>POR</t>
        </is>
      </c>
      <c r="B10619" s="30" t="inlineStr">
        <is>
          <t>Porto Real</t>
        </is>
      </c>
      <c r="C10619" s="30" t="n">
        <v>78336820</v>
      </c>
      <c r="D10619" s="30">
        <f>"08964218000178"</f>
        <v/>
      </c>
      <c r="E10619" s="30" t="inlineStr">
        <is>
          <t>J S FERREIRA FRIGORIFICO LTDA</t>
        </is>
      </c>
      <c r="F10619" s="30" t="inlineStr">
        <is>
          <t>2018</t>
        </is>
      </c>
      <c r="G10619" s="40" t="n">
        <v>0</v>
      </c>
    </row>
    <row r="10620" ht="12" customHeight="1">
      <c r="A10620" s="30" t="inlineStr">
        <is>
          <t>POR</t>
        </is>
      </c>
      <c r="B10620" s="30" t="inlineStr">
        <is>
          <t>Porto Real</t>
        </is>
      </c>
      <c r="C10620" s="30" t="n">
        <v>78336820</v>
      </c>
      <c r="D10620" s="30">
        <f>"08964218000178"</f>
        <v/>
      </c>
      <c r="E10620" s="30" t="inlineStr">
        <is>
          <t>J S FERREIRA FRIGORIFICO LTDA</t>
        </is>
      </c>
      <c r="F10620" s="30" t="inlineStr">
        <is>
          <t>2019</t>
        </is>
      </c>
      <c r="G10620" s="40" t="n">
        <v>55158.4</v>
      </c>
    </row>
    <row r="10621" ht="12" customHeight="1">
      <c r="A10621" s="30" t="inlineStr">
        <is>
          <t>POR</t>
        </is>
      </c>
      <c r="B10621" s="30" t="inlineStr">
        <is>
          <t>Porto Real</t>
        </is>
      </c>
      <c r="C10621" s="30" t="n">
        <v>78336820</v>
      </c>
      <c r="D10621" s="30">
        <f>"08964218000178"</f>
        <v/>
      </c>
      <c r="E10621" s="30" t="inlineStr">
        <is>
          <t>J S FERREIRA FRIGORIFICO LTDA</t>
        </is>
      </c>
      <c r="F10621" s="30" t="inlineStr">
        <is>
          <t>2020</t>
        </is>
      </c>
      <c r="G10621" s="40" t="n">
        <v>36784.32</v>
      </c>
    </row>
    <row r="10622" ht="12" customHeight="1">
      <c r="A10622" s="30" t="inlineStr">
        <is>
          <t>POR</t>
        </is>
      </c>
      <c r="B10622" s="30" t="inlineStr">
        <is>
          <t>Porto Real</t>
        </is>
      </c>
      <c r="C10622" s="30" t="n">
        <v>78336820</v>
      </c>
      <c r="D10622" s="30">
        <f>"08964218000178"</f>
        <v/>
      </c>
      <c r="E10622" s="30" t="inlineStr">
        <is>
          <t>J S FERREIRA FRIGORIFICO LTDA</t>
        </is>
      </c>
      <c r="F10622" s="30" t="inlineStr">
        <is>
          <t>2021</t>
        </is>
      </c>
      <c r="G10622" s="40" t="n">
        <v>93168.32000000001</v>
      </c>
    </row>
    <row r="10623" ht="12" customHeight="1">
      <c r="A10623" s="30" t="inlineStr">
        <is>
          <t>POR</t>
        </is>
      </c>
      <c r="B10623" s="30" t="inlineStr">
        <is>
          <t>Porto Real</t>
        </is>
      </c>
      <c r="C10623" s="30" t="n">
        <v>78336820</v>
      </c>
      <c r="D10623" s="30">
        <f>"08964218000178"</f>
        <v/>
      </c>
      <c r="E10623" s="30" t="inlineStr">
        <is>
          <t>J S FERREIRA FRIGORIFICO LTDA</t>
        </is>
      </c>
      <c r="F10623" s="30" t="inlineStr">
        <is>
          <t>2022</t>
        </is>
      </c>
      <c r="G10623" s="40" t="n">
        <v>0</v>
      </c>
    </row>
    <row r="10624" ht="12" customHeight="1">
      <c r="A10624" s="30" t="inlineStr">
        <is>
          <t>POR</t>
        </is>
      </c>
      <c r="B10624" s="30" t="inlineStr">
        <is>
          <t>Porto Real</t>
        </is>
      </c>
      <c r="C10624" s="30" t="n">
        <v>78336820</v>
      </c>
      <c r="D10624" s="30">
        <f>"08964218000178"</f>
        <v/>
      </c>
      <c r="E10624" s="30" t="inlineStr">
        <is>
          <t>J S FERREIRA FRIGORIFICO LTDA</t>
        </is>
      </c>
      <c r="F10624" s="30" t="inlineStr">
        <is>
          <t>2023</t>
        </is>
      </c>
      <c r="G10624" s="40" t="n">
        <v>64638</v>
      </c>
    </row>
    <row r="10625" ht="12" customHeight="1">
      <c r="A10625" s="30" t="inlineStr">
        <is>
          <t>POR</t>
        </is>
      </c>
      <c r="B10625" s="30" t="inlineStr">
        <is>
          <t>Porto Real</t>
        </is>
      </c>
      <c r="C10625" s="30" t="n">
        <v>78344261</v>
      </c>
      <c r="D10625" s="30">
        <f>"08165642000233"</f>
        <v/>
      </c>
      <c r="E10625" s="30" t="inlineStr">
        <is>
          <t>GAT LOGISTICAS LTDA</t>
        </is>
      </c>
      <c r="F10625" s="30" t="inlineStr">
        <is>
          <t>2017</t>
        </is>
      </c>
      <c r="G10625" s="40" t="n">
        <v>5992.34</v>
      </c>
    </row>
    <row r="10626" ht="12" customHeight="1">
      <c r="A10626" s="30" t="inlineStr">
        <is>
          <t>POR</t>
        </is>
      </c>
      <c r="B10626" s="30" t="inlineStr">
        <is>
          <t>Porto Real</t>
        </is>
      </c>
      <c r="C10626" s="30" t="n">
        <v>78344261</v>
      </c>
      <c r="D10626" s="30">
        <f>"08165642000233"</f>
        <v/>
      </c>
      <c r="E10626" s="30" t="inlineStr">
        <is>
          <t>GAT LOGISTICAS LTDA</t>
        </is>
      </c>
      <c r="F10626" s="30" t="inlineStr">
        <is>
          <t>2018</t>
        </is>
      </c>
      <c r="G10626" s="40" t="n">
        <v>0</v>
      </c>
    </row>
    <row r="10627" ht="12" customHeight="1">
      <c r="A10627" s="30" t="inlineStr">
        <is>
          <t>POR</t>
        </is>
      </c>
      <c r="B10627" s="30" t="inlineStr">
        <is>
          <t>Porto Real</t>
        </is>
      </c>
      <c r="C10627" s="30" t="n">
        <v>78344261</v>
      </c>
      <c r="D10627" s="30">
        <f>"08165642000233"</f>
        <v/>
      </c>
      <c r="E10627" s="30" t="inlineStr">
        <is>
          <t>GAT LOGISTICAS LTDA</t>
        </is>
      </c>
      <c r="F10627" s="30" t="inlineStr">
        <is>
          <t>2019</t>
        </is>
      </c>
      <c r="G10627" s="40" t="n">
        <v>305.27</v>
      </c>
    </row>
    <row r="10628" ht="12" customHeight="1">
      <c r="A10628" s="30" t="inlineStr">
        <is>
          <t>POR</t>
        </is>
      </c>
      <c r="B10628" s="30" t="inlineStr">
        <is>
          <t>Porto Real</t>
        </is>
      </c>
      <c r="C10628" s="30" t="n">
        <v>78344261</v>
      </c>
      <c r="D10628" s="30">
        <f>"08165642000233"</f>
        <v/>
      </c>
      <c r="E10628" s="30" t="inlineStr">
        <is>
          <t>GAT LOGISTICAS LTDA</t>
        </is>
      </c>
      <c r="F10628" s="30" t="inlineStr">
        <is>
          <t>2020</t>
        </is>
      </c>
      <c r="G10628" s="40" t="n">
        <v>0</v>
      </c>
    </row>
    <row r="10629" ht="12" customHeight="1">
      <c r="A10629" s="30" t="inlineStr">
        <is>
          <t>POR</t>
        </is>
      </c>
      <c r="B10629" s="30" t="inlineStr">
        <is>
          <t>Porto Real</t>
        </is>
      </c>
      <c r="C10629" s="30" t="n">
        <v>78344261</v>
      </c>
      <c r="D10629" s="30">
        <f>"08165642000233"</f>
        <v/>
      </c>
      <c r="E10629" s="30" t="inlineStr">
        <is>
          <t>GAT LOGISTICAS LTDA</t>
        </is>
      </c>
      <c r="F10629" s="30" t="inlineStr">
        <is>
          <t>2021</t>
        </is>
      </c>
      <c r="G10629" s="40" t="n">
        <v>0</v>
      </c>
    </row>
    <row r="10630" ht="12" customHeight="1">
      <c r="A10630" s="30" t="inlineStr">
        <is>
          <t>POR</t>
        </is>
      </c>
      <c r="B10630" s="30" t="inlineStr">
        <is>
          <t>Porto Real</t>
        </is>
      </c>
      <c r="C10630" s="30" t="n">
        <v>78344261</v>
      </c>
      <c r="D10630" s="30">
        <f>"08165642000233"</f>
        <v/>
      </c>
      <c r="E10630" s="30" t="inlineStr">
        <is>
          <t>GAT LOGISTICAS LTDA</t>
        </is>
      </c>
      <c r="F10630" s="30" t="inlineStr">
        <is>
          <t>2022</t>
        </is>
      </c>
      <c r="G10630" s="40" t="n">
        <v>2104.85</v>
      </c>
    </row>
    <row r="10631" ht="12" customHeight="1">
      <c r="A10631" s="30" t="inlineStr">
        <is>
          <t>POR</t>
        </is>
      </c>
      <c r="B10631" s="30" t="inlineStr">
        <is>
          <t>Porto Real</t>
        </is>
      </c>
      <c r="C10631" s="30" t="n">
        <v>78344261</v>
      </c>
      <c r="D10631" s="30">
        <f>"08165642000233"</f>
        <v/>
      </c>
      <c r="E10631" s="30" t="inlineStr">
        <is>
          <t>GAT LOGISTICAS LTDA</t>
        </is>
      </c>
      <c r="F10631" s="30" t="inlineStr">
        <is>
          <t>2023</t>
        </is>
      </c>
      <c r="G10631" s="40" t="n">
        <v>1454.02</v>
      </c>
    </row>
    <row r="10632" ht="12" customHeight="1">
      <c r="A10632" s="30" t="inlineStr">
        <is>
          <t>POR</t>
        </is>
      </c>
      <c r="B10632" s="30" t="inlineStr">
        <is>
          <t>Porto Real</t>
        </is>
      </c>
      <c r="C10632" s="30" t="n">
        <v>78349433</v>
      </c>
      <c r="D10632" s="30">
        <f>"06012414000206"</f>
        <v/>
      </c>
      <c r="E10632" s="30" t="inlineStr">
        <is>
          <t>POSTO SOL DA DUTRA LTDA</t>
        </is>
      </c>
      <c r="F10632" s="30" t="inlineStr">
        <is>
          <t>2017</t>
        </is>
      </c>
      <c r="G10632" s="40" t="n">
        <v>3989555.3</v>
      </c>
    </row>
    <row r="10633" ht="12" customHeight="1">
      <c r="A10633" s="30" t="inlineStr">
        <is>
          <t>POR</t>
        </is>
      </c>
      <c r="B10633" s="30" t="inlineStr">
        <is>
          <t>Porto Real</t>
        </is>
      </c>
      <c r="C10633" s="30" t="n">
        <v>78349433</v>
      </c>
      <c r="D10633" s="30">
        <f>"06012414000206"</f>
        <v/>
      </c>
      <c r="E10633" s="30" t="inlineStr">
        <is>
          <t>POSTO SOL DA DUTRA LTDA</t>
        </is>
      </c>
      <c r="F10633" s="30" t="inlineStr">
        <is>
          <t>2018</t>
        </is>
      </c>
      <c r="G10633" s="40" t="n">
        <v>2754070.81</v>
      </c>
    </row>
    <row r="10634" ht="12" customHeight="1">
      <c r="A10634" s="30" t="inlineStr">
        <is>
          <t>POR</t>
        </is>
      </c>
      <c r="B10634" s="30" t="inlineStr">
        <is>
          <t>Porto Real</t>
        </is>
      </c>
      <c r="C10634" s="30" t="n">
        <v>78349433</v>
      </c>
      <c r="D10634" s="30">
        <f>"06012414000206"</f>
        <v/>
      </c>
      <c r="E10634" s="30" t="inlineStr">
        <is>
          <t>POSTO SOL DA DUTRA LTDA</t>
        </is>
      </c>
      <c r="F10634" s="30" t="inlineStr">
        <is>
          <t>2019</t>
        </is>
      </c>
      <c r="G10634" s="40" t="n">
        <v>2531898.15</v>
      </c>
    </row>
    <row r="10635" ht="12" customHeight="1">
      <c r="A10635" s="30" t="inlineStr">
        <is>
          <t>POR</t>
        </is>
      </c>
      <c r="B10635" s="30" t="inlineStr">
        <is>
          <t>Porto Real</t>
        </is>
      </c>
      <c r="C10635" s="30" t="n">
        <v>78349433</v>
      </c>
      <c r="D10635" s="30">
        <f>"06012414000206"</f>
        <v/>
      </c>
      <c r="E10635" s="30" t="inlineStr">
        <is>
          <t>POSTO SOL DA DUTRA LTDA</t>
        </is>
      </c>
      <c r="F10635" s="30" t="inlineStr">
        <is>
          <t>2020</t>
        </is>
      </c>
      <c r="G10635" s="40" t="n">
        <v>0</v>
      </c>
    </row>
    <row r="10636" ht="12" customHeight="1">
      <c r="A10636" s="30" t="inlineStr">
        <is>
          <t>POR</t>
        </is>
      </c>
      <c r="B10636" s="30" t="inlineStr">
        <is>
          <t>Porto Real</t>
        </is>
      </c>
      <c r="C10636" s="30" t="n">
        <v>78349433</v>
      </c>
      <c r="D10636" s="30">
        <f>"06012414000206"</f>
        <v/>
      </c>
      <c r="E10636" s="30" t="inlineStr">
        <is>
          <t>POSTO SOL DA DUTRA LTDA</t>
        </is>
      </c>
      <c r="F10636" s="30" t="inlineStr">
        <is>
          <t>2021</t>
        </is>
      </c>
      <c r="G10636" s="40" t="n">
        <v>2571659.72</v>
      </c>
    </row>
    <row r="10637" ht="12" customHeight="1">
      <c r="A10637" s="30" t="inlineStr">
        <is>
          <t>POR</t>
        </is>
      </c>
      <c r="B10637" s="30" t="inlineStr">
        <is>
          <t>Porto Real</t>
        </is>
      </c>
      <c r="C10637" s="30" t="n">
        <v>78349433</v>
      </c>
      <c r="D10637" s="30">
        <f>"06012414000206"</f>
        <v/>
      </c>
      <c r="E10637" s="30" t="inlineStr">
        <is>
          <t>POSTO SOL DA DUTRA LTDA</t>
        </is>
      </c>
      <c r="F10637" s="30" t="inlineStr">
        <is>
          <t>2022</t>
        </is>
      </c>
      <c r="G10637" s="40" t="n">
        <v>3419772.65</v>
      </c>
    </row>
    <row r="10638" ht="12" customHeight="1">
      <c r="A10638" s="30" t="inlineStr">
        <is>
          <t>POR</t>
        </is>
      </c>
      <c r="B10638" s="30" t="inlineStr">
        <is>
          <t>Porto Real</t>
        </is>
      </c>
      <c r="C10638" s="30" t="n">
        <v>78349433</v>
      </c>
      <c r="D10638" s="30">
        <f>"06012414000206"</f>
        <v/>
      </c>
      <c r="E10638" s="30" t="inlineStr">
        <is>
          <t>POSTO SOL DA DUTRA LTDA</t>
        </is>
      </c>
      <c r="F10638" s="30" t="inlineStr">
        <is>
          <t>2023</t>
        </is>
      </c>
      <c r="G10638" s="40" t="n">
        <v>0</v>
      </c>
    </row>
    <row r="10639" ht="12" customHeight="1">
      <c r="A10639" s="30" t="inlineStr">
        <is>
          <t>POR</t>
        </is>
      </c>
      <c r="B10639" s="30" t="inlineStr">
        <is>
          <t>Porto Real</t>
        </is>
      </c>
      <c r="C10639" s="30" t="n">
        <v>78351764</v>
      </c>
      <c r="D10639" s="30">
        <f>"09036926000101"</f>
        <v/>
      </c>
      <c r="E10639" s="30" t="inlineStr">
        <is>
          <t>RESTAURANTE PIEMONTE DE PORTO REAL LTDA</t>
        </is>
      </c>
      <c r="F10639" s="30" t="inlineStr">
        <is>
          <t>2017</t>
        </is>
      </c>
      <c r="G10639" s="40" t="n">
        <v>3235392.03</v>
      </c>
    </row>
    <row r="10640" ht="12" customHeight="1">
      <c r="A10640" s="30" t="inlineStr">
        <is>
          <t>POR</t>
        </is>
      </c>
      <c r="B10640" s="30" t="inlineStr">
        <is>
          <t>Porto Real</t>
        </is>
      </c>
      <c r="C10640" s="30" t="n">
        <v>78351764</v>
      </c>
      <c r="D10640" s="30">
        <f>"09036926000101"</f>
        <v/>
      </c>
      <c r="E10640" s="30" t="inlineStr">
        <is>
          <t>RESTAURANTE PIEMONTE DE PORTO REAL LTDA</t>
        </is>
      </c>
      <c r="F10640" s="30" t="inlineStr">
        <is>
          <t>2018</t>
        </is>
      </c>
      <c r="G10640" s="40" t="n">
        <v>3330026.63</v>
      </c>
    </row>
    <row r="10641" ht="12" customHeight="1">
      <c r="A10641" s="30" t="inlineStr">
        <is>
          <t>POR</t>
        </is>
      </c>
      <c r="B10641" s="30" t="inlineStr">
        <is>
          <t>Porto Real</t>
        </is>
      </c>
      <c r="C10641" s="30" t="n">
        <v>78351764</v>
      </c>
      <c r="D10641" s="30">
        <f>"09036926000101"</f>
        <v/>
      </c>
      <c r="E10641" s="30" t="inlineStr">
        <is>
          <t>RESTAURANTE PIEMONTE DE PORTO REAL LTDA</t>
        </is>
      </c>
      <c r="F10641" s="30" t="inlineStr">
        <is>
          <t>2019</t>
        </is>
      </c>
      <c r="G10641" s="40" t="n">
        <v>3274044.07</v>
      </c>
    </row>
    <row r="10642" ht="12" customHeight="1">
      <c r="A10642" s="30" t="inlineStr">
        <is>
          <t>POR</t>
        </is>
      </c>
      <c r="B10642" s="30" t="inlineStr">
        <is>
          <t>Porto Real</t>
        </is>
      </c>
      <c r="C10642" s="30" t="n">
        <v>78351764</v>
      </c>
      <c r="D10642" s="30">
        <f>"09036926000101"</f>
        <v/>
      </c>
      <c r="E10642" s="30" t="inlineStr">
        <is>
          <t>RESTAURANTE PIEMONTE DE PORTO REAL LTDA</t>
        </is>
      </c>
      <c r="F10642" s="30" t="inlineStr">
        <is>
          <t>2020</t>
        </is>
      </c>
      <c r="G10642" s="40" t="n">
        <v>1558854.4</v>
      </c>
    </row>
    <row r="10643" ht="12" customHeight="1">
      <c r="A10643" s="30" t="inlineStr">
        <is>
          <t>POR</t>
        </is>
      </c>
      <c r="B10643" s="30" t="inlineStr">
        <is>
          <t>Porto Real</t>
        </is>
      </c>
      <c r="C10643" s="30" t="n">
        <v>78351764</v>
      </c>
      <c r="D10643" s="30">
        <f>"09036926000101"</f>
        <v/>
      </c>
      <c r="E10643" s="30" t="inlineStr">
        <is>
          <t>RESTAURANTE PIEMONTE DE PORTO REAL LTDA</t>
        </is>
      </c>
      <c r="F10643" s="30" t="inlineStr">
        <is>
          <t>2021</t>
        </is>
      </c>
      <c r="G10643" s="40" t="n">
        <v>1653069.36</v>
      </c>
    </row>
    <row r="10644" ht="12" customHeight="1">
      <c r="A10644" s="30" t="inlineStr">
        <is>
          <t>POR</t>
        </is>
      </c>
      <c r="B10644" s="30" t="inlineStr">
        <is>
          <t>Porto Real</t>
        </is>
      </c>
      <c r="C10644" s="30" t="n">
        <v>78351764</v>
      </c>
      <c r="D10644" s="30">
        <f>"09036926000101"</f>
        <v/>
      </c>
      <c r="E10644" s="30" t="inlineStr">
        <is>
          <t>RESTAURANTE PIEMONTE DE PORTO REAL LTDA</t>
        </is>
      </c>
      <c r="F10644" s="30" t="inlineStr">
        <is>
          <t>2022</t>
        </is>
      </c>
      <c r="G10644" s="40" t="n">
        <v>2316054.22</v>
      </c>
    </row>
    <row r="10645" ht="12" customHeight="1">
      <c r="A10645" s="30" t="inlineStr">
        <is>
          <t>POR</t>
        </is>
      </c>
      <c r="B10645" s="30" t="inlineStr">
        <is>
          <t>Porto Real</t>
        </is>
      </c>
      <c r="C10645" s="30" t="n">
        <v>78351764</v>
      </c>
      <c r="D10645" s="30">
        <f>"09036926000101"</f>
        <v/>
      </c>
      <c r="E10645" s="30" t="inlineStr">
        <is>
          <t>RESTAURANTE PIEMONTE DE PORTO REAL LTDA</t>
        </is>
      </c>
      <c r="F10645" s="30" t="inlineStr">
        <is>
          <t>2023</t>
        </is>
      </c>
      <c r="G10645" s="40" t="n">
        <v>1812172.69</v>
      </c>
    </row>
    <row r="10646" ht="12" customHeight="1">
      <c r="A10646" s="30" t="inlineStr">
        <is>
          <t>POR</t>
        </is>
      </c>
      <c r="B10646" s="30" t="inlineStr">
        <is>
          <t>Porto Real</t>
        </is>
      </c>
      <c r="C10646" s="30" t="n">
        <v>78361336</v>
      </c>
      <c r="D10646" s="30">
        <f>"08860184000414"</f>
        <v/>
      </c>
      <c r="E10646" s="30" t="inlineStr">
        <is>
          <t>AGUIA BRANCA ENCOMENDAS</t>
        </is>
      </c>
      <c r="F10646" s="30" t="inlineStr">
        <is>
          <t>2017</t>
        </is>
      </c>
      <c r="G10646" s="40" t="n">
        <v>0</v>
      </c>
    </row>
    <row r="10647" ht="12" customHeight="1">
      <c r="A10647" s="30" t="inlineStr">
        <is>
          <t>POR</t>
        </is>
      </c>
      <c r="B10647" s="30" t="inlineStr">
        <is>
          <t>Porto Real</t>
        </is>
      </c>
      <c r="C10647" s="30" t="n">
        <v>78361336</v>
      </c>
      <c r="D10647" s="30">
        <f>"08860184000414"</f>
        <v/>
      </c>
      <c r="E10647" s="30" t="inlineStr">
        <is>
          <t>AGUIA BRANCA ENCOMENDAS</t>
        </is>
      </c>
      <c r="F10647" s="30" t="inlineStr">
        <is>
          <t>2018</t>
        </is>
      </c>
      <c r="G10647" s="40" t="n">
        <v>401.33</v>
      </c>
    </row>
    <row r="10648" ht="12" customHeight="1">
      <c r="A10648" s="30" t="inlineStr">
        <is>
          <t>POR</t>
        </is>
      </c>
      <c r="B10648" s="30" t="inlineStr">
        <is>
          <t>Porto Real</t>
        </is>
      </c>
      <c r="C10648" s="30" t="n">
        <v>78361336</v>
      </c>
      <c r="D10648" s="30">
        <f>"08860184000414"</f>
        <v/>
      </c>
      <c r="E10648" s="30" t="inlineStr">
        <is>
          <t>AGUIA BRANCA ENCOMENDAS</t>
        </is>
      </c>
      <c r="F10648" s="30" t="inlineStr">
        <is>
          <t>2019</t>
        </is>
      </c>
      <c r="G10648" s="40" t="n">
        <v>798.27</v>
      </c>
    </row>
    <row r="10649" ht="12" customHeight="1">
      <c r="A10649" s="30" t="inlineStr">
        <is>
          <t>POR</t>
        </is>
      </c>
      <c r="B10649" s="30" t="inlineStr">
        <is>
          <t>Porto Real</t>
        </is>
      </c>
      <c r="C10649" s="30" t="n">
        <v>78361336</v>
      </c>
      <c r="D10649" s="30">
        <f>"08860184000414"</f>
        <v/>
      </c>
      <c r="E10649" s="30" t="inlineStr">
        <is>
          <t>AGUIA BRANCA ENCOMENDAS</t>
        </is>
      </c>
      <c r="F10649" s="30" t="inlineStr">
        <is>
          <t>2020</t>
        </is>
      </c>
      <c r="G10649" s="40" t="n">
        <v>0</v>
      </c>
    </row>
    <row r="10650" ht="12" customHeight="1">
      <c r="A10650" s="30" t="inlineStr">
        <is>
          <t>POR</t>
        </is>
      </c>
      <c r="B10650" s="30" t="inlineStr">
        <is>
          <t>Porto Real</t>
        </is>
      </c>
      <c r="C10650" s="30" t="n">
        <v>78361336</v>
      </c>
      <c r="D10650" s="30">
        <f>"08860184000414"</f>
        <v/>
      </c>
      <c r="E10650" s="30" t="inlineStr">
        <is>
          <t>AGUIA BRANCA ENCOMENDAS</t>
        </is>
      </c>
      <c r="F10650" s="30" t="inlineStr">
        <is>
          <t>2021</t>
        </is>
      </c>
      <c r="G10650" s="40" t="n">
        <v>0</v>
      </c>
    </row>
    <row r="10651" ht="12" customHeight="1">
      <c r="A10651" s="30" t="inlineStr">
        <is>
          <t>POR</t>
        </is>
      </c>
      <c r="B10651" s="30" t="inlineStr">
        <is>
          <t>Porto Real</t>
        </is>
      </c>
      <c r="C10651" s="30" t="n">
        <v>78373571</v>
      </c>
      <c r="D10651" s="30">
        <f>"09059609000100"</f>
        <v/>
      </c>
      <c r="E10651" s="30" t="inlineStr">
        <is>
          <t>MM TRANSPORTES LOGISTICA E ARMAZENS LTDA ME</t>
        </is>
      </c>
      <c r="F10651" s="30" t="inlineStr">
        <is>
          <t>2021</t>
        </is>
      </c>
      <c r="G10651" s="40" t="n">
        <v>0</v>
      </c>
    </row>
    <row r="10652" ht="12" customHeight="1">
      <c r="A10652" s="30" t="inlineStr">
        <is>
          <t>POR</t>
        </is>
      </c>
      <c r="B10652" s="30" t="inlineStr">
        <is>
          <t>Porto Real</t>
        </is>
      </c>
      <c r="C10652" s="30" t="n">
        <v>78373571</v>
      </c>
      <c r="D10652" s="30">
        <f>"09059609000100"</f>
        <v/>
      </c>
      <c r="E10652" s="30" t="inlineStr">
        <is>
          <t>MM TRANSPORTES LOGISTICA E ARMAZENS LTDA ME</t>
        </is>
      </c>
      <c r="F10652" s="30" t="inlineStr">
        <is>
          <t>2022</t>
        </is>
      </c>
      <c r="G10652" s="40" t="n">
        <v>0</v>
      </c>
    </row>
    <row r="10653" ht="12" customHeight="1">
      <c r="A10653" s="30" t="inlineStr">
        <is>
          <t>POR</t>
        </is>
      </c>
      <c r="B10653" s="30" t="inlineStr">
        <is>
          <t>Porto Real</t>
        </is>
      </c>
      <c r="C10653" s="30" t="n">
        <v>78373571</v>
      </c>
      <c r="D10653" s="30">
        <f>"09059609000100"</f>
        <v/>
      </c>
      <c r="E10653" s="30" t="inlineStr">
        <is>
          <t>MM TRANSPORTES LOGISTICA E ARMAZENS LTDA ME</t>
        </is>
      </c>
      <c r="F10653" s="30" t="inlineStr">
        <is>
          <t>2023</t>
        </is>
      </c>
      <c r="G10653" s="40" t="n">
        <v>5493.07</v>
      </c>
    </row>
    <row r="10654" ht="12" customHeight="1">
      <c r="A10654" s="30" t="inlineStr">
        <is>
          <t>POR</t>
        </is>
      </c>
      <c r="B10654" s="30" t="inlineStr">
        <is>
          <t>Porto Real</t>
        </is>
      </c>
      <c r="C10654" s="30" t="n">
        <v>78387548</v>
      </c>
      <c r="D10654" s="30">
        <f>"09132659000176"</f>
        <v/>
      </c>
      <c r="E10654" s="30" t="inlineStr">
        <is>
          <t>EMBRATEL TVSAT TELECOMUNICACOES S A</t>
        </is>
      </c>
      <c r="F10654" s="30" t="inlineStr">
        <is>
          <t>2017</t>
        </is>
      </c>
      <c r="G10654" s="40" t="n">
        <v>149201.92</v>
      </c>
    </row>
    <row r="10655" ht="12" customHeight="1">
      <c r="A10655" s="30" t="inlineStr">
        <is>
          <t>POR</t>
        </is>
      </c>
      <c r="B10655" s="30" t="inlineStr">
        <is>
          <t>Porto Real</t>
        </is>
      </c>
      <c r="C10655" s="30" t="n">
        <v>78387548</v>
      </c>
      <c r="D10655" s="30">
        <f>"09132659000176"</f>
        <v/>
      </c>
      <c r="E10655" s="30" t="inlineStr">
        <is>
          <t>EMBRATEL TVSAT TELECOMUNICACOES S A</t>
        </is>
      </c>
      <c r="F10655" s="30" t="inlineStr">
        <is>
          <t>2018</t>
        </is>
      </c>
      <c r="G10655" s="40" t="n">
        <v>116814.66</v>
      </c>
    </row>
    <row r="10656" ht="12" customHeight="1">
      <c r="A10656" s="30" t="inlineStr">
        <is>
          <t>POR</t>
        </is>
      </c>
      <c r="B10656" s="30" t="inlineStr">
        <is>
          <t>Porto Real</t>
        </is>
      </c>
      <c r="C10656" s="30" t="n">
        <v>78387548</v>
      </c>
      <c r="D10656" s="30">
        <f>"09132659000176"</f>
        <v/>
      </c>
      <c r="E10656" s="30" t="inlineStr">
        <is>
          <t>EMBRATEL TVSAT TELECOMUNICACOES S A</t>
        </is>
      </c>
      <c r="F10656" s="30" t="inlineStr">
        <is>
          <t>2019</t>
        </is>
      </c>
      <c r="G10656" s="40" t="n">
        <v>106051.46</v>
      </c>
    </row>
    <row r="10657" ht="12" customHeight="1">
      <c r="A10657" s="30" t="inlineStr">
        <is>
          <t>POR</t>
        </is>
      </c>
      <c r="B10657" s="30" t="inlineStr">
        <is>
          <t>Porto Real</t>
        </is>
      </c>
      <c r="C10657" s="30" t="n">
        <v>78387548</v>
      </c>
      <c r="D10657" s="30">
        <f>"09132659000176"</f>
        <v/>
      </c>
      <c r="E10657" s="30" t="inlineStr">
        <is>
          <t>EMBRATEL TVSAT TELECOMUNICACOES S A</t>
        </is>
      </c>
      <c r="F10657" s="30" t="inlineStr">
        <is>
          <t>2020</t>
        </is>
      </c>
      <c r="G10657" s="40" t="n">
        <v>76881.87</v>
      </c>
    </row>
    <row r="10658" ht="12" customHeight="1">
      <c r="A10658" s="30" t="inlineStr">
        <is>
          <t>POR</t>
        </is>
      </c>
      <c r="B10658" s="30" t="inlineStr">
        <is>
          <t>Porto Real</t>
        </is>
      </c>
      <c r="C10658" s="30" t="n">
        <v>78387548</v>
      </c>
      <c r="D10658" s="30">
        <f>"09132659000176"</f>
        <v/>
      </c>
      <c r="E10658" s="30" t="inlineStr">
        <is>
          <t>EMBRATEL TVSAT TELECOMUNICACOES S A</t>
        </is>
      </c>
      <c r="F10658" s="30" t="inlineStr">
        <is>
          <t>2021</t>
        </is>
      </c>
      <c r="G10658" s="40" t="n">
        <v>60731.25</v>
      </c>
    </row>
    <row r="10659" ht="12" customHeight="1">
      <c r="A10659" s="30" t="inlineStr">
        <is>
          <t>POR</t>
        </is>
      </c>
      <c r="B10659" s="30" t="inlineStr">
        <is>
          <t>Porto Real</t>
        </is>
      </c>
      <c r="C10659" s="30" t="n">
        <v>78387548</v>
      </c>
      <c r="D10659" s="30">
        <f>"09132659000176"</f>
        <v/>
      </c>
      <c r="E10659" s="30" t="inlineStr">
        <is>
          <t>EMBRATEL TVSAT TELECOMUNICACOES S A</t>
        </is>
      </c>
      <c r="F10659" s="30" t="inlineStr">
        <is>
          <t>2022</t>
        </is>
      </c>
      <c r="G10659" s="40" t="n">
        <v>48834.28</v>
      </c>
    </row>
    <row r="10660" ht="12" customHeight="1">
      <c r="A10660" s="30" t="inlineStr">
        <is>
          <t>POR</t>
        </is>
      </c>
      <c r="B10660" s="30" t="inlineStr">
        <is>
          <t>Porto Real</t>
        </is>
      </c>
      <c r="C10660" s="30" t="n">
        <v>78387548</v>
      </c>
      <c r="D10660" s="30">
        <f>"09132659000176"</f>
        <v/>
      </c>
      <c r="E10660" s="30" t="inlineStr">
        <is>
          <t>EMBRATEL TVSAT TELECOMUNICACOES S A</t>
        </is>
      </c>
      <c r="F10660" s="30" t="inlineStr">
        <is>
          <t>2023</t>
        </is>
      </c>
      <c r="G10660" s="40" t="n">
        <v>39931.38</v>
      </c>
    </row>
    <row r="10661" ht="12" customHeight="1">
      <c r="A10661" s="30" t="inlineStr">
        <is>
          <t>POR</t>
        </is>
      </c>
      <c r="B10661" s="30" t="inlineStr">
        <is>
          <t>Porto Real</t>
        </is>
      </c>
      <c r="C10661" s="30" t="n">
        <v>78402687</v>
      </c>
      <c r="D10661" s="30">
        <f>"04884082000640"</f>
        <v/>
      </c>
      <c r="E10661" s="30" t="inlineStr">
        <is>
          <t>JADLOG LOGISTICA S.A.</t>
        </is>
      </c>
      <c r="F10661" s="30" t="inlineStr">
        <is>
          <t>2017</t>
        </is>
      </c>
      <c r="G10661" s="40" t="n">
        <v>0</v>
      </c>
    </row>
    <row r="10662" ht="12" customHeight="1">
      <c r="A10662" s="30" t="inlineStr">
        <is>
          <t>POR</t>
        </is>
      </c>
      <c r="B10662" s="30" t="inlineStr">
        <is>
          <t>Porto Real</t>
        </is>
      </c>
      <c r="C10662" s="30" t="n">
        <v>78402687</v>
      </c>
      <c r="D10662" s="30">
        <f>"04884082000640"</f>
        <v/>
      </c>
      <c r="E10662" s="30" t="inlineStr">
        <is>
          <t>JADLOG LOGISTICA S.A.</t>
        </is>
      </c>
      <c r="F10662" s="30" t="inlineStr">
        <is>
          <t>2018</t>
        </is>
      </c>
      <c r="G10662" s="40" t="n">
        <v>41771.52</v>
      </c>
    </row>
    <row r="10663" ht="12" customHeight="1">
      <c r="A10663" s="30" t="inlineStr">
        <is>
          <t>POR</t>
        </is>
      </c>
      <c r="B10663" s="30" t="inlineStr">
        <is>
          <t>Porto Real</t>
        </is>
      </c>
      <c r="C10663" s="30" t="n">
        <v>78402687</v>
      </c>
      <c r="D10663" s="30">
        <f>"04884082000640"</f>
        <v/>
      </c>
      <c r="E10663" s="30" t="inlineStr">
        <is>
          <t>JADLOG LOGISTICA S.A.</t>
        </is>
      </c>
      <c r="F10663" s="30" t="inlineStr">
        <is>
          <t>2019</t>
        </is>
      </c>
      <c r="G10663" s="40" t="n">
        <v>48302.97</v>
      </c>
    </row>
    <row r="10664" ht="12" customHeight="1">
      <c r="A10664" s="30" t="inlineStr">
        <is>
          <t>POR</t>
        </is>
      </c>
      <c r="B10664" s="30" t="inlineStr">
        <is>
          <t>Porto Real</t>
        </is>
      </c>
      <c r="C10664" s="30" t="n">
        <v>78402687</v>
      </c>
      <c r="D10664" s="30">
        <f>"04884082000640"</f>
        <v/>
      </c>
      <c r="E10664" s="30" t="inlineStr">
        <is>
          <t>JADLOG LOGISTICA S.A.</t>
        </is>
      </c>
      <c r="F10664" s="30" t="inlineStr">
        <is>
          <t>2020</t>
        </is>
      </c>
      <c r="G10664" s="40" t="n">
        <v>0</v>
      </c>
    </row>
    <row r="10665" ht="12" customHeight="1">
      <c r="A10665" s="30" t="inlineStr">
        <is>
          <t>POR</t>
        </is>
      </c>
      <c r="B10665" s="30" t="inlineStr">
        <is>
          <t>Porto Real</t>
        </is>
      </c>
      <c r="C10665" s="30" t="n">
        <v>78402687</v>
      </c>
      <c r="D10665" s="30">
        <f>"04884082000640"</f>
        <v/>
      </c>
      <c r="E10665" s="30" t="inlineStr">
        <is>
          <t>JADLOG LOGISTICA S.A.</t>
        </is>
      </c>
      <c r="F10665" s="30" t="inlineStr">
        <is>
          <t>2021</t>
        </is>
      </c>
      <c r="G10665" s="40" t="n">
        <v>0</v>
      </c>
    </row>
    <row r="10666" ht="12" customHeight="1">
      <c r="A10666" s="30" t="inlineStr">
        <is>
          <t>POR</t>
        </is>
      </c>
      <c r="B10666" s="30" t="inlineStr">
        <is>
          <t>Porto Real</t>
        </is>
      </c>
      <c r="C10666" s="30" t="n">
        <v>78402687</v>
      </c>
      <c r="D10666" s="30">
        <f>"04884082000640"</f>
        <v/>
      </c>
      <c r="E10666" s="30" t="inlineStr">
        <is>
          <t>JADLOG LOGISTICA S.A.</t>
        </is>
      </c>
      <c r="F10666" s="30" t="inlineStr">
        <is>
          <t>2022</t>
        </is>
      </c>
      <c r="G10666" s="40" t="n">
        <v>1601.02</v>
      </c>
    </row>
    <row r="10667" ht="12" customHeight="1">
      <c r="A10667" s="30" t="inlineStr">
        <is>
          <t>POR</t>
        </is>
      </c>
      <c r="B10667" s="30" t="inlineStr">
        <is>
          <t>Porto Real</t>
        </is>
      </c>
      <c r="C10667" s="30" t="n">
        <v>78402687</v>
      </c>
      <c r="D10667" s="30">
        <f>"04884082000640"</f>
        <v/>
      </c>
      <c r="E10667" s="30" t="inlineStr">
        <is>
          <t>JADLOG LOGISTICA S.A.</t>
        </is>
      </c>
      <c r="F10667" s="30" t="inlineStr">
        <is>
          <t>2023</t>
        </is>
      </c>
      <c r="G10667" s="40" t="n">
        <v>761.8200000000001</v>
      </c>
    </row>
    <row r="10668" ht="12" customHeight="1">
      <c r="A10668" s="30" t="inlineStr">
        <is>
          <t>POR</t>
        </is>
      </c>
      <c r="B10668" s="30" t="inlineStr">
        <is>
          <t>Porto Real</t>
        </is>
      </c>
      <c r="C10668" s="30" t="n">
        <v>78419709</v>
      </c>
      <c r="D10668" s="30">
        <f>"09229680000194"</f>
        <v/>
      </c>
      <c r="E10668" s="30" t="inlineStr">
        <is>
          <t>MONTEIRO &amp; NASCIMENTO TRANSPORTADORA LTDA EPP</t>
        </is>
      </c>
      <c r="F10668" s="30" t="inlineStr">
        <is>
          <t>2017</t>
        </is>
      </c>
      <c r="G10668" s="40" t="n">
        <v>0</v>
      </c>
    </row>
    <row r="10669" ht="12" customHeight="1">
      <c r="A10669" s="30" t="inlineStr">
        <is>
          <t>POR</t>
        </is>
      </c>
      <c r="B10669" s="30" t="inlineStr">
        <is>
          <t>Porto Real</t>
        </is>
      </c>
      <c r="C10669" s="30" t="n">
        <v>78419709</v>
      </c>
      <c r="D10669" s="30">
        <f>"09229680000194"</f>
        <v/>
      </c>
      <c r="E10669" s="30" t="inlineStr">
        <is>
          <t>MONTEIRO &amp; NASCIMENTO TRANSPORTADORA LTDA EPP</t>
        </is>
      </c>
      <c r="F10669" s="30" t="inlineStr">
        <is>
          <t>2018</t>
        </is>
      </c>
      <c r="G10669" s="40" t="n">
        <v>0</v>
      </c>
    </row>
    <row r="10670" ht="12" customHeight="1">
      <c r="A10670" s="30" t="inlineStr">
        <is>
          <t>POR</t>
        </is>
      </c>
      <c r="B10670" s="30" t="inlineStr">
        <is>
          <t>Porto Real</t>
        </is>
      </c>
      <c r="C10670" s="30" t="n">
        <v>78419709</v>
      </c>
      <c r="D10670" s="30">
        <f>"09229680000194"</f>
        <v/>
      </c>
      <c r="E10670" s="30" t="inlineStr">
        <is>
          <t>MONTEIRO &amp; NASCIMENTO TRANSPORTADORA LTDA EPP</t>
        </is>
      </c>
      <c r="F10670" s="30" t="inlineStr">
        <is>
          <t>2019</t>
        </is>
      </c>
      <c r="G10670" s="40" t="n">
        <v>901.45</v>
      </c>
    </row>
    <row r="10671" ht="12" customHeight="1">
      <c r="A10671" s="30" t="inlineStr">
        <is>
          <t>POR</t>
        </is>
      </c>
      <c r="B10671" s="30" t="inlineStr">
        <is>
          <t>Porto Real</t>
        </is>
      </c>
      <c r="C10671" s="30" t="n">
        <v>78419709</v>
      </c>
      <c r="D10671" s="30">
        <f>"09229680000194"</f>
        <v/>
      </c>
      <c r="E10671" s="30" t="inlineStr">
        <is>
          <t>MONTEIRO &amp; NASCIMENTO TRANSPORTADORA LTDA EPP</t>
        </is>
      </c>
      <c r="F10671" s="30" t="inlineStr">
        <is>
          <t>2020</t>
        </is>
      </c>
      <c r="G10671" s="40" t="n">
        <v>801.29</v>
      </c>
    </row>
    <row r="10672" ht="12" customHeight="1">
      <c r="A10672" s="30" t="inlineStr">
        <is>
          <t>POR</t>
        </is>
      </c>
      <c r="B10672" s="30" t="inlineStr">
        <is>
          <t>Porto Real</t>
        </is>
      </c>
      <c r="C10672" s="30" t="n">
        <v>78419709</v>
      </c>
      <c r="D10672" s="30">
        <f>"09229680000194"</f>
        <v/>
      </c>
      <c r="E10672" s="30" t="inlineStr">
        <is>
          <t>MONTEIRO &amp; NASCIMENTO TRANSPORTADORA LTDA EPP</t>
        </is>
      </c>
      <c r="F10672" s="30" t="inlineStr">
        <is>
          <t>2021</t>
        </is>
      </c>
      <c r="G10672" s="40" t="n">
        <v>0</v>
      </c>
    </row>
    <row r="10673" ht="12" customHeight="1">
      <c r="A10673" s="30" t="inlineStr">
        <is>
          <t>POR</t>
        </is>
      </c>
      <c r="B10673" s="30" t="inlineStr">
        <is>
          <t>Porto Real</t>
        </is>
      </c>
      <c r="C10673" s="30" t="n">
        <v>78419709</v>
      </c>
      <c r="D10673" s="30">
        <f>"09229680000194"</f>
        <v/>
      </c>
      <c r="E10673" s="30" t="inlineStr">
        <is>
          <t>MONTEIRO &amp; NASCIMENTO TRANSPORTADORA LTDA EPP</t>
        </is>
      </c>
      <c r="F10673" s="30" t="inlineStr">
        <is>
          <t>2022</t>
        </is>
      </c>
      <c r="G10673" s="40" t="n">
        <v>0</v>
      </c>
    </row>
    <row r="10674" ht="12" customHeight="1">
      <c r="A10674" s="30" t="inlineStr">
        <is>
          <t>POR</t>
        </is>
      </c>
      <c r="B10674" s="30" t="inlineStr">
        <is>
          <t>Porto Real</t>
        </is>
      </c>
      <c r="C10674" s="30" t="n">
        <v>78489995</v>
      </c>
      <c r="D10674" s="30">
        <f>"21570775000334"</f>
        <v/>
      </c>
      <c r="E10674" s="30" t="inlineStr">
        <is>
          <t>PICORELLI S/A TRANSPORTES</t>
        </is>
      </c>
      <c r="F10674" s="30" t="inlineStr">
        <is>
          <t>2020</t>
        </is>
      </c>
      <c r="G10674" s="40" t="n">
        <v>0</v>
      </c>
    </row>
    <row r="10675" ht="12" customHeight="1">
      <c r="A10675" s="30" t="inlineStr">
        <is>
          <t>POR</t>
        </is>
      </c>
      <c r="B10675" s="30" t="inlineStr">
        <is>
          <t>Porto Real</t>
        </is>
      </c>
      <c r="C10675" s="30" t="n">
        <v>78489995</v>
      </c>
      <c r="D10675" s="30">
        <f>"21570775000334"</f>
        <v/>
      </c>
      <c r="E10675" s="30" t="inlineStr">
        <is>
          <t>PICORELLI S/A TRANSPORTES</t>
        </is>
      </c>
      <c r="F10675" s="30" t="inlineStr">
        <is>
          <t>2021</t>
        </is>
      </c>
      <c r="G10675" s="40" t="n">
        <v>0</v>
      </c>
    </row>
    <row r="10676" ht="12" customHeight="1">
      <c r="A10676" s="30" t="inlineStr">
        <is>
          <t>POR</t>
        </is>
      </c>
      <c r="B10676" s="30" t="inlineStr">
        <is>
          <t>Porto Real</t>
        </is>
      </c>
      <c r="C10676" s="30" t="n">
        <v>78489995</v>
      </c>
      <c r="D10676" s="30">
        <f>"21570775000334"</f>
        <v/>
      </c>
      <c r="E10676" s="30" t="inlineStr">
        <is>
          <t>PICORELLI S/A TRANSPORTES</t>
        </is>
      </c>
      <c r="F10676" s="30" t="inlineStr">
        <is>
          <t>2022</t>
        </is>
      </c>
      <c r="G10676" s="40" t="n">
        <v>2135.46</v>
      </c>
    </row>
    <row r="10677" ht="12" customHeight="1">
      <c r="A10677" s="30" t="inlineStr">
        <is>
          <t>POR</t>
        </is>
      </c>
      <c r="B10677" s="30" t="inlineStr">
        <is>
          <t>Porto Real</t>
        </is>
      </c>
      <c r="C10677" s="30" t="n">
        <v>78489995</v>
      </c>
      <c r="D10677" s="30">
        <f>"21570775000334"</f>
        <v/>
      </c>
      <c r="E10677" s="30" t="inlineStr">
        <is>
          <t>PICORELLI S/A TRANSPORTES</t>
        </is>
      </c>
      <c r="F10677" s="30" t="inlineStr">
        <is>
          <t>2023</t>
        </is>
      </c>
      <c r="G10677" s="40" t="n">
        <v>0</v>
      </c>
    </row>
    <row r="10678" ht="12" customHeight="1">
      <c r="A10678" s="30" t="inlineStr">
        <is>
          <t>POR</t>
        </is>
      </c>
      <c r="B10678" s="30" t="inlineStr">
        <is>
          <t>Porto Real</t>
        </is>
      </c>
      <c r="C10678" s="30" t="n">
        <v>78494506</v>
      </c>
      <c r="D10678" s="30">
        <f>"00634453000846"</f>
        <v/>
      </c>
      <c r="E10678" s="30" t="inlineStr">
        <is>
          <t>T S V TRANSPORTES RAPIDOS LTDA</t>
        </is>
      </c>
      <c r="F10678" s="30" t="inlineStr">
        <is>
          <t>2017</t>
        </is>
      </c>
      <c r="G10678" s="40" t="n">
        <v>5616.24</v>
      </c>
    </row>
    <row r="10679" ht="12" customHeight="1">
      <c r="A10679" s="30" t="inlineStr">
        <is>
          <t>POR</t>
        </is>
      </c>
      <c r="B10679" s="30" t="inlineStr">
        <is>
          <t>Porto Real</t>
        </is>
      </c>
      <c r="C10679" s="30" t="n">
        <v>78494506</v>
      </c>
      <c r="D10679" s="30">
        <f>"00634453000846"</f>
        <v/>
      </c>
      <c r="E10679" s="30" t="inlineStr">
        <is>
          <t>T S V TRANSPORTES RAPIDOS LTDA</t>
        </is>
      </c>
      <c r="F10679" s="30" t="inlineStr">
        <is>
          <t>2018</t>
        </is>
      </c>
      <c r="G10679" s="40" t="n">
        <v>802.74</v>
      </c>
    </row>
    <row r="10680" ht="12" customHeight="1">
      <c r="A10680" s="30" t="inlineStr">
        <is>
          <t>POR</t>
        </is>
      </c>
      <c r="B10680" s="30" t="inlineStr">
        <is>
          <t>Porto Real</t>
        </is>
      </c>
      <c r="C10680" s="30" t="n">
        <v>78494506</v>
      </c>
      <c r="D10680" s="30">
        <f>"00634453000846"</f>
        <v/>
      </c>
      <c r="E10680" s="30" t="inlineStr">
        <is>
          <t>T S V TRANSPORTES RAPIDOS LTDA</t>
        </is>
      </c>
      <c r="F10680" s="30" t="inlineStr">
        <is>
          <t>2019</t>
        </is>
      </c>
      <c r="G10680" s="40" t="n">
        <v>2454.22</v>
      </c>
    </row>
    <row r="10681" ht="12" customHeight="1">
      <c r="A10681" s="30" t="inlineStr">
        <is>
          <t>POR</t>
        </is>
      </c>
      <c r="B10681" s="30" t="inlineStr">
        <is>
          <t>Porto Real</t>
        </is>
      </c>
      <c r="C10681" s="30" t="n">
        <v>78494506</v>
      </c>
      <c r="D10681" s="30">
        <f>"00634453000846"</f>
        <v/>
      </c>
      <c r="E10681" s="30" t="inlineStr">
        <is>
          <t>T S V TRANSPORTES RAPIDOS LTDA</t>
        </is>
      </c>
      <c r="F10681" s="30" t="inlineStr">
        <is>
          <t>2020</t>
        </is>
      </c>
      <c r="G10681" s="40" t="n">
        <v>198.65</v>
      </c>
    </row>
    <row r="10682" ht="12" customHeight="1">
      <c r="A10682" s="30" t="inlineStr">
        <is>
          <t>POR</t>
        </is>
      </c>
      <c r="B10682" s="30" t="inlineStr">
        <is>
          <t>Porto Real</t>
        </is>
      </c>
      <c r="C10682" s="30" t="n">
        <v>78494506</v>
      </c>
      <c r="D10682" s="30">
        <f>"00634453000846"</f>
        <v/>
      </c>
      <c r="E10682" s="30" t="inlineStr">
        <is>
          <t>T S V TRANSPORTES RAPIDOS LTDA</t>
        </is>
      </c>
      <c r="F10682" s="30" t="inlineStr">
        <is>
          <t>2021</t>
        </is>
      </c>
      <c r="G10682" s="40" t="n">
        <v>0</v>
      </c>
    </row>
    <row r="10683" ht="12" customHeight="1">
      <c r="A10683" s="30" t="inlineStr">
        <is>
          <t>POR</t>
        </is>
      </c>
      <c r="B10683" s="30" t="inlineStr">
        <is>
          <t>Porto Real</t>
        </is>
      </c>
      <c r="C10683" s="30" t="n">
        <v>78494506</v>
      </c>
      <c r="D10683" s="30">
        <f>"00634453000846"</f>
        <v/>
      </c>
      <c r="E10683" s="30" t="inlineStr">
        <is>
          <t>T S V TRANSPORTES RAPIDOS LTDA</t>
        </is>
      </c>
      <c r="F10683" s="30" t="inlineStr">
        <is>
          <t>2022</t>
        </is>
      </c>
      <c r="G10683" s="40" t="n">
        <v>112.86</v>
      </c>
    </row>
    <row r="10684" ht="12" customHeight="1">
      <c r="A10684" s="30" t="inlineStr">
        <is>
          <t>POR</t>
        </is>
      </c>
      <c r="B10684" s="30" t="inlineStr">
        <is>
          <t>Porto Real</t>
        </is>
      </c>
      <c r="C10684" s="30" t="n">
        <v>78494506</v>
      </c>
      <c r="D10684" s="30">
        <f>"00634453000846"</f>
        <v/>
      </c>
      <c r="E10684" s="30" t="inlineStr">
        <is>
          <t>T S V TRANSPORTES RAPIDOS LTDA</t>
        </is>
      </c>
      <c r="F10684" s="30" t="inlineStr">
        <is>
          <t>2023</t>
        </is>
      </c>
      <c r="G10684" s="40" t="n">
        <v>466.17</v>
      </c>
    </row>
    <row r="10685" ht="12" customHeight="1">
      <c r="A10685" s="30" t="inlineStr">
        <is>
          <t>POR</t>
        </is>
      </c>
      <c r="B10685" s="30" t="inlineStr">
        <is>
          <t>Porto Real</t>
        </is>
      </c>
      <c r="C10685" s="30" t="n">
        <v>78498560</v>
      </c>
      <c r="D10685" s="30">
        <f>"01107327000553"</f>
        <v/>
      </c>
      <c r="E10685" s="30" t="inlineStr">
        <is>
          <t>BBM LOGISTICA SA</t>
        </is>
      </c>
      <c r="F10685" s="30" t="inlineStr">
        <is>
          <t>2018</t>
        </is>
      </c>
      <c r="G10685" s="40" t="n">
        <v>0</v>
      </c>
    </row>
    <row r="10686" ht="12" customHeight="1">
      <c r="A10686" s="30" t="inlineStr">
        <is>
          <t>POR</t>
        </is>
      </c>
      <c r="B10686" s="30" t="inlineStr">
        <is>
          <t>Porto Real</t>
        </is>
      </c>
      <c r="C10686" s="30" t="n">
        <v>78498560</v>
      </c>
      <c r="D10686" s="30">
        <f>"01107327000553"</f>
        <v/>
      </c>
      <c r="E10686" s="30" t="inlineStr">
        <is>
          <t>BBM LOGISTICA SA</t>
        </is>
      </c>
      <c r="F10686" s="30" t="inlineStr">
        <is>
          <t>2019</t>
        </is>
      </c>
      <c r="G10686" s="40" t="n">
        <v>0</v>
      </c>
    </row>
    <row r="10687" ht="12" customHeight="1">
      <c r="A10687" s="30" t="inlineStr">
        <is>
          <t>POR</t>
        </is>
      </c>
      <c r="B10687" s="30" t="inlineStr">
        <is>
          <t>Porto Real</t>
        </is>
      </c>
      <c r="C10687" s="30" t="n">
        <v>78498560</v>
      </c>
      <c r="D10687" s="30">
        <f>"01107327000553"</f>
        <v/>
      </c>
      <c r="E10687" s="30" t="inlineStr">
        <is>
          <t>BBM LOGISTICA SA</t>
        </is>
      </c>
      <c r="F10687" s="30" t="inlineStr">
        <is>
          <t>2020</t>
        </is>
      </c>
      <c r="G10687" s="40" t="n">
        <v>2697.07</v>
      </c>
    </row>
    <row r="10688" ht="12" customHeight="1">
      <c r="A10688" s="30" t="inlineStr">
        <is>
          <t>POR</t>
        </is>
      </c>
      <c r="B10688" s="30" t="inlineStr">
        <is>
          <t>Porto Real</t>
        </is>
      </c>
      <c r="C10688" s="30" t="n">
        <v>78498560</v>
      </c>
      <c r="D10688" s="30">
        <f>"01107327000553"</f>
        <v/>
      </c>
      <c r="E10688" s="30" t="inlineStr">
        <is>
          <t>BBM LOGISTICA SA</t>
        </is>
      </c>
      <c r="F10688" s="30" t="inlineStr">
        <is>
          <t>2021</t>
        </is>
      </c>
      <c r="G10688" s="40" t="n">
        <v>53572.02</v>
      </c>
    </row>
    <row r="10689" ht="12" customHeight="1">
      <c r="A10689" s="30" t="inlineStr">
        <is>
          <t>POR</t>
        </is>
      </c>
      <c r="B10689" s="30" t="inlineStr">
        <is>
          <t>Porto Real</t>
        </is>
      </c>
      <c r="C10689" s="30" t="n">
        <v>78498560</v>
      </c>
      <c r="D10689" s="30">
        <f>"01107327000553"</f>
        <v/>
      </c>
      <c r="E10689" s="30" t="inlineStr">
        <is>
          <t>BBM LOGISTICA SA</t>
        </is>
      </c>
      <c r="F10689" s="30" t="inlineStr">
        <is>
          <t>2022</t>
        </is>
      </c>
      <c r="G10689" s="40" t="n">
        <v>1514.77</v>
      </c>
    </row>
    <row r="10690" ht="12" customHeight="1">
      <c r="A10690" s="30" t="inlineStr">
        <is>
          <t>POR</t>
        </is>
      </c>
      <c r="B10690" s="30" t="inlineStr">
        <is>
          <t>Porto Real</t>
        </is>
      </c>
      <c r="C10690" s="30" t="n">
        <v>78498560</v>
      </c>
      <c r="D10690" s="30">
        <f>"01107327000553"</f>
        <v/>
      </c>
      <c r="E10690" s="30" t="inlineStr">
        <is>
          <t>BBM LOGISTICA SA</t>
        </is>
      </c>
      <c r="F10690" s="30" t="inlineStr">
        <is>
          <t>2023</t>
        </is>
      </c>
      <c r="G10690" s="40" t="n">
        <v>0</v>
      </c>
    </row>
    <row r="10691" ht="12" customHeight="1">
      <c r="A10691" s="30" t="inlineStr">
        <is>
          <t>POR</t>
        </is>
      </c>
      <c r="B10691" s="30" t="inlineStr">
        <is>
          <t>Porto Real</t>
        </is>
      </c>
      <c r="C10691" s="30" t="n">
        <v>78498854</v>
      </c>
      <c r="D10691" s="30">
        <f>"61288940004533"</f>
        <v/>
      </c>
      <c r="E10691" s="30" t="inlineStr">
        <is>
          <t>GAFOR LTDA</t>
        </is>
      </c>
      <c r="F10691" s="30" t="inlineStr">
        <is>
          <t>2017</t>
        </is>
      </c>
      <c r="G10691" s="40" t="n">
        <v>559.97</v>
      </c>
    </row>
    <row r="10692" ht="12" customHeight="1">
      <c r="A10692" s="30" t="inlineStr">
        <is>
          <t>POR</t>
        </is>
      </c>
      <c r="B10692" s="30" t="inlineStr">
        <is>
          <t>Porto Real</t>
        </is>
      </c>
      <c r="C10692" s="30" t="n">
        <v>78498854</v>
      </c>
      <c r="D10692" s="30">
        <f>"61288940004533"</f>
        <v/>
      </c>
      <c r="E10692" s="30" t="inlineStr">
        <is>
          <t>GAFOR LTDA</t>
        </is>
      </c>
      <c r="F10692" s="30" t="inlineStr">
        <is>
          <t>2018</t>
        </is>
      </c>
      <c r="G10692" s="40" t="n">
        <v>0</v>
      </c>
    </row>
    <row r="10693" ht="12" customHeight="1">
      <c r="A10693" s="30" t="inlineStr">
        <is>
          <t>POR</t>
        </is>
      </c>
      <c r="B10693" s="30" t="inlineStr">
        <is>
          <t>Porto Real</t>
        </is>
      </c>
      <c r="C10693" s="30" t="n">
        <v>78498854</v>
      </c>
      <c r="D10693" s="30">
        <f>"61288940004533"</f>
        <v/>
      </c>
      <c r="E10693" s="30" t="inlineStr">
        <is>
          <t>GAFOR LTDA</t>
        </is>
      </c>
      <c r="F10693" s="30" t="inlineStr">
        <is>
          <t>2019</t>
        </is>
      </c>
      <c r="G10693" s="40" t="n">
        <v>0</v>
      </c>
    </row>
    <row r="10694" ht="12" customHeight="1">
      <c r="A10694" s="30" t="inlineStr">
        <is>
          <t>POR</t>
        </is>
      </c>
      <c r="B10694" s="30" t="inlineStr">
        <is>
          <t>Porto Real</t>
        </is>
      </c>
      <c r="C10694" s="30" t="n">
        <v>78528460</v>
      </c>
      <c r="D10694" s="30">
        <f>"09459471000137"</f>
        <v/>
      </c>
      <c r="E10694" s="30" t="inlineStr">
        <is>
          <t>PROJECT 2008 PROJETOS E CONSULTORIA LTDA</t>
        </is>
      </c>
      <c r="F10694" s="30" t="inlineStr">
        <is>
          <t>2017</t>
        </is>
      </c>
      <c r="G10694" s="40" t="n">
        <v>0</v>
      </c>
    </row>
    <row r="10695" ht="12" customHeight="1">
      <c r="A10695" s="30" t="inlineStr">
        <is>
          <t>POR</t>
        </is>
      </c>
      <c r="B10695" s="30" t="inlineStr">
        <is>
          <t>Porto Real</t>
        </is>
      </c>
      <c r="C10695" s="30" t="n">
        <v>78528460</v>
      </c>
      <c r="D10695" s="30">
        <f>"09459471000137"</f>
        <v/>
      </c>
      <c r="E10695" s="30" t="inlineStr">
        <is>
          <t>PROJECT 2008 PROJETOS E CONSULTORIA LTDA</t>
        </is>
      </c>
      <c r="F10695" s="30" t="inlineStr">
        <is>
          <t>2018</t>
        </is>
      </c>
      <c r="G10695" s="40" t="n">
        <v>0</v>
      </c>
    </row>
    <row r="10696" ht="12" customHeight="1">
      <c r="A10696" s="30" t="inlineStr">
        <is>
          <t>POR</t>
        </is>
      </c>
      <c r="B10696" s="30" t="inlineStr">
        <is>
          <t>Porto Real</t>
        </is>
      </c>
      <c r="C10696" s="30" t="n">
        <v>78528460</v>
      </c>
      <c r="D10696" s="30">
        <f>"09459471000137"</f>
        <v/>
      </c>
      <c r="E10696" s="30" t="inlineStr">
        <is>
          <t>PROJECT 2008 PROJETOS E CONSULTORIA LTDA</t>
        </is>
      </c>
      <c r="F10696" s="30" t="inlineStr">
        <is>
          <t>2019</t>
        </is>
      </c>
      <c r="G10696" s="40" t="n">
        <v>0</v>
      </c>
    </row>
    <row r="10697" ht="12" customHeight="1">
      <c r="A10697" s="30" t="inlineStr">
        <is>
          <t>POR</t>
        </is>
      </c>
      <c r="B10697" s="30" t="inlineStr">
        <is>
          <t>Porto Real</t>
        </is>
      </c>
      <c r="C10697" s="30" t="n">
        <v>78536870</v>
      </c>
      <c r="D10697" s="30">
        <f>"08875763000350"</f>
        <v/>
      </c>
      <c r="E10697" s="30" t="inlineStr">
        <is>
          <t>AUTOLOG TRANSPORTES LOGISTICA E ARMAZENAGEM EIRELI</t>
        </is>
      </c>
      <c r="F10697" s="30" t="inlineStr">
        <is>
          <t>2017</t>
        </is>
      </c>
      <c r="G10697" s="40" t="n">
        <v>0</v>
      </c>
    </row>
    <row r="10698" ht="12" customHeight="1">
      <c r="A10698" s="30" t="inlineStr">
        <is>
          <t>POR</t>
        </is>
      </c>
      <c r="B10698" s="30" t="inlineStr">
        <is>
          <t>Porto Real</t>
        </is>
      </c>
      <c r="C10698" s="30" t="n">
        <v>78536870</v>
      </c>
      <c r="D10698" s="30">
        <f>"08875763000350"</f>
        <v/>
      </c>
      <c r="E10698" s="30" t="inlineStr">
        <is>
          <t>AUTOLOG TRANSPORTES LOGISTICA E ARMAZENAGEM EIRELI</t>
        </is>
      </c>
      <c r="F10698" s="30" t="inlineStr">
        <is>
          <t>2018</t>
        </is>
      </c>
      <c r="G10698" s="40" t="n">
        <v>0</v>
      </c>
    </row>
    <row r="10699" ht="12" customHeight="1">
      <c r="A10699" s="30" t="inlineStr">
        <is>
          <t>POR</t>
        </is>
      </c>
      <c r="B10699" s="30" t="inlineStr">
        <is>
          <t>Porto Real</t>
        </is>
      </c>
      <c r="C10699" s="30" t="n">
        <v>78536870</v>
      </c>
      <c r="D10699" s="30">
        <f>"08875763000350"</f>
        <v/>
      </c>
      <c r="E10699" s="30" t="inlineStr">
        <is>
          <t>AUTOLOG TRANSPORTES LOGISTICA E ARMAZENAGEM EIRELI</t>
        </is>
      </c>
      <c r="F10699" s="30" t="inlineStr">
        <is>
          <t>2019</t>
        </is>
      </c>
      <c r="G10699" s="40" t="n">
        <v>15774.38</v>
      </c>
    </row>
    <row r="10700" ht="12" customHeight="1">
      <c r="A10700" s="30" t="inlineStr">
        <is>
          <t>POR</t>
        </is>
      </c>
      <c r="B10700" s="30" t="inlineStr">
        <is>
          <t>Porto Real</t>
        </is>
      </c>
      <c r="C10700" s="30" t="n">
        <v>78536870</v>
      </c>
      <c r="D10700" s="30">
        <f>"08875763000350"</f>
        <v/>
      </c>
      <c r="E10700" s="30" t="inlineStr">
        <is>
          <t>AUTOLOG TRANSPORTES LOGISTICA E ARMAZENAGEM EIRELI</t>
        </is>
      </c>
      <c r="F10700" s="30" t="inlineStr">
        <is>
          <t>2020</t>
        </is>
      </c>
      <c r="G10700" s="40" t="n">
        <v>0</v>
      </c>
    </row>
    <row r="10701" ht="12" customHeight="1">
      <c r="A10701" s="30" t="inlineStr">
        <is>
          <t>POR</t>
        </is>
      </c>
      <c r="B10701" s="30" t="inlineStr">
        <is>
          <t>Porto Real</t>
        </is>
      </c>
      <c r="C10701" s="30" t="n">
        <v>78536870</v>
      </c>
      <c r="D10701" s="30">
        <f>"08875763000350"</f>
        <v/>
      </c>
      <c r="E10701" s="30" t="inlineStr">
        <is>
          <t>AUTOLOG TRANSPORTES LOGISTICA E ARMAZENAGEM EIRELI</t>
        </is>
      </c>
      <c r="F10701" s="30" t="inlineStr">
        <is>
          <t>2021</t>
        </is>
      </c>
      <c r="G10701" s="40" t="n">
        <v>0</v>
      </c>
    </row>
    <row r="10702" ht="12" customHeight="1">
      <c r="A10702" s="30" t="inlineStr">
        <is>
          <t>POR</t>
        </is>
      </c>
      <c r="B10702" s="30" t="inlineStr">
        <is>
          <t>Porto Real</t>
        </is>
      </c>
      <c r="C10702" s="30" t="n">
        <v>78558652</v>
      </c>
      <c r="D10702" s="30">
        <f>"48539407003133"</f>
        <v/>
      </c>
      <c r="E10702" s="30" t="inlineStr">
        <is>
          <t>BASF SA</t>
        </is>
      </c>
      <c r="F10702" s="30" t="inlineStr">
        <is>
          <t>2017</t>
        </is>
      </c>
      <c r="G10702" s="40" t="n">
        <v>8999064.039999999</v>
      </c>
    </row>
    <row r="10703" ht="12" customHeight="1">
      <c r="A10703" s="30" t="inlineStr">
        <is>
          <t>POR</t>
        </is>
      </c>
      <c r="B10703" s="30" t="inlineStr">
        <is>
          <t>Porto Real</t>
        </is>
      </c>
      <c r="C10703" s="30" t="n">
        <v>78558652</v>
      </c>
      <c r="D10703" s="30">
        <f>"48539407003133"</f>
        <v/>
      </c>
      <c r="E10703" s="30" t="inlineStr">
        <is>
          <t>BASF SA</t>
        </is>
      </c>
      <c r="F10703" s="30" t="inlineStr">
        <is>
          <t>2018</t>
        </is>
      </c>
      <c r="G10703" s="40" t="n">
        <v>5908727.35</v>
      </c>
    </row>
    <row r="10704" ht="12" customHeight="1">
      <c r="A10704" s="30" t="inlineStr">
        <is>
          <t>POR</t>
        </is>
      </c>
      <c r="B10704" s="30" t="inlineStr">
        <is>
          <t>Porto Real</t>
        </is>
      </c>
      <c r="C10704" s="30" t="n">
        <v>78558652</v>
      </c>
      <c r="D10704" s="30">
        <f>"48539407003133"</f>
        <v/>
      </c>
      <c r="E10704" s="30" t="inlineStr">
        <is>
          <t>BASF SA</t>
        </is>
      </c>
      <c r="F10704" s="30" t="inlineStr">
        <is>
          <t>2019</t>
        </is>
      </c>
      <c r="G10704" s="40" t="n">
        <v>4275449.25</v>
      </c>
    </row>
    <row r="10705" ht="12" customHeight="1">
      <c r="A10705" s="30" t="inlineStr">
        <is>
          <t>POR</t>
        </is>
      </c>
      <c r="B10705" s="30" t="inlineStr">
        <is>
          <t>Porto Real</t>
        </is>
      </c>
      <c r="C10705" s="30" t="n">
        <v>78558652</v>
      </c>
      <c r="D10705" s="30">
        <f>"48539407003133"</f>
        <v/>
      </c>
      <c r="E10705" s="30" t="inlineStr">
        <is>
          <t>BASF SA</t>
        </is>
      </c>
      <c r="F10705" s="30" t="inlineStr">
        <is>
          <t>2020</t>
        </is>
      </c>
      <c r="G10705" s="40" t="n">
        <v>5380099.37</v>
      </c>
    </row>
    <row r="10706" ht="12" customHeight="1">
      <c r="A10706" s="30" t="inlineStr">
        <is>
          <t>POR</t>
        </is>
      </c>
      <c r="B10706" s="30" t="inlineStr">
        <is>
          <t>Porto Real</t>
        </is>
      </c>
      <c r="C10706" s="30" t="n">
        <v>78558652</v>
      </c>
      <c r="D10706" s="30">
        <f>"48539407003133"</f>
        <v/>
      </c>
      <c r="E10706" s="30" t="inlineStr">
        <is>
          <t>BASF SA</t>
        </is>
      </c>
      <c r="F10706" s="30" t="inlineStr">
        <is>
          <t>2021</t>
        </is>
      </c>
      <c r="G10706" s="40" t="n">
        <v>10515394.3</v>
      </c>
    </row>
    <row r="10707" ht="12" customHeight="1">
      <c r="A10707" s="30" t="inlineStr">
        <is>
          <t>POR</t>
        </is>
      </c>
      <c r="B10707" s="30" t="inlineStr">
        <is>
          <t>Porto Real</t>
        </is>
      </c>
      <c r="C10707" s="30" t="n">
        <v>78558652</v>
      </c>
      <c r="D10707" s="30">
        <f>"48539407003133"</f>
        <v/>
      </c>
      <c r="E10707" s="30" t="inlineStr">
        <is>
          <t>BASF SA</t>
        </is>
      </c>
      <c r="F10707" s="30" t="inlineStr">
        <is>
          <t>2022</t>
        </is>
      </c>
      <c r="G10707" s="40" t="n">
        <v>12619159.1</v>
      </c>
    </row>
    <row r="10708" ht="12" customHeight="1">
      <c r="A10708" s="30" t="inlineStr">
        <is>
          <t>POR</t>
        </is>
      </c>
      <c r="B10708" s="30" t="inlineStr">
        <is>
          <t>Porto Real</t>
        </is>
      </c>
      <c r="C10708" s="30" t="n">
        <v>78558652</v>
      </c>
      <c r="D10708" s="30">
        <f>"48539407003133"</f>
        <v/>
      </c>
      <c r="E10708" s="30" t="inlineStr">
        <is>
          <t>BASF SA</t>
        </is>
      </c>
      <c r="F10708" s="30" t="inlineStr">
        <is>
          <t>2023</t>
        </is>
      </c>
      <c r="G10708" s="40" t="n">
        <v>15117910.94</v>
      </c>
    </row>
    <row r="10709" ht="12" customHeight="1">
      <c r="A10709" s="30" t="inlineStr">
        <is>
          <t>POR</t>
        </is>
      </c>
      <c r="B10709" s="30" t="inlineStr">
        <is>
          <t>Porto Real</t>
        </is>
      </c>
      <c r="C10709" s="30" t="n">
        <v>78569751</v>
      </c>
      <c r="D10709" s="30">
        <f>"10213625000195"</f>
        <v/>
      </c>
      <c r="E10709" s="30" t="inlineStr">
        <is>
          <t>COZINHA INDUSTRIAL FAZBEM LTDA ME</t>
        </is>
      </c>
      <c r="F10709" s="30" t="inlineStr">
        <is>
          <t>2017</t>
        </is>
      </c>
      <c r="G10709" s="40" t="n">
        <v>0</v>
      </c>
    </row>
    <row r="10710" ht="12" customHeight="1">
      <c r="A10710" s="30" t="inlineStr">
        <is>
          <t>POR</t>
        </is>
      </c>
      <c r="B10710" s="30" t="inlineStr">
        <is>
          <t>Porto Real</t>
        </is>
      </c>
      <c r="C10710" s="30" t="n">
        <v>78569751</v>
      </c>
      <c r="D10710" s="30">
        <f>"10213625000195"</f>
        <v/>
      </c>
      <c r="E10710" s="30" t="inlineStr">
        <is>
          <t>COZINHA INDUSTRIAL FAZBEM LTDA ME</t>
        </is>
      </c>
      <c r="F10710" s="30" t="inlineStr">
        <is>
          <t>2018</t>
        </is>
      </c>
      <c r="G10710" s="40" t="n">
        <v>0</v>
      </c>
    </row>
    <row r="10711" ht="12" customHeight="1">
      <c r="A10711" s="30" t="inlineStr">
        <is>
          <t>POR</t>
        </is>
      </c>
      <c r="B10711" s="30" t="inlineStr">
        <is>
          <t>Porto Real</t>
        </is>
      </c>
      <c r="C10711" s="30" t="n">
        <v>78569751</v>
      </c>
      <c r="D10711" s="30">
        <f>"10213625000195"</f>
        <v/>
      </c>
      <c r="E10711" s="30" t="inlineStr">
        <is>
          <t>COZINHA INDUSTRIAL FAZBEM LTDA ME</t>
        </is>
      </c>
      <c r="F10711" s="30" t="inlineStr">
        <is>
          <t>2019</t>
        </is>
      </c>
      <c r="G10711" s="40" t="n">
        <v>0</v>
      </c>
    </row>
    <row r="10712" ht="12" customHeight="1">
      <c r="A10712" s="30" t="inlineStr">
        <is>
          <t>POR</t>
        </is>
      </c>
      <c r="B10712" s="30" t="inlineStr">
        <is>
          <t>Porto Real</t>
        </is>
      </c>
      <c r="C10712" s="30" t="n">
        <v>78569751</v>
      </c>
      <c r="D10712" s="30">
        <f>"10213625000195"</f>
        <v/>
      </c>
      <c r="E10712" s="30" t="inlineStr">
        <is>
          <t>COZINHA INDUSTRIAL FAZBEM LTDA ME</t>
        </is>
      </c>
      <c r="F10712" s="30" t="inlineStr">
        <is>
          <t>2020</t>
        </is>
      </c>
      <c r="G10712" s="40" t="n">
        <v>0</v>
      </c>
    </row>
    <row r="10713" ht="12" customHeight="1">
      <c r="A10713" s="30" t="inlineStr">
        <is>
          <t>POR</t>
        </is>
      </c>
      <c r="B10713" s="30" t="inlineStr">
        <is>
          <t>Porto Real</t>
        </is>
      </c>
      <c r="C10713" s="30" t="n">
        <v>78569751</v>
      </c>
      <c r="D10713" s="30">
        <f>"10213625000195"</f>
        <v/>
      </c>
      <c r="E10713" s="30" t="inlineStr">
        <is>
          <t>COZINHA INDUSTRIAL FAZBEM LTDA ME</t>
        </is>
      </c>
      <c r="F10713" s="30" t="inlineStr">
        <is>
          <t>2021</t>
        </is>
      </c>
      <c r="G10713" s="40" t="n">
        <v>0</v>
      </c>
    </row>
    <row r="10714" ht="12" customHeight="1">
      <c r="A10714" s="30" t="inlineStr">
        <is>
          <t>POR</t>
        </is>
      </c>
      <c r="B10714" s="30" t="inlineStr">
        <is>
          <t>Porto Real</t>
        </is>
      </c>
      <c r="C10714" s="30" t="n">
        <v>78579242</v>
      </c>
      <c r="D10714" s="30">
        <f>"19199348000269"</f>
        <v/>
      </c>
      <c r="E10714" s="30" t="inlineStr">
        <is>
          <t>SADA TRANSPORTES E ARMAZENAGENS S/A</t>
        </is>
      </c>
      <c r="F10714" s="30" t="inlineStr">
        <is>
          <t>2017</t>
        </is>
      </c>
      <c r="G10714" s="40" t="n">
        <v>2299.19</v>
      </c>
    </row>
    <row r="10715" ht="12" customHeight="1">
      <c r="A10715" s="30" t="inlineStr">
        <is>
          <t>POR</t>
        </is>
      </c>
      <c r="B10715" s="30" t="inlineStr">
        <is>
          <t>Porto Real</t>
        </is>
      </c>
      <c r="C10715" s="30" t="n">
        <v>78579242</v>
      </c>
      <c r="D10715" s="30">
        <f>"19199348000269"</f>
        <v/>
      </c>
      <c r="E10715" s="30" t="inlineStr">
        <is>
          <t>SADA TRANSPORTES E ARMAZENAGENS S/A</t>
        </is>
      </c>
      <c r="F10715" s="30" t="inlineStr">
        <is>
          <t>2018</t>
        </is>
      </c>
      <c r="G10715" s="40" t="n">
        <v>4104.1</v>
      </c>
    </row>
    <row r="10716" ht="12" customHeight="1">
      <c r="A10716" s="30" t="inlineStr">
        <is>
          <t>POR</t>
        </is>
      </c>
      <c r="B10716" s="30" t="inlineStr">
        <is>
          <t>Porto Real</t>
        </is>
      </c>
      <c r="C10716" s="30" t="n">
        <v>78579242</v>
      </c>
      <c r="D10716" s="30">
        <f>"19199348000269"</f>
        <v/>
      </c>
      <c r="E10716" s="30" t="inlineStr">
        <is>
          <t>SADA TRANSPORTES E ARMAZENAGENS S/A</t>
        </is>
      </c>
      <c r="F10716" s="30" t="inlineStr">
        <is>
          <t>2019</t>
        </is>
      </c>
      <c r="G10716" s="40" t="n">
        <v>0</v>
      </c>
    </row>
    <row r="10717" ht="12" customHeight="1">
      <c r="A10717" s="30" t="inlineStr">
        <is>
          <t>POR</t>
        </is>
      </c>
      <c r="B10717" s="30" t="inlineStr">
        <is>
          <t>Porto Real</t>
        </is>
      </c>
      <c r="C10717" s="30" t="n">
        <v>78579242</v>
      </c>
      <c r="D10717" s="30">
        <f>"19199348000269"</f>
        <v/>
      </c>
      <c r="E10717" s="30" t="inlineStr">
        <is>
          <t>SADA TRANSPORTES E ARMAZENAGENS S/A</t>
        </is>
      </c>
      <c r="F10717" s="30" t="inlineStr">
        <is>
          <t>2020</t>
        </is>
      </c>
      <c r="G10717" s="40" t="n">
        <v>0</v>
      </c>
    </row>
    <row r="10718" ht="12" customHeight="1">
      <c r="A10718" s="30" t="inlineStr">
        <is>
          <t>POR</t>
        </is>
      </c>
      <c r="B10718" s="30" t="inlineStr">
        <is>
          <t>Porto Real</t>
        </is>
      </c>
      <c r="C10718" s="30" t="n">
        <v>78632020</v>
      </c>
      <c r="D10718" s="30">
        <f>"02696800000629"</f>
        <v/>
      </c>
      <c r="E10718" s="30" t="inlineStr">
        <is>
          <t>KENNAMETAL DO BRASIL LTDA</t>
        </is>
      </c>
      <c r="F10718" s="30" t="inlineStr">
        <is>
          <t>2017</t>
        </is>
      </c>
      <c r="G10718" s="40" t="n">
        <v>459758.26</v>
      </c>
    </row>
    <row r="10719" ht="12" customHeight="1">
      <c r="A10719" s="30" t="inlineStr">
        <is>
          <t>POR</t>
        </is>
      </c>
      <c r="B10719" s="30" t="inlineStr">
        <is>
          <t>Porto Real</t>
        </is>
      </c>
      <c r="C10719" s="30" t="n">
        <v>78632020</v>
      </c>
      <c r="D10719" s="30">
        <f>"02696800000629"</f>
        <v/>
      </c>
      <c r="E10719" s="30" t="inlineStr">
        <is>
          <t>KENNAMETAL DO BRASIL LTDA</t>
        </is>
      </c>
      <c r="F10719" s="30" t="inlineStr">
        <is>
          <t>2018</t>
        </is>
      </c>
      <c r="G10719" s="40" t="n">
        <v>0</v>
      </c>
    </row>
    <row r="10720" ht="12" customHeight="1">
      <c r="A10720" s="30" t="inlineStr">
        <is>
          <t>POR</t>
        </is>
      </c>
      <c r="B10720" s="30" t="inlineStr">
        <is>
          <t>Porto Real</t>
        </is>
      </c>
      <c r="C10720" s="30" t="n">
        <v>78632020</v>
      </c>
      <c r="D10720" s="30">
        <f>"02696800000629"</f>
        <v/>
      </c>
      <c r="E10720" s="30" t="inlineStr">
        <is>
          <t>KENNAMETAL DO BRASIL LTDA</t>
        </is>
      </c>
      <c r="F10720" s="30" t="inlineStr">
        <is>
          <t>2019</t>
        </is>
      </c>
      <c r="G10720" s="40" t="n">
        <v>0</v>
      </c>
    </row>
    <row r="10721" ht="12" customHeight="1">
      <c r="A10721" s="30" t="inlineStr">
        <is>
          <t>POR</t>
        </is>
      </c>
      <c r="B10721" s="30" t="inlineStr">
        <is>
          <t>Porto Real</t>
        </is>
      </c>
      <c r="C10721" s="30" t="n">
        <v>78632020</v>
      </c>
      <c r="D10721" s="30">
        <f>"02696800000629"</f>
        <v/>
      </c>
      <c r="E10721" s="30" t="inlineStr">
        <is>
          <t>KENNAMETAL DO BRASIL LTDA</t>
        </is>
      </c>
      <c r="F10721" s="30" t="inlineStr">
        <is>
          <t>2020</t>
        </is>
      </c>
      <c r="G10721" s="40" t="n">
        <v>0</v>
      </c>
    </row>
    <row r="10722" ht="12" customHeight="1">
      <c r="A10722" s="30" t="inlineStr">
        <is>
          <t>POR</t>
        </is>
      </c>
      <c r="B10722" s="30" t="inlineStr">
        <is>
          <t>Porto Real</t>
        </is>
      </c>
      <c r="C10722" s="30" t="n">
        <v>78658177</v>
      </c>
      <c r="D10722" s="30">
        <f>"55064562001839"</f>
        <v/>
      </c>
      <c r="E10722" s="30" t="inlineStr">
        <is>
          <t>MAQUINAS AGRICOLAS JACTO S A</t>
        </is>
      </c>
      <c r="F10722" s="30" t="inlineStr">
        <is>
          <t>2017</t>
        </is>
      </c>
      <c r="G10722" s="40" t="n">
        <v>7024163.02</v>
      </c>
    </row>
    <row r="10723" ht="12" customHeight="1">
      <c r="A10723" s="30" t="inlineStr">
        <is>
          <t>POR</t>
        </is>
      </c>
      <c r="B10723" s="30" t="inlineStr">
        <is>
          <t>Porto Real</t>
        </is>
      </c>
      <c r="C10723" s="30" t="n">
        <v>78658177</v>
      </c>
      <c r="D10723" s="30">
        <f>"55064562001839"</f>
        <v/>
      </c>
      <c r="E10723" s="30" t="inlineStr">
        <is>
          <t>MAQUINAS AGRICOLAS JACTO S A</t>
        </is>
      </c>
      <c r="F10723" s="30" t="inlineStr">
        <is>
          <t>2018</t>
        </is>
      </c>
      <c r="G10723" s="40" t="n">
        <v>9094573.550000001</v>
      </c>
    </row>
    <row r="10724" ht="12" customHeight="1">
      <c r="A10724" s="30" t="inlineStr">
        <is>
          <t>POR</t>
        </is>
      </c>
      <c r="B10724" s="30" t="inlineStr">
        <is>
          <t>Porto Real</t>
        </is>
      </c>
      <c r="C10724" s="30" t="n">
        <v>78658177</v>
      </c>
      <c r="D10724" s="30">
        <f>"55064562001839"</f>
        <v/>
      </c>
      <c r="E10724" s="30" t="inlineStr">
        <is>
          <t>MAQUINAS AGRICOLAS JACTO S A</t>
        </is>
      </c>
      <c r="F10724" s="30" t="inlineStr">
        <is>
          <t>2019</t>
        </is>
      </c>
      <c r="G10724" s="40" t="n">
        <v>13117246.44</v>
      </c>
    </row>
    <row r="10725" ht="12" customHeight="1">
      <c r="A10725" s="30" t="inlineStr">
        <is>
          <t>POR</t>
        </is>
      </c>
      <c r="B10725" s="30" t="inlineStr">
        <is>
          <t>Porto Real</t>
        </is>
      </c>
      <c r="C10725" s="30" t="n">
        <v>78658177</v>
      </c>
      <c r="D10725" s="30">
        <f>"55064562001839"</f>
        <v/>
      </c>
      <c r="E10725" s="30" t="inlineStr">
        <is>
          <t>MAQUINAS AGRICOLAS JACTO S A</t>
        </is>
      </c>
      <c r="F10725" s="30" t="inlineStr">
        <is>
          <t>2020</t>
        </is>
      </c>
      <c r="G10725" s="40" t="n">
        <v>6891266.36</v>
      </c>
    </row>
    <row r="10726" ht="12" customHeight="1">
      <c r="A10726" s="30" t="inlineStr">
        <is>
          <t>POR</t>
        </is>
      </c>
      <c r="B10726" s="30" t="inlineStr">
        <is>
          <t>Porto Real</t>
        </is>
      </c>
      <c r="C10726" s="30" t="n">
        <v>78658177</v>
      </c>
      <c r="D10726" s="30">
        <f>"55064562001839"</f>
        <v/>
      </c>
      <c r="E10726" s="30" t="inlineStr">
        <is>
          <t>MAQUINAS AGRICOLAS JACTO S A</t>
        </is>
      </c>
      <c r="F10726" s="30" t="inlineStr">
        <is>
          <t>2021</t>
        </is>
      </c>
      <c r="G10726" s="40" t="n">
        <v>10987072.29</v>
      </c>
    </row>
    <row r="10727" ht="12" customHeight="1">
      <c r="A10727" s="30" t="inlineStr">
        <is>
          <t>POR</t>
        </is>
      </c>
      <c r="B10727" s="30" t="inlineStr">
        <is>
          <t>Porto Real</t>
        </is>
      </c>
      <c r="C10727" s="30" t="n">
        <v>78658177</v>
      </c>
      <c r="D10727" s="30">
        <f>"55064562001839"</f>
        <v/>
      </c>
      <c r="E10727" s="30" t="inlineStr">
        <is>
          <t>MAQUINAS AGRICOLAS JACTO S A</t>
        </is>
      </c>
      <c r="F10727" s="30" t="inlineStr">
        <is>
          <t>2022</t>
        </is>
      </c>
      <c r="G10727" s="40" t="n">
        <v>10717395.18</v>
      </c>
    </row>
    <row r="10728" ht="12" customHeight="1">
      <c r="A10728" s="30" t="inlineStr">
        <is>
          <t>POR</t>
        </is>
      </c>
      <c r="B10728" s="30" t="inlineStr">
        <is>
          <t>Porto Real</t>
        </is>
      </c>
      <c r="C10728" s="30" t="n">
        <v>78658177</v>
      </c>
      <c r="D10728" s="30">
        <f>"55064562001839"</f>
        <v/>
      </c>
      <c r="E10728" s="30" t="inlineStr">
        <is>
          <t>MAQUINAS AGRICOLAS JACTO S A</t>
        </is>
      </c>
      <c r="F10728" s="30" t="inlineStr">
        <is>
          <t>2023</t>
        </is>
      </c>
      <c r="G10728" s="40" t="n">
        <v>4220275.5</v>
      </c>
    </row>
    <row r="10729" ht="12" customHeight="1">
      <c r="A10729" s="30" t="inlineStr">
        <is>
          <t>POR</t>
        </is>
      </c>
      <c r="B10729" s="30" t="inlineStr">
        <is>
          <t>Porto Real</t>
        </is>
      </c>
      <c r="C10729" s="30" t="n">
        <v>78659998</v>
      </c>
      <c r="D10729" s="30">
        <f>"59335976000753"</f>
        <v/>
      </c>
      <c r="E10729" s="30" t="inlineStr">
        <is>
          <t>PRIMESYS SOLUCOES EMPRESARIAIS S A</t>
        </is>
      </c>
      <c r="F10729" s="30" t="inlineStr">
        <is>
          <t>2017</t>
        </is>
      </c>
      <c r="G10729" s="40" t="n">
        <v>322227.9</v>
      </c>
    </row>
    <row r="10730" ht="12" customHeight="1">
      <c r="A10730" s="30" t="inlineStr">
        <is>
          <t>POR</t>
        </is>
      </c>
      <c r="B10730" s="30" t="inlineStr">
        <is>
          <t>Porto Real</t>
        </is>
      </c>
      <c r="C10730" s="30" t="n">
        <v>78659998</v>
      </c>
      <c r="D10730" s="30">
        <f>"59335976000753"</f>
        <v/>
      </c>
      <c r="E10730" s="30" t="inlineStr">
        <is>
          <t>PRIMESYS SOLUCOES EMPRESARIAIS S A</t>
        </is>
      </c>
      <c r="F10730" s="30" t="inlineStr">
        <is>
          <t>2018</t>
        </is>
      </c>
      <c r="G10730" s="40" t="n">
        <v>282058.1</v>
      </c>
    </row>
    <row r="10731" ht="12" customHeight="1">
      <c r="A10731" s="30" t="inlineStr">
        <is>
          <t>POR</t>
        </is>
      </c>
      <c r="B10731" s="30" t="inlineStr">
        <is>
          <t>Porto Real</t>
        </is>
      </c>
      <c r="C10731" s="30" t="n">
        <v>78659998</v>
      </c>
      <c r="D10731" s="30">
        <f>"59335976000753"</f>
        <v/>
      </c>
      <c r="E10731" s="30" t="inlineStr">
        <is>
          <t>PRIMESYS SOLUCOES EMPRESARIAIS S A</t>
        </is>
      </c>
      <c r="F10731" s="30" t="inlineStr">
        <is>
          <t>2019</t>
        </is>
      </c>
      <c r="G10731" s="40" t="n">
        <v>0</v>
      </c>
    </row>
    <row r="10732" ht="12" customHeight="1">
      <c r="A10732" s="30" t="inlineStr">
        <is>
          <t>POR</t>
        </is>
      </c>
      <c r="B10732" s="30" t="inlineStr">
        <is>
          <t>Porto Real</t>
        </is>
      </c>
      <c r="C10732" s="30" t="n">
        <v>78659998</v>
      </c>
      <c r="D10732" s="30">
        <f>"59335976000753"</f>
        <v/>
      </c>
      <c r="E10732" s="30" t="inlineStr">
        <is>
          <t>PRIMESYS SOLUCOES EMPRESARIAIS S A</t>
        </is>
      </c>
      <c r="F10732" s="30" t="inlineStr">
        <is>
          <t>2020</t>
        </is>
      </c>
      <c r="G10732" s="40" t="n">
        <v>0</v>
      </c>
    </row>
    <row r="10733" ht="12" customHeight="1">
      <c r="A10733" s="30" t="inlineStr">
        <is>
          <t>POR</t>
        </is>
      </c>
      <c r="B10733" s="30" t="inlineStr">
        <is>
          <t>Porto Real</t>
        </is>
      </c>
      <c r="C10733" s="30" t="n">
        <v>78676850</v>
      </c>
      <c r="D10733" s="30">
        <f>"09296295000321"</f>
        <v/>
      </c>
      <c r="E10733" s="30" t="inlineStr">
        <is>
          <t>AZUL LINHAS AEREAS BRASILEIRAS S A</t>
        </is>
      </c>
      <c r="F10733" s="30" t="inlineStr">
        <is>
          <t>2017</t>
        </is>
      </c>
      <c r="G10733" s="40" t="n">
        <v>221.13</v>
      </c>
    </row>
    <row r="10734" ht="12" customHeight="1">
      <c r="A10734" s="30" t="inlineStr">
        <is>
          <t>POR</t>
        </is>
      </c>
      <c r="B10734" s="30" t="inlineStr">
        <is>
          <t>Porto Real</t>
        </is>
      </c>
      <c r="C10734" s="30" t="n">
        <v>78676850</v>
      </c>
      <c r="D10734" s="30">
        <f>"09296295000321"</f>
        <v/>
      </c>
      <c r="E10734" s="30" t="inlineStr">
        <is>
          <t>AZUL LINHAS AEREAS BRASILEIRAS S A</t>
        </is>
      </c>
      <c r="F10734" s="30" t="inlineStr">
        <is>
          <t>2018</t>
        </is>
      </c>
      <c r="G10734" s="40" t="n">
        <v>801.59</v>
      </c>
    </row>
    <row r="10735" ht="12" customHeight="1">
      <c r="A10735" s="30" t="inlineStr">
        <is>
          <t>POR</t>
        </is>
      </c>
      <c r="B10735" s="30" t="inlineStr">
        <is>
          <t>Porto Real</t>
        </is>
      </c>
      <c r="C10735" s="30" t="n">
        <v>78676850</v>
      </c>
      <c r="D10735" s="30">
        <f>"09296295000321"</f>
        <v/>
      </c>
      <c r="E10735" s="30" t="inlineStr">
        <is>
          <t>AZUL LINHAS AEREAS BRASILEIRAS S A</t>
        </is>
      </c>
      <c r="F10735" s="30" t="inlineStr">
        <is>
          <t>2019</t>
        </is>
      </c>
      <c r="G10735" s="40" t="n">
        <v>0</v>
      </c>
    </row>
    <row r="10736" ht="12" customHeight="1">
      <c r="A10736" s="30" t="inlineStr">
        <is>
          <t>POR</t>
        </is>
      </c>
      <c r="B10736" s="30" t="inlineStr">
        <is>
          <t>Porto Real</t>
        </is>
      </c>
      <c r="C10736" s="30" t="n">
        <v>78676850</v>
      </c>
      <c r="D10736" s="30">
        <f>"09296295000321"</f>
        <v/>
      </c>
      <c r="E10736" s="30" t="inlineStr">
        <is>
          <t>AZUL LINHAS AEREAS BRASILEIRAS S A</t>
        </is>
      </c>
      <c r="F10736" s="30" t="inlineStr">
        <is>
          <t>2020</t>
        </is>
      </c>
      <c r="G10736" s="40" t="n">
        <v>0</v>
      </c>
    </row>
    <row r="10737" ht="12" customHeight="1">
      <c r="A10737" s="30" t="inlineStr">
        <is>
          <t>POR</t>
        </is>
      </c>
      <c r="B10737" s="30" t="inlineStr">
        <is>
          <t>Porto Real</t>
        </is>
      </c>
      <c r="C10737" s="30" t="n">
        <v>78708751</v>
      </c>
      <c r="D10737" s="30">
        <f>"09306245000116"</f>
        <v/>
      </c>
      <c r="E10737" s="30" t="inlineStr">
        <is>
          <t>PORTO REAL INDUSTRIA DE MAQUINAS E EQUIPAMENTOS LTDA</t>
        </is>
      </c>
      <c r="F10737" s="30" t="inlineStr">
        <is>
          <t>2018</t>
        </is>
      </c>
      <c r="G10737" s="40" t="n">
        <v>0</v>
      </c>
    </row>
    <row r="10738" ht="12" customHeight="1">
      <c r="A10738" s="30" t="inlineStr">
        <is>
          <t>POR</t>
        </is>
      </c>
      <c r="B10738" s="30" t="inlineStr">
        <is>
          <t>Porto Real</t>
        </is>
      </c>
      <c r="C10738" s="30" t="n">
        <v>78708751</v>
      </c>
      <c r="D10738" s="30">
        <f>"09306245000116"</f>
        <v/>
      </c>
      <c r="E10738" s="30" t="inlineStr">
        <is>
          <t>PORTO REAL INDUSTRIA DE MAQUINAS E EQUIPAMENTOS LTDA</t>
        </is>
      </c>
      <c r="F10738" s="30" t="inlineStr">
        <is>
          <t>2019</t>
        </is>
      </c>
      <c r="G10738" s="40" t="n">
        <v>0</v>
      </c>
    </row>
    <row r="10739" ht="12" customHeight="1">
      <c r="A10739" s="30" t="inlineStr">
        <is>
          <t>POR</t>
        </is>
      </c>
      <c r="B10739" s="30" t="inlineStr">
        <is>
          <t>Porto Real</t>
        </is>
      </c>
      <c r="C10739" s="30" t="n">
        <v>78708751</v>
      </c>
      <c r="D10739" s="30">
        <f>"09306245000116"</f>
        <v/>
      </c>
      <c r="E10739" s="30" t="inlineStr">
        <is>
          <t>PORTO REAL INDUSTRIA DE MAQUINAS E EQUIPAMENTOS LTDA</t>
        </is>
      </c>
      <c r="F10739" s="30" t="inlineStr">
        <is>
          <t>2020</t>
        </is>
      </c>
      <c r="G10739" s="40" t="n">
        <v>8084.13</v>
      </c>
    </row>
    <row r="10740" ht="12" customHeight="1">
      <c r="A10740" s="30" t="inlineStr">
        <is>
          <t>POR</t>
        </is>
      </c>
      <c r="B10740" s="30" t="inlineStr">
        <is>
          <t>Porto Real</t>
        </is>
      </c>
      <c r="C10740" s="30" t="n">
        <v>78708751</v>
      </c>
      <c r="D10740" s="30">
        <f>"09306245000116"</f>
        <v/>
      </c>
      <c r="E10740" s="30" t="inlineStr">
        <is>
          <t>PORTO REAL INDUSTRIA DE MAQUINAS E EQUIPAMENTOS LTDA</t>
        </is>
      </c>
      <c r="F10740" s="30" t="inlineStr">
        <is>
          <t>2021</t>
        </is>
      </c>
      <c r="G10740" s="40" t="n">
        <v>54294.15</v>
      </c>
    </row>
    <row r="10741" ht="12" customHeight="1">
      <c r="A10741" s="30" t="inlineStr">
        <is>
          <t>POR</t>
        </is>
      </c>
      <c r="B10741" s="30" t="inlineStr">
        <is>
          <t>Porto Real</t>
        </is>
      </c>
      <c r="C10741" s="30" t="n">
        <v>78708751</v>
      </c>
      <c r="D10741" s="30">
        <f>"09306245000116"</f>
        <v/>
      </c>
      <c r="E10741" s="30" t="inlineStr">
        <is>
          <t>PORTO REAL INDUSTRIA DE MAQUINAS E EQUIPAMENTOS LTDA</t>
        </is>
      </c>
      <c r="F10741" s="30" t="inlineStr">
        <is>
          <t>2022</t>
        </is>
      </c>
      <c r="G10741" s="40" t="n">
        <v>162403.33</v>
      </c>
    </row>
    <row r="10742" ht="12" customHeight="1">
      <c r="A10742" s="30" t="inlineStr">
        <is>
          <t>POR</t>
        </is>
      </c>
      <c r="B10742" s="30" t="inlineStr">
        <is>
          <t>Porto Real</t>
        </is>
      </c>
      <c r="C10742" s="30" t="n">
        <v>78708751</v>
      </c>
      <c r="D10742" s="30">
        <f>"09306245000116"</f>
        <v/>
      </c>
      <c r="E10742" s="30" t="inlineStr">
        <is>
          <t>PORTO REAL INDUSTRIA DE MAQUINAS E EQUIPAMENTOS LTDA</t>
        </is>
      </c>
      <c r="F10742" s="30" t="inlineStr">
        <is>
          <t>2023</t>
        </is>
      </c>
      <c r="G10742" s="40" t="n">
        <v>28556.72</v>
      </c>
    </row>
    <row r="10743" ht="12" customHeight="1">
      <c r="A10743" s="30" t="inlineStr">
        <is>
          <t>POR</t>
        </is>
      </c>
      <c r="B10743" s="30" t="inlineStr">
        <is>
          <t>Porto Real</t>
        </is>
      </c>
      <c r="C10743" s="30" t="n">
        <v>78718021</v>
      </c>
      <c r="D10743" s="30">
        <f>"74155052000416"</f>
        <v/>
      </c>
      <c r="E10743" s="30" t="inlineStr">
        <is>
          <t>UPS DO BRASIL REMESSAS EXPRESSAS LTDA</t>
        </is>
      </c>
      <c r="F10743" s="30" t="inlineStr">
        <is>
          <t>2017</t>
        </is>
      </c>
      <c r="G10743" s="40" t="n">
        <v>0</v>
      </c>
    </row>
    <row r="10744" ht="12" customHeight="1">
      <c r="A10744" s="30" t="inlineStr">
        <is>
          <t>POR</t>
        </is>
      </c>
      <c r="B10744" s="30" t="inlineStr">
        <is>
          <t>Porto Real</t>
        </is>
      </c>
      <c r="C10744" s="30" t="n">
        <v>78718021</v>
      </c>
      <c r="D10744" s="30">
        <f>"74155052000416"</f>
        <v/>
      </c>
      <c r="E10744" s="30" t="inlineStr">
        <is>
          <t>UPS DO BRASIL REMESSAS EXPRESSAS LTDA</t>
        </is>
      </c>
      <c r="F10744" s="30" t="inlineStr">
        <is>
          <t>2018</t>
        </is>
      </c>
      <c r="G10744" s="40" t="n">
        <v>0</v>
      </c>
    </row>
    <row r="10745" ht="12" customHeight="1">
      <c r="A10745" s="30" t="inlineStr">
        <is>
          <t>POR</t>
        </is>
      </c>
      <c r="B10745" s="30" t="inlineStr">
        <is>
          <t>Porto Real</t>
        </is>
      </c>
      <c r="C10745" s="30" t="n">
        <v>78718021</v>
      </c>
      <c r="D10745" s="30">
        <f>"74155052000416"</f>
        <v/>
      </c>
      <c r="E10745" s="30" t="inlineStr">
        <is>
          <t>UPS DO BRASIL REMESSAS EXPRESSAS LTDA</t>
        </is>
      </c>
      <c r="F10745" s="30" t="inlineStr">
        <is>
          <t>2019</t>
        </is>
      </c>
      <c r="G10745" s="40" t="n">
        <v>138.91</v>
      </c>
    </row>
    <row r="10746" ht="12" customHeight="1">
      <c r="A10746" s="30" t="inlineStr">
        <is>
          <t>POR</t>
        </is>
      </c>
      <c r="B10746" s="30" t="inlineStr">
        <is>
          <t>Porto Real</t>
        </is>
      </c>
      <c r="C10746" s="30" t="n">
        <v>78718021</v>
      </c>
      <c r="D10746" s="30">
        <f>"74155052000416"</f>
        <v/>
      </c>
      <c r="E10746" s="30" t="inlineStr">
        <is>
          <t>UPS DO BRASIL REMESSAS EXPRESSAS LTDA</t>
        </is>
      </c>
      <c r="F10746" s="30" t="inlineStr">
        <is>
          <t>2020</t>
        </is>
      </c>
      <c r="G10746" s="40" t="n">
        <v>834.16</v>
      </c>
    </row>
    <row r="10747" ht="12" customHeight="1">
      <c r="A10747" s="30" t="inlineStr">
        <is>
          <t>POR</t>
        </is>
      </c>
      <c r="B10747" s="30" t="inlineStr">
        <is>
          <t>Porto Real</t>
        </is>
      </c>
      <c r="C10747" s="30" t="n">
        <v>78718021</v>
      </c>
      <c r="D10747" s="30">
        <f>"74155052000416"</f>
        <v/>
      </c>
      <c r="E10747" s="30" t="inlineStr">
        <is>
          <t>UPS DO BRASIL REMESSAS EXPRESSAS LTDA</t>
        </is>
      </c>
      <c r="F10747" s="30" t="inlineStr">
        <is>
          <t>2021</t>
        </is>
      </c>
      <c r="G10747" s="40" t="n">
        <v>701.35</v>
      </c>
    </row>
    <row r="10748" ht="12" customHeight="1">
      <c r="A10748" s="30" t="inlineStr">
        <is>
          <t>POR</t>
        </is>
      </c>
      <c r="B10748" s="30" t="inlineStr">
        <is>
          <t>Porto Real</t>
        </is>
      </c>
      <c r="C10748" s="30" t="n">
        <v>78718021</v>
      </c>
      <c r="D10748" s="30">
        <f>"74155052000416"</f>
        <v/>
      </c>
      <c r="E10748" s="30" t="inlineStr">
        <is>
          <t>UPS DO BRASIL REMESSAS EXPRESSAS LTDA</t>
        </is>
      </c>
      <c r="F10748" s="30" t="inlineStr">
        <is>
          <t>2022</t>
        </is>
      </c>
      <c r="G10748" s="40" t="n">
        <v>803.22</v>
      </c>
    </row>
    <row r="10749" ht="12" customHeight="1">
      <c r="A10749" s="30" t="inlineStr">
        <is>
          <t>POR</t>
        </is>
      </c>
      <c r="B10749" s="30" t="inlineStr">
        <is>
          <t>Porto Real</t>
        </is>
      </c>
      <c r="C10749" s="30" t="n">
        <v>78718021</v>
      </c>
      <c r="D10749" s="30">
        <f>"74155052000416"</f>
        <v/>
      </c>
      <c r="E10749" s="30" t="inlineStr">
        <is>
          <t>UPS DO BRASIL REMESSAS EXPRESSAS LTDA</t>
        </is>
      </c>
      <c r="F10749" s="30" t="inlineStr">
        <is>
          <t>2023</t>
        </is>
      </c>
      <c r="G10749" s="40" t="n">
        <v>879.86</v>
      </c>
    </row>
    <row r="10750" ht="12" customHeight="1">
      <c r="A10750" s="30" t="inlineStr">
        <is>
          <t>POR</t>
        </is>
      </c>
      <c r="B10750" s="30" t="inlineStr">
        <is>
          <t>Porto Real</t>
        </is>
      </c>
      <c r="C10750" s="30" t="n">
        <v>78724226</v>
      </c>
      <c r="D10750" s="30">
        <f>"09452900000306"</f>
        <v/>
      </c>
      <c r="E10750" s="30" t="inlineStr">
        <is>
          <t>VIX TRANSPORTES DEDICADOS LTDA</t>
        </is>
      </c>
      <c r="F10750" s="30" t="inlineStr">
        <is>
          <t>2020</t>
        </is>
      </c>
      <c r="G10750" s="40" t="n">
        <v>0</v>
      </c>
    </row>
    <row r="10751" ht="12" customHeight="1">
      <c r="A10751" s="30" t="inlineStr">
        <is>
          <t>POR</t>
        </is>
      </c>
      <c r="B10751" s="30" t="inlineStr">
        <is>
          <t>Porto Real</t>
        </is>
      </c>
      <c r="C10751" s="30" t="n">
        <v>78724226</v>
      </c>
      <c r="D10751" s="30">
        <f>"09452900000306"</f>
        <v/>
      </c>
      <c r="E10751" s="30" t="inlineStr">
        <is>
          <t>VIX TRANSPORTES DEDICADOS LTDA</t>
        </is>
      </c>
      <c r="F10751" s="30" t="inlineStr">
        <is>
          <t>2021</t>
        </is>
      </c>
      <c r="G10751" s="40" t="n">
        <v>0</v>
      </c>
    </row>
    <row r="10752" ht="12" customHeight="1">
      <c r="A10752" s="30" t="inlineStr">
        <is>
          <t>POR</t>
        </is>
      </c>
      <c r="B10752" s="30" t="inlineStr">
        <is>
          <t>Porto Real</t>
        </is>
      </c>
      <c r="C10752" s="30" t="n">
        <v>78724226</v>
      </c>
      <c r="D10752" s="30">
        <f>"09452900000306"</f>
        <v/>
      </c>
      <c r="E10752" s="30" t="inlineStr">
        <is>
          <t>VIX TRANSPORTES DEDICADOS LTDA</t>
        </is>
      </c>
      <c r="F10752" s="30" t="inlineStr">
        <is>
          <t>2022</t>
        </is>
      </c>
      <c r="G10752" s="40" t="n">
        <v>20306.22</v>
      </c>
    </row>
    <row r="10753" ht="12" customHeight="1">
      <c r="A10753" s="30" t="inlineStr">
        <is>
          <t>POR</t>
        </is>
      </c>
      <c r="B10753" s="30" t="inlineStr">
        <is>
          <t>Porto Real</t>
        </is>
      </c>
      <c r="C10753" s="30" t="n">
        <v>78724226</v>
      </c>
      <c r="D10753" s="30">
        <f>"09452900000306"</f>
        <v/>
      </c>
      <c r="E10753" s="30" t="inlineStr">
        <is>
          <t>VIX TRANSPORTES DEDICADOS LTDA</t>
        </is>
      </c>
      <c r="F10753" s="30" t="inlineStr">
        <is>
          <t>2023</t>
        </is>
      </c>
      <c r="G10753" s="40" t="n">
        <v>0</v>
      </c>
    </row>
    <row r="10754" ht="12" customHeight="1">
      <c r="A10754" s="30" t="inlineStr">
        <is>
          <t>POR</t>
        </is>
      </c>
      <c r="B10754" s="30" t="inlineStr">
        <is>
          <t>Porto Real</t>
        </is>
      </c>
      <c r="C10754" s="30" t="n">
        <v>78728051</v>
      </c>
      <c r="D10754" s="30">
        <f>"09598495000177"</f>
        <v/>
      </c>
      <c r="E10754" s="30" t="inlineStr">
        <is>
          <t>GRIFFE ANALISE TECNICA E MANUTENCAO AUTOMOTIVA LTDA ME</t>
        </is>
      </c>
      <c r="F10754" s="30" t="inlineStr">
        <is>
          <t>2017</t>
        </is>
      </c>
      <c r="G10754" s="40" t="n">
        <v>0</v>
      </c>
    </row>
    <row r="10755" ht="12" customHeight="1">
      <c r="A10755" s="30" t="inlineStr">
        <is>
          <t>POR</t>
        </is>
      </c>
      <c r="B10755" s="30" t="inlineStr">
        <is>
          <t>Porto Real</t>
        </is>
      </c>
      <c r="C10755" s="30" t="n">
        <v>78728051</v>
      </c>
      <c r="D10755" s="30">
        <f>"09598495000177"</f>
        <v/>
      </c>
      <c r="E10755" s="30" t="inlineStr">
        <is>
          <t>GRIFFE ANALISE TECNICA E MANUTENCAO AUTOMOTIVA LTDA ME</t>
        </is>
      </c>
      <c r="F10755" s="30" t="inlineStr">
        <is>
          <t>2018</t>
        </is>
      </c>
      <c r="G10755" s="40" t="n">
        <v>0</v>
      </c>
    </row>
    <row r="10756" ht="12" customHeight="1">
      <c r="A10756" s="30" t="inlineStr">
        <is>
          <t>POR</t>
        </is>
      </c>
      <c r="B10756" s="30" t="inlineStr">
        <is>
          <t>Porto Real</t>
        </is>
      </c>
      <c r="C10756" s="30" t="n">
        <v>78728051</v>
      </c>
      <c r="D10756" s="30">
        <f>"09598495000177"</f>
        <v/>
      </c>
      <c r="E10756" s="30" t="inlineStr">
        <is>
          <t>GRIFFE ANALISE TECNICA E MANUTENCAO AUTOMOTIVA LTDA ME</t>
        </is>
      </c>
      <c r="F10756" s="30" t="inlineStr">
        <is>
          <t>2019</t>
        </is>
      </c>
      <c r="G10756" s="40" t="n">
        <v>0</v>
      </c>
    </row>
    <row r="10757" ht="12" customHeight="1">
      <c r="A10757" s="30" t="inlineStr">
        <is>
          <t>POR</t>
        </is>
      </c>
      <c r="B10757" s="30" t="inlineStr">
        <is>
          <t>Porto Real</t>
        </is>
      </c>
      <c r="C10757" s="30" t="n">
        <v>78728051</v>
      </c>
      <c r="D10757" s="30">
        <f>"09598495000177"</f>
        <v/>
      </c>
      <c r="E10757" s="30" t="inlineStr">
        <is>
          <t>GRIFFE ANALISE TECNICA E MANUTENCAO AUTOMOTIVA LTDA ME</t>
        </is>
      </c>
      <c r="F10757" s="30" t="inlineStr">
        <is>
          <t>2020</t>
        </is>
      </c>
      <c r="G10757" s="40" t="n">
        <v>0</v>
      </c>
    </row>
    <row r="10758" ht="12" customHeight="1">
      <c r="A10758" s="30" t="inlineStr">
        <is>
          <t>POR</t>
        </is>
      </c>
      <c r="B10758" s="30" t="inlineStr">
        <is>
          <t>Porto Real</t>
        </is>
      </c>
      <c r="C10758" s="30" t="n">
        <v>78728051</v>
      </c>
      <c r="D10758" s="30">
        <f>"09598495000177"</f>
        <v/>
      </c>
      <c r="E10758" s="30" t="inlineStr">
        <is>
          <t>GRIFFE ANALISE TECNICA E MANUTENCAO AUTOMOTIVA LTDA ME</t>
        </is>
      </c>
      <c r="F10758" s="30" t="inlineStr">
        <is>
          <t>2021</t>
        </is>
      </c>
      <c r="G10758" s="40" t="n">
        <v>0</v>
      </c>
    </row>
    <row r="10759" ht="12" customHeight="1">
      <c r="A10759" s="30" t="inlineStr">
        <is>
          <t>POR</t>
        </is>
      </c>
      <c r="B10759" s="30" t="inlineStr">
        <is>
          <t>Porto Real</t>
        </is>
      </c>
      <c r="C10759" s="30" t="n">
        <v>78731451</v>
      </c>
      <c r="D10759" s="30">
        <f>"07360468000217"</f>
        <v/>
      </c>
      <c r="E10759" s="30" t="inlineStr">
        <is>
          <t>MTR LOGISTICA LTDA</t>
        </is>
      </c>
      <c r="F10759" s="30" t="inlineStr">
        <is>
          <t>2017</t>
        </is>
      </c>
      <c r="G10759" s="40" t="n">
        <v>25.45</v>
      </c>
    </row>
    <row r="10760" ht="12" customHeight="1">
      <c r="A10760" s="30" t="inlineStr">
        <is>
          <t>POR</t>
        </is>
      </c>
      <c r="B10760" s="30" t="inlineStr">
        <is>
          <t>Porto Real</t>
        </is>
      </c>
      <c r="C10760" s="30" t="n">
        <v>78731451</v>
      </c>
      <c r="D10760" s="30">
        <f>"07360468000217"</f>
        <v/>
      </c>
      <c r="E10760" s="30" t="inlineStr">
        <is>
          <t>MTR LOGISTICA LTDA</t>
        </is>
      </c>
      <c r="F10760" s="30" t="inlineStr">
        <is>
          <t>2018</t>
        </is>
      </c>
      <c r="G10760" s="40" t="n">
        <v>0</v>
      </c>
    </row>
    <row r="10761" ht="12" customHeight="1">
      <c r="A10761" s="30" t="inlineStr">
        <is>
          <t>POR</t>
        </is>
      </c>
      <c r="B10761" s="30" t="inlineStr">
        <is>
          <t>Porto Real</t>
        </is>
      </c>
      <c r="C10761" s="30" t="n">
        <v>78731451</v>
      </c>
      <c r="D10761" s="30">
        <f>"07360468000217"</f>
        <v/>
      </c>
      <c r="E10761" s="30" t="inlineStr">
        <is>
          <t>MTR LOGISTICA LTDA</t>
        </is>
      </c>
      <c r="F10761" s="30" t="inlineStr">
        <is>
          <t>2019</t>
        </is>
      </c>
      <c r="G10761" s="40" t="n">
        <v>0</v>
      </c>
    </row>
    <row r="10762" ht="12" customHeight="1">
      <c r="A10762" s="30" t="inlineStr">
        <is>
          <t>POR</t>
        </is>
      </c>
      <c r="B10762" s="30" t="inlineStr">
        <is>
          <t>Porto Real</t>
        </is>
      </c>
      <c r="C10762" s="30" t="n">
        <v>78738707</v>
      </c>
      <c r="D10762" s="30">
        <f>"10774640000102"</f>
        <v/>
      </c>
      <c r="E10762" s="30" t="inlineStr">
        <is>
          <t>GULI PIONEIRO COMERCIO DE PRODUTOS ALIMENTICIOS LTDA ME</t>
        </is>
      </c>
      <c r="F10762" s="30" t="inlineStr">
        <is>
          <t>2017</t>
        </is>
      </c>
      <c r="G10762" s="40" t="n">
        <v>2479639.44</v>
      </c>
    </row>
    <row r="10763" ht="12" customHeight="1">
      <c r="A10763" s="30" t="inlineStr">
        <is>
          <t>POR</t>
        </is>
      </c>
      <c r="B10763" s="30" t="inlineStr">
        <is>
          <t>Porto Real</t>
        </is>
      </c>
      <c r="C10763" s="30" t="n">
        <v>78738707</v>
      </c>
      <c r="D10763" s="30">
        <f>"10774640000102"</f>
        <v/>
      </c>
      <c r="E10763" s="30" t="inlineStr">
        <is>
          <t>GULI PIONEIRO COMERCIO DE PRODUTOS ALIMENTICIOS LTDA ME</t>
        </is>
      </c>
      <c r="F10763" s="30" t="inlineStr">
        <is>
          <t>2018</t>
        </is>
      </c>
      <c r="G10763" s="40" t="n">
        <v>5002826</v>
      </c>
    </row>
    <row r="10764" ht="12" customHeight="1">
      <c r="A10764" s="30" t="inlineStr">
        <is>
          <t>POR</t>
        </is>
      </c>
      <c r="B10764" s="30" t="inlineStr">
        <is>
          <t>Porto Real</t>
        </is>
      </c>
      <c r="C10764" s="30" t="n">
        <v>78738707</v>
      </c>
      <c r="D10764" s="30">
        <f>"10774640000102"</f>
        <v/>
      </c>
      <c r="E10764" s="30" t="inlineStr">
        <is>
          <t>GULI PIONEIRO COMERCIO DE PRODUTOS ALIMENTICIOS LTDA ME</t>
        </is>
      </c>
      <c r="F10764" s="30" t="inlineStr">
        <is>
          <t>2019</t>
        </is>
      </c>
      <c r="G10764" s="40" t="n">
        <v>5978500.94</v>
      </c>
    </row>
    <row r="10765" ht="12" customHeight="1">
      <c r="A10765" s="30" t="inlineStr">
        <is>
          <t>POR</t>
        </is>
      </c>
      <c r="B10765" s="30" t="inlineStr">
        <is>
          <t>Porto Real</t>
        </is>
      </c>
      <c r="C10765" s="30" t="n">
        <v>78738707</v>
      </c>
      <c r="D10765" s="30">
        <f>"10774640000102"</f>
        <v/>
      </c>
      <c r="E10765" s="30" t="inlineStr">
        <is>
          <t>GULI PIONEIRO COMERCIO DE PRODUTOS ALIMENTICIOS LTDA ME</t>
        </is>
      </c>
      <c r="F10765" s="30" t="inlineStr">
        <is>
          <t>2020</t>
        </is>
      </c>
      <c r="G10765" s="40" t="n">
        <v>5497281.23</v>
      </c>
    </row>
    <row r="10766" ht="12" customHeight="1">
      <c r="A10766" s="30" t="inlineStr">
        <is>
          <t>POR</t>
        </is>
      </c>
      <c r="B10766" s="30" t="inlineStr">
        <is>
          <t>Porto Real</t>
        </is>
      </c>
      <c r="C10766" s="30" t="n">
        <v>78738707</v>
      </c>
      <c r="D10766" s="30">
        <f>"10774640000102"</f>
        <v/>
      </c>
      <c r="E10766" s="30" t="inlineStr">
        <is>
          <t>GULI PIONEIRO COMERCIO DE PRODUTOS ALIMENTICIOS LTDA ME</t>
        </is>
      </c>
      <c r="F10766" s="30" t="inlineStr">
        <is>
          <t>2021</t>
        </is>
      </c>
      <c r="G10766" s="40" t="n">
        <v>3835160.41</v>
      </c>
    </row>
    <row r="10767" ht="12" customHeight="1">
      <c r="A10767" s="30" t="inlineStr">
        <is>
          <t>POR</t>
        </is>
      </c>
      <c r="B10767" s="30" t="inlineStr">
        <is>
          <t>Porto Real</t>
        </is>
      </c>
      <c r="C10767" s="30" t="n">
        <v>78738707</v>
      </c>
      <c r="D10767" s="30">
        <f>"10774640000102"</f>
        <v/>
      </c>
      <c r="E10767" s="30" t="inlineStr">
        <is>
          <t>GULI PIONEIRO COMERCIO DE PRODUTOS ALIMENTICIOS LTDA ME</t>
        </is>
      </c>
      <c r="F10767" s="30" t="inlineStr">
        <is>
          <t>2022</t>
        </is>
      </c>
      <c r="G10767" s="40" t="n">
        <v>4380705.09</v>
      </c>
    </row>
    <row r="10768" ht="12" customHeight="1">
      <c r="A10768" s="30" t="inlineStr">
        <is>
          <t>POR</t>
        </is>
      </c>
      <c r="B10768" s="30" t="inlineStr">
        <is>
          <t>Porto Real</t>
        </is>
      </c>
      <c r="C10768" s="30" t="n">
        <v>78738707</v>
      </c>
      <c r="D10768" s="30">
        <f>"10774640000102"</f>
        <v/>
      </c>
      <c r="E10768" s="30" t="inlineStr">
        <is>
          <t>GULI PIONEIRO COMERCIO DE PRODUTOS ALIMENTICIOS LTDA ME</t>
        </is>
      </c>
      <c r="F10768" s="30" t="inlineStr">
        <is>
          <t>2023</t>
        </is>
      </c>
      <c r="G10768" s="40" t="n">
        <v>529299.16</v>
      </c>
    </row>
    <row r="10769" ht="12" customHeight="1">
      <c r="A10769" s="30" t="inlineStr">
        <is>
          <t>POR</t>
        </is>
      </c>
      <c r="B10769" s="30" t="inlineStr">
        <is>
          <t>Porto Real</t>
        </is>
      </c>
      <c r="C10769" s="30" t="n">
        <v>78760702</v>
      </c>
      <c r="D10769" s="30">
        <f>"10865695000128"</f>
        <v/>
      </c>
      <c r="E10769" s="30" t="inlineStr">
        <is>
          <t>RESTAURANTE CELEIRO DE PORTO REAL LTDA</t>
        </is>
      </c>
      <c r="F10769" s="30" t="inlineStr">
        <is>
          <t>2017</t>
        </is>
      </c>
      <c r="G10769" s="40" t="n">
        <v>0</v>
      </c>
    </row>
    <row r="10770" ht="12" customHeight="1">
      <c r="A10770" s="30" t="inlineStr">
        <is>
          <t>POR</t>
        </is>
      </c>
      <c r="B10770" s="30" t="inlineStr">
        <is>
          <t>Porto Real</t>
        </is>
      </c>
      <c r="C10770" s="30" t="n">
        <v>78760702</v>
      </c>
      <c r="D10770" s="30">
        <f>"10865695000128"</f>
        <v/>
      </c>
      <c r="E10770" s="30" t="inlineStr">
        <is>
          <t>RESTAURANTE CELEIRO DE PORTO REAL LTDA</t>
        </is>
      </c>
      <c r="F10770" s="30" t="inlineStr">
        <is>
          <t>2018</t>
        </is>
      </c>
      <c r="G10770" s="40" t="n">
        <v>0</v>
      </c>
    </row>
    <row r="10771" ht="12" customHeight="1">
      <c r="A10771" s="30" t="inlineStr">
        <is>
          <t>POR</t>
        </is>
      </c>
      <c r="B10771" s="30" t="inlineStr">
        <is>
          <t>Porto Real</t>
        </is>
      </c>
      <c r="C10771" s="30" t="n">
        <v>78760702</v>
      </c>
      <c r="D10771" s="30">
        <f>"10865695000128"</f>
        <v/>
      </c>
      <c r="E10771" s="30" t="inlineStr">
        <is>
          <t>RESTAURANTE CELEIRO DE PORTO REAL LTDA</t>
        </is>
      </c>
      <c r="F10771" s="30" t="inlineStr">
        <is>
          <t>2019</t>
        </is>
      </c>
      <c r="G10771" s="40" t="n">
        <v>0</v>
      </c>
    </row>
    <row r="10772" ht="12" customHeight="1">
      <c r="A10772" s="30" t="inlineStr">
        <is>
          <t>POR</t>
        </is>
      </c>
      <c r="B10772" s="30" t="inlineStr">
        <is>
          <t>Porto Real</t>
        </is>
      </c>
      <c r="C10772" s="30" t="n">
        <v>78764945</v>
      </c>
      <c r="D10772" s="30">
        <f>"07408046000355"</f>
        <v/>
      </c>
      <c r="E10772" s="30" t="inlineStr">
        <is>
          <t>LUBRAQUIM INDUSTRIA E COMERCIO DE LUBRIFICANTES LTDA - EM RECUPERAÇÃO JUDICIAL</t>
        </is>
      </c>
      <c r="F10772" s="30" t="inlineStr">
        <is>
          <t>2020</t>
        </is>
      </c>
      <c r="G10772" s="40" t="n">
        <v>0</v>
      </c>
    </row>
    <row r="10773" ht="12" customHeight="1">
      <c r="A10773" s="30" t="inlineStr">
        <is>
          <t>POR</t>
        </is>
      </c>
      <c r="B10773" s="30" t="inlineStr">
        <is>
          <t>Porto Real</t>
        </is>
      </c>
      <c r="C10773" s="30" t="n">
        <v>78764945</v>
      </c>
      <c r="D10773" s="30">
        <f>"07408046000355"</f>
        <v/>
      </c>
      <c r="E10773" s="30" t="inlineStr">
        <is>
          <t>LUBRAQUIM INDUSTRIA E COMERCIO DE LUBRIFICANTES LTDA - EM RECUPERAÇÃO JUDICIAL</t>
        </is>
      </c>
      <c r="F10773" s="30" t="inlineStr">
        <is>
          <t>2021</t>
        </is>
      </c>
      <c r="G10773" s="40" t="n">
        <v>0</v>
      </c>
    </row>
    <row r="10774" ht="12" customHeight="1">
      <c r="A10774" s="30" t="inlineStr">
        <is>
          <t>POR</t>
        </is>
      </c>
      <c r="B10774" s="30" t="inlineStr">
        <is>
          <t>Porto Real</t>
        </is>
      </c>
      <c r="C10774" s="30" t="n">
        <v>78764945</v>
      </c>
      <c r="D10774" s="30">
        <f>"07408046000355"</f>
        <v/>
      </c>
      <c r="E10774" s="30" t="inlineStr">
        <is>
          <t>LUBRAQUIM INDUSTRIA E COMERCIO DE LUBRIFICANTES LTDA - EM RECUPERAÇÃO JUDICIAL</t>
        </is>
      </c>
      <c r="F10774" s="30" t="inlineStr">
        <is>
          <t>2022</t>
        </is>
      </c>
      <c r="G10774" s="40" t="n">
        <v>5784436.3</v>
      </c>
    </row>
    <row r="10775" ht="12" customHeight="1">
      <c r="A10775" s="30" t="inlineStr">
        <is>
          <t>POR</t>
        </is>
      </c>
      <c r="B10775" s="30" t="inlineStr">
        <is>
          <t>Porto Real</t>
        </is>
      </c>
      <c r="C10775" s="30" t="n">
        <v>78764945</v>
      </c>
      <c r="D10775" s="30">
        <f>"07408046000355"</f>
        <v/>
      </c>
      <c r="E10775" s="30" t="inlineStr">
        <is>
          <t>LUBRAQUIM INDUSTRIA E COMERCIO DE LUBRIFICANTES LTDA - EM RECUPERAÇÃO JUDICIAL</t>
        </is>
      </c>
      <c r="F10775" s="30" t="inlineStr">
        <is>
          <t>2023</t>
        </is>
      </c>
      <c r="G10775" s="40" t="n">
        <v>0</v>
      </c>
    </row>
    <row r="10776" ht="12" customHeight="1">
      <c r="A10776" s="30" t="inlineStr">
        <is>
          <t>POR</t>
        </is>
      </c>
      <c r="B10776" s="30" t="inlineStr">
        <is>
          <t>Porto Real</t>
        </is>
      </c>
      <c r="C10776" s="30" t="n">
        <v>78776323</v>
      </c>
      <c r="D10776" s="30">
        <f>"03098929000436"</f>
        <v/>
      </c>
      <c r="E10776" s="30" t="inlineStr">
        <is>
          <t>SETE LAGOAS TRANSPORTES LTDA ME</t>
        </is>
      </c>
      <c r="F10776" s="30" t="inlineStr">
        <is>
          <t>2017</t>
        </is>
      </c>
      <c r="G10776" s="40" t="n">
        <v>0</v>
      </c>
    </row>
    <row r="10777" ht="12" customHeight="1">
      <c r="A10777" s="30" t="inlineStr">
        <is>
          <t>POR</t>
        </is>
      </c>
      <c r="B10777" s="30" t="inlineStr">
        <is>
          <t>Porto Real</t>
        </is>
      </c>
      <c r="C10777" s="30" t="n">
        <v>78776323</v>
      </c>
      <c r="D10777" s="30">
        <f>"03098929000436"</f>
        <v/>
      </c>
      <c r="E10777" s="30" t="inlineStr">
        <is>
          <t>SETE LAGOAS TRANSPORTES LTDA ME</t>
        </is>
      </c>
      <c r="F10777" s="30" t="inlineStr">
        <is>
          <t>2018</t>
        </is>
      </c>
      <c r="G10777" s="40" t="n">
        <v>0</v>
      </c>
    </row>
    <row r="10778" ht="12" customHeight="1">
      <c r="A10778" s="30" t="inlineStr">
        <is>
          <t>POR</t>
        </is>
      </c>
      <c r="B10778" s="30" t="inlineStr">
        <is>
          <t>Porto Real</t>
        </is>
      </c>
      <c r="C10778" s="30" t="n">
        <v>78776323</v>
      </c>
      <c r="D10778" s="30">
        <f>"03098929000436"</f>
        <v/>
      </c>
      <c r="E10778" s="30" t="inlineStr">
        <is>
          <t>SETE LAGOAS TRANSPORTES LTDA ME</t>
        </is>
      </c>
      <c r="F10778" s="30" t="inlineStr">
        <is>
          <t>2019</t>
        </is>
      </c>
      <c r="G10778" s="40" t="n">
        <v>6250.58</v>
      </c>
    </row>
    <row r="10779" ht="12" customHeight="1">
      <c r="A10779" s="30" t="inlineStr">
        <is>
          <t>POR</t>
        </is>
      </c>
      <c r="B10779" s="30" t="inlineStr">
        <is>
          <t>Porto Real</t>
        </is>
      </c>
      <c r="C10779" s="30" t="n">
        <v>78776323</v>
      </c>
      <c r="D10779" s="30">
        <f>"03098929000436"</f>
        <v/>
      </c>
      <c r="E10779" s="30" t="inlineStr">
        <is>
          <t>SETE LAGOAS TRANSPORTES LTDA ME</t>
        </is>
      </c>
      <c r="F10779" s="30" t="inlineStr">
        <is>
          <t>2020</t>
        </is>
      </c>
      <c r="G10779" s="40" t="n">
        <v>25723</v>
      </c>
    </row>
    <row r="10780" ht="12" customHeight="1">
      <c r="A10780" s="30" t="inlineStr">
        <is>
          <t>POR</t>
        </is>
      </c>
      <c r="B10780" s="30" t="inlineStr">
        <is>
          <t>Porto Real</t>
        </is>
      </c>
      <c r="C10780" s="30" t="n">
        <v>78776323</v>
      </c>
      <c r="D10780" s="30">
        <f>"03098929000436"</f>
        <v/>
      </c>
      <c r="E10780" s="30" t="inlineStr">
        <is>
          <t>SETE LAGOAS TRANSPORTES LTDA ME</t>
        </is>
      </c>
      <c r="F10780" s="30" t="inlineStr">
        <is>
          <t>2021</t>
        </is>
      </c>
      <c r="G10780" s="40" t="n">
        <v>4200</v>
      </c>
    </row>
    <row r="10781" ht="12" customHeight="1">
      <c r="A10781" s="30" t="inlineStr">
        <is>
          <t>POR</t>
        </is>
      </c>
      <c r="B10781" s="30" t="inlineStr">
        <is>
          <t>Porto Real</t>
        </is>
      </c>
      <c r="C10781" s="30" t="n">
        <v>78776323</v>
      </c>
      <c r="D10781" s="30">
        <f>"03098929000436"</f>
        <v/>
      </c>
      <c r="E10781" s="30" t="inlineStr">
        <is>
          <t>SETE LAGOAS TRANSPORTES LTDA ME</t>
        </is>
      </c>
      <c r="F10781" s="30" t="inlineStr">
        <is>
          <t>2022</t>
        </is>
      </c>
      <c r="G10781" s="40" t="n">
        <v>4000</v>
      </c>
    </row>
    <row r="10782" ht="12" customHeight="1">
      <c r="A10782" s="30" t="inlineStr">
        <is>
          <t>POR</t>
        </is>
      </c>
      <c r="B10782" s="30" t="inlineStr">
        <is>
          <t>Porto Real</t>
        </is>
      </c>
      <c r="C10782" s="30" t="n">
        <v>78776323</v>
      </c>
      <c r="D10782" s="30">
        <f>"03098929000436"</f>
        <v/>
      </c>
      <c r="E10782" s="30" t="inlineStr">
        <is>
          <t>SETE LAGOAS TRANSPORTES LTDA ME</t>
        </is>
      </c>
      <c r="F10782" s="30" t="inlineStr">
        <is>
          <t>2023</t>
        </is>
      </c>
      <c r="G10782" s="40" t="n">
        <v>0</v>
      </c>
    </row>
    <row r="10783" ht="12" customHeight="1">
      <c r="A10783" s="30" t="inlineStr">
        <is>
          <t>POR</t>
        </is>
      </c>
      <c r="B10783" s="30" t="inlineStr">
        <is>
          <t>Porto Real</t>
        </is>
      </c>
      <c r="C10783" s="30" t="n">
        <v>78795590</v>
      </c>
      <c r="D10783" s="30">
        <f>"55753578000534"</f>
        <v/>
      </c>
      <c r="E10783" s="30" t="inlineStr">
        <is>
          <t>ADEMIR COMERCIO DE VEICULOS E TRANSPORTADORA LTDA</t>
        </is>
      </c>
      <c r="F10783" s="30" t="inlineStr">
        <is>
          <t>2017</t>
        </is>
      </c>
      <c r="G10783" s="40" t="n">
        <v>3171</v>
      </c>
    </row>
    <row r="10784" ht="12" customHeight="1">
      <c r="A10784" s="30" t="inlineStr">
        <is>
          <t>POR</t>
        </is>
      </c>
      <c r="B10784" s="30" t="inlineStr">
        <is>
          <t>Porto Real</t>
        </is>
      </c>
      <c r="C10784" s="30" t="n">
        <v>78795590</v>
      </c>
      <c r="D10784" s="30">
        <f>"55753578000534"</f>
        <v/>
      </c>
      <c r="E10784" s="30" t="inlineStr">
        <is>
          <t>ADEMIR COMERCIO DE VEICULOS E TRANSPORTADORA LTDA</t>
        </is>
      </c>
      <c r="F10784" s="30" t="inlineStr">
        <is>
          <t>2018</t>
        </is>
      </c>
      <c r="G10784" s="40" t="n">
        <v>0</v>
      </c>
    </row>
    <row r="10785" ht="12" customHeight="1">
      <c r="A10785" s="30" t="inlineStr">
        <is>
          <t>POR</t>
        </is>
      </c>
      <c r="B10785" s="30" t="inlineStr">
        <is>
          <t>Porto Real</t>
        </is>
      </c>
      <c r="C10785" s="30" t="n">
        <v>78795590</v>
      </c>
      <c r="D10785" s="30">
        <f>"55753578000534"</f>
        <v/>
      </c>
      <c r="E10785" s="30" t="inlineStr">
        <is>
          <t>ADEMIR COMERCIO DE VEICULOS E TRANSPORTADORA LTDA</t>
        </is>
      </c>
      <c r="F10785" s="30" t="inlineStr">
        <is>
          <t>2019</t>
        </is>
      </c>
      <c r="G10785" s="40" t="n">
        <v>96686.63</v>
      </c>
    </row>
    <row r="10786" ht="12" customHeight="1">
      <c r="A10786" s="30" t="inlineStr">
        <is>
          <t>POR</t>
        </is>
      </c>
      <c r="B10786" s="30" t="inlineStr">
        <is>
          <t>Porto Real</t>
        </is>
      </c>
      <c r="C10786" s="30" t="n">
        <v>78795590</v>
      </c>
      <c r="D10786" s="30">
        <f>"55753578000534"</f>
        <v/>
      </c>
      <c r="E10786" s="30" t="inlineStr">
        <is>
          <t>ADEMIR COMERCIO DE VEICULOS E TRANSPORTADORA LTDA</t>
        </is>
      </c>
      <c r="F10786" s="30" t="inlineStr">
        <is>
          <t>2020</t>
        </is>
      </c>
      <c r="G10786" s="40" t="n">
        <v>0</v>
      </c>
    </row>
    <row r="10787" ht="12" customHeight="1">
      <c r="A10787" s="30" t="inlineStr">
        <is>
          <t>POR</t>
        </is>
      </c>
      <c r="B10787" s="30" t="inlineStr">
        <is>
          <t>Porto Real</t>
        </is>
      </c>
      <c r="C10787" s="30" t="n">
        <v>78795590</v>
      </c>
      <c r="D10787" s="30">
        <f>"55753578000534"</f>
        <v/>
      </c>
      <c r="E10787" s="30" t="inlineStr">
        <is>
          <t>ADEMIR COMERCIO DE VEICULOS E TRANSPORTADORA LTDA</t>
        </is>
      </c>
      <c r="F10787" s="30" t="inlineStr">
        <is>
          <t>2021</t>
        </is>
      </c>
      <c r="G10787" s="40" t="n">
        <v>201637.49</v>
      </c>
    </row>
    <row r="10788" ht="12" customHeight="1">
      <c r="A10788" s="30" t="inlineStr">
        <is>
          <t>POR</t>
        </is>
      </c>
      <c r="B10788" s="30" t="inlineStr">
        <is>
          <t>Porto Real</t>
        </is>
      </c>
      <c r="C10788" s="30" t="n">
        <v>78795590</v>
      </c>
      <c r="D10788" s="30">
        <f>"55753578000534"</f>
        <v/>
      </c>
      <c r="E10788" s="30" t="inlineStr">
        <is>
          <t>ADEMIR COMERCIO DE VEICULOS E TRANSPORTADORA LTDA</t>
        </is>
      </c>
      <c r="F10788" s="30" t="inlineStr">
        <is>
          <t>2022</t>
        </is>
      </c>
      <c r="G10788" s="40" t="n">
        <v>798415.8100000001</v>
      </c>
    </row>
    <row r="10789" ht="12" customHeight="1">
      <c r="A10789" s="30" t="inlineStr">
        <is>
          <t>POR</t>
        </is>
      </c>
      <c r="B10789" s="30" t="inlineStr">
        <is>
          <t>Porto Real</t>
        </is>
      </c>
      <c r="C10789" s="30" t="n">
        <v>78795590</v>
      </c>
      <c r="D10789" s="30">
        <f>"55753578000534"</f>
        <v/>
      </c>
      <c r="E10789" s="30" t="inlineStr">
        <is>
          <t>ADEMIR COMERCIO DE VEICULOS E TRANSPORTADORA LTDA</t>
        </is>
      </c>
      <c r="F10789" s="30" t="inlineStr">
        <is>
          <t>2023</t>
        </is>
      </c>
      <c r="G10789" s="40" t="n">
        <v>920476.88</v>
      </c>
    </row>
    <row r="10790" ht="12" customHeight="1">
      <c r="A10790" s="30" t="inlineStr">
        <is>
          <t>POR</t>
        </is>
      </c>
      <c r="B10790" s="30" t="inlineStr">
        <is>
          <t>Porto Real</t>
        </is>
      </c>
      <c r="C10790" s="30" t="n">
        <v>78813261</v>
      </c>
      <c r="D10790" s="30">
        <f>"06238738000330"</f>
        <v/>
      </c>
      <c r="E10790" s="30" t="inlineStr">
        <is>
          <t>ACOLOG SERVICOS DE TRANSPORTE E LOGISTICA LTDA</t>
        </is>
      </c>
      <c r="F10790" s="30" t="inlineStr">
        <is>
          <t>2017</t>
        </is>
      </c>
      <c r="G10790" s="40" t="n">
        <v>121586.2</v>
      </c>
    </row>
    <row r="10791" ht="12" customHeight="1">
      <c r="A10791" s="30" t="inlineStr">
        <is>
          <t>POR</t>
        </is>
      </c>
      <c r="B10791" s="30" t="inlineStr">
        <is>
          <t>Porto Real</t>
        </is>
      </c>
      <c r="C10791" s="30" t="n">
        <v>78813261</v>
      </c>
      <c r="D10791" s="30">
        <f>"06238738000330"</f>
        <v/>
      </c>
      <c r="E10791" s="30" t="inlineStr">
        <is>
          <t>ACOLOG SERVICOS DE TRANSPORTE E LOGISTICA LTDA</t>
        </is>
      </c>
      <c r="F10791" s="30" t="inlineStr">
        <is>
          <t>2018</t>
        </is>
      </c>
      <c r="G10791" s="40" t="n">
        <v>610596.74</v>
      </c>
    </row>
    <row r="10792" ht="12" customHeight="1">
      <c r="A10792" s="30" t="inlineStr">
        <is>
          <t>POR</t>
        </is>
      </c>
      <c r="B10792" s="30" t="inlineStr">
        <is>
          <t>Porto Real</t>
        </is>
      </c>
      <c r="C10792" s="30" t="n">
        <v>78813261</v>
      </c>
      <c r="D10792" s="30">
        <f>"06238738000330"</f>
        <v/>
      </c>
      <c r="E10792" s="30" t="inlineStr">
        <is>
          <t>ACOLOG SERVICOS DE TRANSPORTE E LOGISTICA LTDA</t>
        </is>
      </c>
      <c r="F10792" s="30" t="inlineStr">
        <is>
          <t>2019</t>
        </is>
      </c>
      <c r="G10792" s="40" t="n">
        <v>932494.1800000001</v>
      </c>
    </row>
    <row r="10793" ht="12" customHeight="1">
      <c r="A10793" s="30" t="inlineStr">
        <is>
          <t>POR</t>
        </is>
      </c>
      <c r="B10793" s="30" t="inlineStr">
        <is>
          <t>Porto Real</t>
        </is>
      </c>
      <c r="C10793" s="30" t="n">
        <v>78813261</v>
      </c>
      <c r="D10793" s="30">
        <f>"06238738000330"</f>
        <v/>
      </c>
      <c r="E10793" s="30" t="inlineStr">
        <is>
          <t>ACOLOG SERVICOS DE TRANSPORTE E LOGISTICA LTDA</t>
        </is>
      </c>
      <c r="F10793" s="30" t="inlineStr">
        <is>
          <t>2020</t>
        </is>
      </c>
      <c r="G10793" s="40" t="n">
        <v>984551.3</v>
      </c>
    </row>
    <row r="10794" ht="12" customHeight="1">
      <c r="A10794" s="30" t="inlineStr">
        <is>
          <t>POR</t>
        </is>
      </c>
      <c r="B10794" s="30" t="inlineStr">
        <is>
          <t>Porto Real</t>
        </is>
      </c>
      <c r="C10794" s="30" t="n">
        <v>78813261</v>
      </c>
      <c r="D10794" s="30">
        <f>"06238738000330"</f>
        <v/>
      </c>
      <c r="E10794" s="30" t="inlineStr">
        <is>
          <t>ACOLOG SERVICOS DE TRANSPORTE E LOGISTICA LTDA</t>
        </is>
      </c>
      <c r="F10794" s="30" t="inlineStr">
        <is>
          <t>2021</t>
        </is>
      </c>
      <c r="G10794" s="40" t="n">
        <v>1427809.02</v>
      </c>
    </row>
    <row r="10795" ht="12" customHeight="1">
      <c r="A10795" s="30" t="inlineStr">
        <is>
          <t>POR</t>
        </is>
      </c>
      <c r="B10795" s="30" t="inlineStr">
        <is>
          <t>Porto Real</t>
        </is>
      </c>
      <c r="C10795" s="30" t="n">
        <v>78813261</v>
      </c>
      <c r="D10795" s="30">
        <f>"06238738000330"</f>
        <v/>
      </c>
      <c r="E10795" s="30" t="inlineStr">
        <is>
          <t>ACOLOG SERVICOS DE TRANSPORTE E LOGISTICA LTDA</t>
        </is>
      </c>
      <c r="F10795" s="30" t="inlineStr">
        <is>
          <t>2022</t>
        </is>
      </c>
      <c r="G10795" s="40" t="n">
        <v>1287067.17</v>
      </c>
    </row>
    <row r="10796" ht="12" customHeight="1">
      <c r="A10796" s="30" t="inlineStr">
        <is>
          <t>POR</t>
        </is>
      </c>
      <c r="B10796" s="30" t="inlineStr">
        <is>
          <t>Porto Real</t>
        </is>
      </c>
      <c r="C10796" s="30" t="n">
        <v>78813261</v>
      </c>
      <c r="D10796" s="30">
        <f>"06238738000330"</f>
        <v/>
      </c>
      <c r="E10796" s="30" t="inlineStr">
        <is>
          <t>ACOLOG SERVICOS DE TRANSPORTE E LOGISTICA LTDA</t>
        </is>
      </c>
      <c r="F10796" s="30" t="inlineStr">
        <is>
          <t>2023</t>
        </is>
      </c>
      <c r="G10796" s="40" t="n">
        <v>1595324.26</v>
      </c>
    </row>
    <row r="10797" ht="12" customHeight="1">
      <c r="A10797" s="30" t="inlineStr">
        <is>
          <t>POR</t>
        </is>
      </c>
      <c r="B10797" s="30" t="inlineStr">
        <is>
          <t>Porto Real</t>
        </is>
      </c>
      <c r="C10797" s="30" t="n">
        <v>78815345</v>
      </c>
      <c r="D10797" s="30">
        <f>"10924680000193"</f>
        <v/>
      </c>
      <c r="E10797" s="30" t="inlineStr">
        <is>
          <t>JL TRANSPORTES DIESEL LTDA</t>
        </is>
      </c>
      <c r="F10797" s="30" t="inlineStr">
        <is>
          <t>2019</t>
        </is>
      </c>
      <c r="G10797" s="40" t="n">
        <v>0</v>
      </c>
    </row>
    <row r="10798" ht="12" customHeight="1">
      <c r="A10798" s="30" t="inlineStr">
        <is>
          <t>POR</t>
        </is>
      </c>
      <c r="B10798" s="30" t="inlineStr">
        <is>
          <t>Porto Real</t>
        </is>
      </c>
      <c r="C10798" s="30" t="n">
        <v>78815345</v>
      </c>
      <c r="D10798" s="30">
        <f>"10924680000193"</f>
        <v/>
      </c>
      <c r="E10798" s="30" t="inlineStr">
        <is>
          <t>JL TRANSPORTES DIESEL LTDA</t>
        </is>
      </c>
      <c r="F10798" s="30" t="inlineStr">
        <is>
          <t>2020</t>
        </is>
      </c>
      <c r="G10798" s="40" t="n">
        <v>0</v>
      </c>
    </row>
    <row r="10799" ht="12" customHeight="1">
      <c r="A10799" s="30" t="inlineStr">
        <is>
          <t>POR</t>
        </is>
      </c>
      <c r="B10799" s="30" t="inlineStr">
        <is>
          <t>Porto Real</t>
        </is>
      </c>
      <c r="C10799" s="30" t="n">
        <v>78815345</v>
      </c>
      <c r="D10799" s="30">
        <f>"10924680000193"</f>
        <v/>
      </c>
      <c r="E10799" s="30" t="inlineStr">
        <is>
          <t>JL TRANSPORTES DIESEL LTDA</t>
        </is>
      </c>
      <c r="F10799" s="30" t="inlineStr">
        <is>
          <t>2021</t>
        </is>
      </c>
      <c r="G10799" s="40" t="n">
        <v>118338.87</v>
      </c>
    </row>
    <row r="10800" ht="12" customHeight="1">
      <c r="A10800" s="30" t="inlineStr">
        <is>
          <t>POR</t>
        </is>
      </c>
      <c r="B10800" s="30" t="inlineStr">
        <is>
          <t>Porto Real</t>
        </is>
      </c>
      <c r="C10800" s="30" t="n">
        <v>78815345</v>
      </c>
      <c r="D10800" s="30">
        <f>"10924680000193"</f>
        <v/>
      </c>
      <c r="E10800" s="30" t="inlineStr">
        <is>
          <t>JL TRANSPORTES DIESEL LTDA</t>
        </is>
      </c>
      <c r="F10800" s="30" t="inlineStr">
        <is>
          <t>2022</t>
        </is>
      </c>
      <c r="G10800" s="40" t="n">
        <v>0</v>
      </c>
    </row>
    <row r="10801" ht="12" customHeight="1">
      <c r="A10801" s="30" t="inlineStr">
        <is>
          <t>POR</t>
        </is>
      </c>
      <c r="B10801" s="30" t="inlineStr">
        <is>
          <t>Porto Real</t>
        </is>
      </c>
      <c r="C10801" s="30" t="n">
        <v>78815345</v>
      </c>
      <c r="D10801" s="30">
        <f>"10924680000193"</f>
        <v/>
      </c>
      <c r="E10801" s="30" t="inlineStr">
        <is>
          <t>JL TRANSPORTES DIESEL LTDA</t>
        </is>
      </c>
      <c r="F10801" s="30" t="inlineStr">
        <is>
          <t>2023</t>
        </is>
      </c>
      <c r="G10801" s="40" t="n">
        <v>0</v>
      </c>
    </row>
    <row r="10802" ht="12" customHeight="1">
      <c r="A10802" s="30" t="inlineStr">
        <is>
          <t>POR</t>
        </is>
      </c>
      <c r="B10802" s="30" t="inlineStr">
        <is>
          <t>Porto Real</t>
        </is>
      </c>
      <c r="C10802" s="30" t="n">
        <v>78839910</v>
      </c>
      <c r="D10802" s="30">
        <f>"04767210000160"</f>
        <v/>
      </c>
      <c r="E10802" s="30" t="inlineStr">
        <is>
          <t>TRANSPORTO TRANSPORTES LTDA</t>
        </is>
      </c>
      <c r="F10802" s="30" t="inlineStr">
        <is>
          <t>2017</t>
        </is>
      </c>
      <c r="G10802" s="40" t="n">
        <v>0</v>
      </c>
    </row>
    <row r="10803" ht="12" customHeight="1">
      <c r="A10803" s="30" t="inlineStr">
        <is>
          <t>POR</t>
        </is>
      </c>
      <c r="B10803" s="30" t="inlineStr">
        <is>
          <t>Porto Real</t>
        </is>
      </c>
      <c r="C10803" s="30" t="n">
        <v>78839910</v>
      </c>
      <c r="D10803" s="30">
        <f>"04767210000160"</f>
        <v/>
      </c>
      <c r="E10803" s="30" t="inlineStr">
        <is>
          <t>TRANSPORTO TRANSPORTES LTDA</t>
        </is>
      </c>
      <c r="F10803" s="30" t="inlineStr">
        <is>
          <t>2018</t>
        </is>
      </c>
      <c r="G10803" s="40" t="n">
        <v>0</v>
      </c>
    </row>
    <row r="10804" ht="12" customHeight="1">
      <c r="A10804" s="30" t="inlineStr">
        <is>
          <t>POR</t>
        </is>
      </c>
      <c r="B10804" s="30" t="inlineStr">
        <is>
          <t>Porto Real</t>
        </is>
      </c>
      <c r="C10804" s="30" t="n">
        <v>78839910</v>
      </c>
      <c r="D10804" s="30">
        <f>"04767210000160"</f>
        <v/>
      </c>
      <c r="E10804" s="30" t="inlineStr">
        <is>
          <t>TRANSPORTO TRANSPORTES LTDA</t>
        </is>
      </c>
      <c r="F10804" s="30" t="inlineStr">
        <is>
          <t>2019</t>
        </is>
      </c>
      <c r="G10804" s="40" t="n">
        <v>0</v>
      </c>
    </row>
    <row r="10805" ht="12" customHeight="1">
      <c r="A10805" s="30" t="inlineStr">
        <is>
          <t>POR</t>
        </is>
      </c>
      <c r="B10805" s="30" t="inlineStr">
        <is>
          <t>Porto Real</t>
        </is>
      </c>
      <c r="C10805" s="30" t="n">
        <v>78839910</v>
      </c>
      <c r="D10805" s="30">
        <f>"04767210000160"</f>
        <v/>
      </c>
      <c r="E10805" s="30" t="inlineStr">
        <is>
          <t>TRANSPORTO TRANSPORTES LTDA</t>
        </is>
      </c>
      <c r="F10805" s="30" t="inlineStr">
        <is>
          <t>2020</t>
        </is>
      </c>
      <c r="G10805" s="40" t="n">
        <v>0</v>
      </c>
    </row>
    <row r="10806" ht="12" customHeight="1">
      <c r="A10806" s="30" t="inlineStr">
        <is>
          <t>POR</t>
        </is>
      </c>
      <c r="B10806" s="30" t="inlineStr">
        <is>
          <t>Porto Real</t>
        </is>
      </c>
      <c r="C10806" s="30" t="n">
        <v>78839910</v>
      </c>
      <c r="D10806" s="30">
        <f>"04767210000160"</f>
        <v/>
      </c>
      <c r="E10806" s="30" t="inlineStr">
        <is>
          <t>TRANSPORTO TRANSPORTES LTDA</t>
        </is>
      </c>
      <c r="F10806" s="30" t="inlineStr">
        <is>
          <t>2021</t>
        </is>
      </c>
      <c r="G10806" s="40" t="n">
        <v>0</v>
      </c>
    </row>
    <row r="10807" ht="12" customHeight="1">
      <c r="A10807" s="30" t="inlineStr">
        <is>
          <t>POR</t>
        </is>
      </c>
      <c r="B10807" s="30" t="inlineStr">
        <is>
          <t>Porto Real</t>
        </is>
      </c>
      <c r="C10807" s="30" t="n">
        <v>78839910</v>
      </c>
      <c r="D10807" s="30">
        <f>"04767210000160"</f>
        <v/>
      </c>
      <c r="E10807" s="30" t="inlineStr">
        <is>
          <t>TRANSPORTO TRANSPORTES LTDA</t>
        </is>
      </c>
      <c r="F10807" s="30" t="inlineStr">
        <is>
          <t>2022</t>
        </is>
      </c>
      <c r="G10807" s="40" t="n">
        <v>0</v>
      </c>
    </row>
    <row r="10808" ht="12" customHeight="1">
      <c r="A10808" s="30" t="inlineStr">
        <is>
          <t>POR</t>
        </is>
      </c>
      <c r="B10808" s="30" t="inlineStr">
        <is>
          <t>Porto Real</t>
        </is>
      </c>
      <c r="C10808" s="30" t="n">
        <v>78839910</v>
      </c>
      <c r="D10808" s="30">
        <f>"04767210000160"</f>
        <v/>
      </c>
      <c r="E10808" s="30" t="inlineStr">
        <is>
          <t>TRANSPORTO TRANSPORTES LTDA</t>
        </is>
      </c>
      <c r="F10808" s="30" t="inlineStr">
        <is>
          <t>2023</t>
        </is>
      </c>
      <c r="G10808" s="40" t="n">
        <v>0</v>
      </c>
    </row>
    <row r="10809" ht="12" customHeight="1">
      <c r="A10809" s="30" t="inlineStr">
        <is>
          <t>POR</t>
        </is>
      </c>
      <c r="B10809" s="30" t="inlineStr">
        <is>
          <t>Porto Real</t>
        </is>
      </c>
      <c r="C10809" s="30" t="n">
        <v>78845988</v>
      </c>
      <c r="D10809" s="30">
        <f>"48740351010390"</f>
        <v/>
      </c>
      <c r="E10809" s="30" t="inlineStr">
        <is>
          <t>BRASPRESS TRANSPORTES URGENTES LTDA</t>
        </is>
      </c>
      <c r="F10809" s="30" t="inlineStr">
        <is>
          <t>2017</t>
        </is>
      </c>
      <c r="G10809" s="40" t="n">
        <v>114.3</v>
      </c>
    </row>
    <row r="10810" ht="12" customHeight="1">
      <c r="A10810" s="30" t="inlineStr">
        <is>
          <t>POR</t>
        </is>
      </c>
      <c r="B10810" s="30" t="inlineStr">
        <is>
          <t>Porto Real</t>
        </is>
      </c>
      <c r="C10810" s="30" t="n">
        <v>78845988</v>
      </c>
      <c r="D10810" s="30">
        <f>"48740351010390"</f>
        <v/>
      </c>
      <c r="E10810" s="30" t="inlineStr">
        <is>
          <t>BRASPRESS TRANSPORTES URGENTES LTDA</t>
        </is>
      </c>
      <c r="F10810" s="30" t="inlineStr">
        <is>
          <t>2018</t>
        </is>
      </c>
      <c r="G10810" s="40" t="n">
        <v>0</v>
      </c>
    </row>
    <row r="10811" ht="12" customHeight="1">
      <c r="A10811" s="30" t="inlineStr">
        <is>
          <t>POR</t>
        </is>
      </c>
      <c r="B10811" s="30" t="inlineStr">
        <is>
          <t>Porto Real</t>
        </is>
      </c>
      <c r="C10811" s="30" t="n">
        <v>78845988</v>
      </c>
      <c r="D10811" s="30">
        <f>"48740351010390"</f>
        <v/>
      </c>
      <c r="E10811" s="30" t="inlineStr">
        <is>
          <t>BRASPRESS TRANSPORTES URGENTES LTDA</t>
        </is>
      </c>
      <c r="F10811" s="30" t="inlineStr">
        <is>
          <t>2019</t>
        </is>
      </c>
      <c r="G10811" s="40" t="n">
        <v>0</v>
      </c>
    </row>
    <row r="10812" ht="12" customHeight="1">
      <c r="A10812" s="30" t="inlineStr">
        <is>
          <t>POR</t>
        </is>
      </c>
      <c r="B10812" s="30" t="inlineStr">
        <is>
          <t>Porto Real</t>
        </is>
      </c>
      <c r="C10812" s="30" t="n">
        <v>78845988</v>
      </c>
      <c r="D10812" s="30">
        <f>"48740351010390"</f>
        <v/>
      </c>
      <c r="E10812" s="30" t="inlineStr">
        <is>
          <t>BRASPRESS TRANSPORTES URGENTES LTDA</t>
        </is>
      </c>
      <c r="F10812" s="30" t="inlineStr">
        <is>
          <t>2020</t>
        </is>
      </c>
      <c r="G10812" s="40" t="n">
        <v>113.28</v>
      </c>
    </row>
    <row r="10813" ht="12" customHeight="1">
      <c r="A10813" s="30" t="inlineStr">
        <is>
          <t>POR</t>
        </is>
      </c>
      <c r="B10813" s="30" t="inlineStr">
        <is>
          <t>Porto Real</t>
        </is>
      </c>
      <c r="C10813" s="30" t="n">
        <v>78845988</v>
      </c>
      <c r="D10813" s="30">
        <f>"48740351010390"</f>
        <v/>
      </c>
      <c r="E10813" s="30" t="inlineStr">
        <is>
          <t>BRASPRESS TRANSPORTES URGENTES LTDA</t>
        </is>
      </c>
      <c r="F10813" s="30" t="inlineStr">
        <is>
          <t>2021</t>
        </is>
      </c>
      <c r="G10813" s="40" t="n">
        <v>547.53</v>
      </c>
    </row>
    <row r="10814" ht="12" customHeight="1">
      <c r="A10814" s="30" t="inlineStr">
        <is>
          <t>POR</t>
        </is>
      </c>
      <c r="B10814" s="30" t="inlineStr">
        <is>
          <t>Porto Real</t>
        </is>
      </c>
      <c r="C10814" s="30" t="n">
        <v>78845988</v>
      </c>
      <c r="D10814" s="30">
        <f>"48740351010390"</f>
        <v/>
      </c>
      <c r="E10814" s="30" t="inlineStr">
        <is>
          <t>BRASPRESS TRANSPORTES URGENTES LTDA</t>
        </is>
      </c>
      <c r="F10814" s="30" t="inlineStr">
        <is>
          <t>2022</t>
        </is>
      </c>
      <c r="G10814" s="40" t="n">
        <v>0</v>
      </c>
    </row>
    <row r="10815" ht="12" customHeight="1">
      <c r="A10815" s="30" t="inlineStr">
        <is>
          <t>POR</t>
        </is>
      </c>
      <c r="B10815" s="30" t="inlineStr">
        <is>
          <t>Porto Real</t>
        </is>
      </c>
      <c r="C10815" s="30" t="n">
        <v>78845988</v>
      </c>
      <c r="D10815" s="30">
        <f>"48740351010390"</f>
        <v/>
      </c>
      <c r="E10815" s="30" t="inlineStr">
        <is>
          <t>BRASPRESS TRANSPORTES URGENTES LTDA</t>
        </is>
      </c>
      <c r="F10815" s="30" t="inlineStr">
        <is>
          <t>2023</t>
        </is>
      </c>
      <c r="G10815" s="40" t="n">
        <v>0</v>
      </c>
    </row>
    <row r="10816" ht="12" customHeight="1">
      <c r="A10816" s="30" t="inlineStr">
        <is>
          <t>POR</t>
        </is>
      </c>
      <c r="B10816" s="30" t="inlineStr">
        <is>
          <t>Porto Real</t>
        </is>
      </c>
      <c r="C10816" s="30" t="n">
        <v>78891777</v>
      </c>
      <c r="D10816" s="30">
        <f>"09662364000292"</f>
        <v/>
      </c>
      <c r="E10816" s="30" t="inlineStr">
        <is>
          <t>RONIFARIA COMERCIO VAREJISTA DE GAS LIQUEFEITO DE PETROLEO GLP LTDA ME</t>
        </is>
      </c>
      <c r="F10816" s="30" t="inlineStr">
        <is>
          <t>2017</t>
        </is>
      </c>
      <c r="G10816" s="40" t="n">
        <v>0</v>
      </c>
    </row>
    <row r="10817" ht="12" customHeight="1">
      <c r="A10817" s="30" t="inlineStr">
        <is>
          <t>POR</t>
        </is>
      </c>
      <c r="B10817" s="30" t="inlineStr">
        <is>
          <t>Porto Real</t>
        </is>
      </c>
      <c r="C10817" s="30" t="n">
        <v>78891777</v>
      </c>
      <c r="D10817" s="30">
        <f>"09662364000292"</f>
        <v/>
      </c>
      <c r="E10817" s="30" t="inlineStr">
        <is>
          <t>RONIFARIA COMERCIO VAREJISTA DE GAS LIQUEFEITO DE PETROLEO GLP LTDA ME</t>
        </is>
      </c>
      <c r="F10817" s="30" t="inlineStr">
        <is>
          <t>2018</t>
        </is>
      </c>
      <c r="G10817" s="40" t="n">
        <v>0</v>
      </c>
    </row>
    <row r="10818" ht="12" customHeight="1">
      <c r="A10818" s="30" t="inlineStr">
        <is>
          <t>POR</t>
        </is>
      </c>
      <c r="B10818" s="30" t="inlineStr">
        <is>
          <t>Porto Real</t>
        </is>
      </c>
      <c r="C10818" s="30" t="n">
        <v>78891777</v>
      </c>
      <c r="D10818" s="30">
        <f>"09662364000292"</f>
        <v/>
      </c>
      <c r="E10818" s="30" t="inlineStr">
        <is>
          <t>RONIFARIA COMERCIO VAREJISTA DE GAS LIQUEFEITO DE PETROLEO GLP LTDA ME</t>
        </is>
      </c>
      <c r="F10818" s="30" t="inlineStr">
        <is>
          <t>2019</t>
        </is>
      </c>
      <c r="G10818" s="40" t="n">
        <v>0</v>
      </c>
    </row>
    <row r="10819" ht="12" customHeight="1">
      <c r="A10819" s="30" t="inlineStr">
        <is>
          <t>POR</t>
        </is>
      </c>
      <c r="B10819" s="30" t="inlineStr">
        <is>
          <t>Porto Real</t>
        </is>
      </c>
      <c r="C10819" s="30" t="n">
        <v>78891777</v>
      </c>
      <c r="D10819" s="30">
        <f>"09662364000292"</f>
        <v/>
      </c>
      <c r="E10819" s="30" t="inlineStr">
        <is>
          <t>RONIFARIA COMERCIO VAREJISTA DE GAS LIQUEFEITO DE PETROLEO GLP LTDA ME</t>
        </is>
      </c>
      <c r="F10819" s="30" t="inlineStr">
        <is>
          <t>2020</t>
        </is>
      </c>
      <c r="G10819" s="40" t="n">
        <v>0</v>
      </c>
    </row>
    <row r="10820" ht="12" customHeight="1">
      <c r="A10820" s="30" t="inlineStr">
        <is>
          <t>POR</t>
        </is>
      </c>
      <c r="B10820" s="30" t="inlineStr">
        <is>
          <t>Porto Real</t>
        </is>
      </c>
      <c r="C10820" s="30" t="n">
        <v>78902086</v>
      </c>
      <c r="D10820" s="30">
        <f>"32492373004020"</f>
        <v/>
      </c>
      <c r="E10820" s="30" t="inlineStr">
        <is>
          <t>TRANSPORTE EXCELSIOR LTDA</t>
        </is>
      </c>
      <c r="F10820" s="30" t="inlineStr">
        <is>
          <t>2017</t>
        </is>
      </c>
      <c r="G10820" s="40" t="n">
        <v>12263199.45</v>
      </c>
    </row>
    <row r="10821" ht="12" customHeight="1">
      <c r="A10821" s="30" t="inlineStr">
        <is>
          <t>POR</t>
        </is>
      </c>
      <c r="B10821" s="30" t="inlineStr">
        <is>
          <t>Porto Real</t>
        </is>
      </c>
      <c r="C10821" s="30" t="n">
        <v>78902086</v>
      </c>
      <c r="D10821" s="30">
        <f>"32492373004020"</f>
        <v/>
      </c>
      <c r="E10821" s="30" t="inlineStr">
        <is>
          <t>TRANSPORTE EXCELSIOR LTDA</t>
        </is>
      </c>
      <c r="F10821" s="30" t="inlineStr">
        <is>
          <t>2018</t>
        </is>
      </c>
      <c r="G10821" s="40" t="n">
        <v>0</v>
      </c>
    </row>
    <row r="10822" ht="12" customHeight="1">
      <c r="A10822" s="30" t="inlineStr">
        <is>
          <t>POR</t>
        </is>
      </c>
      <c r="B10822" s="30" t="inlineStr">
        <is>
          <t>Porto Real</t>
        </is>
      </c>
      <c r="C10822" s="30" t="n">
        <v>78902086</v>
      </c>
      <c r="D10822" s="30">
        <f>"32492373004020"</f>
        <v/>
      </c>
      <c r="E10822" s="30" t="inlineStr">
        <is>
          <t>TRANSPORTE EXCELSIOR LTDA</t>
        </is>
      </c>
      <c r="F10822" s="30" t="inlineStr">
        <is>
          <t>2019</t>
        </is>
      </c>
      <c r="G10822" s="40" t="n">
        <v>0</v>
      </c>
    </row>
    <row r="10823" ht="12" customHeight="1">
      <c r="A10823" s="30" t="inlineStr">
        <is>
          <t>POR</t>
        </is>
      </c>
      <c r="B10823" s="30" t="inlineStr">
        <is>
          <t>Porto Real</t>
        </is>
      </c>
      <c r="C10823" s="30" t="n">
        <v>78926279</v>
      </c>
      <c r="D10823" s="30">
        <f>"21312434000440"</f>
        <v/>
      </c>
      <c r="E10823" s="30" t="inlineStr">
        <is>
          <t>METALURGICA LORENA LTDA</t>
        </is>
      </c>
      <c r="F10823" s="30" t="inlineStr">
        <is>
          <t>2019</t>
        </is>
      </c>
      <c r="G10823" s="40" t="n">
        <v>0</v>
      </c>
    </row>
    <row r="10824" ht="12" customHeight="1">
      <c r="A10824" s="30" t="inlineStr">
        <is>
          <t>POR</t>
        </is>
      </c>
      <c r="B10824" s="30" t="inlineStr">
        <is>
          <t>Porto Real</t>
        </is>
      </c>
      <c r="C10824" s="30" t="n">
        <v>78926279</v>
      </c>
      <c r="D10824" s="30">
        <f>"21312434000440"</f>
        <v/>
      </c>
      <c r="E10824" s="30" t="inlineStr">
        <is>
          <t>METALURGICA LORENA LTDA</t>
        </is>
      </c>
      <c r="F10824" s="30" t="inlineStr">
        <is>
          <t>2020</t>
        </is>
      </c>
      <c r="G10824" s="40" t="n">
        <v>0</v>
      </c>
    </row>
    <row r="10825" ht="12" customHeight="1">
      <c r="A10825" s="30" t="inlineStr">
        <is>
          <t>POR</t>
        </is>
      </c>
      <c r="B10825" s="30" t="inlineStr">
        <is>
          <t>Porto Real</t>
        </is>
      </c>
      <c r="C10825" s="30" t="n">
        <v>78926279</v>
      </c>
      <c r="D10825" s="30">
        <f>"21312434000440"</f>
        <v/>
      </c>
      <c r="E10825" s="30" t="inlineStr">
        <is>
          <t>METALURGICA LORENA LTDA</t>
        </is>
      </c>
      <c r="F10825" s="30" t="inlineStr">
        <is>
          <t>2021</t>
        </is>
      </c>
      <c r="G10825" s="40" t="n">
        <v>100700.78</v>
      </c>
    </row>
    <row r="10826" ht="12" customHeight="1">
      <c r="A10826" s="30" t="inlineStr">
        <is>
          <t>POR</t>
        </is>
      </c>
      <c r="B10826" s="30" t="inlineStr">
        <is>
          <t>Porto Real</t>
        </is>
      </c>
      <c r="C10826" s="30" t="n">
        <v>78926279</v>
      </c>
      <c r="D10826" s="30">
        <f>"21312434000440"</f>
        <v/>
      </c>
      <c r="E10826" s="30" t="inlineStr">
        <is>
          <t>METALURGICA LORENA LTDA</t>
        </is>
      </c>
      <c r="F10826" s="30" t="inlineStr">
        <is>
          <t>2022</t>
        </is>
      </c>
      <c r="G10826" s="40" t="n">
        <v>214557.34</v>
      </c>
    </row>
    <row r="10827" ht="12" customHeight="1">
      <c r="A10827" s="30" t="inlineStr">
        <is>
          <t>POR</t>
        </is>
      </c>
      <c r="B10827" s="30" t="inlineStr">
        <is>
          <t>Porto Real</t>
        </is>
      </c>
      <c r="C10827" s="30" t="n">
        <v>78926279</v>
      </c>
      <c r="D10827" s="30">
        <f>"21312434000440"</f>
        <v/>
      </c>
      <c r="E10827" s="30" t="inlineStr">
        <is>
          <t>METALURGICA LORENA LTDA</t>
        </is>
      </c>
      <c r="F10827" s="30" t="inlineStr">
        <is>
          <t>2023</t>
        </is>
      </c>
      <c r="G10827" s="40" t="n">
        <v>6106</v>
      </c>
    </row>
    <row r="10828" ht="12" customHeight="1">
      <c r="A10828" s="30" t="inlineStr">
        <is>
          <t>POR</t>
        </is>
      </c>
      <c r="B10828" s="30" t="inlineStr">
        <is>
          <t>Porto Real</t>
        </is>
      </c>
      <c r="C10828" s="30" t="n">
        <v>78943742</v>
      </c>
      <c r="D10828" s="30">
        <f>"79942140002697"</f>
        <v/>
      </c>
      <c r="E10828" s="30" t="inlineStr">
        <is>
          <t>TRANSMAGNA TRANSPORTES EIRELI</t>
        </is>
      </c>
      <c r="F10828" s="30" t="inlineStr">
        <is>
          <t>2017</t>
        </is>
      </c>
      <c r="G10828" s="40" t="n">
        <v>0</v>
      </c>
    </row>
    <row r="10829" ht="12" customHeight="1">
      <c r="A10829" s="30" t="inlineStr">
        <is>
          <t>POR</t>
        </is>
      </c>
      <c r="B10829" s="30" t="inlineStr">
        <is>
          <t>Porto Real</t>
        </is>
      </c>
      <c r="C10829" s="30" t="n">
        <v>78943742</v>
      </c>
      <c r="D10829" s="30">
        <f>"79942140002697"</f>
        <v/>
      </c>
      <c r="E10829" s="30" t="inlineStr">
        <is>
          <t>TRANSMAGNA TRANSPORTES EIRELI</t>
        </is>
      </c>
      <c r="F10829" s="30" t="inlineStr">
        <is>
          <t>2018</t>
        </is>
      </c>
      <c r="G10829" s="40" t="n">
        <v>0</v>
      </c>
    </row>
    <row r="10830" ht="12" customHeight="1">
      <c r="A10830" s="30" t="inlineStr">
        <is>
          <t>POR</t>
        </is>
      </c>
      <c r="B10830" s="30" t="inlineStr">
        <is>
          <t>Porto Real</t>
        </is>
      </c>
      <c r="C10830" s="30" t="n">
        <v>78943742</v>
      </c>
      <c r="D10830" s="30">
        <f>"79942140002697"</f>
        <v/>
      </c>
      <c r="E10830" s="30" t="inlineStr">
        <is>
          <t>TRANSMAGNA TRANSPORTES EIRELI</t>
        </is>
      </c>
      <c r="F10830" s="30" t="inlineStr">
        <is>
          <t>2019</t>
        </is>
      </c>
      <c r="G10830" s="40" t="n">
        <v>16</v>
      </c>
    </row>
    <row r="10831" ht="12" customHeight="1">
      <c r="A10831" s="30" t="inlineStr">
        <is>
          <t>POR</t>
        </is>
      </c>
      <c r="B10831" s="30" t="inlineStr">
        <is>
          <t>Porto Real</t>
        </is>
      </c>
      <c r="C10831" s="30" t="n">
        <v>78943742</v>
      </c>
      <c r="D10831" s="30">
        <f>"79942140002697"</f>
        <v/>
      </c>
      <c r="E10831" s="30" t="inlineStr">
        <is>
          <t>TRANSMAGNA TRANSPORTES EIRELI</t>
        </is>
      </c>
      <c r="F10831" s="30" t="inlineStr">
        <is>
          <t>2020</t>
        </is>
      </c>
      <c r="G10831" s="40" t="n">
        <v>0</v>
      </c>
    </row>
    <row r="10832" ht="12" customHeight="1">
      <c r="A10832" s="30" t="inlineStr">
        <is>
          <t>POR</t>
        </is>
      </c>
      <c r="B10832" s="30" t="inlineStr">
        <is>
          <t>Porto Real</t>
        </is>
      </c>
      <c r="C10832" s="30" t="n">
        <v>78943742</v>
      </c>
      <c r="D10832" s="30">
        <f>"79942140002697"</f>
        <v/>
      </c>
      <c r="E10832" s="30" t="inlineStr">
        <is>
          <t>TRANSMAGNA TRANSPORTES EIRELI</t>
        </is>
      </c>
      <c r="F10832" s="30" t="inlineStr">
        <is>
          <t>2021</t>
        </is>
      </c>
      <c r="G10832" s="40" t="n">
        <v>0</v>
      </c>
    </row>
    <row r="10833" ht="12" customHeight="1">
      <c r="A10833" s="30" t="inlineStr">
        <is>
          <t>POR</t>
        </is>
      </c>
      <c r="B10833" s="30" t="inlineStr">
        <is>
          <t>Porto Real</t>
        </is>
      </c>
      <c r="C10833" s="30" t="n">
        <v>78956070</v>
      </c>
      <c r="D10833" s="30">
        <f>"10992167000210"</f>
        <v/>
      </c>
      <c r="E10833" s="30" t="inlineStr">
        <is>
          <t>METAR LOGISTICA LTDA</t>
        </is>
      </c>
      <c r="F10833" s="30" t="inlineStr">
        <is>
          <t>2017</t>
        </is>
      </c>
      <c r="G10833" s="40" t="n">
        <v>0</v>
      </c>
    </row>
    <row r="10834" ht="12" customHeight="1">
      <c r="A10834" s="30" t="inlineStr">
        <is>
          <t>POR</t>
        </is>
      </c>
      <c r="B10834" s="30" t="inlineStr">
        <is>
          <t>Porto Real</t>
        </is>
      </c>
      <c r="C10834" s="30" t="n">
        <v>78956070</v>
      </c>
      <c r="D10834" s="30">
        <f>"10992167000210"</f>
        <v/>
      </c>
      <c r="E10834" s="30" t="inlineStr">
        <is>
          <t>METAR LOGISTICA LTDA</t>
        </is>
      </c>
      <c r="F10834" s="30" t="inlineStr">
        <is>
          <t>2018</t>
        </is>
      </c>
      <c r="G10834" s="40" t="n">
        <v>1421.27</v>
      </c>
    </row>
    <row r="10835" ht="12" customHeight="1">
      <c r="A10835" s="30" t="inlineStr">
        <is>
          <t>POR</t>
        </is>
      </c>
      <c r="B10835" s="30" t="inlineStr">
        <is>
          <t>Porto Real</t>
        </is>
      </c>
      <c r="C10835" s="30" t="n">
        <v>78956070</v>
      </c>
      <c r="D10835" s="30">
        <f>"10992167000210"</f>
        <v/>
      </c>
      <c r="E10835" s="30" t="inlineStr">
        <is>
          <t>METAR LOGISTICA LTDA</t>
        </is>
      </c>
      <c r="F10835" s="30" t="inlineStr">
        <is>
          <t>2019</t>
        </is>
      </c>
      <c r="G10835" s="40" t="n">
        <v>4860.95</v>
      </c>
    </row>
    <row r="10836" ht="12" customHeight="1">
      <c r="A10836" s="30" t="inlineStr">
        <is>
          <t>POR</t>
        </is>
      </c>
      <c r="B10836" s="30" t="inlineStr">
        <is>
          <t>Porto Real</t>
        </is>
      </c>
      <c r="C10836" s="30" t="n">
        <v>78956070</v>
      </c>
      <c r="D10836" s="30">
        <f>"10992167000210"</f>
        <v/>
      </c>
      <c r="E10836" s="30" t="inlineStr">
        <is>
          <t>METAR LOGISTICA LTDA</t>
        </is>
      </c>
      <c r="F10836" s="30" t="inlineStr">
        <is>
          <t>2020</t>
        </is>
      </c>
      <c r="G10836" s="40" t="n">
        <v>2175.34</v>
      </c>
    </row>
    <row r="10837" ht="12" customHeight="1">
      <c r="A10837" s="30" t="inlineStr">
        <is>
          <t>POR</t>
        </is>
      </c>
      <c r="B10837" s="30" t="inlineStr">
        <is>
          <t>Porto Real</t>
        </is>
      </c>
      <c r="C10837" s="30" t="n">
        <v>78956070</v>
      </c>
      <c r="D10837" s="30">
        <f>"10992167000210"</f>
        <v/>
      </c>
      <c r="E10837" s="30" t="inlineStr">
        <is>
          <t>METAR LOGISTICA LTDA</t>
        </is>
      </c>
      <c r="F10837" s="30" t="inlineStr">
        <is>
          <t>2021</t>
        </is>
      </c>
      <c r="G10837" s="40" t="n">
        <v>2264.42</v>
      </c>
    </row>
    <row r="10838" ht="12" customHeight="1">
      <c r="A10838" s="30" t="inlineStr">
        <is>
          <t>POR</t>
        </is>
      </c>
      <c r="B10838" s="30" t="inlineStr">
        <is>
          <t>Porto Real</t>
        </is>
      </c>
      <c r="C10838" s="30" t="n">
        <v>78956070</v>
      </c>
      <c r="D10838" s="30">
        <f>"10992167000210"</f>
        <v/>
      </c>
      <c r="E10838" s="30" t="inlineStr">
        <is>
          <t>METAR LOGISTICA LTDA</t>
        </is>
      </c>
      <c r="F10838" s="30" t="inlineStr">
        <is>
          <t>2022</t>
        </is>
      </c>
      <c r="G10838" s="40" t="n">
        <v>1527.33</v>
      </c>
    </row>
    <row r="10839" ht="12" customHeight="1">
      <c r="A10839" s="30" t="inlineStr">
        <is>
          <t>POR</t>
        </is>
      </c>
      <c r="B10839" s="30" t="inlineStr">
        <is>
          <t>Porto Real</t>
        </is>
      </c>
      <c r="C10839" s="30" t="n">
        <v>78956070</v>
      </c>
      <c r="D10839" s="30">
        <f>"10992167000210"</f>
        <v/>
      </c>
      <c r="E10839" s="30" t="inlineStr">
        <is>
          <t>METAR LOGISTICA LTDA</t>
        </is>
      </c>
      <c r="F10839" s="30" t="inlineStr">
        <is>
          <t>2023</t>
        </is>
      </c>
      <c r="G10839" s="40" t="n">
        <v>699.0599999999999</v>
      </c>
    </row>
    <row r="10840" ht="12" customHeight="1">
      <c r="A10840" s="30" t="inlineStr">
        <is>
          <t>POR</t>
        </is>
      </c>
      <c r="B10840" s="30" t="inlineStr">
        <is>
          <t>Porto Real</t>
        </is>
      </c>
      <c r="C10840" s="30" t="n">
        <v>78981180</v>
      </c>
      <c r="D10840" s="30">
        <f>"68979111000630"</f>
        <v/>
      </c>
      <c r="E10840" s="30" t="inlineStr">
        <is>
          <t>PARADISO GIOVANELLA TRANSPORTES LTDA</t>
        </is>
      </c>
      <c r="F10840" s="30" t="inlineStr">
        <is>
          <t>2017</t>
        </is>
      </c>
      <c r="G10840" s="40" t="n">
        <v>16214.4</v>
      </c>
    </row>
    <row r="10841" ht="12" customHeight="1">
      <c r="A10841" s="30" t="inlineStr">
        <is>
          <t>POR</t>
        </is>
      </c>
      <c r="B10841" s="30" t="inlineStr">
        <is>
          <t>Porto Real</t>
        </is>
      </c>
      <c r="C10841" s="30" t="n">
        <v>78981180</v>
      </c>
      <c r="D10841" s="30">
        <f>"68979111000630"</f>
        <v/>
      </c>
      <c r="E10841" s="30" t="inlineStr">
        <is>
          <t>PARADISO GIOVANELLA TRANSPORTES LTDA</t>
        </is>
      </c>
      <c r="F10841" s="30" t="inlineStr">
        <is>
          <t>2018</t>
        </is>
      </c>
      <c r="G10841" s="40" t="n">
        <v>29145.32</v>
      </c>
    </row>
    <row r="10842" ht="12" customHeight="1">
      <c r="A10842" s="30" t="inlineStr">
        <is>
          <t>POR</t>
        </is>
      </c>
      <c r="B10842" s="30" t="inlineStr">
        <is>
          <t>Porto Real</t>
        </is>
      </c>
      <c r="C10842" s="30" t="n">
        <v>78981180</v>
      </c>
      <c r="D10842" s="30">
        <f>"68979111000630"</f>
        <v/>
      </c>
      <c r="E10842" s="30" t="inlineStr">
        <is>
          <t>PARADISO GIOVANELLA TRANSPORTES LTDA</t>
        </is>
      </c>
      <c r="F10842" s="30" t="inlineStr">
        <is>
          <t>2019</t>
        </is>
      </c>
      <c r="G10842" s="40" t="n">
        <v>0</v>
      </c>
    </row>
    <row r="10843" ht="12" customHeight="1">
      <c r="A10843" s="30" t="inlineStr">
        <is>
          <t>POR</t>
        </is>
      </c>
      <c r="B10843" s="30" t="inlineStr">
        <is>
          <t>Porto Real</t>
        </is>
      </c>
      <c r="C10843" s="30" t="n">
        <v>78981180</v>
      </c>
      <c r="D10843" s="30">
        <f>"68979111000630"</f>
        <v/>
      </c>
      <c r="E10843" s="30" t="inlineStr">
        <is>
          <t>PARADISO GIOVANELLA TRANSPORTES LTDA</t>
        </is>
      </c>
      <c r="F10843" s="30" t="inlineStr">
        <is>
          <t>2020</t>
        </is>
      </c>
      <c r="G10843" s="40" t="n">
        <v>1017053.79</v>
      </c>
    </row>
    <row r="10844" ht="12" customHeight="1">
      <c r="A10844" s="30" t="inlineStr">
        <is>
          <t>POR</t>
        </is>
      </c>
      <c r="B10844" s="30" t="inlineStr">
        <is>
          <t>Porto Real</t>
        </is>
      </c>
      <c r="C10844" s="30" t="n">
        <v>78981180</v>
      </c>
      <c r="D10844" s="30">
        <f>"68979111000630"</f>
        <v/>
      </c>
      <c r="E10844" s="30" t="inlineStr">
        <is>
          <t>PARADISO GIOVANELLA TRANSPORTES LTDA</t>
        </is>
      </c>
      <c r="F10844" s="30" t="inlineStr">
        <is>
          <t>2021</t>
        </is>
      </c>
      <c r="G10844" s="40" t="n">
        <v>2313572.93</v>
      </c>
    </row>
    <row r="10845" ht="12" customHeight="1">
      <c r="A10845" s="30" t="inlineStr">
        <is>
          <t>POR</t>
        </is>
      </c>
      <c r="B10845" s="30" t="inlineStr">
        <is>
          <t>Porto Real</t>
        </is>
      </c>
      <c r="C10845" s="30" t="n">
        <v>78981180</v>
      </c>
      <c r="D10845" s="30">
        <f>"68979111000630"</f>
        <v/>
      </c>
      <c r="E10845" s="30" t="inlineStr">
        <is>
          <t>PARADISO GIOVANELLA TRANSPORTES LTDA</t>
        </is>
      </c>
      <c r="F10845" s="30" t="inlineStr">
        <is>
          <t>2022</t>
        </is>
      </c>
      <c r="G10845" s="40" t="n">
        <v>12014364.45</v>
      </c>
    </row>
    <row r="10846" ht="12" customHeight="1">
      <c r="A10846" s="30" t="inlineStr">
        <is>
          <t>POR</t>
        </is>
      </c>
      <c r="B10846" s="30" t="inlineStr">
        <is>
          <t>Porto Real</t>
        </is>
      </c>
      <c r="C10846" s="30" t="n">
        <v>78981180</v>
      </c>
      <c r="D10846" s="30">
        <f>"68979111000630"</f>
        <v/>
      </c>
      <c r="E10846" s="30" t="inlineStr">
        <is>
          <t>PARADISO GIOVANELLA TRANSPORTES LTDA</t>
        </is>
      </c>
      <c r="F10846" s="30" t="inlineStr">
        <is>
          <t>2023</t>
        </is>
      </c>
      <c r="G10846" s="40" t="n">
        <v>13469484.08</v>
      </c>
    </row>
    <row r="10847" ht="12" customHeight="1">
      <c r="A10847" s="30" t="inlineStr">
        <is>
          <t>POR</t>
        </is>
      </c>
      <c r="B10847" s="30" t="inlineStr">
        <is>
          <t>Porto Real</t>
        </is>
      </c>
      <c r="C10847" s="30" t="n">
        <v>78991674</v>
      </c>
      <c r="D10847" s="30">
        <f>"01778972000336"</f>
        <v/>
      </c>
      <c r="E10847" s="30" t="inlineStr">
        <is>
          <t>AMERICA NET LTDA</t>
        </is>
      </c>
      <c r="F10847" s="30" t="inlineStr">
        <is>
          <t>2019</t>
        </is>
      </c>
      <c r="G10847" s="40" t="n">
        <v>0</v>
      </c>
    </row>
    <row r="10848" ht="12" customHeight="1">
      <c r="A10848" s="30" t="inlineStr">
        <is>
          <t>POR</t>
        </is>
      </c>
      <c r="B10848" s="30" t="inlineStr">
        <is>
          <t>Porto Real</t>
        </is>
      </c>
      <c r="C10848" s="30" t="n">
        <v>78991674</v>
      </c>
      <c r="D10848" s="30">
        <f>"01778972000336"</f>
        <v/>
      </c>
      <c r="E10848" s="30" t="inlineStr">
        <is>
          <t>AMERICA NET LTDA</t>
        </is>
      </c>
      <c r="F10848" s="30" t="inlineStr">
        <is>
          <t>2020</t>
        </is>
      </c>
      <c r="G10848" s="40" t="n">
        <v>0</v>
      </c>
    </row>
    <row r="10849" ht="12" customHeight="1">
      <c r="A10849" s="30" t="inlineStr">
        <is>
          <t>POR</t>
        </is>
      </c>
      <c r="B10849" s="30" t="inlineStr">
        <is>
          <t>Porto Real</t>
        </is>
      </c>
      <c r="C10849" s="30" t="n">
        <v>78991674</v>
      </c>
      <c r="D10849" s="30">
        <f>"01778972000336"</f>
        <v/>
      </c>
      <c r="E10849" s="30" t="inlineStr">
        <is>
          <t>AMERICA NET LTDA</t>
        </is>
      </c>
      <c r="F10849" s="30" t="inlineStr">
        <is>
          <t>2021</t>
        </is>
      </c>
      <c r="G10849" s="40" t="n">
        <v>1330.29</v>
      </c>
    </row>
    <row r="10850" ht="12" customHeight="1">
      <c r="A10850" s="30" t="inlineStr">
        <is>
          <t>POR</t>
        </is>
      </c>
      <c r="B10850" s="30" t="inlineStr">
        <is>
          <t>Porto Real</t>
        </is>
      </c>
      <c r="C10850" s="30" t="n">
        <v>78991674</v>
      </c>
      <c r="D10850" s="30">
        <f>"01778972000336"</f>
        <v/>
      </c>
      <c r="E10850" s="30" t="inlineStr">
        <is>
          <t>AMERICA NET LTDA</t>
        </is>
      </c>
      <c r="F10850" s="30" t="inlineStr">
        <is>
          <t>2022</t>
        </is>
      </c>
      <c r="G10850" s="40" t="n">
        <v>3649.44</v>
      </c>
    </row>
    <row r="10851" ht="12" customHeight="1">
      <c r="A10851" s="30" t="inlineStr">
        <is>
          <t>POR</t>
        </is>
      </c>
      <c r="B10851" s="30" t="inlineStr">
        <is>
          <t>Porto Real</t>
        </is>
      </c>
      <c r="C10851" s="30" t="n">
        <v>78991674</v>
      </c>
      <c r="D10851" s="30">
        <f>"01778972000336"</f>
        <v/>
      </c>
      <c r="E10851" s="30" t="inlineStr">
        <is>
          <t>AMERICA NET LTDA</t>
        </is>
      </c>
      <c r="F10851" s="30" t="inlineStr">
        <is>
          <t>2023</t>
        </is>
      </c>
      <c r="G10851" s="40" t="n">
        <v>0</v>
      </c>
    </row>
    <row r="10852" ht="12" customHeight="1">
      <c r="A10852" s="30" t="inlineStr">
        <is>
          <t>POR</t>
        </is>
      </c>
      <c r="B10852" s="30" t="inlineStr">
        <is>
          <t>Porto Real</t>
        </is>
      </c>
      <c r="C10852" s="30" t="n">
        <v>78998105</v>
      </c>
      <c r="D10852" s="30">
        <f>"04505306000231"</f>
        <v/>
      </c>
      <c r="E10852" s="30" t="inlineStr">
        <is>
          <t>CONCRETEIRA PP DE RESENDE LTDA</t>
        </is>
      </c>
      <c r="F10852" s="30" t="inlineStr">
        <is>
          <t>2017</t>
        </is>
      </c>
      <c r="G10852" s="40" t="n">
        <v>0</v>
      </c>
    </row>
    <row r="10853" ht="12" customHeight="1">
      <c r="A10853" s="30" t="inlineStr">
        <is>
          <t>POR</t>
        </is>
      </c>
      <c r="B10853" s="30" t="inlineStr">
        <is>
          <t>Porto Real</t>
        </is>
      </c>
      <c r="C10853" s="30" t="n">
        <v>78998105</v>
      </c>
      <c r="D10853" s="30">
        <f>"04505306000231"</f>
        <v/>
      </c>
      <c r="E10853" s="30" t="inlineStr">
        <is>
          <t>CONCRETEIRA PP DE RESENDE LTDA</t>
        </is>
      </c>
      <c r="F10853" s="30" t="inlineStr">
        <is>
          <t>2018</t>
        </is>
      </c>
      <c r="G10853" s="40" t="n">
        <v>0</v>
      </c>
    </row>
    <row r="10854" ht="12" customHeight="1">
      <c r="A10854" s="30" t="inlineStr">
        <is>
          <t>POR</t>
        </is>
      </c>
      <c r="B10854" s="30" t="inlineStr">
        <is>
          <t>Porto Real</t>
        </is>
      </c>
      <c r="C10854" s="30" t="n">
        <v>78998105</v>
      </c>
      <c r="D10854" s="30">
        <f>"04505306000231"</f>
        <v/>
      </c>
      <c r="E10854" s="30" t="inlineStr">
        <is>
          <t>CONCRETEIRA PP DE RESENDE LTDA</t>
        </is>
      </c>
      <c r="F10854" s="30" t="inlineStr">
        <is>
          <t>2019</t>
        </is>
      </c>
      <c r="G10854" s="40" t="n">
        <v>0</v>
      </c>
    </row>
    <row r="10855" ht="12" customHeight="1">
      <c r="A10855" s="30" t="inlineStr">
        <is>
          <t>POR</t>
        </is>
      </c>
      <c r="B10855" s="30" t="inlineStr">
        <is>
          <t>Porto Real</t>
        </is>
      </c>
      <c r="C10855" s="30" t="n">
        <v>78998105</v>
      </c>
      <c r="D10855" s="30">
        <f>"04505306000231"</f>
        <v/>
      </c>
      <c r="E10855" s="30" t="inlineStr">
        <is>
          <t>CONCRETEIRA PP DE RESENDE LTDA</t>
        </is>
      </c>
      <c r="F10855" s="30" t="inlineStr">
        <is>
          <t>2020</t>
        </is>
      </c>
      <c r="G10855" s="40" t="n">
        <v>0</v>
      </c>
    </row>
    <row r="10856" ht="12" customHeight="1">
      <c r="A10856" s="30" t="inlineStr">
        <is>
          <t>POR</t>
        </is>
      </c>
      <c r="B10856" s="30" t="inlineStr">
        <is>
          <t>Porto Real</t>
        </is>
      </c>
      <c r="C10856" s="30" t="n">
        <v>78998105</v>
      </c>
      <c r="D10856" s="30">
        <f>"04505306000231"</f>
        <v/>
      </c>
      <c r="E10856" s="30" t="inlineStr">
        <is>
          <t>CONCRETEIRA PP DE RESENDE LTDA</t>
        </is>
      </c>
      <c r="F10856" s="30" t="inlineStr">
        <is>
          <t>2021</t>
        </is>
      </c>
      <c r="G10856" s="40" t="n">
        <v>33656.77</v>
      </c>
    </row>
    <row r="10857" ht="12" customHeight="1">
      <c r="A10857" s="30" t="inlineStr">
        <is>
          <t>POR</t>
        </is>
      </c>
      <c r="B10857" s="30" t="inlineStr">
        <is>
          <t>Porto Real</t>
        </is>
      </c>
      <c r="C10857" s="30" t="n">
        <v>78998105</v>
      </c>
      <c r="D10857" s="30">
        <f>"04505306000231"</f>
        <v/>
      </c>
      <c r="E10857" s="30" t="inlineStr">
        <is>
          <t>CONCRETEIRA PP DE RESENDE LTDA</t>
        </is>
      </c>
      <c r="F10857" s="30" t="inlineStr">
        <is>
          <t>2022</t>
        </is>
      </c>
      <c r="G10857" s="40" t="n">
        <v>80446.7</v>
      </c>
    </row>
    <row r="10858" ht="12" customHeight="1">
      <c r="A10858" s="30" t="inlineStr">
        <is>
          <t>POR</t>
        </is>
      </c>
      <c r="B10858" s="30" t="inlineStr">
        <is>
          <t>Porto Real</t>
        </is>
      </c>
      <c r="C10858" s="30" t="n">
        <v>78998105</v>
      </c>
      <c r="D10858" s="30">
        <f>"04505306000231"</f>
        <v/>
      </c>
      <c r="E10858" s="30" t="inlineStr">
        <is>
          <t>CONCRETEIRA PP DE RESENDE LTDA</t>
        </is>
      </c>
      <c r="F10858" s="30" t="inlineStr">
        <is>
          <t>2023</t>
        </is>
      </c>
      <c r="G10858" s="40" t="n">
        <v>0</v>
      </c>
    </row>
    <row r="10859" ht="12" customHeight="1">
      <c r="A10859" s="30" t="inlineStr">
        <is>
          <t>POR</t>
        </is>
      </c>
      <c r="B10859" s="30" t="inlineStr">
        <is>
          <t>Porto Real</t>
        </is>
      </c>
      <c r="C10859" s="30" t="n">
        <v>78998121</v>
      </c>
      <c r="D10859" s="30">
        <f>"01489122000407"</f>
        <v/>
      </c>
      <c r="E10859" s="30" t="inlineStr">
        <is>
          <t>TJ4 TRANSPORTES EIRELI</t>
        </is>
      </c>
      <c r="F10859" s="30" t="inlineStr">
        <is>
          <t>2020</t>
        </is>
      </c>
      <c r="G10859" s="40" t="n">
        <v>0</v>
      </c>
    </row>
    <row r="10860" ht="12" customHeight="1">
      <c r="A10860" s="30" t="inlineStr">
        <is>
          <t>POR</t>
        </is>
      </c>
      <c r="B10860" s="30" t="inlineStr">
        <is>
          <t>Porto Real</t>
        </is>
      </c>
      <c r="C10860" s="30" t="n">
        <v>78998121</v>
      </c>
      <c r="D10860" s="30">
        <f>"01489122000407"</f>
        <v/>
      </c>
      <c r="E10860" s="30" t="inlineStr">
        <is>
          <t>TJ4 TRANSPORTES EIRELI</t>
        </is>
      </c>
      <c r="F10860" s="30" t="inlineStr">
        <is>
          <t>2021</t>
        </is>
      </c>
      <c r="G10860" s="40" t="n">
        <v>0</v>
      </c>
    </row>
    <row r="10861" ht="12" customHeight="1">
      <c r="A10861" s="30" t="inlineStr">
        <is>
          <t>POR</t>
        </is>
      </c>
      <c r="B10861" s="30" t="inlineStr">
        <is>
          <t>Porto Real</t>
        </is>
      </c>
      <c r="C10861" s="30" t="n">
        <v>78998121</v>
      </c>
      <c r="D10861" s="30">
        <f>"01489122000407"</f>
        <v/>
      </c>
      <c r="E10861" s="30" t="inlineStr">
        <is>
          <t>TJ4 TRANSPORTES EIRELI</t>
        </is>
      </c>
      <c r="F10861" s="30" t="inlineStr">
        <is>
          <t>2022</t>
        </is>
      </c>
      <c r="G10861" s="40" t="n">
        <v>82.8</v>
      </c>
    </row>
    <row r="10862" ht="12" customHeight="1">
      <c r="A10862" s="30" t="inlineStr">
        <is>
          <t>POR</t>
        </is>
      </c>
      <c r="B10862" s="30" t="inlineStr">
        <is>
          <t>Porto Real</t>
        </is>
      </c>
      <c r="C10862" s="30" t="n">
        <v>78998121</v>
      </c>
      <c r="D10862" s="30">
        <f>"01489122000407"</f>
        <v/>
      </c>
      <c r="E10862" s="30" t="inlineStr">
        <is>
          <t>TJ4 TRANSPORTES EIRELI</t>
        </is>
      </c>
      <c r="F10862" s="30" t="inlineStr">
        <is>
          <t>2023</t>
        </is>
      </c>
      <c r="G10862" s="40" t="n">
        <v>0</v>
      </c>
    </row>
    <row r="10863" ht="12" customHeight="1">
      <c r="A10863" s="30" t="inlineStr">
        <is>
          <t>POR</t>
        </is>
      </c>
      <c r="B10863" s="30" t="inlineStr">
        <is>
          <t>Porto Real</t>
        </is>
      </c>
      <c r="C10863" s="30" t="n">
        <v>79078271</v>
      </c>
      <c r="D10863" s="30">
        <f>"11994094000188"</f>
        <v/>
      </c>
      <c r="E10863" s="30" t="inlineStr">
        <is>
          <t>HJ MERCADINHO &amp; PEIXARIA LTDA ME</t>
        </is>
      </c>
      <c r="F10863" s="30" t="inlineStr">
        <is>
          <t>2017</t>
        </is>
      </c>
      <c r="G10863" s="40" t="n">
        <v>0</v>
      </c>
    </row>
    <row r="10864" ht="12" customHeight="1">
      <c r="A10864" s="30" t="inlineStr">
        <is>
          <t>POR</t>
        </is>
      </c>
      <c r="B10864" s="30" t="inlineStr">
        <is>
          <t>Porto Real</t>
        </is>
      </c>
      <c r="C10864" s="30" t="n">
        <v>79078271</v>
      </c>
      <c r="D10864" s="30">
        <f>"11994094000188"</f>
        <v/>
      </c>
      <c r="E10864" s="30" t="inlineStr">
        <is>
          <t>HJ MERCADINHO &amp; PEIXARIA LTDA ME</t>
        </is>
      </c>
      <c r="F10864" s="30" t="inlineStr">
        <is>
          <t>2018</t>
        </is>
      </c>
      <c r="G10864" s="40" t="n">
        <v>0</v>
      </c>
    </row>
    <row r="10865" ht="12" customHeight="1">
      <c r="A10865" s="30" t="inlineStr">
        <is>
          <t>POR</t>
        </is>
      </c>
      <c r="B10865" s="30" t="inlineStr">
        <is>
          <t>Porto Real</t>
        </is>
      </c>
      <c r="C10865" s="30" t="n">
        <v>79078271</v>
      </c>
      <c r="D10865" s="30">
        <f>"11994094000188"</f>
        <v/>
      </c>
      <c r="E10865" s="30" t="inlineStr">
        <is>
          <t>HJ MERCADINHO &amp; PEIXARIA LTDA ME</t>
        </is>
      </c>
      <c r="F10865" s="30" t="inlineStr">
        <is>
          <t>2019</t>
        </is>
      </c>
      <c r="G10865" s="40" t="n">
        <v>0</v>
      </c>
    </row>
    <row r="10866" ht="12" customHeight="1">
      <c r="A10866" s="30" t="inlineStr">
        <is>
          <t>POR</t>
        </is>
      </c>
      <c r="B10866" s="30" t="inlineStr">
        <is>
          <t>Porto Real</t>
        </is>
      </c>
      <c r="C10866" s="30" t="n">
        <v>79082350</v>
      </c>
      <c r="D10866" s="30">
        <f>"12004913000165"</f>
        <v/>
      </c>
      <c r="E10866" s="30" t="inlineStr">
        <is>
          <t>THIBER SERVICOS INDUSTRIAIS EIRELI EPP</t>
        </is>
      </c>
      <c r="F10866" s="30" t="inlineStr">
        <is>
          <t>2017</t>
        </is>
      </c>
      <c r="G10866" s="40" t="n">
        <v>0</v>
      </c>
    </row>
    <row r="10867" ht="12" customHeight="1">
      <c r="A10867" s="30" t="inlineStr">
        <is>
          <t>POR</t>
        </is>
      </c>
      <c r="B10867" s="30" t="inlineStr">
        <is>
          <t>Porto Real</t>
        </is>
      </c>
      <c r="C10867" s="30" t="n">
        <v>79082350</v>
      </c>
      <c r="D10867" s="30">
        <f>"12004913000165"</f>
        <v/>
      </c>
      <c r="E10867" s="30" t="inlineStr">
        <is>
          <t>THIBER SERVICOS INDUSTRIAIS EIRELI EPP</t>
        </is>
      </c>
      <c r="F10867" s="30" t="inlineStr">
        <is>
          <t>2018</t>
        </is>
      </c>
      <c r="G10867" s="40" t="n">
        <v>8065.6</v>
      </c>
    </row>
    <row r="10868" ht="12" customHeight="1">
      <c r="A10868" s="30" t="inlineStr">
        <is>
          <t>POR</t>
        </is>
      </c>
      <c r="B10868" s="30" t="inlineStr">
        <is>
          <t>Porto Real</t>
        </is>
      </c>
      <c r="C10868" s="30" t="n">
        <v>79082350</v>
      </c>
      <c r="D10868" s="30">
        <f>"12004913000165"</f>
        <v/>
      </c>
      <c r="E10868" s="30" t="inlineStr">
        <is>
          <t>THIBER SERVICOS INDUSTRIAIS EIRELI EPP</t>
        </is>
      </c>
      <c r="F10868" s="30" t="inlineStr">
        <is>
          <t>2019</t>
        </is>
      </c>
      <c r="G10868" s="40" t="n">
        <v>40434.53</v>
      </c>
    </row>
    <row r="10869" ht="12" customHeight="1">
      <c r="A10869" s="30" t="inlineStr">
        <is>
          <t>POR</t>
        </is>
      </c>
      <c r="B10869" s="30" t="inlineStr">
        <is>
          <t>Porto Real</t>
        </is>
      </c>
      <c r="C10869" s="30" t="n">
        <v>79082350</v>
      </c>
      <c r="D10869" s="30">
        <f>"12004913000165"</f>
        <v/>
      </c>
      <c r="E10869" s="30" t="inlineStr">
        <is>
          <t>THIBER SERVICOS INDUSTRIAIS EIRELI EPP</t>
        </is>
      </c>
      <c r="F10869" s="30" t="inlineStr">
        <is>
          <t>2020</t>
        </is>
      </c>
      <c r="G10869" s="40" t="n">
        <v>0</v>
      </c>
    </row>
    <row r="10870" ht="12" customHeight="1">
      <c r="A10870" s="30" t="inlineStr">
        <is>
          <t>POR</t>
        </is>
      </c>
      <c r="B10870" s="30" t="inlineStr">
        <is>
          <t>Porto Real</t>
        </is>
      </c>
      <c r="C10870" s="30" t="n">
        <v>79082350</v>
      </c>
      <c r="D10870" s="30">
        <f>"12004913000165"</f>
        <v/>
      </c>
      <c r="E10870" s="30" t="inlineStr">
        <is>
          <t>THIBER SERVICOS INDUSTRIAIS EIRELI EPP</t>
        </is>
      </c>
      <c r="F10870" s="30" t="inlineStr">
        <is>
          <t>2021</t>
        </is>
      </c>
      <c r="G10870" s="40" t="n">
        <v>48446.71</v>
      </c>
    </row>
    <row r="10871" ht="12" customHeight="1">
      <c r="A10871" s="30" t="inlineStr">
        <is>
          <t>POR</t>
        </is>
      </c>
      <c r="B10871" s="30" t="inlineStr">
        <is>
          <t>Porto Real</t>
        </is>
      </c>
      <c r="C10871" s="30" t="n">
        <v>79082350</v>
      </c>
      <c r="D10871" s="30">
        <f>"12004913000165"</f>
        <v/>
      </c>
      <c r="E10871" s="30" t="inlineStr">
        <is>
          <t>THIBER SERVICOS INDUSTRIAIS EIRELI EPP</t>
        </is>
      </c>
      <c r="F10871" s="30" t="inlineStr">
        <is>
          <t>2022</t>
        </is>
      </c>
      <c r="G10871" s="40" t="n">
        <v>0</v>
      </c>
    </row>
    <row r="10872" ht="12" customHeight="1">
      <c r="A10872" s="30" t="inlineStr">
        <is>
          <t>POR</t>
        </is>
      </c>
      <c r="B10872" s="30" t="inlineStr">
        <is>
          <t>Porto Real</t>
        </is>
      </c>
      <c r="C10872" s="30" t="n">
        <v>79082350</v>
      </c>
      <c r="D10872" s="30">
        <f>"12004913000165"</f>
        <v/>
      </c>
      <c r="E10872" s="30" t="inlineStr">
        <is>
          <t>THIBER SERVICOS INDUSTRIAIS EIRELI EPP</t>
        </is>
      </c>
      <c r="F10872" s="30" t="inlineStr">
        <is>
          <t>2023</t>
        </is>
      </c>
      <c r="G10872" s="40" t="n">
        <v>0</v>
      </c>
    </row>
    <row r="10873" ht="12" customHeight="1">
      <c r="A10873" s="30" t="inlineStr">
        <is>
          <t>POR</t>
        </is>
      </c>
      <c r="B10873" s="30" t="inlineStr">
        <is>
          <t>Porto Real</t>
        </is>
      </c>
      <c r="C10873" s="30" t="n">
        <v>79111678</v>
      </c>
      <c r="D10873" s="30">
        <f>"60157377000504"</f>
        <v/>
      </c>
      <c r="E10873" s="30" t="inlineStr">
        <is>
          <t>TRANS WELL S EXPRESSO RODOVIARIO EIRELI</t>
        </is>
      </c>
      <c r="F10873" s="30" t="inlineStr">
        <is>
          <t>2017</t>
        </is>
      </c>
      <c r="G10873" s="40" t="n">
        <v>0</v>
      </c>
    </row>
    <row r="10874" ht="12" customHeight="1">
      <c r="A10874" s="30" t="inlineStr">
        <is>
          <t>POR</t>
        </is>
      </c>
      <c r="B10874" s="30" t="inlineStr">
        <is>
          <t>Porto Real</t>
        </is>
      </c>
      <c r="C10874" s="30" t="n">
        <v>79111678</v>
      </c>
      <c r="D10874" s="30">
        <f>"60157377000504"</f>
        <v/>
      </c>
      <c r="E10874" s="30" t="inlineStr">
        <is>
          <t>TRANS WELL S EXPRESSO RODOVIARIO EIRELI</t>
        </is>
      </c>
      <c r="F10874" s="30" t="inlineStr">
        <is>
          <t>2018</t>
        </is>
      </c>
      <c r="G10874" s="40" t="n">
        <v>0</v>
      </c>
    </row>
    <row r="10875" ht="12" customHeight="1">
      <c r="A10875" s="30" t="inlineStr">
        <is>
          <t>POR</t>
        </is>
      </c>
      <c r="B10875" s="30" t="inlineStr">
        <is>
          <t>Porto Real</t>
        </is>
      </c>
      <c r="C10875" s="30" t="n">
        <v>79111678</v>
      </c>
      <c r="D10875" s="30">
        <f>"60157377000504"</f>
        <v/>
      </c>
      <c r="E10875" s="30" t="inlineStr">
        <is>
          <t>TRANS WELL S EXPRESSO RODOVIARIO EIRELI</t>
        </is>
      </c>
      <c r="F10875" s="30" t="inlineStr">
        <is>
          <t>2019</t>
        </is>
      </c>
      <c r="G10875" s="40" t="n">
        <v>94.91</v>
      </c>
    </row>
    <row r="10876" ht="12" customHeight="1">
      <c r="A10876" s="30" t="inlineStr">
        <is>
          <t>POR</t>
        </is>
      </c>
      <c r="B10876" s="30" t="inlineStr">
        <is>
          <t>Porto Real</t>
        </is>
      </c>
      <c r="C10876" s="30" t="n">
        <v>79111678</v>
      </c>
      <c r="D10876" s="30">
        <f>"60157377000504"</f>
        <v/>
      </c>
      <c r="E10876" s="30" t="inlineStr">
        <is>
          <t>TRANS WELL S EXPRESSO RODOVIARIO EIRELI</t>
        </is>
      </c>
      <c r="F10876" s="30" t="inlineStr">
        <is>
          <t>2020</t>
        </is>
      </c>
      <c r="G10876" s="40" t="n">
        <v>138.51</v>
      </c>
    </row>
    <row r="10877" ht="12" customHeight="1">
      <c r="A10877" s="30" t="inlineStr">
        <is>
          <t>POR</t>
        </is>
      </c>
      <c r="B10877" s="30" t="inlineStr">
        <is>
          <t>Porto Real</t>
        </is>
      </c>
      <c r="C10877" s="30" t="n">
        <v>79111678</v>
      </c>
      <c r="D10877" s="30">
        <f>"60157377000504"</f>
        <v/>
      </c>
      <c r="E10877" s="30" t="inlineStr">
        <is>
          <t>TRANS WELL S EXPRESSO RODOVIARIO EIRELI</t>
        </is>
      </c>
      <c r="F10877" s="30" t="inlineStr">
        <is>
          <t>2021</t>
        </is>
      </c>
      <c r="G10877" s="40" t="n">
        <v>0</v>
      </c>
    </row>
    <row r="10878" ht="12" customHeight="1">
      <c r="A10878" s="30" t="inlineStr">
        <is>
          <t>POR</t>
        </is>
      </c>
      <c r="B10878" s="30" t="inlineStr">
        <is>
          <t>Porto Real</t>
        </is>
      </c>
      <c r="C10878" s="30" t="n">
        <v>79111678</v>
      </c>
      <c r="D10878" s="30">
        <f>"60157377000504"</f>
        <v/>
      </c>
      <c r="E10878" s="30" t="inlineStr">
        <is>
          <t>TRANS WELL S EXPRESSO RODOVIARIO EIRELI</t>
        </is>
      </c>
      <c r="F10878" s="30" t="inlineStr">
        <is>
          <t>2022</t>
        </is>
      </c>
      <c r="G10878" s="40" t="n">
        <v>0</v>
      </c>
    </row>
    <row r="10879" ht="12" customHeight="1">
      <c r="A10879" s="30" t="inlineStr">
        <is>
          <t>POR</t>
        </is>
      </c>
      <c r="B10879" s="30" t="inlineStr">
        <is>
          <t>Porto Real</t>
        </is>
      </c>
      <c r="C10879" s="30" t="n">
        <v>79121320</v>
      </c>
      <c r="D10879" s="30">
        <f>"12186855000138"</f>
        <v/>
      </c>
      <c r="E10879" s="30" t="inlineStr">
        <is>
          <t>K LOG TRANSPORTES EIRELI</t>
        </is>
      </c>
      <c r="F10879" s="30" t="inlineStr">
        <is>
          <t>2017</t>
        </is>
      </c>
      <c r="G10879" s="40" t="n">
        <v>0</v>
      </c>
    </row>
    <row r="10880" ht="12" customHeight="1">
      <c r="A10880" s="30" t="inlineStr">
        <is>
          <t>POR</t>
        </is>
      </c>
      <c r="B10880" s="30" t="inlineStr">
        <is>
          <t>Porto Real</t>
        </is>
      </c>
      <c r="C10880" s="30" t="n">
        <v>79121320</v>
      </c>
      <c r="D10880" s="30">
        <f>"12186855000138"</f>
        <v/>
      </c>
      <c r="E10880" s="30" t="inlineStr">
        <is>
          <t>K LOG TRANSPORTES EIRELI</t>
        </is>
      </c>
      <c r="F10880" s="30" t="inlineStr">
        <is>
          <t>2018</t>
        </is>
      </c>
      <c r="G10880" s="40" t="n">
        <v>3026.61</v>
      </c>
    </row>
    <row r="10881" ht="12" customHeight="1">
      <c r="A10881" s="30" t="inlineStr">
        <is>
          <t>POR</t>
        </is>
      </c>
      <c r="B10881" s="30" t="inlineStr">
        <is>
          <t>Porto Real</t>
        </is>
      </c>
      <c r="C10881" s="30" t="n">
        <v>79121320</v>
      </c>
      <c r="D10881" s="30">
        <f>"12186855000138"</f>
        <v/>
      </c>
      <c r="E10881" s="30" t="inlineStr">
        <is>
          <t>K LOG TRANSPORTES EIRELI</t>
        </is>
      </c>
      <c r="F10881" s="30" t="inlineStr">
        <is>
          <t>2019</t>
        </is>
      </c>
      <c r="G10881" s="40" t="n">
        <v>75148.49000000001</v>
      </c>
    </row>
    <row r="10882" ht="12" customHeight="1">
      <c r="A10882" s="30" t="inlineStr">
        <is>
          <t>POR</t>
        </is>
      </c>
      <c r="B10882" s="30" t="inlineStr">
        <is>
          <t>Porto Real</t>
        </is>
      </c>
      <c r="C10882" s="30" t="n">
        <v>79121320</v>
      </c>
      <c r="D10882" s="30">
        <f>"12186855000138"</f>
        <v/>
      </c>
      <c r="E10882" s="30" t="inlineStr">
        <is>
          <t>K LOG TRANSPORTES EIRELI</t>
        </is>
      </c>
      <c r="F10882" s="30" t="inlineStr">
        <is>
          <t>2020</t>
        </is>
      </c>
      <c r="G10882" s="40" t="n">
        <v>72653.2</v>
      </c>
    </row>
    <row r="10883" ht="12" customHeight="1">
      <c r="A10883" s="30" t="inlineStr">
        <is>
          <t>POR</t>
        </is>
      </c>
      <c r="B10883" s="30" t="inlineStr">
        <is>
          <t>Porto Real</t>
        </is>
      </c>
      <c r="C10883" s="30" t="n">
        <v>79121320</v>
      </c>
      <c r="D10883" s="30">
        <f>"12186855000138"</f>
        <v/>
      </c>
      <c r="E10883" s="30" t="inlineStr">
        <is>
          <t>K LOG TRANSPORTES EIRELI</t>
        </is>
      </c>
      <c r="F10883" s="30" t="inlineStr">
        <is>
          <t>2021</t>
        </is>
      </c>
      <c r="G10883" s="40" t="n">
        <v>57454.38</v>
      </c>
    </row>
    <row r="10884" ht="12" customHeight="1">
      <c r="A10884" s="30" t="inlineStr">
        <is>
          <t>POR</t>
        </is>
      </c>
      <c r="B10884" s="30" t="inlineStr">
        <is>
          <t>Porto Real</t>
        </is>
      </c>
      <c r="C10884" s="30" t="n">
        <v>79121320</v>
      </c>
      <c r="D10884" s="30">
        <f>"12186855000138"</f>
        <v/>
      </c>
      <c r="E10884" s="30" t="inlineStr">
        <is>
          <t>K LOG TRANSPORTES EIRELI</t>
        </is>
      </c>
      <c r="F10884" s="30" t="inlineStr">
        <is>
          <t>2022</t>
        </is>
      </c>
      <c r="G10884" s="40" t="n">
        <v>0</v>
      </c>
    </row>
    <row r="10885" ht="12" customHeight="1">
      <c r="A10885" s="30" t="inlineStr">
        <is>
          <t>POR</t>
        </is>
      </c>
      <c r="B10885" s="30" t="inlineStr">
        <is>
          <t>Porto Real</t>
        </is>
      </c>
      <c r="C10885" s="30" t="n">
        <v>79121320</v>
      </c>
      <c r="D10885" s="30">
        <f>"12186855000138"</f>
        <v/>
      </c>
      <c r="E10885" s="30" t="inlineStr">
        <is>
          <t>K LOG TRANSPORTES EIRELI</t>
        </is>
      </c>
      <c r="F10885" s="30" t="inlineStr">
        <is>
          <t>2023</t>
        </is>
      </c>
      <c r="G10885" s="40" t="n">
        <v>0</v>
      </c>
    </row>
    <row r="10886" ht="12" customHeight="1">
      <c r="A10886" s="30" t="inlineStr">
        <is>
          <t>POR</t>
        </is>
      </c>
      <c r="B10886" s="30" t="inlineStr">
        <is>
          <t>Porto Real</t>
        </is>
      </c>
      <c r="C10886" s="30" t="n">
        <v>79134961</v>
      </c>
      <c r="D10886" s="30">
        <f>"06264796000257"</f>
        <v/>
      </c>
      <c r="E10886" s="30" t="inlineStr">
        <is>
          <t>J T TRANSPORTES LTDA ME</t>
        </is>
      </c>
      <c r="F10886" s="30" t="inlineStr">
        <is>
          <t>2020</t>
        </is>
      </c>
      <c r="G10886" s="40" t="n">
        <v>0</v>
      </c>
    </row>
    <row r="10887" ht="12" customHeight="1">
      <c r="A10887" s="30" t="inlineStr">
        <is>
          <t>POR</t>
        </is>
      </c>
      <c r="B10887" s="30" t="inlineStr">
        <is>
          <t>Porto Real</t>
        </is>
      </c>
      <c r="C10887" s="30" t="n">
        <v>79134961</v>
      </c>
      <c r="D10887" s="30">
        <f>"06264796000257"</f>
        <v/>
      </c>
      <c r="E10887" s="30" t="inlineStr">
        <is>
          <t>J T TRANSPORTES LTDA ME</t>
        </is>
      </c>
      <c r="F10887" s="30" t="inlineStr">
        <is>
          <t>2021</t>
        </is>
      </c>
      <c r="G10887" s="40" t="n">
        <v>0</v>
      </c>
    </row>
    <row r="10888" ht="12" customHeight="1">
      <c r="A10888" s="30" t="inlineStr">
        <is>
          <t>POR</t>
        </is>
      </c>
      <c r="B10888" s="30" t="inlineStr">
        <is>
          <t>Porto Real</t>
        </is>
      </c>
      <c r="C10888" s="30" t="n">
        <v>79134961</v>
      </c>
      <c r="D10888" s="30">
        <f>"06264796000257"</f>
        <v/>
      </c>
      <c r="E10888" s="30" t="inlineStr">
        <is>
          <t>J T TRANSPORTES LTDA ME</t>
        </is>
      </c>
      <c r="F10888" s="30" t="inlineStr">
        <is>
          <t>2022</t>
        </is>
      </c>
      <c r="G10888" s="40" t="n">
        <v>22920.24</v>
      </c>
    </row>
    <row r="10889" ht="12" customHeight="1">
      <c r="A10889" s="30" t="inlineStr">
        <is>
          <t>POR</t>
        </is>
      </c>
      <c r="B10889" s="30" t="inlineStr">
        <is>
          <t>Porto Real</t>
        </is>
      </c>
      <c r="C10889" s="30" t="n">
        <v>79134961</v>
      </c>
      <c r="D10889" s="30">
        <f>"06264796000257"</f>
        <v/>
      </c>
      <c r="E10889" s="30" t="inlineStr">
        <is>
          <t>J T TRANSPORTES LTDA ME</t>
        </is>
      </c>
      <c r="F10889" s="30" t="inlineStr">
        <is>
          <t>2023</t>
        </is>
      </c>
      <c r="G10889" s="40" t="n">
        <v>41435.07</v>
      </c>
    </row>
    <row r="10890" ht="12" customHeight="1">
      <c r="A10890" s="30" t="inlineStr">
        <is>
          <t>POR</t>
        </is>
      </c>
      <c r="B10890" s="30" t="inlineStr">
        <is>
          <t>Porto Real</t>
        </is>
      </c>
      <c r="C10890" s="30" t="n">
        <v>79145149</v>
      </c>
      <c r="D10890" s="30">
        <f>"12392614000145"</f>
        <v/>
      </c>
      <c r="E10890" s="30" t="inlineStr">
        <is>
          <t>L A MARASSI MERCEARIA LTDA</t>
        </is>
      </c>
      <c r="F10890" s="30" t="inlineStr">
        <is>
          <t>2017</t>
        </is>
      </c>
      <c r="G10890" s="40" t="n">
        <v>2512806</v>
      </c>
    </row>
    <row r="10891" ht="12" customHeight="1">
      <c r="A10891" s="30" t="inlineStr">
        <is>
          <t>POR</t>
        </is>
      </c>
      <c r="B10891" s="30" t="inlineStr">
        <is>
          <t>Porto Real</t>
        </is>
      </c>
      <c r="C10891" s="30" t="n">
        <v>79145149</v>
      </c>
      <c r="D10891" s="30">
        <f>"12392614000145"</f>
        <v/>
      </c>
      <c r="E10891" s="30" t="inlineStr">
        <is>
          <t>L A MARASSI MERCEARIA LTDA</t>
        </is>
      </c>
      <c r="F10891" s="30" t="inlineStr">
        <is>
          <t>2018</t>
        </is>
      </c>
      <c r="G10891" s="40" t="n">
        <v>3130815.21</v>
      </c>
    </row>
    <row r="10892" ht="12" customHeight="1">
      <c r="A10892" s="30" t="inlineStr">
        <is>
          <t>POR</t>
        </is>
      </c>
      <c r="B10892" s="30" t="inlineStr">
        <is>
          <t>Porto Real</t>
        </is>
      </c>
      <c r="C10892" s="30" t="n">
        <v>79145149</v>
      </c>
      <c r="D10892" s="30">
        <f>"12392614000145"</f>
        <v/>
      </c>
      <c r="E10892" s="30" t="inlineStr">
        <is>
          <t>L A MARASSI MERCEARIA LTDA</t>
        </is>
      </c>
      <c r="F10892" s="30" t="inlineStr">
        <is>
          <t>2019</t>
        </is>
      </c>
      <c r="G10892" s="40" t="n">
        <v>2816451</v>
      </c>
    </row>
    <row r="10893" ht="12" customHeight="1">
      <c r="A10893" s="30" t="inlineStr">
        <is>
          <t>POR</t>
        </is>
      </c>
      <c r="B10893" s="30" t="inlineStr">
        <is>
          <t>Porto Real</t>
        </is>
      </c>
      <c r="C10893" s="30" t="n">
        <v>79145149</v>
      </c>
      <c r="D10893" s="30">
        <f>"12392614000145"</f>
        <v/>
      </c>
      <c r="E10893" s="30" t="inlineStr">
        <is>
          <t>L A MARASSI MERCEARIA LTDA</t>
        </is>
      </c>
      <c r="F10893" s="30" t="inlineStr">
        <is>
          <t>2020</t>
        </is>
      </c>
      <c r="G10893" s="40" t="n">
        <v>3288695.32</v>
      </c>
    </row>
    <row r="10894" ht="12" customHeight="1">
      <c r="A10894" s="30" t="inlineStr">
        <is>
          <t>POR</t>
        </is>
      </c>
      <c r="B10894" s="30" t="inlineStr">
        <is>
          <t>Porto Real</t>
        </is>
      </c>
      <c r="C10894" s="30" t="n">
        <v>79145149</v>
      </c>
      <c r="D10894" s="30">
        <f>"12392614000145"</f>
        <v/>
      </c>
      <c r="E10894" s="30" t="inlineStr">
        <is>
          <t>L A MARASSI MERCEARIA LTDA</t>
        </is>
      </c>
      <c r="F10894" s="30" t="inlineStr">
        <is>
          <t>2021</t>
        </is>
      </c>
      <c r="G10894" s="40" t="n">
        <v>1065917.37</v>
      </c>
    </row>
    <row r="10895" ht="12" customHeight="1">
      <c r="A10895" s="30" t="inlineStr">
        <is>
          <t>POR</t>
        </is>
      </c>
      <c r="B10895" s="30" t="inlineStr">
        <is>
          <t>Porto Real</t>
        </is>
      </c>
      <c r="C10895" s="30" t="n">
        <v>79145149</v>
      </c>
      <c r="D10895" s="30">
        <f>"12392614000145"</f>
        <v/>
      </c>
      <c r="E10895" s="30" t="inlineStr">
        <is>
          <t>L A MARASSI MERCEARIA LTDA</t>
        </is>
      </c>
      <c r="F10895" s="30" t="inlineStr">
        <is>
          <t>2022</t>
        </is>
      </c>
      <c r="G10895" s="40" t="n">
        <v>4177276.58</v>
      </c>
    </row>
    <row r="10896" ht="12" customHeight="1">
      <c r="A10896" s="30" t="inlineStr">
        <is>
          <t>POR</t>
        </is>
      </c>
      <c r="B10896" s="30" t="inlineStr">
        <is>
          <t>Porto Real</t>
        </is>
      </c>
      <c r="C10896" s="30" t="n">
        <v>79145149</v>
      </c>
      <c r="D10896" s="30">
        <f>"12392614000145"</f>
        <v/>
      </c>
      <c r="E10896" s="30" t="inlineStr">
        <is>
          <t>L A MARASSI MERCEARIA LTDA</t>
        </is>
      </c>
      <c r="F10896" s="30" t="inlineStr">
        <is>
          <t>2023</t>
        </is>
      </c>
      <c r="G10896" s="40" t="n">
        <v>5752072.65</v>
      </c>
    </row>
    <row r="10897" ht="12" customHeight="1">
      <c r="A10897" s="30" t="inlineStr">
        <is>
          <t>POR</t>
        </is>
      </c>
      <c r="B10897" s="30" t="inlineStr">
        <is>
          <t>Porto Real</t>
        </is>
      </c>
      <c r="C10897" s="30" t="n">
        <v>79146641</v>
      </c>
      <c r="D10897" s="30">
        <f>"60960473001304"</f>
        <v/>
      </c>
      <c r="E10897" s="30" t="inlineStr">
        <is>
          <t>RODOGARCIA TRANSPORTES RODOVIARIOS LTDA</t>
        </is>
      </c>
      <c r="F10897" s="30" t="inlineStr">
        <is>
          <t>2017</t>
        </is>
      </c>
      <c r="G10897" s="40" t="n">
        <v>0</v>
      </c>
    </row>
    <row r="10898" ht="12" customHeight="1">
      <c r="A10898" s="30" t="inlineStr">
        <is>
          <t>POR</t>
        </is>
      </c>
      <c r="B10898" s="30" t="inlineStr">
        <is>
          <t>Porto Real</t>
        </is>
      </c>
      <c r="C10898" s="30" t="n">
        <v>79146641</v>
      </c>
      <c r="D10898" s="30">
        <f>"60960473001304"</f>
        <v/>
      </c>
      <c r="E10898" s="30" t="inlineStr">
        <is>
          <t>RODOGARCIA TRANSPORTES RODOVIARIOS LTDA</t>
        </is>
      </c>
      <c r="F10898" s="30" t="inlineStr">
        <is>
          <t>2018</t>
        </is>
      </c>
      <c r="G10898" s="40" t="n">
        <v>1950</v>
      </c>
    </row>
    <row r="10899" ht="12" customHeight="1">
      <c r="A10899" s="30" t="inlineStr">
        <is>
          <t>POR</t>
        </is>
      </c>
      <c r="B10899" s="30" t="inlineStr">
        <is>
          <t>Porto Real</t>
        </is>
      </c>
      <c r="C10899" s="30" t="n">
        <v>79146641</v>
      </c>
      <c r="D10899" s="30">
        <f>"60960473001304"</f>
        <v/>
      </c>
      <c r="E10899" s="30" t="inlineStr">
        <is>
          <t>RODOGARCIA TRANSPORTES RODOVIARIOS LTDA</t>
        </is>
      </c>
      <c r="F10899" s="30" t="inlineStr">
        <is>
          <t>2019</t>
        </is>
      </c>
      <c r="G10899" s="40" t="n">
        <v>2583.33</v>
      </c>
    </row>
    <row r="10900" ht="12" customHeight="1">
      <c r="A10900" s="30" t="inlineStr">
        <is>
          <t>POR</t>
        </is>
      </c>
      <c r="B10900" s="30" t="inlineStr">
        <is>
          <t>Porto Real</t>
        </is>
      </c>
      <c r="C10900" s="30" t="n">
        <v>79146641</v>
      </c>
      <c r="D10900" s="30">
        <f>"60960473001304"</f>
        <v/>
      </c>
      <c r="E10900" s="30" t="inlineStr">
        <is>
          <t>RODOGARCIA TRANSPORTES RODOVIARIOS LTDA</t>
        </is>
      </c>
      <c r="F10900" s="30" t="inlineStr">
        <is>
          <t>2020</t>
        </is>
      </c>
      <c r="G10900" s="40" t="n">
        <v>0</v>
      </c>
    </row>
    <row r="10901" ht="12" customHeight="1">
      <c r="A10901" s="30" t="inlineStr">
        <is>
          <t>POR</t>
        </is>
      </c>
      <c r="B10901" s="30" t="inlineStr">
        <is>
          <t>Porto Real</t>
        </is>
      </c>
      <c r="C10901" s="30" t="n">
        <v>79146641</v>
      </c>
      <c r="D10901" s="30">
        <f>"60960473001304"</f>
        <v/>
      </c>
      <c r="E10901" s="30" t="inlineStr">
        <is>
          <t>RODOGARCIA TRANSPORTES RODOVIARIOS LTDA</t>
        </is>
      </c>
      <c r="F10901" s="30" t="inlineStr">
        <is>
          <t>2021</t>
        </is>
      </c>
      <c r="G10901" s="40" t="n">
        <v>760</v>
      </c>
    </row>
    <row r="10902" ht="12" customHeight="1">
      <c r="A10902" s="30" t="inlineStr">
        <is>
          <t>POR</t>
        </is>
      </c>
      <c r="B10902" s="30" t="inlineStr">
        <is>
          <t>Porto Real</t>
        </is>
      </c>
      <c r="C10902" s="30" t="n">
        <v>79146641</v>
      </c>
      <c r="D10902" s="30">
        <f>"60960473001304"</f>
        <v/>
      </c>
      <c r="E10902" s="30" t="inlineStr">
        <is>
          <t>RODOGARCIA TRANSPORTES RODOVIARIOS LTDA</t>
        </is>
      </c>
      <c r="F10902" s="30" t="inlineStr">
        <is>
          <t>2022</t>
        </is>
      </c>
      <c r="G10902" s="40" t="n">
        <v>0</v>
      </c>
    </row>
    <row r="10903" ht="12" customHeight="1">
      <c r="A10903" s="30" t="inlineStr">
        <is>
          <t>POR</t>
        </is>
      </c>
      <c r="B10903" s="30" t="inlineStr">
        <is>
          <t>Porto Real</t>
        </is>
      </c>
      <c r="C10903" s="30" t="n">
        <v>79146641</v>
      </c>
      <c r="D10903" s="30">
        <f>"60960473001304"</f>
        <v/>
      </c>
      <c r="E10903" s="30" t="inlineStr">
        <is>
          <t>RODOGARCIA TRANSPORTES RODOVIARIOS LTDA</t>
        </is>
      </c>
      <c r="F10903" s="30" t="inlineStr">
        <is>
          <t>2023</t>
        </is>
      </c>
      <c r="G10903" s="40" t="n">
        <v>0</v>
      </c>
    </row>
    <row r="10904" ht="12" customHeight="1">
      <c r="A10904" s="30" t="inlineStr">
        <is>
          <t>POR</t>
        </is>
      </c>
      <c r="B10904" s="30" t="inlineStr">
        <is>
          <t>Porto Real</t>
        </is>
      </c>
      <c r="C10904" s="30" t="n">
        <v>79158836</v>
      </c>
      <c r="D10904" s="30">
        <f>"12445480000183"</f>
        <v/>
      </c>
      <c r="E10904" s="30" t="inlineStr">
        <is>
          <t>BARRA LOG TRANSPORTES LTDA M E</t>
        </is>
      </c>
      <c r="F10904" s="30" t="inlineStr">
        <is>
          <t>2018</t>
        </is>
      </c>
      <c r="G10904" s="40" t="n">
        <v>0</v>
      </c>
    </row>
    <row r="10905" ht="12" customHeight="1">
      <c r="A10905" s="30" t="inlineStr">
        <is>
          <t>POR</t>
        </is>
      </c>
      <c r="B10905" s="30" t="inlineStr">
        <is>
          <t>Porto Real</t>
        </is>
      </c>
      <c r="C10905" s="30" t="n">
        <v>79158836</v>
      </c>
      <c r="D10905" s="30">
        <f>"12445480000183"</f>
        <v/>
      </c>
      <c r="E10905" s="30" t="inlineStr">
        <is>
          <t>BARRA LOG TRANSPORTES LTDA M E</t>
        </is>
      </c>
      <c r="F10905" s="30" t="inlineStr">
        <is>
          <t>2019</t>
        </is>
      </c>
      <c r="G10905" s="40" t="n">
        <v>0</v>
      </c>
    </row>
    <row r="10906" ht="12" customHeight="1">
      <c r="A10906" s="30" t="inlineStr">
        <is>
          <t>POR</t>
        </is>
      </c>
      <c r="B10906" s="30" t="inlineStr">
        <is>
          <t>Porto Real</t>
        </is>
      </c>
      <c r="C10906" s="30" t="n">
        <v>79158836</v>
      </c>
      <c r="D10906" s="30">
        <f>"12445480000183"</f>
        <v/>
      </c>
      <c r="E10906" s="30" t="inlineStr">
        <is>
          <t>BARRA LOG TRANSPORTES LTDA M E</t>
        </is>
      </c>
      <c r="F10906" s="30" t="inlineStr">
        <is>
          <t>2020</t>
        </is>
      </c>
      <c r="G10906" s="40" t="n">
        <v>81.62</v>
      </c>
    </row>
    <row r="10907" ht="12" customHeight="1">
      <c r="A10907" s="30" t="inlineStr">
        <is>
          <t>POR</t>
        </is>
      </c>
      <c r="B10907" s="30" t="inlineStr">
        <is>
          <t>Porto Real</t>
        </is>
      </c>
      <c r="C10907" s="30" t="n">
        <v>79158836</v>
      </c>
      <c r="D10907" s="30">
        <f>"12445480000183"</f>
        <v/>
      </c>
      <c r="E10907" s="30" t="inlineStr">
        <is>
          <t>BARRA LOG TRANSPORTES LTDA M E</t>
        </is>
      </c>
      <c r="F10907" s="30" t="inlineStr">
        <is>
          <t>2021</t>
        </is>
      </c>
      <c r="G10907" s="40" t="n">
        <v>0</v>
      </c>
    </row>
    <row r="10908" ht="12" customHeight="1">
      <c r="A10908" s="30" t="inlineStr">
        <is>
          <t>POR</t>
        </is>
      </c>
      <c r="B10908" s="30" t="inlineStr">
        <is>
          <t>Porto Real</t>
        </is>
      </c>
      <c r="C10908" s="30" t="n">
        <v>79158836</v>
      </c>
      <c r="D10908" s="30">
        <f>"12445480000183"</f>
        <v/>
      </c>
      <c r="E10908" s="30" t="inlineStr">
        <is>
          <t>BARRA LOG TRANSPORTES LTDA M E</t>
        </is>
      </c>
      <c r="F10908" s="30" t="inlineStr">
        <is>
          <t>2022</t>
        </is>
      </c>
      <c r="G10908" s="40" t="n">
        <v>2705.71</v>
      </c>
    </row>
    <row r="10909" ht="12" customHeight="1">
      <c r="A10909" s="30" t="inlineStr">
        <is>
          <t>POR</t>
        </is>
      </c>
      <c r="B10909" s="30" t="inlineStr">
        <is>
          <t>Porto Real</t>
        </is>
      </c>
      <c r="C10909" s="30" t="n">
        <v>79158836</v>
      </c>
      <c r="D10909" s="30">
        <f>"12445480000183"</f>
        <v/>
      </c>
      <c r="E10909" s="30" t="inlineStr">
        <is>
          <t>BARRA LOG TRANSPORTES LTDA M E</t>
        </is>
      </c>
      <c r="F10909" s="30" t="inlineStr">
        <is>
          <t>2023</t>
        </is>
      </c>
      <c r="G10909" s="40" t="n">
        <v>0</v>
      </c>
    </row>
    <row r="10910" ht="12" customHeight="1">
      <c r="A10910" s="30" t="inlineStr">
        <is>
          <t>POR</t>
        </is>
      </c>
      <c r="B10910" s="30" t="inlineStr">
        <is>
          <t>Porto Real</t>
        </is>
      </c>
      <c r="C10910" s="30" t="n">
        <v>79177857</v>
      </c>
      <c r="D10910" s="30">
        <f>"75627836000705"</f>
        <v/>
      </c>
      <c r="E10910" s="30" t="inlineStr">
        <is>
          <t>JALOTO TRANSPORTES LTDA</t>
        </is>
      </c>
      <c r="F10910" s="30" t="inlineStr">
        <is>
          <t>2017</t>
        </is>
      </c>
      <c r="G10910" s="40" t="n">
        <v>143153.72</v>
      </c>
    </row>
    <row r="10911" ht="12" customHeight="1">
      <c r="A10911" s="30" t="inlineStr">
        <is>
          <t>POR</t>
        </is>
      </c>
      <c r="B10911" s="30" t="inlineStr">
        <is>
          <t>Porto Real</t>
        </is>
      </c>
      <c r="C10911" s="30" t="n">
        <v>79177857</v>
      </c>
      <c r="D10911" s="30">
        <f>"75627836000705"</f>
        <v/>
      </c>
      <c r="E10911" s="30" t="inlineStr">
        <is>
          <t>JALOTO TRANSPORTES LTDA</t>
        </is>
      </c>
      <c r="F10911" s="30" t="inlineStr">
        <is>
          <t>2018</t>
        </is>
      </c>
      <c r="G10911" s="40" t="n">
        <v>173852.61</v>
      </c>
    </row>
    <row r="10912" ht="12" customHeight="1">
      <c r="A10912" s="30" t="inlineStr">
        <is>
          <t>POR</t>
        </is>
      </c>
      <c r="B10912" s="30" t="inlineStr">
        <is>
          <t>Porto Real</t>
        </is>
      </c>
      <c r="C10912" s="30" t="n">
        <v>79177857</v>
      </c>
      <c r="D10912" s="30">
        <f>"75627836000705"</f>
        <v/>
      </c>
      <c r="E10912" s="30" t="inlineStr">
        <is>
          <t>JALOTO TRANSPORTES LTDA</t>
        </is>
      </c>
      <c r="F10912" s="30" t="inlineStr">
        <is>
          <t>2019</t>
        </is>
      </c>
      <c r="G10912" s="40" t="n">
        <v>0</v>
      </c>
    </row>
    <row r="10913" ht="12" customHeight="1">
      <c r="A10913" s="30" t="inlineStr">
        <is>
          <t>POR</t>
        </is>
      </c>
      <c r="B10913" s="30" t="inlineStr">
        <is>
          <t>Porto Real</t>
        </is>
      </c>
      <c r="C10913" s="30" t="n">
        <v>79177857</v>
      </c>
      <c r="D10913" s="30">
        <f>"75627836000705"</f>
        <v/>
      </c>
      <c r="E10913" s="30" t="inlineStr">
        <is>
          <t>JALOTO TRANSPORTES LTDA</t>
        </is>
      </c>
      <c r="F10913" s="30" t="inlineStr">
        <is>
          <t>2020</t>
        </is>
      </c>
      <c r="G10913" s="40" t="n">
        <v>79147.22</v>
      </c>
    </row>
    <row r="10914" ht="12" customHeight="1">
      <c r="A10914" s="30" t="inlineStr">
        <is>
          <t>POR</t>
        </is>
      </c>
      <c r="B10914" s="30" t="inlineStr">
        <is>
          <t>Porto Real</t>
        </is>
      </c>
      <c r="C10914" s="30" t="n">
        <v>79177857</v>
      </c>
      <c r="D10914" s="30">
        <f>"75627836000705"</f>
        <v/>
      </c>
      <c r="E10914" s="30" t="inlineStr">
        <is>
          <t>JALOTO TRANSPORTES LTDA</t>
        </is>
      </c>
      <c r="F10914" s="30" t="inlineStr">
        <is>
          <t>2021</t>
        </is>
      </c>
      <c r="G10914" s="40" t="n">
        <v>172738.92</v>
      </c>
    </row>
    <row r="10915" ht="12" customHeight="1">
      <c r="A10915" s="30" t="inlineStr">
        <is>
          <t>POR</t>
        </is>
      </c>
      <c r="B10915" s="30" t="inlineStr">
        <is>
          <t>Porto Real</t>
        </is>
      </c>
      <c r="C10915" s="30" t="n">
        <v>79177857</v>
      </c>
      <c r="D10915" s="30">
        <f>"75627836000705"</f>
        <v/>
      </c>
      <c r="E10915" s="30" t="inlineStr">
        <is>
          <t>JALOTO TRANSPORTES LTDA</t>
        </is>
      </c>
      <c r="F10915" s="30" t="inlineStr">
        <is>
          <t>2022</t>
        </is>
      </c>
      <c r="G10915" s="40" t="n">
        <v>632355.51</v>
      </c>
    </row>
    <row r="10916" ht="12" customHeight="1">
      <c r="A10916" s="30" t="inlineStr">
        <is>
          <t>POR</t>
        </is>
      </c>
      <c r="B10916" s="30" t="inlineStr">
        <is>
          <t>Porto Real</t>
        </is>
      </c>
      <c r="C10916" s="30" t="n">
        <v>79177857</v>
      </c>
      <c r="D10916" s="30">
        <f>"75627836000705"</f>
        <v/>
      </c>
      <c r="E10916" s="30" t="inlineStr">
        <is>
          <t>JALOTO TRANSPORTES LTDA</t>
        </is>
      </c>
      <c r="F10916" s="30" t="inlineStr">
        <is>
          <t>2023</t>
        </is>
      </c>
      <c r="G10916" s="40" t="n">
        <v>512139.21</v>
      </c>
    </row>
    <row r="10917" ht="12" customHeight="1">
      <c r="A10917" s="30" t="inlineStr">
        <is>
          <t>POR</t>
        </is>
      </c>
      <c r="B10917" s="30" t="inlineStr">
        <is>
          <t>Porto Real</t>
        </is>
      </c>
      <c r="C10917" s="30" t="n">
        <v>79208159</v>
      </c>
      <c r="D10917" s="30">
        <f>"12539501000120"</f>
        <v/>
      </c>
      <c r="E10917" s="30" t="inlineStr">
        <is>
          <t>AUGURI DE PORTO REAL RESTAURANTE LTDA</t>
        </is>
      </c>
      <c r="F10917" s="30" t="inlineStr">
        <is>
          <t>2017</t>
        </is>
      </c>
      <c r="G10917" s="40" t="n">
        <v>0</v>
      </c>
    </row>
    <row r="10918" ht="12" customHeight="1">
      <c r="A10918" s="30" t="inlineStr">
        <is>
          <t>POR</t>
        </is>
      </c>
      <c r="B10918" s="30" t="inlineStr">
        <is>
          <t>Porto Real</t>
        </is>
      </c>
      <c r="C10918" s="30" t="n">
        <v>79208159</v>
      </c>
      <c r="D10918" s="30">
        <f>"12539501000120"</f>
        <v/>
      </c>
      <c r="E10918" s="30" t="inlineStr">
        <is>
          <t>AUGURI DE PORTO REAL RESTAURANTE LTDA</t>
        </is>
      </c>
      <c r="F10918" s="30" t="inlineStr">
        <is>
          <t>2018</t>
        </is>
      </c>
      <c r="G10918" s="40" t="n">
        <v>0</v>
      </c>
    </row>
    <row r="10919" ht="12" customHeight="1">
      <c r="A10919" s="30" t="inlineStr">
        <is>
          <t>POR</t>
        </is>
      </c>
      <c r="B10919" s="30" t="inlineStr">
        <is>
          <t>Porto Real</t>
        </is>
      </c>
      <c r="C10919" s="30" t="n">
        <v>79208159</v>
      </c>
      <c r="D10919" s="30">
        <f>"12539501000120"</f>
        <v/>
      </c>
      <c r="E10919" s="30" t="inlineStr">
        <is>
          <t>AUGURI DE PORTO REAL RESTAURANTE LTDA</t>
        </is>
      </c>
      <c r="F10919" s="30" t="inlineStr">
        <is>
          <t>2019</t>
        </is>
      </c>
      <c r="G10919" s="40" t="n">
        <v>0</v>
      </c>
    </row>
    <row r="10920" ht="12" customHeight="1">
      <c r="A10920" s="30" t="inlineStr">
        <is>
          <t>POR</t>
        </is>
      </c>
      <c r="B10920" s="30" t="inlineStr">
        <is>
          <t>Porto Real</t>
        </is>
      </c>
      <c r="C10920" s="30" t="n">
        <v>79213160</v>
      </c>
      <c r="D10920" s="30">
        <f>"52548435015524"</f>
        <v/>
      </c>
      <c r="E10920" s="30" t="inlineStr">
        <is>
          <t>JSL S/A</t>
        </is>
      </c>
      <c r="F10920" s="30" t="inlineStr">
        <is>
          <t>2017</t>
        </is>
      </c>
      <c r="G10920" s="40" t="n">
        <v>94674.06</v>
      </c>
    </row>
    <row r="10921" ht="12" customHeight="1">
      <c r="A10921" s="30" t="inlineStr">
        <is>
          <t>POR</t>
        </is>
      </c>
      <c r="B10921" s="30" t="inlineStr">
        <is>
          <t>Porto Real</t>
        </is>
      </c>
      <c r="C10921" s="30" t="n">
        <v>79213160</v>
      </c>
      <c r="D10921" s="30">
        <f>"52548435015524"</f>
        <v/>
      </c>
      <c r="E10921" s="30" t="inlineStr">
        <is>
          <t>JSL S/A</t>
        </is>
      </c>
      <c r="F10921" s="30" t="inlineStr">
        <is>
          <t>2018</t>
        </is>
      </c>
      <c r="G10921" s="40" t="n">
        <v>43765.33</v>
      </c>
    </row>
    <row r="10922" ht="12" customHeight="1">
      <c r="A10922" s="30" t="inlineStr">
        <is>
          <t>POR</t>
        </is>
      </c>
      <c r="B10922" s="30" t="inlineStr">
        <is>
          <t>Porto Real</t>
        </is>
      </c>
      <c r="C10922" s="30" t="n">
        <v>79213160</v>
      </c>
      <c r="D10922" s="30">
        <f>"52548435015524"</f>
        <v/>
      </c>
      <c r="E10922" s="30" t="inlineStr">
        <is>
          <t>JSL S/A</t>
        </is>
      </c>
      <c r="F10922" s="30" t="inlineStr">
        <is>
          <t>2019</t>
        </is>
      </c>
      <c r="G10922" s="40" t="n">
        <v>0</v>
      </c>
    </row>
    <row r="10923" ht="12" customHeight="1">
      <c r="A10923" s="30" t="inlineStr">
        <is>
          <t>POR</t>
        </is>
      </c>
      <c r="B10923" s="30" t="inlineStr">
        <is>
          <t>Porto Real</t>
        </is>
      </c>
      <c r="C10923" s="30" t="n">
        <v>79213160</v>
      </c>
      <c r="D10923" s="30">
        <f>"52548435015524"</f>
        <v/>
      </c>
      <c r="E10923" s="30" t="inlineStr">
        <is>
          <t>JSL S/A</t>
        </is>
      </c>
      <c r="F10923" s="30" t="inlineStr">
        <is>
          <t>2020</t>
        </is>
      </c>
      <c r="G10923" s="40" t="n">
        <v>133354.99</v>
      </c>
    </row>
    <row r="10924" ht="12" customHeight="1">
      <c r="A10924" s="30" t="inlineStr">
        <is>
          <t>POR</t>
        </is>
      </c>
      <c r="B10924" s="30" t="inlineStr">
        <is>
          <t>Porto Real</t>
        </is>
      </c>
      <c r="C10924" s="30" t="n">
        <v>79213160</v>
      </c>
      <c r="D10924" s="30">
        <f>"52548435015524"</f>
        <v/>
      </c>
      <c r="E10924" s="30" t="inlineStr">
        <is>
          <t>JSL S/A</t>
        </is>
      </c>
      <c r="F10924" s="30" t="inlineStr">
        <is>
          <t>2021</t>
        </is>
      </c>
      <c r="G10924" s="40" t="n">
        <v>281511.76</v>
      </c>
    </row>
    <row r="10925" ht="12" customHeight="1">
      <c r="A10925" s="30" t="inlineStr">
        <is>
          <t>POR</t>
        </is>
      </c>
      <c r="B10925" s="30" t="inlineStr">
        <is>
          <t>Porto Real</t>
        </is>
      </c>
      <c r="C10925" s="30" t="n">
        <v>79213160</v>
      </c>
      <c r="D10925" s="30">
        <f>"52548435015524"</f>
        <v/>
      </c>
      <c r="E10925" s="30" t="inlineStr">
        <is>
          <t>JSL S/A</t>
        </is>
      </c>
      <c r="F10925" s="30" t="inlineStr">
        <is>
          <t>2022</t>
        </is>
      </c>
      <c r="G10925" s="40" t="n">
        <v>306238.03</v>
      </c>
    </row>
    <row r="10926" ht="12" customHeight="1">
      <c r="A10926" s="30" t="inlineStr">
        <is>
          <t>POR</t>
        </is>
      </c>
      <c r="B10926" s="30" t="inlineStr">
        <is>
          <t>Porto Real</t>
        </is>
      </c>
      <c r="C10926" s="30" t="n">
        <v>79213160</v>
      </c>
      <c r="D10926" s="30">
        <f>"52548435015524"</f>
        <v/>
      </c>
      <c r="E10926" s="30" t="inlineStr">
        <is>
          <t>JSL S/A</t>
        </is>
      </c>
      <c r="F10926" s="30" t="inlineStr">
        <is>
          <t>2023</t>
        </is>
      </c>
      <c r="G10926" s="40" t="n">
        <v>1629411.37</v>
      </c>
    </row>
    <row r="10927" ht="12" customHeight="1">
      <c r="A10927" s="30" t="inlineStr">
        <is>
          <t>POR</t>
        </is>
      </c>
      <c r="B10927" s="30" t="inlineStr">
        <is>
          <t>Porto Real</t>
        </is>
      </c>
      <c r="C10927" s="30" t="n">
        <v>79214043</v>
      </c>
      <c r="D10927" s="30">
        <f>"11755795000245"</f>
        <v/>
      </c>
      <c r="E10927" s="30" t="inlineStr">
        <is>
          <t>WM TRANSPORTADORA DE COMBUSTIVEL E CARGAS LTDA</t>
        </is>
      </c>
      <c r="F10927" s="30" t="inlineStr">
        <is>
          <t>2017</t>
        </is>
      </c>
      <c r="G10927" s="40" t="n">
        <v>0</v>
      </c>
    </row>
    <row r="10928" ht="12" customHeight="1">
      <c r="A10928" s="30" t="inlineStr">
        <is>
          <t>POR</t>
        </is>
      </c>
      <c r="B10928" s="30" t="inlineStr">
        <is>
          <t>Porto Real</t>
        </is>
      </c>
      <c r="C10928" s="30" t="n">
        <v>79214043</v>
      </c>
      <c r="D10928" s="30">
        <f>"11755795000245"</f>
        <v/>
      </c>
      <c r="E10928" s="30" t="inlineStr">
        <is>
          <t>WM TRANSPORTADORA DE COMBUSTIVEL E CARGAS LTDA</t>
        </is>
      </c>
      <c r="F10928" s="30" t="inlineStr">
        <is>
          <t>2018</t>
        </is>
      </c>
      <c r="G10928" s="40" t="n">
        <v>1081.69</v>
      </c>
    </row>
    <row r="10929" ht="12" customHeight="1">
      <c r="A10929" s="30" t="inlineStr">
        <is>
          <t>POR</t>
        </is>
      </c>
      <c r="B10929" s="30" t="inlineStr">
        <is>
          <t>Porto Real</t>
        </is>
      </c>
      <c r="C10929" s="30" t="n">
        <v>79214043</v>
      </c>
      <c r="D10929" s="30">
        <f>"11755795000245"</f>
        <v/>
      </c>
      <c r="E10929" s="30" t="inlineStr">
        <is>
          <t>WM TRANSPORTADORA DE COMBUSTIVEL E CARGAS LTDA</t>
        </is>
      </c>
      <c r="F10929" s="30" t="inlineStr">
        <is>
          <t>2019</t>
        </is>
      </c>
      <c r="G10929" s="40" t="n">
        <v>0</v>
      </c>
    </row>
    <row r="10930" ht="12" customHeight="1">
      <c r="A10930" s="30" t="inlineStr">
        <is>
          <t>POR</t>
        </is>
      </c>
      <c r="B10930" s="30" t="inlineStr">
        <is>
          <t>Porto Real</t>
        </is>
      </c>
      <c r="C10930" s="30" t="n">
        <v>79214043</v>
      </c>
      <c r="D10930" s="30">
        <f>"11755795000245"</f>
        <v/>
      </c>
      <c r="E10930" s="30" t="inlineStr">
        <is>
          <t>WM TRANSPORTADORA DE COMBUSTIVEL E CARGAS LTDA</t>
        </is>
      </c>
      <c r="F10930" s="30" t="inlineStr">
        <is>
          <t>2020</t>
        </is>
      </c>
      <c r="G10930" s="40" t="n">
        <v>0</v>
      </c>
    </row>
    <row r="10931" ht="12" customHeight="1">
      <c r="A10931" s="30" t="inlineStr">
        <is>
          <t>POR</t>
        </is>
      </c>
      <c r="B10931" s="30" t="inlineStr">
        <is>
          <t>Porto Real</t>
        </is>
      </c>
      <c r="C10931" s="30" t="n">
        <v>79219541</v>
      </c>
      <c r="D10931" s="30">
        <f>"52548435009630"</f>
        <v/>
      </c>
      <c r="E10931" s="30" t="inlineStr">
        <is>
          <t>JSL S/A</t>
        </is>
      </c>
      <c r="F10931" s="30" t="inlineStr">
        <is>
          <t>2017</t>
        </is>
      </c>
      <c r="G10931" s="40" t="n">
        <v>29646.73</v>
      </c>
    </row>
    <row r="10932" ht="12" customHeight="1">
      <c r="A10932" s="30" t="inlineStr">
        <is>
          <t>POR</t>
        </is>
      </c>
      <c r="B10932" s="30" t="inlineStr">
        <is>
          <t>Porto Real</t>
        </is>
      </c>
      <c r="C10932" s="30" t="n">
        <v>79219541</v>
      </c>
      <c r="D10932" s="30">
        <f>"52548435009630"</f>
        <v/>
      </c>
      <c r="E10932" s="30" t="inlineStr">
        <is>
          <t>JSL S/A</t>
        </is>
      </c>
      <c r="F10932" s="30" t="inlineStr">
        <is>
          <t>2018</t>
        </is>
      </c>
      <c r="G10932" s="40" t="n">
        <v>99567.94</v>
      </c>
    </row>
    <row r="10933" ht="12" customHeight="1">
      <c r="A10933" s="30" t="inlineStr">
        <is>
          <t>POR</t>
        </is>
      </c>
      <c r="B10933" s="30" t="inlineStr">
        <is>
          <t>Porto Real</t>
        </is>
      </c>
      <c r="C10933" s="30" t="n">
        <v>79219541</v>
      </c>
      <c r="D10933" s="30">
        <f>"52548435009630"</f>
        <v/>
      </c>
      <c r="E10933" s="30" t="inlineStr">
        <is>
          <t>JSL S/A</t>
        </is>
      </c>
      <c r="F10933" s="30" t="inlineStr">
        <is>
          <t>2019</t>
        </is>
      </c>
      <c r="G10933" s="40" t="n">
        <v>0</v>
      </c>
    </row>
    <row r="10934" ht="12" customHeight="1">
      <c r="A10934" s="30" t="inlineStr">
        <is>
          <t>POR</t>
        </is>
      </c>
      <c r="B10934" s="30" t="inlineStr">
        <is>
          <t>Porto Real</t>
        </is>
      </c>
      <c r="C10934" s="30" t="n">
        <v>79219541</v>
      </c>
      <c r="D10934" s="30">
        <f>"52548435009630"</f>
        <v/>
      </c>
      <c r="E10934" s="30" t="inlineStr">
        <is>
          <t>JSL S/A</t>
        </is>
      </c>
      <c r="F10934" s="30" t="inlineStr">
        <is>
          <t>2020</t>
        </is>
      </c>
      <c r="G10934" s="40" t="n">
        <v>0</v>
      </c>
    </row>
    <row r="10935" ht="12" customHeight="1">
      <c r="A10935" s="30" t="inlineStr">
        <is>
          <t>POR</t>
        </is>
      </c>
      <c r="B10935" s="30" t="inlineStr">
        <is>
          <t>Porto Real</t>
        </is>
      </c>
      <c r="C10935" s="30" t="n">
        <v>79220035</v>
      </c>
      <c r="D10935" s="30">
        <f>"12744404000179"</f>
        <v/>
      </c>
      <c r="E10935" s="30" t="inlineStr">
        <is>
          <t>MUNDIAL DISTRIBUIDORA DE PRODUTOS DE CONSUMO LTDA</t>
        </is>
      </c>
      <c r="F10935" s="30" t="inlineStr">
        <is>
          <t>2017</t>
        </is>
      </c>
      <c r="G10935" s="40" t="n">
        <v>10106462.89</v>
      </c>
    </row>
    <row r="10936" ht="12" customHeight="1">
      <c r="A10936" s="30" t="inlineStr">
        <is>
          <t>POR</t>
        </is>
      </c>
      <c r="B10936" s="30" t="inlineStr">
        <is>
          <t>Porto Real</t>
        </is>
      </c>
      <c r="C10936" s="30" t="n">
        <v>79220035</v>
      </c>
      <c r="D10936" s="30">
        <f>"12744404000179"</f>
        <v/>
      </c>
      <c r="E10936" s="30" t="inlineStr">
        <is>
          <t>MUNDIAL DISTRIBUIDORA DE PRODUTOS DE CONSUMO LTDA</t>
        </is>
      </c>
      <c r="F10936" s="30" t="inlineStr">
        <is>
          <t>2018</t>
        </is>
      </c>
      <c r="G10936" s="40" t="n">
        <v>11372724.14</v>
      </c>
    </row>
    <row r="10937" ht="12" customHeight="1">
      <c r="A10937" s="30" t="inlineStr">
        <is>
          <t>POR</t>
        </is>
      </c>
      <c r="B10937" s="30" t="inlineStr">
        <is>
          <t>Porto Real</t>
        </is>
      </c>
      <c r="C10937" s="30" t="n">
        <v>79220035</v>
      </c>
      <c r="D10937" s="30">
        <f>"12744404000179"</f>
        <v/>
      </c>
      <c r="E10937" s="30" t="inlineStr">
        <is>
          <t>MUNDIAL DISTRIBUIDORA DE PRODUTOS DE CONSUMO LTDA</t>
        </is>
      </c>
      <c r="F10937" s="30" t="inlineStr">
        <is>
          <t>2019</t>
        </is>
      </c>
      <c r="G10937" s="40" t="n">
        <v>10517731.51</v>
      </c>
    </row>
    <row r="10938" ht="12" customHeight="1">
      <c r="A10938" s="30" t="inlineStr">
        <is>
          <t>POR</t>
        </is>
      </c>
      <c r="B10938" s="30" t="inlineStr">
        <is>
          <t>Porto Real</t>
        </is>
      </c>
      <c r="C10938" s="30" t="n">
        <v>79220035</v>
      </c>
      <c r="D10938" s="30">
        <f>"12744404000179"</f>
        <v/>
      </c>
      <c r="E10938" s="30" t="inlineStr">
        <is>
          <t>MUNDIAL DISTRIBUIDORA DE PRODUTOS DE CONSUMO LTDA</t>
        </is>
      </c>
      <c r="F10938" s="30" t="inlineStr">
        <is>
          <t>2020</t>
        </is>
      </c>
      <c r="G10938" s="40" t="n">
        <v>0</v>
      </c>
    </row>
    <row r="10939" ht="12" customHeight="1">
      <c r="A10939" s="30" t="inlineStr">
        <is>
          <t>POR</t>
        </is>
      </c>
      <c r="B10939" s="30" t="inlineStr">
        <is>
          <t>Porto Real</t>
        </is>
      </c>
      <c r="C10939" s="30" t="n">
        <v>79220035</v>
      </c>
      <c r="D10939" s="30">
        <f>"12744404000179"</f>
        <v/>
      </c>
      <c r="E10939" s="30" t="inlineStr">
        <is>
          <t>MUNDIAL DISTRIBUIDORA DE PRODUTOS DE CONSUMO LTDA</t>
        </is>
      </c>
      <c r="F10939" s="30" t="inlineStr">
        <is>
          <t>2021</t>
        </is>
      </c>
      <c r="G10939" s="40" t="n">
        <v>0</v>
      </c>
    </row>
    <row r="10940" ht="12" customHeight="1">
      <c r="A10940" s="30" t="inlineStr">
        <is>
          <t>POR</t>
        </is>
      </c>
      <c r="B10940" s="30" t="inlineStr">
        <is>
          <t>Porto Real</t>
        </is>
      </c>
      <c r="C10940" s="30" t="n">
        <v>79229482</v>
      </c>
      <c r="D10940" s="30">
        <f>"00972696000703"</f>
        <v/>
      </c>
      <c r="E10940" s="30" t="inlineStr">
        <is>
          <t>V M RAMOS &amp; CIA LTDA</t>
        </is>
      </c>
      <c r="F10940" s="30" t="inlineStr">
        <is>
          <t>2017</t>
        </is>
      </c>
      <c r="G10940" s="40" t="n">
        <v>52</v>
      </c>
    </row>
    <row r="10941" ht="12" customHeight="1">
      <c r="A10941" s="30" t="inlineStr">
        <is>
          <t>POR</t>
        </is>
      </c>
      <c r="B10941" s="30" t="inlineStr">
        <is>
          <t>Porto Real</t>
        </is>
      </c>
      <c r="C10941" s="30" t="n">
        <v>79229482</v>
      </c>
      <c r="D10941" s="30">
        <f>"00972696000703"</f>
        <v/>
      </c>
      <c r="E10941" s="30" t="inlineStr">
        <is>
          <t>V M RAMOS &amp; CIA LTDA</t>
        </is>
      </c>
      <c r="F10941" s="30" t="inlineStr">
        <is>
          <t>2018</t>
        </is>
      </c>
      <c r="G10941" s="40" t="n">
        <v>0</v>
      </c>
    </row>
    <row r="10942" ht="12" customHeight="1">
      <c r="A10942" s="30" t="inlineStr">
        <is>
          <t>POR</t>
        </is>
      </c>
      <c r="B10942" s="30" t="inlineStr">
        <is>
          <t>Porto Real</t>
        </is>
      </c>
      <c r="C10942" s="30" t="n">
        <v>79229482</v>
      </c>
      <c r="D10942" s="30">
        <f>"00972696000703"</f>
        <v/>
      </c>
      <c r="E10942" s="30" t="inlineStr">
        <is>
          <t>V M RAMOS &amp; CIA LTDA</t>
        </is>
      </c>
      <c r="F10942" s="30" t="inlineStr">
        <is>
          <t>2019</t>
        </is>
      </c>
      <c r="G10942" s="40" t="n">
        <v>0</v>
      </c>
    </row>
    <row r="10943" ht="12" customHeight="1">
      <c r="A10943" s="30" t="inlineStr">
        <is>
          <t>POR</t>
        </is>
      </c>
      <c r="B10943" s="30" t="inlineStr">
        <is>
          <t>Porto Real</t>
        </is>
      </c>
      <c r="C10943" s="30" t="n">
        <v>79229482</v>
      </c>
      <c r="D10943" s="30">
        <f>"00972696000703"</f>
        <v/>
      </c>
      <c r="E10943" s="30" t="inlineStr">
        <is>
          <t>V M RAMOS &amp; CIA LTDA</t>
        </is>
      </c>
      <c r="F10943" s="30" t="inlineStr">
        <is>
          <t>2020</t>
        </is>
      </c>
      <c r="G10943" s="40" t="n">
        <v>0</v>
      </c>
    </row>
    <row r="10944" ht="12" customHeight="1">
      <c r="A10944" s="30" t="inlineStr">
        <is>
          <t>POR</t>
        </is>
      </c>
      <c r="B10944" s="30" t="inlineStr">
        <is>
          <t>Porto Real</t>
        </is>
      </c>
      <c r="C10944" s="30" t="n">
        <v>79229482</v>
      </c>
      <c r="D10944" s="30">
        <f>"00972696000703"</f>
        <v/>
      </c>
      <c r="E10944" s="30" t="inlineStr">
        <is>
          <t>V M RAMOS &amp; CIA LTDA</t>
        </is>
      </c>
      <c r="F10944" s="30" t="inlineStr">
        <is>
          <t>2021</t>
        </is>
      </c>
      <c r="G10944" s="40" t="n">
        <v>0</v>
      </c>
    </row>
    <row r="10945" ht="12" customHeight="1">
      <c r="A10945" s="30" t="inlineStr">
        <is>
          <t>POR</t>
        </is>
      </c>
      <c r="B10945" s="30" t="inlineStr">
        <is>
          <t>Porto Real</t>
        </is>
      </c>
      <c r="C10945" s="30" t="n">
        <v>79229482</v>
      </c>
      <c r="D10945" s="30">
        <f>"00972696000703"</f>
        <v/>
      </c>
      <c r="E10945" s="30" t="inlineStr">
        <is>
          <t>V M RAMOS &amp; CIA LTDA</t>
        </is>
      </c>
      <c r="F10945" s="30" t="inlineStr">
        <is>
          <t>2022</t>
        </is>
      </c>
      <c r="G10945" s="40" t="n">
        <v>788310.47</v>
      </c>
    </row>
    <row r="10946" ht="12" customHeight="1">
      <c r="A10946" s="30" t="inlineStr">
        <is>
          <t>POR</t>
        </is>
      </c>
      <c r="B10946" s="30" t="inlineStr">
        <is>
          <t>Porto Real</t>
        </is>
      </c>
      <c r="C10946" s="30" t="n">
        <v>79229482</v>
      </c>
      <c r="D10946" s="30">
        <f>"00972696000703"</f>
        <v/>
      </c>
      <c r="E10946" s="30" t="inlineStr">
        <is>
          <t>V M RAMOS &amp; CIA LTDA</t>
        </is>
      </c>
      <c r="F10946" s="30" t="inlineStr">
        <is>
          <t>2023</t>
        </is>
      </c>
      <c r="G10946" s="40" t="n">
        <v>1230117.06</v>
      </c>
    </row>
    <row r="10947" ht="12" customHeight="1">
      <c r="A10947" s="30" t="inlineStr">
        <is>
          <t>POR</t>
        </is>
      </c>
      <c r="B10947" s="30" t="inlineStr">
        <is>
          <t>Porto Real</t>
        </is>
      </c>
      <c r="C10947" s="30" t="n">
        <v>79249386</v>
      </c>
      <c r="D10947" s="30">
        <f>"04070247000135"</f>
        <v/>
      </c>
      <c r="E10947" s="30" t="inlineStr">
        <is>
          <t>VIXGAS EIRELI</t>
        </is>
      </c>
      <c r="F10947" s="30" t="inlineStr">
        <is>
          <t>2017</t>
        </is>
      </c>
      <c r="G10947" s="40" t="n">
        <v>0</v>
      </c>
    </row>
    <row r="10948" ht="12" customHeight="1">
      <c r="A10948" s="30" t="inlineStr">
        <is>
          <t>POR</t>
        </is>
      </c>
      <c r="B10948" s="30" t="inlineStr">
        <is>
          <t>Porto Real</t>
        </is>
      </c>
      <c r="C10948" s="30" t="n">
        <v>79249386</v>
      </c>
      <c r="D10948" s="30">
        <f>"04070247000135"</f>
        <v/>
      </c>
      <c r="E10948" s="30" t="inlineStr">
        <is>
          <t>VIXGAS EIRELI</t>
        </is>
      </c>
      <c r="F10948" s="30" t="inlineStr">
        <is>
          <t>2018</t>
        </is>
      </c>
      <c r="G10948" s="40" t="n">
        <v>0</v>
      </c>
    </row>
    <row r="10949" ht="12" customHeight="1">
      <c r="A10949" s="30" t="inlineStr">
        <is>
          <t>POR</t>
        </is>
      </c>
      <c r="B10949" s="30" t="inlineStr">
        <is>
          <t>Porto Real</t>
        </is>
      </c>
      <c r="C10949" s="30" t="n">
        <v>79249386</v>
      </c>
      <c r="D10949" s="30">
        <f>"04070247000135"</f>
        <v/>
      </c>
      <c r="E10949" s="30" t="inlineStr">
        <is>
          <t>VIXGAS EIRELI</t>
        </is>
      </c>
      <c r="F10949" s="30" t="inlineStr">
        <is>
          <t>2019</t>
        </is>
      </c>
      <c r="G10949" s="40" t="n">
        <v>428146.4</v>
      </c>
    </row>
    <row r="10950" ht="12" customHeight="1">
      <c r="A10950" s="30" t="inlineStr">
        <is>
          <t>POR</t>
        </is>
      </c>
      <c r="B10950" s="30" t="inlineStr">
        <is>
          <t>Porto Real</t>
        </is>
      </c>
      <c r="C10950" s="30" t="n">
        <v>79249386</v>
      </c>
      <c r="D10950" s="30">
        <f>"04070247000135"</f>
        <v/>
      </c>
      <c r="E10950" s="30" t="inlineStr">
        <is>
          <t>VIXGAS EIRELI</t>
        </is>
      </c>
      <c r="F10950" s="30" t="inlineStr">
        <is>
          <t>2020</t>
        </is>
      </c>
      <c r="G10950" s="40" t="n">
        <v>381447</v>
      </c>
    </row>
    <row r="10951" ht="12" customHeight="1">
      <c r="A10951" s="30" t="inlineStr">
        <is>
          <t>POR</t>
        </is>
      </c>
      <c r="B10951" s="30" t="inlineStr">
        <is>
          <t>Porto Real</t>
        </is>
      </c>
      <c r="C10951" s="30" t="n">
        <v>79249386</v>
      </c>
      <c r="D10951" s="30">
        <f>"04070247000135"</f>
        <v/>
      </c>
      <c r="E10951" s="30" t="inlineStr">
        <is>
          <t>VIXGAS EIRELI</t>
        </is>
      </c>
      <c r="F10951" s="30" t="inlineStr">
        <is>
          <t>2021</t>
        </is>
      </c>
      <c r="G10951" s="40" t="n">
        <v>0</v>
      </c>
    </row>
    <row r="10952" ht="12" customHeight="1">
      <c r="A10952" s="30" t="inlineStr">
        <is>
          <t>POR</t>
        </is>
      </c>
      <c r="B10952" s="30" t="inlineStr">
        <is>
          <t>Porto Real</t>
        </is>
      </c>
      <c r="C10952" s="30" t="n">
        <v>79249386</v>
      </c>
      <c r="D10952" s="30">
        <f>"04070247000135"</f>
        <v/>
      </c>
      <c r="E10952" s="30" t="inlineStr">
        <is>
          <t>VIXGAS EIRELI</t>
        </is>
      </c>
      <c r="F10952" s="30" t="inlineStr">
        <is>
          <t>2022</t>
        </is>
      </c>
      <c r="G10952" s="40" t="n">
        <v>0</v>
      </c>
    </row>
    <row r="10953" ht="12" customHeight="1">
      <c r="A10953" s="30" t="inlineStr">
        <is>
          <t>POR</t>
        </is>
      </c>
      <c r="B10953" s="30" t="inlineStr">
        <is>
          <t>Porto Real</t>
        </is>
      </c>
      <c r="C10953" s="30" t="n">
        <v>79259730</v>
      </c>
      <c r="D10953" s="30">
        <f>"07677731000549"</f>
        <v/>
      </c>
      <c r="E10953" s="30" t="inlineStr">
        <is>
          <t>AUTOPORT TRANSPORTES E LOGISTICA LTDA</t>
        </is>
      </c>
      <c r="F10953" s="30" t="inlineStr">
        <is>
          <t>2017</t>
        </is>
      </c>
      <c r="G10953" s="40" t="n">
        <v>19768857.26</v>
      </c>
    </row>
    <row r="10954" ht="12" customHeight="1">
      <c r="A10954" s="30" t="inlineStr">
        <is>
          <t>POR</t>
        </is>
      </c>
      <c r="B10954" s="30" t="inlineStr">
        <is>
          <t>Porto Real</t>
        </is>
      </c>
      <c r="C10954" s="30" t="n">
        <v>79259730</v>
      </c>
      <c r="D10954" s="30">
        <f>"07677731000549"</f>
        <v/>
      </c>
      <c r="E10954" s="30" t="inlineStr">
        <is>
          <t>AUTOPORT TRANSPORTES E LOGISTICA LTDA</t>
        </is>
      </c>
      <c r="F10954" s="30" t="inlineStr">
        <is>
          <t>2018</t>
        </is>
      </c>
      <c r="G10954" s="40" t="n">
        <v>17766569.04</v>
      </c>
    </row>
    <row r="10955" ht="12" customHeight="1">
      <c r="A10955" s="30" t="inlineStr">
        <is>
          <t>POR</t>
        </is>
      </c>
      <c r="B10955" s="30" t="inlineStr">
        <is>
          <t>Porto Real</t>
        </is>
      </c>
      <c r="C10955" s="30" t="n">
        <v>79259730</v>
      </c>
      <c r="D10955" s="30">
        <f>"07677731000549"</f>
        <v/>
      </c>
      <c r="E10955" s="30" t="inlineStr">
        <is>
          <t>AUTOPORT TRANSPORTES E LOGISTICA LTDA</t>
        </is>
      </c>
      <c r="F10955" s="30" t="inlineStr">
        <is>
          <t>2019</t>
        </is>
      </c>
      <c r="G10955" s="40" t="n">
        <v>19268491.64</v>
      </c>
    </row>
    <row r="10956" ht="12" customHeight="1">
      <c r="A10956" s="30" t="inlineStr">
        <is>
          <t>POR</t>
        </is>
      </c>
      <c r="B10956" s="30" t="inlineStr">
        <is>
          <t>Porto Real</t>
        </is>
      </c>
      <c r="C10956" s="30" t="n">
        <v>79259730</v>
      </c>
      <c r="D10956" s="30">
        <f>"07677731000549"</f>
        <v/>
      </c>
      <c r="E10956" s="30" t="inlineStr">
        <is>
          <t>AUTOPORT TRANSPORTES E LOGISTICA LTDA</t>
        </is>
      </c>
      <c r="F10956" s="30" t="inlineStr">
        <is>
          <t>2020</t>
        </is>
      </c>
      <c r="G10956" s="40" t="n">
        <v>12219319.41</v>
      </c>
    </row>
    <row r="10957" ht="12" customHeight="1">
      <c r="A10957" s="30" t="inlineStr">
        <is>
          <t>POR</t>
        </is>
      </c>
      <c r="B10957" s="30" t="inlineStr">
        <is>
          <t>Porto Real</t>
        </is>
      </c>
      <c r="C10957" s="30" t="n">
        <v>79259730</v>
      </c>
      <c r="D10957" s="30">
        <f>"07677731000549"</f>
        <v/>
      </c>
      <c r="E10957" s="30" t="inlineStr">
        <is>
          <t>AUTOPORT TRANSPORTES E LOGISTICA LTDA</t>
        </is>
      </c>
      <c r="F10957" s="30" t="inlineStr">
        <is>
          <t>2021</t>
        </is>
      </c>
      <c r="G10957" s="40" t="n">
        <v>30590011.77</v>
      </c>
    </row>
    <row r="10958" ht="12" customHeight="1">
      <c r="A10958" s="30" t="inlineStr">
        <is>
          <t>POR</t>
        </is>
      </c>
      <c r="B10958" s="30" t="inlineStr">
        <is>
          <t>Porto Real</t>
        </is>
      </c>
      <c r="C10958" s="30" t="n">
        <v>79259730</v>
      </c>
      <c r="D10958" s="30">
        <f>"07677731000549"</f>
        <v/>
      </c>
      <c r="E10958" s="30" t="inlineStr">
        <is>
          <t>AUTOPORT TRANSPORTES E LOGISTICA LTDA</t>
        </is>
      </c>
      <c r="F10958" s="30" t="inlineStr">
        <is>
          <t>2022</t>
        </is>
      </c>
      <c r="G10958" s="40" t="n">
        <v>66861640.17</v>
      </c>
    </row>
    <row r="10959" ht="12" customHeight="1">
      <c r="A10959" s="30" t="inlineStr">
        <is>
          <t>POR</t>
        </is>
      </c>
      <c r="B10959" s="30" t="inlineStr">
        <is>
          <t>Porto Real</t>
        </is>
      </c>
      <c r="C10959" s="30" t="n">
        <v>79259730</v>
      </c>
      <c r="D10959" s="30">
        <f>"07677731000549"</f>
        <v/>
      </c>
      <c r="E10959" s="30" t="inlineStr">
        <is>
          <t>AUTOPORT TRANSPORTES E LOGISTICA LTDA</t>
        </is>
      </c>
      <c r="F10959" s="30" t="inlineStr">
        <is>
          <t>2023</t>
        </is>
      </c>
      <c r="G10959" s="40" t="n">
        <v>43800954.77</v>
      </c>
    </row>
    <row r="10960" ht="12" customHeight="1">
      <c r="A10960" s="30" t="inlineStr">
        <is>
          <t>POR</t>
        </is>
      </c>
      <c r="B10960" s="30" t="inlineStr">
        <is>
          <t>Porto Real</t>
        </is>
      </c>
      <c r="C10960" s="30" t="n">
        <v>79274321</v>
      </c>
      <c r="D10960" s="30">
        <f>"13019479000150"</f>
        <v/>
      </c>
      <c r="E10960" s="30" t="inlineStr">
        <is>
          <t>LINOS EXPRESS TRANSPORTES LTDA ME</t>
        </is>
      </c>
      <c r="F10960" s="30" t="inlineStr">
        <is>
          <t>2020</t>
        </is>
      </c>
      <c r="G10960" s="40" t="n">
        <v>0</v>
      </c>
    </row>
    <row r="10961" ht="12" customHeight="1">
      <c r="A10961" s="30" t="inlineStr">
        <is>
          <t>POR</t>
        </is>
      </c>
      <c r="B10961" s="30" t="inlineStr">
        <is>
          <t>Porto Real</t>
        </is>
      </c>
      <c r="C10961" s="30" t="n">
        <v>79274321</v>
      </c>
      <c r="D10961" s="30">
        <f>"13019479000150"</f>
        <v/>
      </c>
      <c r="E10961" s="30" t="inlineStr">
        <is>
          <t>LINOS EXPRESS TRANSPORTES LTDA ME</t>
        </is>
      </c>
      <c r="F10961" s="30" t="inlineStr">
        <is>
          <t>2021</t>
        </is>
      </c>
      <c r="G10961" s="40" t="n">
        <v>0</v>
      </c>
    </row>
    <row r="10962" ht="12" customHeight="1">
      <c r="A10962" s="30" t="inlineStr">
        <is>
          <t>POR</t>
        </is>
      </c>
      <c r="B10962" s="30" t="inlineStr">
        <is>
          <t>Porto Real</t>
        </is>
      </c>
      <c r="C10962" s="30" t="n">
        <v>79274321</v>
      </c>
      <c r="D10962" s="30">
        <f>"13019479000150"</f>
        <v/>
      </c>
      <c r="E10962" s="30" t="inlineStr">
        <is>
          <t>LINOS EXPRESS TRANSPORTES LTDA ME</t>
        </is>
      </c>
      <c r="F10962" s="30" t="inlineStr">
        <is>
          <t>2022</t>
        </is>
      </c>
      <c r="G10962" s="40" t="n">
        <v>39.5</v>
      </c>
    </row>
    <row r="10963" ht="12" customHeight="1">
      <c r="A10963" s="30" t="inlineStr">
        <is>
          <t>POR</t>
        </is>
      </c>
      <c r="B10963" s="30" t="inlineStr">
        <is>
          <t>Porto Real</t>
        </is>
      </c>
      <c r="C10963" s="30" t="n">
        <v>79274321</v>
      </c>
      <c r="D10963" s="30">
        <f>"13019479000150"</f>
        <v/>
      </c>
      <c r="E10963" s="30" t="inlineStr">
        <is>
          <t>LINOS EXPRESS TRANSPORTES LTDA ME</t>
        </is>
      </c>
      <c r="F10963" s="30" t="inlineStr">
        <is>
          <t>2023</t>
        </is>
      </c>
      <c r="G10963" s="40" t="n">
        <v>0.01</v>
      </c>
    </row>
    <row r="10964" ht="12" customHeight="1">
      <c r="A10964" s="30" t="inlineStr">
        <is>
          <t>POR</t>
        </is>
      </c>
      <c r="B10964" s="30" t="inlineStr">
        <is>
          <t>Porto Real</t>
        </is>
      </c>
      <c r="C10964" s="30" t="n">
        <v>79280178</v>
      </c>
      <c r="D10964" s="30">
        <f>"13114148000107"</f>
        <v/>
      </c>
      <c r="E10964" s="30" t="inlineStr">
        <is>
          <t>TRANSPAX ARMAZENS GERAIS LTDA</t>
        </is>
      </c>
      <c r="F10964" s="30" t="inlineStr">
        <is>
          <t>2017</t>
        </is>
      </c>
      <c r="G10964" s="40" t="n">
        <v>870926.83</v>
      </c>
    </row>
    <row r="10965" ht="12" customHeight="1">
      <c r="A10965" s="30" t="inlineStr">
        <is>
          <t>POR</t>
        </is>
      </c>
      <c r="B10965" s="30" t="inlineStr">
        <is>
          <t>Porto Real</t>
        </is>
      </c>
      <c r="C10965" s="30" t="n">
        <v>79280178</v>
      </c>
      <c r="D10965" s="30">
        <f>"13114148000107"</f>
        <v/>
      </c>
      <c r="E10965" s="30" t="inlineStr">
        <is>
          <t>TRANSPAX ARMAZENS GERAIS LTDA</t>
        </is>
      </c>
      <c r="F10965" s="30" t="inlineStr">
        <is>
          <t>2018</t>
        </is>
      </c>
      <c r="G10965" s="40" t="n">
        <v>796826.53</v>
      </c>
    </row>
    <row r="10966" ht="12" customHeight="1">
      <c r="A10966" s="30" t="inlineStr">
        <is>
          <t>POR</t>
        </is>
      </c>
      <c r="B10966" s="30" t="inlineStr">
        <is>
          <t>Porto Real</t>
        </is>
      </c>
      <c r="C10966" s="30" t="n">
        <v>79280178</v>
      </c>
      <c r="D10966" s="30">
        <f>"13114148000107"</f>
        <v/>
      </c>
      <c r="E10966" s="30" t="inlineStr">
        <is>
          <t>TRANSPAX ARMAZENS GERAIS LTDA</t>
        </is>
      </c>
      <c r="F10966" s="30" t="inlineStr">
        <is>
          <t>2019</t>
        </is>
      </c>
      <c r="G10966" s="40" t="n">
        <v>349824.03</v>
      </c>
    </row>
    <row r="10967" ht="12" customHeight="1">
      <c r="A10967" s="30" t="inlineStr">
        <is>
          <t>POR</t>
        </is>
      </c>
      <c r="B10967" s="30" t="inlineStr">
        <is>
          <t>Porto Real</t>
        </is>
      </c>
      <c r="C10967" s="30" t="n">
        <v>79280178</v>
      </c>
      <c r="D10967" s="30">
        <f>"13114148000107"</f>
        <v/>
      </c>
      <c r="E10967" s="30" t="inlineStr">
        <is>
          <t>TRANSPAX ARMAZENS GERAIS LTDA</t>
        </is>
      </c>
      <c r="F10967" s="30" t="inlineStr">
        <is>
          <t>2020</t>
        </is>
      </c>
      <c r="G10967" s="40" t="n">
        <v>242025.63</v>
      </c>
    </row>
    <row r="10968" ht="12" customHeight="1">
      <c r="A10968" s="30" t="inlineStr">
        <is>
          <t>POR</t>
        </is>
      </c>
      <c r="B10968" s="30" t="inlineStr">
        <is>
          <t>Porto Real</t>
        </is>
      </c>
      <c r="C10968" s="30" t="n">
        <v>79280178</v>
      </c>
      <c r="D10968" s="30">
        <f>"13114148000107"</f>
        <v/>
      </c>
      <c r="E10968" s="30" t="inlineStr">
        <is>
          <t>TRANSPAX ARMAZENS GERAIS LTDA</t>
        </is>
      </c>
      <c r="F10968" s="30" t="inlineStr">
        <is>
          <t>2021</t>
        </is>
      </c>
      <c r="G10968" s="40" t="n">
        <v>663704.6</v>
      </c>
    </row>
    <row r="10969" ht="12" customHeight="1">
      <c r="A10969" s="30" t="inlineStr">
        <is>
          <t>POR</t>
        </is>
      </c>
      <c r="B10969" s="30" t="inlineStr">
        <is>
          <t>Porto Real</t>
        </is>
      </c>
      <c r="C10969" s="30" t="n">
        <v>79280178</v>
      </c>
      <c r="D10969" s="30">
        <f>"13114148000107"</f>
        <v/>
      </c>
      <c r="E10969" s="30" t="inlineStr">
        <is>
          <t>TRANSPAX ARMAZENS GERAIS LTDA</t>
        </is>
      </c>
      <c r="F10969" s="30" t="inlineStr">
        <is>
          <t>2022</t>
        </is>
      </c>
      <c r="G10969" s="40" t="n">
        <v>2132444.75</v>
      </c>
    </row>
    <row r="10970" ht="12" customHeight="1">
      <c r="A10970" s="30" t="inlineStr">
        <is>
          <t>POR</t>
        </is>
      </c>
      <c r="B10970" s="30" t="inlineStr">
        <is>
          <t>Porto Real</t>
        </is>
      </c>
      <c r="C10970" s="30" t="n">
        <v>79280178</v>
      </c>
      <c r="D10970" s="30">
        <f>"13114148000107"</f>
        <v/>
      </c>
      <c r="E10970" s="30" t="inlineStr">
        <is>
          <t>TRANSPAX ARMAZENS GERAIS LTDA</t>
        </is>
      </c>
      <c r="F10970" s="30" t="inlineStr">
        <is>
          <t>2023</t>
        </is>
      </c>
      <c r="G10970" s="40" t="n">
        <v>241888.48</v>
      </c>
    </row>
    <row r="10971" ht="12" customHeight="1">
      <c r="A10971" s="30" t="inlineStr">
        <is>
          <t>POR</t>
        </is>
      </c>
      <c r="B10971" s="30" t="inlineStr">
        <is>
          <t>Porto Real</t>
        </is>
      </c>
      <c r="C10971" s="30" t="n">
        <v>79285668</v>
      </c>
      <c r="D10971" s="30">
        <f>"13108419000103"</f>
        <v/>
      </c>
      <c r="E10971" s="30" t="inlineStr">
        <is>
          <t>ANDRISSULL TRANSPORTES LTDA</t>
        </is>
      </c>
      <c r="F10971" s="30" t="inlineStr">
        <is>
          <t>2020</t>
        </is>
      </c>
      <c r="G10971" s="40" t="n">
        <v>0</v>
      </c>
    </row>
    <row r="10972" ht="12" customHeight="1">
      <c r="A10972" s="30" t="inlineStr">
        <is>
          <t>POR</t>
        </is>
      </c>
      <c r="B10972" s="30" t="inlineStr">
        <is>
          <t>Porto Real</t>
        </is>
      </c>
      <c r="C10972" s="30" t="n">
        <v>79285668</v>
      </c>
      <c r="D10972" s="30">
        <f>"13108419000103"</f>
        <v/>
      </c>
      <c r="E10972" s="30" t="inlineStr">
        <is>
          <t>ANDRISSULL TRANSPORTES LTDA</t>
        </is>
      </c>
      <c r="F10972" s="30" t="inlineStr">
        <is>
          <t>2021</t>
        </is>
      </c>
      <c r="G10972" s="40" t="n">
        <v>0</v>
      </c>
    </row>
    <row r="10973" ht="12" customHeight="1">
      <c r="A10973" s="30" t="inlineStr">
        <is>
          <t>POR</t>
        </is>
      </c>
      <c r="B10973" s="30" t="inlineStr">
        <is>
          <t>Porto Real</t>
        </is>
      </c>
      <c r="C10973" s="30" t="n">
        <v>79285668</v>
      </c>
      <c r="D10973" s="30">
        <f>"13108419000103"</f>
        <v/>
      </c>
      <c r="E10973" s="30" t="inlineStr">
        <is>
          <t>ANDRISSULL TRANSPORTES LTDA</t>
        </is>
      </c>
      <c r="F10973" s="30" t="inlineStr">
        <is>
          <t>2022</t>
        </is>
      </c>
      <c r="G10973" s="40" t="n">
        <v>0</v>
      </c>
    </row>
    <row r="10974" ht="12" customHeight="1">
      <c r="A10974" s="30" t="inlineStr">
        <is>
          <t>POR</t>
        </is>
      </c>
      <c r="B10974" s="30" t="inlineStr">
        <is>
          <t>Porto Real</t>
        </is>
      </c>
      <c r="C10974" s="30" t="n">
        <v>79285668</v>
      </c>
      <c r="D10974" s="30">
        <f>"13108419000103"</f>
        <v/>
      </c>
      <c r="E10974" s="30" t="inlineStr">
        <is>
          <t>ANDRISSULL TRANSPORTES LTDA</t>
        </is>
      </c>
      <c r="F10974" s="30" t="inlineStr">
        <is>
          <t>2023</t>
        </is>
      </c>
      <c r="G10974" s="40" t="n">
        <v>0</v>
      </c>
    </row>
    <row r="10975" ht="12" customHeight="1">
      <c r="A10975" s="30" t="inlineStr">
        <is>
          <t>POR</t>
        </is>
      </c>
      <c r="B10975" s="30" t="inlineStr">
        <is>
          <t>Porto Real</t>
        </is>
      </c>
      <c r="C10975" s="30" t="n">
        <v>79287415</v>
      </c>
      <c r="D10975" s="30">
        <f>"10982448000292"</f>
        <v/>
      </c>
      <c r="E10975" s="30" t="inlineStr">
        <is>
          <t>RODOLEVE TRANSPORTES LTDA ME</t>
        </is>
      </c>
      <c r="F10975" s="30" t="inlineStr">
        <is>
          <t>2017</t>
        </is>
      </c>
      <c r="G10975" s="40" t="n">
        <v>0</v>
      </c>
    </row>
    <row r="10976" ht="12" customHeight="1">
      <c r="A10976" s="30" t="inlineStr">
        <is>
          <t>POR</t>
        </is>
      </c>
      <c r="B10976" s="30" t="inlineStr">
        <is>
          <t>Porto Real</t>
        </is>
      </c>
      <c r="C10976" s="30" t="n">
        <v>79287415</v>
      </c>
      <c r="D10976" s="30">
        <f>"10982448000292"</f>
        <v/>
      </c>
      <c r="E10976" s="30" t="inlineStr">
        <is>
          <t>RODOLEVE TRANSPORTES LTDA ME</t>
        </is>
      </c>
      <c r="F10976" s="30" t="inlineStr">
        <is>
          <t>2018</t>
        </is>
      </c>
      <c r="G10976" s="40" t="n">
        <v>0.01</v>
      </c>
    </row>
    <row r="10977" ht="12" customHeight="1">
      <c r="A10977" s="30" t="inlineStr">
        <is>
          <t>POR</t>
        </is>
      </c>
      <c r="B10977" s="30" t="inlineStr">
        <is>
          <t>Porto Real</t>
        </is>
      </c>
      <c r="C10977" s="30" t="n">
        <v>79287415</v>
      </c>
      <c r="D10977" s="30">
        <f>"10982448000292"</f>
        <v/>
      </c>
      <c r="E10977" s="30" t="inlineStr">
        <is>
          <t>RODOLEVE TRANSPORTES LTDA ME</t>
        </is>
      </c>
      <c r="F10977" s="30" t="inlineStr">
        <is>
          <t>2019</t>
        </is>
      </c>
      <c r="G10977" s="40" t="n">
        <v>1</v>
      </c>
    </row>
    <row r="10978" ht="12" customHeight="1">
      <c r="A10978" s="30" t="inlineStr">
        <is>
          <t>POR</t>
        </is>
      </c>
      <c r="B10978" s="30" t="inlineStr">
        <is>
          <t>Porto Real</t>
        </is>
      </c>
      <c r="C10978" s="30" t="n">
        <v>79287415</v>
      </c>
      <c r="D10978" s="30">
        <f>"10982448000292"</f>
        <v/>
      </c>
      <c r="E10978" s="30" t="inlineStr">
        <is>
          <t>RODOLEVE TRANSPORTES LTDA ME</t>
        </is>
      </c>
      <c r="F10978" s="30" t="inlineStr">
        <is>
          <t>2020</t>
        </is>
      </c>
      <c r="G10978" s="40" t="n">
        <v>0</v>
      </c>
    </row>
    <row r="10979" ht="12" customHeight="1">
      <c r="A10979" s="30" t="inlineStr">
        <is>
          <t>POR</t>
        </is>
      </c>
      <c r="B10979" s="30" t="inlineStr">
        <is>
          <t>Porto Real</t>
        </is>
      </c>
      <c r="C10979" s="30" t="n">
        <v>79287415</v>
      </c>
      <c r="D10979" s="30">
        <f>"10982448000292"</f>
        <v/>
      </c>
      <c r="E10979" s="30" t="inlineStr">
        <is>
          <t>RODOLEVE TRANSPORTES LTDA ME</t>
        </is>
      </c>
      <c r="F10979" s="30" t="inlineStr">
        <is>
          <t>2021</t>
        </is>
      </c>
      <c r="G10979" s="40" t="n">
        <v>0</v>
      </c>
    </row>
    <row r="10980" ht="12" customHeight="1">
      <c r="A10980" s="30" t="inlineStr">
        <is>
          <t>POR</t>
        </is>
      </c>
      <c r="B10980" s="30" t="inlineStr">
        <is>
          <t>Porto Real</t>
        </is>
      </c>
      <c r="C10980" s="30" t="n">
        <v>79287415</v>
      </c>
      <c r="D10980" s="30">
        <f>"10982448000292"</f>
        <v/>
      </c>
      <c r="E10980" s="30" t="inlineStr">
        <is>
          <t>RODOLEVE TRANSPORTES LTDA ME</t>
        </is>
      </c>
      <c r="F10980" s="30" t="inlineStr">
        <is>
          <t>2022</t>
        </is>
      </c>
      <c r="G10980" s="40" t="n">
        <v>0</v>
      </c>
    </row>
    <row r="10981" ht="12" customHeight="1">
      <c r="A10981" s="30" t="inlineStr">
        <is>
          <t>POR</t>
        </is>
      </c>
      <c r="B10981" s="30" t="inlineStr">
        <is>
          <t>Porto Real</t>
        </is>
      </c>
      <c r="C10981" s="30" t="n">
        <v>79287415</v>
      </c>
      <c r="D10981" s="30">
        <f>"10982448000292"</f>
        <v/>
      </c>
      <c r="E10981" s="30" t="inlineStr">
        <is>
          <t>RODOLEVE TRANSPORTES LTDA ME</t>
        </is>
      </c>
      <c r="F10981" s="30" t="inlineStr">
        <is>
          <t>2023</t>
        </is>
      </c>
      <c r="G10981" s="40" t="n">
        <v>0</v>
      </c>
    </row>
    <row r="10982" ht="12" customHeight="1">
      <c r="A10982" s="30" t="inlineStr">
        <is>
          <t>POR</t>
        </is>
      </c>
      <c r="B10982" s="30" t="inlineStr">
        <is>
          <t>Porto Real</t>
        </is>
      </c>
      <c r="C10982" s="30" t="n">
        <v>79294144</v>
      </c>
      <c r="D10982" s="30">
        <f>"13205759000152"</f>
        <v/>
      </c>
      <c r="E10982" s="30" t="inlineStr">
        <is>
          <t>JLF BM TRANSPORTES LTDA ME</t>
        </is>
      </c>
      <c r="F10982" s="30" t="inlineStr">
        <is>
          <t>2017</t>
        </is>
      </c>
      <c r="G10982" s="40" t="n">
        <v>1096145.92</v>
      </c>
    </row>
    <row r="10983" ht="12" customHeight="1">
      <c r="A10983" s="30" t="inlineStr">
        <is>
          <t>POR</t>
        </is>
      </c>
      <c r="B10983" s="30" t="inlineStr">
        <is>
          <t>Porto Real</t>
        </is>
      </c>
      <c r="C10983" s="30" t="n">
        <v>79294144</v>
      </c>
      <c r="D10983" s="30">
        <f>"13205759000152"</f>
        <v/>
      </c>
      <c r="E10983" s="30" t="inlineStr">
        <is>
          <t>JLF BM TRANSPORTES LTDA ME</t>
        </is>
      </c>
      <c r="F10983" s="30" t="inlineStr">
        <is>
          <t>2018</t>
        </is>
      </c>
      <c r="G10983" s="40" t="n">
        <v>1059042.14</v>
      </c>
    </row>
    <row r="10984" ht="12" customHeight="1">
      <c r="A10984" s="30" t="inlineStr">
        <is>
          <t>POR</t>
        </is>
      </c>
      <c r="B10984" s="30" t="inlineStr">
        <is>
          <t>Porto Real</t>
        </is>
      </c>
      <c r="C10984" s="30" t="n">
        <v>79294144</v>
      </c>
      <c r="D10984" s="30">
        <f>"13205759000152"</f>
        <v/>
      </c>
      <c r="E10984" s="30" t="inlineStr">
        <is>
          <t>JLF BM TRANSPORTES LTDA ME</t>
        </is>
      </c>
      <c r="F10984" s="30" t="inlineStr">
        <is>
          <t>2019</t>
        </is>
      </c>
      <c r="G10984" s="40" t="n">
        <v>0</v>
      </c>
    </row>
    <row r="10985" ht="12" customHeight="1">
      <c r="A10985" s="30" t="inlineStr">
        <is>
          <t>POR</t>
        </is>
      </c>
      <c r="B10985" s="30" t="inlineStr">
        <is>
          <t>Porto Real</t>
        </is>
      </c>
      <c r="C10985" s="30" t="n">
        <v>79294144</v>
      </c>
      <c r="D10985" s="30">
        <f>"13205759000152"</f>
        <v/>
      </c>
      <c r="E10985" s="30" t="inlineStr">
        <is>
          <t>JLF BM TRANSPORTES LTDA ME</t>
        </is>
      </c>
      <c r="F10985" s="30" t="inlineStr">
        <is>
          <t>2020</t>
        </is>
      </c>
      <c r="G10985" s="40" t="n">
        <v>0</v>
      </c>
    </row>
    <row r="10986" ht="12" customHeight="1">
      <c r="A10986" s="30" t="inlineStr">
        <is>
          <t>POR</t>
        </is>
      </c>
      <c r="B10986" s="30" t="inlineStr">
        <is>
          <t>Porto Real</t>
        </is>
      </c>
      <c r="C10986" s="30" t="n">
        <v>79312851</v>
      </c>
      <c r="D10986" s="30">
        <f>"13285658000139"</f>
        <v/>
      </c>
      <c r="E10986" s="30" t="inlineStr">
        <is>
          <t>MILLER INDUSTRIA MECANICA LTDA ME</t>
        </is>
      </c>
      <c r="F10986" s="30" t="inlineStr">
        <is>
          <t>2017</t>
        </is>
      </c>
      <c r="G10986" s="40" t="n">
        <v>798278.02</v>
      </c>
    </row>
    <row r="10987" ht="12" customHeight="1">
      <c r="A10987" s="30" t="inlineStr">
        <is>
          <t>POR</t>
        </is>
      </c>
      <c r="B10987" s="30" t="inlineStr">
        <is>
          <t>Porto Real</t>
        </is>
      </c>
      <c r="C10987" s="30" t="n">
        <v>79312851</v>
      </c>
      <c r="D10987" s="30">
        <f>"13285658000139"</f>
        <v/>
      </c>
      <c r="E10987" s="30" t="inlineStr">
        <is>
          <t>MILLER INDUSTRIA MECANICA LTDA ME</t>
        </is>
      </c>
      <c r="F10987" s="30" t="inlineStr">
        <is>
          <t>2018</t>
        </is>
      </c>
      <c r="G10987" s="40" t="n">
        <v>1134912.27</v>
      </c>
    </row>
    <row r="10988" ht="12" customHeight="1">
      <c r="A10988" s="30" t="inlineStr">
        <is>
          <t>POR</t>
        </is>
      </c>
      <c r="B10988" s="30" t="inlineStr">
        <is>
          <t>Porto Real</t>
        </is>
      </c>
      <c r="C10988" s="30" t="n">
        <v>79312851</v>
      </c>
      <c r="D10988" s="30">
        <f>"13285658000139"</f>
        <v/>
      </c>
      <c r="E10988" s="30" t="inlineStr">
        <is>
          <t>MILLER INDUSTRIA MECANICA LTDA ME</t>
        </is>
      </c>
      <c r="F10988" s="30" t="inlineStr">
        <is>
          <t>2019</t>
        </is>
      </c>
      <c r="G10988" s="40" t="n">
        <v>16430.72</v>
      </c>
    </row>
    <row r="10989" ht="12" customHeight="1">
      <c r="A10989" s="30" t="inlineStr">
        <is>
          <t>POR</t>
        </is>
      </c>
      <c r="B10989" s="30" t="inlineStr">
        <is>
          <t>Porto Real</t>
        </is>
      </c>
      <c r="C10989" s="30" t="n">
        <v>79312851</v>
      </c>
      <c r="D10989" s="30">
        <f>"13285658000139"</f>
        <v/>
      </c>
      <c r="E10989" s="30" t="inlineStr">
        <is>
          <t>MILLER INDUSTRIA MECANICA LTDA ME</t>
        </is>
      </c>
      <c r="F10989" s="30" t="inlineStr">
        <is>
          <t>2020</t>
        </is>
      </c>
      <c r="G10989" s="40" t="n">
        <v>857722.5699999999</v>
      </c>
    </row>
    <row r="10990" ht="12" customHeight="1">
      <c r="A10990" s="30" t="inlineStr">
        <is>
          <t>POR</t>
        </is>
      </c>
      <c r="B10990" s="30" t="inlineStr">
        <is>
          <t>Porto Real</t>
        </is>
      </c>
      <c r="C10990" s="30" t="n">
        <v>79312851</v>
      </c>
      <c r="D10990" s="30">
        <f>"13285658000139"</f>
        <v/>
      </c>
      <c r="E10990" s="30" t="inlineStr">
        <is>
          <t>MILLER INDUSTRIA MECANICA LTDA ME</t>
        </is>
      </c>
      <c r="F10990" s="30" t="inlineStr">
        <is>
          <t>2021</t>
        </is>
      </c>
      <c r="G10990" s="40" t="n">
        <v>3452835.16</v>
      </c>
    </row>
    <row r="10991" ht="12" customHeight="1">
      <c r="A10991" s="30" t="inlineStr">
        <is>
          <t>POR</t>
        </is>
      </c>
      <c r="B10991" s="30" t="inlineStr">
        <is>
          <t>Porto Real</t>
        </is>
      </c>
      <c r="C10991" s="30" t="n">
        <v>79312851</v>
      </c>
      <c r="D10991" s="30">
        <f>"13285658000139"</f>
        <v/>
      </c>
      <c r="E10991" s="30" t="inlineStr">
        <is>
          <t>MILLER INDUSTRIA MECANICA LTDA ME</t>
        </is>
      </c>
      <c r="F10991" s="30" t="inlineStr">
        <is>
          <t>2022</t>
        </is>
      </c>
      <c r="G10991" s="40" t="n">
        <v>4051494.95</v>
      </c>
    </row>
    <row r="10992" ht="12" customHeight="1">
      <c r="A10992" s="30" t="inlineStr">
        <is>
          <t>POR</t>
        </is>
      </c>
      <c r="B10992" s="30" t="inlineStr">
        <is>
          <t>Porto Real</t>
        </is>
      </c>
      <c r="C10992" s="30" t="n">
        <v>79312851</v>
      </c>
      <c r="D10992" s="30">
        <f>"13285658000139"</f>
        <v/>
      </c>
      <c r="E10992" s="30" t="inlineStr">
        <is>
          <t>MILLER INDUSTRIA MECANICA LTDA ME</t>
        </is>
      </c>
      <c r="F10992" s="30" t="inlineStr">
        <is>
          <t>2023</t>
        </is>
      </c>
      <c r="G10992" s="40" t="n">
        <v>5661591.81</v>
      </c>
    </row>
    <row r="10993" ht="12" customHeight="1">
      <c r="A10993" s="30" t="inlineStr">
        <is>
          <t>POR</t>
        </is>
      </c>
      <c r="B10993" s="30" t="inlineStr">
        <is>
          <t>Porto Real</t>
        </is>
      </c>
      <c r="C10993" s="30" t="n">
        <v>79317250</v>
      </c>
      <c r="D10993" s="30">
        <f>"13113988000147"</f>
        <v/>
      </c>
      <c r="E10993" s="30" t="inlineStr">
        <is>
          <t>AMS EMPREENDIMENTOS E INCORPORACOES EIRELI EPP</t>
        </is>
      </c>
      <c r="F10993" s="30" t="inlineStr">
        <is>
          <t>2017</t>
        </is>
      </c>
      <c r="G10993" s="40" t="n">
        <v>0</v>
      </c>
    </row>
    <row r="10994" ht="12" customHeight="1">
      <c r="A10994" s="30" t="inlineStr">
        <is>
          <t>POR</t>
        </is>
      </c>
      <c r="B10994" s="30" t="inlineStr">
        <is>
          <t>Porto Real</t>
        </is>
      </c>
      <c r="C10994" s="30" t="n">
        <v>79317250</v>
      </c>
      <c r="D10994" s="30">
        <f>"13113988000147"</f>
        <v/>
      </c>
      <c r="E10994" s="30" t="inlineStr">
        <is>
          <t>AMS EMPREENDIMENTOS E INCORPORACOES EIRELI EPP</t>
        </is>
      </c>
      <c r="F10994" s="30" t="inlineStr">
        <is>
          <t>2018</t>
        </is>
      </c>
      <c r="G10994" s="40" t="n">
        <v>0</v>
      </c>
    </row>
    <row r="10995" ht="12" customHeight="1">
      <c r="A10995" s="30" t="inlineStr">
        <is>
          <t>POR</t>
        </is>
      </c>
      <c r="B10995" s="30" t="inlineStr">
        <is>
          <t>Porto Real</t>
        </is>
      </c>
      <c r="C10995" s="30" t="n">
        <v>79317250</v>
      </c>
      <c r="D10995" s="30">
        <f>"13113988000147"</f>
        <v/>
      </c>
      <c r="E10995" s="30" t="inlineStr">
        <is>
          <t>AMS EMPREENDIMENTOS E INCORPORACOES EIRELI EPP</t>
        </is>
      </c>
      <c r="F10995" s="30" t="inlineStr">
        <is>
          <t>2019</t>
        </is>
      </c>
      <c r="G10995" s="40" t="n">
        <v>0</v>
      </c>
    </row>
    <row r="10996" ht="12" customHeight="1">
      <c r="A10996" s="30" t="inlineStr">
        <is>
          <t>POR</t>
        </is>
      </c>
      <c r="B10996" s="30" t="inlineStr">
        <is>
          <t>Porto Real</t>
        </is>
      </c>
      <c r="C10996" s="30" t="n">
        <v>79317250</v>
      </c>
      <c r="D10996" s="30">
        <f>"13113988000147"</f>
        <v/>
      </c>
      <c r="E10996" s="30" t="inlineStr">
        <is>
          <t>AMS EMPREENDIMENTOS E INCORPORACOES EIRELI EPP</t>
        </is>
      </c>
      <c r="F10996" s="30" t="inlineStr">
        <is>
          <t>2020</t>
        </is>
      </c>
      <c r="G10996" s="40" t="n">
        <v>0</v>
      </c>
    </row>
    <row r="10997" ht="12" customHeight="1">
      <c r="A10997" s="30" t="inlineStr">
        <is>
          <t>POR</t>
        </is>
      </c>
      <c r="B10997" s="30" t="inlineStr">
        <is>
          <t>Porto Real</t>
        </is>
      </c>
      <c r="C10997" s="30" t="n">
        <v>79317250</v>
      </c>
      <c r="D10997" s="30">
        <f>"13113988000147"</f>
        <v/>
      </c>
      <c r="E10997" s="30" t="inlineStr">
        <is>
          <t>AMS EMPREENDIMENTOS E INCORPORACOES EIRELI EPP</t>
        </is>
      </c>
      <c r="F10997" s="30" t="inlineStr">
        <is>
          <t>2021</t>
        </is>
      </c>
      <c r="G10997" s="40" t="n">
        <v>0</v>
      </c>
    </row>
    <row r="10998" ht="12" customHeight="1">
      <c r="A10998" s="30" t="inlineStr">
        <is>
          <t>POR</t>
        </is>
      </c>
      <c r="B10998" s="30" t="inlineStr">
        <is>
          <t>Porto Real</t>
        </is>
      </c>
      <c r="C10998" s="30" t="n">
        <v>79317250</v>
      </c>
      <c r="D10998" s="30">
        <f>"13113988000147"</f>
        <v/>
      </c>
      <c r="E10998" s="30" t="inlineStr">
        <is>
          <t>AMS EMPREENDIMENTOS E INCORPORACOES EIRELI EPP</t>
        </is>
      </c>
      <c r="F10998" s="30" t="inlineStr">
        <is>
          <t>2022</t>
        </is>
      </c>
      <c r="G10998" s="40" t="n">
        <v>0</v>
      </c>
    </row>
    <row r="10999" ht="12" customHeight="1">
      <c r="A10999" s="30" t="inlineStr">
        <is>
          <t>POR</t>
        </is>
      </c>
      <c r="B10999" s="30" t="inlineStr">
        <is>
          <t>Porto Real</t>
        </is>
      </c>
      <c r="C10999" s="30" t="n">
        <v>79317250</v>
      </c>
      <c r="D10999" s="30">
        <f>"13113988000147"</f>
        <v/>
      </c>
      <c r="E10999" s="30" t="inlineStr">
        <is>
          <t>AMS EMPREENDIMENTOS E INCORPORACOES EIRELI EPP</t>
        </is>
      </c>
      <c r="F10999" s="30" t="inlineStr">
        <is>
          <t>2023</t>
        </is>
      </c>
      <c r="G10999" s="40" t="n">
        <v>0</v>
      </c>
    </row>
    <row r="11000" ht="12" customHeight="1">
      <c r="A11000" s="30" t="inlineStr">
        <is>
          <t>POR</t>
        </is>
      </c>
      <c r="B11000" s="30" t="inlineStr">
        <is>
          <t>Porto Real</t>
        </is>
      </c>
      <c r="C11000" s="30" t="n">
        <v>79329797</v>
      </c>
      <c r="D11000" s="30">
        <f>"03615415000753"</f>
        <v/>
      </c>
      <c r="E11000" s="30" t="inlineStr">
        <is>
          <t>CTS - COOPERATIVA DE TRANSPORTES DE SOROCABA E REGIAO</t>
        </is>
      </c>
      <c r="F11000" s="30" t="inlineStr">
        <is>
          <t>2017</t>
        </is>
      </c>
      <c r="G11000" s="40" t="n">
        <v>1380.19</v>
      </c>
    </row>
    <row r="11001" ht="12" customHeight="1">
      <c r="A11001" s="30" t="inlineStr">
        <is>
          <t>POR</t>
        </is>
      </c>
      <c r="B11001" s="30" t="inlineStr">
        <is>
          <t>Porto Real</t>
        </is>
      </c>
      <c r="C11001" s="30" t="n">
        <v>79329797</v>
      </c>
      <c r="D11001" s="30">
        <f>"03615415000753"</f>
        <v/>
      </c>
      <c r="E11001" s="30" t="inlineStr">
        <is>
          <t>CTS - COOPERATIVA DE TRANSPORTES DE SOROCABA E REGIAO</t>
        </is>
      </c>
      <c r="F11001" s="30" t="inlineStr">
        <is>
          <t>2018</t>
        </is>
      </c>
      <c r="G11001" s="40" t="n">
        <v>0</v>
      </c>
    </row>
    <row r="11002" ht="12" customHeight="1">
      <c r="A11002" s="30" t="inlineStr">
        <is>
          <t>POR</t>
        </is>
      </c>
      <c r="B11002" s="30" t="inlineStr">
        <is>
          <t>Porto Real</t>
        </is>
      </c>
      <c r="C11002" s="30" t="n">
        <v>79329797</v>
      </c>
      <c r="D11002" s="30">
        <f>"03615415000753"</f>
        <v/>
      </c>
      <c r="E11002" s="30" t="inlineStr">
        <is>
          <t>CTS - COOPERATIVA DE TRANSPORTES DE SOROCABA E REGIAO</t>
        </is>
      </c>
      <c r="F11002" s="30" t="inlineStr">
        <is>
          <t>2019</t>
        </is>
      </c>
      <c r="G11002" s="40" t="n">
        <v>0</v>
      </c>
    </row>
    <row r="11003" ht="12" customHeight="1">
      <c r="A11003" s="30" t="inlineStr">
        <is>
          <t>POR</t>
        </is>
      </c>
      <c r="B11003" s="30" t="inlineStr">
        <is>
          <t>Porto Real</t>
        </is>
      </c>
      <c r="C11003" s="30" t="n">
        <v>79338931</v>
      </c>
      <c r="D11003" s="30">
        <f>"13461436000120"</f>
        <v/>
      </c>
      <c r="E11003" s="30" t="inlineStr">
        <is>
          <t>AUDAX LOGISTICA TRANSPORTES &amp; TURISMO LTDA</t>
        </is>
      </c>
      <c r="F11003" s="30" t="inlineStr">
        <is>
          <t>2019</t>
        </is>
      </c>
      <c r="G11003" s="40" t="n">
        <v>0</v>
      </c>
    </row>
    <row r="11004" ht="12" customHeight="1">
      <c r="A11004" s="30" t="inlineStr">
        <is>
          <t>POR</t>
        </is>
      </c>
      <c r="B11004" s="30" t="inlineStr">
        <is>
          <t>Porto Real</t>
        </is>
      </c>
      <c r="C11004" s="30" t="n">
        <v>79338931</v>
      </c>
      <c r="D11004" s="30">
        <f>"13461436000120"</f>
        <v/>
      </c>
      <c r="E11004" s="30" t="inlineStr">
        <is>
          <t>AUDAX LOGISTICA TRANSPORTES &amp; TURISMO LTDA</t>
        </is>
      </c>
      <c r="F11004" s="30" t="inlineStr">
        <is>
          <t>2020</t>
        </is>
      </c>
      <c r="G11004" s="40" t="n">
        <v>0</v>
      </c>
    </row>
    <row r="11005" ht="12" customHeight="1">
      <c r="A11005" s="30" t="inlineStr">
        <is>
          <t>POR</t>
        </is>
      </c>
      <c r="B11005" s="30" t="inlineStr">
        <is>
          <t>Porto Real</t>
        </is>
      </c>
      <c r="C11005" s="30" t="n">
        <v>79338931</v>
      </c>
      <c r="D11005" s="30">
        <f>"13461436000120"</f>
        <v/>
      </c>
      <c r="E11005" s="30" t="inlineStr">
        <is>
          <t>AUDAX LOGISTICA TRANSPORTES &amp; TURISMO LTDA</t>
        </is>
      </c>
      <c r="F11005" s="30" t="inlineStr">
        <is>
          <t>2021</t>
        </is>
      </c>
      <c r="G11005" s="40" t="n">
        <v>1396.8</v>
      </c>
    </row>
    <row r="11006" ht="12" customHeight="1">
      <c r="A11006" s="30" t="inlineStr">
        <is>
          <t>POR</t>
        </is>
      </c>
      <c r="B11006" s="30" t="inlineStr">
        <is>
          <t>Porto Real</t>
        </is>
      </c>
      <c r="C11006" s="30" t="n">
        <v>79338931</v>
      </c>
      <c r="D11006" s="30">
        <f>"13461436000120"</f>
        <v/>
      </c>
      <c r="E11006" s="30" t="inlineStr">
        <is>
          <t>AUDAX LOGISTICA TRANSPORTES &amp; TURISMO LTDA</t>
        </is>
      </c>
      <c r="F11006" s="30" t="inlineStr">
        <is>
          <t>2022</t>
        </is>
      </c>
      <c r="G11006" s="40" t="n">
        <v>0</v>
      </c>
    </row>
    <row r="11007" ht="12" customHeight="1">
      <c r="A11007" s="30" t="inlineStr">
        <is>
          <t>POR</t>
        </is>
      </c>
      <c r="B11007" s="30" t="inlineStr">
        <is>
          <t>Porto Real</t>
        </is>
      </c>
      <c r="C11007" s="30" t="n">
        <v>79338931</v>
      </c>
      <c r="D11007" s="30">
        <f>"13461436000120"</f>
        <v/>
      </c>
      <c r="E11007" s="30" t="inlineStr">
        <is>
          <t>AUDAX LOGISTICA TRANSPORTES &amp; TURISMO LTDA</t>
        </is>
      </c>
      <c r="F11007" s="30" t="inlineStr">
        <is>
          <t>2023</t>
        </is>
      </c>
      <c r="G11007" s="40" t="n">
        <v>0</v>
      </c>
    </row>
    <row r="11008" ht="12" customHeight="1">
      <c r="A11008" s="30" t="inlineStr">
        <is>
          <t>POR</t>
        </is>
      </c>
      <c r="B11008" s="30" t="inlineStr">
        <is>
          <t>Porto Real</t>
        </is>
      </c>
      <c r="C11008" s="30" t="n">
        <v>79345091</v>
      </c>
      <c r="D11008" s="30">
        <f>"48740351012252"</f>
        <v/>
      </c>
      <c r="E11008" s="30" t="inlineStr">
        <is>
          <t>BRASPRESS TRANSPORTES URGENTES LTDA</t>
        </is>
      </c>
      <c r="F11008" s="30" t="inlineStr">
        <is>
          <t>2017</t>
        </is>
      </c>
      <c r="G11008" s="40" t="n">
        <v>0</v>
      </c>
    </row>
    <row r="11009" ht="12" customHeight="1">
      <c r="A11009" s="30" t="inlineStr">
        <is>
          <t>POR</t>
        </is>
      </c>
      <c r="B11009" s="30" t="inlineStr">
        <is>
          <t>Porto Real</t>
        </is>
      </c>
      <c r="C11009" s="30" t="n">
        <v>79345091</v>
      </c>
      <c r="D11009" s="30">
        <f>"48740351012252"</f>
        <v/>
      </c>
      <c r="E11009" s="30" t="inlineStr">
        <is>
          <t>BRASPRESS TRANSPORTES URGENTES LTDA</t>
        </is>
      </c>
      <c r="F11009" s="30" t="inlineStr">
        <is>
          <t>2018</t>
        </is>
      </c>
      <c r="G11009" s="40" t="n">
        <v>715.64</v>
      </c>
    </row>
    <row r="11010" ht="12" customHeight="1">
      <c r="A11010" s="30" t="inlineStr">
        <is>
          <t>POR</t>
        </is>
      </c>
      <c r="B11010" s="30" t="inlineStr">
        <is>
          <t>Porto Real</t>
        </is>
      </c>
      <c r="C11010" s="30" t="n">
        <v>79345091</v>
      </c>
      <c r="D11010" s="30">
        <f>"48740351012252"</f>
        <v/>
      </c>
      <c r="E11010" s="30" t="inlineStr">
        <is>
          <t>BRASPRESS TRANSPORTES URGENTES LTDA</t>
        </is>
      </c>
      <c r="F11010" s="30" t="inlineStr">
        <is>
          <t>2019</t>
        </is>
      </c>
      <c r="G11010" s="40" t="n">
        <v>490.12</v>
      </c>
    </row>
    <row r="11011" ht="12" customHeight="1">
      <c r="A11011" s="30" t="inlineStr">
        <is>
          <t>POR</t>
        </is>
      </c>
      <c r="B11011" s="30" t="inlineStr">
        <is>
          <t>Porto Real</t>
        </is>
      </c>
      <c r="C11011" s="30" t="n">
        <v>79345091</v>
      </c>
      <c r="D11011" s="30">
        <f>"48740351012252"</f>
        <v/>
      </c>
      <c r="E11011" s="30" t="inlineStr">
        <is>
          <t>BRASPRESS TRANSPORTES URGENTES LTDA</t>
        </is>
      </c>
      <c r="F11011" s="30" t="inlineStr">
        <is>
          <t>2020</t>
        </is>
      </c>
      <c r="G11011" s="40" t="n">
        <v>494.36</v>
      </c>
    </row>
    <row r="11012" ht="12" customHeight="1">
      <c r="A11012" s="30" t="inlineStr">
        <is>
          <t>POR</t>
        </is>
      </c>
      <c r="B11012" s="30" t="inlineStr">
        <is>
          <t>Porto Real</t>
        </is>
      </c>
      <c r="C11012" s="30" t="n">
        <v>79345091</v>
      </c>
      <c r="D11012" s="30">
        <f>"48740351012252"</f>
        <v/>
      </c>
      <c r="E11012" s="30" t="inlineStr">
        <is>
          <t>BRASPRESS TRANSPORTES URGENTES LTDA</t>
        </is>
      </c>
      <c r="F11012" s="30" t="inlineStr">
        <is>
          <t>2021</t>
        </is>
      </c>
      <c r="G11012" s="40" t="n">
        <v>91.58</v>
      </c>
    </row>
    <row r="11013" ht="12" customHeight="1">
      <c r="A11013" s="30" t="inlineStr">
        <is>
          <t>POR</t>
        </is>
      </c>
      <c r="B11013" s="30" t="inlineStr">
        <is>
          <t>Porto Real</t>
        </is>
      </c>
      <c r="C11013" s="30" t="n">
        <v>79345091</v>
      </c>
      <c r="D11013" s="30">
        <f>"48740351012252"</f>
        <v/>
      </c>
      <c r="E11013" s="30" t="inlineStr">
        <is>
          <t>BRASPRESS TRANSPORTES URGENTES LTDA</t>
        </is>
      </c>
      <c r="F11013" s="30" t="inlineStr">
        <is>
          <t>2022</t>
        </is>
      </c>
      <c r="G11013" s="40" t="n">
        <v>17791.93</v>
      </c>
    </row>
    <row r="11014" ht="12" customHeight="1">
      <c r="A11014" s="30" t="inlineStr">
        <is>
          <t>POR</t>
        </is>
      </c>
      <c r="B11014" s="30" t="inlineStr">
        <is>
          <t>Porto Real</t>
        </is>
      </c>
      <c r="C11014" s="30" t="n">
        <v>79345091</v>
      </c>
      <c r="D11014" s="30">
        <f>"48740351012252"</f>
        <v/>
      </c>
      <c r="E11014" s="30" t="inlineStr">
        <is>
          <t>BRASPRESS TRANSPORTES URGENTES LTDA</t>
        </is>
      </c>
      <c r="F11014" s="30" t="inlineStr">
        <is>
          <t>2023</t>
        </is>
      </c>
      <c r="G11014" s="40" t="n">
        <v>21327.66</v>
      </c>
    </row>
    <row r="11015" ht="12" customHeight="1">
      <c r="A11015" s="30" t="inlineStr">
        <is>
          <t>POR</t>
        </is>
      </c>
      <c r="B11015" s="30" t="inlineStr">
        <is>
          <t>Porto Real</t>
        </is>
      </c>
      <c r="C11015" s="30" t="n">
        <v>79349186</v>
      </c>
      <c r="D11015" s="30">
        <f>"05999296000381"</f>
        <v/>
      </c>
      <c r="E11015" s="30" t="inlineStr">
        <is>
          <t>MTB-INTERNATIONAL LTDA</t>
        </is>
      </c>
      <c r="F11015" s="30" t="inlineStr">
        <is>
          <t>2017</t>
        </is>
      </c>
      <c r="G11015" s="40" t="n">
        <v>472197.49</v>
      </c>
    </row>
    <row r="11016" ht="12" customHeight="1">
      <c r="A11016" s="30" t="inlineStr">
        <is>
          <t>POR</t>
        </is>
      </c>
      <c r="B11016" s="30" t="inlineStr">
        <is>
          <t>Porto Real</t>
        </is>
      </c>
      <c r="C11016" s="30" t="n">
        <v>79349186</v>
      </c>
      <c r="D11016" s="30">
        <f>"05999296000381"</f>
        <v/>
      </c>
      <c r="E11016" s="30" t="inlineStr">
        <is>
          <t>MTB-INTERNATIONAL LTDA</t>
        </is>
      </c>
      <c r="F11016" s="30" t="inlineStr">
        <is>
          <t>2018</t>
        </is>
      </c>
      <c r="G11016" s="40" t="n">
        <v>171020.18</v>
      </c>
    </row>
    <row r="11017" ht="12" customHeight="1">
      <c r="A11017" s="30" t="inlineStr">
        <is>
          <t>POR</t>
        </is>
      </c>
      <c r="B11017" s="30" t="inlineStr">
        <is>
          <t>Porto Real</t>
        </is>
      </c>
      <c r="C11017" s="30" t="n">
        <v>79349186</v>
      </c>
      <c r="D11017" s="30">
        <f>"05999296000381"</f>
        <v/>
      </c>
      <c r="E11017" s="30" t="inlineStr">
        <is>
          <t>MTB-INTERNATIONAL LTDA</t>
        </is>
      </c>
      <c r="F11017" s="30" t="inlineStr">
        <is>
          <t>2019</t>
        </is>
      </c>
      <c r="G11017" s="40" t="n">
        <v>0</v>
      </c>
    </row>
    <row r="11018" ht="12" customHeight="1">
      <c r="A11018" s="30" t="inlineStr">
        <is>
          <t>POR</t>
        </is>
      </c>
      <c r="B11018" s="30" t="inlineStr">
        <is>
          <t>Porto Real</t>
        </is>
      </c>
      <c r="C11018" s="30" t="n">
        <v>79349186</v>
      </c>
      <c r="D11018" s="30">
        <f>"05999296000381"</f>
        <v/>
      </c>
      <c r="E11018" s="30" t="inlineStr">
        <is>
          <t>MTB-INTERNATIONAL LTDA</t>
        </is>
      </c>
      <c r="F11018" s="30" t="inlineStr">
        <is>
          <t>2020</t>
        </is>
      </c>
      <c r="G11018" s="40" t="n">
        <v>0</v>
      </c>
    </row>
    <row r="11019" ht="12" customHeight="1">
      <c r="A11019" s="30" t="inlineStr">
        <is>
          <t>POR</t>
        </is>
      </c>
      <c r="B11019" s="30" t="inlineStr">
        <is>
          <t>Porto Real</t>
        </is>
      </c>
      <c r="C11019" s="30" t="n">
        <v>79349186</v>
      </c>
      <c r="D11019" s="30">
        <f>"05999296000381"</f>
        <v/>
      </c>
      <c r="E11019" s="30" t="inlineStr">
        <is>
          <t>MTB-INTERNATIONAL LTDA</t>
        </is>
      </c>
      <c r="F11019" s="30" t="inlineStr">
        <is>
          <t>2021</t>
        </is>
      </c>
      <c r="G11019" s="40" t="n">
        <v>0</v>
      </c>
    </row>
    <row r="11020" ht="12" customHeight="1">
      <c r="A11020" s="30" t="inlineStr">
        <is>
          <t>POR</t>
        </is>
      </c>
      <c r="B11020" s="30" t="inlineStr">
        <is>
          <t>Porto Real</t>
        </is>
      </c>
      <c r="C11020" s="30" t="n">
        <v>79349186</v>
      </c>
      <c r="D11020" s="30">
        <f>"05999296000381"</f>
        <v/>
      </c>
      <c r="E11020" s="30" t="inlineStr">
        <is>
          <t>MTB-INTERNATIONAL LTDA</t>
        </is>
      </c>
      <c r="F11020" s="30" t="inlineStr">
        <is>
          <t>2022</t>
        </is>
      </c>
      <c r="G11020" s="40" t="n">
        <v>0</v>
      </c>
    </row>
    <row r="11021" ht="12" customHeight="1">
      <c r="A11021" s="30" t="inlineStr">
        <is>
          <t>POR</t>
        </is>
      </c>
      <c r="B11021" s="30" t="inlineStr">
        <is>
          <t>Porto Real</t>
        </is>
      </c>
      <c r="C11021" s="30" t="n">
        <v>79349186</v>
      </c>
      <c r="D11021" s="30">
        <f>"05999296000381"</f>
        <v/>
      </c>
      <c r="E11021" s="30" t="inlineStr">
        <is>
          <t>MTB-INTERNATIONAL LTDA</t>
        </is>
      </c>
      <c r="F11021" s="30" t="inlineStr">
        <is>
          <t>2023</t>
        </is>
      </c>
      <c r="G11021" s="40" t="n">
        <v>0</v>
      </c>
    </row>
    <row r="11022" ht="12" customHeight="1">
      <c r="A11022" s="30" t="inlineStr">
        <is>
          <t>POR</t>
        </is>
      </c>
      <c r="B11022" s="30" t="inlineStr">
        <is>
          <t>Porto Real</t>
        </is>
      </c>
      <c r="C11022" s="30" t="n">
        <v>79358630</v>
      </c>
      <c r="D11022" s="30">
        <f>"08022054000160"</f>
        <v/>
      </c>
      <c r="E11022" s="30" t="inlineStr">
        <is>
          <t>OSTARA TELECOMUNICACOES LTDA</t>
        </is>
      </c>
      <c r="F11022" s="30" t="inlineStr">
        <is>
          <t>2018</t>
        </is>
      </c>
      <c r="G11022" s="40" t="n">
        <v>0</v>
      </c>
    </row>
    <row r="11023" ht="12" customHeight="1">
      <c r="A11023" s="30" t="inlineStr">
        <is>
          <t>POR</t>
        </is>
      </c>
      <c r="B11023" s="30" t="inlineStr">
        <is>
          <t>Porto Real</t>
        </is>
      </c>
      <c r="C11023" s="30" t="n">
        <v>79358630</v>
      </c>
      <c r="D11023" s="30">
        <f>"08022054000160"</f>
        <v/>
      </c>
      <c r="E11023" s="30" t="inlineStr">
        <is>
          <t>OSTARA TELECOMUNICACOES LTDA</t>
        </is>
      </c>
      <c r="F11023" s="30" t="inlineStr">
        <is>
          <t>2019</t>
        </is>
      </c>
      <c r="G11023" s="40" t="n">
        <v>0</v>
      </c>
    </row>
    <row r="11024" ht="12" customHeight="1">
      <c r="A11024" s="30" t="inlineStr">
        <is>
          <t>POR</t>
        </is>
      </c>
      <c r="B11024" s="30" t="inlineStr">
        <is>
          <t>Porto Real</t>
        </is>
      </c>
      <c r="C11024" s="30" t="n">
        <v>79358630</v>
      </c>
      <c r="D11024" s="30">
        <f>"08022054000160"</f>
        <v/>
      </c>
      <c r="E11024" s="30" t="inlineStr">
        <is>
          <t>OSTARA TELECOMUNICACOES LTDA</t>
        </is>
      </c>
      <c r="F11024" s="30" t="inlineStr">
        <is>
          <t>2020</t>
        </is>
      </c>
      <c r="G11024" s="40" t="n">
        <v>208.96</v>
      </c>
    </row>
    <row r="11025" ht="12" customHeight="1">
      <c r="A11025" s="30" t="inlineStr">
        <is>
          <t>POR</t>
        </is>
      </c>
      <c r="B11025" s="30" t="inlineStr">
        <is>
          <t>Porto Real</t>
        </is>
      </c>
      <c r="C11025" s="30" t="n">
        <v>79358630</v>
      </c>
      <c r="D11025" s="30">
        <f>"08022054000160"</f>
        <v/>
      </c>
      <c r="E11025" s="30" t="inlineStr">
        <is>
          <t>OSTARA TELECOMUNICACOES LTDA</t>
        </is>
      </c>
      <c r="F11025" s="30" t="inlineStr">
        <is>
          <t>2021</t>
        </is>
      </c>
      <c r="G11025" s="40" t="n">
        <v>0</v>
      </c>
    </row>
    <row r="11026" ht="12" customHeight="1">
      <c r="A11026" s="30" t="inlineStr">
        <is>
          <t>POR</t>
        </is>
      </c>
      <c r="B11026" s="30" t="inlineStr">
        <is>
          <t>Porto Real</t>
        </is>
      </c>
      <c r="C11026" s="30" t="n">
        <v>79358630</v>
      </c>
      <c r="D11026" s="30">
        <f>"08022054000160"</f>
        <v/>
      </c>
      <c r="E11026" s="30" t="inlineStr">
        <is>
          <t>OSTARA TELECOMUNICACOES LTDA</t>
        </is>
      </c>
      <c r="F11026" s="30" t="inlineStr">
        <is>
          <t>2022</t>
        </is>
      </c>
      <c r="G11026" s="40" t="n">
        <v>0</v>
      </c>
    </row>
    <row r="11027" ht="12" customHeight="1">
      <c r="A11027" s="30" t="inlineStr">
        <is>
          <t>POR</t>
        </is>
      </c>
      <c r="B11027" s="30" t="inlineStr">
        <is>
          <t>Porto Real</t>
        </is>
      </c>
      <c r="C11027" s="30" t="n">
        <v>79360651</v>
      </c>
      <c r="D11027" s="30">
        <f>"19451038003477"</f>
        <v/>
      </c>
      <c r="E11027" s="30" t="inlineStr">
        <is>
          <t>RODOVIARIO CAMILO DOS SANTOS FILHO LTDA</t>
        </is>
      </c>
      <c r="F11027" s="30" t="inlineStr">
        <is>
          <t>2017</t>
        </is>
      </c>
      <c r="G11027" s="40" t="n">
        <v>36543.97</v>
      </c>
    </row>
    <row r="11028" ht="12" customHeight="1">
      <c r="A11028" s="30" t="inlineStr">
        <is>
          <t>POR</t>
        </is>
      </c>
      <c r="B11028" s="30" t="inlineStr">
        <is>
          <t>Porto Real</t>
        </is>
      </c>
      <c r="C11028" s="30" t="n">
        <v>79360651</v>
      </c>
      <c r="D11028" s="30">
        <f>"19451038003477"</f>
        <v/>
      </c>
      <c r="E11028" s="30" t="inlineStr">
        <is>
          <t>RODOVIARIO CAMILO DOS SANTOS FILHO LTDA</t>
        </is>
      </c>
      <c r="F11028" s="30" t="inlineStr">
        <is>
          <t>2018</t>
        </is>
      </c>
      <c r="G11028" s="40" t="n">
        <v>4071.55</v>
      </c>
    </row>
    <row r="11029" ht="12" customHeight="1">
      <c r="A11029" s="30" t="inlineStr">
        <is>
          <t>POR</t>
        </is>
      </c>
      <c r="B11029" s="30" t="inlineStr">
        <is>
          <t>Porto Real</t>
        </is>
      </c>
      <c r="C11029" s="30" t="n">
        <v>79360651</v>
      </c>
      <c r="D11029" s="30">
        <f>"19451038003477"</f>
        <v/>
      </c>
      <c r="E11029" s="30" t="inlineStr">
        <is>
          <t>RODOVIARIO CAMILO DOS SANTOS FILHO LTDA</t>
        </is>
      </c>
      <c r="F11029" s="30" t="inlineStr">
        <is>
          <t>2019</t>
        </is>
      </c>
      <c r="G11029" s="40" t="n">
        <v>1056.4</v>
      </c>
    </row>
    <row r="11030" ht="12" customHeight="1">
      <c r="A11030" s="30" t="inlineStr">
        <is>
          <t>POR</t>
        </is>
      </c>
      <c r="B11030" s="30" t="inlineStr">
        <is>
          <t>Porto Real</t>
        </is>
      </c>
      <c r="C11030" s="30" t="n">
        <v>79360651</v>
      </c>
      <c r="D11030" s="30">
        <f>"19451038003477"</f>
        <v/>
      </c>
      <c r="E11030" s="30" t="inlineStr">
        <is>
          <t>RODOVIARIO CAMILO DOS SANTOS FILHO LTDA</t>
        </is>
      </c>
      <c r="F11030" s="30" t="inlineStr">
        <is>
          <t>2020</t>
        </is>
      </c>
      <c r="G11030" s="40" t="n">
        <v>0</v>
      </c>
    </row>
    <row r="11031" ht="12" customHeight="1">
      <c r="A11031" s="30" t="inlineStr">
        <is>
          <t>POR</t>
        </is>
      </c>
      <c r="B11031" s="30" t="inlineStr">
        <is>
          <t>Porto Real</t>
        </is>
      </c>
      <c r="C11031" s="30" t="n">
        <v>79360651</v>
      </c>
      <c r="D11031" s="30">
        <f>"19451038003477"</f>
        <v/>
      </c>
      <c r="E11031" s="30" t="inlineStr">
        <is>
          <t>RODOVIARIO CAMILO DOS SANTOS FILHO LTDA</t>
        </is>
      </c>
      <c r="F11031" s="30" t="inlineStr">
        <is>
          <t>2021</t>
        </is>
      </c>
      <c r="G11031" s="40" t="n">
        <v>0</v>
      </c>
    </row>
    <row r="11032" ht="12" customHeight="1">
      <c r="A11032" s="30" t="inlineStr">
        <is>
          <t>POR</t>
        </is>
      </c>
      <c r="B11032" s="30" t="inlineStr">
        <is>
          <t>Porto Real</t>
        </is>
      </c>
      <c r="C11032" s="30" t="n">
        <v>79360651</v>
      </c>
      <c r="D11032" s="30">
        <f>"19451038003477"</f>
        <v/>
      </c>
      <c r="E11032" s="30" t="inlineStr">
        <is>
          <t>RODOVIARIO CAMILO DOS SANTOS FILHO LTDA</t>
        </is>
      </c>
      <c r="F11032" s="30" t="inlineStr">
        <is>
          <t>2022</t>
        </is>
      </c>
      <c r="G11032" s="40" t="n">
        <v>0</v>
      </c>
    </row>
    <row r="11033" ht="12" customHeight="1">
      <c r="A11033" s="30" t="inlineStr">
        <is>
          <t>POR</t>
        </is>
      </c>
      <c r="B11033" s="30" t="inlineStr">
        <is>
          <t>Porto Real</t>
        </is>
      </c>
      <c r="C11033" s="30" t="n">
        <v>79360651</v>
      </c>
      <c r="D11033" s="30">
        <f>"19451038003477"</f>
        <v/>
      </c>
      <c r="E11033" s="30" t="inlineStr">
        <is>
          <t>RODOVIARIO CAMILO DOS SANTOS FILHO LTDA</t>
        </is>
      </c>
      <c r="F11033" s="30" t="inlineStr">
        <is>
          <t>2023</t>
        </is>
      </c>
      <c r="G11033" s="40" t="n">
        <v>1551.76</v>
      </c>
    </row>
    <row r="11034" ht="12" customHeight="1">
      <c r="A11034" s="30" t="inlineStr">
        <is>
          <t>POR</t>
        </is>
      </c>
      <c r="B11034" s="30" t="inlineStr">
        <is>
          <t>Porto Real</t>
        </is>
      </c>
      <c r="C11034" s="30" t="n">
        <v>79373095</v>
      </c>
      <c r="D11034" s="30">
        <f>"13647980000160"</f>
        <v/>
      </c>
      <c r="E11034" s="30" t="inlineStr">
        <is>
          <t>PROGRESSO ARMAZENS E LOGISTICA EIRELI EPP</t>
        </is>
      </c>
      <c r="F11034" s="30" t="inlineStr">
        <is>
          <t>2017</t>
        </is>
      </c>
      <c r="G11034" s="40" t="n">
        <v>0</v>
      </c>
    </row>
    <row r="11035" ht="12" customHeight="1">
      <c r="A11035" s="30" t="inlineStr">
        <is>
          <t>POR</t>
        </is>
      </c>
      <c r="B11035" s="30" t="inlineStr">
        <is>
          <t>Porto Real</t>
        </is>
      </c>
      <c r="C11035" s="30" t="n">
        <v>79373095</v>
      </c>
      <c r="D11035" s="30">
        <f>"13647980000160"</f>
        <v/>
      </c>
      <c r="E11035" s="30" t="inlineStr">
        <is>
          <t>PROGRESSO ARMAZENS E LOGISTICA EIRELI EPP</t>
        </is>
      </c>
      <c r="F11035" s="30" t="inlineStr">
        <is>
          <t>2018</t>
        </is>
      </c>
      <c r="G11035" s="40" t="n">
        <v>102712.25</v>
      </c>
    </row>
    <row r="11036" ht="12" customHeight="1">
      <c r="A11036" s="30" t="inlineStr">
        <is>
          <t>POR</t>
        </is>
      </c>
      <c r="B11036" s="30" t="inlineStr">
        <is>
          <t>Porto Real</t>
        </is>
      </c>
      <c r="C11036" s="30" t="n">
        <v>79373095</v>
      </c>
      <c r="D11036" s="30">
        <f>"13647980000160"</f>
        <v/>
      </c>
      <c r="E11036" s="30" t="inlineStr">
        <is>
          <t>PROGRESSO ARMAZENS E LOGISTICA EIRELI EPP</t>
        </is>
      </c>
      <c r="F11036" s="30" t="inlineStr">
        <is>
          <t>2019</t>
        </is>
      </c>
      <c r="G11036" s="40" t="n">
        <v>30722.93</v>
      </c>
    </row>
    <row r="11037" ht="12" customHeight="1">
      <c r="A11037" s="30" t="inlineStr">
        <is>
          <t>POR</t>
        </is>
      </c>
      <c r="B11037" s="30" t="inlineStr">
        <is>
          <t>Porto Real</t>
        </is>
      </c>
      <c r="C11037" s="30" t="n">
        <v>79373095</v>
      </c>
      <c r="D11037" s="30">
        <f>"13647980000160"</f>
        <v/>
      </c>
      <c r="E11037" s="30" t="inlineStr">
        <is>
          <t>PROGRESSO ARMAZENS E LOGISTICA EIRELI EPP</t>
        </is>
      </c>
      <c r="F11037" s="30" t="inlineStr">
        <is>
          <t>2020</t>
        </is>
      </c>
      <c r="G11037" s="40" t="n">
        <v>34440.96</v>
      </c>
    </row>
    <row r="11038" ht="12" customHeight="1">
      <c r="A11038" s="30" t="inlineStr">
        <is>
          <t>POR</t>
        </is>
      </c>
      <c r="B11038" s="30" t="inlineStr">
        <is>
          <t>Porto Real</t>
        </is>
      </c>
      <c r="C11038" s="30" t="n">
        <v>79373095</v>
      </c>
      <c r="D11038" s="30">
        <f>"13647980000160"</f>
        <v/>
      </c>
      <c r="E11038" s="30" t="inlineStr">
        <is>
          <t>PROGRESSO ARMAZENS E LOGISTICA EIRELI EPP</t>
        </is>
      </c>
      <c r="F11038" s="30" t="inlineStr">
        <is>
          <t>2021</t>
        </is>
      </c>
      <c r="G11038" s="40" t="n">
        <v>0</v>
      </c>
    </row>
    <row r="11039" ht="12" customHeight="1">
      <c r="A11039" s="30" t="inlineStr">
        <is>
          <t>POR</t>
        </is>
      </c>
      <c r="B11039" s="30" t="inlineStr">
        <is>
          <t>Porto Real</t>
        </is>
      </c>
      <c r="C11039" s="30" t="n">
        <v>79373095</v>
      </c>
      <c r="D11039" s="30">
        <f>"13647980000160"</f>
        <v/>
      </c>
      <c r="E11039" s="30" t="inlineStr">
        <is>
          <t>PROGRESSO ARMAZENS E LOGISTICA EIRELI EPP</t>
        </is>
      </c>
      <c r="F11039" s="30" t="inlineStr">
        <is>
          <t>2022</t>
        </is>
      </c>
      <c r="G11039" s="40" t="n">
        <v>0</v>
      </c>
    </row>
    <row r="11040" ht="12" customHeight="1">
      <c r="A11040" s="30" t="inlineStr">
        <is>
          <t>POR</t>
        </is>
      </c>
      <c r="B11040" s="30" t="inlineStr">
        <is>
          <t>Porto Real</t>
        </is>
      </c>
      <c r="C11040" s="30" t="n">
        <v>79374792</v>
      </c>
      <c r="D11040" s="30">
        <f>"13656859000103"</f>
        <v/>
      </c>
      <c r="E11040" s="30" t="inlineStr">
        <is>
          <t>RESTAURANTE CARVALHO&amp;PINESCHI LTDA ME</t>
        </is>
      </c>
      <c r="F11040" s="30" t="inlineStr">
        <is>
          <t>2017</t>
        </is>
      </c>
      <c r="G11040" s="40" t="n">
        <v>0</v>
      </c>
    </row>
    <row r="11041" ht="12" customHeight="1">
      <c r="A11041" s="30" t="inlineStr">
        <is>
          <t>POR</t>
        </is>
      </c>
      <c r="B11041" s="30" t="inlineStr">
        <is>
          <t>Porto Real</t>
        </is>
      </c>
      <c r="C11041" s="30" t="n">
        <v>79374792</v>
      </c>
      <c r="D11041" s="30">
        <f>"13656859000103"</f>
        <v/>
      </c>
      <c r="E11041" s="30" t="inlineStr">
        <is>
          <t>RESTAURANTE CARVALHO&amp;PINESCHI LTDA ME</t>
        </is>
      </c>
      <c r="F11041" s="30" t="inlineStr">
        <is>
          <t>2018</t>
        </is>
      </c>
      <c r="G11041" s="40" t="n">
        <v>0</v>
      </c>
    </row>
    <row r="11042" ht="12" customHeight="1">
      <c r="A11042" s="30" t="inlineStr">
        <is>
          <t>POR</t>
        </is>
      </c>
      <c r="B11042" s="30" t="inlineStr">
        <is>
          <t>Porto Real</t>
        </is>
      </c>
      <c r="C11042" s="30" t="n">
        <v>79374792</v>
      </c>
      <c r="D11042" s="30">
        <f>"13656859000103"</f>
        <v/>
      </c>
      <c r="E11042" s="30" t="inlineStr">
        <is>
          <t>RESTAURANTE CARVALHO&amp;PINESCHI LTDA ME</t>
        </is>
      </c>
      <c r="F11042" s="30" t="inlineStr">
        <is>
          <t>2019</t>
        </is>
      </c>
      <c r="G11042" s="40" t="n">
        <v>0</v>
      </c>
    </row>
    <row r="11043" ht="12" customHeight="1">
      <c r="A11043" s="30" t="inlineStr">
        <is>
          <t>POR</t>
        </is>
      </c>
      <c r="B11043" s="30" t="inlineStr">
        <is>
          <t>Porto Real</t>
        </is>
      </c>
      <c r="C11043" s="30" t="n">
        <v>79374792</v>
      </c>
      <c r="D11043" s="30">
        <f>"13656859000103"</f>
        <v/>
      </c>
      <c r="E11043" s="30" t="inlineStr">
        <is>
          <t>RESTAURANTE CARVALHO&amp;PINESCHI LTDA ME</t>
        </is>
      </c>
      <c r="F11043" s="30" t="inlineStr">
        <is>
          <t>2020</t>
        </is>
      </c>
      <c r="G11043" s="40" t="n">
        <v>0</v>
      </c>
    </row>
    <row r="11044" ht="12" customHeight="1">
      <c r="A11044" s="30" t="inlineStr">
        <is>
          <t>POR</t>
        </is>
      </c>
      <c r="B11044" s="30" t="inlineStr">
        <is>
          <t>Porto Real</t>
        </is>
      </c>
      <c r="C11044" s="30" t="n">
        <v>79374792</v>
      </c>
      <c r="D11044" s="30">
        <f>"13656859000103"</f>
        <v/>
      </c>
      <c r="E11044" s="30" t="inlineStr">
        <is>
          <t>RESTAURANTE CARVALHO&amp;PINESCHI LTDA ME</t>
        </is>
      </c>
      <c r="F11044" s="30" t="inlineStr">
        <is>
          <t>2021</t>
        </is>
      </c>
      <c r="G11044" s="40" t="n">
        <v>0</v>
      </c>
    </row>
    <row r="11045" ht="12" customHeight="1">
      <c r="A11045" s="30" t="inlineStr">
        <is>
          <t>POR</t>
        </is>
      </c>
      <c r="B11045" s="30" t="inlineStr">
        <is>
          <t>Porto Real</t>
        </is>
      </c>
      <c r="C11045" s="30" t="n">
        <v>79374792</v>
      </c>
      <c r="D11045" s="30">
        <f>"13656859000103"</f>
        <v/>
      </c>
      <c r="E11045" s="30" t="inlineStr">
        <is>
          <t>RESTAURANTE CARVALHO&amp;PINESCHI LTDA ME</t>
        </is>
      </c>
      <c r="F11045" s="30" t="inlineStr">
        <is>
          <t>2022</t>
        </is>
      </c>
      <c r="G11045" s="40" t="n">
        <v>0</v>
      </c>
    </row>
    <row r="11046" ht="12" customHeight="1">
      <c r="A11046" s="30" t="inlineStr">
        <is>
          <t>POR</t>
        </is>
      </c>
      <c r="B11046" s="30" t="inlineStr">
        <is>
          <t>Porto Real</t>
        </is>
      </c>
      <c r="C11046" s="30" t="n">
        <v>79374792</v>
      </c>
      <c r="D11046" s="30">
        <f>"13656859000103"</f>
        <v/>
      </c>
      <c r="E11046" s="30" t="inlineStr">
        <is>
          <t>RESTAURANTE CARVALHO&amp;PINESCHI LTDA ME</t>
        </is>
      </c>
      <c r="F11046" s="30" t="inlineStr">
        <is>
          <t>2023</t>
        </is>
      </c>
      <c r="G11046" s="40" t="n">
        <v>0</v>
      </c>
    </row>
    <row r="11047" ht="12" customHeight="1">
      <c r="A11047" s="30" t="inlineStr">
        <is>
          <t>POR</t>
        </is>
      </c>
      <c r="B11047" s="30" t="inlineStr">
        <is>
          <t>Porto Real</t>
        </is>
      </c>
      <c r="C11047" s="30" t="n">
        <v>79395595</v>
      </c>
      <c r="D11047" s="30">
        <f>"13725103000160"</f>
        <v/>
      </c>
      <c r="E11047" s="30" t="inlineStr">
        <is>
          <t>INTALOG LOGISTICA TRANSPORTES LTDA</t>
        </is>
      </c>
      <c r="F11047" s="30" t="inlineStr">
        <is>
          <t>2017</t>
        </is>
      </c>
      <c r="G11047" s="40" t="n">
        <v>757363.42</v>
      </c>
    </row>
    <row r="11048" ht="12" customHeight="1">
      <c r="A11048" s="30" t="inlineStr">
        <is>
          <t>POR</t>
        </is>
      </c>
      <c r="B11048" s="30" t="inlineStr">
        <is>
          <t>Porto Real</t>
        </is>
      </c>
      <c r="C11048" s="30" t="n">
        <v>79395595</v>
      </c>
      <c r="D11048" s="30">
        <f>"13725103000160"</f>
        <v/>
      </c>
      <c r="E11048" s="30" t="inlineStr">
        <is>
          <t>INTALOG LOGISTICA TRANSPORTES LTDA</t>
        </is>
      </c>
      <c r="F11048" s="30" t="inlineStr">
        <is>
          <t>2018</t>
        </is>
      </c>
      <c r="G11048" s="40" t="n">
        <v>721256.23</v>
      </c>
    </row>
    <row r="11049" ht="12" customHeight="1">
      <c r="A11049" s="30" t="inlineStr">
        <is>
          <t>POR</t>
        </is>
      </c>
      <c r="B11049" s="30" t="inlineStr">
        <is>
          <t>Porto Real</t>
        </is>
      </c>
      <c r="C11049" s="30" t="n">
        <v>79395595</v>
      </c>
      <c r="D11049" s="30">
        <f>"13725103000160"</f>
        <v/>
      </c>
      <c r="E11049" s="30" t="inlineStr">
        <is>
          <t>INTALOG LOGISTICA TRANSPORTES LTDA</t>
        </is>
      </c>
      <c r="F11049" s="30" t="inlineStr">
        <is>
          <t>2019</t>
        </is>
      </c>
      <c r="G11049" s="40" t="n">
        <v>156179.82</v>
      </c>
    </row>
    <row r="11050" ht="12" customHeight="1">
      <c r="A11050" s="30" t="inlineStr">
        <is>
          <t>POR</t>
        </is>
      </c>
      <c r="B11050" s="30" t="inlineStr">
        <is>
          <t>Porto Real</t>
        </is>
      </c>
      <c r="C11050" s="30" t="n">
        <v>79395595</v>
      </c>
      <c r="D11050" s="30">
        <f>"13725103000160"</f>
        <v/>
      </c>
      <c r="E11050" s="30" t="inlineStr">
        <is>
          <t>INTALOG LOGISTICA TRANSPORTES LTDA</t>
        </is>
      </c>
      <c r="F11050" s="30" t="inlineStr">
        <is>
          <t>2020</t>
        </is>
      </c>
      <c r="G11050" s="40" t="n">
        <v>0</v>
      </c>
    </row>
    <row r="11051" ht="12" customHeight="1">
      <c r="A11051" s="30" t="inlineStr">
        <is>
          <t>POR</t>
        </is>
      </c>
      <c r="B11051" s="30" t="inlineStr">
        <is>
          <t>Porto Real</t>
        </is>
      </c>
      <c r="C11051" s="30" t="n">
        <v>79395595</v>
      </c>
      <c r="D11051" s="30">
        <f>"13725103000160"</f>
        <v/>
      </c>
      <c r="E11051" s="30" t="inlineStr">
        <is>
          <t>INTALOG LOGISTICA TRANSPORTES LTDA</t>
        </is>
      </c>
      <c r="F11051" s="30" t="inlineStr">
        <is>
          <t>2021</t>
        </is>
      </c>
      <c r="G11051" s="40" t="n">
        <v>4390.14</v>
      </c>
    </row>
    <row r="11052" ht="12" customHeight="1">
      <c r="A11052" s="30" t="inlineStr">
        <is>
          <t>POR</t>
        </is>
      </c>
      <c r="B11052" s="30" t="inlineStr">
        <is>
          <t>Porto Real</t>
        </is>
      </c>
      <c r="C11052" s="30" t="n">
        <v>79395595</v>
      </c>
      <c r="D11052" s="30">
        <f>"13725103000160"</f>
        <v/>
      </c>
      <c r="E11052" s="30" t="inlineStr">
        <is>
          <t>INTALOG LOGISTICA TRANSPORTES LTDA</t>
        </is>
      </c>
      <c r="F11052" s="30" t="inlineStr">
        <is>
          <t>2022</t>
        </is>
      </c>
      <c r="G11052" s="40" t="n">
        <v>0</v>
      </c>
    </row>
    <row r="11053" ht="12" customHeight="1">
      <c r="A11053" s="30" t="inlineStr">
        <is>
          <t>POR</t>
        </is>
      </c>
      <c r="B11053" s="30" t="inlineStr">
        <is>
          <t>Porto Real</t>
        </is>
      </c>
      <c r="C11053" s="30" t="n">
        <v>79395595</v>
      </c>
      <c r="D11053" s="30">
        <f>"13725103000160"</f>
        <v/>
      </c>
      <c r="E11053" s="30" t="inlineStr">
        <is>
          <t>INTALOG LOGISTICA TRANSPORTES LTDA</t>
        </is>
      </c>
      <c r="F11053" s="30" t="inlineStr">
        <is>
          <t>2023</t>
        </is>
      </c>
      <c r="G11053" s="40" t="n">
        <v>7709.23</v>
      </c>
    </row>
    <row r="11054" ht="12" customHeight="1">
      <c r="A11054" s="30" t="inlineStr">
        <is>
          <t>POR</t>
        </is>
      </c>
      <c r="B11054" s="30" t="inlineStr">
        <is>
          <t>Porto Real</t>
        </is>
      </c>
      <c r="C11054" s="30" t="n">
        <v>79402605</v>
      </c>
      <c r="D11054" s="30">
        <f>"13742011000199"</f>
        <v/>
      </c>
      <c r="E11054" s="30" t="inlineStr">
        <is>
          <t>TRANSLUC TRANSPORTES E SERVICOS EIRELI EPP</t>
        </is>
      </c>
      <c r="F11054" s="30" t="inlineStr">
        <is>
          <t>2017</t>
        </is>
      </c>
      <c r="G11054" s="40" t="n">
        <v>16887</v>
      </c>
    </row>
    <row r="11055" ht="12" customHeight="1">
      <c r="A11055" s="30" t="inlineStr">
        <is>
          <t>POR</t>
        </is>
      </c>
      <c r="B11055" s="30" t="inlineStr">
        <is>
          <t>Porto Real</t>
        </is>
      </c>
      <c r="C11055" s="30" t="n">
        <v>79402605</v>
      </c>
      <c r="D11055" s="30">
        <f>"13742011000199"</f>
        <v/>
      </c>
      <c r="E11055" s="30" t="inlineStr">
        <is>
          <t>TRANSLUC TRANSPORTES E SERVICOS EIRELI EPP</t>
        </is>
      </c>
      <c r="F11055" s="30" t="inlineStr">
        <is>
          <t>2018</t>
        </is>
      </c>
      <c r="G11055" s="40" t="n">
        <v>272189.52</v>
      </c>
    </row>
    <row r="11056" ht="12" customHeight="1">
      <c r="A11056" s="30" t="inlineStr">
        <is>
          <t>POR</t>
        </is>
      </c>
      <c r="B11056" s="30" t="inlineStr">
        <is>
          <t>Porto Real</t>
        </is>
      </c>
      <c r="C11056" s="30" t="n">
        <v>79402605</v>
      </c>
      <c r="D11056" s="30">
        <f>"13742011000199"</f>
        <v/>
      </c>
      <c r="E11056" s="30" t="inlineStr">
        <is>
          <t>TRANSLUC TRANSPORTES E SERVICOS EIRELI EPP</t>
        </is>
      </c>
      <c r="F11056" s="30" t="inlineStr">
        <is>
          <t>2019</t>
        </is>
      </c>
      <c r="G11056" s="40" t="n">
        <v>315999.69</v>
      </c>
    </row>
    <row r="11057" ht="12" customHeight="1">
      <c r="A11057" s="30" t="inlineStr">
        <is>
          <t>POR</t>
        </is>
      </c>
      <c r="B11057" s="30" t="inlineStr">
        <is>
          <t>Porto Real</t>
        </is>
      </c>
      <c r="C11057" s="30" t="n">
        <v>79402605</v>
      </c>
      <c r="D11057" s="30">
        <f>"13742011000199"</f>
        <v/>
      </c>
      <c r="E11057" s="30" t="inlineStr">
        <is>
          <t>TRANSLUC TRANSPORTES E SERVICOS EIRELI EPP</t>
        </is>
      </c>
      <c r="F11057" s="30" t="inlineStr">
        <is>
          <t>2020</t>
        </is>
      </c>
      <c r="G11057" s="40" t="n">
        <v>356607.77</v>
      </c>
    </row>
    <row r="11058" ht="12" customHeight="1">
      <c r="A11058" s="30" t="inlineStr">
        <is>
          <t>POR</t>
        </is>
      </c>
      <c r="B11058" s="30" t="inlineStr">
        <is>
          <t>Porto Real</t>
        </is>
      </c>
      <c r="C11058" s="30" t="n">
        <v>79402605</v>
      </c>
      <c r="D11058" s="30">
        <f>"13742011000199"</f>
        <v/>
      </c>
      <c r="E11058" s="30" t="inlineStr">
        <is>
          <t>TRANSLUC TRANSPORTES E SERVICOS EIRELI EPP</t>
        </is>
      </c>
      <c r="F11058" s="30" t="inlineStr">
        <is>
          <t>2021</t>
        </is>
      </c>
      <c r="G11058" s="40" t="n">
        <v>431164.35</v>
      </c>
    </row>
    <row r="11059" ht="12" customHeight="1">
      <c r="A11059" s="30" t="inlineStr">
        <is>
          <t>POR</t>
        </is>
      </c>
      <c r="B11059" s="30" t="inlineStr">
        <is>
          <t>Porto Real</t>
        </is>
      </c>
      <c r="C11059" s="30" t="n">
        <v>79402605</v>
      </c>
      <c r="D11059" s="30">
        <f>"13742011000199"</f>
        <v/>
      </c>
      <c r="E11059" s="30" t="inlineStr">
        <is>
          <t>TRANSLUC TRANSPORTES E SERVICOS EIRELI EPP</t>
        </is>
      </c>
      <c r="F11059" s="30" t="inlineStr">
        <is>
          <t>2022</t>
        </is>
      </c>
      <c r="G11059" s="40" t="n">
        <v>366184.4</v>
      </c>
    </row>
    <row r="11060" ht="12" customHeight="1">
      <c r="A11060" s="30" t="inlineStr">
        <is>
          <t>POR</t>
        </is>
      </c>
      <c r="B11060" s="30" t="inlineStr">
        <is>
          <t>Porto Real</t>
        </is>
      </c>
      <c r="C11060" s="30" t="n">
        <v>79402605</v>
      </c>
      <c r="D11060" s="30">
        <f>"13742011000199"</f>
        <v/>
      </c>
      <c r="E11060" s="30" t="inlineStr">
        <is>
          <t>TRANSLUC TRANSPORTES E SERVICOS EIRELI EPP</t>
        </is>
      </c>
      <c r="F11060" s="30" t="inlineStr">
        <is>
          <t>2023</t>
        </is>
      </c>
      <c r="G11060" s="40" t="n">
        <v>0</v>
      </c>
    </row>
    <row r="11061" ht="12" customHeight="1">
      <c r="A11061" s="30" t="inlineStr">
        <is>
          <t>POR</t>
        </is>
      </c>
      <c r="B11061" s="30" t="inlineStr">
        <is>
          <t>Porto Real</t>
        </is>
      </c>
      <c r="C11061" s="30" t="n">
        <v>79438073</v>
      </c>
      <c r="D11061" s="30">
        <f>"13993184000180"</f>
        <v/>
      </c>
      <c r="E11061" s="30" t="inlineStr">
        <is>
          <t>MINI-MERCADO GCNE LTDA</t>
        </is>
      </c>
      <c r="F11061" s="30" t="inlineStr">
        <is>
          <t>2017</t>
        </is>
      </c>
      <c r="G11061" s="40" t="n">
        <v>0</v>
      </c>
    </row>
    <row r="11062" ht="12" customHeight="1">
      <c r="A11062" s="30" t="inlineStr">
        <is>
          <t>POR</t>
        </is>
      </c>
      <c r="B11062" s="30" t="inlineStr">
        <is>
          <t>Porto Real</t>
        </is>
      </c>
      <c r="C11062" s="30" t="n">
        <v>79438073</v>
      </c>
      <c r="D11062" s="30">
        <f>"13993184000180"</f>
        <v/>
      </c>
      <c r="E11062" s="30" t="inlineStr">
        <is>
          <t>MINI-MERCADO GCNE LTDA</t>
        </is>
      </c>
      <c r="F11062" s="30" t="inlineStr">
        <is>
          <t>2018</t>
        </is>
      </c>
      <c r="G11062" s="40" t="n">
        <v>0</v>
      </c>
    </row>
    <row r="11063" ht="12" customHeight="1">
      <c r="A11063" s="30" t="inlineStr">
        <is>
          <t>POR</t>
        </is>
      </c>
      <c r="B11063" s="30" t="inlineStr">
        <is>
          <t>Porto Real</t>
        </is>
      </c>
      <c r="C11063" s="30" t="n">
        <v>79438073</v>
      </c>
      <c r="D11063" s="30">
        <f>"13993184000180"</f>
        <v/>
      </c>
      <c r="E11063" s="30" t="inlineStr">
        <is>
          <t>MINI-MERCADO GCNE LTDA</t>
        </is>
      </c>
      <c r="F11063" s="30" t="inlineStr">
        <is>
          <t>2019</t>
        </is>
      </c>
      <c r="G11063" s="40" t="n">
        <v>0</v>
      </c>
    </row>
    <row r="11064" ht="12" customHeight="1">
      <c r="A11064" s="30" t="inlineStr">
        <is>
          <t>POR</t>
        </is>
      </c>
      <c r="B11064" s="30" t="inlineStr">
        <is>
          <t>Porto Real</t>
        </is>
      </c>
      <c r="C11064" s="30" t="n">
        <v>79438073</v>
      </c>
      <c r="D11064" s="30">
        <f>"13993184000180"</f>
        <v/>
      </c>
      <c r="E11064" s="30" t="inlineStr">
        <is>
          <t>MINI-MERCADO GCNE LTDA</t>
        </is>
      </c>
      <c r="F11064" s="30" t="inlineStr">
        <is>
          <t>2020</t>
        </is>
      </c>
      <c r="G11064" s="40" t="n">
        <v>0</v>
      </c>
    </row>
    <row r="11065" ht="12" customHeight="1">
      <c r="A11065" s="30" t="inlineStr">
        <is>
          <t>POR</t>
        </is>
      </c>
      <c r="B11065" s="30" t="inlineStr">
        <is>
          <t>Porto Real</t>
        </is>
      </c>
      <c r="C11065" s="30" t="n">
        <v>79438073</v>
      </c>
      <c r="D11065" s="30">
        <f>"13993184000180"</f>
        <v/>
      </c>
      <c r="E11065" s="30" t="inlineStr">
        <is>
          <t>MINI-MERCADO GCNE LTDA</t>
        </is>
      </c>
      <c r="F11065" s="30" t="inlineStr">
        <is>
          <t>2021</t>
        </is>
      </c>
      <c r="G11065" s="40" t="n">
        <v>0</v>
      </c>
    </row>
    <row r="11066" ht="12" customHeight="1">
      <c r="A11066" s="30" t="inlineStr">
        <is>
          <t>POR</t>
        </is>
      </c>
      <c r="B11066" s="30" t="inlineStr">
        <is>
          <t>Porto Real</t>
        </is>
      </c>
      <c r="C11066" s="30" t="n">
        <v>79438073</v>
      </c>
      <c r="D11066" s="30">
        <f>"13993184000180"</f>
        <v/>
      </c>
      <c r="E11066" s="30" t="inlineStr">
        <is>
          <t>MINI-MERCADO GCNE LTDA</t>
        </is>
      </c>
      <c r="F11066" s="30" t="inlineStr">
        <is>
          <t>2022</t>
        </is>
      </c>
      <c r="G11066" s="40" t="n">
        <v>0</v>
      </c>
    </row>
    <row r="11067" ht="12" customHeight="1">
      <c r="A11067" s="30" t="inlineStr">
        <is>
          <t>POR</t>
        </is>
      </c>
      <c r="B11067" s="30" t="inlineStr">
        <is>
          <t>Porto Real</t>
        </is>
      </c>
      <c r="C11067" s="30" t="n">
        <v>79438073</v>
      </c>
      <c r="D11067" s="30">
        <f>"13993184000180"</f>
        <v/>
      </c>
      <c r="E11067" s="30" t="inlineStr">
        <is>
          <t>MINI-MERCADO GCNE LTDA</t>
        </is>
      </c>
      <c r="F11067" s="30" t="inlineStr">
        <is>
          <t>2023</t>
        </is>
      </c>
      <c r="G11067" s="40" t="n">
        <v>0</v>
      </c>
    </row>
    <row r="11068" ht="12" customHeight="1">
      <c r="A11068" s="30" t="inlineStr">
        <is>
          <t>POR</t>
        </is>
      </c>
      <c r="B11068" s="30" t="inlineStr">
        <is>
          <t>Porto Real</t>
        </is>
      </c>
      <c r="C11068" s="30" t="n">
        <v>79438111</v>
      </c>
      <c r="D11068" s="30">
        <f>"49025695000660"</f>
        <v/>
      </c>
      <c r="E11068" s="30" t="inlineStr">
        <is>
          <t>JD COCENZO &amp; CIA LTDA</t>
        </is>
      </c>
      <c r="F11068" s="30" t="inlineStr">
        <is>
          <t>2018</t>
        </is>
      </c>
      <c r="G11068" s="40" t="n">
        <v>0</v>
      </c>
    </row>
    <row r="11069" ht="12" customHeight="1">
      <c r="A11069" s="30" t="inlineStr">
        <is>
          <t>POR</t>
        </is>
      </c>
      <c r="B11069" s="30" t="inlineStr">
        <is>
          <t>Porto Real</t>
        </is>
      </c>
      <c r="C11069" s="30" t="n">
        <v>79438111</v>
      </c>
      <c r="D11069" s="30">
        <f>"49025695000660"</f>
        <v/>
      </c>
      <c r="E11069" s="30" t="inlineStr">
        <is>
          <t>JD COCENZO &amp; CIA LTDA</t>
        </is>
      </c>
      <c r="F11069" s="30" t="inlineStr">
        <is>
          <t>2019</t>
        </is>
      </c>
      <c r="G11069" s="40" t="n">
        <v>0</v>
      </c>
    </row>
    <row r="11070" ht="12" customHeight="1">
      <c r="A11070" s="30" t="inlineStr">
        <is>
          <t>POR</t>
        </is>
      </c>
      <c r="B11070" s="30" t="inlineStr">
        <is>
          <t>Porto Real</t>
        </is>
      </c>
      <c r="C11070" s="30" t="n">
        <v>79438111</v>
      </c>
      <c r="D11070" s="30">
        <f>"49025695000660"</f>
        <v/>
      </c>
      <c r="E11070" s="30" t="inlineStr">
        <is>
          <t>JD COCENZO &amp; CIA LTDA</t>
        </is>
      </c>
      <c r="F11070" s="30" t="inlineStr">
        <is>
          <t>2020</t>
        </is>
      </c>
      <c r="G11070" s="40" t="n">
        <v>500</v>
      </c>
    </row>
    <row r="11071" ht="12" customHeight="1">
      <c r="A11071" s="30" t="inlineStr">
        <is>
          <t>POR</t>
        </is>
      </c>
      <c r="B11071" s="30" t="inlineStr">
        <is>
          <t>Porto Real</t>
        </is>
      </c>
      <c r="C11071" s="30" t="n">
        <v>79438111</v>
      </c>
      <c r="D11071" s="30">
        <f>"49025695000660"</f>
        <v/>
      </c>
      <c r="E11071" s="30" t="inlineStr">
        <is>
          <t>JD COCENZO &amp; CIA LTDA</t>
        </is>
      </c>
      <c r="F11071" s="30" t="inlineStr">
        <is>
          <t>2021</t>
        </is>
      </c>
      <c r="G11071" s="40" t="n">
        <v>0</v>
      </c>
    </row>
    <row r="11072" ht="12" customHeight="1">
      <c r="A11072" s="30" t="inlineStr">
        <is>
          <t>POR</t>
        </is>
      </c>
      <c r="B11072" s="30" t="inlineStr">
        <is>
          <t>Porto Real</t>
        </is>
      </c>
      <c r="C11072" s="30" t="n">
        <v>79438111</v>
      </c>
      <c r="D11072" s="30">
        <f>"49025695000660"</f>
        <v/>
      </c>
      <c r="E11072" s="30" t="inlineStr">
        <is>
          <t>JD COCENZO &amp; CIA LTDA</t>
        </is>
      </c>
      <c r="F11072" s="30" t="inlineStr">
        <is>
          <t>2022</t>
        </is>
      </c>
      <c r="G11072" s="40" t="n">
        <v>0</v>
      </c>
    </row>
    <row r="11073" ht="12" customHeight="1">
      <c r="A11073" s="30" t="inlineStr">
        <is>
          <t>POR</t>
        </is>
      </c>
      <c r="B11073" s="30" t="inlineStr">
        <is>
          <t>Porto Real</t>
        </is>
      </c>
      <c r="C11073" s="30" t="n">
        <v>79442127</v>
      </c>
      <c r="D11073" s="30">
        <f>"14040097000170"</f>
        <v/>
      </c>
      <c r="E11073" s="30" t="inlineStr">
        <is>
          <t>COMERCIO DE CEREAIS E PRODUTOS ALIMENTICIOS DOIS AMIGOS LTDA EPP</t>
        </is>
      </c>
      <c r="F11073" s="30" t="inlineStr">
        <is>
          <t>2017</t>
        </is>
      </c>
      <c r="G11073" s="40" t="n">
        <v>0</v>
      </c>
    </row>
    <row r="11074" ht="12" customHeight="1">
      <c r="A11074" s="30" t="inlineStr">
        <is>
          <t>POR</t>
        </is>
      </c>
      <c r="B11074" s="30" t="inlineStr">
        <is>
          <t>Porto Real</t>
        </is>
      </c>
      <c r="C11074" s="30" t="n">
        <v>79442127</v>
      </c>
      <c r="D11074" s="30">
        <f>"14040097000170"</f>
        <v/>
      </c>
      <c r="E11074" s="30" t="inlineStr">
        <is>
          <t>COMERCIO DE CEREAIS E PRODUTOS ALIMENTICIOS DOIS AMIGOS LTDA EPP</t>
        </is>
      </c>
      <c r="F11074" s="30" t="inlineStr">
        <is>
          <t>2018</t>
        </is>
      </c>
      <c r="G11074" s="40" t="n">
        <v>0</v>
      </c>
    </row>
    <row r="11075" ht="12" customHeight="1">
      <c r="A11075" s="30" t="inlineStr">
        <is>
          <t>POR</t>
        </is>
      </c>
      <c r="B11075" s="30" t="inlineStr">
        <is>
          <t>Porto Real</t>
        </is>
      </c>
      <c r="C11075" s="30" t="n">
        <v>79442127</v>
      </c>
      <c r="D11075" s="30">
        <f>"14040097000170"</f>
        <v/>
      </c>
      <c r="E11075" s="30" t="inlineStr">
        <is>
          <t>COMERCIO DE CEREAIS E PRODUTOS ALIMENTICIOS DOIS AMIGOS LTDA EPP</t>
        </is>
      </c>
      <c r="F11075" s="30" t="inlineStr">
        <is>
          <t>2019</t>
        </is>
      </c>
      <c r="G11075" s="40" t="n">
        <v>0</v>
      </c>
    </row>
    <row r="11076" ht="12" customHeight="1">
      <c r="A11076" s="30" t="inlineStr">
        <is>
          <t>POR</t>
        </is>
      </c>
      <c r="B11076" s="30" t="inlineStr">
        <is>
          <t>Porto Real</t>
        </is>
      </c>
      <c r="C11076" s="30" t="n">
        <v>79451789</v>
      </c>
      <c r="D11076" s="30">
        <f>"14097258000162"</f>
        <v/>
      </c>
      <c r="E11076" s="30" t="inlineStr">
        <is>
          <t>MW COMERCIO E SERVICOS DE CONSTRUCOES LTDA-EPP</t>
        </is>
      </c>
      <c r="F11076" s="30" t="inlineStr">
        <is>
          <t>2017</t>
        </is>
      </c>
      <c r="G11076" s="40" t="n">
        <v>0</v>
      </c>
    </row>
    <row r="11077" ht="12" customHeight="1">
      <c r="A11077" s="30" t="inlineStr">
        <is>
          <t>POR</t>
        </is>
      </c>
      <c r="B11077" s="30" t="inlineStr">
        <is>
          <t>Porto Real</t>
        </is>
      </c>
      <c r="C11077" s="30" t="n">
        <v>79451789</v>
      </c>
      <c r="D11077" s="30">
        <f>"14097258000162"</f>
        <v/>
      </c>
      <c r="E11077" s="30" t="inlineStr">
        <is>
          <t>MW COMERCIO E SERVICOS DE CONSTRUCOES LTDA-EPP</t>
        </is>
      </c>
      <c r="F11077" s="30" t="inlineStr">
        <is>
          <t>2018</t>
        </is>
      </c>
      <c r="G11077" s="40" t="n">
        <v>0</v>
      </c>
    </row>
    <row r="11078" ht="12" customHeight="1">
      <c r="A11078" s="30" t="inlineStr">
        <is>
          <t>POR</t>
        </is>
      </c>
      <c r="B11078" s="30" t="inlineStr">
        <is>
          <t>Porto Real</t>
        </is>
      </c>
      <c r="C11078" s="30" t="n">
        <v>79451789</v>
      </c>
      <c r="D11078" s="30">
        <f>"14097258000162"</f>
        <v/>
      </c>
      <c r="E11078" s="30" t="inlineStr">
        <is>
          <t>MW COMERCIO E SERVICOS DE CONSTRUCOES LTDA-EPP</t>
        </is>
      </c>
      <c r="F11078" s="30" t="inlineStr">
        <is>
          <t>2019</t>
        </is>
      </c>
      <c r="G11078" s="40" t="n">
        <v>0</v>
      </c>
    </row>
    <row r="11079" ht="12" customHeight="1">
      <c r="A11079" s="30" t="inlineStr">
        <is>
          <t>POR</t>
        </is>
      </c>
      <c r="B11079" s="30" t="inlineStr">
        <is>
          <t>Porto Real</t>
        </is>
      </c>
      <c r="C11079" s="30" t="n">
        <v>79451789</v>
      </c>
      <c r="D11079" s="30">
        <f>"14097258000162"</f>
        <v/>
      </c>
      <c r="E11079" s="30" t="inlineStr">
        <is>
          <t>MW COMERCIO E SERVICOS DE CONSTRUCOES LTDA-EPP</t>
        </is>
      </c>
      <c r="F11079" s="30" t="inlineStr">
        <is>
          <t>2020</t>
        </is>
      </c>
      <c r="G11079" s="40" t="n">
        <v>0</v>
      </c>
    </row>
    <row r="11080" ht="12" customHeight="1">
      <c r="A11080" s="30" t="inlineStr">
        <is>
          <t>POR</t>
        </is>
      </c>
      <c r="B11080" s="30" t="inlineStr">
        <is>
          <t>Porto Real</t>
        </is>
      </c>
      <c r="C11080" s="30" t="n">
        <v>79451789</v>
      </c>
      <c r="D11080" s="30">
        <f>"14097258000162"</f>
        <v/>
      </c>
      <c r="E11080" s="30" t="inlineStr">
        <is>
          <t>MW COMERCIO E SERVICOS DE CONSTRUCOES LTDA-EPP</t>
        </is>
      </c>
      <c r="F11080" s="30" t="inlineStr">
        <is>
          <t>2021</t>
        </is>
      </c>
      <c r="G11080" s="40" t="n">
        <v>0</v>
      </c>
    </row>
    <row r="11081" ht="12" customHeight="1">
      <c r="A11081" s="30" t="inlineStr">
        <is>
          <t>POR</t>
        </is>
      </c>
      <c r="B11081" s="30" t="inlineStr">
        <is>
          <t>Porto Real</t>
        </is>
      </c>
      <c r="C11081" s="30" t="n">
        <v>79488780</v>
      </c>
      <c r="D11081" s="30">
        <f>"75553115002660"</f>
        <v/>
      </c>
      <c r="E11081" s="30" t="inlineStr">
        <is>
          <t>TRANSPORTE RODOVIARIO DE CARGAS ZAPPELLINI LTDA</t>
        </is>
      </c>
      <c r="F11081" s="30" t="inlineStr">
        <is>
          <t>2021</t>
        </is>
      </c>
      <c r="G11081" s="40" t="n">
        <v>0</v>
      </c>
    </row>
    <row r="11082" ht="12" customHeight="1">
      <c r="A11082" s="30" t="inlineStr">
        <is>
          <t>POR</t>
        </is>
      </c>
      <c r="B11082" s="30" t="inlineStr">
        <is>
          <t>Porto Real</t>
        </is>
      </c>
      <c r="C11082" s="30" t="n">
        <v>79488780</v>
      </c>
      <c r="D11082" s="30">
        <f>"75553115002660"</f>
        <v/>
      </c>
      <c r="E11082" s="30" t="inlineStr">
        <is>
          <t>TRANSPORTE RODOVIARIO DE CARGAS ZAPPELLINI LTDA</t>
        </is>
      </c>
      <c r="F11082" s="30" t="inlineStr">
        <is>
          <t>2022</t>
        </is>
      </c>
      <c r="G11082" s="40" t="n">
        <v>0</v>
      </c>
    </row>
    <row r="11083" ht="12" customHeight="1">
      <c r="A11083" s="30" t="inlineStr">
        <is>
          <t>POR</t>
        </is>
      </c>
      <c r="B11083" s="30" t="inlineStr">
        <is>
          <t>Porto Real</t>
        </is>
      </c>
      <c r="C11083" s="30" t="n">
        <v>79488780</v>
      </c>
      <c r="D11083" s="30">
        <f>"75553115002660"</f>
        <v/>
      </c>
      <c r="E11083" s="30" t="inlineStr">
        <is>
          <t>TRANSPORTE RODOVIARIO DE CARGAS ZAPPELLINI LTDA</t>
        </is>
      </c>
      <c r="F11083" s="30" t="inlineStr">
        <is>
          <t>2023</t>
        </is>
      </c>
      <c r="G11083" s="40" t="n">
        <v>5300</v>
      </c>
    </row>
    <row r="11084" ht="12" customHeight="1">
      <c r="A11084" s="30" t="inlineStr">
        <is>
          <t>POR</t>
        </is>
      </c>
      <c r="B11084" s="30" t="inlineStr">
        <is>
          <t>Porto Real</t>
        </is>
      </c>
      <c r="C11084" s="30" t="n">
        <v>79508101</v>
      </c>
      <c r="D11084" s="30">
        <f>"41717984000537"</f>
        <v/>
      </c>
      <c r="E11084" s="30" t="inlineStr">
        <is>
          <t>J M LOCACAO E LOGISTICA DE JUIZ DE FORA LTDA EPP</t>
        </is>
      </c>
      <c r="F11084" s="30" t="inlineStr">
        <is>
          <t>2021</t>
        </is>
      </c>
      <c r="G11084" s="40" t="n">
        <v>0</v>
      </c>
    </row>
    <row r="11085" ht="12" customHeight="1">
      <c r="A11085" s="30" t="inlineStr">
        <is>
          <t>POR</t>
        </is>
      </c>
      <c r="B11085" s="30" t="inlineStr">
        <is>
          <t>Porto Real</t>
        </is>
      </c>
      <c r="C11085" s="30" t="n">
        <v>79508101</v>
      </c>
      <c r="D11085" s="30">
        <f>"41717984000537"</f>
        <v/>
      </c>
      <c r="E11085" s="30" t="inlineStr">
        <is>
          <t>J M LOCACAO E LOGISTICA DE JUIZ DE FORA LTDA EPP</t>
        </is>
      </c>
      <c r="F11085" s="30" t="inlineStr">
        <is>
          <t>2022</t>
        </is>
      </c>
      <c r="G11085" s="40" t="n">
        <v>0</v>
      </c>
    </row>
    <row r="11086" ht="12" customHeight="1">
      <c r="A11086" s="30" t="inlineStr">
        <is>
          <t>POR</t>
        </is>
      </c>
      <c r="B11086" s="30" t="inlineStr">
        <is>
          <t>Porto Real</t>
        </is>
      </c>
      <c r="C11086" s="30" t="n">
        <v>79508101</v>
      </c>
      <c r="D11086" s="30">
        <f>"41717984000537"</f>
        <v/>
      </c>
      <c r="E11086" s="30" t="inlineStr">
        <is>
          <t>J M LOCACAO E LOGISTICA DE JUIZ DE FORA LTDA EPP</t>
        </is>
      </c>
      <c r="F11086" s="30" t="inlineStr">
        <is>
          <t>2023</t>
        </is>
      </c>
      <c r="G11086" s="40" t="n">
        <v>2468.75</v>
      </c>
    </row>
    <row r="11087" ht="12" customHeight="1">
      <c r="A11087" s="30" t="inlineStr">
        <is>
          <t>POR</t>
        </is>
      </c>
      <c r="B11087" s="30" t="inlineStr">
        <is>
          <t>Porto Real</t>
        </is>
      </c>
      <c r="C11087" s="30" t="n">
        <v>79510157</v>
      </c>
      <c r="D11087" s="30">
        <f>"14130987000173"</f>
        <v/>
      </c>
      <c r="E11087" s="30" t="inlineStr">
        <is>
          <t>LOKKAR RENTAR CAR LTDA EPP</t>
        </is>
      </c>
      <c r="F11087" s="30" t="inlineStr">
        <is>
          <t>2020</t>
        </is>
      </c>
      <c r="G11087" s="40" t="n">
        <v>0</v>
      </c>
    </row>
    <row r="11088" ht="12" customHeight="1">
      <c r="A11088" s="30" t="inlineStr">
        <is>
          <t>POR</t>
        </is>
      </c>
      <c r="B11088" s="30" t="inlineStr">
        <is>
          <t>Porto Real</t>
        </is>
      </c>
      <c r="C11088" s="30" t="n">
        <v>79510157</v>
      </c>
      <c r="D11088" s="30">
        <f>"14130987000173"</f>
        <v/>
      </c>
      <c r="E11088" s="30" t="inlineStr">
        <is>
          <t>LOKKAR RENTAR CAR LTDA EPP</t>
        </is>
      </c>
      <c r="F11088" s="30" t="inlineStr">
        <is>
          <t>2021</t>
        </is>
      </c>
      <c r="G11088" s="40" t="n">
        <v>0</v>
      </c>
    </row>
    <row r="11089" ht="12" customHeight="1">
      <c r="A11089" s="30" t="inlineStr">
        <is>
          <t>POR</t>
        </is>
      </c>
      <c r="B11089" s="30" t="inlineStr">
        <is>
          <t>Porto Real</t>
        </is>
      </c>
      <c r="C11089" s="30" t="n">
        <v>79510157</v>
      </c>
      <c r="D11089" s="30">
        <f>"14130987000173"</f>
        <v/>
      </c>
      <c r="E11089" s="30" t="inlineStr">
        <is>
          <t>LOKKAR RENTAR CAR LTDA EPP</t>
        </is>
      </c>
      <c r="F11089" s="30" t="inlineStr">
        <is>
          <t>2022</t>
        </is>
      </c>
      <c r="G11089" s="40" t="n">
        <v>38737</v>
      </c>
    </row>
    <row r="11090" ht="12" customHeight="1">
      <c r="A11090" s="30" t="inlineStr">
        <is>
          <t>POR</t>
        </is>
      </c>
      <c r="B11090" s="30" t="inlineStr">
        <is>
          <t>Porto Real</t>
        </is>
      </c>
      <c r="C11090" s="30" t="n">
        <v>79510157</v>
      </c>
      <c r="D11090" s="30">
        <f>"14130987000173"</f>
        <v/>
      </c>
      <c r="E11090" s="30" t="inlineStr">
        <is>
          <t>LOKKAR RENTAR CAR LTDA EPP</t>
        </is>
      </c>
      <c r="F11090" s="30" t="inlineStr">
        <is>
          <t>2023</t>
        </is>
      </c>
      <c r="G11090" s="40" t="n">
        <v>0</v>
      </c>
    </row>
    <row r="11091" ht="12" customHeight="1">
      <c r="A11091" s="30" t="inlineStr">
        <is>
          <t>POR</t>
        </is>
      </c>
      <c r="B11091" s="30" t="inlineStr">
        <is>
          <t>Porto Real</t>
        </is>
      </c>
      <c r="C11091" s="30" t="n">
        <v>79510688</v>
      </c>
      <c r="D11091" s="30">
        <f>"10839911000322"</f>
        <v/>
      </c>
      <c r="E11091" s="30" t="inlineStr">
        <is>
          <t>TG LOGISTICA E TRANSPORTES LTDA</t>
        </is>
      </c>
      <c r="F11091" s="30" t="inlineStr">
        <is>
          <t>2020</t>
        </is>
      </c>
      <c r="G11091" s="40" t="n">
        <v>0</v>
      </c>
    </row>
    <row r="11092" ht="12" customHeight="1">
      <c r="A11092" s="30" t="inlineStr">
        <is>
          <t>POR</t>
        </is>
      </c>
      <c r="B11092" s="30" t="inlineStr">
        <is>
          <t>Porto Real</t>
        </is>
      </c>
      <c r="C11092" s="30" t="n">
        <v>79510688</v>
      </c>
      <c r="D11092" s="30">
        <f>"10839911000322"</f>
        <v/>
      </c>
      <c r="E11092" s="30" t="inlineStr">
        <is>
          <t>TG LOGISTICA E TRANSPORTES LTDA</t>
        </is>
      </c>
      <c r="F11092" s="30" t="inlineStr">
        <is>
          <t>2021</t>
        </is>
      </c>
      <c r="G11092" s="40" t="n">
        <v>0</v>
      </c>
    </row>
    <row r="11093" ht="12" customHeight="1">
      <c r="A11093" s="30" t="inlineStr">
        <is>
          <t>POR</t>
        </is>
      </c>
      <c r="B11093" s="30" t="inlineStr">
        <is>
          <t>Porto Real</t>
        </is>
      </c>
      <c r="C11093" s="30" t="n">
        <v>79510688</v>
      </c>
      <c r="D11093" s="30">
        <f>"10839911000322"</f>
        <v/>
      </c>
      <c r="E11093" s="30" t="inlineStr">
        <is>
          <t>TG LOGISTICA E TRANSPORTES LTDA</t>
        </is>
      </c>
      <c r="F11093" s="30" t="inlineStr">
        <is>
          <t>2022</t>
        </is>
      </c>
      <c r="G11093" s="40" t="n">
        <v>4029.27</v>
      </c>
    </row>
    <row r="11094" ht="12" customHeight="1">
      <c r="A11094" s="30" t="inlineStr">
        <is>
          <t>POR</t>
        </is>
      </c>
      <c r="B11094" s="30" t="inlineStr">
        <is>
          <t>Porto Real</t>
        </is>
      </c>
      <c r="C11094" s="30" t="n">
        <v>79510688</v>
      </c>
      <c r="D11094" s="30">
        <f>"10839911000322"</f>
        <v/>
      </c>
      <c r="E11094" s="30" t="inlineStr">
        <is>
          <t>TG LOGISTICA E TRANSPORTES LTDA</t>
        </is>
      </c>
      <c r="F11094" s="30" t="inlineStr">
        <is>
          <t>2023</t>
        </is>
      </c>
      <c r="G11094" s="40" t="n">
        <v>0</v>
      </c>
    </row>
    <row r="11095" ht="12" customHeight="1">
      <c r="A11095" s="30" t="inlineStr">
        <is>
          <t>POR</t>
        </is>
      </c>
      <c r="B11095" s="30" t="inlineStr">
        <is>
          <t>Porto Real</t>
        </is>
      </c>
      <c r="C11095" s="30" t="n">
        <v>79517518</v>
      </c>
      <c r="D11095" s="30">
        <f>"01178298001592"</f>
        <v/>
      </c>
      <c r="E11095" s="30" t="inlineStr">
        <is>
          <t>FAURECIA AUTOMOTIVE DO BRASIL LTDA</t>
        </is>
      </c>
      <c r="F11095" s="30" t="inlineStr">
        <is>
          <t>2017</t>
        </is>
      </c>
      <c r="G11095" s="40" t="n">
        <v>0</v>
      </c>
    </row>
    <row r="11096" ht="12" customHeight="1">
      <c r="A11096" s="30" t="inlineStr">
        <is>
          <t>POR</t>
        </is>
      </c>
      <c r="B11096" s="30" t="inlineStr">
        <is>
          <t>Porto Real</t>
        </is>
      </c>
      <c r="C11096" s="30" t="n">
        <v>79517518</v>
      </c>
      <c r="D11096" s="30">
        <f>"01178298001592"</f>
        <v/>
      </c>
      <c r="E11096" s="30" t="inlineStr">
        <is>
          <t>FAURECIA AUTOMOTIVE DO BRASIL LTDA</t>
        </is>
      </c>
      <c r="F11096" s="30" t="inlineStr">
        <is>
          <t>2018</t>
        </is>
      </c>
      <c r="G11096" s="40" t="n">
        <v>0</v>
      </c>
    </row>
    <row r="11097" ht="12" customHeight="1">
      <c r="A11097" s="30" t="inlineStr">
        <is>
          <t>POR</t>
        </is>
      </c>
      <c r="B11097" s="30" t="inlineStr">
        <is>
          <t>Porto Real</t>
        </is>
      </c>
      <c r="C11097" s="30" t="n">
        <v>79517518</v>
      </c>
      <c r="D11097" s="30">
        <f>"01178298001592"</f>
        <v/>
      </c>
      <c r="E11097" s="30" t="inlineStr">
        <is>
          <t>FAURECIA AUTOMOTIVE DO BRASIL LTDA</t>
        </is>
      </c>
      <c r="F11097" s="30" t="inlineStr">
        <is>
          <t>2019</t>
        </is>
      </c>
      <c r="G11097" s="40" t="n">
        <v>0</v>
      </c>
    </row>
    <row r="11098" ht="12" customHeight="1">
      <c r="A11098" s="30" t="inlineStr">
        <is>
          <t>POR</t>
        </is>
      </c>
      <c r="B11098" s="30" t="inlineStr">
        <is>
          <t>Porto Real</t>
        </is>
      </c>
      <c r="C11098" s="30" t="n">
        <v>79541575</v>
      </c>
      <c r="D11098" s="30">
        <f>"04915315001434"</f>
        <v/>
      </c>
      <c r="E11098" s="30" t="inlineStr">
        <is>
          <t>VENTANA SERRA DO BRASIL AGENCIAMENTO DE CARGAS LTDA</t>
        </is>
      </c>
      <c r="F11098" s="30" t="inlineStr">
        <is>
          <t>2020</t>
        </is>
      </c>
      <c r="G11098" s="40" t="n">
        <v>0</v>
      </c>
    </row>
    <row r="11099" ht="12" customHeight="1">
      <c r="A11099" s="30" t="inlineStr">
        <is>
          <t>POR</t>
        </is>
      </c>
      <c r="B11099" s="30" t="inlineStr">
        <is>
          <t>Porto Real</t>
        </is>
      </c>
      <c r="C11099" s="30" t="n">
        <v>79541575</v>
      </c>
      <c r="D11099" s="30">
        <f>"04915315001434"</f>
        <v/>
      </c>
      <c r="E11099" s="30" t="inlineStr">
        <is>
          <t>VENTANA SERRA DO BRASIL AGENCIAMENTO DE CARGAS LTDA</t>
        </is>
      </c>
      <c r="F11099" s="30" t="inlineStr">
        <is>
          <t>2021</t>
        </is>
      </c>
      <c r="G11099" s="40" t="n">
        <v>0</v>
      </c>
    </row>
    <row r="11100" ht="12" customHeight="1">
      <c r="A11100" s="30" t="inlineStr">
        <is>
          <t>POR</t>
        </is>
      </c>
      <c r="B11100" s="30" t="inlineStr">
        <is>
          <t>Porto Real</t>
        </is>
      </c>
      <c r="C11100" s="30" t="n">
        <v>79541575</v>
      </c>
      <c r="D11100" s="30">
        <f>"04915315001434"</f>
        <v/>
      </c>
      <c r="E11100" s="30" t="inlineStr">
        <is>
          <t>VENTANA SERRA DO BRASIL AGENCIAMENTO DE CARGAS LTDA</t>
        </is>
      </c>
      <c r="F11100" s="30" t="inlineStr">
        <is>
          <t>2022</t>
        </is>
      </c>
      <c r="G11100" s="40" t="n">
        <v>1600.19</v>
      </c>
    </row>
    <row r="11101" ht="12" customHeight="1">
      <c r="A11101" s="30" t="inlineStr">
        <is>
          <t>POR</t>
        </is>
      </c>
      <c r="B11101" s="30" t="inlineStr">
        <is>
          <t>Porto Real</t>
        </is>
      </c>
      <c r="C11101" s="30" t="n">
        <v>79541575</v>
      </c>
      <c r="D11101" s="30">
        <f>"04915315001434"</f>
        <v/>
      </c>
      <c r="E11101" s="30" t="inlineStr">
        <is>
          <t>VENTANA SERRA DO BRASIL AGENCIAMENTO DE CARGAS LTDA</t>
        </is>
      </c>
      <c r="F11101" s="30" t="inlineStr">
        <is>
          <t>2023</t>
        </is>
      </c>
      <c r="G11101" s="40" t="n">
        <v>4068.17</v>
      </c>
    </row>
    <row r="11102" ht="12" customHeight="1">
      <c r="A11102" s="30" t="inlineStr">
        <is>
          <t>POR</t>
        </is>
      </c>
      <c r="B11102" s="30" t="inlineStr">
        <is>
          <t>Porto Real</t>
        </is>
      </c>
      <c r="C11102" s="30" t="n">
        <v>79577928</v>
      </c>
      <c r="D11102" s="30">
        <f>"02308873000515"</f>
        <v/>
      </c>
      <c r="E11102" s="30" t="inlineStr">
        <is>
          <t>FAURECIA EMISSIONS CONTROL TECHONOLOGIES DO BRASIL S A</t>
        </is>
      </c>
      <c r="F11102" s="30" t="inlineStr">
        <is>
          <t>2017</t>
        </is>
      </c>
      <c r="G11102" s="40" t="n">
        <v>15819529.46</v>
      </c>
    </row>
    <row r="11103" ht="12" customHeight="1">
      <c r="A11103" s="30" t="inlineStr">
        <is>
          <t>POR</t>
        </is>
      </c>
      <c r="B11103" s="30" t="inlineStr">
        <is>
          <t>Porto Real</t>
        </is>
      </c>
      <c r="C11103" s="30" t="n">
        <v>79577928</v>
      </c>
      <c r="D11103" s="30">
        <f>"02308873000515"</f>
        <v/>
      </c>
      <c r="E11103" s="30" t="inlineStr">
        <is>
          <t>FAURECIA EMISSIONS CONTROL TECHONOLOGIES DO BRASIL S A</t>
        </is>
      </c>
      <c r="F11103" s="30" t="inlineStr">
        <is>
          <t>2018</t>
        </is>
      </c>
      <c r="G11103" s="40" t="n">
        <v>854078.71</v>
      </c>
    </row>
    <row r="11104" ht="12" customHeight="1">
      <c r="A11104" s="30" t="inlineStr">
        <is>
          <t>POR</t>
        </is>
      </c>
      <c r="B11104" s="30" t="inlineStr">
        <is>
          <t>Porto Real</t>
        </is>
      </c>
      <c r="C11104" s="30" t="n">
        <v>79577928</v>
      </c>
      <c r="D11104" s="30">
        <f>"02308873000515"</f>
        <v/>
      </c>
      <c r="E11104" s="30" t="inlineStr">
        <is>
          <t>FAURECIA EMISSIONS CONTROL TECHONOLOGIES DO BRASIL S A</t>
        </is>
      </c>
      <c r="F11104" s="30" t="inlineStr">
        <is>
          <t>2019</t>
        </is>
      </c>
      <c r="G11104" s="40" t="n">
        <v>0</v>
      </c>
    </row>
    <row r="11105" ht="12" customHeight="1">
      <c r="A11105" s="30" t="inlineStr">
        <is>
          <t>POR</t>
        </is>
      </c>
      <c r="B11105" s="30" t="inlineStr">
        <is>
          <t>Porto Real</t>
        </is>
      </c>
      <c r="C11105" s="30" t="n">
        <v>79577928</v>
      </c>
      <c r="D11105" s="30">
        <f>"02308873000515"</f>
        <v/>
      </c>
      <c r="E11105" s="30" t="inlineStr">
        <is>
          <t>FAURECIA EMISSIONS CONTROL TECHONOLOGIES DO BRASIL S A</t>
        </is>
      </c>
      <c r="F11105" s="30" t="inlineStr">
        <is>
          <t>2020</t>
        </is>
      </c>
      <c r="G11105" s="40" t="n">
        <v>0</v>
      </c>
    </row>
    <row r="11106" ht="12" customHeight="1">
      <c r="A11106" s="30" t="inlineStr">
        <is>
          <t>POR</t>
        </is>
      </c>
      <c r="B11106" s="30" t="inlineStr">
        <is>
          <t>Porto Real</t>
        </is>
      </c>
      <c r="C11106" s="30" t="n">
        <v>79582980</v>
      </c>
      <c r="D11106" s="30">
        <f>"78815958001280"</f>
        <v/>
      </c>
      <c r="E11106" s="30" t="inlineStr">
        <is>
          <t>JOSE OSVALDO DE OLIVEIRA EIRELI</t>
        </is>
      </c>
      <c r="F11106" s="30" t="inlineStr">
        <is>
          <t>2017</t>
        </is>
      </c>
      <c r="G11106" s="40" t="n">
        <v>269.6</v>
      </c>
    </row>
    <row r="11107" ht="12" customHeight="1">
      <c r="A11107" s="30" t="inlineStr">
        <is>
          <t>POR</t>
        </is>
      </c>
      <c r="B11107" s="30" t="inlineStr">
        <is>
          <t>Porto Real</t>
        </is>
      </c>
      <c r="C11107" s="30" t="n">
        <v>79582980</v>
      </c>
      <c r="D11107" s="30">
        <f>"78815958001280"</f>
        <v/>
      </c>
      <c r="E11107" s="30" t="inlineStr">
        <is>
          <t>JOSE OSVALDO DE OLIVEIRA EIRELI</t>
        </is>
      </c>
      <c r="F11107" s="30" t="inlineStr">
        <is>
          <t>2018</t>
        </is>
      </c>
      <c r="G11107" s="40" t="n">
        <v>140</v>
      </c>
    </row>
    <row r="11108" ht="12" customHeight="1">
      <c r="A11108" s="30" t="inlineStr">
        <is>
          <t>POR</t>
        </is>
      </c>
      <c r="B11108" s="30" t="inlineStr">
        <is>
          <t>Porto Real</t>
        </is>
      </c>
      <c r="C11108" s="30" t="n">
        <v>79582980</v>
      </c>
      <c r="D11108" s="30">
        <f>"78815958001280"</f>
        <v/>
      </c>
      <c r="E11108" s="30" t="inlineStr">
        <is>
          <t>JOSE OSVALDO DE OLIVEIRA EIRELI</t>
        </is>
      </c>
      <c r="F11108" s="30" t="inlineStr">
        <is>
          <t>2019</t>
        </is>
      </c>
      <c r="G11108" s="40" t="n">
        <v>0</v>
      </c>
    </row>
    <row r="11109" ht="12" customHeight="1">
      <c r="A11109" s="30" t="inlineStr">
        <is>
          <t>POR</t>
        </is>
      </c>
      <c r="B11109" s="30" t="inlineStr">
        <is>
          <t>Porto Real</t>
        </is>
      </c>
      <c r="C11109" s="30" t="n">
        <v>79582980</v>
      </c>
      <c r="D11109" s="30">
        <f>"78815958001280"</f>
        <v/>
      </c>
      <c r="E11109" s="30" t="inlineStr">
        <is>
          <t>JOSE OSVALDO DE OLIVEIRA EIRELI</t>
        </is>
      </c>
      <c r="F11109" s="30" t="inlineStr">
        <is>
          <t>2020</t>
        </is>
      </c>
      <c r="G11109" s="40" t="n">
        <v>0</v>
      </c>
    </row>
    <row r="11110" ht="12" customHeight="1">
      <c r="A11110" s="30" t="inlineStr">
        <is>
          <t>POR</t>
        </is>
      </c>
      <c r="B11110" s="30" t="inlineStr">
        <is>
          <t>Porto Real</t>
        </is>
      </c>
      <c r="C11110" s="30" t="n">
        <v>79582980</v>
      </c>
      <c r="D11110" s="30">
        <f>"78815958001280"</f>
        <v/>
      </c>
      <c r="E11110" s="30" t="inlineStr">
        <is>
          <t>JOSE OSVALDO DE OLIVEIRA EIRELI</t>
        </is>
      </c>
      <c r="F11110" s="30" t="inlineStr">
        <is>
          <t>2021</t>
        </is>
      </c>
      <c r="G11110" s="40" t="n">
        <v>53.32</v>
      </c>
    </row>
    <row r="11111" ht="12" customHeight="1">
      <c r="A11111" s="30" t="inlineStr">
        <is>
          <t>POR</t>
        </is>
      </c>
      <c r="B11111" s="30" t="inlineStr">
        <is>
          <t>Porto Real</t>
        </is>
      </c>
      <c r="C11111" s="30" t="n">
        <v>79582980</v>
      </c>
      <c r="D11111" s="30">
        <f>"78815958001280"</f>
        <v/>
      </c>
      <c r="E11111" s="30" t="inlineStr">
        <is>
          <t>JOSE OSVALDO DE OLIVEIRA EIRELI</t>
        </is>
      </c>
      <c r="F11111" s="30" t="inlineStr">
        <is>
          <t>2022</t>
        </is>
      </c>
      <c r="G11111" s="40" t="n">
        <v>297.31</v>
      </c>
    </row>
    <row r="11112" ht="12" customHeight="1">
      <c r="A11112" s="30" t="inlineStr">
        <is>
          <t>POR</t>
        </is>
      </c>
      <c r="B11112" s="30" t="inlineStr">
        <is>
          <t>Porto Real</t>
        </is>
      </c>
      <c r="C11112" s="30" t="n">
        <v>79582980</v>
      </c>
      <c r="D11112" s="30">
        <f>"78815958001280"</f>
        <v/>
      </c>
      <c r="E11112" s="30" t="inlineStr">
        <is>
          <t>JOSE OSVALDO DE OLIVEIRA EIRELI</t>
        </is>
      </c>
      <c r="F11112" s="30" t="inlineStr">
        <is>
          <t>2023</t>
        </is>
      </c>
      <c r="G11112" s="40" t="n">
        <v>105.31</v>
      </c>
    </row>
    <row r="11113" ht="12" customHeight="1">
      <c r="A11113" s="30" t="inlineStr">
        <is>
          <t>POR</t>
        </is>
      </c>
      <c r="B11113" s="30" t="inlineStr">
        <is>
          <t>Porto Real</t>
        </is>
      </c>
      <c r="C11113" s="30" t="n">
        <v>79585556</v>
      </c>
      <c r="D11113" s="30">
        <f>"09913147000490"</f>
        <v/>
      </c>
      <c r="E11113" s="30" t="inlineStr">
        <is>
          <t>FL LOGISTICA BRASIL LTDA</t>
        </is>
      </c>
      <c r="F11113" s="30" t="inlineStr">
        <is>
          <t>2017</t>
        </is>
      </c>
      <c r="G11113" s="40" t="n">
        <v>1770969.68</v>
      </c>
    </row>
    <row r="11114" ht="12" customHeight="1">
      <c r="A11114" s="30" t="inlineStr">
        <is>
          <t>POR</t>
        </is>
      </c>
      <c r="B11114" s="30" t="inlineStr">
        <is>
          <t>Porto Real</t>
        </is>
      </c>
      <c r="C11114" s="30" t="n">
        <v>79585556</v>
      </c>
      <c r="D11114" s="30">
        <f>"09913147000490"</f>
        <v/>
      </c>
      <c r="E11114" s="30" t="inlineStr">
        <is>
          <t>FL LOGISTICA BRASIL LTDA</t>
        </is>
      </c>
      <c r="F11114" s="30" t="inlineStr">
        <is>
          <t>2018</t>
        </is>
      </c>
      <c r="G11114" s="40" t="n">
        <v>0</v>
      </c>
    </row>
    <row r="11115" ht="12" customHeight="1">
      <c r="A11115" s="30" t="inlineStr">
        <is>
          <t>POR</t>
        </is>
      </c>
      <c r="B11115" s="30" t="inlineStr">
        <is>
          <t>Porto Real</t>
        </is>
      </c>
      <c r="C11115" s="30" t="n">
        <v>79585556</v>
      </c>
      <c r="D11115" s="30">
        <f>"09913147000490"</f>
        <v/>
      </c>
      <c r="E11115" s="30" t="inlineStr">
        <is>
          <t>FL LOGISTICA BRASIL LTDA</t>
        </is>
      </c>
      <c r="F11115" s="30" t="inlineStr">
        <is>
          <t>2019</t>
        </is>
      </c>
      <c r="G11115" s="40" t="n">
        <v>0</v>
      </c>
    </row>
    <row r="11116" ht="12" customHeight="1">
      <c r="A11116" s="30" t="inlineStr">
        <is>
          <t>POR</t>
        </is>
      </c>
      <c r="B11116" s="30" t="inlineStr">
        <is>
          <t>Porto Real</t>
        </is>
      </c>
      <c r="C11116" s="30" t="n">
        <v>79585564</v>
      </c>
      <c r="D11116" s="30">
        <f>"10665151000201"</f>
        <v/>
      </c>
      <c r="E11116" s="30" t="inlineStr">
        <is>
          <t>SAMM SOCIEDADE DE ATIVIDADES EM MULTIMIDIA LTDA</t>
        </is>
      </c>
      <c r="F11116" s="30" t="inlineStr">
        <is>
          <t>2021</t>
        </is>
      </c>
      <c r="G11116" s="40" t="n">
        <v>0</v>
      </c>
    </row>
    <row r="11117" ht="12" customHeight="1">
      <c r="A11117" s="30" t="inlineStr">
        <is>
          <t>POR</t>
        </is>
      </c>
      <c r="B11117" s="30" t="inlineStr">
        <is>
          <t>Porto Real</t>
        </is>
      </c>
      <c r="C11117" s="30" t="n">
        <v>79585564</v>
      </c>
      <c r="D11117" s="30">
        <f>"10665151000201"</f>
        <v/>
      </c>
      <c r="E11117" s="30" t="inlineStr">
        <is>
          <t>SAMM SOCIEDADE DE ATIVIDADES EM MULTIMIDIA LTDA</t>
        </is>
      </c>
      <c r="F11117" s="30" t="inlineStr">
        <is>
          <t>2022</t>
        </is>
      </c>
      <c r="G11117" s="40" t="n">
        <v>0</v>
      </c>
    </row>
    <row r="11118" ht="12" customHeight="1">
      <c r="A11118" s="30" t="inlineStr">
        <is>
          <t>POR</t>
        </is>
      </c>
      <c r="B11118" s="30" t="inlineStr">
        <is>
          <t>Porto Real</t>
        </is>
      </c>
      <c r="C11118" s="30" t="n">
        <v>79585564</v>
      </c>
      <c r="D11118" s="30">
        <f>"10665151000201"</f>
        <v/>
      </c>
      <c r="E11118" s="30" t="inlineStr">
        <is>
          <t>SAMM SOCIEDADE DE ATIVIDADES EM MULTIMIDIA LTDA</t>
        </is>
      </c>
      <c r="F11118" s="30" t="inlineStr">
        <is>
          <t>2023</t>
        </is>
      </c>
      <c r="G11118" s="40" t="n">
        <v>90814.71000000001</v>
      </c>
    </row>
    <row r="11119" ht="12" customHeight="1">
      <c r="A11119" s="30" t="inlineStr">
        <is>
          <t>POR</t>
        </is>
      </c>
      <c r="B11119" s="30" t="inlineStr">
        <is>
          <t>Porto Real</t>
        </is>
      </c>
      <c r="C11119" s="30" t="n">
        <v>79591483</v>
      </c>
      <c r="D11119" s="30">
        <f>"10831856000243"</f>
        <v/>
      </c>
      <c r="E11119" s="30" t="inlineStr">
        <is>
          <t>TFA - LOGISTICA LTDA - EPP</t>
        </is>
      </c>
      <c r="F11119" s="30" t="inlineStr">
        <is>
          <t>2017</t>
        </is>
      </c>
      <c r="G11119" s="40" t="n">
        <v>50047.94</v>
      </c>
    </row>
    <row r="11120" ht="12" customHeight="1">
      <c r="A11120" s="30" t="inlineStr">
        <is>
          <t>POR</t>
        </is>
      </c>
      <c r="B11120" s="30" t="inlineStr">
        <is>
          <t>Porto Real</t>
        </is>
      </c>
      <c r="C11120" s="30" t="n">
        <v>79591483</v>
      </c>
      <c r="D11120" s="30">
        <f>"10831856000243"</f>
        <v/>
      </c>
      <c r="E11120" s="30" t="inlineStr">
        <is>
          <t>TFA - LOGISTICA LTDA - EPP</t>
        </is>
      </c>
      <c r="F11120" s="30" t="inlineStr">
        <is>
          <t>2018</t>
        </is>
      </c>
      <c r="G11120" s="40" t="n">
        <v>112607.5</v>
      </c>
    </row>
    <row r="11121" ht="12" customHeight="1">
      <c r="A11121" s="30" t="inlineStr">
        <is>
          <t>POR</t>
        </is>
      </c>
      <c r="B11121" s="30" t="inlineStr">
        <is>
          <t>Porto Real</t>
        </is>
      </c>
      <c r="C11121" s="30" t="n">
        <v>79591483</v>
      </c>
      <c r="D11121" s="30">
        <f>"10831856000243"</f>
        <v/>
      </c>
      <c r="E11121" s="30" t="inlineStr">
        <is>
          <t>TFA - LOGISTICA LTDA - EPP</t>
        </is>
      </c>
      <c r="F11121" s="30" t="inlineStr">
        <is>
          <t>2019</t>
        </is>
      </c>
      <c r="G11121" s="40" t="n">
        <v>0</v>
      </c>
    </row>
    <row r="11122" ht="12" customHeight="1">
      <c r="A11122" s="30" t="inlineStr">
        <is>
          <t>POR</t>
        </is>
      </c>
      <c r="B11122" s="30" t="inlineStr">
        <is>
          <t>Porto Real</t>
        </is>
      </c>
      <c r="C11122" s="30" t="n">
        <v>79591483</v>
      </c>
      <c r="D11122" s="30">
        <f>"10831856000243"</f>
        <v/>
      </c>
      <c r="E11122" s="30" t="inlineStr">
        <is>
          <t>TFA - LOGISTICA LTDA - EPP</t>
        </is>
      </c>
      <c r="F11122" s="30" t="inlineStr">
        <is>
          <t>2020</t>
        </is>
      </c>
      <c r="G11122" s="40" t="n">
        <v>0</v>
      </c>
    </row>
    <row r="11123" ht="12" customHeight="1">
      <c r="A11123" s="30" t="inlineStr">
        <is>
          <t>POR</t>
        </is>
      </c>
      <c r="B11123" s="30" t="inlineStr">
        <is>
          <t>Porto Real</t>
        </is>
      </c>
      <c r="C11123" s="30" t="n">
        <v>79611638</v>
      </c>
      <c r="D11123" s="30">
        <f>"12097576000106"</f>
        <v/>
      </c>
      <c r="E11123" s="30" t="inlineStr">
        <is>
          <t>LIXOLIMPO SUL FLUMINENSE LTDA</t>
        </is>
      </c>
      <c r="F11123" s="30" t="inlineStr">
        <is>
          <t>2017</t>
        </is>
      </c>
      <c r="G11123" s="40" t="n">
        <v>0</v>
      </c>
    </row>
    <row r="11124" ht="12" customHeight="1">
      <c r="A11124" s="30" t="inlineStr">
        <is>
          <t>POR</t>
        </is>
      </c>
      <c r="B11124" s="30" t="inlineStr">
        <is>
          <t>Porto Real</t>
        </is>
      </c>
      <c r="C11124" s="30" t="n">
        <v>79611638</v>
      </c>
      <c r="D11124" s="30">
        <f>"12097576000106"</f>
        <v/>
      </c>
      <c r="E11124" s="30" t="inlineStr">
        <is>
          <t>LIXOLIMPO SUL FLUMINENSE LTDA</t>
        </is>
      </c>
      <c r="F11124" s="30" t="inlineStr">
        <is>
          <t>2018</t>
        </is>
      </c>
      <c r="G11124" s="40" t="n">
        <v>0</v>
      </c>
    </row>
    <row r="11125" ht="12" customHeight="1">
      <c r="A11125" s="30" t="inlineStr">
        <is>
          <t>POR</t>
        </is>
      </c>
      <c r="B11125" s="30" t="inlineStr">
        <is>
          <t>Porto Real</t>
        </is>
      </c>
      <c r="C11125" s="30" t="n">
        <v>79611638</v>
      </c>
      <c r="D11125" s="30">
        <f>"12097576000106"</f>
        <v/>
      </c>
      <c r="E11125" s="30" t="inlineStr">
        <is>
          <t>LIXOLIMPO SUL FLUMINENSE LTDA</t>
        </is>
      </c>
      <c r="F11125" s="30" t="inlineStr">
        <is>
          <t>2019</t>
        </is>
      </c>
      <c r="G11125" s="40" t="n">
        <v>0</v>
      </c>
    </row>
    <row r="11126" ht="12" customHeight="1">
      <c r="A11126" s="30" t="inlineStr">
        <is>
          <t>POR</t>
        </is>
      </c>
      <c r="B11126" s="30" t="inlineStr">
        <is>
          <t>Porto Real</t>
        </is>
      </c>
      <c r="C11126" s="30" t="n">
        <v>79611638</v>
      </c>
      <c r="D11126" s="30">
        <f>"12097576000106"</f>
        <v/>
      </c>
      <c r="E11126" s="30" t="inlineStr">
        <is>
          <t>LIXOLIMPO SUL FLUMINENSE LTDA</t>
        </is>
      </c>
      <c r="F11126" s="30" t="inlineStr">
        <is>
          <t>2020</t>
        </is>
      </c>
      <c r="G11126" s="40" t="n">
        <v>0</v>
      </c>
    </row>
    <row r="11127" ht="12" customHeight="1">
      <c r="A11127" s="30" t="inlineStr">
        <is>
          <t>POR</t>
        </is>
      </c>
      <c r="B11127" s="30" t="inlineStr">
        <is>
          <t>Porto Real</t>
        </is>
      </c>
      <c r="C11127" s="30" t="n">
        <v>79611638</v>
      </c>
      <c r="D11127" s="30">
        <f>"12097576000106"</f>
        <v/>
      </c>
      <c r="E11127" s="30" t="inlineStr">
        <is>
          <t>LIXOLIMPO SUL FLUMINENSE LTDA</t>
        </is>
      </c>
      <c r="F11127" s="30" t="inlineStr">
        <is>
          <t>2021</t>
        </is>
      </c>
      <c r="G11127" s="40" t="n">
        <v>0</v>
      </c>
    </row>
    <row r="11128" ht="12" customHeight="1">
      <c r="A11128" s="30" t="inlineStr">
        <is>
          <t>POR</t>
        </is>
      </c>
      <c r="B11128" s="30" t="inlineStr">
        <is>
          <t>Porto Real</t>
        </is>
      </c>
      <c r="C11128" s="30" t="n">
        <v>79611638</v>
      </c>
      <c r="D11128" s="30">
        <f>"12097576000106"</f>
        <v/>
      </c>
      <c r="E11128" s="30" t="inlineStr">
        <is>
          <t>LIXOLIMPO SUL FLUMINENSE LTDA</t>
        </is>
      </c>
      <c r="F11128" s="30" t="inlineStr">
        <is>
          <t>2022</t>
        </is>
      </c>
      <c r="G11128" s="40" t="n">
        <v>0</v>
      </c>
    </row>
    <row r="11129" ht="12" customHeight="1">
      <c r="A11129" s="30" t="inlineStr">
        <is>
          <t>POR</t>
        </is>
      </c>
      <c r="B11129" s="30" t="inlineStr">
        <is>
          <t>Porto Real</t>
        </is>
      </c>
      <c r="C11129" s="30" t="n">
        <v>79611638</v>
      </c>
      <c r="D11129" s="30">
        <f>"12097576000106"</f>
        <v/>
      </c>
      <c r="E11129" s="30" t="inlineStr">
        <is>
          <t>LIXOLIMPO SUL FLUMINENSE LTDA</t>
        </is>
      </c>
      <c r="F11129" s="30" t="inlineStr">
        <is>
          <t>2023</t>
        </is>
      </c>
      <c r="G11129" s="40" t="n">
        <v>0</v>
      </c>
    </row>
    <row r="11130" ht="12" customHeight="1">
      <c r="A11130" s="30" t="inlineStr">
        <is>
          <t>POR</t>
        </is>
      </c>
      <c r="B11130" s="30" t="inlineStr">
        <is>
          <t>Porto Real</t>
        </is>
      </c>
      <c r="C11130" s="30" t="n">
        <v>79619523</v>
      </c>
      <c r="D11130" s="30">
        <f>"15137700000108"</f>
        <v/>
      </c>
      <c r="E11130" s="30" t="inlineStr">
        <is>
          <t>FONSECA E ALMEIDA COMERCIO E SERVICOS LTDA ME</t>
        </is>
      </c>
      <c r="F11130" s="30" t="inlineStr">
        <is>
          <t>2017</t>
        </is>
      </c>
      <c r="G11130" s="40" t="n">
        <v>0</v>
      </c>
    </row>
    <row r="11131" ht="12" customHeight="1">
      <c r="A11131" s="30" t="inlineStr">
        <is>
          <t>POR</t>
        </is>
      </c>
      <c r="B11131" s="30" t="inlineStr">
        <is>
          <t>Porto Real</t>
        </is>
      </c>
      <c r="C11131" s="30" t="n">
        <v>79619523</v>
      </c>
      <c r="D11131" s="30">
        <f>"15137700000108"</f>
        <v/>
      </c>
      <c r="E11131" s="30" t="inlineStr">
        <is>
          <t>FONSECA E ALMEIDA COMERCIO E SERVICOS LTDA ME</t>
        </is>
      </c>
      <c r="F11131" s="30" t="inlineStr">
        <is>
          <t>2018</t>
        </is>
      </c>
      <c r="G11131" s="40" t="n">
        <v>0</v>
      </c>
    </row>
    <row r="11132" ht="12" customHeight="1">
      <c r="A11132" s="30" t="inlineStr">
        <is>
          <t>POR</t>
        </is>
      </c>
      <c r="B11132" s="30" t="inlineStr">
        <is>
          <t>Porto Real</t>
        </is>
      </c>
      <c r="C11132" s="30" t="n">
        <v>79619523</v>
      </c>
      <c r="D11132" s="30">
        <f>"15137700000108"</f>
        <v/>
      </c>
      <c r="E11132" s="30" t="inlineStr">
        <is>
          <t>FONSECA E ALMEIDA COMERCIO E SERVICOS LTDA ME</t>
        </is>
      </c>
      <c r="F11132" s="30" t="inlineStr">
        <is>
          <t>2019</t>
        </is>
      </c>
      <c r="G11132" s="40" t="n">
        <v>0</v>
      </c>
    </row>
    <row r="11133" ht="12" customHeight="1">
      <c r="A11133" s="30" t="inlineStr">
        <is>
          <t>POR</t>
        </is>
      </c>
      <c r="B11133" s="30" t="inlineStr">
        <is>
          <t>Porto Real</t>
        </is>
      </c>
      <c r="C11133" s="30" t="n">
        <v>79619523</v>
      </c>
      <c r="D11133" s="30">
        <f>"15137700000108"</f>
        <v/>
      </c>
      <c r="E11133" s="30" t="inlineStr">
        <is>
          <t>FONSECA E ALMEIDA COMERCIO E SERVICOS LTDA ME</t>
        </is>
      </c>
      <c r="F11133" s="30" t="inlineStr">
        <is>
          <t>2020</t>
        </is>
      </c>
      <c r="G11133" s="40" t="n">
        <v>0</v>
      </c>
    </row>
    <row r="11134" ht="12" customHeight="1">
      <c r="A11134" s="30" t="inlineStr">
        <is>
          <t>POR</t>
        </is>
      </c>
      <c r="B11134" s="30" t="inlineStr">
        <is>
          <t>Porto Real</t>
        </is>
      </c>
      <c r="C11134" s="30" t="n">
        <v>79619523</v>
      </c>
      <c r="D11134" s="30">
        <f>"15137700000108"</f>
        <v/>
      </c>
      <c r="E11134" s="30" t="inlineStr">
        <is>
          <t>FONSECA E ALMEIDA COMERCIO E SERVICOS LTDA ME</t>
        </is>
      </c>
      <c r="F11134" s="30" t="inlineStr">
        <is>
          <t>2021</t>
        </is>
      </c>
      <c r="G11134" s="40" t="n">
        <v>0</v>
      </c>
    </row>
    <row r="11135" ht="12" customHeight="1">
      <c r="A11135" s="30" t="inlineStr">
        <is>
          <t>POR</t>
        </is>
      </c>
      <c r="B11135" s="30" t="inlineStr">
        <is>
          <t>Porto Real</t>
        </is>
      </c>
      <c r="C11135" s="30" t="n">
        <v>79619523</v>
      </c>
      <c r="D11135" s="30">
        <f>"15137700000108"</f>
        <v/>
      </c>
      <c r="E11135" s="30" t="inlineStr">
        <is>
          <t>FONSECA E ALMEIDA COMERCIO E SERVICOS LTDA ME</t>
        </is>
      </c>
      <c r="F11135" s="30" t="inlineStr">
        <is>
          <t>2022</t>
        </is>
      </c>
      <c r="G11135" s="40" t="n">
        <v>0</v>
      </c>
    </row>
    <row r="11136" ht="12" customHeight="1">
      <c r="A11136" s="30" t="inlineStr">
        <is>
          <t>POR</t>
        </is>
      </c>
      <c r="B11136" s="30" t="inlineStr">
        <is>
          <t>Porto Real</t>
        </is>
      </c>
      <c r="C11136" s="30" t="n">
        <v>79626945</v>
      </c>
      <c r="D11136" s="30">
        <f>"03717227002941"</f>
        <v/>
      </c>
      <c r="E11136" s="30" t="inlineStr">
        <is>
          <t>NIPPONFLEX INDUSTRIA E COMERCIO DE COLCHOES LTDA</t>
        </is>
      </c>
      <c r="F11136" s="30" t="inlineStr">
        <is>
          <t>2017</t>
        </is>
      </c>
      <c r="G11136" s="40" t="n">
        <v>5362310.03</v>
      </c>
    </row>
    <row r="11137" ht="12" customHeight="1">
      <c r="A11137" s="30" t="inlineStr">
        <is>
          <t>POR</t>
        </is>
      </c>
      <c r="B11137" s="30" t="inlineStr">
        <is>
          <t>Porto Real</t>
        </is>
      </c>
      <c r="C11137" s="30" t="n">
        <v>79626945</v>
      </c>
      <c r="D11137" s="30">
        <f>"03717227002941"</f>
        <v/>
      </c>
      <c r="E11137" s="30" t="inlineStr">
        <is>
          <t>NIPPONFLEX INDUSTRIA E COMERCIO DE COLCHOES LTDA</t>
        </is>
      </c>
      <c r="F11137" s="30" t="inlineStr">
        <is>
          <t>2018</t>
        </is>
      </c>
      <c r="G11137" s="40" t="n">
        <v>6991516.71</v>
      </c>
    </row>
    <row r="11138" ht="12" customHeight="1">
      <c r="A11138" s="30" t="inlineStr">
        <is>
          <t>POR</t>
        </is>
      </c>
      <c r="B11138" s="30" t="inlineStr">
        <is>
          <t>Porto Real</t>
        </is>
      </c>
      <c r="C11138" s="30" t="n">
        <v>79626945</v>
      </c>
      <c r="D11138" s="30">
        <f>"03717227002941"</f>
        <v/>
      </c>
      <c r="E11138" s="30" t="inlineStr">
        <is>
          <t>NIPPONFLEX INDUSTRIA E COMERCIO DE COLCHOES LTDA</t>
        </is>
      </c>
      <c r="F11138" s="30" t="inlineStr">
        <is>
          <t>2019</t>
        </is>
      </c>
      <c r="G11138" s="40" t="n">
        <v>5595684</v>
      </c>
    </row>
    <row r="11139" ht="12" customHeight="1">
      <c r="A11139" s="30" t="inlineStr">
        <is>
          <t>POR</t>
        </is>
      </c>
      <c r="B11139" s="30" t="inlineStr">
        <is>
          <t>Porto Real</t>
        </is>
      </c>
      <c r="C11139" s="30" t="n">
        <v>79626945</v>
      </c>
      <c r="D11139" s="30">
        <f>"03717227002941"</f>
        <v/>
      </c>
      <c r="E11139" s="30" t="inlineStr">
        <is>
          <t>NIPPONFLEX INDUSTRIA E COMERCIO DE COLCHOES LTDA</t>
        </is>
      </c>
      <c r="F11139" s="30" t="inlineStr">
        <is>
          <t>2020</t>
        </is>
      </c>
      <c r="G11139" s="40" t="n">
        <v>2822906.44</v>
      </c>
    </row>
    <row r="11140" ht="12" customHeight="1">
      <c r="A11140" s="30" t="inlineStr">
        <is>
          <t>POR</t>
        </is>
      </c>
      <c r="B11140" s="30" t="inlineStr">
        <is>
          <t>Porto Real</t>
        </is>
      </c>
      <c r="C11140" s="30" t="n">
        <v>79626945</v>
      </c>
      <c r="D11140" s="30">
        <f>"03717227002941"</f>
        <v/>
      </c>
      <c r="E11140" s="30" t="inlineStr">
        <is>
          <t>NIPPONFLEX INDUSTRIA E COMERCIO DE COLCHOES LTDA</t>
        </is>
      </c>
      <c r="F11140" s="30" t="inlineStr">
        <is>
          <t>2021</t>
        </is>
      </c>
      <c r="G11140" s="40" t="n">
        <v>2708282.46</v>
      </c>
    </row>
    <row r="11141" ht="12" customHeight="1">
      <c r="A11141" s="30" t="inlineStr">
        <is>
          <t>POR</t>
        </is>
      </c>
      <c r="B11141" s="30" t="inlineStr">
        <is>
          <t>Porto Real</t>
        </is>
      </c>
      <c r="C11141" s="30" t="n">
        <v>79626945</v>
      </c>
      <c r="D11141" s="30">
        <f>"03717227002941"</f>
        <v/>
      </c>
      <c r="E11141" s="30" t="inlineStr">
        <is>
          <t>NIPPONFLEX INDUSTRIA E COMERCIO DE COLCHOES LTDA</t>
        </is>
      </c>
      <c r="F11141" s="30" t="inlineStr">
        <is>
          <t>2022</t>
        </is>
      </c>
      <c r="G11141" s="40" t="n">
        <v>1911934.33</v>
      </c>
    </row>
    <row r="11142" ht="12" customHeight="1">
      <c r="A11142" s="30" t="inlineStr">
        <is>
          <t>POR</t>
        </is>
      </c>
      <c r="B11142" s="30" t="inlineStr">
        <is>
          <t>Porto Real</t>
        </is>
      </c>
      <c r="C11142" s="30" t="n">
        <v>79626945</v>
      </c>
      <c r="D11142" s="30">
        <f>"03717227002941"</f>
        <v/>
      </c>
      <c r="E11142" s="30" t="inlineStr">
        <is>
          <t>NIPPONFLEX INDUSTRIA E COMERCIO DE COLCHOES LTDA</t>
        </is>
      </c>
      <c r="F11142" s="30" t="inlineStr">
        <is>
          <t>2023</t>
        </is>
      </c>
      <c r="G11142" s="40" t="n">
        <v>1427929.77</v>
      </c>
    </row>
    <row r="11143" ht="12" customHeight="1">
      <c r="A11143" s="30" t="inlineStr">
        <is>
          <t>POR</t>
        </is>
      </c>
      <c r="B11143" s="30" t="inlineStr">
        <is>
          <t>Porto Real</t>
        </is>
      </c>
      <c r="C11143" s="30" t="n">
        <v>79632511</v>
      </c>
      <c r="D11143" s="30">
        <f>"02160284000613"</f>
        <v/>
      </c>
      <c r="E11143" s="30" t="inlineStr">
        <is>
          <t>IPA - INDUSTRIA DE PRODUTOS AUTOMOTIVOS RGS LTDA</t>
        </is>
      </c>
      <c r="F11143" s="30" t="inlineStr">
        <is>
          <t>2017</t>
        </is>
      </c>
      <c r="G11143" s="40" t="n">
        <v>20464367.27</v>
      </c>
    </row>
    <row r="11144" ht="12" customHeight="1">
      <c r="A11144" s="30" t="inlineStr">
        <is>
          <t>POR</t>
        </is>
      </c>
      <c r="B11144" s="30" t="inlineStr">
        <is>
          <t>Porto Real</t>
        </is>
      </c>
      <c r="C11144" s="30" t="n">
        <v>79632511</v>
      </c>
      <c r="D11144" s="30">
        <f>"02160284000613"</f>
        <v/>
      </c>
      <c r="E11144" s="30" t="inlineStr">
        <is>
          <t>IPA - INDUSTRIA DE PRODUTOS AUTOMOTIVOS RGS LTDA</t>
        </is>
      </c>
      <c r="F11144" s="30" t="inlineStr">
        <is>
          <t>2018</t>
        </is>
      </c>
      <c r="G11144" s="40" t="n">
        <v>22892086.2</v>
      </c>
    </row>
    <row r="11145" ht="12" customHeight="1">
      <c r="A11145" s="30" t="inlineStr">
        <is>
          <t>POR</t>
        </is>
      </c>
      <c r="B11145" s="30" t="inlineStr">
        <is>
          <t>Porto Real</t>
        </is>
      </c>
      <c r="C11145" s="30" t="n">
        <v>79632511</v>
      </c>
      <c r="D11145" s="30">
        <f>"02160284000613"</f>
        <v/>
      </c>
      <c r="E11145" s="30" t="inlineStr">
        <is>
          <t>IPA - INDUSTRIA DE PRODUTOS AUTOMOTIVOS RGS LTDA</t>
        </is>
      </c>
      <c r="F11145" s="30" t="inlineStr">
        <is>
          <t>2019</t>
        </is>
      </c>
      <c r="G11145" s="40" t="n">
        <v>11137705.04</v>
      </c>
    </row>
    <row r="11146" ht="12" customHeight="1">
      <c r="A11146" s="30" t="inlineStr">
        <is>
          <t>POR</t>
        </is>
      </c>
      <c r="B11146" s="30" t="inlineStr">
        <is>
          <t>Porto Real</t>
        </is>
      </c>
      <c r="C11146" s="30" t="n">
        <v>79632511</v>
      </c>
      <c r="D11146" s="30">
        <f>"02160284000613"</f>
        <v/>
      </c>
      <c r="E11146" s="30" t="inlineStr">
        <is>
          <t>IPA - INDUSTRIA DE PRODUTOS AUTOMOTIVOS RGS LTDA</t>
        </is>
      </c>
      <c r="F11146" s="30" t="inlineStr">
        <is>
          <t>2020</t>
        </is>
      </c>
      <c r="G11146" s="40" t="n">
        <v>0</v>
      </c>
    </row>
    <row r="11147" ht="12" customHeight="1">
      <c r="A11147" s="30" t="inlineStr">
        <is>
          <t>POR</t>
        </is>
      </c>
      <c r="B11147" s="30" t="inlineStr">
        <is>
          <t>Porto Real</t>
        </is>
      </c>
      <c r="C11147" s="30" t="n">
        <v>79632511</v>
      </c>
      <c r="D11147" s="30">
        <f>"02160284000613"</f>
        <v/>
      </c>
      <c r="E11147" s="30" t="inlineStr">
        <is>
          <t>IPA - INDUSTRIA DE PRODUTOS AUTOMOTIVOS RGS LTDA</t>
        </is>
      </c>
      <c r="F11147" s="30" t="inlineStr">
        <is>
          <t>2021</t>
        </is>
      </c>
      <c r="G11147" s="40" t="n">
        <v>0</v>
      </c>
    </row>
    <row r="11148" ht="12" customHeight="1">
      <c r="A11148" s="30" t="inlineStr">
        <is>
          <t>POR</t>
        </is>
      </c>
      <c r="B11148" s="30" t="inlineStr">
        <is>
          <t>Porto Real</t>
        </is>
      </c>
      <c r="C11148" s="30" t="n">
        <v>79639990</v>
      </c>
      <c r="D11148" s="30">
        <f>"04605519000235"</f>
        <v/>
      </c>
      <c r="E11148" s="30" t="inlineStr">
        <is>
          <t>TRANS TRUCK LOGISTICA E TRANSPORTES LTDA</t>
        </is>
      </c>
      <c r="F11148" s="30" t="inlineStr">
        <is>
          <t>2017</t>
        </is>
      </c>
      <c r="G11148" s="40" t="n">
        <v>0</v>
      </c>
    </row>
    <row r="11149" ht="12" customHeight="1">
      <c r="A11149" s="30" t="inlineStr">
        <is>
          <t>POR</t>
        </is>
      </c>
      <c r="B11149" s="30" t="inlineStr">
        <is>
          <t>Porto Real</t>
        </is>
      </c>
      <c r="C11149" s="30" t="n">
        <v>79639990</v>
      </c>
      <c r="D11149" s="30">
        <f>"04605519000235"</f>
        <v/>
      </c>
      <c r="E11149" s="30" t="inlineStr">
        <is>
          <t>TRANS TRUCK LOGISTICA E TRANSPORTES LTDA</t>
        </is>
      </c>
      <c r="F11149" s="30" t="inlineStr">
        <is>
          <t>2018</t>
        </is>
      </c>
      <c r="G11149" s="40" t="n">
        <v>0.02</v>
      </c>
    </row>
    <row r="11150" ht="12" customHeight="1">
      <c r="A11150" s="30" t="inlineStr">
        <is>
          <t>POR</t>
        </is>
      </c>
      <c r="B11150" s="30" t="inlineStr">
        <is>
          <t>Porto Real</t>
        </is>
      </c>
      <c r="C11150" s="30" t="n">
        <v>79639990</v>
      </c>
      <c r="D11150" s="30">
        <f>"04605519000235"</f>
        <v/>
      </c>
      <c r="E11150" s="30" t="inlineStr">
        <is>
          <t>TRANS TRUCK LOGISTICA E TRANSPORTES LTDA</t>
        </is>
      </c>
      <c r="F11150" s="30" t="inlineStr">
        <is>
          <t>2019</t>
        </is>
      </c>
      <c r="G11150" s="40" t="n">
        <v>0</v>
      </c>
    </row>
    <row r="11151" ht="12" customHeight="1">
      <c r="A11151" s="30" t="inlineStr">
        <is>
          <t>POR</t>
        </is>
      </c>
      <c r="B11151" s="30" t="inlineStr">
        <is>
          <t>Porto Real</t>
        </is>
      </c>
      <c r="C11151" s="30" t="n">
        <v>79639990</v>
      </c>
      <c r="D11151" s="30">
        <f>"04605519000235"</f>
        <v/>
      </c>
      <c r="E11151" s="30" t="inlineStr">
        <is>
          <t>TRANS TRUCK LOGISTICA E TRANSPORTES LTDA</t>
        </is>
      </c>
      <c r="F11151" s="30" t="inlineStr">
        <is>
          <t>2020</t>
        </is>
      </c>
      <c r="G11151" s="40" t="n">
        <v>0</v>
      </c>
    </row>
    <row r="11152" ht="12" customHeight="1">
      <c r="A11152" s="30" t="inlineStr">
        <is>
          <t>POR</t>
        </is>
      </c>
      <c r="B11152" s="30" t="inlineStr">
        <is>
          <t>Porto Real</t>
        </is>
      </c>
      <c r="C11152" s="30" t="n">
        <v>79658421</v>
      </c>
      <c r="D11152" s="30">
        <f>"09294007000138"</f>
        <v/>
      </c>
      <c r="E11152" s="30" t="inlineStr">
        <is>
          <t>SPEEDNET PROVEDOR DE ACESSO A INTERNET LTDA</t>
        </is>
      </c>
      <c r="F11152" s="30" t="inlineStr">
        <is>
          <t>2021</t>
        </is>
      </c>
      <c r="G11152" s="40" t="n">
        <v>0</v>
      </c>
    </row>
    <row r="11153" ht="12" customHeight="1">
      <c r="A11153" s="30" t="inlineStr">
        <is>
          <t>POR</t>
        </is>
      </c>
      <c r="B11153" s="30" t="inlineStr">
        <is>
          <t>Porto Real</t>
        </is>
      </c>
      <c r="C11153" s="30" t="n">
        <v>79658421</v>
      </c>
      <c r="D11153" s="30">
        <f>"09294007000138"</f>
        <v/>
      </c>
      <c r="E11153" s="30" t="inlineStr">
        <is>
          <t>SPEEDNET PROVEDOR DE ACESSO A INTERNET LTDA</t>
        </is>
      </c>
      <c r="F11153" s="30" t="inlineStr">
        <is>
          <t>2022</t>
        </is>
      </c>
      <c r="G11153" s="40" t="n">
        <v>0</v>
      </c>
    </row>
    <row r="11154" ht="12" customHeight="1">
      <c r="A11154" s="30" t="inlineStr">
        <is>
          <t>POR</t>
        </is>
      </c>
      <c r="B11154" s="30" t="inlineStr">
        <is>
          <t>Porto Real</t>
        </is>
      </c>
      <c r="C11154" s="30" t="n">
        <v>79658421</v>
      </c>
      <c r="D11154" s="30">
        <f>"09294007000138"</f>
        <v/>
      </c>
      <c r="E11154" s="30" t="inlineStr">
        <is>
          <t>SPEEDNET PROVEDOR DE ACESSO A INTERNET LTDA</t>
        </is>
      </c>
      <c r="F11154" s="30" t="inlineStr">
        <is>
          <t>2023</t>
        </is>
      </c>
      <c r="G11154" s="40" t="n">
        <v>32763.88</v>
      </c>
    </row>
    <row r="11155" ht="12" customHeight="1">
      <c r="A11155" s="30" t="inlineStr">
        <is>
          <t>POR</t>
        </is>
      </c>
      <c r="B11155" s="30" t="inlineStr">
        <is>
          <t>Porto Real</t>
        </is>
      </c>
      <c r="C11155" s="30" t="n">
        <v>79661775</v>
      </c>
      <c r="D11155" s="30">
        <f>"15598081000140"</f>
        <v/>
      </c>
      <c r="E11155" s="30" t="inlineStr">
        <is>
          <t>RAIMUNDO OLIVEIRA BARNABE ME</t>
        </is>
      </c>
      <c r="F11155" s="30" t="inlineStr">
        <is>
          <t>2017</t>
        </is>
      </c>
      <c r="G11155" s="40" t="n">
        <v>0</v>
      </c>
    </row>
    <row r="11156" ht="12" customHeight="1">
      <c r="A11156" s="30" t="inlineStr">
        <is>
          <t>POR</t>
        </is>
      </c>
      <c r="B11156" s="30" t="inlineStr">
        <is>
          <t>Porto Real</t>
        </is>
      </c>
      <c r="C11156" s="30" t="n">
        <v>79661775</v>
      </c>
      <c r="D11156" s="30">
        <f>"15598081000140"</f>
        <v/>
      </c>
      <c r="E11156" s="30" t="inlineStr">
        <is>
          <t>RAIMUNDO OLIVEIRA BARNABE ME</t>
        </is>
      </c>
      <c r="F11156" s="30" t="inlineStr">
        <is>
          <t>2018</t>
        </is>
      </c>
      <c r="G11156" s="40" t="n">
        <v>0</v>
      </c>
    </row>
    <row r="11157" ht="12" customHeight="1">
      <c r="A11157" s="30" t="inlineStr">
        <is>
          <t>POR</t>
        </is>
      </c>
      <c r="B11157" s="30" t="inlineStr">
        <is>
          <t>Porto Real</t>
        </is>
      </c>
      <c r="C11157" s="30" t="n">
        <v>79661775</v>
      </c>
      <c r="D11157" s="30">
        <f>"15598081000140"</f>
        <v/>
      </c>
      <c r="E11157" s="30" t="inlineStr">
        <is>
          <t>RAIMUNDO OLIVEIRA BARNABE ME</t>
        </is>
      </c>
      <c r="F11157" s="30" t="inlineStr">
        <is>
          <t>2019</t>
        </is>
      </c>
      <c r="G11157" s="40" t="n">
        <v>0</v>
      </c>
    </row>
    <row r="11158" ht="12" customHeight="1">
      <c r="A11158" s="30" t="inlineStr">
        <is>
          <t>POR</t>
        </is>
      </c>
      <c r="B11158" s="30" t="inlineStr">
        <is>
          <t>Porto Real</t>
        </is>
      </c>
      <c r="C11158" s="30" t="n">
        <v>79661775</v>
      </c>
      <c r="D11158" s="30">
        <f>"15598081000140"</f>
        <v/>
      </c>
      <c r="E11158" s="30" t="inlineStr">
        <is>
          <t>RAIMUNDO OLIVEIRA BARNABE ME</t>
        </is>
      </c>
      <c r="F11158" s="30" t="inlineStr">
        <is>
          <t>2020</t>
        </is>
      </c>
      <c r="G11158" s="40" t="n">
        <v>0</v>
      </c>
    </row>
    <row r="11159" ht="12" customHeight="1">
      <c r="A11159" s="30" t="inlineStr">
        <is>
          <t>POR</t>
        </is>
      </c>
      <c r="B11159" s="30" t="inlineStr">
        <is>
          <t>Porto Real</t>
        </is>
      </c>
      <c r="C11159" s="30" t="n">
        <v>79661775</v>
      </c>
      <c r="D11159" s="30">
        <f>"15598081000140"</f>
        <v/>
      </c>
      <c r="E11159" s="30" t="inlineStr">
        <is>
          <t>RAIMUNDO OLIVEIRA BARNABE ME</t>
        </is>
      </c>
      <c r="F11159" s="30" t="inlineStr">
        <is>
          <t>2021</t>
        </is>
      </c>
      <c r="G11159" s="40" t="n">
        <v>0</v>
      </c>
    </row>
    <row r="11160" ht="12" customHeight="1">
      <c r="A11160" s="30" t="inlineStr">
        <is>
          <t>POR</t>
        </is>
      </c>
      <c r="B11160" s="30" t="inlineStr">
        <is>
          <t>Porto Real</t>
        </is>
      </c>
      <c r="C11160" s="30" t="n">
        <v>79661775</v>
      </c>
      <c r="D11160" s="30">
        <f>"15598081000140"</f>
        <v/>
      </c>
      <c r="E11160" s="30" t="inlineStr">
        <is>
          <t>RAIMUNDO OLIVEIRA BARNABE ME</t>
        </is>
      </c>
      <c r="F11160" s="30" t="inlineStr">
        <is>
          <t>2022</t>
        </is>
      </c>
      <c r="G11160" s="40" t="n">
        <v>0</v>
      </c>
    </row>
    <row r="11161" ht="12" customHeight="1">
      <c r="A11161" s="30" t="inlineStr">
        <is>
          <t>POR</t>
        </is>
      </c>
      <c r="B11161" s="30" t="inlineStr">
        <is>
          <t>Porto Real</t>
        </is>
      </c>
      <c r="C11161" s="30" t="n">
        <v>79661775</v>
      </c>
      <c r="D11161" s="30">
        <f>"15598081000140"</f>
        <v/>
      </c>
      <c r="E11161" s="30" t="inlineStr">
        <is>
          <t>RAIMUNDO OLIVEIRA BARNABE ME</t>
        </is>
      </c>
      <c r="F11161" s="30" t="inlineStr">
        <is>
          <t>2023</t>
        </is>
      </c>
      <c r="G11161" s="40" t="n">
        <v>0</v>
      </c>
    </row>
    <row r="11162" ht="12" customHeight="1">
      <c r="A11162" s="30" t="inlineStr">
        <is>
          <t>POR</t>
        </is>
      </c>
      <c r="B11162" s="30" t="inlineStr">
        <is>
          <t>Porto Real</t>
        </is>
      </c>
      <c r="C11162" s="30" t="n">
        <v>79665479</v>
      </c>
      <c r="D11162" s="30">
        <f>"09354773000221"</f>
        <v/>
      </c>
      <c r="E11162" s="30" t="inlineStr">
        <is>
          <t>PREMAX ENGENHARIA E COMERCIO LTDA</t>
        </is>
      </c>
      <c r="F11162" s="30" t="inlineStr">
        <is>
          <t>2019</t>
        </is>
      </c>
      <c r="G11162" s="40" t="n">
        <v>0</v>
      </c>
    </row>
    <row r="11163" ht="12" customHeight="1">
      <c r="A11163" s="30" t="inlineStr">
        <is>
          <t>POR</t>
        </is>
      </c>
      <c r="B11163" s="30" t="inlineStr">
        <is>
          <t>Porto Real</t>
        </is>
      </c>
      <c r="C11163" s="30" t="n">
        <v>79665479</v>
      </c>
      <c r="D11163" s="30">
        <f>"09354773000221"</f>
        <v/>
      </c>
      <c r="E11163" s="30" t="inlineStr">
        <is>
          <t>PREMAX ENGENHARIA E COMERCIO LTDA</t>
        </is>
      </c>
      <c r="F11163" s="30" t="inlineStr">
        <is>
          <t>2020</t>
        </is>
      </c>
      <c r="G11163" s="40" t="n">
        <v>0</v>
      </c>
    </row>
    <row r="11164" ht="12" customHeight="1">
      <c r="A11164" s="30" t="inlineStr">
        <is>
          <t>POR</t>
        </is>
      </c>
      <c r="B11164" s="30" t="inlineStr">
        <is>
          <t>Porto Real</t>
        </is>
      </c>
      <c r="C11164" s="30" t="n">
        <v>79665479</v>
      </c>
      <c r="D11164" s="30">
        <f>"09354773000221"</f>
        <v/>
      </c>
      <c r="E11164" s="30" t="inlineStr">
        <is>
          <t>PREMAX ENGENHARIA E COMERCIO LTDA</t>
        </is>
      </c>
      <c r="F11164" s="30" t="inlineStr">
        <is>
          <t>2021</t>
        </is>
      </c>
      <c r="G11164" s="40" t="n">
        <v>1330</v>
      </c>
    </row>
    <row r="11165" ht="12" customHeight="1">
      <c r="A11165" s="30" t="inlineStr">
        <is>
          <t>POR</t>
        </is>
      </c>
      <c r="B11165" s="30" t="inlineStr">
        <is>
          <t>Porto Real</t>
        </is>
      </c>
      <c r="C11165" s="30" t="n">
        <v>79665479</v>
      </c>
      <c r="D11165" s="30">
        <f>"09354773000221"</f>
        <v/>
      </c>
      <c r="E11165" s="30" t="inlineStr">
        <is>
          <t>PREMAX ENGENHARIA E COMERCIO LTDA</t>
        </is>
      </c>
      <c r="F11165" s="30" t="inlineStr">
        <is>
          <t>2022</t>
        </is>
      </c>
      <c r="G11165" s="40" t="n">
        <v>2450</v>
      </c>
    </row>
    <row r="11166" ht="12" customHeight="1">
      <c r="A11166" s="30" t="inlineStr">
        <is>
          <t>POR</t>
        </is>
      </c>
      <c r="B11166" s="30" t="inlineStr">
        <is>
          <t>Porto Real</t>
        </is>
      </c>
      <c r="C11166" s="30" t="n">
        <v>79665479</v>
      </c>
      <c r="D11166" s="30">
        <f>"09354773000221"</f>
        <v/>
      </c>
      <c r="E11166" s="30" t="inlineStr">
        <is>
          <t>PREMAX ENGENHARIA E COMERCIO LTDA</t>
        </is>
      </c>
      <c r="F11166" s="30" t="inlineStr">
        <is>
          <t>2023</t>
        </is>
      </c>
      <c r="G11166" s="40" t="n">
        <v>0</v>
      </c>
    </row>
    <row r="11167" ht="12" customHeight="1">
      <c r="A11167" s="30" t="inlineStr">
        <is>
          <t>POR</t>
        </is>
      </c>
      <c r="B11167" s="30" t="inlineStr">
        <is>
          <t>Porto Real</t>
        </is>
      </c>
      <c r="C11167" s="30" t="n">
        <v>79669954</v>
      </c>
      <c r="D11167" s="30">
        <f>"72039647000138"</f>
        <v/>
      </c>
      <c r="E11167" s="30" t="inlineStr">
        <is>
          <t>AMBI RIO BENEFICIAMENTO DE RESIDUOS E COMERCIO DE INSUMOS INDU</t>
        </is>
      </c>
      <c r="F11167" s="30" t="inlineStr">
        <is>
          <t>2017</t>
        </is>
      </c>
      <c r="G11167" s="40" t="n">
        <v>0</v>
      </c>
    </row>
    <row r="11168" ht="12" customHeight="1">
      <c r="A11168" s="30" t="inlineStr">
        <is>
          <t>POR</t>
        </is>
      </c>
      <c r="B11168" s="30" t="inlineStr">
        <is>
          <t>Porto Real</t>
        </is>
      </c>
      <c r="C11168" s="30" t="n">
        <v>79669954</v>
      </c>
      <c r="D11168" s="30">
        <f>"72039647000138"</f>
        <v/>
      </c>
      <c r="E11168" s="30" t="inlineStr">
        <is>
          <t>AMBI RIO BENEFICIAMENTO DE RESIDUOS E COMERCIO DE INSUMOS INDU</t>
        </is>
      </c>
      <c r="F11168" s="30" t="inlineStr">
        <is>
          <t>2018</t>
        </is>
      </c>
      <c r="G11168" s="40" t="n">
        <v>0</v>
      </c>
    </row>
    <row r="11169" ht="12" customHeight="1">
      <c r="A11169" s="30" t="inlineStr">
        <is>
          <t>POR</t>
        </is>
      </c>
      <c r="B11169" s="30" t="inlineStr">
        <is>
          <t>Porto Real</t>
        </is>
      </c>
      <c r="C11169" s="30" t="n">
        <v>79669954</v>
      </c>
      <c r="D11169" s="30">
        <f>"72039647000138"</f>
        <v/>
      </c>
      <c r="E11169" s="30" t="inlineStr">
        <is>
          <t>AMBI RIO BENEFICIAMENTO DE RESIDUOS E COMERCIO DE INSUMOS INDU</t>
        </is>
      </c>
      <c r="F11169" s="30" t="inlineStr">
        <is>
          <t>2019</t>
        </is>
      </c>
      <c r="G11169" s="40" t="n">
        <v>0</v>
      </c>
    </row>
    <row r="11170" ht="12" customHeight="1">
      <c r="A11170" s="30" t="inlineStr">
        <is>
          <t>POR</t>
        </is>
      </c>
      <c r="B11170" s="30" t="inlineStr">
        <is>
          <t>Porto Real</t>
        </is>
      </c>
      <c r="C11170" s="30" t="n">
        <v>79673692</v>
      </c>
      <c r="D11170" s="30">
        <f>"08873020000260"</f>
        <v/>
      </c>
      <c r="E11170" s="30" t="inlineStr">
        <is>
          <t>METALIMPEX DO BRASIL LTDA</t>
        </is>
      </c>
      <c r="F11170" s="30" t="inlineStr">
        <is>
          <t>2017</t>
        </is>
      </c>
      <c r="G11170" s="40" t="n">
        <v>9777585.949999999</v>
      </c>
    </row>
    <row r="11171" ht="12" customHeight="1">
      <c r="A11171" s="30" t="inlineStr">
        <is>
          <t>POR</t>
        </is>
      </c>
      <c r="B11171" s="30" t="inlineStr">
        <is>
          <t>Porto Real</t>
        </is>
      </c>
      <c r="C11171" s="30" t="n">
        <v>79673692</v>
      </c>
      <c r="D11171" s="30">
        <f>"08873020000260"</f>
        <v/>
      </c>
      <c r="E11171" s="30" t="inlineStr">
        <is>
          <t>METALIMPEX DO BRASIL LTDA</t>
        </is>
      </c>
      <c r="F11171" s="30" t="inlineStr">
        <is>
          <t>2018</t>
        </is>
      </c>
      <c r="G11171" s="40" t="n">
        <v>0</v>
      </c>
    </row>
    <row r="11172" ht="12" customHeight="1">
      <c r="A11172" s="30" t="inlineStr">
        <is>
          <t>POR</t>
        </is>
      </c>
      <c r="B11172" s="30" t="inlineStr">
        <is>
          <t>Porto Real</t>
        </is>
      </c>
      <c r="C11172" s="30" t="n">
        <v>79673692</v>
      </c>
      <c r="D11172" s="30">
        <f>"08873020000260"</f>
        <v/>
      </c>
      <c r="E11172" s="30" t="inlineStr">
        <is>
          <t>METALIMPEX DO BRASIL LTDA</t>
        </is>
      </c>
      <c r="F11172" s="30" t="inlineStr">
        <is>
          <t>2019</t>
        </is>
      </c>
      <c r="G11172" s="40" t="n">
        <v>0</v>
      </c>
    </row>
    <row r="11173" ht="12" customHeight="1">
      <c r="A11173" s="30" t="inlineStr">
        <is>
          <t>POR</t>
        </is>
      </c>
      <c r="B11173" s="30" t="inlineStr">
        <is>
          <t>Porto Real</t>
        </is>
      </c>
      <c r="C11173" s="30" t="n">
        <v>79676365</v>
      </c>
      <c r="D11173" s="30">
        <f>"59105262002026"</f>
        <v/>
      </c>
      <c r="E11173" s="30" t="inlineStr">
        <is>
          <t>TRANSAUTO TRANSPORTES ESPECIALIZADOS DE AUTOMOVEIS S A</t>
        </is>
      </c>
      <c r="F11173" s="30" t="inlineStr">
        <is>
          <t>2017</t>
        </is>
      </c>
      <c r="G11173" s="40" t="n">
        <v>31871770.03</v>
      </c>
    </row>
    <row r="11174" ht="12" customHeight="1">
      <c r="A11174" s="30" t="inlineStr">
        <is>
          <t>POR</t>
        </is>
      </c>
      <c r="B11174" s="30" t="inlineStr">
        <is>
          <t>Porto Real</t>
        </is>
      </c>
      <c r="C11174" s="30" t="n">
        <v>79676365</v>
      </c>
      <c r="D11174" s="30">
        <f>"59105262002026"</f>
        <v/>
      </c>
      <c r="E11174" s="30" t="inlineStr">
        <is>
          <t>TRANSAUTO TRANSPORTES ESPECIALIZADOS DE AUTOMOVEIS S A</t>
        </is>
      </c>
      <c r="F11174" s="30" t="inlineStr">
        <is>
          <t>2018</t>
        </is>
      </c>
      <c r="G11174" s="40" t="n">
        <v>1410</v>
      </c>
    </row>
    <row r="11175" ht="12" customHeight="1">
      <c r="A11175" s="30" t="inlineStr">
        <is>
          <t>POR</t>
        </is>
      </c>
      <c r="B11175" s="30" t="inlineStr">
        <is>
          <t>Porto Real</t>
        </is>
      </c>
      <c r="C11175" s="30" t="n">
        <v>79676365</v>
      </c>
      <c r="D11175" s="30">
        <f>"59105262002026"</f>
        <v/>
      </c>
      <c r="E11175" s="30" t="inlineStr">
        <is>
          <t>TRANSAUTO TRANSPORTES ESPECIALIZADOS DE AUTOMOVEIS S A</t>
        </is>
      </c>
      <c r="F11175" s="30" t="inlineStr">
        <is>
          <t>2019</t>
        </is>
      </c>
      <c r="G11175" s="40" t="n">
        <v>200</v>
      </c>
    </row>
    <row r="11176" ht="12" customHeight="1">
      <c r="A11176" s="30" t="inlineStr">
        <is>
          <t>POR</t>
        </is>
      </c>
      <c r="B11176" s="30" t="inlineStr">
        <is>
          <t>Porto Real</t>
        </is>
      </c>
      <c r="C11176" s="30" t="n">
        <v>79676365</v>
      </c>
      <c r="D11176" s="30">
        <f>"59105262002026"</f>
        <v/>
      </c>
      <c r="E11176" s="30" t="inlineStr">
        <is>
          <t>TRANSAUTO TRANSPORTES ESPECIALIZADOS DE AUTOMOVEIS S A</t>
        </is>
      </c>
      <c r="F11176" s="30" t="inlineStr">
        <is>
          <t>2020</t>
        </is>
      </c>
      <c r="G11176" s="40" t="n">
        <v>7990</v>
      </c>
    </row>
    <row r="11177" ht="12" customHeight="1">
      <c r="A11177" s="30" t="inlineStr">
        <is>
          <t>POR</t>
        </is>
      </c>
      <c r="B11177" s="30" t="inlineStr">
        <is>
          <t>Porto Real</t>
        </is>
      </c>
      <c r="C11177" s="30" t="n">
        <v>79676365</v>
      </c>
      <c r="D11177" s="30">
        <f>"59105262002026"</f>
        <v/>
      </c>
      <c r="E11177" s="30" t="inlineStr">
        <is>
          <t>TRANSAUTO TRANSPORTES ESPECIALIZADOS DE AUTOMOVEIS S A</t>
        </is>
      </c>
      <c r="F11177" s="30" t="inlineStr">
        <is>
          <t>2021</t>
        </is>
      </c>
      <c r="G11177" s="40" t="n">
        <v>66820</v>
      </c>
    </row>
    <row r="11178" ht="12" customHeight="1">
      <c r="A11178" s="30" t="inlineStr">
        <is>
          <t>POR</t>
        </is>
      </c>
      <c r="B11178" s="30" t="inlineStr">
        <is>
          <t>Porto Real</t>
        </is>
      </c>
      <c r="C11178" s="30" t="n">
        <v>79676365</v>
      </c>
      <c r="D11178" s="30">
        <f>"59105262002026"</f>
        <v/>
      </c>
      <c r="E11178" s="30" t="inlineStr">
        <is>
          <t>TRANSAUTO TRANSPORTES ESPECIALIZADOS DE AUTOMOVEIS S A</t>
        </is>
      </c>
      <c r="F11178" s="30" t="inlineStr">
        <is>
          <t>2022</t>
        </is>
      </c>
      <c r="G11178" s="40" t="n">
        <v>17580</v>
      </c>
    </row>
    <row r="11179" ht="12" customHeight="1">
      <c r="A11179" s="30" t="inlineStr">
        <is>
          <t>POR</t>
        </is>
      </c>
      <c r="B11179" s="30" t="inlineStr">
        <is>
          <t>Porto Real</t>
        </is>
      </c>
      <c r="C11179" s="30" t="n">
        <v>79676365</v>
      </c>
      <c r="D11179" s="30">
        <f>"59105262002026"</f>
        <v/>
      </c>
      <c r="E11179" s="30" t="inlineStr">
        <is>
          <t>TRANSAUTO TRANSPORTES ESPECIALIZADOS DE AUTOMOVEIS S A</t>
        </is>
      </c>
      <c r="F11179" s="30" t="inlineStr">
        <is>
          <t>2023</t>
        </is>
      </c>
      <c r="G11179" s="40" t="n">
        <v>26630</v>
      </c>
    </row>
    <row r="11180" ht="12" customHeight="1">
      <c r="A11180" s="30" t="inlineStr">
        <is>
          <t>POR</t>
        </is>
      </c>
      <c r="B11180" s="30" t="inlineStr">
        <is>
          <t>Porto Real</t>
        </is>
      </c>
      <c r="C11180" s="30" t="n">
        <v>79743640</v>
      </c>
      <c r="D11180" s="30">
        <f>"16758051000117"</f>
        <v/>
      </c>
      <c r="E11180" s="30" t="inlineStr">
        <is>
          <t>EXPRESSO TRANSPORTADORA CELTON LTDA ME</t>
        </is>
      </c>
      <c r="F11180" s="30" t="inlineStr">
        <is>
          <t>2017</t>
        </is>
      </c>
      <c r="G11180" s="40" t="n">
        <v>496788.49</v>
      </c>
    </row>
    <row r="11181" ht="12" customHeight="1">
      <c r="A11181" s="30" t="inlineStr">
        <is>
          <t>POR</t>
        </is>
      </c>
      <c r="B11181" s="30" t="inlineStr">
        <is>
          <t>Porto Real</t>
        </is>
      </c>
      <c r="C11181" s="30" t="n">
        <v>79743640</v>
      </c>
      <c r="D11181" s="30">
        <f>"16758051000117"</f>
        <v/>
      </c>
      <c r="E11181" s="30" t="inlineStr">
        <is>
          <t>EXPRESSO TRANSPORTADORA CELTON LTDA ME</t>
        </is>
      </c>
      <c r="F11181" s="30" t="inlineStr">
        <is>
          <t>2018</t>
        </is>
      </c>
      <c r="G11181" s="40" t="n">
        <v>1625039.13</v>
      </c>
    </row>
    <row r="11182" ht="12" customHeight="1">
      <c r="A11182" s="30" t="inlineStr">
        <is>
          <t>POR</t>
        </is>
      </c>
      <c r="B11182" s="30" t="inlineStr">
        <is>
          <t>Porto Real</t>
        </is>
      </c>
      <c r="C11182" s="30" t="n">
        <v>79743640</v>
      </c>
      <c r="D11182" s="30">
        <f>"16758051000117"</f>
        <v/>
      </c>
      <c r="E11182" s="30" t="inlineStr">
        <is>
          <t>EXPRESSO TRANSPORTADORA CELTON LTDA ME</t>
        </is>
      </c>
      <c r="F11182" s="30" t="inlineStr">
        <is>
          <t>2019</t>
        </is>
      </c>
      <c r="G11182" s="40" t="n">
        <v>2191136.5</v>
      </c>
    </row>
    <row r="11183" ht="12" customHeight="1">
      <c r="A11183" s="30" t="inlineStr">
        <is>
          <t>POR</t>
        </is>
      </c>
      <c r="B11183" s="30" t="inlineStr">
        <is>
          <t>Porto Real</t>
        </is>
      </c>
      <c r="C11183" s="30" t="n">
        <v>79743640</v>
      </c>
      <c r="D11183" s="30">
        <f>"16758051000117"</f>
        <v/>
      </c>
      <c r="E11183" s="30" t="inlineStr">
        <is>
          <t>EXPRESSO TRANSPORTADORA CELTON LTDA ME</t>
        </is>
      </c>
      <c r="F11183" s="30" t="inlineStr">
        <is>
          <t>2020</t>
        </is>
      </c>
      <c r="G11183" s="40" t="n">
        <v>2240964.5</v>
      </c>
    </row>
    <row r="11184" ht="12" customHeight="1">
      <c r="A11184" s="30" t="inlineStr">
        <is>
          <t>POR</t>
        </is>
      </c>
      <c r="B11184" s="30" t="inlineStr">
        <is>
          <t>Porto Real</t>
        </is>
      </c>
      <c r="C11184" s="30" t="n">
        <v>79743640</v>
      </c>
      <c r="D11184" s="30">
        <f>"16758051000117"</f>
        <v/>
      </c>
      <c r="E11184" s="30" t="inlineStr">
        <is>
          <t>EXPRESSO TRANSPORTADORA CELTON LTDA ME</t>
        </is>
      </c>
      <c r="F11184" s="30" t="inlineStr">
        <is>
          <t>2021</t>
        </is>
      </c>
      <c r="G11184" s="40" t="n">
        <v>2248918.28</v>
      </c>
    </row>
    <row r="11185" ht="12" customHeight="1">
      <c r="A11185" s="30" t="inlineStr">
        <is>
          <t>POR</t>
        </is>
      </c>
      <c r="B11185" s="30" t="inlineStr">
        <is>
          <t>Porto Real</t>
        </is>
      </c>
      <c r="C11185" s="30" t="n">
        <v>79743640</v>
      </c>
      <c r="D11185" s="30">
        <f>"16758051000117"</f>
        <v/>
      </c>
      <c r="E11185" s="30" t="inlineStr">
        <is>
          <t>EXPRESSO TRANSPORTADORA CELTON LTDA ME</t>
        </is>
      </c>
      <c r="F11185" s="30" t="inlineStr">
        <is>
          <t>2022</t>
        </is>
      </c>
      <c r="G11185" s="40" t="n">
        <v>2412375.22</v>
      </c>
    </row>
    <row r="11186" ht="12" customHeight="1">
      <c r="A11186" s="30" t="inlineStr">
        <is>
          <t>POR</t>
        </is>
      </c>
      <c r="B11186" s="30" t="inlineStr">
        <is>
          <t>Porto Real</t>
        </is>
      </c>
      <c r="C11186" s="30" t="n">
        <v>79743640</v>
      </c>
      <c r="D11186" s="30">
        <f>"16758051000117"</f>
        <v/>
      </c>
      <c r="E11186" s="30" t="inlineStr">
        <is>
          <t>EXPRESSO TRANSPORTADORA CELTON LTDA ME</t>
        </is>
      </c>
      <c r="F11186" s="30" t="inlineStr">
        <is>
          <t>2023</t>
        </is>
      </c>
      <c r="G11186" s="40" t="n">
        <v>2228809.8</v>
      </c>
    </row>
    <row r="11187" ht="12" customHeight="1">
      <c r="A11187" s="30" t="inlineStr">
        <is>
          <t>POR</t>
        </is>
      </c>
      <c r="B11187" s="30" t="inlineStr">
        <is>
          <t>Porto Real</t>
        </is>
      </c>
      <c r="C11187" s="30" t="n">
        <v>79746428</v>
      </c>
      <c r="D11187" s="30">
        <f>"16783986000153"</f>
        <v/>
      </c>
      <c r="E11187" s="30" t="inlineStr">
        <is>
          <t>OLIVEIRA E GRACIANI PADARIA LTDA ME - ME</t>
        </is>
      </c>
      <c r="F11187" s="30" t="inlineStr">
        <is>
          <t>2017</t>
        </is>
      </c>
      <c r="G11187" s="40" t="n">
        <v>0</v>
      </c>
    </row>
    <row r="11188" ht="12" customHeight="1">
      <c r="A11188" s="30" t="inlineStr">
        <is>
          <t>POR</t>
        </is>
      </c>
      <c r="B11188" s="30" t="inlineStr">
        <is>
          <t>Porto Real</t>
        </is>
      </c>
      <c r="C11188" s="30" t="n">
        <v>79746428</v>
      </c>
      <c r="D11188" s="30">
        <f>"16783986000153"</f>
        <v/>
      </c>
      <c r="E11188" s="30" t="inlineStr">
        <is>
          <t>OLIVEIRA E GRACIANI PADARIA LTDA ME - ME</t>
        </is>
      </c>
      <c r="F11188" s="30" t="inlineStr">
        <is>
          <t>2018</t>
        </is>
      </c>
      <c r="G11188" s="40" t="n">
        <v>0</v>
      </c>
    </row>
    <row r="11189" ht="12" customHeight="1">
      <c r="A11189" s="30" t="inlineStr">
        <is>
          <t>POR</t>
        </is>
      </c>
      <c r="B11189" s="30" t="inlineStr">
        <is>
          <t>Porto Real</t>
        </is>
      </c>
      <c r="C11189" s="30" t="n">
        <v>79746428</v>
      </c>
      <c r="D11189" s="30">
        <f>"16783986000153"</f>
        <v/>
      </c>
      <c r="E11189" s="30" t="inlineStr">
        <is>
          <t>OLIVEIRA E GRACIANI PADARIA LTDA ME - ME</t>
        </is>
      </c>
      <c r="F11189" s="30" t="inlineStr">
        <is>
          <t>2019</t>
        </is>
      </c>
      <c r="G11189" s="40" t="n">
        <v>0</v>
      </c>
    </row>
    <row r="11190" ht="12" customHeight="1">
      <c r="A11190" s="30" t="inlineStr">
        <is>
          <t>POR</t>
        </is>
      </c>
      <c r="B11190" s="30" t="inlineStr">
        <is>
          <t>Porto Real</t>
        </is>
      </c>
      <c r="C11190" s="30" t="n">
        <v>79746428</v>
      </c>
      <c r="D11190" s="30">
        <f>"16783986000153"</f>
        <v/>
      </c>
      <c r="E11190" s="30" t="inlineStr">
        <is>
          <t>OLIVEIRA E GRACIANI PADARIA LTDA ME - ME</t>
        </is>
      </c>
      <c r="F11190" s="30" t="inlineStr">
        <is>
          <t>2020</t>
        </is>
      </c>
      <c r="G11190" s="40" t="n">
        <v>0</v>
      </c>
    </row>
    <row r="11191" ht="12" customHeight="1">
      <c r="A11191" s="30" t="inlineStr">
        <is>
          <t>POR</t>
        </is>
      </c>
      <c r="B11191" s="30" t="inlineStr">
        <is>
          <t>Porto Real</t>
        </is>
      </c>
      <c r="C11191" s="30" t="n">
        <v>79746428</v>
      </c>
      <c r="D11191" s="30">
        <f>"16783986000153"</f>
        <v/>
      </c>
      <c r="E11191" s="30" t="inlineStr">
        <is>
          <t>OLIVEIRA E GRACIANI PADARIA LTDA ME - ME</t>
        </is>
      </c>
      <c r="F11191" s="30" t="inlineStr">
        <is>
          <t>2021</t>
        </is>
      </c>
      <c r="G11191" s="40" t="n">
        <v>0</v>
      </c>
    </row>
    <row r="11192" ht="12" customHeight="1">
      <c r="A11192" s="30" t="inlineStr">
        <is>
          <t>POR</t>
        </is>
      </c>
      <c r="B11192" s="30" t="inlineStr">
        <is>
          <t>Porto Real</t>
        </is>
      </c>
      <c r="C11192" s="30" t="n">
        <v>79746428</v>
      </c>
      <c r="D11192" s="30">
        <f>"16783986000153"</f>
        <v/>
      </c>
      <c r="E11192" s="30" t="inlineStr">
        <is>
          <t>OLIVEIRA E GRACIANI PADARIA LTDA ME - ME</t>
        </is>
      </c>
      <c r="F11192" s="30" t="inlineStr">
        <is>
          <t>2022</t>
        </is>
      </c>
      <c r="G11192" s="40" t="n">
        <v>0</v>
      </c>
    </row>
    <row r="11193" ht="12" customHeight="1">
      <c r="A11193" s="30" t="inlineStr">
        <is>
          <t>POR</t>
        </is>
      </c>
      <c r="B11193" s="30" t="inlineStr">
        <is>
          <t>Porto Real</t>
        </is>
      </c>
      <c r="C11193" s="30" t="n">
        <v>79746428</v>
      </c>
      <c r="D11193" s="30">
        <f>"16783986000153"</f>
        <v/>
      </c>
      <c r="E11193" s="30" t="inlineStr">
        <is>
          <t>OLIVEIRA E GRACIANI PADARIA LTDA ME - ME</t>
        </is>
      </c>
      <c r="F11193" s="30" t="inlineStr">
        <is>
          <t>2023</t>
        </is>
      </c>
      <c r="G11193" s="40" t="n">
        <v>0</v>
      </c>
    </row>
    <row r="11194" ht="12" customHeight="1">
      <c r="A11194" s="30" t="inlineStr">
        <is>
          <t>POR</t>
        </is>
      </c>
      <c r="B11194" s="30" t="inlineStr">
        <is>
          <t>Porto Real</t>
        </is>
      </c>
      <c r="C11194" s="30" t="n">
        <v>79757055</v>
      </c>
      <c r="D11194" s="30">
        <f>"20468310010024"</f>
        <v/>
      </c>
      <c r="E11194" s="30" t="inlineStr">
        <is>
          <t>TORA TRANSPORTES INDUSTRIAIS LTDA</t>
        </is>
      </c>
      <c r="F11194" s="30" t="inlineStr">
        <is>
          <t>2017</t>
        </is>
      </c>
      <c r="G11194" s="40" t="n">
        <v>11109102.98</v>
      </c>
    </row>
    <row r="11195" ht="12" customHeight="1">
      <c r="A11195" s="30" t="inlineStr">
        <is>
          <t>POR</t>
        </is>
      </c>
      <c r="B11195" s="30" t="inlineStr">
        <is>
          <t>Porto Real</t>
        </is>
      </c>
      <c r="C11195" s="30" t="n">
        <v>79757055</v>
      </c>
      <c r="D11195" s="30">
        <f>"20468310010024"</f>
        <v/>
      </c>
      <c r="E11195" s="30" t="inlineStr">
        <is>
          <t>TORA TRANSPORTES INDUSTRIAIS LTDA</t>
        </is>
      </c>
      <c r="F11195" s="30" t="inlineStr">
        <is>
          <t>2018</t>
        </is>
      </c>
      <c r="G11195" s="40" t="n">
        <v>18857454.96</v>
      </c>
    </row>
    <row r="11196" ht="12" customHeight="1">
      <c r="A11196" s="30" t="inlineStr">
        <is>
          <t>POR</t>
        </is>
      </c>
      <c r="B11196" s="30" t="inlineStr">
        <is>
          <t>Porto Real</t>
        </is>
      </c>
      <c r="C11196" s="30" t="n">
        <v>79757055</v>
      </c>
      <c r="D11196" s="30">
        <f>"20468310010024"</f>
        <v/>
      </c>
      <c r="E11196" s="30" t="inlineStr">
        <is>
          <t>TORA TRANSPORTES INDUSTRIAIS LTDA</t>
        </is>
      </c>
      <c r="F11196" s="30" t="inlineStr">
        <is>
          <t>2019</t>
        </is>
      </c>
      <c r="G11196" s="40" t="n">
        <v>17062683.22</v>
      </c>
    </row>
    <row r="11197" ht="12" customHeight="1">
      <c r="A11197" s="30" t="inlineStr">
        <is>
          <t>POR</t>
        </is>
      </c>
      <c r="B11197" s="30" t="inlineStr">
        <is>
          <t>Porto Real</t>
        </is>
      </c>
      <c r="C11197" s="30" t="n">
        <v>79757055</v>
      </c>
      <c r="D11197" s="30">
        <f>"20468310010024"</f>
        <v/>
      </c>
      <c r="E11197" s="30" t="inlineStr">
        <is>
          <t>TORA TRANSPORTES INDUSTRIAIS LTDA</t>
        </is>
      </c>
      <c r="F11197" s="30" t="inlineStr">
        <is>
          <t>2020</t>
        </is>
      </c>
      <c r="G11197" s="40" t="n">
        <v>14509264.18</v>
      </c>
    </row>
    <row r="11198" ht="12" customHeight="1">
      <c r="A11198" s="30" t="inlineStr">
        <is>
          <t>POR</t>
        </is>
      </c>
      <c r="B11198" s="30" t="inlineStr">
        <is>
          <t>Porto Real</t>
        </is>
      </c>
      <c r="C11198" s="30" t="n">
        <v>79757055</v>
      </c>
      <c r="D11198" s="30">
        <f>"20468310010024"</f>
        <v/>
      </c>
      <c r="E11198" s="30" t="inlineStr">
        <is>
          <t>TORA TRANSPORTES INDUSTRIAIS LTDA</t>
        </is>
      </c>
      <c r="F11198" s="30" t="inlineStr">
        <is>
          <t>2021</t>
        </is>
      </c>
      <c r="G11198" s="40" t="n">
        <v>13040590.81</v>
      </c>
    </row>
    <row r="11199" ht="12" customHeight="1">
      <c r="A11199" s="30" t="inlineStr">
        <is>
          <t>POR</t>
        </is>
      </c>
      <c r="B11199" s="30" t="inlineStr">
        <is>
          <t>Porto Real</t>
        </is>
      </c>
      <c r="C11199" s="30" t="n">
        <v>79757055</v>
      </c>
      <c r="D11199" s="30">
        <f>"20468310010024"</f>
        <v/>
      </c>
      <c r="E11199" s="30" t="inlineStr">
        <is>
          <t>TORA TRANSPORTES INDUSTRIAIS LTDA</t>
        </is>
      </c>
      <c r="F11199" s="30" t="inlineStr">
        <is>
          <t>2022</t>
        </is>
      </c>
      <c r="G11199" s="40" t="n">
        <v>15373049.91</v>
      </c>
    </row>
    <row r="11200" ht="12" customHeight="1">
      <c r="A11200" s="30" t="inlineStr">
        <is>
          <t>POR</t>
        </is>
      </c>
      <c r="B11200" s="30" t="inlineStr">
        <is>
          <t>Porto Real</t>
        </is>
      </c>
      <c r="C11200" s="30" t="n">
        <v>79757055</v>
      </c>
      <c r="D11200" s="30">
        <f>"20468310010024"</f>
        <v/>
      </c>
      <c r="E11200" s="30" t="inlineStr">
        <is>
          <t>TORA TRANSPORTES INDUSTRIAIS LTDA</t>
        </is>
      </c>
      <c r="F11200" s="30" t="inlineStr">
        <is>
          <t>2023</t>
        </is>
      </c>
      <c r="G11200" s="40" t="n">
        <v>21543099.4</v>
      </c>
    </row>
    <row r="11201" ht="12" customHeight="1">
      <c r="A11201" s="30" t="inlineStr">
        <is>
          <t>POR</t>
        </is>
      </c>
      <c r="B11201" s="30" t="inlineStr">
        <is>
          <t>Porto Real</t>
        </is>
      </c>
      <c r="C11201" s="30" t="n">
        <v>79762172</v>
      </c>
      <c r="D11201" s="30">
        <f>"01178298001754"</f>
        <v/>
      </c>
      <c r="E11201" s="30" t="inlineStr">
        <is>
          <t>FAURECIA AUTOMOTIVE DO BRASIL LTDA</t>
        </is>
      </c>
      <c r="F11201" s="30" t="inlineStr">
        <is>
          <t>2017</t>
        </is>
      </c>
      <c r="G11201" s="40" t="n">
        <v>47249525.92</v>
      </c>
    </row>
    <row r="11202" ht="12" customHeight="1">
      <c r="A11202" s="30" t="inlineStr">
        <is>
          <t>POR</t>
        </is>
      </c>
      <c r="B11202" s="30" t="inlineStr">
        <is>
          <t>Porto Real</t>
        </is>
      </c>
      <c r="C11202" s="30" t="n">
        <v>79762172</v>
      </c>
      <c r="D11202" s="30">
        <f>"01178298001754"</f>
        <v/>
      </c>
      <c r="E11202" s="30" t="inlineStr">
        <is>
          <t>FAURECIA AUTOMOTIVE DO BRASIL LTDA</t>
        </is>
      </c>
      <c r="F11202" s="30" t="inlineStr">
        <is>
          <t>2018</t>
        </is>
      </c>
      <c r="G11202" s="40" t="n">
        <v>77885781.28</v>
      </c>
    </row>
    <row r="11203" ht="12" customHeight="1">
      <c r="A11203" s="30" t="inlineStr">
        <is>
          <t>POR</t>
        </is>
      </c>
      <c r="B11203" s="30" t="inlineStr">
        <is>
          <t>Porto Real</t>
        </is>
      </c>
      <c r="C11203" s="30" t="n">
        <v>79762172</v>
      </c>
      <c r="D11203" s="30">
        <f>"01178298001754"</f>
        <v/>
      </c>
      <c r="E11203" s="30" t="inlineStr">
        <is>
          <t>FAURECIA AUTOMOTIVE DO BRASIL LTDA</t>
        </is>
      </c>
      <c r="F11203" s="30" t="inlineStr">
        <is>
          <t>2019</t>
        </is>
      </c>
      <c r="G11203" s="40" t="n">
        <v>35428106.9</v>
      </c>
    </row>
    <row r="11204" ht="12" customHeight="1">
      <c r="A11204" s="30" t="inlineStr">
        <is>
          <t>POR</t>
        </is>
      </c>
      <c r="B11204" s="30" t="inlineStr">
        <is>
          <t>Porto Real</t>
        </is>
      </c>
      <c r="C11204" s="30" t="n">
        <v>79762172</v>
      </c>
      <c r="D11204" s="30">
        <f>"01178298001754"</f>
        <v/>
      </c>
      <c r="E11204" s="30" t="inlineStr">
        <is>
          <t>FAURECIA AUTOMOTIVE DO BRASIL LTDA</t>
        </is>
      </c>
      <c r="F11204" s="30" t="inlineStr">
        <is>
          <t>2020</t>
        </is>
      </c>
      <c r="G11204" s="40" t="n">
        <v>22897933.54</v>
      </c>
    </row>
    <row r="11205" ht="12" customHeight="1">
      <c r="A11205" s="30" t="inlineStr">
        <is>
          <t>POR</t>
        </is>
      </c>
      <c r="B11205" s="30" t="inlineStr">
        <is>
          <t>Porto Real</t>
        </is>
      </c>
      <c r="C11205" s="30" t="n">
        <v>79762172</v>
      </c>
      <c r="D11205" s="30">
        <f>"01178298001754"</f>
        <v/>
      </c>
      <c r="E11205" s="30" t="inlineStr">
        <is>
          <t>FAURECIA AUTOMOTIVE DO BRASIL LTDA</t>
        </is>
      </c>
      <c r="F11205" s="30" t="inlineStr">
        <is>
          <t>2021</t>
        </is>
      </c>
      <c r="G11205" s="40" t="n">
        <v>34438663.01</v>
      </c>
    </row>
    <row r="11206" ht="12" customHeight="1">
      <c r="A11206" s="30" t="inlineStr">
        <is>
          <t>POR</t>
        </is>
      </c>
      <c r="B11206" s="30" t="inlineStr">
        <is>
          <t>Porto Real</t>
        </is>
      </c>
      <c r="C11206" s="30" t="n">
        <v>79762172</v>
      </c>
      <c r="D11206" s="30">
        <f>"01178298001754"</f>
        <v/>
      </c>
      <c r="E11206" s="30" t="inlineStr">
        <is>
          <t>FAURECIA AUTOMOTIVE DO BRASIL LTDA</t>
        </is>
      </c>
      <c r="F11206" s="30" t="inlineStr">
        <is>
          <t>2022</t>
        </is>
      </c>
      <c r="G11206" s="40" t="n">
        <v>17803459.05</v>
      </c>
    </row>
    <row r="11207" ht="12" customHeight="1">
      <c r="A11207" s="30" t="inlineStr">
        <is>
          <t>POR</t>
        </is>
      </c>
      <c r="B11207" s="30" t="inlineStr">
        <is>
          <t>Porto Real</t>
        </is>
      </c>
      <c r="C11207" s="30" t="n">
        <v>79762172</v>
      </c>
      <c r="D11207" s="30">
        <f>"01178298001754"</f>
        <v/>
      </c>
      <c r="E11207" s="30" t="inlineStr">
        <is>
          <t>FAURECIA AUTOMOTIVE DO BRASIL LTDA</t>
        </is>
      </c>
      <c r="F11207" s="30" t="inlineStr">
        <is>
          <t>2023</t>
        </is>
      </c>
      <c r="G11207" s="40" t="n">
        <v>8143333.34</v>
      </c>
    </row>
    <row r="11208" ht="12" customHeight="1">
      <c r="A11208" s="30" t="inlineStr">
        <is>
          <t>POR</t>
        </is>
      </c>
      <c r="B11208" s="30" t="inlineStr">
        <is>
          <t>Porto Real</t>
        </is>
      </c>
      <c r="C11208" s="30" t="n">
        <v>79777242</v>
      </c>
      <c r="D11208" s="30">
        <f>"01980411000153"</f>
        <v/>
      </c>
      <c r="E11208" s="30" t="inlineStr">
        <is>
          <t>PADARIA TEIXEIRA MENDONCA LTDA ME</t>
        </is>
      </c>
      <c r="F11208" s="30" t="inlineStr">
        <is>
          <t>2017</t>
        </is>
      </c>
      <c r="G11208" s="40" t="n">
        <v>0</v>
      </c>
    </row>
    <row r="11209" ht="12" customHeight="1">
      <c r="A11209" s="30" t="inlineStr">
        <is>
          <t>POR</t>
        </is>
      </c>
      <c r="B11209" s="30" t="inlineStr">
        <is>
          <t>Porto Real</t>
        </is>
      </c>
      <c r="C11209" s="30" t="n">
        <v>79777242</v>
      </c>
      <c r="D11209" s="30">
        <f>"01980411000153"</f>
        <v/>
      </c>
      <c r="E11209" s="30" t="inlineStr">
        <is>
          <t>PADARIA TEIXEIRA MENDONCA LTDA ME</t>
        </is>
      </c>
      <c r="F11209" s="30" t="inlineStr">
        <is>
          <t>2018</t>
        </is>
      </c>
      <c r="G11209" s="40" t="n">
        <v>0</v>
      </c>
    </row>
    <row r="11210" ht="12" customHeight="1">
      <c r="A11210" s="30" t="inlineStr">
        <is>
          <t>POR</t>
        </is>
      </c>
      <c r="B11210" s="30" t="inlineStr">
        <is>
          <t>Porto Real</t>
        </is>
      </c>
      <c r="C11210" s="30" t="n">
        <v>79777242</v>
      </c>
      <c r="D11210" s="30">
        <f>"01980411000153"</f>
        <v/>
      </c>
      <c r="E11210" s="30" t="inlineStr">
        <is>
          <t>PADARIA TEIXEIRA MENDONCA LTDA ME</t>
        </is>
      </c>
      <c r="F11210" s="30" t="inlineStr">
        <is>
          <t>2019</t>
        </is>
      </c>
      <c r="G11210" s="40" t="n">
        <v>0</v>
      </c>
    </row>
    <row r="11211" ht="12" customHeight="1">
      <c r="A11211" s="30" t="inlineStr">
        <is>
          <t>POR</t>
        </is>
      </c>
      <c r="B11211" s="30" t="inlineStr">
        <is>
          <t>Porto Real</t>
        </is>
      </c>
      <c r="C11211" s="30" t="n">
        <v>79788759</v>
      </c>
      <c r="D11211" s="30">
        <f>"00173639000179"</f>
        <v/>
      </c>
      <c r="E11211" s="30" t="inlineStr">
        <is>
          <t>M H S MACHADO COUTINHO ME</t>
        </is>
      </c>
      <c r="F11211" s="30" t="inlineStr">
        <is>
          <t>2017</t>
        </is>
      </c>
      <c r="G11211" s="40" t="n">
        <v>0</v>
      </c>
    </row>
    <row r="11212" ht="12" customHeight="1">
      <c r="A11212" s="30" t="inlineStr">
        <is>
          <t>POR</t>
        </is>
      </c>
      <c r="B11212" s="30" t="inlineStr">
        <is>
          <t>Porto Real</t>
        </is>
      </c>
      <c r="C11212" s="30" t="n">
        <v>79788759</v>
      </c>
      <c r="D11212" s="30">
        <f>"00173639000179"</f>
        <v/>
      </c>
      <c r="E11212" s="30" t="inlineStr">
        <is>
          <t>M H S MACHADO COUTINHO ME</t>
        </is>
      </c>
      <c r="F11212" s="30" t="inlineStr">
        <is>
          <t>2018</t>
        </is>
      </c>
      <c r="G11212" s="40" t="n">
        <v>0</v>
      </c>
    </row>
    <row r="11213" ht="12" customHeight="1">
      <c r="A11213" s="30" t="inlineStr">
        <is>
          <t>POR</t>
        </is>
      </c>
      <c r="B11213" s="30" t="inlineStr">
        <is>
          <t>Porto Real</t>
        </is>
      </c>
      <c r="C11213" s="30" t="n">
        <v>79788759</v>
      </c>
      <c r="D11213" s="30">
        <f>"00173639000179"</f>
        <v/>
      </c>
      <c r="E11213" s="30" t="inlineStr">
        <is>
          <t>M H S MACHADO COUTINHO ME</t>
        </is>
      </c>
      <c r="F11213" s="30" t="inlineStr">
        <is>
          <t>2019</t>
        </is>
      </c>
      <c r="G11213" s="40" t="n">
        <v>0</v>
      </c>
    </row>
    <row r="11214" ht="12" customHeight="1">
      <c r="A11214" s="30" t="inlineStr">
        <is>
          <t>POR</t>
        </is>
      </c>
      <c r="B11214" s="30" t="inlineStr">
        <is>
          <t>Porto Real</t>
        </is>
      </c>
      <c r="C11214" s="30" t="n">
        <v>79788759</v>
      </c>
      <c r="D11214" s="30">
        <f>"00173639000179"</f>
        <v/>
      </c>
      <c r="E11214" s="30" t="inlineStr">
        <is>
          <t>M H S MACHADO COUTINHO ME</t>
        </is>
      </c>
      <c r="F11214" s="30" t="inlineStr">
        <is>
          <t>2020</t>
        </is>
      </c>
      <c r="G11214" s="40" t="n">
        <v>0</v>
      </c>
    </row>
    <row r="11215" ht="12" customHeight="1">
      <c r="A11215" s="30" t="inlineStr">
        <is>
          <t>POR</t>
        </is>
      </c>
      <c r="B11215" s="30" t="inlineStr">
        <is>
          <t>Porto Real</t>
        </is>
      </c>
      <c r="C11215" s="30" t="n">
        <v>79788759</v>
      </c>
      <c r="D11215" s="30">
        <f>"00173639000179"</f>
        <v/>
      </c>
      <c r="E11215" s="30" t="inlineStr">
        <is>
          <t>M H S MACHADO COUTINHO ME</t>
        </is>
      </c>
      <c r="F11215" s="30" t="inlineStr">
        <is>
          <t>2021</t>
        </is>
      </c>
      <c r="G11215" s="40" t="n">
        <v>0</v>
      </c>
    </row>
    <row r="11216" ht="12" customHeight="1">
      <c r="A11216" s="30" t="inlineStr">
        <is>
          <t>POR</t>
        </is>
      </c>
      <c r="B11216" s="30" t="inlineStr">
        <is>
          <t>Porto Real</t>
        </is>
      </c>
      <c r="C11216" s="30" t="n">
        <v>79798460</v>
      </c>
      <c r="D11216" s="30">
        <f>"05597965000470"</f>
        <v/>
      </c>
      <c r="E11216" s="30" t="inlineStr">
        <is>
          <t>KR TRANSPORTES E LOGISTICA LTDA</t>
        </is>
      </c>
      <c r="F11216" s="30" t="inlineStr">
        <is>
          <t>2020</t>
        </is>
      </c>
      <c r="G11216" s="40" t="n">
        <v>0</v>
      </c>
    </row>
    <row r="11217" ht="12" customHeight="1">
      <c r="A11217" s="30" t="inlineStr">
        <is>
          <t>POR</t>
        </is>
      </c>
      <c r="B11217" s="30" t="inlineStr">
        <is>
          <t>Porto Real</t>
        </is>
      </c>
      <c r="C11217" s="30" t="n">
        <v>79798460</v>
      </c>
      <c r="D11217" s="30">
        <f>"05597965000470"</f>
        <v/>
      </c>
      <c r="E11217" s="30" t="inlineStr">
        <is>
          <t>KR TRANSPORTES E LOGISTICA LTDA</t>
        </is>
      </c>
      <c r="F11217" s="30" t="inlineStr">
        <is>
          <t>2021</t>
        </is>
      </c>
      <c r="G11217" s="40" t="n">
        <v>0</v>
      </c>
    </row>
    <row r="11218" ht="12" customHeight="1">
      <c r="A11218" s="30" t="inlineStr">
        <is>
          <t>POR</t>
        </is>
      </c>
      <c r="B11218" s="30" t="inlineStr">
        <is>
          <t>Porto Real</t>
        </is>
      </c>
      <c r="C11218" s="30" t="n">
        <v>79798460</v>
      </c>
      <c r="D11218" s="30">
        <f>"05597965000470"</f>
        <v/>
      </c>
      <c r="E11218" s="30" t="inlineStr">
        <is>
          <t>KR TRANSPORTES E LOGISTICA LTDA</t>
        </is>
      </c>
      <c r="F11218" s="30" t="inlineStr">
        <is>
          <t>2022</t>
        </is>
      </c>
      <c r="G11218" s="40" t="n">
        <v>54.49</v>
      </c>
    </row>
    <row r="11219" ht="12" customHeight="1">
      <c r="A11219" s="30" t="inlineStr">
        <is>
          <t>POR</t>
        </is>
      </c>
      <c r="B11219" s="30" t="inlineStr">
        <is>
          <t>Porto Real</t>
        </is>
      </c>
      <c r="C11219" s="30" t="n">
        <v>79798460</v>
      </c>
      <c r="D11219" s="30">
        <f>"05597965000470"</f>
        <v/>
      </c>
      <c r="E11219" s="30" t="inlineStr">
        <is>
          <t>KR TRANSPORTES E LOGISTICA LTDA</t>
        </is>
      </c>
      <c r="F11219" s="30" t="inlineStr">
        <is>
          <t>2023</t>
        </is>
      </c>
      <c r="G11219" s="40" t="n">
        <v>86.86</v>
      </c>
    </row>
    <row r="11220" ht="12" customHeight="1">
      <c r="A11220" s="30" t="inlineStr">
        <is>
          <t>POR</t>
        </is>
      </c>
      <c r="B11220" s="30" t="inlineStr">
        <is>
          <t>Porto Real</t>
        </is>
      </c>
      <c r="C11220" s="30" t="n">
        <v>79810169</v>
      </c>
      <c r="D11220" s="30">
        <f>"01838723041311"</f>
        <v/>
      </c>
      <c r="E11220" s="30" t="inlineStr">
        <is>
          <t>BRF S A</t>
        </is>
      </c>
      <c r="F11220" s="30" t="inlineStr">
        <is>
          <t>2020</t>
        </is>
      </c>
      <c r="G11220" s="40" t="n">
        <v>0</v>
      </c>
    </row>
    <row r="11221" ht="12" customHeight="1">
      <c r="A11221" s="30" t="inlineStr">
        <is>
          <t>POR</t>
        </is>
      </c>
      <c r="B11221" s="30" t="inlineStr">
        <is>
          <t>Porto Real</t>
        </is>
      </c>
      <c r="C11221" s="30" t="n">
        <v>79810169</v>
      </c>
      <c r="D11221" s="30">
        <f>"01838723041311"</f>
        <v/>
      </c>
      <c r="E11221" s="30" t="inlineStr">
        <is>
          <t>BRF S A</t>
        </is>
      </c>
      <c r="F11221" s="30" t="inlineStr">
        <is>
          <t>2021</t>
        </is>
      </c>
      <c r="G11221" s="40" t="n">
        <v>0</v>
      </c>
    </row>
    <row r="11222" ht="12" customHeight="1">
      <c r="A11222" s="30" t="inlineStr">
        <is>
          <t>POR</t>
        </is>
      </c>
      <c r="B11222" s="30" t="inlineStr">
        <is>
          <t>Porto Real</t>
        </is>
      </c>
      <c r="C11222" s="30" t="n">
        <v>79810169</v>
      </c>
      <c r="D11222" s="30">
        <f>"01838723041311"</f>
        <v/>
      </c>
      <c r="E11222" s="30" t="inlineStr">
        <is>
          <t>BRF S A</t>
        </is>
      </c>
      <c r="F11222" s="30" t="inlineStr">
        <is>
          <t>2022</t>
        </is>
      </c>
      <c r="G11222" s="40" t="n">
        <v>27093.36</v>
      </c>
    </row>
    <row r="11223" ht="12" customHeight="1">
      <c r="A11223" s="30" t="inlineStr">
        <is>
          <t>POR</t>
        </is>
      </c>
      <c r="B11223" s="30" t="inlineStr">
        <is>
          <t>Porto Real</t>
        </is>
      </c>
      <c r="C11223" s="30" t="n">
        <v>79810169</v>
      </c>
      <c r="D11223" s="30">
        <f>"01838723041311"</f>
        <v/>
      </c>
      <c r="E11223" s="30" t="inlineStr">
        <is>
          <t>BRF S A</t>
        </is>
      </c>
      <c r="F11223" s="30" t="inlineStr">
        <is>
          <t>2023</t>
        </is>
      </c>
      <c r="G11223" s="40" t="n">
        <v>206248.99</v>
      </c>
    </row>
    <row r="11224" ht="12" customHeight="1">
      <c r="A11224" s="30" t="inlineStr">
        <is>
          <t>POR</t>
        </is>
      </c>
      <c r="B11224" s="30" t="inlineStr">
        <is>
          <t>Porto Real</t>
        </is>
      </c>
      <c r="C11224" s="30" t="n">
        <v>79816930</v>
      </c>
      <c r="D11224" s="30">
        <f>"05423963013361"</f>
        <v/>
      </c>
      <c r="E11224" s="30" t="inlineStr">
        <is>
          <t>OI MOVEL S.A. - EM RECUPERACAO JUDICIAL</t>
        </is>
      </c>
      <c r="F11224" s="30" t="inlineStr">
        <is>
          <t>2017</t>
        </is>
      </c>
      <c r="G11224" s="40" t="n">
        <v>360922.8</v>
      </c>
    </row>
    <row r="11225" ht="12" customHeight="1">
      <c r="A11225" s="30" t="inlineStr">
        <is>
          <t>POR</t>
        </is>
      </c>
      <c r="B11225" s="30" t="inlineStr">
        <is>
          <t>Porto Real</t>
        </is>
      </c>
      <c r="C11225" s="30" t="n">
        <v>79816930</v>
      </c>
      <c r="D11225" s="30">
        <f>"05423963013361"</f>
        <v/>
      </c>
      <c r="E11225" s="30" t="inlineStr">
        <is>
          <t>OI MOVEL S.A. - EM RECUPERACAO JUDICIAL</t>
        </is>
      </c>
      <c r="F11225" s="30" t="inlineStr">
        <is>
          <t>2018</t>
        </is>
      </c>
      <c r="G11225" s="40" t="n">
        <v>329276.35</v>
      </c>
    </row>
    <row r="11226" ht="12" customHeight="1">
      <c r="A11226" s="30" t="inlineStr">
        <is>
          <t>POR</t>
        </is>
      </c>
      <c r="B11226" s="30" t="inlineStr">
        <is>
          <t>Porto Real</t>
        </is>
      </c>
      <c r="C11226" s="30" t="n">
        <v>79816930</v>
      </c>
      <c r="D11226" s="30">
        <f>"05423963013361"</f>
        <v/>
      </c>
      <c r="E11226" s="30" t="inlineStr">
        <is>
          <t>OI MOVEL S.A. - EM RECUPERACAO JUDICIAL</t>
        </is>
      </c>
      <c r="F11226" s="30" t="inlineStr">
        <is>
          <t>2019</t>
        </is>
      </c>
      <c r="G11226" s="40" t="n">
        <v>298541.12</v>
      </c>
    </row>
    <row r="11227" ht="12" customHeight="1">
      <c r="A11227" s="30" t="inlineStr">
        <is>
          <t>POR</t>
        </is>
      </c>
      <c r="B11227" s="30" t="inlineStr">
        <is>
          <t>Porto Real</t>
        </is>
      </c>
      <c r="C11227" s="30" t="n">
        <v>79816930</v>
      </c>
      <c r="D11227" s="30">
        <f>"05423963013361"</f>
        <v/>
      </c>
      <c r="E11227" s="30" t="inlineStr">
        <is>
          <t>OI MOVEL S.A. - EM RECUPERACAO JUDICIAL</t>
        </is>
      </c>
      <c r="F11227" s="30" t="inlineStr">
        <is>
          <t>2020</t>
        </is>
      </c>
      <c r="G11227" s="40" t="n">
        <v>303021.05</v>
      </c>
    </row>
    <row r="11228" ht="12" customHeight="1">
      <c r="A11228" s="30" t="inlineStr">
        <is>
          <t>POR</t>
        </is>
      </c>
      <c r="B11228" s="30" t="inlineStr">
        <is>
          <t>Porto Real</t>
        </is>
      </c>
      <c r="C11228" s="30" t="n">
        <v>79816930</v>
      </c>
      <c r="D11228" s="30">
        <f>"05423963013361"</f>
        <v/>
      </c>
      <c r="E11228" s="30" t="inlineStr">
        <is>
          <t>OI MOVEL S.A. - EM RECUPERACAO JUDICIAL</t>
        </is>
      </c>
      <c r="F11228" s="30" t="inlineStr">
        <is>
          <t>2021</t>
        </is>
      </c>
      <c r="G11228" s="40" t="n">
        <v>316400.78</v>
      </c>
    </row>
    <row r="11229" ht="12" customHeight="1">
      <c r="A11229" s="30" t="inlineStr">
        <is>
          <t>POR</t>
        </is>
      </c>
      <c r="B11229" s="30" t="inlineStr">
        <is>
          <t>Porto Real</t>
        </is>
      </c>
      <c r="C11229" s="30" t="n">
        <v>79816930</v>
      </c>
      <c r="D11229" s="30">
        <f>"05423963013361"</f>
        <v/>
      </c>
      <c r="E11229" s="30" t="inlineStr">
        <is>
          <t>OI MOVEL S.A. - EM RECUPERACAO JUDICIAL</t>
        </is>
      </c>
      <c r="F11229" s="30" t="inlineStr">
        <is>
          <t>2022</t>
        </is>
      </c>
      <c r="G11229" s="40" t="n">
        <v>25626.45</v>
      </c>
    </row>
    <row r="11230" ht="12" customHeight="1">
      <c r="A11230" s="30" t="inlineStr">
        <is>
          <t>POR</t>
        </is>
      </c>
      <c r="B11230" s="30" t="inlineStr">
        <is>
          <t>Porto Real</t>
        </is>
      </c>
      <c r="C11230" s="30" t="n">
        <v>79816930</v>
      </c>
      <c r="D11230" s="30">
        <f>"05423963013361"</f>
        <v/>
      </c>
      <c r="E11230" s="30" t="inlineStr">
        <is>
          <t>OI MOVEL S.A. - EM RECUPERACAO JUDICIAL</t>
        </is>
      </c>
      <c r="F11230" s="30" t="inlineStr">
        <is>
          <t>2023</t>
        </is>
      </c>
      <c r="G11230" s="40" t="n">
        <v>0</v>
      </c>
    </row>
    <row r="11231" ht="12" customHeight="1">
      <c r="A11231" s="30" t="inlineStr">
        <is>
          <t>POR</t>
        </is>
      </c>
      <c r="B11231" s="30" t="inlineStr">
        <is>
          <t>Porto Real</t>
        </is>
      </c>
      <c r="C11231" s="30" t="n">
        <v>79825719</v>
      </c>
      <c r="D11231" s="30">
        <f>"11040609000100"</f>
        <v/>
      </c>
      <c r="E11231" s="30" t="inlineStr">
        <is>
          <t>H D LOG TRANSPORTES LTDA ME</t>
        </is>
      </c>
      <c r="F11231" s="30" t="inlineStr">
        <is>
          <t>2020</t>
        </is>
      </c>
      <c r="G11231" s="40" t="n">
        <v>0</v>
      </c>
    </row>
    <row r="11232" ht="12" customHeight="1">
      <c r="A11232" s="30" t="inlineStr">
        <is>
          <t>POR</t>
        </is>
      </c>
      <c r="B11232" s="30" t="inlineStr">
        <is>
          <t>Porto Real</t>
        </is>
      </c>
      <c r="C11232" s="30" t="n">
        <v>79825719</v>
      </c>
      <c r="D11232" s="30">
        <f>"11040609000100"</f>
        <v/>
      </c>
      <c r="E11232" s="30" t="inlineStr">
        <is>
          <t>H D LOG TRANSPORTES LTDA ME</t>
        </is>
      </c>
      <c r="F11232" s="30" t="inlineStr">
        <is>
          <t>2021</t>
        </is>
      </c>
      <c r="G11232" s="40" t="n">
        <v>0</v>
      </c>
    </row>
    <row r="11233" ht="12" customHeight="1">
      <c r="A11233" s="30" t="inlineStr">
        <is>
          <t>POR</t>
        </is>
      </c>
      <c r="B11233" s="30" t="inlineStr">
        <is>
          <t>Porto Real</t>
        </is>
      </c>
      <c r="C11233" s="30" t="n">
        <v>79825719</v>
      </c>
      <c r="D11233" s="30">
        <f>"11040609000100"</f>
        <v/>
      </c>
      <c r="E11233" s="30" t="inlineStr">
        <is>
          <t>H D LOG TRANSPORTES LTDA ME</t>
        </is>
      </c>
      <c r="F11233" s="30" t="inlineStr">
        <is>
          <t>2022</t>
        </is>
      </c>
      <c r="G11233" s="40" t="n">
        <v>105.61</v>
      </c>
    </row>
    <row r="11234" ht="12" customHeight="1">
      <c r="A11234" s="30" t="inlineStr">
        <is>
          <t>POR</t>
        </is>
      </c>
      <c r="B11234" s="30" t="inlineStr">
        <is>
          <t>Porto Real</t>
        </is>
      </c>
      <c r="C11234" s="30" t="n">
        <v>79825719</v>
      </c>
      <c r="D11234" s="30">
        <f>"11040609000100"</f>
        <v/>
      </c>
      <c r="E11234" s="30" t="inlineStr">
        <is>
          <t>H D LOG TRANSPORTES LTDA ME</t>
        </is>
      </c>
      <c r="F11234" s="30" t="inlineStr">
        <is>
          <t>2023</t>
        </is>
      </c>
      <c r="G11234" s="40" t="n">
        <v>402.55</v>
      </c>
    </row>
    <row r="11235" ht="12" customHeight="1">
      <c r="A11235" s="30" t="inlineStr">
        <is>
          <t>POR</t>
        </is>
      </c>
      <c r="B11235" s="30" t="inlineStr">
        <is>
          <t>Porto Real</t>
        </is>
      </c>
      <c r="C11235" s="30" t="n">
        <v>79832049</v>
      </c>
      <c r="D11235" s="30">
        <f>"17354841000108"</f>
        <v/>
      </c>
      <c r="E11235" s="30" t="inlineStr">
        <is>
          <t>TRANSPAX TRANSPORTADORA LTDA</t>
        </is>
      </c>
      <c r="F11235" s="30" t="inlineStr">
        <is>
          <t>2017</t>
        </is>
      </c>
      <c r="G11235" s="40" t="n">
        <v>137098.16</v>
      </c>
    </row>
    <row r="11236" ht="12" customHeight="1">
      <c r="A11236" s="30" t="inlineStr">
        <is>
          <t>POR</t>
        </is>
      </c>
      <c r="B11236" s="30" t="inlineStr">
        <is>
          <t>Porto Real</t>
        </is>
      </c>
      <c r="C11236" s="30" t="n">
        <v>79832049</v>
      </c>
      <c r="D11236" s="30">
        <f>"17354841000108"</f>
        <v/>
      </c>
      <c r="E11236" s="30" t="inlineStr">
        <is>
          <t>TRANSPAX TRANSPORTADORA LTDA</t>
        </is>
      </c>
      <c r="F11236" s="30" t="inlineStr">
        <is>
          <t>2018</t>
        </is>
      </c>
      <c r="G11236" s="40" t="n">
        <v>256212.44</v>
      </c>
    </row>
    <row r="11237" ht="12" customHeight="1">
      <c r="A11237" s="30" t="inlineStr">
        <is>
          <t>POR</t>
        </is>
      </c>
      <c r="B11237" s="30" t="inlineStr">
        <is>
          <t>Porto Real</t>
        </is>
      </c>
      <c r="C11237" s="30" t="n">
        <v>79832049</v>
      </c>
      <c r="D11237" s="30">
        <f>"17354841000108"</f>
        <v/>
      </c>
      <c r="E11237" s="30" t="inlineStr">
        <is>
          <t>TRANSPAX TRANSPORTADORA LTDA</t>
        </is>
      </c>
      <c r="F11237" s="30" t="inlineStr">
        <is>
          <t>2019</t>
        </is>
      </c>
      <c r="G11237" s="40" t="n">
        <v>1756105.24</v>
      </c>
    </row>
    <row r="11238" ht="12" customHeight="1">
      <c r="A11238" s="30" t="inlineStr">
        <is>
          <t>POR</t>
        </is>
      </c>
      <c r="B11238" s="30" t="inlineStr">
        <is>
          <t>Porto Real</t>
        </is>
      </c>
      <c r="C11238" s="30" t="n">
        <v>79832049</v>
      </c>
      <c r="D11238" s="30">
        <f>"17354841000108"</f>
        <v/>
      </c>
      <c r="E11238" s="30" t="inlineStr">
        <is>
          <t>TRANSPAX TRANSPORTADORA LTDA</t>
        </is>
      </c>
      <c r="F11238" s="30" t="inlineStr">
        <is>
          <t>2020</t>
        </is>
      </c>
      <c r="G11238" s="40" t="n">
        <v>865955.48</v>
      </c>
    </row>
    <row r="11239" ht="12" customHeight="1">
      <c r="A11239" s="30" t="inlineStr">
        <is>
          <t>POR</t>
        </is>
      </c>
      <c r="B11239" s="30" t="inlineStr">
        <is>
          <t>Porto Real</t>
        </is>
      </c>
      <c r="C11239" s="30" t="n">
        <v>79832049</v>
      </c>
      <c r="D11239" s="30">
        <f>"17354841000108"</f>
        <v/>
      </c>
      <c r="E11239" s="30" t="inlineStr">
        <is>
          <t>TRANSPAX TRANSPORTADORA LTDA</t>
        </is>
      </c>
      <c r="F11239" s="30" t="inlineStr">
        <is>
          <t>2021</t>
        </is>
      </c>
      <c r="G11239" s="40" t="n">
        <v>4625634</v>
      </c>
    </row>
    <row r="11240" ht="12" customHeight="1">
      <c r="A11240" s="30" t="inlineStr">
        <is>
          <t>POR</t>
        </is>
      </c>
      <c r="B11240" s="30" t="inlineStr">
        <is>
          <t>Porto Real</t>
        </is>
      </c>
      <c r="C11240" s="30" t="n">
        <v>79832049</v>
      </c>
      <c r="D11240" s="30">
        <f>"17354841000108"</f>
        <v/>
      </c>
      <c r="E11240" s="30" t="inlineStr">
        <is>
          <t>TRANSPAX TRANSPORTADORA LTDA</t>
        </is>
      </c>
      <c r="F11240" s="30" t="inlineStr">
        <is>
          <t>2022</t>
        </is>
      </c>
      <c r="G11240" s="40" t="n">
        <v>11324801.77</v>
      </c>
    </row>
    <row r="11241" ht="12" customHeight="1">
      <c r="A11241" s="30" t="inlineStr">
        <is>
          <t>POR</t>
        </is>
      </c>
      <c r="B11241" s="30" t="inlineStr">
        <is>
          <t>Porto Real</t>
        </is>
      </c>
      <c r="C11241" s="30" t="n">
        <v>79832049</v>
      </c>
      <c r="D11241" s="30">
        <f>"17354841000108"</f>
        <v/>
      </c>
      <c r="E11241" s="30" t="inlineStr">
        <is>
          <t>TRANSPAX TRANSPORTADORA LTDA</t>
        </is>
      </c>
      <c r="F11241" s="30" t="inlineStr">
        <is>
          <t>2023</t>
        </is>
      </c>
      <c r="G11241" s="40" t="n">
        <v>5752530.27</v>
      </c>
    </row>
    <row r="11242" ht="12" customHeight="1">
      <c r="A11242" s="30" t="inlineStr">
        <is>
          <t>POR</t>
        </is>
      </c>
      <c r="B11242" s="30" t="inlineStr">
        <is>
          <t>Porto Real</t>
        </is>
      </c>
      <c r="C11242" s="30" t="n">
        <v>79835862</v>
      </c>
      <c r="D11242" s="30">
        <f>"02351144003648"</f>
        <v/>
      </c>
      <c r="E11242" s="30" t="inlineStr">
        <is>
          <t>TEGMA GESTAO LOGISTICA S/A</t>
        </is>
      </c>
      <c r="F11242" s="30" t="inlineStr">
        <is>
          <t>2017</t>
        </is>
      </c>
      <c r="G11242" s="40" t="n">
        <v>391784.99</v>
      </c>
    </row>
    <row r="11243" ht="12" customHeight="1">
      <c r="A11243" s="30" t="inlineStr">
        <is>
          <t>POR</t>
        </is>
      </c>
      <c r="B11243" s="30" t="inlineStr">
        <is>
          <t>Porto Real</t>
        </is>
      </c>
      <c r="C11243" s="30" t="n">
        <v>79835862</v>
      </c>
      <c r="D11243" s="30">
        <f>"02351144003648"</f>
        <v/>
      </c>
      <c r="E11243" s="30" t="inlineStr">
        <is>
          <t>TEGMA GESTAO LOGISTICA S/A</t>
        </is>
      </c>
      <c r="F11243" s="30" t="inlineStr">
        <is>
          <t>2018</t>
        </is>
      </c>
      <c r="G11243" s="40" t="n">
        <v>448820.59</v>
      </c>
    </row>
    <row r="11244" ht="12" customHeight="1">
      <c r="A11244" s="30" t="inlineStr">
        <is>
          <t>POR</t>
        </is>
      </c>
      <c r="B11244" s="30" t="inlineStr">
        <is>
          <t>Porto Real</t>
        </is>
      </c>
      <c r="C11244" s="30" t="n">
        <v>79835862</v>
      </c>
      <c r="D11244" s="30">
        <f>"02351144003648"</f>
        <v/>
      </c>
      <c r="E11244" s="30" t="inlineStr">
        <is>
          <t>TEGMA GESTAO LOGISTICA S/A</t>
        </is>
      </c>
      <c r="F11244" s="30" t="inlineStr">
        <is>
          <t>2019</t>
        </is>
      </c>
      <c r="G11244" s="40" t="n">
        <v>588782.8199999999</v>
      </c>
    </row>
    <row r="11245" ht="12" customHeight="1">
      <c r="A11245" s="30" t="inlineStr">
        <is>
          <t>POR</t>
        </is>
      </c>
      <c r="B11245" s="30" t="inlineStr">
        <is>
          <t>Porto Real</t>
        </is>
      </c>
      <c r="C11245" s="30" t="n">
        <v>79835862</v>
      </c>
      <c r="D11245" s="30">
        <f>"02351144003648"</f>
        <v/>
      </c>
      <c r="E11245" s="30" t="inlineStr">
        <is>
          <t>TEGMA GESTAO LOGISTICA S/A</t>
        </is>
      </c>
      <c r="F11245" s="30" t="inlineStr">
        <is>
          <t>2020</t>
        </is>
      </c>
      <c r="G11245" s="40" t="n">
        <v>387012.13</v>
      </c>
    </row>
    <row r="11246" ht="12" customHeight="1">
      <c r="A11246" s="30" t="inlineStr">
        <is>
          <t>POR</t>
        </is>
      </c>
      <c r="B11246" s="30" t="inlineStr">
        <is>
          <t>Porto Real</t>
        </is>
      </c>
      <c r="C11246" s="30" t="n">
        <v>79835862</v>
      </c>
      <c r="D11246" s="30">
        <f>"02351144003648"</f>
        <v/>
      </c>
      <c r="E11246" s="30" t="inlineStr">
        <is>
          <t>TEGMA GESTAO LOGISTICA S/A</t>
        </is>
      </c>
      <c r="F11246" s="30" t="inlineStr">
        <is>
          <t>2021</t>
        </is>
      </c>
      <c r="G11246" s="40" t="n">
        <v>2311080.14</v>
      </c>
    </row>
    <row r="11247" ht="12" customHeight="1">
      <c r="A11247" s="30" t="inlineStr">
        <is>
          <t>POR</t>
        </is>
      </c>
      <c r="B11247" s="30" t="inlineStr">
        <is>
          <t>Porto Real</t>
        </is>
      </c>
      <c r="C11247" s="30" t="n">
        <v>79835862</v>
      </c>
      <c r="D11247" s="30">
        <f>"02351144003648"</f>
        <v/>
      </c>
      <c r="E11247" s="30" t="inlineStr">
        <is>
          <t>TEGMA GESTAO LOGISTICA S/A</t>
        </is>
      </c>
      <c r="F11247" s="30" t="inlineStr">
        <is>
          <t>2022</t>
        </is>
      </c>
      <c r="G11247" s="40" t="n">
        <v>3356972.05</v>
      </c>
    </row>
    <row r="11248" ht="12" customHeight="1">
      <c r="A11248" s="30" t="inlineStr">
        <is>
          <t>POR</t>
        </is>
      </c>
      <c r="B11248" s="30" t="inlineStr">
        <is>
          <t>Porto Real</t>
        </is>
      </c>
      <c r="C11248" s="30" t="n">
        <v>79835862</v>
      </c>
      <c r="D11248" s="30">
        <f>"02351144003648"</f>
        <v/>
      </c>
      <c r="E11248" s="30" t="inlineStr">
        <is>
          <t>TEGMA GESTAO LOGISTICA S/A</t>
        </is>
      </c>
      <c r="F11248" s="30" t="inlineStr">
        <is>
          <t>2023</t>
        </is>
      </c>
      <c r="G11248" s="40" t="n">
        <v>2974007.4</v>
      </c>
    </row>
    <row r="11249" ht="12" customHeight="1">
      <c r="A11249" s="30" t="inlineStr">
        <is>
          <t>POR</t>
        </is>
      </c>
      <c r="B11249" s="30" t="inlineStr">
        <is>
          <t>Porto Real</t>
        </is>
      </c>
      <c r="C11249" s="30" t="n">
        <v>79852120</v>
      </c>
      <c r="D11249" s="30">
        <f>"09174577000780"</f>
        <v/>
      </c>
      <c r="E11249" s="30" t="inlineStr">
        <is>
          <t>BCUBE LOGISTIC LTDA</t>
        </is>
      </c>
      <c r="F11249" s="30" t="inlineStr">
        <is>
          <t>2017</t>
        </is>
      </c>
      <c r="G11249" s="40" t="n">
        <v>3214.4</v>
      </c>
    </row>
    <row r="11250" ht="12" customHeight="1">
      <c r="A11250" s="30" t="inlineStr">
        <is>
          <t>POR</t>
        </is>
      </c>
      <c r="B11250" s="30" t="inlineStr">
        <is>
          <t>Porto Real</t>
        </is>
      </c>
      <c r="C11250" s="30" t="n">
        <v>79852120</v>
      </c>
      <c r="D11250" s="30">
        <f>"09174577000780"</f>
        <v/>
      </c>
      <c r="E11250" s="30" t="inlineStr">
        <is>
          <t>BCUBE LOGISTIC LTDA</t>
        </is>
      </c>
      <c r="F11250" s="30" t="inlineStr">
        <is>
          <t>2018</t>
        </is>
      </c>
      <c r="G11250" s="40" t="n">
        <v>1191.88</v>
      </c>
    </row>
    <row r="11251" ht="12" customHeight="1">
      <c r="A11251" s="30" t="inlineStr">
        <is>
          <t>POR</t>
        </is>
      </c>
      <c r="B11251" s="30" t="inlineStr">
        <is>
          <t>Porto Real</t>
        </is>
      </c>
      <c r="C11251" s="30" t="n">
        <v>79852120</v>
      </c>
      <c r="D11251" s="30">
        <f>"09174577000780"</f>
        <v/>
      </c>
      <c r="E11251" s="30" t="inlineStr">
        <is>
          <t>BCUBE LOGISTIC LTDA</t>
        </is>
      </c>
      <c r="F11251" s="30" t="inlineStr">
        <is>
          <t>2019</t>
        </is>
      </c>
      <c r="G11251" s="40" t="n">
        <v>0</v>
      </c>
    </row>
    <row r="11252" ht="12" customHeight="1">
      <c r="A11252" s="30" t="inlineStr">
        <is>
          <t>POR</t>
        </is>
      </c>
      <c r="B11252" s="30" t="inlineStr">
        <is>
          <t>Porto Real</t>
        </is>
      </c>
      <c r="C11252" s="30" t="n">
        <v>79852120</v>
      </c>
      <c r="D11252" s="30">
        <f>"09174577000780"</f>
        <v/>
      </c>
      <c r="E11252" s="30" t="inlineStr">
        <is>
          <t>BCUBE LOGISTIC LTDA</t>
        </is>
      </c>
      <c r="F11252" s="30" t="inlineStr">
        <is>
          <t>2020</t>
        </is>
      </c>
      <c r="G11252" s="40" t="n">
        <v>0</v>
      </c>
    </row>
    <row r="11253" ht="12" customHeight="1">
      <c r="A11253" s="30" t="inlineStr">
        <is>
          <t>POR</t>
        </is>
      </c>
      <c r="B11253" s="30" t="inlineStr">
        <is>
          <t>Porto Real</t>
        </is>
      </c>
      <c r="C11253" s="30" t="n">
        <v>79858226</v>
      </c>
      <c r="D11253" s="30">
        <f>"49243124000430"</f>
        <v/>
      </c>
      <c r="E11253" s="30" t="inlineStr">
        <is>
          <t>TRANSMORENO TRANSPORTE E LOGISTICA LTDA</t>
        </is>
      </c>
      <c r="F11253" s="30" t="inlineStr">
        <is>
          <t>2017</t>
        </is>
      </c>
      <c r="G11253" s="40" t="n">
        <v>2386.6</v>
      </c>
    </row>
    <row r="11254" ht="12" customHeight="1">
      <c r="A11254" s="30" t="inlineStr">
        <is>
          <t>POR</t>
        </is>
      </c>
      <c r="B11254" s="30" t="inlineStr">
        <is>
          <t>Porto Real</t>
        </is>
      </c>
      <c r="C11254" s="30" t="n">
        <v>79858226</v>
      </c>
      <c r="D11254" s="30">
        <f>"49243124000430"</f>
        <v/>
      </c>
      <c r="E11254" s="30" t="inlineStr">
        <is>
          <t>TRANSMORENO TRANSPORTE E LOGISTICA LTDA</t>
        </is>
      </c>
      <c r="F11254" s="30" t="inlineStr">
        <is>
          <t>2018</t>
        </is>
      </c>
      <c r="G11254" s="40" t="n">
        <v>9831.16</v>
      </c>
    </row>
    <row r="11255" ht="12" customHeight="1">
      <c r="A11255" s="30" t="inlineStr">
        <is>
          <t>POR</t>
        </is>
      </c>
      <c r="B11255" s="30" t="inlineStr">
        <is>
          <t>Porto Real</t>
        </is>
      </c>
      <c r="C11255" s="30" t="n">
        <v>79858226</v>
      </c>
      <c r="D11255" s="30">
        <f>"49243124000430"</f>
        <v/>
      </c>
      <c r="E11255" s="30" t="inlineStr">
        <is>
          <t>TRANSMORENO TRANSPORTE E LOGISTICA LTDA</t>
        </is>
      </c>
      <c r="F11255" s="30" t="inlineStr">
        <is>
          <t>2019</t>
        </is>
      </c>
      <c r="G11255" s="40" t="n">
        <v>4029.76</v>
      </c>
    </row>
    <row r="11256" ht="12" customHeight="1">
      <c r="A11256" s="30" t="inlineStr">
        <is>
          <t>POR</t>
        </is>
      </c>
      <c r="B11256" s="30" t="inlineStr">
        <is>
          <t>Porto Real</t>
        </is>
      </c>
      <c r="C11256" s="30" t="n">
        <v>79858226</v>
      </c>
      <c r="D11256" s="30">
        <f>"49243124000430"</f>
        <v/>
      </c>
      <c r="E11256" s="30" t="inlineStr">
        <is>
          <t>TRANSMORENO TRANSPORTE E LOGISTICA LTDA</t>
        </is>
      </c>
      <c r="F11256" s="30" t="inlineStr">
        <is>
          <t>2020</t>
        </is>
      </c>
      <c r="G11256" s="40" t="n">
        <v>2546775.67</v>
      </c>
    </row>
    <row r="11257" ht="12" customHeight="1">
      <c r="A11257" s="30" t="inlineStr">
        <is>
          <t>POR</t>
        </is>
      </c>
      <c r="B11257" s="30" t="inlineStr">
        <is>
          <t>Porto Real</t>
        </is>
      </c>
      <c r="C11257" s="30" t="n">
        <v>79858226</v>
      </c>
      <c r="D11257" s="30">
        <f>"49243124000430"</f>
        <v/>
      </c>
      <c r="E11257" s="30" t="inlineStr">
        <is>
          <t>TRANSMORENO TRANSPORTE E LOGISTICA LTDA</t>
        </is>
      </c>
      <c r="F11257" s="30" t="inlineStr">
        <is>
          <t>2021</t>
        </is>
      </c>
      <c r="G11257" s="40" t="n">
        <v>39874242.82</v>
      </c>
    </row>
    <row r="11258" ht="12" customHeight="1">
      <c r="A11258" s="30" t="inlineStr">
        <is>
          <t>POR</t>
        </is>
      </c>
      <c r="B11258" s="30" t="inlineStr">
        <is>
          <t>Porto Real</t>
        </is>
      </c>
      <c r="C11258" s="30" t="n">
        <v>79858226</v>
      </c>
      <c r="D11258" s="30">
        <f>"49243124000430"</f>
        <v/>
      </c>
      <c r="E11258" s="30" t="inlineStr">
        <is>
          <t>TRANSMORENO TRANSPORTE E LOGISTICA LTDA</t>
        </is>
      </c>
      <c r="F11258" s="30" t="inlineStr">
        <is>
          <t>2022</t>
        </is>
      </c>
      <c r="G11258" s="40" t="n">
        <v>800918.3100000001</v>
      </c>
    </row>
    <row r="11259" ht="12" customHeight="1">
      <c r="A11259" s="30" t="inlineStr">
        <is>
          <t>POR</t>
        </is>
      </c>
      <c r="B11259" s="30" t="inlineStr">
        <is>
          <t>Porto Real</t>
        </is>
      </c>
      <c r="C11259" s="30" t="n">
        <v>79858226</v>
      </c>
      <c r="D11259" s="30">
        <f>"49243124000430"</f>
        <v/>
      </c>
      <c r="E11259" s="30" t="inlineStr">
        <is>
          <t>TRANSMORENO TRANSPORTE E LOGISTICA LTDA</t>
        </is>
      </c>
      <c r="F11259" s="30" t="inlineStr">
        <is>
          <t>2023</t>
        </is>
      </c>
      <c r="G11259" s="40" t="n">
        <v>2866.24</v>
      </c>
    </row>
    <row r="11260" ht="12" customHeight="1">
      <c r="A11260" s="30" t="inlineStr">
        <is>
          <t>POR</t>
        </is>
      </c>
      <c r="B11260" s="30" t="inlineStr">
        <is>
          <t>Porto Real</t>
        </is>
      </c>
      <c r="C11260" s="30" t="n">
        <v>79869988</v>
      </c>
      <c r="D11260" s="30">
        <f>"60541240000710"</f>
        <v/>
      </c>
      <c r="E11260" s="30" t="inlineStr">
        <is>
          <t>TECNOLOG TRANSPORTES RODO AEREO E LOGISTICA LTDA</t>
        </is>
      </c>
      <c r="F11260" s="30" t="inlineStr">
        <is>
          <t>2019</t>
        </is>
      </c>
      <c r="G11260" s="40" t="n">
        <v>0</v>
      </c>
    </row>
    <row r="11261" ht="12" customHeight="1">
      <c r="A11261" s="30" t="inlineStr">
        <is>
          <t>POR</t>
        </is>
      </c>
      <c r="B11261" s="30" t="inlineStr">
        <is>
          <t>Porto Real</t>
        </is>
      </c>
      <c r="C11261" s="30" t="n">
        <v>79869988</v>
      </c>
      <c r="D11261" s="30">
        <f>"60541240000710"</f>
        <v/>
      </c>
      <c r="E11261" s="30" t="inlineStr">
        <is>
          <t>TECNOLOG TRANSPORTES RODO AEREO E LOGISTICA LTDA</t>
        </is>
      </c>
      <c r="F11261" s="30" t="inlineStr">
        <is>
          <t>2020</t>
        </is>
      </c>
      <c r="G11261" s="40" t="n">
        <v>0</v>
      </c>
    </row>
    <row r="11262" ht="12" customHeight="1">
      <c r="A11262" s="30" t="inlineStr">
        <is>
          <t>POR</t>
        </is>
      </c>
      <c r="B11262" s="30" t="inlineStr">
        <is>
          <t>Porto Real</t>
        </is>
      </c>
      <c r="C11262" s="30" t="n">
        <v>79869988</v>
      </c>
      <c r="D11262" s="30">
        <f>"60541240000710"</f>
        <v/>
      </c>
      <c r="E11262" s="30" t="inlineStr">
        <is>
          <t>TECNOLOG TRANSPORTES RODO AEREO E LOGISTICA LTDA</t>
        </is>
      </c>
      <c r="F11262" s="30" t="inlineStr">
        <is>
          <t>2021</t>
        </is>
      </c>
      <c r="G11262" s="40" t="n">
        <v>858.5</v>
      </c>
    </row>
    <row r="11263" ht="12" customHeight="1">
      <c r="A11263" s="30" t="inlineStr">
        <is>
          <t>POR</t>
        </is>
      </c>
      <c r="B11263" s="30" t="inlineStr">
        <is>
          <t>Porto Real</t>
        </is>
      </c>
      <c r="C11263" s="30" t="n">
        <v>79869988</v>
      </c>
      <c r="D11263" s="30">
        <f>"60541240000710"</f>
        <v/>
      </c>
      <c r="E11263" s="30" t="inlineStr">
        <is>
          <t>TECNOLOG TRANSPORTES RODO AEREO E LOGISTICA LTDA</t>
        </is>
      </c>
      <c r="F11263" s="30" t="inlineStr">
        <is>
          <t>2022</t>
        </is>
      </c>
      <c r="G11263" s="40" t="n">
        <v>0</v>
      </c>
    </row>
    <row r="11264" ht="12" customHeight="1">
      <c r="A11264" s="30" t="inlineStr">
        <is>
          <t>POR</t>
        </is>
      </c>
      <c r="B11264" s="30" t="inlineStr">
        <is>
          <t>Porto Real</t>
        </is>
      </c>
      <c r="C11264" s="30" t="n">
        <v>79869988</v>
      </c>
      <c r="D11264" s="30">
        <f>"60541240000710"</f>
        <v/>
      </c>
      <c r="E11264" s="30" t="inlineStr">
        <is>
          <t>TECNOLOG TRANSPORTES RODO AEREO E LOGISTICA LTDA</t>
        </is>
      </c>
      <c r="F11264" s="30" t="inlineStr">
        <is>
          <t>2023</t>
        </is>
      </c>
      <c r="G11264" s="40" t="n">
        <v>0</v>
      </c>
    </row>
    <row r="11265" ht="12" customHeight="1">
      <c r="A11265" s="30" t="inlineStr">
        <is>
          <t>POR</t>
        </is>
      </c>
      <c r="B11265" s="30" t="inlineStr">
        <is>
          <t>Porto Real</t>
        </is>
      </c>
      <c r="C11265" s="30" t="n">
        <v>79886602</v>
      </c>
      <c r="D11265" s="30">
        <f>"16734288000168"</f>
        <v/>
      </c>
      <c r="E11265" s="30" t="inlineStr">
        <is>
          <t>RT MULTI SERVICE LTDA ME</t>
        </is>
      </c>
      <c r="F11265" s="30" t="inlineStr">
        <is>
          <t>2021</t>
        </is>
      </c>
      <c r="G11265" s="40" t="n">
        <v>0</v>
      </c>
    </row>
    <row r="11266" ht="12" customHeight="1">
      <c r="A11266" s="30" t="inlineStr">
        <is>
          <t>POR</t>
        </is>
      </c>
      <c r="B11266" s="30" t="inlineStr">
        <is>
          <t>Porto Real</t>
        </is>
      </c>
      <c r="C11266" s="30" t="n">
        <v>79886602</v>
      </c>
      <c r="D11266" s="30">
        <f>"16734288000168"</f>
        <v/>
      </c>
      <c r="E11266" s="30" t="inlineStr">
        <is>
          <t>RT MULTI SERVICE LTDA ME</t>
        </is>
      </c>
      <c r="F11266" s="30" t="inlineStr">
        <is>
          <t>2022</t>
        </is>
      </c>
      <c r="G11266" s="40" t="n">
        <v>0</v>
      </c>
    </row>
    <row r="11267" ht="12" customHeight="1">
      <c r="A11267" s="30" t="inlineStr">
        <is>
          <t>POR</t>
        </is>
      </c>
      <c r="B11267" s="30" t="inlineStr">
        <is>
          <t>Porto Real</t>
        </is>
      </c>
      <c r="C11267" s="30" t="n">
        <v>79886602</v>
      </c>
      <c r="D11267" s="30">
        <f>"16734288000168"</f>
        <v/>
      </c>
      <c r="E11267" s="30" t="inlineStr">
        <is>
          <t>RT MULTI SERVICE LTDA ME</t>
        </is>
      </c>
      <c r="F11267" s="30" t="inlineStr">
        <is>
          <t>2023</t>
        </is>
      </c>
      <c r="G11267" s="40" t="n">
        <v>106343.27</v>
      </c>
    </row>
    <row r="11268" ht="12" customHeight="1">
      <c r="A11268" s="30" t="inlineStr">
        <is>
          <t>POR</t>
        </is>
      </c>
      <c r="B11268" s="30" t="inlineStr">
        <is>
          <t>Porto Real</t>
        </is>
      </c>
      <c r="C11268" s="30" t="n">
        <v>79918768</v>
      </c>
      <c r="D11268" s="30">
        <f>"17636490000110"</f>
        <v/>
      </c>
      <c r="E11268" s="30" t="inlineStr">
        <is>
          <t>TMA TRANSPORTE LOTACAO E LOGISTICA LTDA</t>
        </is>
      </c>
      <c r="F11268" s="30" t="inlineStr">
        <is>
          <t>2017</t>
        </is>
      </c>
      <c r="G11268" s="40" t="n">
        <v>0</v>
      </c>
    </row>
    <row r="11269" ht="12" customHeight="1">
      <c r="A11269" s="30" t="inlineStr">
        <is>
          <t>POR</t>
        </is>
      </c>
      <c r="B11269" s="30" t="inlineStr">
        <is>
          <t>Porto Real</t>
        </is>
      </c>
      <c r="C11269" s="30" t="n">
        <v>79918768</v>
      </c>
      <c r="D11269" s="30">
        <f>"17636490000110"</f>
        <v/>
      </c>
      <c r="E11269" s="30" t="inlineStr">
        <is>
          <t>TMA TRANSPORTE LOTACAO E LOGISTICA LTDA</t>
        </is>
      </c>
      <c r="F11269" s="30" t="inlineStr">
        <is>
          <t>2018</t>
        </is>
      </c>
      <c r="G11269" s="40" t="n">
        <v>0</v>
      </c>
    </row>
    <row r="11270" ht="12" customHeight="1">
      <c r="A11270" s="30" t="inlineStr">
        <is>
          <t>POR</t>
        </is>
      </c>
      <c r="B11270" s="30" t="inlineStr">
        <is>
          <t>Porto Real</t>
        </is>
      </c>
      <c r="C11270" s="30" t="n">
        <v>79918768</v>
      </c>
      <c r="D11270" s="30">
        <f>"17636490000110"</f>
        <v/>
      </c>
      <c r="E11270" s="30" t="inlineStr">
        <is>
          <t>TMA TRANSPORTE LOTACAO E LOGISTICA LTDA</t>
        </is>
      </c>
      <c r="F11270" s="30" t="inlineStr">
        <is>
          <t>2019</t>
        </is>
      </c>
      <c r="G11270" s="40" t="n">
        <v>454.29</v>
      </c>
    </row>
    <row r="11271" ht="12" customHeight="1">
      <c r="A11271" s="30" t="inlineStr">
        <is>
          <t>POR</t>
        </is>
      </c>
      <c r="B11271" s="30" t="inlineStr">
        <is>
          <t>Porto Real</t>
        </is>
      </c>
      <c r="C11271" s="30" t="n">
        <v>79918768</v>
      </c>
      <c r="D11271" s="30">
        <f>"17636490000110"</f>
        <v/>
      </c>
      <c r="E11271" s="30" t="inlineStr">
        <is>
          <t>TMA TRANSPORTE LOTACAO E LOGISTICA LTDA</t>
        </is>
      </c>
      <c r="F11271" s="30" t="inlineStr">
        <is>
          <t>2020</t>
        </is>
      </c>
      <c r="G11271" s="40" t="n">
        <v>352.71</v>
      </c>
    </row>
    <row r="11272" ht="12" customHeight="1">
      <c r="A11272" s="30" t="inlineStr">
        <is>
          <t>POR</t>
        </is>
      </c>
      <c r="B11272" s="30" t="inlineStr">
        <is>
          <t>Porto Real</t>
        </is>
      </c>
      <c r="C11272" s="30" t="n">
        <v>79918768</v>
      </c>
      <c r="D11272" s="30">
        <f>"17636490000110"</f>
        <v/>
      </c>
      <c r="E11272" s="30" t="inlineStr">
        <is>
          <t>TMA TRANSPORTE LOTACAO E LOGISTICA LTDA</t>
        </is>
      </c>
      <c r="F11272" s="30" t="inlineStr">
        <is>
          <t>2021</t>
        </is>
      </c>
      <c r="G11272" s="40" t="n">
        <v>0</v>
      </c>
    </row>
    <row r="11273" ht="12" customHeight="1">
      <c r="A11273" s="30" t="inlineStr">
        <is>
          <t>POR</t>
        </is>
      </c>
      <c r="B11273" s="30" t="inlineStr">
        <is>
          <t>Porto Real</t>
        </is>
      </c>
      <c r="C11273" s="30" t="n">
        <v>79918768</v>
      </c>
      <c r="D11273" s="30">
        <f>"17636490000110"</f>
        <v/>
      </c>
      <c r="E11273" s="30" t="inlineStr">
        <is>
          <t>TMA TRANSPORTE LOTACAO E LOGISTICA LTDA</t>
        </is>
      </c>
      <c r="F11273" s="30" t="inlineStr">
        <is>
          <t>2022</t>
        </is>
      </c>
      <c r="G11273" s="40" t="n">
        <v>0</v>
      </c>
    </row>
    <row r="11274" ht="12" customHeight="1">
      <c r="A11274" s="30" t="inlineStr">
        <is>
          <t>POR</t>
        </is>
      </c>
      <c r="B11274" s="30" t="inlineStr">
        <is>
          <t>Porto Real</t>
        </is>
      </c>
      <c r="C11274" s="30" t="n">
        <v>79920746</v>
      </c>
      <c r="D11274" s="30">
        <f>"17902247000104"</f>
        <v/>
      </c>
      <c r="E11274" s="30" t="inlineStr">
        <is>
          <t>LAFE DISTRIBUIDORA DE DOCES LTDA - ME</t>
        </is>
      </c>
      <c r="F11274" s="30" t="inlineStr">
        <is>
          <t>2017</t>
        </is>
      </c>
      <c r="G11274" s="40" t="n">
        <v>0</v>
      </c>
    </row>
    <row r="11275" ht="12" customHeight="1">
      <c r="A11275" s="30" t="inlineStr">
        <is>
          <t>POR</t>
        </is>
      </c>
      <c r="B11275" s="30" t="inlineStr">
        <is>
          <t>Porto Real</t>
        </is>
      </c>
      <c r="C11275" s="30" t="n">
        <v>79920746</v>
      </c>
      <c r="D11275" s="30">
        <f>"17902247000104"</f>
        <v/>
      </c>
      <c r="E11275" s="30" t="inlineStr">
        <is>
          <t>LAFE DISTRIBUIDORA DE DOCES LTDA - ME</t>
        </is>
      </c>
      <c r="F11275" s="30" t="inlineStr">
        <is>
          <t>2018</t>
        </is>
      </c>
      <c r="G11275" s="40" t="n">
        <v>0</v>
      </c>
    </row>
    <row r="11276" ht="12" customHeight="1">
      <c r="A11276" s="30" t="inlineStr">
        <is>
          <t>POR</t>
        </is>
      </c>
      <c r="B11276" s="30" t="inlineStr">
        <is>
          <t>Porto Real</t>
        </is>
      </c>
      <c r="C11276" s="30" t="n">
        <v>79920746</v>
      </c>
      <c r="D11276" s="30">
        <f>"17902247000104"</f>
        <v/>
      </c>
      <c r="E11276" s="30" t="inlineStr">
        <is>
          <t>LAFE DISTRIBUIDORA DE DOCES LTDA - ME</t>
        </is>
      </c>
      <c r="F11276" s="30" t="inlineStr">
        <is>
          <t>2019</t>
        </is>
      </c>
      <c r="G11276" s="40" t="n">
        <v>0</v>
      </c>
    </row>
    <row r="11277" ht="12" customHeight="1">
      <c r="A11277" s="30" t="inlineStr">
        <is>
          <t>POR</t>
        </is>
      </c>
      <c r="B11277" s="30" t="inlineStr">
        <is>
          <t>Porto Real</t>
        </is>
      </c>
      <c r="C11277" s="30" t="n">
        <v>79953911</v>
      </c>
      <c r="D11277" s="30">
        <f>"18410271000180"</f>
        <v/>
      </c>
      <c r="E11277" s="30" t="inlineStr">
        <is>
          <t>EXPRESSO GIBB TRANSPORTES EIRELI</t>
        </is>
      </c>
      <c r="F11277" s="30" t="inlineStr">
        <is>
          <t>2017</t>
        </is>
      </c>
      <c r="G11277" s="40" t="n">
        <v>0</v>
      </c>
    </row>
    <row r="11278" ht="12" customHeight="1">
      <c r="A11278" s="30" t="inlineStr">
        <is>
          <t>POR</t>
        </is>
      </c>
      <c r="B11278" s="30" t="inlineStr">
        <is>
          <t>Porto Real</t>
        </is>
      </c>
      <c r="C11278" s="30" t="n">
        <v>79953911</v>
      </c>
      <c r="D11278" s="30">
        <f>"18410271000180"</f>
        <v/>
      </c>
      <c r="E11278" s="30" t="inlineStr">
        <is>
          <t>EXPRESSO GIBB TRANSPORTES EIRELI</t>
        </is>
      </c>
      <c r="F11278" s="30" t="inlineStr">
        <is>
          <t>2018</t>
        </is>
      </c>
      <c r="G11278" s="40" t="n">
        <v>518.92</v>
      </c>
    </row>
    <row r="11279" ht="12" customHeight="1">
      <c r="A11279" s="30" t="inlineStr">
        <is>
          <t>POR</t>
        </is>
      </c>
      <c r="B11279" s="30" t="inlineStr">
        <is>
          <t>Porto Real</t>
        </is>
      </c>
      <c r="C11279" s="30" t="n">
        <v>79953911</v>
      </c>
      <c r="D11279" s="30">
        <f>"18410271000180"</f>
        <v/>
      </c>
      <c r="E11279" s="30" t="inlineStr">
        <is>
          <t>EXPRESSO GIBB TRANSPORTES EIRELI</t>
        </is>
      </c>
      <c r="F11279" s="30" t="inlineStr">
        <is>
          <t>2019</t>
        </is>
      </c>
      <c r="G11279" s="40" t="n">
        <v>0</v>
      </c>
    </row>
    <row r="11280" ht="12" customHeight="1">
      <c r="A11280" s="30" t="inlineStr">
        <is>
          <t>POR</t>
        </is>
      </c>
      <c r="B11280" s="30" t="inlineStr">
        <is>
          <t>Porto Real</t>
        </is>
      </c>
      <c r="C11280" s="30" t="n">
        <v>79953911</v>
      </c>
      <c r="D11280" s="30">
        <f>"18410271000180"</f>
        <v/>
      </c>
      <c r="E11280" s="30" t="inlineStr">
        <is>
          <t>EXPRESSO GIBB TRANSPORTES EIRELI</t>
        </is>
      </c>
      <c r="F11280" s="30" t="inlineStr">
        <is>
          <t>2020</t>
        </is>
      </c>
      <c r="G11280" s="40" t="n">
        <v>0</v>
      </c>
    </row>
    <row r="11281" ht="12" customHeight="1">
      <c r="A11281" s="30" t="inlineStr">
        <is>
          <t>POR</t>
        </is>
      </c>
      <c r="B11281" s="30" t="inlineStr">
        <is>
          <t>Porto Real</t>
        </is>
      </c>
      <c r="C11281" s="30" t="n">
        <v>79958743</v>
      </c>
      <c r="D11281" s="30">
        <f>"06998179000102"</f>
        <v/>
      </c>
      <c r="E11281" s="30" t="inlineStr">
        <is>
          <t>LMT EMPREENDIMENTOS IMOBILIARIOS E PARTICIPACOES LTDA</t>
        </is>
      </c>
      <c r="F11281" s="30" t="inlineStr">
        <is>
          <t>2020</t>
        </is>
      </c>
      <c r="G11281" s="40" t="n">
        <v>0</v>
      </c>
    </row>
    <row r="11282" ht="12" customHeight="1">
      <c r="A11282" s="30" t="inlineStr">
        <is>
          <t>POR</t>
        </is>
      </c>
      <c r="B11282" s="30" t="inlineStr">
        <is>
          <t>Porto Real</t>
        </is>
      </c>
      <c r="C11282" s="30" t="n">
        <v>79958743</v>
      </c>
      <c r="D11282" s="30">
        <f>"06998179000102"</f>
        <v/>
      </c>
      <c r="E11282" s="30" t="inlineStr">
        <is>
          <t>LMT EMPREENDIMENTOS IMOBILIARIOS E PARTICIPACOES LTDA</t>
        </is>
      </c>
      <c r="F11282" s="30" t="inlineStr">
        <is>
          <t>2021</t>
        </is>
      </c>
      <c r="G11282" s="40" t="n">
        <v>0</v>
      </c>
    </row>
    <row r="11283" ht="12" customHeight="1">
      <c r="A11283" s="30" t="inlineStr">
        <is>
          <t>POR</t>
        </is>
      </c>
      <c r="B11283" s="30" t="inlineStr">
        <is>
          <t>Porto Real</t>
        </is>
      </c>
      <c r="C11283" s="30" t="n">
        <v>79958743</v>
      </c>
      <c r="D11283" s="30">
        <f>"06998179000102"</f>
        <v/>
      </c>
      <c r="E11283" s="30" t="inlineStr">
        <is>
          <t>LMT EMPREENDIMENTOS IMOBILIARIOS E PARTICIPACOES LTDA</t>
        </is>
      </c>
      <c r="F11283" s="30" t="inlineStr">
        <is>
          <t>2022</t>
        </is>
      </c>
      <c r="G11283" s="40" t="n">
        <v>0</v>
      </c>
    </row>
    <row r="11284" ht="12" customHeight="1">
      <c r="A11284" s="30" t="inlineStr">
        <is>
          <t>POR</t>
        </is>
      </c>
      <c r="B11284" s="30" t="inlineStr">
        <is>
          <t>Porto Real</t>
        </is>
      </c>
      <c r="C11284" s="30" t="n">
        <v>79958743</v>
      </c>
      <c r="D11284" s="30">
        <f>"06998179000102"</f>
        <v/>
      </c>
      <c r="E11284" s="30" t="inlineStr">
        <is>
          <t>LMT EMPREENDIMENTOS IMOBILIARIOS E PARTICIPACOES LTDA</t>
        </is>
      </c>
      <c r="F11284" s="30" t="inlineStr">
        <is>
          <t>2023</t>
        </is>
      </c>
      <c r="G11284" s="40" t="n">
        <v>0</v>
      </c>
    </row>
    <row r="11285" ht="12" customHeight="1">
      <c r="A11285" s="30" t="inlineStr">
        <is>
          <t>POR</t>
        </is>
      </c>
      <c r="B11285" s="30" t="inlineStr">
        <is>
          <t>Porto Real</t>
        </is>
      </c>
      <c r="C11285" s="30" t="n">
        <v>79969265</v>
      </c>
      <c r="D11285" s="30">
        <f>"02905110054724"</f>
        <v/>
      </c>
      <c r="E11285" s="30" t="inlineStr">
        <is>
          <t>GR SERVICOS E ALIMENTACAO LTDA</t>
        </is>
      </c>
      <c r="F11285" s="30" t="inlineStr">
        <is>
          <t>2017</t>
        </is>
      </c>
      <c r="G11285" s="40" t="n">
        <v>0</v>
      </c>
    </row>
    <row r="11286" ht="12" customHeight="1">
      <c r="A11286" s="30" t="inlineStr">
        <is>
          <t>POR</t>
        </is>
      </c>
      <c r="B11286" s="30" t="inlineStr">
        <is>
          <t>Porto Real</t>
        </is>
      </c>
      <c r="C11286" s="30" t="n">
        <v>79969265</v>
      </c>
      <c r="D11286" s="30">
        <f>"02905110054724"</f>
        <v/>
      </c>
      <c r="E11286" s="30" t="inlineStr">
        <is>
          <t>GR SERVICOS E ALIMENTACAO LTDA</t>
        </is>
      </c>
      <c r="F11286" s="30" t="inlineStr">
        <is>
          <t>2018</t>
        </is>
      </c>
      <c r="G11286" s="40" t="n">
        <v>0</v>
      </c>
    </row>
    <row r="11287" ht="12" customHeight="1">
      <c r="A11287" s="30" t="inlineStr">
        <is>
          <t>POR</t>
        </is>
      </c>
      <c r="B11287" s="30" t="inlineStr">
        <is>
          <t>Porto Real</t>
        </is>
      </c>
      <c r="C11287" s="30" t="n">
        <v>79969265</v>
      </c>
      <c r="D11287" s="30">
        <f>"02905110054724"</f>
        <v/>
      </c>
      <c r="E11287" s="30" t="inlineStr">
        <is>
          <t>GR SERVICOS E ALIMENTACAO LTDA</t>
        </is>
      </c>
      <c r="F11287" s="30" t="inlineStr">
        <is>
          <t>2019</t>
        </is>
      </c>
      <c r="G11287" s="40" t="n">
        <v>0</v>
      </c>
    </row>
    <row r="11288" ht="12" customHeight="1">
      <c r="A11288" s="30" t="inlineStr">
        <is>
          <t>POR</t>
        </is>
      </c>
      <c r="B11288" s="30" t="inlineStr">
        <is>
          <t>Porto Real</t>
        </is>
      </c>
      <c r="C11288" s="30" t="n">
        <v>79969265</v>
      </c>
      <c r="D11288" s="30">
        <f>"02905110054724"</f>
        <v/>
      </c>
      <c r="E11288" s="30" t="inlineStr">
        <is>
          <t>GR SERVICOS E ALIMENTACAO LTDA</t>
        </is>
      </c>
      <c r="F11288" s="30" t="inlineStr">
        <is>
          <t>2020</t>
        </is>
      </c>
      <c r="G11288" s="40" t="n">
        <v>0</v>
      </c>
    </row>
    <row r="11289" ht="12" customHeight="1">
      <c r="A11289" s="30" t="inlineStr">
        <is>
          <t>POR</t>
        </is>
      </c>
      <c r="B11289" s="30" t="inlineStr">
        <is>
          <t>Porto Real</t>
        </is>
      </c>
      <c r="C11289" s="30" t="n">
        <v>79988073</v>
      </c>
      <c r="D11289" s="30">
        <f>"18674775000108"</f>
        <v/>
      </c>
      <c r="E11289" s="30" t="inlineStr">
        <is>
          <t>M S DE ALMEIDA TRANSPORTES - ME</t>
        </is>
      </c>
      <c r="F11289" s="30" t="inlineStr">
        <is>
          <t>2018</t>
        </is>
      </c>
      <c r="G11289" s="40" t="n">
        <v>0</v>
      </c>
    </row>
    <row r="11290" ht="12" customHeight="1">
      <c r="A11290" s="30" t="inlineStr">
        <is>
          <t>POR</t>
        </is>
      </c>
      <c r="B11290" s="30" t="inlineStr">
        <is>
          <t>Porto Real</t>
        </is>
      </c>
      <c r="C11290" s="30" t="n">
        <v>79988073</v>
      </c>
      <c r="D11290" s="30">
        <f>"18674775000108"</f>
        <v/>
      </c>
      <c r="E11290" s="30" t="inlineStr">
        <is>
          <t>M S DE ALMEIDA TRANSPORTES - ME</t>
        </is>
      </c>
      <c r="F11290" s="30" t="inlineStr">
        <is>
          <t>2019</t>
        </is>
      </c>
      <c r="G11290" s="40" t="n">
        <v>0</v>
      </c>
    </row>
    <row r="11291" ht="12" customHeight="1">
      <c r="A11291" s="30" t="inlineStr">
        <is>
          <t>POR</t>
        </is>
      </c>
      <c r="B11291" s="30" t="inlineStr">
        <is>
          <t>Porto Real</t>
        </is>
      </c>
      <c r="C11291" s="30" t="n">
        <v>79988073</v>
      </c>
      <c r="D11291" s="30">
        <f>"18674775000108"</f>
        <v/>
      </c>
      <c r="E11291" s="30" t="inlineStr">
        <is>
          <t>M S DE ALMEIDA TRANSPORTES - ME</t>
        </is>
      </c>
      <c r="F11291" s="30" t="inlineStr">
        <is>
          <t>2020</t>
        </is>
      </c>
      <c r="G11291" s="40" t="n">
        <v>125</v>
      </c>
    </row>
    <row r="11292" ht="12" customHeight="1">
      <c r="A11292" s="30" t="inlineStr">
        <is>
          <t>POR</t>
        </is>
      </c>
      <c r="B11292" s="30" t="inlineStr">
        <is>
          <t>Porto Real</t>
        </is>
      </c>
      <c r="C11292" s="30" t="n">
        <v>79988073</v>
      </c>
      <c r="D11292" s="30">
        <f>"18674775000108"</f>
        <v/>
      </c>
      <c r="E11292" s="30" t="inlineStr">
        <is>
          <t>M S DE ALMEIDA TRANSPORTES - ME</t>
        </is>
      </c>
      <c r="F11292" s="30" t="inlineStr">
        <is>
          <t>2021</t>
        </is>
      </c>
      <c r="G11292" s="40" t="n">
        <v>0</v>
      </c>
    </row>
    <row r="11293" ht="12" customHeight="1">
      <c r="A11293" s="30" t="inlineStr">
        <is>
          <t>POR</t>
        </is>
      </c>
      <c r="B11293" s="30" t="inlineStr">
        <is>
          <t>Porto Real</t>
        </is>
      </c>
      <c r="C11293" s="30" t="n">
        <v>79988073</v>
      </c>
      <c r="D11293" s="30">
        <f>"18674775000108"</f>
        <v/>
      </c>
      <c r="E11293" s="30" t="inlineStr">
        <is>
          <t>M S DE ALMEIDA TRANSPORTES - ME</t>
        </is>
      </c>
      <c r="F11293" s="30" t="inlineStr">
        <is>
          <t>2022</t>
        </is>
      </c>
      <c r="G11293" s="40" t="n">
        <v>0</v>
      </c>
    </row>
    <row r="11294" ht="12" customHeight="1">
      <c r="A11294" s="30" t="inlineStr">
        <is>
          <t>POR</t>
        </is>
      </c>
      <c r="B11294" s="30" t="inlineStr">
        <is>
          <t>Porto Real</t>
        </is>
      </c>
      <c r="C11294" s="30" t="n">
        <v>80046561</v>
      </c>
      <c r="D11294" s="30">
        <f>"33050071000158"</f>
        <v/>
      </c>
      <c r="E11294" s="30" t="inlineStr">
        <is>
          <t>AMPLA ENERGIA E SERVICOS S.A.</t>
        </is>
      </c>
      <c r="F11294" s="30" t="inlineStr">
        <is>
          <t>2017</t>
        </is>
      </c>
      <c r="G11294" s="40" t="n">
        <v>44198636.25</v>
      </c>
    </row>
    <row r="11295" ht="12" customHeight="1">
      <c r="A11295" s="30" t="inlineStr">
        <is>
          <t>POR</t>
        </is>
      </c>
      <c r="B11295" s="30" t="inlineStr">
        <is>
          <t>Porto Real</t>
        </is>
      </c>
      <c r="C11295" s="30" t="n">
        <v>80046561</v>
      </c>
      <c r="D11295" s="30">
        <f>"33050071000158"</f>
        <v/>
      </c>
      <c r="E11295" s="30" t="inlineStr">
        <is>
          <t>AMPLA ENERGIA E SERVICOS S.A.</t>
        </is>
      </c>
      <c r="F11295" s="30" t="inlineStr">
        <is>
          <t>2018</t>
        </is>
      </c>
      <c r="G11295" s="40" t="n">
        <v>56721497.69</v>
      </c>
    </row>
    <row r="11296" ht="12" customHeight="1">
      <c r="A11296" s="30" t="inlineStr">
        <is>
          <t>POR</t>
        </is>
      </c>
      <c r="B11296" s="30" t="inlineStr">
        <is>
          <t>Porto Real</t>
        </is>
      </c>
      <c r="C11296" s="30" t="n">
        <v>80046561</v>
      </c>
      <c r="D11296" s="30">
        <f>"33050071000158"</f>
        <v/>
      </c>
      <c r="E11296" s="30" t="inlineStr">
        <is>
          <t>AMPLA ENERGIA E SERVICOS S.A.</t>
        </is>
      </c>
      <c r="F11296" s="30" t="inlineStr">
        <is>
          <t>2019</t>
        </is>
      </c>
      <c r="G11296" s="40" t="n">
        <v>61409473.33</v>
      </c>
    </row>
    <row r="11297" ht="12" customHeight="1">
      <c r="A11297" s="30" t="inlineStr">
        <is>
          <t>POR</t>
        </is>
      </c>
      <c r="B11297" s="30" t="inlineStr">
        <is>
          <t>Porto Real</t>
        </is>
      </c>
      <c r="C11297" s="30" t="n">
        <v>80046561</v>
      </c>
      <c r="D11297" s="30">
        <f>"33050071000158"</f>
        <v/>
      </c>
      <c r="E11297" s="30" t="inlineStr">
        <is>
          <t>AMPLA ENERGIA E SERVICOS S.A.</t>
        </is>
      </c>
      <c r="F11297" s="30" t="inlineStr">
        <is>
          <t>2020</t>
        </is>
      </c>
      <c r="G11297" s="40" t="n">
        <v>56658761.19</v>
      </c>
    </row>
    <row r="11298" ht="12" customHeight="1">
      <c r="A11298" s="30" t="inlineStr">
        <is>
          <t>POR</t>
        </is>
      </c>
      <c r="B11298" s="30" t="inlineStr">
        <is>
          <t>Porto Real</t>
        </is>
      </c>
      <c r="C11298" s="30" t="n">
        <v>80046561</v>
      </c>
      <c r="D11298" s="30">
        <f>"33050071000158"</f>
        <v/>
      </c>
      <c r="E11298" s="30" t="inlineStr">
        <is>
          <t>AMPLA ENERGIA E SERVICOS S.A.</t>
        </is>
      </c>
      <c r="F11298" s="30" t="inlineStr">
        <is>
          <t>2021</t>
        </is>
      </c>
      <c r="G11298" s="40" t="n">
        <v>40683068.12</v>
      </c>
    </row>
    <row r="11299" ht="12" customHeight="1">
      <c r="A11299" s="30" t="inlineStr">
        <is>
          <t>POR</t>
        </is>
      </c>
      <c r="B11299" s="30" t="inlineStr">
        <is>
          <t>Porto Real</t>
        </is>
      </c>
      <c r="C11299" s="30" t="n">
        <v>80046561</v>
      </c>
      <c r="D11299" s="30">
        <f>"33050071000158"</f>
        <v/>
      </c>
      <c r="E11299" s="30" t="inlineStr">
        <is>
          <t>AMPLA ENERGIA E SERVICOS S.A.</t>
        </is>
      </c>
      <c r="F11299" s="30" t="inlineStr">
        <is>
          <t>2022</t>
        </is>
      </c>
      <c r="G11299" s="40" t="n">
        <v>77301146.84999999</v>
      </c>
    </row>
    <row r="11300" ht="12" customHeight="1">
      <c r="A11300" s="30" t="inlineStr">
        <is>
          <t>POR</t>
        </is>
      </c>
      <c r="B11300" s="30" t="inlineStr">
        <is>
          <t>Porto Real</t>
        </is>
      </c>
      <c r="C11300" s="30" t="n">
        <v>80046561</v>
      </c>
      <c r="D11300" s="30">
        <f>"33050071000158"</f>
        <v/>
      </c>
      <c r="E11300" s="30" t="inlineStr">
        <is>
          <t>AMPLA ENERGIA E SERVICOS S.A.</t>
        </is>
      </c>
      <c r="F11300" s="30" t="inlineStr">
        <is>
          <t>2023</t>
        </is>
      </c>
      <c r="G11300" s="40" t="n">
        <v>58261402.26</v>
      </c>
    </row>
    <row r="11301" ht="12" customHeight="1">
      <c r="A11301" s="30" t="inlineStr">
        <is>
          <t>POR</t>
        </is>
      </c>
      <c r="B11301" s="30" t="inlineStr">
        <is>
          <t>Porto Real</t>
        </is>
      </c>
      <c r="C11301" s="30" t="n">
        <v>80525745</v>
      </c>
      <c r="D11301" s="30">
        <f>"29453826000198"</f>
        <v/>
      </c>
      <c r="E11301" s="30" t="inlineStr">
        <is>
          <t>TRANSPORTE GENEROSO LTDA</t>
        </is>
      </c>
      <c r="F11301" s="30" t="inlineStr">
        <is>
          <t>2017</t>
        </is>
      </c>
      <c r="G11301" s="40" t="n">
        <v>173974.69</v>
      </c>
    </row>
    <row r="11302" ht="12" customHeight="1">
      <c r="A11302" s="30" t="inlineStr">
        <is>
          <t>POR</t>
        </is>
      </c>
      <c r="B11302" s="30" t="inlineStr">
        <is>
          <t>Porto Real</t>
        </is>
      </c>
      <c r="C11302" s="30" t="n">
        <v>80525745</v>
      </c>
      <c r="D11302" s="30">
        <f>"29453826000198"</f>
        <v/>
      </c>
      <c r="E11302" s="30" t="inlineStr">
        <is>
          <t>TRANSPORTE GENEROSO LTDA</t>
        </is>
      </c>
      <c r="F11302" s="30" t="inlineStr">
        <is>
          <t>2018</t>
        </is>
      </c>
      <c r="G11302" s="40" t="n">
        <v>11919.09</v>
      </c>
    </row>
    <row r="11303" ht="12" customHeight="1">
      <c r="A11303" s="30" t="inlineStr">
        <is>
          <t>POR</t>
        </is>
      </c>
      <c r="B11303" s="30" t="inlineStr">
        <is>
          <t>Porto Real</t>
        </is>
      </c>
      <c r="C11303" s="30" t="n">
        <v>80525745</v>
      </c>
      <c r="D11303" s="30">
        <f>"29453826000198"</f>
        <v/>
      </c>
      <c r="E11303" s="30" t="inlineStr">
        <is>
          <t>TRANSPORTE GENEROSO LTDA</t>
        </is>
      </c>
      <c r="F11303" s="30" t="inlineStr">
        <is>
          <t>2019</t>
        </is>
      </c>
      <c r="G11303" s="40" t="n">
        <v>19363.02</v>
      </c>
    </row>
    <row r="11304" ht="12" customHeight="1">
      <c r="A11304" s="30" t="inlineStr">
        <is>
          <t>POR</t>
        </is>
      </c>
      <c r="B11304" s="30" t="inlineStr">
        <is>
          <t>Porto Real</t>
        </is>
      </c>
      <c r="C11304" s="30" t="n">
        <v>80525745</v>
      </c>
      <c r="D11304" s="30">
        <f>"29453826000198"</f>
        <v/>
      </c>
      <c r="E11304" s="30" t="inlineStr">
        <is>
          <t>TRANSPORTE GENEROSO LTDA</t>
        </is>
      </c>
      <c r="F11304" s="30" t="inlineStr">
        <is>
          <t>2020</t>
        </is>
      </c>
      <c r="G11304" s="40" t="n">
        <v>29129.78</v>
      </c>
    </row>
    <row r="11305" ht="12" customHeight="1">
      <c r="A11305" s="30" t="inlineStr">
        <is>
          <t>POR</t>
        </is>
      </c>
      <c r="B11305" s="30" t="inlineStr">
        <is>
          <t>Porto Real</t>
        </is>
      </c>
      <c r="C11305" s="30" t="n">
        <v>80525745</v>
      </c>
      <c r="D11305" s="30">
        <f>"29453826000198"</f>
        <v/>
      </c>
      <c r="E11305" s="30" t="inlineStr">
        <is>
          <t>TRANSPORTE GENEROSO LTDA</t>
        </is>
      </c>
      <c r="F11305" s="30" t="inlineStr">
        <is>
          <t>2021</t>
        </is>
      </c>
      <c r="G11305" s="40" t="n">
        <v>35089.29</v>
      </c>
    </row>
    <row r="11306" ht="12" customHeight="1">
      <c r="A11306" s="30" t="inlineStr">
        <is>
          <t>POR</t>
        </is>
      </c>
      <c r="B11306" s="30" t="inlineStr">
        <is>
          <t>Porto Real</t>
        </is>
      </c>
      <c r="C11306" s="30" t="n">
        <v>80525745</v>
      </c>
      <c r="D11306" s="30">
        <f>"29453826000198"</f>
        <v/>
      </c>
      <c r="E11306" s="30" t="inlineStr">
        <is>
          <t>TRANSPORTE GENEROSO LTDA</t>
        </is>
      </c>
      <c r="F11306" s="30" t="inlineStr">
        <is>
          <t>2022</t>
        </is>
      </c>
      <c r="G11306" s="40" t="n">
        <v>30123.78</v>
      </c>
    </row>
    <row r="11307" ht="12" customHeight="1">
      <c r="A11307" s="30" t="inlineStr">
        <is>
          <t>POR</t>
        </is>
      </c>
      <c r="B11307" s="30" t="inlineStr">
        <is>
          <t>Porto Real</t>
        </is>
      </c>
      <c r="C11307" s="30" t="n">
        <v>80525745</v>
      </c>
      <c r="D11307" s="30">
        <f>"29453826000198"</f>
        <v/>
      </c>
      <c r="E11307" s="30" t="inlineStr">
        <is>
          <t>TRANSPORTE GENEROSO LTDA</t>
        </is>
      </c>
      <c r="F11307" s="30" t="inlineStr">
        <is>
          <t>2023</t>
        </is>
      </c>
      <c r="G11307" s="40" t="n">
        <v>29589.85</v>
      </c>
    </row>
    <row r="11308" ht="12" customHeight="1">
      <c r="A11308" s="30" t="inlineStr">
        <is>
          <t>POR</t>
        </is>
      </c>
      <c r="B11308" s="30" t="inlineStr">
        <is>
          <t>Porto Real</t>
        </is>
      </c>
      <c r="C11308" s="30" t="n">
        <v>80530838</v>
      </c>
      <c r="D11308" s="30">
        <f>"29291184000178"</f>
        <v/>
      </c>
      <c r="E11308" s="30" t="inlineStr">
        <is>
          <t>TRANSPORTES TONIATO LTDA</t>
        </is>
      </c>
      <c r="F11308" s="30" t="inlineStr">
        <is>
          <t>2017</t>
        </is>
      </c>
      <c r="G11308" s="40" t="n">
        <v>123084.29</v>
      </c>
    </row>
    <row r="11309" ht="12" customHeight="1">
      <c r="A11309" s="30" t="inlineStr">
        <is>
          <t>POR</t>
        </is>
      </c>
      <c r="B11309" s="30" t="inlineStr">
        <is>
          <t>Porto Real</t>
        </is>
      </c>
      <c r="C11309" s="30" t="n">
        <v>80530838</v>
      </c>
      <c r="D11309" s="30">
        <f>"29291184000178"</f>
        <v/>
      </c>
      <c r="E11309" s="30" t="inlineStr">
        <is>
          <t>TRANSPORTES TONIATO LTDA</t>
        </is>
      </c>
      <c r="F11309" s="30" t="inlineStr">
        <is>
          <t>2018</t>
        </is>
      </c>
      <c r="G11309" s="40" t="n">
        <v>13849.28</v>
      </c>
    </row>
    <row r="11310" ht="12" customHeight="1">
      <c r="A11310" s="30" t="inlineStr">
        <is>
          <t>POR</t>
        </is>
      </c>
      <c r="B11310" s="30" t="inlineStr">
        <is>
          <t>Porto Real</t>
        </is>
      </c>
      <c r="C11310" s="30" t="n">
        <v>80530838</v>
      </c>
      <c r="D11310" s="30">
        <f>"29291184000178"</f>
        <v/>
      </c>
      <c r="E11310" s="30" t="inlineStr">
        <is>
          <t>TRANSPORTES TONIATO LTDA</t>
        </is>
      </c>
      <c r="F11310" s="30" t="inlineStr">
        <is>
          <t>2019</t>
        </is>
      </c>
      <c r="G11310" s="40" t="n">
        <v>5955.28</v>
      </c>
    </row>
    <row r="11311" ht="12" customHeight="1">
      <c r="A11311" s="30" t="inlineStr">
        <is>
          <t>POR</t>
        </is>
      </c>
      <c r="B11311" s="30" t="inlineStr">
        <is>
          <t>Porto Real</t>
        </is>
      </c>
      <c r="C11311" s="30" t="n">
        <v>80530838</v>
      </c>
      <c r="D11311" s="30">
        <f>"29291184000178"</f>
        <v/>
      </c>
      <c r="E11311" s="30" t="inlineStr">
        <is>
          <t>TRANSPORTES TONIATO LTDA</t>
        </is>
      </c>
      <c r="F11311" s="30" t="inlineStr">
        <is>
          <t>2020</t>
        </is>
      </c>
      <c r="G11311" s="40" t="n">
        <v>1915.28</v>
      </c>
    </row>
    <row r="11312" ht="12" customHeight="1">
      <c r="A11312" s="30" t="inlineStr">
        <is>
          <t>POR</t>
        </is>
      </c>
      <c r="B11312" s="30" t="inlineStr">
        <is>
          <t>Porto Real</t>
        </is>
      </c>
      <c r="C11312" s="30" t="n">
        <v>80530838</v>
      </c>
      <c r="D11312" s="30">
        <f>"29291184000178"</f>
        <v/>
      </c>
      <c r="E11312" s="30" t="inlineStr">
        <is>
          <t>TRANSPORTES TONIATO LTDA</t>
        </is>
      </c>
      <c r="F11312" s="30" t="inlineStr">
        <is>
          <t>2021</t>
        </is>
      </c>
      <c r="G11312" s="40" t="n">
        <v>7273.13</v>
      </c>
    </row>
    <row r="11313" ht="12" customHeight="1">
      <c r="A11313" s="30" t="inlineStr">
        <is>
          <t>POR</t>
        </is>
      </c>
      <c r="B11313" s="30" t="inlineStr">
        <is>
          <t>Porto Real</t>
        </is>
      </c>
      <c r="C11313" s="30" t="n">
        <v>80530838</v>
      </c>
      <c r="D11313" s="30">
        <f>"29291184000178"</f>
        <v/>
      </c>
      <c r="E11313" s="30" t="inlineStr">
        <is>
          <t>TRANSPORTES TONIATO LTDA</t>
        </is>
      </c>
      <c r="F11313" s="30" t="inlineStr">
        <is>
          <t>2022</t>
        </is>
      </c>
      <c r="G11313" s="40" t="n">
        <v>3625.18</v>
      </c>
    </row>
    <row r="11314" ht="12" customHeight="1">
      <c r="A11314" s="30" t="inlineStr">
        <is>
          <t>POR</t>
        </is>
      </c>
      <c r="B11314" s="30" t="inlineStr">
        <is>
          <t>Porto Real</t>
        </is>
      </c>
      <c r="C11314" s="30" t="n">
        <v>80530838</v>
      </c>
      <c r="D11314" s="30">
        <f>"29291184000178"</f>
        <v/>
      </c>
      <c r="E11314" s="30" t="inlineStr">
        <is>
          <t>TRANSPORTES TONIATO LTDA</t>
        </is>
      </c>
      <c r="F11314" s="30" t="inlineStr">
        <is>
          <t>2023</t>
        </is>
      </c>
      <c r="G11314" s="40" t="n">
        <v>1247.87</v>
      </c>
    </row>
    <row r="11315" ht="12" customHeight="1">
      <c r="A11315" s="30" t="inlineStr">
        <is>
          <t>POR</t>
        </is>
      </c>
      <c r="B11315" s="30" t="inlineStr">
        <is>
          <t>Porto Real</t>
        </is>
      </c>
      <c r="C11315" s="30" t="n">
        <v>80593449</v>
      </c>
      <c r="D11315" s="30">
        <f>"31452667000159"</f>
        <v/>
      </c>
      <c r="E11315" s="30" t="inlineStr">
        <is>
          <t>SOCIEDADE AGRICOLA E INDUSTRIAL FONTANEZZI LTDA</t>
        </is>
      </c>
      <c r="F11315" s="30" t="inlineStr">
        <is>
          <t>2017</t>
        </is>
      </c>
      <c r="G11315" s="40" t="n">
        <v>0</v>
      </c>
    </row>
    <row r="11316" ht="12" customHeight="1">
      <c r="A11316" s="30" t="inlineStr">
        <is>
          <t>POR</t>
        </is>
      </c>
      <c r="B11316" s="30" t="inlineStr">
        <is>
          <t>Porto Real</t>
        </is>
      </c>
      <c r="C11316" s="30" t="n">
        <v>80593449</v>
      </c>
      <c r="D11316" s="30">
        <f>"31452667000159"</f>
        <v/>
      </c>
      <c r="E11316" s="30" t="inlineStr">
        <is>
          <t>SOCIEDADE AGRICOLA E INDUSTRIAL FONTANEZZI LTDA</t>
        </is>
      </c>
      <c r="F11316" s="30" t="inlineStr">
        <is>
          <t>2018</t>
        </is>
      </c>
      <c r="G11316" s="40" t="n">
        <v>0</v>
      </c>
    </row>
    <row r="11317" ht="12" customHeight="1">
      <c r="A11317" s="30" t="inlineStr">
        <is>
          <t>POR</t>
        </is>
      </c>
      <c r="B11317" s="30" t="inlineStr">
        <is>
          <t>Porto Real</t>
        </is>
      </c>
      <c r="C11317" s="30" t="n">
        <v>80593449</v>
      </c>
      <c r="D11317" s="30">
        <f>"31452667000159"</f>
        <v/>
      </c>
      <c r="E11317" s="30" t="inlineStr">
        <is>
          <t>SOCIEDADE AGRICOLA E INDUSTRIAL FONTANEZZI LTDA</t>
        </is>
      </c>
      <c r="F11317" s="30" t="inlineStr">
        <is>
          <t>2019</t>
        </is>
      </c>
      <c r="G11317" s="40" t="n">
        <v>0</v>
      </c>
    </row>
    <row r="11318" ht="12" customHeight="1">
      <c r="A11318" s="30" t="inlineStr">
        <is>
          <t>POR</t>
        </is>
      </c>
      <c r="B11318" s="30" t="inlineStr">
        <is>
          <t>Porto Real</t>
        </is>
      </c>
      <c r="C11318" s="30" t="n">
        <v>80593449</v>
      </c>
      <c r="D11318" s="30">
        <f>"31452667000159"</f>
        <v/>
      </c>
      <c r="E11318" s="30" t="inlineStr">
        <is>
          <t>SOCIEDADE AGRICOLA E INDUSTRIAL FONTANEZZI LTDA</t>
        </is>
      </c>
      <c r="F11318" s="30" t="inlineStr">
        <is>
          <t>2020</t>
        </is>
      </c>
      <c r="G11318" s="40" t="n">
        <v>0</v>
      </c>
    </row>
    <row r="11319" ht="12" customHeight="1">
      <c r="A11319" s="30" t="inlineStr">
        <is>
          <t>POR</t>
        </is>
      </c>
      <c r="B11319" s="30" t="inlineStr">
        <is>
          <t>Porto Real</t>
        </is>
      </c>
      <c r="C11319" s="30" t="n">
        <v>80593449</v>
      </c>
      <c r="D11319" s="30">
        <f>"31452667000159"</f>
        <v/>
      </c>
      <c r="E11319" s="30" t="inlineStr">
        <is>
          <t>SOCIEDADE AGRICOLA E INDUSTRIAL FONTANEZZI LTDA</t>
        </is>
      </c>
      <c r="F11319" s="30" t="inlineStr">
        <is>
          <t>2021</t>
        </is>
      </c>
      <c r="G11319" s="40" t="n">
        <v>0</v>
      </c>
    </row>
    <row r="11320" ht="12" customHeight="1">
      <c r="A11320" s="30" t="inlineStr">
        <is>
          <t>POR</t>
        </is>
      </c>
      <c r="B11320" s="30" t="inlineStr">
        <is>
          <t>Porto Real</t>
        </is>
      </c>
      <c r="C11320" s="30" t="n">
        <v>80593449</v>
      </c>
      <c r="D11320" s="30">
        <f>"31452667000159"</f>
        <v/>
      </c>
      <c r="E11320" s="30" t="inlineStr">
        <is>
          <t>SOCIEDADE AGRICOLA E INDUSTRIAL FONTANEZZI LTDA</t>
        </is>
      </c>
      <c r="F11320" s="30" t="inlineStr">
        <is>
          <t>2022</t>
        </is>
      </c>
      <c r="G11320" s="40" t="n">
        <v>0</v>
      </c>
    </row>
    <row r="11321" ht="12" customHeight="1">
      <c r="A11321" s="30" t="inlineStr">
        <is>
          <t>POR</t>
        </is>
      </c>
      <c r="B11321" s="30" t="inlineStr">
        <is>
          <t>Porto Real</t>
        </is>
      </c>
      <c r="C11321" s="30" t="n">
        <v>80593449</v>
      </c>
      <c r="D11321" s="30">
        <f>"31452667000159"</f>
        <v/>
      </c>
      <c r="E11321" s="30" t="inlineStr">
        <is>
          <t>SOCIEDADE AGRICOLA E INDUSTRIAL FONTANEZZI LTDA</t>
        </is>
      </c>
      <c r="F11321" s="30" t="inlineStr">
        <is>
          <t>2023</t>
        </is>
      </c>
      <c r="G11321" s="40" t="n">
        <v>0</v>
      </c>
    </row>
    <row r="11322" ht="12" customHeight="1">
      <c r="A11322" s="30" t="inlineStr">
        <is>
          <t>POR</t>
        </is>
      </c>
      <c r="B11322" s="30" t="inlineStr">
        <is>
          <t>Porto Real</t>
        </is>
      </c>
      <c r="C11322" s="30" t="n">
        <v>80735936</v>
      </c>
      <c r="D11322" s="30">
        <f>"49930514002693"</f>
        <v/>
      </c>
      <c r="E11322" s="30" t="inlineStr">
        <is>
          <t>SODEXO DO BRASIL COMERCIAL S A</t>
        </is>
      </c>
      <c r="F11322" s="30" t="inlineStr">
        <is>
          <t>2018</t>
        </is>
      </c>
      <c r="G11322" s="40" t="n">
        <v>0</v>
      </c>
    </row>
    <row r="11323" ht="12" customHeight="1">
      <c r="A11323" s="30" t="inlineStr">
        <is>
          <t>POR</t>
        </is>
      </c>
      <c r="B11323" s="30" t="inlineStr">
        <is>
          <t>Porto Real</t>
        </is>
      </c>
      <c r="C11323" s="30" t="n">
        <v>80735936</v>
      </c>
      <c r="D11323" s="30">
        <f>"49930514002693"</f>
        <v/>
      </c>
      <c r="E11323" s="30" t="inlineStr">
        <is>
          <t>SODEXO DO BRASIL COMERCIAL S A</t>
        </is>
      </c>
      <c r="F11323" s="30" t="inlineStr">
        <is>
          <t>2019</t>
        </is>
      </c>
      <c r="G11323" s="40" t="n">
        <v>0</v>
      </c>
    </row>
    <row r="11324" ht="12" customHeight="1">
      <c r="A11324" s="30" t="inlineStr">
        <is>
          <t>POR</t>
        </is>
      </c>
      <c r="B11324" s="30" t="inlineStr">
        <is>
          <t>Porto Real</t>
        </is>
      </c>
      <c r="C11324" s="30" t="n">
        <v>80735936</v>
      </c>
      <c r="D11324" s="30">
        <f>"49930514002693"</f>
        <v/>
      </c>
      <c r="E11324" s="30" t="inlineStr">
        <is>
          <t>SODEXO DO BRASIL COMERCIAL S A</t>
        </is>
      </c>
      <c r="F11324" s="30" t="inlineStr">
        <is>
          <t>2020</t>
        </is>
      </c>
      <c r="G11324" s="40" t="n">
        <v>44232.21</v>
      </c>
    </row>
    <row r="11325" ht="12" customHeight="1">
      <c r="A11325" s="30" t="inlineStr">
        <is>
          <t>POR</t>
        </is>
      </c>
      <c r="B11325" s="30" t="inlineStr">
        <is>
          <t>Porto Real</t>
        </is>
      </c>
      <c r="C11325" s="30" t="n">
        <v>80735936</v>
      </c>
      <c r="D11325" s="30">
        <f>"49930514002693"</f>
        <v/>
      </c>
      <c r="E11325" s="30" t="inlineStr">
        <is>
          <t>SODEXO DO BRASIL COMERCIAL S A</t>
        </is>
      </c>
      <c r="F11325" s="30" t="inlineStr">
        <is>
          <t>2021</t>
        </is>
      </c>
      <c r="G11325" s="40" t="n">
        <v>321117.37</v>
      </c>
    </row>
    <row r="11326" ht="12" customHeight="1">
      <c r="A11326" s="30" t="inlineStr">
        <is>
          <t>POR</t>
        </is>
      </c>
      <c r="B11326" s="30" t="inlineStr">
        <is>
          <t>Porto Real</t>
        </is>
      </c>
      <c r="C11326" s="30" t="n">
        <v>80735936</v>
      </c>
      <c r="D11326" s="30">
        <f>"49930514002693"</f>
        <v/>
      </c>
      <c r="E11326" s="30" t="inlineStr">
        <is>
          <t>SODEXO DO BRASIL COMERCIAL S A</t>
        </is>
      </c>
      <c r="F11326" s="30" t="inlineStr">
        <is>
          <t>2022</t>
        </is>
      </c>
      <c r="G11326" s="40" t="n">
        <v>321001.76</v>
      </c>
    </row>
    <row r="11327" ht="12" customHeight="1">
      <c r="A11327" s="30" t="inlineStr">
        <is>
          <t>POR</t>
        </is>
      </c>
      <c r="B11327" s="30" t="inlineStr">
        <is>
          <t>Porto Real</t>
        </is>
      </c>
      <c r="C11327" s="30" t="n">
        <v>80735936</v>
      </c>
      <c r="D11327" s="30">
        <f>"49930514002693"</f>
        <v/>
      </c>
      <c r="E11327" s="30" t="inlineStr">
        <is>
          <t>SODEXO DO BRASIL COMERCIAL S A</t>
        </is>
      </c>
      <c r="F11327" s="30" t="inlineStr">
        <is>
          <t>2023</t>
        </is>
      </c>
      <c r="G11327" s="40" t="n">
        <v>735573.78</v>
      </c>
    </row>
    <row r="11328" ht="12" customHeight="1">
      <c r="A11328" s="30" t="inlineStr">
        <is>
          <t>POR</t>
        </is>
      </c>
      <c r="B11328" s="30" t="inlineStr">
        <is>
          <t>Porto Real</t>
        </is>
      </c>
      <c r="C11328" s="30" t="n">
        <v>80829795</v>
      </c>
      <c r="D11328" s="30">
        <f>"32404063000108"</f>
        <v/>
      </c>
      <c r="E11328" s="30" t="inlineStr">
        <is>
          <t>VIACAO PROGRESSO E TURISMO S/A</t>
        </is>
      </c>
      <c r="F11328" s="30" t="inlineStr">
        <is>
          <t>2017</t>
        </is>
      </c>
      <c r="G11328" s="40" t="n">
        <v>820.9</v>
      </c>
    </row>
    <row r="11329" ht="12" customHeight="1">
      <c r="A11329" s="30" t="inlineStr">
        <is>
          <t>POR</t>
        </is>
      </c>
      <c r="B11329" s="30" t="inlineStr">
        <is>
          <t>Porto Real</t>
        </is>
      </c>
      <c r="C11329" s="30" t="n">
        <v>80829795</v>
      </c>
      <c r="D11329" s="30">
        <f>"32404063000108"</f>
        <v/>
      </c>
      <c r="E11329" s="30" t="inlineStr">
        <is>
          <t>VIACAO PROGRESSO E TURISMO S/A</t>
        </is>
      </c>
      <c r="F11329" s="30" t="inlineStr">
        <is>
          <t>2018</t>
        </is>
      </c>
      <c r="G11329" s="40" t="n">
        <v>0</v>
      </c>
    </row>
    <row r="11330" ht="12" customHeight="1">
      <c r="A11330" s="30" t="inlineStr">
        <is>
          <t>POR</t>
        </is>
      </c>
      <c r="B11330" s="30" t="inlineStr">
        <is>
          <t>Porto Real</t>
        </is>
      </c>
      <c r="C11330" s="30" t="n">
        <v>80829795</v>
      </c>
      <c r="D11330" s="30">
        <f>"32404063000108"</f>
        <v/>
      </c>
      <c r="E11330" s="30" t="inlineStr">
        <is>
          <t>VIACAO PROGRESSO E TURISMO S/A</t>
        </is>
      </c>
      <c r="F11330" s="30" t="inlineStr">
        <is>
          <t>2019</t>
        </is>
      </c>
      <c r="G11330" s="40" t="n">
        <v>0</v>
      </c>
    </row>
    <row r="11331" ht="12" customHeight="1">
      <c r="A11331" s="30" t="inlineStr">
        <is>
          <t>POR</t>
        </is>
      </c>
      <c r="B11331" s="30" t="inlineStr">
        <is>
          <t>Porto Real</t>
        </is>
      </c>
      <c r="C11331" s="30" t="n">
        <v>81239592</v>
      </c>
      <c r="D11331" s="30">
        <f>"58890252000202"</f>
        <v/>
      </c>
      <c r="E11331" s="30" t="inlineStr">
        <is>
          <t>DHL EXPRESS BRASIL LTDA</t>
        </is>
      </c>
      <c r="F11331" s="30" t="inlineStr">
        <is>
          <t>2017</t>
        </is>
      </c>
      <c r="G11331" s="40" t="n">
        <v>5282.02</v>
      </c>
    </row>
    <row r="11332" ht="12" customHeight="1">
      <c r="A11332" s="30" t="inlineStr">
        <is>
          <t>POR</t>
        </is>
      </c>
      <c r="B11332" s="30" t="inlineStr">
        <is>
          <t>Porto Real</t>
        </is>
      </c>
      <c r="C11332" s="30" t="n">
        <v>81239592</v>
      </c>
      <c r="D11332" s="30">
        <f>"58890252000202"</f>
        <v/>
      </c>
      <c r="E11332" s="30" t="inlineStr">
        <is>
          <t>DHL EXPRESS BRASIL LTDA</t>
        </is>
      </c>
      <c r="F11332" s="30" t="inlineStr">
        <is>
          <t>2018</t>
        </is>
      </c>
      <c r="G11332" s="40" t="n">
        <v>4054.43</v>
      </c>
    </row>
    <row r="11333" ht="12" customHeight="1">
      <c r="A11333" s="30" t="inlineStr">
        <is>
          <t>POR</t>
        </is>
      </c>
      <c r="B11333" s="30" t="inlineStr">
        <is>
          <t>Porto Real</t>
        </is>
      </c>
      <c r="C11333" s="30" t="n">
        <v>81239592</v>
      </c>
      <c r="D11333" s="30">
        <f>"58890252000202"</f>
        <v/>
      </c>
      <c r="E11333" s="30" t="inlineStr">
        <is>
          <t>DHL EXPRESS BRASIL LTDA</t>
        </is>
      </c>
      <c r="F11333" s="30" t="inlineStr">
        <is>
          <t>2019</t>
        </is>
      </c>
      <c r="G11333" s="40" t="n">
        <v>39.35</v>
      </c>
    </row>
    <row r="11334" ht="12" customHeight="1">
      <c r="A11334" s="30" t="inlineStr">
        <is>
          <t>POR</t>
        </is>
      </c>
      <c r="B11334" s="30" t="inlineStr">
        <is>
          <t>Porto Real</t>
        </is>
      </c>
      <c r="C11334" s="30" t="n">
        <v>81239592</v>
      </c>
      <c r="D11334" s="30">
        <f>"58890252000202"</f>
        <v/>
      </c>
      <c r="E11334" s="30" t="inlineStr">
        <is>
          <t>DHL EXPRESS BRASIL LTDA</t>
        </is>
      </c>
      <c r="F11334" s="30" t="inlineStr">
        <is>
          <t>2020</t>
        </is>
      </c>
      <c r="G11334" s="40" t="n">
        <v>2441.58</v>
      </c>
    </row>
    <row r="11335" ht="12" customHeight="1">
      <c r="A11335" s="30" t="inlineStr">
        <is>
          <t>POR</t>
        </is>
      </c>
      <c r="B11335" s="30" t="inlineStr">
        <is>
          <t>Porto Real</t>
        </is>
      </c>
      <c r="C11335" s="30" t="n">
        <v>81239592</v>
      </c>
      <c r="D11335" s="30">
        <f>"58890252000202"</f>
        <v/>
      </c>
      <c r="E11335" s="30" t="inlineStr">
        <is>
          <t>DHL EXPRESS BRASIL LTDA</t>
        </is>
      </c>
      <c r="F11335" s="30" t="inlineStr">
        <is>
          <t>2021</t>
        </is>
      </c>
      <c r="G11335" s="40" t="n">
        <v>1475.66</v>
      </c>
    </row>
    <row r="11336" ht="12" customHeight="1">
      <c r="A11336" s="30" t="inlineStr">
        <is>
          <t>POR</t>
        </is>
      </c>
      <c r="B11336" s="30" t="inlineStr">
        <is>
          <t>Porto Real</t>
        </is>
      </c>
      <c r="C11336" s="30" t="n">
        <v>81239592</v>
      </c>
      <c r="D11336" s="30">
        <f>"58890252000202"</f>
        <v/>
      </c>
      <c r="E11336" s="30" t="inlineStr">
        <is>
          <t>DHL EXPRESS BRASIL LTDA</t>
        </is>
      </c>
      <c r="F11336" s="30" t="inlineStr">
        <is>
          <t>2022</t>
        </is>
      </c>
      <c r="G11336" s="40" t="n">
        <v>9179.129999999999</v>
      </c>
    </row>
    <row r="11337" ht="12" customHeight="1">
      <c r="A11337" s="30" t="inlineStr">
        <is>
          <t>POR</t>
        </is>
      </c>
      <c r="B11337" s="30" t="inlineStr">
        <is>
          <t>Porto Real</t>
        </is>
      </c>
      <c r="C11337" s="30" t="n">
        <v>81239592</v>
      </c>
      <c r="D11337" s="30">
        <f>"58890252000202"</f>
        <v/>
      </c>
      <c r="E11337" s="30" t="inlineStr">
        <is>
          <t>DHL EXPRESS BRASIL LTDA</t>
        </is>
      </c>
      <c r="F11337" s="30" t="inlineStr">
        <is>
          <t>2023</t>
        </is>
      </c>
      <c r="G11337" s="40" t="n">
        <v>27118.29</v>
      </c>
    </row>
    <row r="11338" ht="12" customHeight="1">
      <c r="A11338" s="30" t="inlineStr">
        <is>
          <t>POR</t>
        </is>
      </c>
      <c r="B11338" s="30" t="inlineStr">
        <is>
          <t>Porto Real</t>
        </is>
      </c>
      <c r="C11338" s="30" t="n">
        <v>81258872</v>
      </c>
      <c r="D11338" s="30">
        <f>"87183570000738"</f>
        <v/>
      </c>
      <c r="E11338" s="30" t="inlineStr">
        <is>
          <t>TRANSPORTADORA MINUANO LTDA</t>
        </is>
      </c>
      <c r="F11338" s="30" t="inlineStr">
        <is>
          <t>2017</t>
        </is>
      </c>
      <c r="G11338" s="40" t="n">
        <v>0</v>
      </c>
    </row>
    <row r="11339" ht="12" customHeight="1">
      <c r="A11339" s="30" t="inlineStr">
        <is>
          <t>POR</t>
        </is>
      </c>
      <c r="B11339" s="30" t="inlineStr">
        <is>
          <t>Porto Real</t>
        </is>
      </c>
      <c r="C11339" s="30" t="n">
        <v>81258872</v>
      </c>
      <c r="D11339" s="30">
        <f>"87183570000738"</f>
        <v/>
      </c>
      <c r="E11339" s="30" t="inlineStr">
        <is>
          <t>TRANSPORTADORA MINUANO LTDA</t>
        </is>
      </c>
      <c r="F11339" s="30" t="inlineStr">
        <is>
          <t>2018</t>
        </is>
      </c>
      <c r="G11339" s="40" t="n">
        <v>0</v>
      </c>
    </row>
    <row r="11340" ht="12" customHeight="1">
      <c r="A11340" s="30" t="inlineStr">
        <is>
          <t>POR</t>
        </is>
      </c>
      <c r="B11340" s="30" t="inlineStr">
        <is>
          <t>Porto Real</t>
        </is>
      </c>
      <c r="C11340" s="30" t="n">
        <v>81258872</v>
      </c>
      <c r="D11340" s="30">
        <f>"87183570000738"</f>
        <v/>
      </c>
      <c r="E11340" s="30" t="inlineStr">
        <is>
          <t>TRANSPORTADORA MINUANO LTDA</t>
        </is>
      </c>
      <c r="F11340" s="30" t="inlineStr">
        <is>
          <t>2019</t>
        </is>
      </c>
      <c r="G11340" s="40" t="n">
        <v>281.81</v>
      </c>
    </row>
    <row r="11341" ht="12" customHeight="1">
      <c r="A11341" s="30" t="inlineStr">
        <is>
          <t>POR</t>
        </is>
      </c>
      <c r="B11341" s="30" t="inlineStr">
        <is>
          <t>Porto Real</t>
        </is>
      </c>
      <c r="C11341" s="30" t="n">
        <v>81258872</v>
      </c>
      <c r="D11341" s="30">
        <f>"87183570000738"</f>
        <v/>
      </c>
      <c r="E11341" s="30" t="inlineStr">
        <is>
          <t>TRANSPORTADORA MINUANO LTDA</t>
        </is>
      </c>
      <c r="F11341" s="30" t="inlineStr">
        <is>
          <t>2020</t>
        </is>
      </c>
      <c r="G11341" s="40" t="n">
        <v>101.19</v>
      </c>
    </row>
    <row r="11342" ht="12" customHeight="1">
      <c r="A11342" s="30" t="inlineStr">
        <is>
          <t>POR</t>
        </is>
      </c>
      <c r="B11342" s="30" t="inlineStr">
        <is>
          <t>Porto Real</t>
        </is>
      </c>
      <c r="C11342" s="30" t="n">
        <v>81258872</v>
      </c>
      <c r="D11342" s="30">
        <f>"87183570000738"</f>
        <v/>
      </c>
      <c r="E11342" s="30" t="inlineStr">
        <is>
          <t>TRANSPORTADORA MINUANO LTDA</t>
        </is>
      </c>
      <c r="F11342" s="30" t="inlineStr">
        <is>
          <t>2021</t>
        </is>
      </c>
      <c r="G11342" s="40" t="n">
        <v>357.2</v>
      </c>
    </row>
    <row r="11343" ht="12" customHeight="1">
      <c r="A11343" s="30" t="inlineStr">
        <is>
          <t>POR</t>
        </is>
      </c>
      <c r="B11343" s="30" t="inlineStr">
        <is>
          <t>Porto Real</t>
        </is>
      </c>
      <c r="C11343" s="30" t="n">
        <v>81258872</v>
      </c>
      <c r="D11343" s="30">
        <f>"87183570000738"</f>
        <v/>
      </c>
      <c r="E11343" s="30" t="inlineStr">
        <is>
          <t>TRANSPORTADORA MINUANO LTDA</t>
        </is>
      </c>
      <c r="F11343" s="30" t="inlineStr">
        <is>
          <t>2022</t>
        </is>
      </c>
      <c r="G11343" s="40" t="n">
        <v>77.29000000000001</v>
      </c>
    </row>
    <row r="11344" ht="12" customHeight="1">
      <c r="A11344" s="30" t="inlineStr">
        <is>
          <t>POR</t>
        </is>
      </c>
      <c r="B11344" s="30" t="inlineStr">
        <is>
          <t>Porto Real</t>
        </is>
      </c>
      <c r="C11344" s="30" t="n">
        <v>81258872</v>
      </c>
      <c r="D11344" s="30">
        <f>"87183570000738"</f>
        <v/>
      </c>
      <c r="E11344" s="30" t="inlineStr">
        <is>
          <t>TRANSPORTADORA MINUANO LTDA</t>
        </is>
      </c>
      <c r="F11344" s="30" t="inlineStr">
        <is>
          <t>2023</t>
        </is>
      </c>
      <c r="G11344" s="40" t="n">
        <v>0</v>
      </c>
    </row>
    <row r="11345" ht="12" customHeight="1">
      <c r="A11345" s="30" t="inlineStr">
        <is>
          <t>POR</t>
        </is>
      </c>
      <c r="B11345" s="30" t="inlineStr">
        <is>
          <t>Porto Real</t>
        </is>
      </c>
      <c r="C11345" s="30" t="n">
        <v>81330174</v>
      </c>
      <c r="D11345" s="30">
        <f>"02905110001957"</f>
        <v/>
      </c>
      <c r="E11345" s="30" t="inlineStr">
        <is>
          <t>GR SERVICOS E ALIMENTACAO LTDA</t>
        </is>
      </c>
      <c r="F11345" s="30" t="inlineStr">
        <is>
          <t>2017</t>
        </is>
      </c>
      <c r="G11345" s="40" t="n">
        <v>3698280.18</v>
      </c>
    </row>
    <row r="11346" ht="12" customHeight="1">
      <c r="A11346" s="30" t="inlineStr">
        <is>
          <t>POR</t>
        </is>
      </c>
      <c r="B11346" s="30" t="inlineStr">
        <is>
          <t>Porto Real</t>
        </is>
      </c>
      <c r="C11346" s="30" t="n">
        <v>81330174</v>
      </c>
      <c r="D11346" s="30">
        <f>"02905110001957"</f>
        <v/>
      </c>
      <c r="E11346" s="30" t="inlineStr">
        <is>
          <t>GR SERVICOS E ALIMENTACAO LTDA</t>
        </is>
      </c>
      <c r="F11346" s="30" t="inlineStr">
        <is>
          <t>2018</t>
        </is>
      </c>
      <c r="G11346" s="40" t="n">
        <v>4201449.74</v>
      </c>
    </row>
    <row r="11347" ht="12" customHeight="1">
      <c r="A11347" s="30" t="inlineStr">
        <is>
          <t>POR</t>
        </is>
      </c>
      <c r="B11347" s="30" t="inlineStr">
        <is>
          <t>Porto Real</t>
        </is>
      </c>
      <c r="C11347" s="30" t="n">
        <v>81330174</v>
      </c>
      <c r="D11347" s="30">
        <f>"02905110001957"</f>
        <v/>
      </c>
      <c r="E11347" s="30" t="inlineStr">
        <is>
          <t>GR SERVICOS E ALIMENTACAO LTDA</t>
        </is>
      </c>
      <c r="F11347" s="30" t="inlineStr">
        <is>
          <t>2019</t>
        </is>
      </c>
      <c r="G11347" s="40" t="n">
        <v>3288058.31</v>
      </c>
    </row>
    <row r="11348" ht="12" customHeight="1">
      <c r="A11348" s="30" t="inlineStr">
        <is>
          <t>POR</t>
        </is>
      </c>
      <c r="B11348" s="30" t="inlineStr">
        <is>
          <t>Porto Real</t>
        </is>
      </c>
      <c r="C11348" s="30" t="n">
        <v>81330174</v>
      </c>
      <c r="D11348" s="30">
        <f>"02905110001957"</f>
        <v/>
      </c>
      <c r="E11348" s="30" t="inlineStr">
        <is>
          <t>GR SERVICOS E ALIMENTACAO LTDA</t>
        </is>
      </c>
      <c r="F11348" s="30" t="inlineStr">
        <is>
          <t>2020</t>
        </is>
      </c>
      <c r="G11348" s="40" t="n">
        <v>2874900.28</v>
      </c>
    </row>
    <row r="11349" ht="12" customHeight="1">
      <c r="A11349" s="30" t="inlineStr">
        <is>
          <t>POR</t>
        </is>
      </c>
      <c r="B11349" s="30" t="inlineStr">
        <is>
          <t>Porto Real</t>
        </is>
      </c>
      <c r="C11349" s="30" t="n">
        <v>81330174</v>
      </c>
      <c r="D11349" s="30">
        <f>"02905110001957"</f>
        <v/>
      </c>
      <c r="E11349" s="30" t="inlineStr">
        <is>
          <t>GR SERVICOS E ALIMENTACAO LTDA</t>
        </is>
      </c>
      <c r="F11349" s="30" t="inlineStr">
        <is>
          <t>2021</t>
        </is>
      </c>
      <c r="G11349" s="40" t="n">
        <v>3070607.16</v>
      </c>
    </row>
    <row r="11350" ht="12" customHeight="1">
      <c r="A11350" s="30" t="inlineStr">
        <is>
          <t>POR</t>
        </is>
      </c>
      <c r="B11350" s="30" t="inlineStr">
        <is>
          <t>Porto Real</t>
        </is>
      </c>
      <c r="C11350" s="30" t="n">
        <v>81330174</v>
      </c>
      <c r="D11350" s="30">
        <f>"02905110001957"</f>
        <v/>
      </c>
      <c r="E11350" s="30" t="inlineStr">
        <is>
          <t>GR SERVICOS E ALIMENTACAO LTDA</t>
        </is>
      </c>
      <c r="F11350" s="30" t="inlineStr">
        <is>
          <t>2022</t>
        </is>
      </c>
      <c r="G11350" s="40" t="n">
        <v>6519802.63</v>
      </c>
    </row>
    <row r="11351" ht="12" customHeight="1">
      <c r="A11351" s="30" t="inlineStr">
        <is>
          <t>POR</t>
        </is>
      </c>
      <c r="B11351" s="30" t="inlineStr">
        <is>
          <t>Porto Real</t>
        </is>
      </c>
      <c r="C11351" s="30" t="n">
        <v>81330174</v>
      </c>
      <c r="D11351" s="30">
        <f>"02905110001957"</f>
        <v/>
      </c>
      <c r="E11351" s="30" t="inlineStr">
        <is>
          <t>GR SERVICOS E ALIMENTACAO LTDA</t>
        </is>
      </c>
      <c r="F11351" s="30" t="inlineStr">
        <is>
          <t>2023</t>
        </is>
      </c>
      <c r="G11351" s="40" t="n">
        <v>7995933.99</v>
      </c>
    </row>
    <row r="11352" ht="12" customHeight="1">
      <c r="A11352" s="30" t="inlineStr">
        <is>
          <t>POR</t>
        </is>
      </c>
      <c r="B11352" s="30" t="inlineStr">
        <is>
          <t>Porto Real</t>
        </is>
      </c>
      <c r="C11352" s="30" t="n">
        <v>81592578</v>
      </c>
      <c r="D11352" s="30">
        <f>"61190096000354"</f>
        <v/>
      </c>
      <c r="E11352" s="30" t="inlineStr">
        <is>
          <t>EUROFARMA LABORATORIOS S/A</t>
        </is>
      </c>
      <c r="F11352" s="30" t="inlineStr">
        <is>
          <t>2017</t>
        </is>
      </c>
      <c r="G11352" s="40" t="n">
        <v>0</v>
      </c>
    </row>
    <row r="11353" ht="12" customHeight="1">
      <c r="A11353" s="30" t="inlineStr">
        <is>
          <t>POR</t>
        </is>
      </c>
      <c r="B11353" s="30" t="inlineStr">
        <is>
          <t>Porto Real</t>
        </is>
      </c>
      <c r="C11353" s="30" t="n">
        <v>81592578</v>
      </c>
      <c r="D11353" s="30">
        <f>"61190096000354"</f>
        <v/>
      </c>
      <c r="E11353" s="30" t="inlineStr">
        <is>
          <t>EUROFARMA LABORATORIOS S/A</t>
        </is>
      </c>
      <c r="F11353" s="30" t="inlineStr">
        <is>
          <t>2018</t>
        </is>
      </c>
      <c r="G11353" s="40" t="n">
        <v>0</v>
      </c>
    </row>
    <row r="11354" ht="12" customHeight="1">
      <c r="A11354" s="30" t="inlineStr">
        <is>
          <t>POR</t>
        </is>
      </c>
      <c r="B11354" s="30" t="inlineStr">
        <is>
          <t>Porto Real</t>
        </is>
      </c>
      <c r="C11354" s="30" t="n">
        <v>81592578</v>
      </c>
      <c r="D11354" s="30">
        <f>"61190096000354"</f>
        <v/>
      </c>
      <c r="E11354" s="30" t="inlineStr">
        <is>
          <t>EUROFARMA LABORATORIOS S/A</t>
        </is>
      </c>
      <c r="F11354" s="30" t="inlineStr">
        <is>
          <t>2019</t>
        </is>
      </c>
      <c r="G11354" s="40" t="n">
        <v>21861411.42</v>
      </c>
    </row>
    <row r="11355" ht="12" customHeight="1">
      <c r="A11355" s="30" t="inlineStr">
        <is>
          <t>POR</t>
        </is>
      </c>
      <c r="B11355" s="30" t="inlineStr">
        <is>
          <t>Porto Real</t>
        </is>
      </c>
      <c r="C11355" s="30" t="n">
        <v>81592578</v>
      </c>
      <c r="D11355" s="30">
        <f>"61190096000354"</f>
        <v/>
      </c>
      <c r="E11355" s="30" t="inlineStr">
        <is>
          <t>EUROFARMA LABORATORIOS S/A</t>
        </is>
      </c>
      <c r="F11355" s="30" t="inlineStr">
        <is>
          <t>2020</t>
        </is>
      </c>
      <c r="G11355" s="40" t="n">
        <v>13184377.35</v>
      </c>
    </row>
    <row r="11356" ht="12" customHeight="1">
      <c r="A11356" s="30" t="inlineStr">
        <is>
          <t>POR</t>
        </is>
      </c>
      <c r="B11356" s="30" t="inlineStr">
        <is>
          <t>Porto Real</t>
        </is>
      </c>
      <c r="C11356" s="30" t="n">
        <v>81592578</v>
      </c>
      <c r="D11356" s="30">
        <f>"61190096000354"</f>
        <v/>
      </c>
      <c r="E11356" s="30" t="inlineStr">
        <is>
          <t>EUROFARMA LABORATORIOS S/A</t>
        </is>
      </c>
      <c r="F11356" s="30" t="inlineStr">
        <is>
          <t>2021</t>
        </is>
      </c>
      <c r="G11356" s="40" t="n">
        <v>15330975.52</v>
      </c>
    </row>
    <row r="11357" ht="12" customHeight="1">
      <c r="A11357" s="30" t="inlineStr">
        <is>
          <t>POR</t>
        </is>
      </c>
      <c r="B11357" s="30" t="inlineStr">
        <is>
          <t>Porto Real</t>
        </is>
      </c>
      <c r="C11357" s="30" t="n">
        <v>81592578</v>
      </c>
      <c r="D11357" s="30">
        <f>"61190096000354"</f>
        <v/>
      </c>
      <c r="E11357" s="30" t="inlineStr">
        <is>
          <t>EUROFARMA LABORATORIOS S/A</t>
        </is>
      </c>
      <c r="F11357" s="30" t="inlineStr">
        <is>
          <t>2022</t>
        </is>
      </c>
      <c r="G11357" s="40" t="n">
        <v>0</v>
      </c>
    </row>
    <row r="11358" ht="12" customHeight="1">
      <c r="A11358" s="30" t="inlineStr">
        <is>
          <t>POR</t>
        </is>
      </c>
      <c r="B11358" s="30" t="inlineStr">
        <is>
          <t>Porto Real</t>
        </is>
      </c>
      <c r="C11358" s="30" t="n">
        <v>81592578</v>
      </c>
      <c r="D11358" s="30">
        <f>"61190096000354"</f>
        <v/>
      </c>
      <c r="E11358" s="30" t="inlineStr">
        <is>
          <t>EUROFARMA LABORATORIOS S/A</t>
        </is>
      </c>
      <c r="F11358" s="30" t="inlineStr">
        <is>
          <t>2023</t>
        </is>
      </c>
      <c r="G11358" s="40" t="n">
        <v>0</v>
      </c>
    </row>
    <row r="11359" ht="12" customHeight="1">
      <c r="A11359" s="30" t="inlineStr">
        <is>
          <t>POR</t>
        </is>
      </c>
      <c r="B11359" s="30" t="inlineStr">
        <is>
          <t>Porto Real</t>
        </is>
      </c>
      <c r="C11359" s="30" t="n">
        <v>81613419</v>
      </c>
      <c r="D11359" s="30">
        <f>"33841370000100"</f>
        <v/>
      </c>
      <c r="E11359" s="30" t="inlineStr">
        <is>
          <t>TRANSPORTADORA PEDRO ERNESTO LTDA EPP</t>
        </is>
      </c>
      <c r="F11359" s="30" t="inlineStr">
        <is>
          <t>2021</t>
        </is>
      </c>
      <c r="G11359" s="40" t="n">
        <v>0</v>
      </c>
    </row>
    <row r="11360" ht="12" customHeight="1">
      <c r="A11360" s="30" t="inlineStr">
        <is>
          <t>POR</t>
        </is>
      </c>
      <c r="B11360" s="30" t="inlineStr">
        <is>
          <t>Porto Real</t>
        </is>
      </c>
      <c r="C11360" s="30" t="n">
        <v>81613419</v>
      </c>
      <c r="D11360" s="30">
        <f>"33841370000100"</f>
        <v/>
      </c>
      <c r="E11360" s="30" t="inlineStr">
        <is>
          <t>TRANSPORTADORA PEDRO ERNESTO LTDA EPP</t>
        </is>
      </c>
      <c r="F11360" s="30" t="inlineStr">
        <is>
          <t>2022</t>
        </is>
      </c>
      <c r="G11360" s="40" t="n">
        <v>0</v>
      </c>
    </row>
    <row r="11361" ht="12" customHeight="1">
      <c r="A11361" s="30" t="inlineStr">
        <is>
          <t>POR</t>
        </is>
      </c>
      <c r="B11361" s="30" t="inlineStr">
        <is>
          <t>Porto Real</t>
        </is>
      </c>
      <c r="C11361" s="30" t="n">
        <v>81613419</v>
      </c>
      <c r="D11361" s="30">
        <f>"33841370000100"</f>
        <v/>
      </c>
      <c r="E11361" s="30" t="inlineStr">
        <is>
          <t>TRANSPORTADORA PEDRO ERNESTO LTDA EPP</t>
        </is>
      </c>
      <c r="F11361" s="30" t="inlineStr">
        <is>
          <t>2023</t>
        </is>
      </c>
      <c r="G11361" s="40" t="n">
        <v>22210.1</v>
      </c>
    </row>
    <row r="11362" ht="12" customHeight="1">
      <c r="A11362" s="30" t="inlineStr">
        <is>
          <t>POR</t>
        </is>
      </c>
      <c r="B11362" s="30" t="inlineStr">
        <is>
          <t>Porto Real</t>
        </is>
      </c>
      <c r="C11362" s="30" t="n">
        <v>81613524</v>
      </c>
      <c r="D11362" s="30">
        <f>"34028316000294"</f>
        <v/>
      </c>
      <c r="E11362" s="30" t="inlineStr">
        <is>
          <t>EMPRESA BRASILEIRA DE CORREIOS E TELEGRAFOS</t>
        </is>
      </c>
      <c r="F11362" s="30" t="inlineStr">
        <is>
          <t>2017</t>
        </is>
      </c>
      <c r="G11362" s="40" t="n">
        <v>1097.33</v>
      </c>
    </row>
    <row r="11363" ht="12" customHeight="1">
      <c r="A11363" s="30" t="inlineStr">
        <is>
          <t>POR</t>
        </is>
      </c>
      <c r="B11363" s="30" t="inlineStr">
        <is>
          <t>Porto Real</t>
        </is>
      </c>
      <c r="C11363" s="30" t="n">
        <v>81613524</v>
      </c>
      <c r="D11363" s="30">
        <f>"34028316000294"</f>
        <v/>
      </c>
      <c r="E11363" s="30" t="inlineStr">
        <is>
          <t>EMPRESA BRASILEIRA DE CORREIOS E TELEGRAFOS</t>
        </is>
      </c>
      <c r="F11363" s="30" t="inlineStr">
        <is>
          <t>2018</t>
        </is>
      </c>
      <c r="G11363" s="40" t="n">
        <v>1404.14</v>
      </c>
    </row>
    <row r="11364" ht="12" customHeight="1">
      <c r="A11364" s="30" t="inlineStr">
        <is>
          <t>POR</t>
        </is>
      </c>
      <c r="B11364" s="30" t="inlineStr">
        <is>
          <t>Porto Real</t>
        </is>
      </c>
      <c r="C11364" s="30" t="n">
        <v>81613524</v>
      </c>
      <c r="D11364" s="30">
        <f>"34028316000294"</f>
        <v/>
      </c>
      <c r="E11364" s="30" t="inlineStr">
        <is>
          <t>EMPRESA BRASILEIRA DE CORREIOS E TELEGRAFOS</t>
        </is>
      </c>
      <c r="F11364" s="30" t="inlineStr">
        <is>
          <t>2019</t>
        </is>
      </c>
      <c r="G11364" s="40" t="n">
        <v>7197.43</v>
      </c>
    </row>
    <row r="11365" ht="12" customHeight="1">
      <c r="A11365" s="30" t="inlineStr">
        <is>
          <t>POR</t>
        </is>
      </c>
      <c r="B11365" s="30" t="inlineStr">
        <is>
          <t>Porto Real</t>
        </is>
      </c>
      <c r="C11365" s="30" t="n">
        <v>81613524</v>
      </c>
      <c r="D11365" s="30">
        <f>"34028316000294"</f>
        <v/>
      </c>
      <c r="E11365" s="30" t="inlineStr">
        <is>
          <t>EMPRESA BRASILEIRA DE CORREIOS E TELEGRAFOS</t>
        </is>
      </c>
      <c r="F11365" s="30" t="inlineStr">
        <is>
          <t>2020</t>
        </is>
      </c>
      <c r="G11365" s="40" t="n">
        <v>5436.78</v>
      </c>
    </row>
    <row r="11366" ht="12" customHeight="1">
      <c r="A11366" s="30" t="inlineStr">
        <is>
          <t>POR</t>
        </is>
      </c>
      <c r="B11366" s="30" t="inlineStr">
        <is>
          <t>Porto Real</t>
        </is>
      </c>
      <c r="C11366" s="30" t="n">
        <v>81613524</v>
      </c>
      <c r="D11366" s="30">
        <f>"34028316000294"</f>
        <v/>
      </c>
      <c r="E11366" s="30" t="inlineStr">
        <is>
          <t>EMPRESA BRASILEIRA DE CORREIOS E TELEGRAFOS</t>
        </is>
      </c>
      <c r="F11366" s="30" t="inlineStr">
        <is>
          <t>2021</t>
        </is>
      </c>
      <c r="G11366" s="40" t="n">
        <v>5006.61</v>
      </c>
    </row>
    <row r="11367" ht="12" customHeight="1">
      <c r="A11367" s="30" t="inlineStr">
        <is>
          <t>POR</t>
        </is>
      </c>
      <c r="B11367" s="30" t="inlineStr">
        <is>
          <t>Porto Real</t>
        </is>
      </c>
      <c r="C11367" s="30" t="n">
        <v>81613524</v>
      </c>
      <c r="D11367" s="30">
        <f>"34028316000294"</f>
        <v/>
      </c>
      <c r="E11367" s="30" t="inlineStr">
        <is>
          <t>EMPRESA BRASILEIRA DE CORREIOS E TELEGRAFOS</t>
        </is>
      </c>
      <c r="F11367" s="30" t="inlineStr">
        <is>
          <t>2022</t>
        </is>
      </c>
      <c r="G11367" s="40" t="n">
        <v>4542.81</v>
      </c>
    </row>
    <row r="11368" ht="12" customHeight="1">
      <c r="A11368" s="30" t="inlineStr">
        <is>
          <t>POR</t>
        </is>
      </c>
      <c r="B11368" s="30" t="inlineStr">
        <is>
          <t>Porto Real</t>
        </is>
      </c>
      <c r="C11368" s="30" t="n">
        <v>81613524</v>
      </c>
      <c r="D11368" s="30">
        <f>"34028316000294"</f>
        <v/>
      </c>
      <c r="E11368" s="30" t="inlineStr">
        <is>
          <t>EMPRESA BRASILEIRA DE CORREIOS E TELEGRAFOS</t>
        </is>
      </c>
      <c r="F11368" s="30" t="inlineStr">
        <is>
          <t>2023</t>
        </is>
      </c>
      <c r="G11368" s="40" t="n">
        <v>4188.31</v>
      </c>
    </row>
    <row r="11369" ht="12" customHeight="1">
      <c r="A11369" s="30" t="inlineStr">
        <is>
          <t>POR</t>
        </is>
      </c>
      <c r="B11369" s="30" t="inlineStr">
        <is>
          <t>Porto Real</t>
        </is>
      </c>
      <c r="C11369" s="30" t="n">
        <v>81680469</v>
      </c>
      <c r="D11369" s="30">
        <f>"33000118000179"</f>
        <v/>
      </c>
      <c r="E11369" s="30" t="inlineStr">
        <is>
          <t>TELEMAR NORTE LESTE S/A EM RECUPERACAO JUDICIAL</t>
        </is>
      </c>
      <c r="F11369" s="30" t="inlineStr">
        <is>
          <t>2017</t>
        </is>
      </c>
      <c r="G11369" s="40" t="n">
        <v>1584889.3</v>
      </c>
    </row>
    <row r="11370" ht="12" customHeight="1">
      <c r="A11370" s="30" t="inlineStr">
        <is>
          <t>POR</t>
        </is>
      </c>
      <c r="B11370" s="30" t="inlineStr">
        <is>
          <t>Porto Real</t>
        </is>
      </c>
      <c r="C11370" s="30" t="n">
        <v>81680469</v>
      </c>
      <c r="D11370" s="30">
        <f>"33000118000179"</f>
        <v/>
      </c>
      <c r="E11370" s="30" t="inlineStr">
        <is>
          <t>TELEMAR NORTE LESTE S/A EM RECUPERACAO JUDICIAL</t>
        </is>
      </c>
      <c r="F11370" s="30" t="inlineStr">
        <is>
          <t>2018</t>
        </is>
      </c>
      <c r="G11370" s="40" t="n">
        <v>1259010.48</v>
      </c>
    </row>
    <row r="11371" ht="12" customHeight="1">
      <c r="A11371" s="30" t="inlineStr">
        <is>
          <t>POR</t>
        </is>
      </c>
      <c r="B11371" s="30" t="inlineStr">
        <is>
          <t>Porto Real</t>
        </is>
      </c>
      <c r="C11371" s="30" t="n">
        <v>81680469</v>
      </c>
      <c r="D11371" s="30">
        <f>"33000118000179"</f>
        <v/>
      </c>
      <c r="E11371" s="30" t="inlineStr">
        <is>
          <t>TELEMAR NORTE LESTE S/A EM RECUPERACAO JUDICIAL</t>
        </is>
      </c>
      <c r="F11371" s="30" t="inlineStr">
        <is>
          <t>2019</t>
        </is>
      </c>
      <c r="G11371" s="40" t="n">
        <v>1031198.81</v>
      </c>
    </row>
    <row r="11372" ht="12" customHeight="1">
      <c r="A11372" s="30" t="inlineStr">
        <is>
          <t>POR</t>
        </is>
      </c>
      <c r="B11372" s="30" t="inlineStr">
        <is>
          <t>Porto Real</t>
        </is>
      </c>
      <c r="C11372" s="30" t="n">
        <v>81680469</v>
      </c>
      <c r="D11372" s="30">
        <f>"33000118000179"</f>
        <v/>
      </c>
      <c r="E11372" s="30" t="inlineStr">
        <is>
          <t>TELEMAR NORTE LESTE S/A EM RECUPERACAO JUDICIAL</t>
        </is>
      </c>
      <c r="F11372" s="30" t="inlineStr">
        <is>
          <t>2020</t>
        </is>
      </c>
      <c r="G11372" s="40" t="n">
        <v>860989.0600000001</v>
      </c>
    </row>
    <row r="11373" ht="12" customHeight="1">
      <c r="A11373" s="30" t="inlineStr">
        <is>
          <t>POR</t>
        </is>
      </c>
      <c r="B11373" s="30" t="inlineStr">
        <is>
          <t>Porto Real</t>
        </is>
      </c>
      <c r="C11373" s="30" t="n">
        <v>81680469</v>
      </c>
      <c r="D11373" s="30">
        <f>"33000118000179"</f>
        <v/>
      </c>
      <c r="E11373" s="30" t="inlineStr">
        <is>
          <t>TELEMAR NORTE LESTE S/A EM RECUPERACAO JUDICIAL</t>
        </is>
      </c>
      <c r="F11373" s="30" t="inlineStr">
        <is>
          <t>2021</t>
        </is>
      </c>
      <c r="G11373" s="40" t="n">
        <v>240334.69</v>
      </c>
    </row>
    <row r="11374" ht="12" customHeight="1">
      <c r="A11374" s="30" t="inlineStr">
        <is>
          <t>POR</t>
        </is>
      </c>
      <c r="B11374" s="30" t="inlineStr">
        <is>
          <t>Porto Real</t>
        </is>
      </c>
      <c r="C11374" s="30" t="n">
        <v>81680469</v>
      </c>
      <c r="D11374" s="30">
        <f>"33000118000179"</f>
        <v/>
      </c>
      <c r="E11374" s="30" t="inlineStr">
        <is>
          <t>TELEMAR NORTE LESTE S/A EM RECUPERACAO JUDICIAL</t>
        </is>
      </c>
      <c r="F11374" s="30" t="inlineStr">
        <is>
          <t>2022</t>
        </is>
      </c>
      <c r="G11374" s="40" t="n">
        <v>0</v>
      </c>
    </row>
    <row r="11375" ht="12" customHeight="1">
      <c r="A11375" s="30" t="inlineStr">
        <is>
          <t>POR</t>
        </is>
      </c>
      <c r="B11375" s="30" t="inlineStr">
        <is>
          <t>Porto Real</t>
        </is>
      </c>
      <c r="C11375" s="30" t="n">
        <v>81680469</v>
      </c>
      <c r="D11375" s="30">
        <f>"33000118000179"</f>
        <v/>
      </c>
      <c r="E11375" s="30" t="inlineStr">
        <is>
          <t>TELEMAR NORTE LESTE S/A EM RECUPERACAO JUDICIAL</t>
        </is>
      </c>
      <c r="F11375" s="30" t="inlineStr">
        <is>
          <t>2023</t>
        </is>
      </c>
      <c r="G11375" s="40" t="n">
        <v>0</v>
      </c>
    </row>
    <row r="11376" ht="12" customHeight="1">
      <c r="A11376" s="30" t="inlineStr">
        <is>
          <t>POR</t>
        </is>
      </c>
      <c r="B11376" s="30" t="inlineStr">
        <is>
          <t>Porto Real</t>
        </is>
      </c>
      <c r="C11376" s="30" t="n">
        <v>81760179</v>
      </c>
      <c r="D11376" s="30">
        <f>"61084018005253"</f>
        <v/>
      </c>
      <c r="E11376" s="30" t="inlineStr">
        <is>
          <t>VIACAO COMETA S/A</t>
        </is>
      </c>
      <c r="F11376" s="30" t="inlineStr">
        <is>
          <t>2021</t>
        </is>
      </c>
      <c r="G11376" s="40" t="n">
        <v>0</v>
      </c>
    </row>
    <row r="11377" ht="12" customHeight="1">
      <c r="A11377" s="30" t="inlineStr">
        <is>
          <t>POR</t>
        </is>
      </c>
      <c r="B11377" s="30" t="inlineStr">
        <is>
          <t>Porto Real</t>
        </is>
      </c>
      <c r="C11377" s="30" t="n">
        <v>81760179</v>
      </c>
      <c r="D11377" s="30">
        <f>"61084018005253"</f>
        <v/>
      </c>
      <c r="E11377" s="30" t="inlineStr">
        <is>
          <t>VIACAO COMETA S/A</t>
        </is>
      </c>
      <c r="F11377" s="30" t="inlineStr">
        <is>
          <t>2022</t>
        </is>
      </c>
      <c r="G11377" s="40" t="n">
        <v>0</v>
      </c>
    </row>
    <row r="11378" ht="12" customHeight="1">
      <c r="A11378" s="30" t="inlineStr">
        <is>
          <t>POR</t>
        </is>
      </c>
      <c r="B11378" s="30" t="inlineStr">
        <is>
          <t>Porto Real</t>
        </is>
      </c>
      <c r="C11378" s="30" t="n">
        <v>81760179</v>
      </c>
      <c r="D11378" s="30">
        <f>"61084018005253"</f>
        <v/>
      </c>
      <c r="E11378" s="30" t="inlineStr">
        <is>
          <t>VIACAO COMETA S/A</t>
        </is>
      </c>
      <c r="F11378" s="30" t="inlineStr">
        <is>
          <t>2023</t>
        </is>
      </c>
      <c r="G11378" s="40" t="n">
        <v>6000</v>
      </c>
    </row>
    <row r="11379" ht="12" customHeight="1">
      <c r="A11379" s="30" t="inlineStr">
        <is>
          <t>POR</t>
        </is>
      </c>
      <c r="B11379" s="30" t="inlineStr">
        <is>
          <t>Porto Real</t>
        </is>
      </c>
      <c r="C11379" s="30" t="n">
        <v>81825017</v>
      </c>
      <c r="D11379" s="30">
        <f>"33337007000152"</f>
        <v/>
      </c>
      <c r="E11379" s="30" t="inlineStr">
        <is>
          <t>UTIL - UNIAO TRANSPORTE INTERESTADUAL DE LUXO LTDA</t>
        </is>
      </c>
      <c r="F11379" s="30" t="inlineStr">
        <is>
          <t>2017</t>
        </is>
      </c>
      <c r="G11379" s="40" t="n">
        <v>0</v>
      </c>
    </row>
    <row r="11380" ht="12" customHeight="1">
      <c r="A11380" s="30" t="inlineStr">
        <is>
          <t>POR</t>
        </is>
      </c>
      <c r="B11380" s="30" t="inlineStr">
        <is>
          <t>Porto Real</t>
        </is>
      </c>
      <c r="C11380" s="30" t="n">
        <v>81825017</v>
      </c>
      <c r="D11380" s="30">
        <f>"33337007000152"</f>
        <v/>
      </c>
      <c r="E11380" s="30" t="inlineStr">
        <is>
          <t>UTIL - UNIAO TRANSPORTE INTERESTADUAL DE LUXO LTDA</t>
        </is>
      </c>
      <c r="F11380" s="30" t="inlineStr">
        <is>
          <t>2018</t>
        </is>
      </c>
      <c r="G11380" s="40" t="n">
        <v>843.6</v>
      </c>
    </row>
    <row r="11381" ht="12" customHeight="1">
      <c r="A11381" s="30" t="inlineStr">
        <is>
          <t>POR</t>
        </is>
      </c>
      <c r="B11381" s="30" t="inlineStr">
        <is>
          <t>Porto Real</t>
        </is>
      </c>
      <c r="C11381" s="30" t="n">
        <v>81825017</v>
      </c>
      <c r="D11381" s="30">
        <f>"33337007000152"</f>
        <v/>
      </c>
      <c r="E11381" s="30" t="inlineStr">
        <is>
          <t>UTIL - UNIAO TRANSPORTE INTERESTADUAL DE LUXO LTDA</t>
        </is>
      </c>
      <c r="F11381" s="30" t="inlineStr">
        <is>
          <t>2019</t>
        </is>
      </c>
      <c r="G11381" s="40" t="n">
        <v>86.05</v>
      </c>
    </row>
    <row r="11382" ht="12" customHeight="1">
      <c r="A11382" s="30" t="inlineStr">
        <is>
          <t>POR</t>
        </is>
      </c>
      <c r="B11382" s="30" t="inlineStr">
        <is>
          <t>Porto Real</t>
        </is>
      </c>
      <c r="C11382" s="30" t="n">
        <v>81825017</v>
      </c>
      <c r="D11382" s="30">
        <f>"33337007000152"</f>
        <v/>
      </c>
      <c r="E11382" s="30" t="inlineStr">
        <is>
          <t>UTIL - UNIAO TRANSPORTE INTERESTADUAL DE LUXO LTDA</t>
        </is>
      </c>
      <c r="F11382" s="30" t="inlineStr">
        <is>
          <t>2020</t>
        </is>
      </c>
      <c r="G11382" s="40" t="n">
        <v>0</v>
      </c>
    </row>
    <row r="11383" ht="12" customHeight="1">
      <c r="A11383" s="30" t="inlineStr">
        <is>
          <t>POR</t>
        </is>
      </c>
      <c r="B11383" s="30" t="inlineStr">
        <is>
          <t>Porto Real</t>
        </is>
      </c>
      <c r="C11383" s="30" t="n">
        <v>81825017</v>
      </c>
      <c r="D11383" s="30">
        <f>"33337007000152"</f>
        <v/>
      </c>
      <c r="E11383" s="30" t="inlineStr">
        <is>
          <t>UTIL - UNIAO TRANSPORTE INTERESTADUAL DE LUXO LTDA</t>
        </is>
      </c>
      <c r="F11383" s="30" t="inlineStr">
        <is>
          <t>2021</t>
        </is>
      </c>
      <c r="G11383" s="40" t="n">
        <v>0</v>
      </c>
    </row>
    <row r="11384" ht="12" customHeight="1">
      <c r="A11384" s="30" t="inlineStr">
        <is>
          <t>POR</t>
        </is>
      </c>
      <c r="B11384" s="30" t="inlineStr">
        <is>
          <t>Porto Real</t>
        </is>
      </c>
      <c r="C11384" s="30" t="n">
        <v>81832331</v>
      </c>
      <c r="D11384" s="30">
        <f>"43025774000503"</f>
        <v/>
      </c>
      <c r="E11384" s="30" t="inlineStr">
        <is>
          <t>RODOVIARIO BEDIN LTDA</t>
        </is>
      </c>
      <c r="F11384" s="30" t="inlineStr">
        <is>
          <t>2017</t>
        </is>
      </c>
      <c r="G11384" s="40" t="n">
        <v>0</v>
      </c>
    </row>
    <row r="11385" ht="12" customHeight="1">
      <c r="A11385" s="30" t="inlineStr">
        <is>
          <t>POR</t>
        </is>
      </c>
      <c r="B11385" s="30" t="inlineStr">
        <is>
          <t>Porto Real</t>
        </is>
      </c>
      <c r="C11385" s="30" t="n">
        <v>81832331</v>
      </c>
      <c r="D11385" s="30">
        <f>"43025774000503"</f>
        <v/>
      </c>
      <c r="E11385" s="30" t="inlineStr">
        <is>
          <t>RODOVIARIO BEDIN LTDA</t>
        </is>
      </c>
      <c r="F11385" s="30" t="inlineStr">
        <is>
          <t>2018</t>
        </is>
      </c>
      <c r="G11385" s="40" t="n">
        <v>1016.12</v>
      </c>
    </row>
    <row r="11386" ht="12" customHeight="1">
      <c r="A11386" s="30" t="inlineStr">
        <is>
          <t>POR</t>
        </is>
      </c>
      <c r="B11386" s="30" t="inlineStr">
        <is>
          <t>Porto Real</t>
        </is>
      </c>
      <c r="C11386" s="30" t="n">
        <v>81832331</v>
      </c>
      <c r="D11386" s="30">
        <f>"43025774000503"</f>
        <v/>
      </c>
      <c r="E11386" s="30" t="inlineStr">
        <is>
          <t>RODOVIARIO BEDIN LTDA</t>
        </is>
      </c>
      <c r="F11386" s="30" t="inlineStr">
        <is>
          <t>2019</t>
        </is>
      </c>
      <c r="G11386" s="40" t="n">
        <v>0</v>
      </c>
    </row>
    <row r="11387" ht="12" customHeight="1">
      <c r="A11387" s="30" t="inlineStr">
        <is>
          <t>POR</t>
        </is>
      </c>
      <c r="B11387" s="30" t="inlineStr">
        <is>
          <t>Porto Real</t>
        </is>
      </c>
      <c r="C11387" s="30" t="n">
        <v>81832331</v>
      </c>
      <c r="D11387" s="30">
        <f>"43025774000503"</f>
        <v/>
      </c>
      <c r="E11387" s="30" t="inlineStr">
        <is>
          <t>RODOVIARIO BEDIN LTDA</t>
        </is>
      </c>
      <c r="F11387" s="30" t="inlineStr">
        <is>
          <t>2020</t>
        </is>
      </c>
      <c r="G11387" s="40" t="n">
        <v>0</v>
      </c>
    </row>
    <row r="11388" ht="12" customHeight="1">
      <c r="A11388" s="30" t="inlineStr">
        <is>
          <t>POR</t>
        </is>
      </c>
      <c r="B11388" s="30" t="inlineStr">
        <is>
          <t>Porto Real</t>
        </is>
      </c>
      <c r="C11388" s="30" t="n">
        <v>81832331</v>
      </c>
      <c r="D11388" s="30">
        <f>"43025774000503"</f>
        <v/>
      </c>
      <c r="E11388" s="30" t="inlineStr">
        <is>
          <t>RODOVIARIO BEDIN LTDA</t>
        </is>
      </c>
      <c r="F11388" s="30" t="inlineStr">
        <is>
          <t>2021</t>
        </is>
      </c>
      <c r="G11388" s="40" t="n">
        <v>0</v>
      </c>
    </row>
    <row r="11389" ht="12" customHeight="1">
      <c r="A11389" s="30" t="inlineStr">
        <is>
          <t>POR</t>
        </is>
      </c>
      <c r="B11389" s="30" t="inlineStr">
        <is>
          <t>Porto Real</t>
        </is>
      </c>
      <c r="C11389" s="30" t="n">
        <v>81832331</v>
      </c>
      <c r="D11389" s="30">
        <f>"43025774000503"</f>
        <v/>
      </c>
      <c r="E11389" s="30" t="inlineStr">
        <is>
          <t>RODOVIARIO BEDIN LTDA</t>
        </is>
      </c>
      <c r="F11389" s="30" t="inlineStr">
        <is>
          <t>2022</t>
        </is>
      </c>
      <c r="G11389" s="40" t="n">
        <v>389.96</v>
      </c>
    </row>
    <row r="11390" ht="12" customHeight="1">
      <c r="A11390" s="30" t="inlineStr">
        <is>
          <t>POR</t>
        </is>
      </c>
      <c r="B11390" s="30" t="inlineStr">
        <is>
          <t>Porto Real</t>
        </is>
      </c>
      <c r="C11390" s="30" t="n">
        <v>81832331</v>
      </c>
      <c r="D11390" s="30">
        <f>"43025774000503"</f>
        <v/>
      </c>
      <c r="E11390" s="30" t="inlineStr">
        <is>
          <t>RODOVIARIO BEDIN LTDA</t>
        </is>
      </c>
      <c r="F11390" s="30" t="inlineStr">
        <is>
          <t>2023</t>
        </is>
      </c>
      <c r="G11390" s="40" t="n">
        <v>1246.84</v>
      </c>
    </row>
    <row r="11391" ht="12" customHeight="1">
      <c r="A11391" s="30" t="inlineStr">
        <is>
          <t>POR</t>
        </is>
      </c>
      <c r="B11391" s="30" t="inlineStr">
        <is>
          <t>Porto Real</t>
        </is>
      </c>
      <c r="C11391" s="30" t="n">
        <v>81853053</v>
      </c>
      <c r="D11391" s="30">
        <f>"17463456000271"</f>
        <v/>
      </c>
      <c r="E11391" s="30" t="inlineStr">
        <is>
          <t>PATRUS TRANSPORTES LTDA</t>
        </is>
      </c>
      <c r="F11391" s="30" t="inlineStr">
        <is>
          <t>2017</t>
        </is>
      </c>
      <c r="G11391" s="40" t="n">
        <v>429.61</v>
      </c>
    </row>
    <row r="11392" ht="12" customHeight="1">
      <c r="A11392" s="30" t="inlineStr">
        <is>
          <t>POR</t>
        </is>
      </c>
      <c r="B11392" s="30" t="inlineStr">
        <is>
          <t>Porto Real</t>
        </is>
      </c>
      <c r="C11392" s="30" t="n">
        <v>81853053</v>
      </c>
      <c r="D11392" s="30">
        <f>"17463456000271"</f>
        <v/>
      </c>
      <c r="E11392" s="30" t="inlineStr">
        <is>
          <t>PATRUS TRANSPORTES LTDA</t>
        </is>
      </c>
      <c r="F11392" s="30" t="inlineStr">
        <is>
          <t>2018</t>
        </is>
      </c>
      <c r="G11392" s="40" t="n">
        <v>792.41</v>
      </c>
    </row>
    <row r="11393" ht="12" customHeight="1">
      <c r="A11393" s="30" t="inlineStr">
        <is>
          <t>POR</t>
        </is>
      </c>
      <c r="B11393" s="30" t="inlineStr">
        <is>
          <t>Porto Real</t>
        </is>
      </c>
      <c r="C11393" s="30" t="n">
        <v>81853053</v>
      </c>
      <c r="D11393" s="30">
        <f>"17463456000271"</f>
        <v/>
      </c>
      <c r="E11393" s="30" t="inlineStr">
        <is>
          <t>PATRUS TRANSPORTES LTDA</t>
        </is>
      </c>
      <c r="F11393" s="30" t="inlineStr">
        <is>
          <t>2019</t>
        </is>
      </c>
      <c r="G11393" s="40" t="n">
        <v>1215.9</v>
      </c>
    </row>
    <row r="11394" ht="12" customHeight="1">
      <c r="A11394" s="30" t="inlineStr">
        <is>
          <t>POR</t>
        </is>
      </c>
      <c r="B11394" s="30" t="inlineStr">
        <is>
          <t>Porto Real</t>
        </is>
      </c>
      <c r="C11394" s="30" t="n">
        <v>81853053</v>
      </c>
      <c r="D11394" s="30">
        <f>"17463456000271"</f>
        <v/>
      </c>
      <c r="E11394" s="30" t="inlineStr">
        <is>
          <t>PATRUS TRANSPORTES LTDA</t>
        </is>
      </c>
      <c r="F11394" s="30" t="inlineStr">
        <is>
          <t>2020</t>
        </is>
      </c>
      <c r="G11394" s="40" t="n">
        <v>792</v>
      </c>
    </row>
    <row r="11395" ht="12" customHeight="1">
      <c r="A11395" s="30" t="inlineStr">
        <is>
          <t>POR</t>
        </is>
      </c>
      <c r="B11395" s="30" t="inlineStr">
        <is>
          <t>Porto Real</t>
        </is>
      </c>
      <c r="C11395" s="30" t="n">
        <v>81853053</v>
      </c>
      <c r="D11395" s="30">
        <f>"17463456000271"</f>
        <v/>
      </c>
      <c r="E11395" s="30" t="inlineStr">
        <is>
          <t>PATRUS TRANSPORTES LTDA</t>
        </is>
      </c>
      <c r="F11395" s="30" t="inlineStr">
        <is>
          <t>2021</t>
        </is>
      </c>
      <c r="G11395" s="40" t="n">
        <v>424.96</v>
      </c>
    </row>
    <row r="11396" ht="12" customHeight="1">
      <c r="A11396" s="30" t="inlineStr">
        <is>
          <t>POR</t>
        </is>
      </c>
      <c r="B11396" s="30" t="inlineStr">
        <is>
          <t>Porto Real</t>
        </is>
      </c>
      <c r="C11396" s="30" t="n">
        <v>81853053</v>
      </c>
      <c r="D11396" s="30">
        <f>"17463456000271"</f>
        <v/>
      </c>
      <c r="E11396" s="30" t="inlineStr">
        <is>
          <t>PATRUS TRANSPORTES LTDA</t>
        </is>
      </c>
      <c r="F11396" s="30" t="inlineStr">
        <is>
          <t>2022</t>
        </is>
      </c>
      <c r="G11396" s="40" t="n">
        <v>688.45</v>
      </c>
    </row>
    <row r="11397" ht="12" customHeight="1">
      <c r="A11397" s="30" t="inlineStr">
        <is>
          <t>POR</t>
        </is>
      </c>
      <c r="B11397" s="30" t="inlineStr">
        <is>
          <t>Porto Real</t>
        </is>
      </c>
      <c r="C11397" s="30" t="n">
        <v>81853053</v>
      </c>
      <c r="D11397" s="30">
        <f>"17463456000271"</f>
        <v/>
      </c>
      <c r="E11397" s="30" t="inlineStr">
        <is>
          <t>PATRUS TRANSPORTES LTDA</t>
        </is>
      </c>
      <c r="F11397" s="30" t="inlineStr">
        <is>
          <t>2023</t>
        </is>
      </c>
      <c r="G11397" s="40" t="n">
        <v>518.97</v>
      </c>
    </row>
    <row r="11398" ht="12" customHeight="1">
      <c r="A11398" s="30" t="inlineStr">
        <is>
          <t>POR</t>
        </is>
      </c>
      <c r="B11398" s="30" t="inlineStr">
        <is>
          <t>Porto Real</t>
        </is>
      </c>
      <c r="C11398" s="30" t="n">
        <v>81919852</v>
      </c>
      <c r="D11398" s="30">
        <f>"76728385000412"</f>
        <v/>
      </c>
      <c r="E11398" s="30" t="inlineStr">
        <is>
          <t>TRANSPORTES DIAMANTE LTDA</t>
        </is>
      </c>
      <c r="F11398" s="30" t="inlineStr">
        <is>
          <t>2017</t>
        </is>
      </c>
      <c r="G11398" s="40" t="n">
        <v>0.13</v>
      </c>
    </row>
    <row r="11399" ht="12" customHeight="1">
      <c r="A11399" s="30" t="inlineStr">
        <is>
          <t>POR</t>
        </is>
      </c>
      <c r="B11399" s="30" t="inlineStr">
        <is>
          <t>Porto Real</t>
        </is>
      </c>
      <c r="C11399" s="30" t="n">
        <v>81919852</v>
      </c>
      <c r="D11399" s="30">
        <f>"76728385000412"</f>
        <v/>
      </c>
      <c r="E11399" s="30" t="inlineStr">
        <is>
          <t>TRANSPORTES DIAMANTE LTDA</t>
        </is>
      </c>
      <c r="F11399" s="30" t="inlineStr">
        <is>
          <t>2018</t>
        </is>
      </c>
      <c r="G11399" s="40" t="n">
        <v>0</v>
      </c>
    </row>
    <row r="11400" ht="12" customHeight="1">
      <c r="A11400" s="30" t="inlineStr">
        <is>
          <t>POR</t>
        </is>
      </c>
      <c r="B11400" s="30" t="inlineStr">
        <is>
          <t>Porto Real</t>
        </is>
      </c>
      <c r="C11400" s="30" t="n">
        <v>81919852</v>
      </c>
      <c r="D11400" s="30">
        <f>"76728385000412"</f>
        <v/>
      </c>
      <c r="E11400" s="30" t="inlineStr">
        <is>
          <t>TRANSPORTES DIAMANTE LTDA</t>
        </is>
      </c>
      <c r="F11400" s="30" t="inlineStr">
        <is>
          <t>2019</t>
        </is>
      </c>
      <c r="G11400" s="40" t="n">
        <v>0</v>
      </c>
    </row>
    <row r="11401" ht="12" customHeight="1">
      <c r="A11401" s="30" t="inlineStr">
        <is>
          <t>POR</t>
        </is>
      </c>
      <c r="B11401" s="30" t="inlineStr">
        <is>
          <t>Porto Real</t>
        </is>
      </c>
      <c r="C11401" s="30" t="n">
        <v>81923930</v>
      </c>
      <c r="D11401" s="30">
        <f>"29863420000426"</f>
        <v/>
      </c>
      <c r="E11401" s="30" t="inlineStr">
        <is>
          <t>EXPRESSO PREDILETO, TRANSPORTES, LOGISTICA E ARMAZENAGEM LTDA EPP</t>
        </is>
      </c>
      <c r="F11401" s="30" t="inlineStr">
        <is>
          <t>2017</t>
        </is>
      </c>
      <c r="G11401" s="40" t="n">
        <v>0</v>
      </c>
    </row>
    <row r="11402" ht="12" customHeight="1">
      <c r="A11402" s="30" t="inlineStr">
        <is>
          <t>POR</t>
        </is>
      </c>
      <c r="B11402" s="30" t="inlineStr">
        <is>
          <t>Porto Real</t>
        </is>
      </c>
      <c r="C11402" s="30" t="n">
        <v>81923930</v>
      </c>
      <c r="D11402" s="30">
        <f>"29863420000426"</f>
        <v/>
      </c>
      <c r="E11402" s="30" t="inlineStr">
        <is>
          <t>EXPRESSO PREDILETO, TRANSPORTES, LOGISTICA E ARMAZENAGEM LTDA EPP</t>
        </is>
      </c>
      <c r="F11402" s="30" t="inlineStr">
        <is>
          <t>2018</t>
        </is>
      </c>
      <c r="G11402" s="40" t="n">
        <v>5769.85</v>
      </c>
    </row>
    <row r="11403" ht="12" customHeight="1">
      <c r="A11403" s="30" t="inlineStr">
        <is>
          <t>POR</t>
        </is>
      </c>
      <c r="B11403" s="30" t="inlineStr">
        <is>
          <t>Porto Real</t>
        </is>
      </c>
      <c r="C11403" s="30" t="n">
        <v>81923930</v>
      </c>
      <c r="D11403" s="30">
        <f>"29863420000426"</f>
        <v/>
      </c>
      <c r="E11403" s="30" t="inlineStr">
        <is>
          <t>EXPRESSO PREDILETO, TRANSPORTES, LOGISTICA E ARMAZENAGEM LTDA EPP</t>
        </is>
      </c>
      <c r="F11403" s="30" t="inlineStr">
        <is>
          <t>2019</t>
        </is>
      </c>
      <c r="G11403" s="40" t="n">
        <v>559.38</v>
      </c>
    </row>
    <row r="11404" ht="12" customHeight="1">
      <c r="A11404" s="30" t="inlineStr">
        <is>
          <t>POR</t>
        </is>
      </c>
      <c r="B11404" s="30" t="inlineStr">
        <is>
          <t>Porto Real</t>
        </is>
      </c>
      <c r="C11404" s="30" t="n">
        <v>81923930</v>
      </c>
      <c r="D11404" s="30">
        <f>"29863420000426"</f>
        <v/>
      </c>
      <c r="E11404" s="30" t="inlineStr">
        <is>
          <t>EXPRESSO PREDILETO, TRANSPORTES, LOGISTICA E ARMAZENAGEM LTDA EPP</t>
        </is>
      </c>
      <c r="F11404" s="30" t="inlineStr">
        <is>
          <t>2020</t>
        </is>
      </c>
      <c r="G11404" s="40" t="n">
        <v>0</v>
      </c>
    </row>
    <row r="11405" ht="12" customHeight="1">
      <c r="A11405" s="30" t="inlineStr">
        <is>
          <t>POR</t>
        </is>
      </c>
      <c r="B11405" s="30" t="inlineStr">
        <is>
          <t>Porto Real</t>
        </is>
      </c>
      <c r="C11405" s="30" t="n">
        <v>81923930</v>
      </c>
      <c r="D11405" s="30">
        <f>"29863420000426"</f>
        <v/>
      </c>
      <c r="E11405" s="30" t="inlineStr">
        <is>
          <t>EXPRESSO PREDILETO, TRANSPORTES, LOGISTICA E ARMAZENAGEM LTDA EPP</t>
        </is>
      </c>
      <c r="F11405" s="30" t="inlineStr">
        <is>
          <t>2021</t>
        </is>
      </c>
      <c r="G11405" s="40" t="n">
        <v>0</v>
      </c>
    </row>
    <row r="11406" ht="12" customHeight="1">
      <c r="A11406" s="30" t="inlineStr">
        <is>
          <t>POR</t>
        </is>
      </c>
      <c r="B11406" s="30" t="inlineStr">
        <is>
          <t>Porto Real</t>
        </is>
      </c>
      <c r="C11406" s="30" t="n">
        <v>81926743</v>
      </c>
      <c r="D11406" s="30">
        <f>"20147617001113"</f>
        <v/>
      </c>
      <c r="E11406" s="30" t="inlineStr">
        <is>
          <t>JAMEF TRANSPORTES EIRELI</t>
        </is>
      </c>
      <c r="F11406" s="30" t="inlineStr">
        <is>
          <t>2017</t>
        </is>
      </c>
      <c r="G11406" s="40" t="n">
        <v>1463.31</v>
      </c>
    </row>
    <row r="11407" ht="12" customHeight="1">
      <c r="A11407" s="30" t="inlineStr">
        <is>
          <t>POR</t>
        </is>
      </c>
      <c r="B11407" s="30" t="inlineStr">
        <is>
          <t>Porto Real</t>
        </is>
      </c>
      <c r="C11407" s="30" t="n">
        <v>81926743</v>
      </c>
      <c r="D11407" s="30">
        <f>"20147617001113"</f>
        <v/>
      </c>
      <c r="E11407" s="30" t="inlineStr">
        <is>
          <t>JAMEF TRANSPORTES EIRELI</t>
        </is>
      </c>
      <c r="F11407" s="30" t="inlineStr">
        <is>
          <t>2018</t>
        </is>
      </c>
      <c r="G11407" s="40" t="n">
        <v>1395.43</v>
      </c>
    </row>
    <row r="11408" ht="12" customHeight="1">
      <c r="A11408" s="30" t="inlineStr">
        <is>
          <t>POR</t>
        </is>
      </c>
      <c r="B11408" s="30" t="inlineStr">
        <is>
          <t>Porto Real</t>
        </is>
      </c>
      <c r="C11408" s="30" t="n">
        <v>81926743</v>
      </c>
      <c r="D11408" s="30">
        <f>"20147617001113"</f>
        <v/>
      </c>
      <c r="E11408" s="30" t="inlineStr">
        <is>
          <t>JAMEF TRANSPORTES EIRELI</t>
        </is>
      </c>
      <c r="F11408" s="30" t="inlineStr">
        <is>
          <t>2019</t>
        </is>
      </c>
      <c r="G11408" s="40" t="n">
        <v>1203.67</v>
      </c>
    </row>
    <row r="11409" ht="12" customHeight="1">
      <c r="A11409" s="30" t="inlineStr">
        <is>
          <t>POR</t>
        </is>
      </c>
      <c r="B11409" s="30" t="inlineStr">
        <is>
          <t>Porto Real</t>
        </is>
      </c>
      <c r="C11409" s="30" t="n">
        <v>81926743</v>
      </c>
      <c r="D11409" s="30">
        <f>"20147617001113"</f>
        <v/>
      </c>
      <c r="E11409" s="30" t="inlineStr">
        <is>
          <t>JAMEF TRANSPORTES EIRELI</t>
        </is>
      </c>
      <c r="F11409" s="30" t="inlineStr">
        <is>
          <t>2020</t>
        </is>
      </c>
      <c r="G11409" s="40" t="n">
        <v>3816.32</v>
      </c>
    </row>
    <row r="11410" ht="12" customHeight="1">
      <c r="A11410" s="30" t="inlineStr">
        <is>
          <t>POR</t>
        </is>
      </c>
      <c r="B11410" s="30" t="inlineStr">
        <is>
          <t>Porto Real</t>
        </is>
      </c>
      <c r="C11410" s="30" t="n">
        <v>81926743</v>
      </c>
      <c r="D11410" s="30">
        <f>"20147617001113"</f>
        <v/>
      </c>
      <c r="E11410" s="30" t="inlineStr">
        <is>
          <t>JAMEF TRANSPORTES EIRELI</t>
        </is>
      </c>
      <c r="F11410" s="30" t="inlineStr">
        <is>
          <t>2021</t>
        </is>
      </c>
      <c r="G11410" s="40" t="n">
        <v>3191.92</v>
      </c>
    </row>
    <row r="11411" ht="12" customHeight="1">
      <c r="A11411" s="30" t="inlineStr">
        <is>
          <t>POR</t>
        </is>
      </c>
      <c r="B11411" s="30" t="inlineStr">
        <is>
          <t>Porto Real</t>
        </is>
      </c>
      <c r="C11411" s="30" t="n">
        <v>81926743</v>
      </c>
      <c r="D11411" s="30">
        <f>"20147617001113"</f>
        <v/>
      </c>
      <c r="E11411" s="30" t="inlineStr">
        <is>
          <t>JAMEF TRANSPORTES EIRELI</t>
        </is>
      </c>
      <c r="F11411" s="30" t="inlineStr">
        <is>
          <t>2022</t>
        </is>
      </c>
      <c r="G11411" s="40" t="n">
        <v>2011.32</v>
      </c>
    </row>
    <row r="11412" ht="12" customHeight="1">
      <c r="A11412" s="30" t="inlineStr">
        <is>
          <t>POR</t>
        </is>
      </c>
      <c r="B11412" s="30" t="inlineStr">
        <is>
          <t>Porto Real</t>
        </is>
      </c>
      <c r="C11412" s="30" t="n">
        <v>81926743</v>
      </c>
      <c r="D11412" s="30">
        <f>"20147617001113"</f>
        <v/>
      </c>
      <c r="E11412" s="30" t="inlineStr">
        <is>
          <t>JAMEF TRANSPORTES EIRELI</t>
        </is>
      </c>
      <c r="F11412" s="30" t="inlineStr">
        <is>
          <t>2023</t>
        </is>
      </c>
      <c r="G11412" s="40" t="n">
        <v>5429.44</v>
      </c>
    </row>
    <row r="11413" ht="12" customHeight="1">
      <c r="A11413" s="30" t="inlineStr">
        <is>
          <t>POR</t>
        </is>
      </c>
      <c r="B11413" s="30" t="inlineStr">
        <is>
          <t>Porto Real</t>
        </is>
      </c>
      <c r="C11413" s="30" t="n">
        <v>82496904</v>
      </c>
      <c r="D11413" s="30">
        <f>"28120046000163"</f>
        <v/>
      </c>
      <c r="E11413" s="30" t="inlineStr">
        <is>
          <t>SHIP'S MOTEL LTDA</t>
        </is>
      </c>
      <c r="F11413" s="30" t="inlineStr">
        <is>
          <t>2017</t>
        </is>
      </c>
      <c r="G11413" s="40" t="n">
        <v>0</v>
      </c>
    </row>
    <row r="11414" ht="12" customHeight="1">
      <c r="A11414" s="30" t="inlineStr">
        <is>
          <t>POR</t>
        </is>
      </c>
      <c r="B11414" s="30" t="inlineStr">
        <is>
          <t>Porto Real</t>
        </is>
      </c>
      <c r="C11414" s="30" t="n">
        <v>82496904</v>
      </c>
      <c r="D11414" s="30">
        <f>"28120046000163"</f>
        <v/>
      </c>
      <c r="E11414" s="30" t="inlineStr">
        <is>
          <t>SHIP'S MOTEL LTDA</t>
        </is>
      </c>
      <c r="F11414" s="30" t="inlineStr">
        <is>
          <t>2018</t>
        </is>
      </c>
      <c r="G11414" s="40" t="n">
        <v>6100</v>
      </c>
    </row>
    <row r="11415" ht="12" customHeight="1">
      <c r="A11415" s="30" t="inlineStr">
        <is>
          <t>POR</t>
        </is>
      </c>
      <c r="B11415" s="30" t="inlineStr">
        <is>
          <t>Porto Real</t>
        </is>
      </c>
      <c r="C11415" s="30" t="n">
        <v>82496904</v>
      </c>
      <c r="D11415" s="30">
        <f>"28120046000163"</f>
        <v/>
      </c>
      <c r="E11415" s="30" t="inlineStr">
        <is>
          <t>SHIP'S MOTEL LTDA</t>
        </is>
      </c>
      <c r="F11415" s="30" t="inlineStr">
        <is>
          <t>2019</t>
        </is>
      </c>
      <c r="G11415" s="40" t="n">
        <v>0</v>
      </c>
    </row>
    <row r="11416" ht="12" customHeight="1">
      <c r="A11416" s="30" t="inlineStr">
        <is>
          <t>POR</t>
        </is>
      </c>
      <c r="B11416" s="30" t="inlineStr">
        <is>
          <t>Porto Real</t>
        </is>
      </c>
      <c r="C11416" s="30" t="n">
        <v>82496904</v>
      </c>
      <c r="D11416" s="30">
        <f>"28120046000163"</f>
        <v/>
      </c>
      <c r="E11416" s="30" t="inlineStr">
        <is>
          <t>SHIP'S MOTEL LTDA</t>
        </is>
      </c>
      <c r="F11416" s="30" t="inlineStr">
        <is>
          <t>2020</t>
        </is>
      </c>
      <c r="G11416" s="40" t="n">
        <v>0</v>
      </c>
    </row>
    <row r="11417" ht="12" customHeight="1">
      <c r="A11417" s="30" t="inlineStr">
        <is>
          <t>POR</t>
        </is>
      </c>
      <c r="B11417" s="30" t="inlineStr">
        <is>
          <t>Porto Real</t>
        </is>
      </c>
      <c r="C11417" s="30" t="n">
        <v>82496904</v>
      </c>
      <c r="D11417" s="30">
        <f>"28120046000163"</f>
        <v/>
      </c>
      <c r="E11417" s="30" t="inlineStr">
        <is>
          <t>SHIP'S MOTEL LTDA</t>
        </is>
      </c>
      <c r="F11417" s="30" t="inlineStr">
        <is>
          <t>2021</t>
        </is>
      </c>
      <c r="G11417" s="40" t="n">
        <v>0</v>
      </c>
    </row>
    <row r="11418" ht="12" customHeight="1">
      <c r="A11418" s="30" t="inlineStr">
        <is>
          <t>POR</t>
        </is>
      </c>
      <c r="B11418" s="30" t="inlineStr">
        <is>
          <t>Porto Real</t>
        </is>
      </c>
      <c r="C11418" s="30" t="n">
        <v>82496904</v>
      </c>
      <c r="D11418" s="30">
        <f>"28120046000163"</f>
        <v/>
      </c>
      <c r="E11418" s="30" t="inlineStr">
        <is>
          <t>SHIP'S MOTEL LTDA</t>
        </is>
      </c>
      <c r="F11418" s="30" t="inlineStr">
        <is>
          <t>2022</t>
        </is>
      </c>
      <c r="G11418" s="40" t="n">
        <v>0</v>
      </c>
    </row>
    <row r="11419" ht="12" customHeight="1">
      <c r="A11419" s="30" t="inlineStr">
        <is>
          <t>POR</t>
        </is>
      </c>
      <c r="B11419" s="30" t="inlineStr">
        <is>
          <t>Porto Real</t>
        </is>
      </c>
      <c r="C11419" s="30" t="n">
        <v>82496904</v>
      </c>
      <c r="D11419" s="30">
        <f>"28120046000163"</f>
        <v/>
      </c>
      <c r="E11419" s="30" t="inlineStr">
        <is>
          <t>SHIP'S MOTEL LTDA</t>
        </is>
      </c>
      <c r="F11419" s="30" t="inlineStr">
        <is>
          <t>2023</t>
        </is>
      </c>
      <c r="G11419" s="40" t="n">
        <v>0</v>
      </c>
    </row>
    <row r="11420" ht="12" customHeight="1">
      <c r="A11420" s="30" t="inlineStr">
        <is>
          <t>POR</t>
        </is>
      </c>
      <c r="B11420" s="30" t="inlineStr">
        <is>
          <t>Porto Real</t>
        </is>
      </c>
      <c r="C11420" s="30" t="n">
        <v>82628878</v>
      </c>
      <c r="D11420" s="30">
        <f>"28670958000109"</f>
        <v/>
      </c>
      <c r="E11420" s="30" t="inlineStr">
        <is>
          <t>VIACAO CIDADE DO ACO LTDA</t>
        </is>
      </c>
      <c r="F11420" s="30" t="inlineStr">
        <is>
          <t>2017</t>
        </is>
      </c>
      <c r="G11420" s="40" t="n">
        <v>21490.4</v>
      </c>
    </row>
    <row r="11421" ht="12" customHeight="1">
      <c r="A11421" s="30" t="inlineStr">
        <is>
          <t>POR</t>
        </is>
      </c>
      <c r="B11421" s="30" t="inlineStr">
        <is>
          <t>Porto Real</t>
        </is>
      </c>
      <c r="C11421" s="30" t="n">
        <v>82628878</v>
      </c>
      <c r="D11421" s="30">
        <f>"28670958000109"</f>
        <v/>
      </c>
      <c r="E11421" s="30" t="inlineStr">
        <is>
          <t>VIACAO CIDADE DO ACO LTDA</t>
        </is>
      </c>
      <c r="F11421" s="30" t="inlineStr">
        <is>
          <t>2018</t>
        </is>
      </c>
      <c r="G11421" s="40" t="n">
        <v>21103.84</v>
      </c>
    </row>
    <row r="11422" ht="12" customHeight="1">
      <c r="A11422" s="30" t="inlineStr">
        <is>
          <t>POR</t>
        </is>
      </c>
      <c r="B11422" s="30" t="inlineStr">
        <is>
          <t>Porto Real</t>
        </is>
      </c>
      <c r="C11422" s="30" t="n">
        <v>82628878</v>
      </c>
      <c r="D11422" s="30">
        <f>"28670958000109"</f>
        <v/>
      </c>
      <c r="E11422" s="30" t="inlineStr">
        <is>
          <t>VIACAO CIDADE DO ACO LTDA</t>
        </is>
      </c>
      <c r="F11422" s="30" t="inlineStr">
        <is>
          <t>2019</t>
        </is>
      </c>
      <c r="G11422" s="40" t="n">
        <v>21241.36</v>
      </c>
    </row>
    <row r="11423" ht="12" customHeight="1">
      <c r="A11423" s="30" t="inlineStr">
        <is>
          <t>POR</t>
        </is>
      </c>
      <c r="B11423" s="30" t="inlineStr">
        <is>
          <t>Porto Real</t>
        </is>
      </c>
      <c r="C11423" s="30" t="n">
        <v>82628878</v>
      </c>
      <c r="D11423" s="30">
        <f>"28670958000109"</f>
        <v/>
      </c>
      <c r="E11423" s="30" t="inlineStr">
        <is>
          <t>VIACAO CIDADE DO ACO LTDA</t>
        </is>
      </c>
      <c r="F11423" s="30" t="inlineStr">
        <is>
          <t>2020</t>
        </is>
      </c>
      <c r="G11423" s="40" t="n">
        <v>4469</v>
      </c>
    </row>
    <row r="11424" ht="12" customHeight="1">
      <c r="A11424" s="30" t="inlineStr">
        <is>
          <t>POR</t>
        </is>
      </c>
      <c r="B11424" s="30" t="inlineStr">
        <is>
          <t>Porto Real</t>
        </is>
      </c>
      <c r="C11424" s="30" t="n">
        <v>82628878</v>
      </c>
      <c r="D11424" s="30">
        <f>"28670958000109"</f>
        <v/>
      </c>
      <c r="E11424" s="30" t="inlineStr">
        <is>
          <t>VIACAO CIDADE DO ACO LTDA</t>
        </is>
      </c>
      <c r="F11424" s="30" t="inlineStr">
        <is>
          <t>2021</t>
        </is>
      </c>
      <c r="G11424" s="40" t="n">
        <v>0</v>
      </c>
    </row>
    <row r="11425" ht="12" customHeight="1">
      <c r="A11425" s="30" t="inlineStr">
        <is>
          <t>POR</t>
        </is>
      </c>
      <c r="B11425" s="30" t="inlineStr">
        <is>
          <t>Porto Real</t>
        </is>
      </c>
      <c r="C11425" s="30" t="n">
        <v>82628878</v>
      </c>
      <c r="D11425" s="30">
        <f>"28670958000109"</f>
        <v/>
      </c>
      <c r="E11425" s="30" t="inlineStr">
        <is>
          <t>VIACAO CIDADE DO ACO LTDA</t>
        </is>
      </c>
      <c r="F11425" s="30" t="inlineStr">
        <is>
          <t>2022</t>
        </is>
      </c>
      <c r="G11425" s="40" t="n">
        <v>0</v>
      </c>
    </row>
    <row r="11426" ht="12" customHeight="1">
      <c r="A11426" s="30" t="inlineStr">
        <is>
          <t>POR</t>
        </is>
      </c>
      <c r="B11426" s="30" t="inlineStr">
        <is>
          <t>Porto Real</t>
        </is>
      </c>
      <c r="C11426" s="30" t="n">
        <v>82633421</v>
      </c>
      <c r="D11426" s="30">
        <f>"29291184000844"</f>
        <v/>
      </c>
      <c r="E11426" s="30" t="inlineStr">
        <is>
          <t>TRANSPORTES TONIATO LTDA</t>
        </is>
      </c>
      <c r="F11426" s="30" t="inlineStr">
        <is>
          <t>2017</t>
        </is>
      </c>
      <c r="G11426" s="40" t="n">
        <v>537685.26</v>
      </c>
    </row>
    <row r="11427" ht="12" customHeight="1">
      <c r="A11427" s="30" t="inlineStr">
        <is>
          <t>POR</t>
        </is>
      </c>
      <c r="B11427" s="30" t="inlineStr">
        <is>
          <t>Porto Real</t>
        </is>
      </c>
      <c r="C11427" s="30" t="n">
        <v>82633421</v>
      </c>
      <c r="D11427" s="30">
        <f>"29291184000844"</f>
        <v/>
      </c>
      <c r="E11427" s="30" t="inlineStr">
        <is>
          <t>TRANSPORTES TONIATO LTDA</t>
        </is>
      </c>
      <c r="F11427" s="30" t="inlineStr">
        <is>
          <t>2018</t>
        </is>
      </c>
      <c r="G11427" s="40" t="n">
        <v>529297.4399999999</v>
      </c>
    </row>
    <row r="11428" ht="12" customHeight="1">
      <c r="A11428" s="30" t="inlineStr">
        <is>
          <t>POR</t>
        </is>
      </c>
      <c r="B11428" s="30" t="inlineStr">
        <is>
          <t>Porto Real</t>
        </is>
      </c>
      <c r="C11428" s="30" t="n">
        <v>82633421</v>
      </c>
      <c r="D11428" s="30">
        <f>"29291184000844"</f>
        <v/>
      </c>
      <c r="E11428" s="30" t="inlineStr">
        <is>
          <t>TRANSPORTES TONIATO LTDA</t>
        </is>
      </c>
      <c r="F11428" s="30" t="inlineStr">
        <is>
          <t>2019</t>
        </is>
      </c>
      <c r="G11428" s="40" t="n">
        <v>448251.7</v>
      </c>
    </row>
    <row r="11429" ht="12" customHeight="1">
      <c r="A11429" s="30" t="inlineStr">
        <is>
          <t>POR</t>
        </is>
      </c>
      <c r="B11429" s="30" t="inlineStr">
        <is>
          <t>Porto Real</t>
        </is>
      </c>
      <c r="C11429" s="30" t="n">
        <v>82633421</v>
      </c>
      <c r="D11429" s="30">
        <f>"29291184000844"</f>
        <v/>
      </c>
      <c r="E11429" s="30" t="inlineStr">
        <is>
          <t>TRANSPORTES TONIATO LTDA</t>
        </is>
      </c>
      <c r="F11429" s="30" t="inlineStr">
        <is>
          <t>2020</t>
        </is>
      </c>
      <c r="G11429" s="40" t="n">
        <v>330751.17</v>
      </c>
    </row>
    <row r="11430" ht="12" customHeight="1">
      <c r="A11430" s="30" t="inlineStr">
        <is>
          <t>POR</t>
        </is>
      </c>
      <c r="B11430" s="30" t="inlineStr">
        <is>
          <t>Porto Real</t>
        </is>
      </c>
      <c r="C11430" s="30" t="n">
        <v>82633421</v>
      </c>
      <c r="D11430" s="30">
        <f>"29291184000844"</f>
        <v/>
      </c>
      <c r="E11430" s="30" t="inlineStr">
        <is>
          <t>TRANSPORTES TONIATO LTDA</t>
        </is>
      </c>
      <c r="F11430" s="30" t="inlineStr">
        <is>
          <t>2021</t>
        </is>
      </c>
      <c r="G11430" s="40" t="n">
        <v>364785.47</v>
      </c>
    </row>
    <row r="11431" ht="12" customHeight="1">
      <c r="A11431" s="30" t="inlineStr">
        <is>
          <t>POR</t>
        </is>
      </c>
      <c r="B11431" s="30" t="inlineStr">
        <is>
          <t>Porto Real</t>
        </is>
      </c>
      <c r="C11431" s="30" t="n">
        <v>82633421</v>
      </c>
      <c r="D11431" s="30">
        <f>"29291184000844"</f>
        <v/>
      </c>
      <c r="E11431" s="30" t="inlineStr">
        <is>
          <t>TRANSPORTES TONIATO LTDA</t>
        </is>
      </c>
      <c r="F11431" s="30" t="inlineStr">
        <is>
          <t>2022</t>
        </is>
      </c>
      <c r="G11431" s="40" t="n">
        <v>328425.19</v>
      </c>
    </row>
    <row r="11432" ht="12" customHeight="1">
      <c r="A11432" s="30" t="inlineStr">
        <is>
          <t>POR</t>
        </is>
      </c>
      <c r="B11432" s="30" t="inlineStr">
        <is>
          <t>Porto Real</t>
        </is>
      </c>
      <c r="C11432" s="30" t="n">
        <v>82633421</v>
      </c>
      <c r="D11432" s="30">
        <f>"29291184000844"</f>
        <v/>
      </c>
      <c r="E11432" s="30" t="inlineStr">
        <is>
          <t>TRANSPORTES TONIATO LTDA</t>
        </is>
      </c>
      <c r="F11432" s="30" t="inlineStr">
        <is>
          <t>2023</t>
        </is>
      </c>
      <c r="G11432" s="40" t="n">
        <v>390017.39</v>
      </c>
    </row>
    <row r="11433" ht="12" customHeight="1">
      <c r="A11433" s="30" t="inlineStr">
        <is>
          <t>POR</t>
        </is>
      </c>
      <c r="B11433" s="30" t="inlineStr">
        <is>
          <t>Porto Real</t>
        </is>
      </c>
      <c r="C11433" s="30" t="n">
        <v>82669949</v>
      </c>
      <c r="D11433" s="30">
        <f>"28372613000179"</f>
        <v/>
      </c>
      <c r="E11433" s="30" t="inlineStr">
        <is>
          <t>QUIMINVEST INDUSTRIA E COMERCIO LTDA</t>
        </is>
      </c>
      <c r="F11433" s="30" t="inlineStr">
        <is>
          <t>2017</t>
        </is>
      </c>
      <c r="G11433" s="40" t="n">
        <v>28569441.35</v>
      </c>
    </row>
    <row r="11434" ht="12" customHeight="1">
      <c r="A11434" s="30" t="inlineStr">
        <is>
          <t>POR</t>
        </is>
      </c>
      <c r="B11434" s="30" t="inlineStr">
        <is>
          <t>Porto Real</t>
        </is>
      </c>
      <c r="C11434" s="30" t="n">
        <v>82669949</v>
      </c>
      <c r="D11434" s="30">
        <f>"28372613000179"</f>
        <v/>
      </c>
      <c r="E11434" s="30" t="inlineStr">
        <is>
          <t>QUIMINVEST INDUSTRIA E COMERCIO LTDA</t>
        </is>
      </c>
      <c r="F11434" s="30" t="inlineStr">
        <is>
          <t>2018</t>
        </is>
      </c>
      <c r="G11434" s="40" t="n">
        <v>37166737.54</v>
      </c>
    </row>
    <row r="11435" ht="12" customHeight="1">
      <c r="A11435" s="30" t="inlineStr">
        <is>
          <t>POR</t>
        </is>
      </c>
      <c r="B11435" s="30" t="inlineStr">
        <is>
          <t>Porto Real</t>
        </is>
      </c>
      <c r="C11435" s="30" t="n">
        <v>82669949</v>
      </c>
      <c r="D11435" s="30">
        <f>"28372613000179"</f>
        <v/>
      </c>
      <c r="E11435" s="30" t="inlineStr">
        <is>
          <t>QUIMINVEST INDUSTRIA E COMERCIO LTDA</t>
        </is>
      </c>
      <c r="F11435" s="30" t="inlineStr">
        <is>
          <t>2019</t>
        </is>
      </c>
      <c r="G11435" s="40" t="n">
        <v>26583005.07</v>
      </c>
    </row>
    <row r="11436" ht="12" customHeight="1">
      <c r="A11436" s="30" t="inlineStr">
        <is>
          <t>POR</t>
        </is>
      </c>
      <c r="B11436" s="30" t="inlineStr">
        <is>
          <t>Porto Real</t>
        </is>
      </c>
      <c r="C11436" s="30" t="n">
        <v>82669949</v>
      </c>
      <c r="D11436" s="30">
        <f>"28372613000179"</f>
        <v/>
      </c>
      <c r="E11436" s="30" t="inlineStr">
        <is>
          <t>QUIMINVEST INDUSTRIA E COMERCIO LTDA</t>
        </is>
      </c>
      <c r="F11436" s="30" t="inlineStr">
        <is>
          <t>2020</t>
        </is>
      </c>
      <c r="G11436" s="40" t="n">
        <v>26495901.36</v>
      </c>
    </row>
    <row r="11437" ht="12" customHeight="1">
      <c r="A11437" s="30" t="inlineStr">
        <is>
          <t>POR</t>
        </is>
      </c>
      <c r="B11437" s="30" t="inlineStr">
        <is>
          <t>Porto Real</t>
        </is>
      </c>
      <c r="C11437" s="30" t="n">
        <v>82669949</v>
      </c>
      <c r="D11437" s="30">
        <f>"28372613000179"</f>
        <v/>
      </c>
      <c r="E11437" s="30" t="inlineStr">
        <is>
          <t>QUIMINVEST INDUSTRIA E COMERCIO LTDA</t>
        </is>
      </c>
      <c r="F11437" s="30" t="inlineStr">
        <is>
          <t>2021</t>
        </is>
      </c>
      <c r="G11437" s="40" t="n">
        <v>35905315.49</v>
      </c>
    </row>
    <row r="11438" ht="12" customHeight="1">
      <c r="A11438" s="30" t="inlineStr">
        <is>
          <t>POR</t>
        </is>
      </c>
      <c r="B11438" s="30" t="inlineStr">
        <is>
          <t>Porto Real</t>
        </is>
      </c>
      <c r="C11438" s="30" t="n">
        <v>82669949</v>
      </c>
      <c r="D11438" s="30">
        <f>"28372613000179"</f>
        <v/>
      </c>
      <c r="E11438" s="30" t="inlineStr">
        <is>
          <t>QUIMINVEST INDUSTRIA E COMERCIO LTDA</t>
        </is>
      </c>
      <c r="F11438" s="30" t="inlineStr">
        <is>
          <t>2022</t>
        </is>
      </c>
      <c r="G11438" s="40" t="n">
        <v>34287052.61</v>
      </c>
    </row>
    <row r="11439" ht="12" customHeight="1">
      <c r="A11439" s="30" t="inlineStr">
        <is>
          <t>POR</t>
        </is>
      </c>
      <c r="B11439" s="30" t="inlineStr">
        <is>
          <t>Porto Real</t>
        </is>
      </c>
      <c r="C11439" s="30" t="n">
        <v>82669949</v>
      </c>
      <c r="D11439" s="30">
        <f>"28372613000179"</f>
        <v/>
      </c>
      <c r="E11439" s="30" t="inlineStr">
        <is>
          <t>QUIMINVEST INDUSTRIA E COMERCIO LTDA</t>
        </is>
      </c>
      <c r="F11439" s="30" t="inlineStr">
        <is>
          <t>2023</t>
        </is>
      </c>
      <c r="G11439" s="40" t="n">
        <v>36816033.9</v>
      </c>
    </row>
    <row r="11440" ht="12" customHeight="1">
      <c r="A11440" s="30" t="inlineStr">
        <is>
          <t>POR</t>
        </is>
      </c>
      <c r="B11440" s="30" t="inlineStr">
        <is>
          <t>Porto Real</t>
        </is>
      </c>
      <c r="C11440" s="30" t="n">
        <v>82746978</v>
      </c>
      <c r="D11440" s="30">
        <f>"31045354000186"</f>
        <v/>
      </c>
      <c r="E11440" s="30" t="inlineStr">
        <is>
          <t>LATICINIOS PEDRA SELADA LTDA</t>
        </is>
      </c>
      <c r="F11440" s="30" t="inlineStr">
        <is>
          <t>2017</t>
        </is>
      </c>
      <c r="G11440" s="40" t="n">
        <v>167582.11</v>
      </c>
    </row>
    <row r="11441" ht="12" customHeight="1">
      <c r="A11441" s="30" t="inlineStr">
        <is>
          <t>POR</t>
        </is>
      </c>
      <c r="B11441" s="30" t="inlineStr">
        <is>
          <t>Porto Real</t>
        </is>
      </c>
      <c r="C11441" s="30" t="n">
        <v>82746978</v>
      </c>
      <c r="D11441" s="30">
        <f>"31045354000186"</f>
        <v/>
      </c>
      <c r="E11441" s="30" t="inlineStr">
        <is>
          <t>LATICINIOS PEDRA SELADA LTDA</t>
        </is>
      </c>
      <c r="F11441" s="30" t="inlineStr">
        <is>
          <t>2018</t>
        </is>
      </c>
      <c r="G11441" s="40" t="n">
        <v>150340.71</v>
      </c>
    </row>
    <row r="11442" ht="12" customHeight="1">
      <c r="A11442" s="30" t="inlineStr">
        <is>
          <t>POR</t>
        </is>
      </c>
      <c r="B11442" s="30" t="inlineStr">
        <is>
          <t>Porto Real</t>
        </is>
      </c>
      <c r="C11442" s="30" t="n">
        <v>82746978</v>
      </c>
      <c r="D11442" s="30">
        <f>"31045354000186"</f>
        <v/>
      </c>
      <c r="E11442" s="30" t="inlineStr">
        <is>
          <t>LATICINIOS PEDRA SELADA LTDA</t>
        </is>
      </c>
      <c r="F11442" s="30" t="inlineStr">
        <is>
          <t>2019</t>
        </is>
      </c>
      <c r="G11442" s="40" t="n">
        <v>113573.12</v>
      </c>
    </row>
    <row r="11443" ht="12" customHeight="1">
      <c r="A11443" s="30" t="inlineStr">
        <is>
          <t>POR</t>
        </is>
      </c>
      <c r="B11443" s="30" t="inlineStr">
        <is>
          <t>Porto Real</t>
        </is>
      </c>
      <c r="C11443" s="30" t="n">
        <v>82746978</v>
      </c>
      <c r="D11443" s="30">
        <f>"31045354000186"</f>
        <v/>
      </c>
      <c r="E11443" s="30" t="inlineStr">
        <is>
          <t>LATICINIOS PEDRA SELADA LTDA</t>
        </is>
      </c>
      <c r="F11443" s="30" t="inlineStr">
        <is>
          <t>2020</t>
        </is>
      </c>
      <c r="G11443" s="40" t="n">
        <v>88521.23</v>
      </c>
    </row>
    <row r="11444" ht="12" customHeight="1">
      <c r="A11444" s="30" t="inlineStr">
        <is>
          <t>POR</t>
        </is>
      </c>
      <c r="B11444" s="30" t="inlineStr">
        <is>
          <t>Porto Real</t>
        </is>
      </c>
      <c r="C11444" s="30" t="n">
        <v>82746978</v>
      </c>
      <c r="D11444" s="30">
        <f>"31045354000186"</f>
        <v/>
      </c>
      <c r="E11444" s="30" t="inlineStr">
        <is>
          <t>LATICINIOS PEDRA SELADA LTDA</t>
        </is>
      </c>
      <c r="F11444" s="30" t="inlineStr">
        <is>
          <t>2021</t>
        </is>
      </c>
      <c r="G11444" s="40" t="n">
        <v>103987.26</v>
      </c>
    </row>
    <row r="11445" ht="12" customHeight="1">
      <c r="A11445" s="30" t="inlineStr">
        <is>
          <t>POR</t>
        </is>
      </c>
      <c r="B11445" s="30" t="inlineStr">
        <is>
          <t>Porto Real</t>
        </is>
      </c>
      <c r="C11445" s="30" t="n">
        <v>82746978</v>
      </c>
      <c r="D11445" s="30">
        <f>"31045354000186"</f>
        <v/>
      </c>
      <c r="E11445" s="30" t="inlineStr">
        <is>
          <t>LATICINIOS PEDRA SELADA LTDA</t>
        </is>
      </c>
      <c r="F11445" s="30" t="inlineStr">
        <is>
          <t>2022</t>
        </is>
      </c>
      <c r="G11445" s="40" t="n">
        <v>56878.35</v>
      </c>
    </row>
    <row r="11446" ht="12" customHeight="1">
      <c r="A11446" s="30" t="inlineStr">
        <is>
          <t>POR</t>
        </is>
      </c>
      <c r="B11446" s="30" t="inlineStr">
        <is>
          <t>Porto Real</t>
        </is>
      </c>
      <c r="C11446" s="30" t="n">
        <v>82746978</v>
      </c>
      <c r="D11446" s="30">
        <f>"31045354000186"</f>
        <v/>
      </c>
      <c r="E11446" s="30" t="inlineStr">
        <is>
          <t>LATICINIOS PEDRA SELADA LTDA</t>
        </is>
      </c>
      <c r="F11446" s="30" t="inlineStr">
        <is>
          <t>2023</t>
        </is>
      </c>
      <c r="G11446" s="40" t="n">
        <v>51633.39</v>
      </c>
    </row>
    <row r="11447" ht="12" customHeight="1">
      <c r="A11447" s="30" t="inlineStr">
        <is>
          <t>POR</t>
        </is>
      </c>
      <c r="B11447" s="30" t="inlineStr">
        <is>
          <t>Porto Real</t>
        </is>
      </c>
      <c r="C11447" s="30" t="n">
        <v>82754490</v>
      </c>
      <c r="D11447" s="30">
        <f>"42310177002005"</f>
        <v/>
      </c>
      <c r="E11447" s="30" t="inlineStr">
        <is>
          <t>TROPICAL TRANSPORTES IPIRANGA LTDA</t>
        </is>
      </c>
      <c r="F11447" s="30" t="inlineStr">
        <is>
          <t>2017</t>
        </is>
      </c>
      <c r="G11447" s="40" t="n">
        <v>0</v>
      </c>
    </row>
    <row r="11448" ht="12" customHeight="1">
      <c r="A11448" s="30" t="inlineStr">
        <is>
          <t>POR</t>
        </is>
      </c>
      <c r="B11448" s="30" t="inlineStr">
        <is>
          <t>Porto Real</t>
        </is>
      </c>
      <c r="C11448" s="30" t="n">
        <v>82754490</v>
      </c>
      <c r="D11448" s="30">
        <f>"42310177002005"</f>
        <v/>
      </c>
      <c r="E11448" s="30" t="inlineStr">
        <is>
          <t>TROPICAL TRANSPORTES IPIRANGA LTDA</t>
        </is>
      </c>
      <c r="F11448" s="30" t="inlineStr">
        <is>
          <t>2018</t>
        </is>
      </c>
      <c r="G11448" s="40" t="n">
        <v>0</v>
      </c>
    </row>
    <row r="11449" ht="12" customHeight="1">
      <c r="A11449" s="30" t="inlineStr">
        <is>
          <t>POR</t>
        </is>
      </c>
      <c r="B11449" s="30" t="inlineStr">
        <is>
          <t>Porto Real</t>
        </is>
      </c>
      <c r="C11449" s="30" t="n">
        <v>82754490</v>
      </c>
      <c r="D11449" s="30">
        <f>"42310177002005"</f>
        <v/>
      </c>
      <c r="E11449" s="30" t="inlineStr">
        <is>
          <t>TROPICAL TRANSPORTES IPIRANGA LTDA</t>
        </is>
      </c>
      <c r="F11449" s="30" t="inlineStr">
        <is>
          <t>2019</t>
        </is>
      </c>
      <c r="G11449" s="40" t="n">
        <v>7397.45</v>
      </c>
    </row>
    <row r="11450" ht="12" customHeight="1">
      <c r="A11450" s="30" t="inlineStr">
        <is>
          <t>POR</t>
        </is>
      </c>
      <c r="B11450" s="30" t="inlineStr">
        <is>
          <t>Porto Real</t>
        </is>
      </c>
      <c r="C11450" s="30" t="n">
        <v>82754490</v>
      </c>
      <c r="D11450" s="30">
        <f>"42310177002005"</f>
        <v/>
      </c>
      <c r="E11450" s="30" t="inlineStr">
        <is>
          <t>TROPICAL TRANSPORTES IPIRANGA LTDA</t>
        </is>
      </c>
      <c r="F11450" s="30" t="inlineStr">
        <is>
          <t>2020</t>
        </is>
      </c>
      <c r="G11450" s="40" t="n">
        <v>1118.96</v>
      </c>
    </row>
    <row r="11451" ht="12" customHeight="1">
      <c r="A11451" s="30" t="inlineStr">
        <is>
          <t>POR</t>
        </is>
      </c>
      <c r="B11451" s="30" t="inlineStr">
        <is>
          <t>Porto Real</t>
        </is>
      </c>
      <c r="C11451" s="30" t="n">
        <v>82754490</v>
      </c>
      <c r="D11451" s="30">
        <f>"42310177002005"</f>
        <v/>
      </c>
      <c r="E11451" s="30" t="inlineStr">
        <is>
          <t>TROPICAL TRANSPORTES IPIRANGA LTDA</t>
        </is>
      </c>
      <c r="F11451" s="30" t="inlineStr">
        <is>
          <t>2021</t>
        </is>
      </c>
      <c r="G11451" s="40" t="n">
        <v>0</v>
      </c>
    </row>
    <row r="11452" ht="12" customHeight="1">
      <c r="A11452" s="30" t="inlineStr">
        <is>
          <t>POR</t>
        </is>
      </c>
      <c r="B11452" s="30" t="inlineStr">
        <is>
          <t>Porto Real</t>
        </is>
      </c>
      <c r="C11452" s="30" t="n">
        <v>82754490</v>
      </c>
      <c r="D11452" s="30">
        <f>"42310177002005"</f>
        <v/>
      </c>
      <c r="E11452" s="30" t="inlineStr">
        <is>
          <t>TROPICAL TRANSPORTES IPIRANGA LTDA</t>
        </is>
      </c>
      <c r="F11452" s="30" t="inlineStr">
        <is>
          <t>2022</t>
        </is>
      </c>
      <c r="G11452" s="40" t="n">
        <v>0</v>
      </c>
    </row>
    <row r="11453" ht="12" customHeight="1">
      <c r="A11453" s="30" t="inlineStr">
        <is>
          <t>POR</t>
        </is>
      </c>
      <c r="B11453" s="30" t="inlineStr">
        <is>
          <t>Porto Real</t>
        </is>
      </c>
      <c r="C11453" s="30" t="n">
        <v>83119470</v>
      </c>
      <c r="D11453" s="30">
        <f>"44191880000287"</f>
        <v/>
      </c>
      <c r="E11453" s="30" t="inlineStr">
        <is>
          <t>TRANSPORTADORA AJOFER LTDA</t>
        </is>
      </c>
      <c r="F11453" s="30" t="inlineStr">
        <is>
          <t>2017</t>
        </is>
      </c>
      <c r="G11453" s="40" t="n">
        <v>1943.24</v>
      </c>
    </row>
    <row r="11454" ht="12" customHeight="1">
      <c r="A11454" s="30" t="inlineStr">
        <is>
          <t>POR</t>
        </is>
      </c>
      <c r="B11454" s="30" t="inlineStr">
        <is>
          <t>Porto Real</t>
        </is>
      </c>
      <c r="C11454" s="30" t="n">
        <v>83119470</v>
      </c>
      <c r="D11454" s="30">
        <f>"44191880000287"</f>
        <v/>
      </c>
      <c r="E11454" s="30" t="inlineStr">
        <is>
          <t>TRANSPORTADORA AJOFER LTDA</t>
        </is>
      </c>
      <c r="F11454" s="30" t="inlineStr">
        <is>
          <t>2018</t>
        </is>
      </c>
      <c r="G11454" s="40" t="n">
        <v>764.8200000000001</v>
      </c>
    </row>
    <row r="11455" ht="12" customHeight="1">
      <c r="A11455" s="30" t="inlineStr">
        <is>
          <t>POR</t>
        </is>
      </c>
      <c r="B11455" s="30" t="inlineStr">
        <is>
          <t>Porto Real</t>
        </is>
      </c>
      <c r="C11455" s="30" t="n">
        <v>83119470</v>
      </c>
      <c r="D11455" s="30">
        <f>"44191880000287"</f>
        <v/>
      </c>
      <c r="E11455" s="30" t="inlineStr">
        <is>
          <t>TRANSPORTADORA AJOFER LTDA</t>
        </is>
      </c>
      <c r="F11455" s="30" t="inlineStr">
        <is>
          <t>2019</t>
        </is>
      </c>
      <c r="G11455" s="40" t="n">
        <v>446.39</v>
      </c>
    </row>
    <row r="11456" ht="12" customHeight="1">
      <c r="A11456" s="30" t="inlineStr">
        <is>
          <t>POR</t>
        </is>
      </c>
      <c r="B11456" s="30" t="inlineStr">
        <is>
          <t>Porto Real</t>
        </is>
      </c>
      <c r="C11456" s="30" t="n">
        <v>83119470</v>
      </c>
      <c r="D11456" s="30">
        <f>"44191880000287"</f>
        <v/>
      </c>
      <c r="E11456" s="30" t="inlineStr">
        <is>
          <t>TRANSPORTADORA AJOFER LTDA</t>
        </is>
      </c>
      <c r="F11456" s="30" t="inlineStr">
        <is>
          <t>2020</t>
        </is>
      </c>
      <c r="G11456" s="40" t="n">
        <v>511.57</v>
      </c>
    </row>
    <row r="11457" ht="12" customHeight="1">
      <c r="A11457" s="30" t="inlineStr">
        <is>
          <t>POR</t>
        </is>
      </c>
      <c r="B11457" s="30" t="inlineStr">
        <is>
          <t>Porto Real</t>
        </is>
      </c>
      <c r="C11457" s="30" t="n">
        <v>83119470</v>
      </c>
      <c r="D11457" s="30">
        <f>"44191880000287"</f>
        <v/>
      </c>
      <c r="E11457" s="30" t="inlineStr">
        <is>
          <t>TRANSPORTADORA AJOFER LTDA</t>
        </is>
      </c>
      <c r="F11457" s="30" t="inlineStr">
        <is>
          <t>2021</t>
        </is>
      </c>
      <c r="G11457" s="40" t="n">
        <v>593.63</v>
      </c>
    </row>
    <row r="11458" ht="12" customHeight="1">
      <c r="A11458" s="30" t="inlineStr">
        <is>
          <t>POR</t>
        </is>
      </c>
      <c r="B11458" s="30" t="inlineStr">
        <is>
          <t>Porto Real</t>
        </is>
      </c>
      <c r="C11458" s="30" t="n">
        <v>83119470</v>
      </c>
      <c r="D11458" s="30">
        <f>"44191880000287"</f>
        <v/>
      </c>
      <c r="E11458" s="30" t="inlineStr">
        <is>
          <t>TRANSPORTADORA AJOFER LTDA</t>
        </is>
      </c>
      <c r="F11458" s="30" t="inlineStr">
        <is>
          <t>2022</t>
        </is>
      </c>
      <c r="G11458" s="40" t="n">
        <v>221.86</v>
      </c>
    </row>
    <row r="11459" ht="12" customHeight="1">
      <c r="A11459" s="30" t="inlineStr">
        <is>
          <t>POR</t>
        </is>
      </c>
      <c r="B11459" s="30" t="inlineStr">
        <is>
          <t>Porto Real</t>
        </is>
      </c>
      <c r="C11459" s="30" t="n">
        <v>83119470</v>
      </c>
      <c r="D11459" s="30">
        <f>"44191880000287"</f>
        <v/>
      </c>
      <c r="E11459" s="30" t="inlineStr">
        <is>
          <t>TRANSPORTADORA AJOFER LTDA</t>
        </is>
      </c>
      <c r="F11459" s="30" t="inlineStr">
        <is>
          <t>2023</t>
        </is>
      </c>
      <c r="G11459" s="40" t="n">
        <v>0</v>
      </c>
    </row>
    <row r="11460" ht="12" customHeight="1">
      <c r="A11460" s="30" t="inlineStr">
        <is>
          <t>POR</t>
        </is>
      </c>
      <c r="B11460" s="30" t="inlineStr">
        <is>
          <t>Porto Real</t>
        </is>
      </c>
      <c r="C11460" s="30" t="n">
        <v>83649569</v>
      </c>
      <c r="D11460" s="30">
        <f>"21562418000324"</f>
        <v/>
      </c>
      <c r="E11460" s="30" t="inlineStr">
        <is>
          <t>COOPERATIVA TRANSPORTADORA DE PETROLEO E DERIVADOS LTDA</t>
        </is>
      </c>
      <c r="F11460" s="30" t="inlineStr">
        <is>
          <t>2017</t>
        </is>
      </c>
      <c r="G11460" s="40" t="n">
        <v>0</v>
      </c>
    </row>
    <row r="11461" ht="12" customHeight="1">
      <c r="A11461" s="30" t="inlineStr">
        <is>
          <t>POR</t>
        </is>
      </c>
      <c r="B11461" s="30" t="inlineStr">
        <is>
          <t>Porto Real</t>
        </is>
      </c>
      <c r="C11461" s="30" t="n">
        <v>83649569</v>
      </c>
      <c r="D11461" s="30">
        <f>"21562418000324"</f>
        <v/>
      </c>
      <c r="E11461" s="30" t="inlineStr">
        <is>
          <t>COOPERATIVA TRANSPORTADORA DE PETROLEO E DERIVADOS LTDA</t>
        </is>
      </c>
      <c r="F11461" s="30" t="inlineStr">
        <is>
          <t>2018</t>
        </is>
      </c>
      <c r="G11461" s="40" t="n">
        <v>0</v>
      </c>
    </row>
    <row r="11462" ht="12" customHeight="1">
      <c r="A11462" s="30" t="inlineStr">
        <is>
          <t>POR</t>
        </is>
      </c>
      <c r="B11462" s="30" t="inlineStr">
        <is>
          <t>Porto Real</t>
        </is>
      </c>
      <c r="C11462" s="30" t="n">
        <v>83649569</v>
      </c>
      <c r="D11462" s="30">
        <f>"21562418000324"</f>
        <v/>
      </c>
      <c r="E11462" s="30" t="inlineStr">
        <is>
          <t>COOPERATIVA TRANSPORTADORA DE PETROLEO E DERIVADOS LTDA</t>
        </is>
      </c>
      <c r="F11462" s="30" t="inlineStr">
        <is>
          <t>2019</t>
        </is>
      </c>
      <c r="G11462" s="40" t="n">
        <v>34155.48</v>
      </c>
    </row>
    <row r="11463" ht="12" customHeight="1">
      <c r="A11463" s="30" t="inlineStr">
        <is>
          <t>POR</t>
        </is>
      </c>
      <c r="B11463" s="30" t="inlineStr">
        <is>
          <t>Porto Real</t>
        </is>
      </c>
      <c r="C11463" s="30" t="n">
        <v>83649569</v>
      </c>
      <c r="D11463" s="30">
        <f>"21562418000324"</f>
        <v/>
      </c>
      <c r="E11463" s="30" t="inlineStr">
        <is>
          <t>COOPERATIVA TRANSPORTADORA DE PETROLEO E DERIVADOS LTDA</t>
        </is>
      </c>
      <c r="F11463" s="30" t="inlineStr">
        <is>
          <t>2020</t>
        </is>
      </c>
      <c r="G11463" s="40" t="n">
        <v>0</v>
      </c>
    </row>
    <row r="11464" ht="12" customHeight="1">
      <c r="A11464" s="30" t="inlineStr">
        <is>
          <t>POR</t>
        </is>
      </c>
      <c r="B11464" s="30" t="inlineStr">
        <is>
          <t>Porto Real</t>
        </is>
      </c>
      <c r="C11464" s="30" t="n">
        <v>83649569</v>
      </c>
      <c r="D11464" s="30">
        <f>"21562418000324"</f>
        <v/>
      </c>
      <c r="E11464" s="30" t="inlineStr">
        <is>
          <t>COOPERATIVA TRANSPORTADORA DE PETROLEO E DERIVADOS LTDA</t>
        </is>
      </c>
      <c r="F11464" s="30" t="inlineStr">
        <is>
          <t>2021</t>
        </is>
      </c>
      <c r="G11464" s="40" t="n">
        <v>82423.12</v>
      </c>
    </row>
    <row r="11465" ht="12" customHeight="1">
      <c r="A11465" s="30" t="inlineStr">
        <is>
          <t>POR</t>
        </is>
      </c>
      <c r="B11465" s="30" t="inlineStr">
        <is>
          <t>Porto Real</t>
        </is>
      </c>
      <c r="C11465" s="30" t="n">
        <v>83649569</v>
      </c>
      <c r="D11465" s="30">
        <f>"21562418000324"</f>
        <v/>
      </c>
      <c r="E11465" s="30" t="inlineStr">
        <is>
          <t>COOPERATIVA TRANSPORTADORA DE PETROLEO E DERIVADOS LTDA</t>
        </is>
      </c>
      <c r="F11465" s="30" t="inlineStr">
        <is>
          <t>2022</t>
        </is>
      </c>
      <c r="G11465" s="40" t="n">
        <v>123049.28</v>
      </c>
    </row>
    <row r="11466" ht="12" customHeight="1">
      <c r="A11466" s="30" t="inlineStr">
        <is>
          <t>POR</t>
        </is>
      </c>
      <c r="B11466" s="30" t="inlineStr">
        <is>
          <t>Porto Real</t>
        </is>
      </c>
      <c r="C11466" s="30" t="n">
        <v>83649569</v>
      </c>
      <c r="D11466" s="30">
        <f>"21562418000324"</f>
        <v/>
      </c>
      <c r="E11466" s="30" t="inlineStr">
        <is>
          <t>COOPERATIVA TRANSPORTADORA DE PETROLEO E DERIVADOS LTDA</t>
        </is>
      </c>
      <c r="F11466" s="30" t="inlineStr">
        <is>
          <t>2023</t>
        </is>
      </c>
      <c r="G11466" s="40" t="n">
        <v>15897.42</v>
      </c>
    </row>
    <row r="11467" ht="12" customHeight="1">
      <c r="A11467" s="30" t="inlineStr">
        <is>
          <t>POR</t>
        </is>
      </c>
      <c r="B11467" s="30" t="inlineStr">
        <is>
          <t>Porto Real</t>
        </is>
      </c>
      <c r="C11467" s="30" t="n">
        <v>83664401</v>
      </c>
      <c r="D11467" s="30">
        <f>"43035146001157"</f>
        <v/>
      </c>
      <c r="E11467" s="30" t="inlineStr">
        <is>
          <t>PROTEGE SOCIEDADE ANONIMA PROTECAO E TRANSPORTE DE VALORES</t>
        </is>
      </c>
      <c r="F11467" s="30" t="inlineStr">
        <is>
          <t>2020</t>
        </is>
      </c>
      <c r="G11467" s="40" t="n">
        <v>0</v>
      </c>
    </row>
    <row r="11468" ht="12" customHeight="1">
      <c r="A11468" s="30" t="inlineStr">
        <is>
          <t>POR</t>
        </is>
      </c>
      <c r="B11468" s="30" t="inlineStr">
        <is>
          <t>Porto Real</t>
        </is>
      </c>
      <c r="C11468" s="30" t="n">
        <v>83664401</v>
      </c>
      <c r="D11468" s="30">
        <f>"43035146001157"</f>
        <v/>
      </c>
      <c r="E11468" s="30" t="inlineStr">
        <is>
          <t>PROTEGE SOCIEDADE ANONIMA PROTECAO E TRANSPORTE DE VALORES</t>
        </is>
      </c>
      <c r="F11468" s="30" t="inlineStr">
        <is>
          <t>2021</t>
        </is>
      </c>
      <c r="G11468" s="40" t="n">
        <v>0</v>
      </c>
    </row>
    <row r="11469" ht="12" customHeight="1">
      <c r="A11469" s="30" t="inlineStr">
        <is>
          <t>POR</t>
        </is>
      </c>
      <c r="B11469" s="30" t="inlineStr">
        <is>
          <t>Porto Real</t>
        </is>
      </c>
      <c r="C11469" s="30" t="n">
        <v>83664401</v>
      </c>
      <c r="D11469" s="30">
        <f>"43035146001157"</f>
        <v/>
      </c>
      <c r="E11469" s="30" t="inlineStr">
        <is>
          <t>PROTEGE SOCIEDADE ANONIMA PROTECAO E TRANSPORTE DE VALORES</t>
        </is>
      </c>
      <c r="F11469" s="30" t="inlineStr">
        <is>
          <t>2022</t>
        </is>
      </c>
      <c r="G11469" s="40" t="n">
        <v>167695.69</v>
      </c>
    </row>
    <row r="11470" ht="12" customHeight="1">
      <c r="A11470" s="30" t="inlineStr">
        <is>
          <t>POR</t>
        </is>
      </c>
      <c r="B11470" s="30" t="inlineStr">
        <is>
          <t>Porto Real</t>
        </is>
      </c>
      <c r="C11470" s="30" t="n">
        <v>83664401</v>
      </c>
      <c r="D11470" s="30">
        <f>"43035146001157"</f>
        <v/>
      </c>
      <c r="E11470" s="30" t="inlineStr">
        <is>
          <t>PROTEGE SOCIEDADE ANONIMA PROTECAO E TRANSPORTE DE VALORES</t>
        </is>
      </c>
      <c r="F11470" s="30" t="inlineStr">
        <is>
          <t>2023</t>
        </is>
      </c>
      <c r="G11470" s="40" t="n">
        <v>0</v>
      </c>
    </row>
    <row r="11471" ht="12" customHeight="1">
      <c r="A11471" s="30" t="inlineStr">
        <is>
          <t>POR</t>
        </is>
      </c>
      <c r="B11471" s="30" t="inlineStr">
        <is>
          <t>Porto Real</t>
        </is>
      </c>
      <c r="C11471" s="30" t="n">
        <v>83699205</v>
      </c>
      <c r="D11471" s="30">
        <f>"61139432000253"</f>
        <v/>
      </c>
      <c r="E11471" s="30" t="inlineStr">
        <is>
          <t>TRANSPORTES DELLA VOLPE S A COMERCIO E INDUSTRIA</t>
        </is>
      </c>
      <c r="F11471" s="30" t="inlineStr">
        <is>
          <t>2017</t>
        </is>
      </c>
      <c r="G11471" s="40" t="n">
        <v>0</v>
      </c>
    </row>
    <row r="11472" ht="12" customHeight="1">
      <c r="A11472" s="30" t="inlineStr">
        <is>
          <t>POR</t>
        </is>
      </c>
      <c r="B11472" s="30" t="inlineStr">
        <is>
          <t>Porto Real</t>
        </is>
      </c>
      <c r="C11472" s="30" t="n">
        <v>83699205</v>
      </c>
      <c r="D11472" s="30">
        <f>"61139432000253"</f>
        <v/>
      </c>
      <c r="E11472" s="30" t="inlineStr">
        <is>
          <t>TRANSPORTES DELLA VOLPE S A COMERCIO E INDUSTRIA</t>
        </is>
      </c>
      <c r="F11472" s="30" t="inlineStr">
        <is>
          <t>2018</t>
        </is>
      </c>
      <c r="G11472" s="40" t="n">
        <v>0</v>
      </c>
    </row>
    <row r="11473" ht="12" customHeight="1">
      <c r="A11473" s="30" t="inlineStr">
        <is>
          <t>POR</t>
        </is>
      </c>
      <c r="B11473" s="30" t="inlineStr">
        <is>
          <t>Porto Real</t>
        </is>
      </c>
      <c r="C11473" s="30" t="n">
        <v>83699205</v>
      </c>
      <c r="D11473" s="30">
        <f>"61139432000253"</f>
        <v/>
      </c>
      <c r="E11473" s="30" t="inlineStr">
        <is>
          <t>TRANSPORTES DELLA VOLPE S A COMERCIO E INDUSTRIA</t>
        </is>
      </c>
      <c r="F11473" s="30" t="inlineStr">
        <is>
          <t>2019</t>
        </is>
      </c>
      <c r="G11473" s="40" t="n">
        <v>86161.32000000001</v>
      </c>
    </row>
    <row r="11474" ht="12" customHeight="1">
      <c r="A11474" s="30" t="inlineStr">
        <is>
          <t>POR</t>
        </is>
      </c>
      <c r="B11474" s="30" t="inlineStr">
        <is>
          <t>Porto Real</t>
        </is>
      </c>
      <c r="C11474" s="30" t="n">
        <v>83699205</v>
      </c>
      <c r="D11474" s="30">
        <f>"61139432000253"</f>
        <v/>
      </c>
      <c r="E11474" s="30" t="inlineStr">
        <is>
          <t>TRANSPORTES DELLA VOLPE S A COMERCIO E INDUSTRIA</t>
        </is>
      </c>
      <c r="F11474" s="30" t="inlineStr">
        <is>
          <t>2020</t>
        </is>
      </c>
      <c r="G11474" s="40" t="n">
        <v>474498.85</v>
      </c>
    </row>
    <row r="11475" ht="12" customHeight="1">
      <c r="A11475" s="30" t="inlineStr">
        <is>
          <t>POR</t>
        </is>
      </c>
      <c r="B11475" s="30" t="inlineStr">
        <is>
          <t>Porto Real</t>
        </is>
      </c>
      <c r="C11475" s="30" t="n">
        <v>83699205</v>
      </c>
      <c r="D11475" s="30">
        <f>"61139432000253"</f>
        <v/>
      </c>
      <c r="E11475" s="30" t="inlineStr">
        <is>
          <t>TRANSPORTES DELLA VOLPE S A COMERCIO E INDUSTRIA</t>
        </is>
      </c>
      <c r="F11475" s="30" t="inlineStr">
        <is>
          <t>2021</t>
        </is>
      </c>
      <c r="G11475" s="40" t="n">
        <v>96523.37</v>
      </c>
    </row>
    <row r="11476" ht="12" customHeight="1">
      <c r="A11476" s="30" t="inlineStr">
        <is>
          <t>POR</t>
        </is>
      </c>
      <c r="B11476" s="30" t="inlineStr">
        <is>
          <t>Porto Real</t>
        </is>
      </c>
      <c r="C11476" s="30" t="n">
        <v>83699205</v>
      </c>
      <c r="D11476" s="30">
        <f>"61139432000253"</f>
        <v/>
      </c>
      <c r="E11476" s="30" t="inlineStr">
        <is>
          <t>TRANSPORTES DELLA VOLPE S A COMERCIO E INDUSTRIA</t>
        </is>
      </c>
      <c r="F11476" s="30" t="inlineStr">
        <is>
          <t>2022</t>
        </is>
      </c>
      <c r="G11476" s="40" t="n">
        <v>2108.96</v>
      </c>
    </row>
    <row r="11477" ht="12" customHeight="1">
      <c r="A11477" s="30" t="inlineStr">
        <is>
          <t>POR</t>
        </is>
      </c>
      <c r="B11477" s="30" t="inlineStr">
        <is>
          <t>Porto Real</t>
        </is>
      </c>
      <c r="C11477" s="30" t="n">
        <v>83699205</v>
      </c>
      <c r="D11477" s="30">
        <f>"61139432000253"</f>
        <v/>
      </c>
      <c r="E11477" s="30" t="inlineStr">
        <is>
          <t>TRANSPORTES DELLA VOLPE S A COMERCIO E INDUSTRIA</t>
        </is>
      </c>
      <c r="F11477" s="30" t="inlineStr">
        <is>
          <t>2023</t>
        </is>
      </c>
      <c r="G11477" s="40" t="n">
        <v>0</v>
      </c>
    </row>
    <row r="11478" ht="12" customHeight="1">
      <c r="A11478" s="30" t="inlineStr">
        <is>
          <t>POR</t>
        </is>
      </c>
      <c r="B11478" s="30" t="inlineStr">
        <is>
          <t>Porto Real</t>
        </is>
      </c>
      <c r="C11478" s="30" t="n">
        <v>83778563</v>
      </c>
      <c r="D11478" s="30">
        <f>"30317762000187"</f>
        <v/>
      </c>
      <c r="E11478" s="30" t="inlineStr">
        <is>
          <t>TRANSPORTE GRANDE ORIENTE LTDA</t>
        </is>
      </c>
      <c r="F11478" s="30" t="inlineStr">
        <is>
          <t>2018</t>
        </is>
      </c>
      <c r="G11478" s="40" t="n">
        <v>0</v>
      </c>
    </row>
    <row r="11479" ht="12" customHeight="1">
      <c r="A11479" s="30" t="inlineStr">
        <is>
          <t>POR</t>
        </is>
      </c>
      <c r="B11479" s="30" t="inlineStr">
        <is>
          <t>Porto Real</t>
        </is>
      </c>
      <c r="C11479" s="30" t="n">
        <v>83778563</v>
      </c>
      <c r="D11479" s="30">
        <f>"30317762000187"</f>
        <v/>
      </c>
      <c r="E11479" s="30" t="inlineStr">
        <is>
          <t>TRANSPORTE GRANDE ORIENTE LTDA</t>
        </is>
      </c>
      <c r="F11479" s="30" t="inlineStr">
        <is>
          <t>2019</t>
        </is>
      </c>
      <c r="G11479" s="40" t="n">
        <v>0</v>
      </c>
    </row>
    <row r="11480" ht="12" customHeight="1">
      <c r="A11480" s="30" t="inlineStr">
        <is>
          <t>POR</t>
        </is>
      </c>
      <c r="B11480" s="30" t="inlineStr">
        <is>
          <t>Porto Real</t>
        </is>
      </c>
      <c r="C11480" s="30" t="n">
        <v>83778563</v>
      </c>
      <c r="D11480" s="30">
        <f>"30317762000187"</f>
        <v/>
      </c>
      <c r="E11480" s="30" t="inlineStr">
        <is>
          <t>TRANSPORTE GRANDE ORIENTE LTDA</t>
        </is>
      </c>
      <c r="F11480" s="30" t="inlineStr">
        <is>
          <t>2020</t>
        </is>
      </c>
      <c r="G11480" s="40" t="n">
        <v>2716</v>
      </c>
    </row>
    <row r="11481" ht="12" customHeight="1">
      <c r="A11481" s="30" t="inlineStr">
        <is>
          <t>POR</t>
        </is>
      </c>
      <c r="B11481" s="30" t="inlineStr">
        <is>
          <t>Porto Real</t>
        </is>
      </c>
      <c r="C11481" s="30" t="n">
        <v>83778563</v>
      </c>
      <c r="D11481" s="30">
        <f>"30317762000187"</f>
        <v/>
      </c>
      <c r="E11481" s="30" t="inlineStr">
        <is>
          <t>TRANSPORTE GRANDE ORIENTE LTDA</t>
        </is>
      </c>
      <c r="F11481" s="30" t="inlineStr">
        <is>
          <t>2021</t>
        </is>
      </c>
      <c r="G11481" s="40" t="n">
        <v>0</v>
      </c>
    </row>
    <row r="11482" ht="12" customHeight="1">
      <c r="A11482" s="30" t="inlineStr">
        <is>
          <t>POR</t>
        </is>
      </c>
      <c r="B11482" s="30" t="inlineStr">
        <is>
          <t>Porto Real</t>
        </is>
      </c>
      <c r="C11482" s="30" t="n">
        <v>83778563</v>
      </c>
      <c r="D11482" s="30">
        <f>"30317762000187"</f>
        <v/>
      </c>
      <c r="E11482" s="30" t="inlineStr">
        <is>
          <t>TRANSPORTE GRANDE ORIENTE LTDA</t>
        </is>
      </c>
      <c r="F11482" s="30" t="inlineStr">
        <is>
          <t>2022</t>
        </is>
      </c>
      <c r="G11482" s="40" t="n">
        <v>0</v>
      </c>
    </row>
    <row r="11483" ht="12" customHeight="1">
      <c r="A11483" s="30" t="inlineStr">
        <is>
          <t>POR</t>
        </is>
      </c>
      <c r="B11483" s="30" t="inlineStr">
        <is>
          <t>Porto Real</t>
        </is>
      </c>
      <c r="C11483" s="30" t="n">
        <v>83788658</v>
      </c>
      <c r="D11483" s="30">
        <f>"29453826000279"</f>
        <v/>
      </c>
      <c r="E11483" s="30" t="inlineStr">
        <is>
          <t>TRANSPORTE GENEROSO LTDA</t>
        </is>
      </c>
      <c r="F11483" s="30" t="inlineStr">
        <is>
          <t>2017</t>
        </is>
      </c>
      <c r="G11483" s="40" t="n">
        <v>0</v>
      </c>
    </row>
    <row r="11484" ht="12" customHeight="1">
      <c r="A11484" s="30" t="inlineStr">
        <is>
          <t>POR</t>
        </is>
      </c>
      <c r="B11484" s="30" t="inlineStr">
        <is>
          <t>Porto Real</t>
        </is>
      </c>
      <c r="C11484" s="30" t="n">
        <v>83788658</v>
      </c>
      <c r="D11484" s="30">
        <f>"29453826000279"</f>
        <v/>
      </c>
      <c r="E11484" s="30" t="inlineStr">
        <is>
          <t>TRANSPORTE GENEROSO LTDA</t>
        </is>
      </c>
      <c r="F11484" s="30" t="inlineStr">
        <is>
          <t>2018</t>
        </is>
      </c>
      <c r="G11484" s="40" t="n">
        <v>0</v>
      </c>
    </row>
    <row r="11485" ht="12" customHeight="1">
      <c r="A11485" s="30" t="inlineStr">
        <is>
          <t>POR</t>
        </is>
      </c>
      <c r="B11485" s="30" t="inlineStr">
        <is>
          <t>Porto Real</t>
        </is>
      </c>
      <c r="C11485" s="30" t="n">
        <v>83788658</v>
      </c>
      <c r="D11485" s="30">
        <f>"29453826000279"</f>
        <v/>
      </c>
      <c r="E11485" s="30" t="inlineStr">
        <is>
          <t>TRANSPORTE GENEROSO LTDA</t>
        </is>
      </c>
      <c r="F11485" s="30" t="inlineStr">
        <is>
          <t>2019</t>
        </is>
      </c>
      <c r="G11485" s="40" t="n">
        <v>2.13</v>
      </c>
    </row>
    <row r="11486" ht="12" customHeight="1">
      <c r="A11486" s="30" t="inlineStr">
        <is>
          <t>POR</t>
        </is>
      </c>
      <c r="B11486" s="30" t="inlineStr">
        <is>
          <t>Porto Real</t>
        </is>
      </c>
      <c r="C11486" s="30" t="n">
        <v>83788658</v>
      </c>
      <c r="D11486" s="30">
        <f>"29453826000279"</f>
        <v/>
      </c>
      <c r="E11486" s="30" t="inlineStr">
        <is>
          <t>TRANSPORTE GENEROSO LTDA</t>
        </is>
      </c>
      <c r="F11486" s="30" t="inlineStr">
        <is>
          <t>2020</t>
        </is>
      </c>
      <c r="G11486" s="40" t="n">
        <v>0</v>
      </c>
    </row>
    <row r="11487" ht="12" customHeight="1">
      <c r="A11487" s="30" t="inlineStr">
        <is>
          <t>POR</t>
        </is>
      </c>
      <c r="B11487" s="30" t="inlineStr">
        <is>
          <t>Porto Real</t>
        </is>
      </c>
      <c r="C11487" s="30" t="n">
        <v>83788658</v>
      </c>
      <c r="D11487" s="30">
        <f>"29453826000279"</f>
        <v/>
      </c>
      <c r="E11487" s="30" t="inlineStr">
        <is>
          <t>TRANSPORTE GENEROSO LTDA</t>
        </is>
      </c>
      <c r="F11487" s="30" t="inlineStr">
        <is>
          <t>2021</t>
        </is>
      </c>
      <c r="G11487" s="40" t="n">
        <v>0</v>
      </c>
    </row>
    <row r="11488" ht="12" customHeight="1">
      <c r="A11488" s="30" t="inlineStr">
        <is>
          <t>POR</t>
        </is>
      </c>
      <c r="B11488" s="30" t="inlineStr">
        <is>
          <t>Porto Real</t>
        </is>
      </c>
      <c r="C11488" s="30" t="n">
        <v>83790059</v>
      </c>
      <c r="D11488" s="30">
        <f>"76104397000719"</f>
        <v/>
      </c>
      <c r="E11488" s="30" t="inlineStr">
        <is>
          <t>TRANSPORTADORA SULISTA SA</t>
        </is>
      </c>
      <c r="F11488" s="30" t="inlineStr">
        <is>
          <t>2017</t>
        </is>
      </c>
      <c r="G11488" s="40" t="n">
        <v>17002</v>
      </c>
    </row>
    <row r="11489" ht="12" customHeight="1">
      <c r="A11489" s="30" t="inlineStr">
        <is>
          <t>POR</t>
        </is>
      </c>
      <c r="B11489" s="30" t="inlineStr">
        <is>
          <t>Porto Real</t>
        </is>
      </c>
      <c r="C11489" s="30" t="n">
        <v>83790059</v>
      </c>
      <c r="D11489" s="30">
        <f>"76104397000719"</f>
        <v/>
      </c>
      <c r="E11489" s="30" t="inlineStr">
        <is>
          <t>TRANSPORTADORA SULISTA SA</t>
        </is>
      </c>
      <c r="F11489" s="30" t="inlineStr">
        <is>
          <t>2018</t>
        </is>
      </c>
      <c r="G11489" s="40" t="n">
        <v>27333.75</v>
      </c>
    </row>
    <row r="11490" ht="12" customHeight="1">
      <c r="A11490" s="30" t="inlineStr">
        <is>
          <t>POR</t>
        </is>
      </c>
      <c r="B11490" s="30" t="inlineStr">
        <is>
          <t>Porto Real</t>
        </is>
      </c>
      <c r="C11490" s="30" t="n">
        <v>83790059</v>
      </c>
      <c r="D11490" s="30">
        <f>"76104397000719"</f>
        <v/>
      </c>
      <c r="E11490" s="30" t="inlineStr">
        <is>
          <t>TRANSPORTADORA SULISTA SA</t>
        </is>
      </c>
      <c r="F11490" s="30" t="inlineStr">
        <is>
          <t>2019</t>
        </is>
      </c>
      <c r="G11490" s="40" t="n">
        <v>0</v>
      </c>
    </row>
    <row r="11491" ht="12" customHeight="1">
      <c r="A11491" s="30" t="inlineStr">
        <is>
          <t>POR</t>
        </is>
      </c>
      <c r="B11491" s="30" t="inlineStr">
        <is>
          <t>Porto Real</t>
        </is>
      </c>
      <c r="C11491" s="30" t="n">
        <v>83790059</v>
      </c>
      <c r="D11491" s="30">
        <f>"76104397000719"</f>
        <v/>
      </c>
      <c r="E11491" s="30" t="inlineStr">
        <is>
          <t>TRANSPORTADORA SULISTA SA</t>
        </is>
      </c>
      <c r="F11491" s="30" t="inlineStr">
        <is>
          <t>2020</t>
        </is>
      </c>
      <c r="G11491" s="40" t="n">
        <v>0</v>
      </c>
    </row>
    <row r="11492" ht="12" customHeight="1">
      <c r="A11492" s="30" t="inlineStr">
        <is>
          <t>POR</t>
        </is>
      </c>
      <c r="B11492" s="30" t="inlineStr">
        <is>
          <t>Porto Real</t>
        </is>
      </c>
      <c r="C11492" s="30" t="n">
        <v>83798726</v>
      </c>
      <c r="D11492" s="30">
        <f>"19199348001311"</f>
        <v/>
      </c>
      <c r="E11492" s="30" t="inlineStr">
        <is>
          <t>SADA TRANSPORTES E ARMAZENAGENS S/A</t>
        </is>
      </c>
      <c r="F11492" s="30" t="inlineStr">
        <is>
          <t>2017</t>
        </is>
      </c>
      <c r="G11492" s="40" t="n">
        <v>36554.03</v>
      </c>
    </row>
    <row r="11493" ht="12" customHeight="1">
      <c r="A11493" s="30" t="inlineStr">
        <is>
          <t>POR</t>
        </is>
      </c>
      <c r="B11493" s="30" t="inlineStr">
        <is>
          <t>Porto Real</t>
        </is>
      </c>
      <c r="C11493" s="30" t="n">
        <v>83798726</v>
      </c>
      <c r="D11493" s="30">
        <f>"19199348001311"</f>
        <v/>
      </c>
      <c r="E11493" s="30" t="inlineStr">
        <is>
          <t>SADA TRANSPORTES E ARMAZENAGENS S/A</t>
        </is>
      </c>
      <c r="F11493" s="30" t="inlineStr">
        <is>
          <t>2018</t>
        </is>
      </c>
      <c r="G11493" s="40" t="n">
        <v>4844</v>
      </c>
    </row>
    <row r="11494" ht="12" customHeight="1">
      <c r="A11494" s="30" t="inlineStr">
        <is>
          <t>POR</t>
        </is>
      </c>
      <c r="B11494" s="30" t="inlineStr">
        <is>
          <t>Porto Real</t>
        </is>
      </c>
      <c r="C11494" s="30" t="n">
        <v>83798726</v>
      </c>
      <c r="D11494" s="30">
        <f>"19199348001311"</f>
        <v/>
      </c>
      <c r="E11494" s="30" t="inlineStr">
        <is>
          <t>SADA TRANSPORTES E ARMAZENAGENS S/A</t>
        </is>
      </c>
      <c r="F11494" s="30" t="inlineStr">
        <is>
          <t>2019</t>
        </is>
      </c>
      <c r="G11494" s="40" t="n">
        <v>0</v>
      </c>
    </row>
    <row r="11495" ht="12" customHeight="1">
      <c r="A11495" s="30" t="inlineStr">
        <is>
          <t>POR</t>
        </is>
      </c>
      <c r="B11495" s="30" t="inlineStr">
        <is>
          <t>Porto Real</t>
        </is>
      </c>
      <c r="C11495" s="30" t="n">
        <v>83798726</v>
      </c>
      <c r="D11495" s="30">
        <f>"19199348001311"</f>
        <v/>
      </c>
      <c r="E11495" s="30" t="inlineStr">
        <is>
          <t>SADA TRANSPORTES E ARMAZENAGENS S/A</t>
        </is>
      </c>
      <c r="F11495" s="30" t="inlineStr">
        <is>
          <t>2020</t>
        </is>
      </c>
      <c r="G11495" s="40" t="n">
        <v>1219.82</v>
      </c>
    </row>
    <row r="11496" ht="12" customHeight="1">
      <c r="A11496" s="30" t="inlineStr">
        <is>
          <t>POR</t>
        </is>
      </c>
      <c r="B11496" s="30" t="inlineStr">
        <is>
          <t>Porto Real</t>
        </is>
      </c>
      <c r="C11496" s="30" t="n">
        <v>83798726</v>
      </c>
      <c r="D11496" s="30">
        <f>"19199348001311"</f>
        <v/>
      </c>
      <c r="E11496" s="30" t="inlineStr">
        <is>
          <t>SADA TRANSPORTES E ARMAZENAGENS S/A</t>
        </is>
      </c>
      <c r="F11496" s="30" t="inlineStr">
        <is>
          <t>2021</t>
        </is>
      </c>
      <c r="G11496" s="40" t="n">
        <v>0</v>
      </c>
    </row>
    <row r="11497" ht="12" customHeight="1">
      <c r="A11497" s="30" t="inlineStr">
        <is>
          <t>POR</t>
        </is>
      </c>
      <c r="B11497" s="30" t="inlineStr">
        <is>
          <t>Porto Real</t>
        </is>
      </c>
      <c r="C11497" s="30" t="n">
        <v>83798726</v>
      </c>
      <c r="D11497" s="30">
        <f>"19199348001311"</f>
        <v/>
      </c>
      <c r="E11497" s="30" t="inlineStr">
        <is>
          <t>SADA TRANSPORTES E ARMAZENAGENS S/A</t>
        </is>
      </c>
      <c r="F11497" s="30" t="inlineStr">
        <is>
          <t>2022</t>
        </is>
      </c>
      <c r="G11497" s="40" t="n">
        <v>4791.68</v>
      </c>
    </row>
    <row r="11498" ht="12" customHeight="1">
      <c r="A11498" s="30" t="inlineStr">
        <is>
          <t>POR</t>
        </is>
      </c>
      <c r="B11498" s="30" t="inlineStr">
        <is>
          <t>Porto Real</t>
        </is>
      </c>
      <c r="C11498" s="30" t="n">
        <v>83798726</v>
      </c>
      <c r="D11498" s="30">
        <f>"19199348001311"</f>
        <v/>
      </c>
      <c r="E11498" s="30" t="inlineStr">
        <is>
          <t>SADA TRANSPORTES E ARMAZENAGENS S/A</t>
        </is>
      </c>
      <c r="F11498" s="30" t="inlineStr">
        <is>
          <t>2023</t>
        </is>
      </c>
      <c r="G11498" s="40" t="n">
        <v>0</v>
      </c>
    </row>
    <row r="11499" ht="12" customHeight="1">
      <c r="A11499" s="30" t="inlineStr">
        <is>
          <t>POR</t>
        </is>
      </c>
      <c r="B11499" s="30" t="inlineStr">
        <is>
          <t>Porto Real</t>
        </is>
      </c>
      <c r="C11499" s="30" t="n">
        <v>83824840</v>
      </c>
      <c r="D11499" s="30">
        <f>"33542531000165"</f>
        <v/>
      </c>
      <c r="E11499" s="30" t="inlineStr">
        <is>
          <t>VIACAO SAMPAIO LTDA</t>
        </is>
      </c>
      <c r="F11499" s="30" t="inlineStr">
        <is>
          <t>2017</t>
        </is>
      </c>
      <c r="G11499" s="40" t="n">
        <v>0</v>
      </c>
    </row>
    <row r="11500" ht="12" customHeight="1">
      <c r="A11500" s="30" t="inlineStr">
        <is>
          <t>POR</t>
        </is>
      </c>
      <c r="B11500" s="30" t="inlineStr">
        <is>
          <t>Porto Real</t>
        </is>
      </c>
      <c r="C11500" s="30" t="n">
        <v>83824840</v>
      </c>
      <c r="D11500" s="30">
        <f>"33542531000165"</f>
        <v/>
      </c>
      <c r="E11500" s="30" t="inlineStr">
        <is>
          <t>VIACAO SAMPAIO LTDA</t>
        </is>
      </c>
      <c r="F11500" s="30" t="inlineStr">
        <is>
          <t>2018</t>
        </is>
      </c>
      <c r="G11500" s="40" t="n">
        <v>40.27</v>
      </c>
    </row>
    <row r="11501" ht="12" customHeight="1">
      <c r="A11501" s="30" t="inlineStr">
        <is>
          <t>POR</t>
        </is>
      </c>
      <c r="B11501" s="30" t="inlineStr">
        <is>
          <t>Porto Real</t>
        </is>
      </c>
      <c r="C11501" s="30" t="n">
        <v>83824840</v>
      </c>
      <c r="D11501" s="30">
        <f>"33542531000165"</f>
        <v/>
      </c>
      <c r="E11501" s="30" t="inlineStr">
        <is>
          <t>VIACAO SAMPAIO LTDA</t>
        </is>
      </c>
      <c r="F11501" s="30" t="inlineStr">
        <is>
          <t>2019</t>
        </is>
      </c>
      <c r="G11501" s="40" t="n">
        <v>0</v>
      </c>
    </row>
    <row r="11502" ht="12" customHeight="1">
      <c r="A11502" s="30" t="inlineStr">
        <is>
          <t>POR</t>
        </is>
      </c>
      <c r="B11502" s="30" t="inlineStr">
        <is>
          <t>Porto Real</t>
        </is>
      </c>
      <c r="C11502" s="30" t="n">
        <v>83824840</v>
      </c>
      <c r="D11502" s="30">
        <f>"33542531000165"</f>
        <v/>
      </c>
      <c r="E11502" s="30" t="inlineStr">
        <is>
          <t>VIACAO SAMPAIO LTDA</t>
        </is>
      </c>
      <c r="F11502" s="30" t="inlineStr">
        <is>
          <t>2020</t>
        </is>
      </c>
      <c r="G11502" s="40" t="n">
        <v>0</v>
      </c>
    </row>
    <row r="11503" ht="12" customHeight="1">
      <c r="A11503" s="30" t="inlineStr">
        <is>
          <t>POR</t>
        </is>
      </c>
      <c r="B11503" s="30" t="inlineStr">
        <is>
          <t>Porto Real</t>
        </is>
      </c>
      <c r="C11503" s="30" t="n">
        <v>83858664</v>
      </c>
      <c r="D11503" s="30">
        <f>"29108107000130"</f>
        <v/>
      </c>
      <c r="E11503" s="30" t="inlineStr">
        <is>
          <t>SOLAZER TRANSPORTES E TURISMO LTDA</t>
        </is>
      </c>
      <c r="F11503" s="30" t="inlineStr">
        <is>
          <t>2017</t>
        </is>
      </c>
      <c r="G11503" s="40" t="n">
        <v>18456506.12</v>
      </c>
    </row>
    <row r="11504" ht="12" customHeight="1">
      <c r="A11504" s="30" t="inlineStr">
        <is>
          <t>POR</t>
        </is>
      </c>
      <c r="B11504" s="30" t="inlineStr">
        <is>
          <t>Porto Real</t>
        </is>
      </c>
      <c r="C11504" s="30" t="n">
        <v>83858664</v>
      </c>
      <c r="D11504" s="30">
        <f>"29108107000130"</f>
        <v/>
      </c>
      <c r="E11504" s="30" t="inlineStr">
        <is>
          <t>SOLAZER TRANSPORTES E TURISMO LTDA</t>
        </is>
      </c>
      <c r="F11504" s="30" t="inlineStr">
        <is>
          <t>2018</t>
        </is>
      </c>
      <c r="G11504" s="40" t="n">
        <v>826846.08</v>
      </c>
    </row>
    <row r="11505" ht="12" customHeight="1">
      <c r="A11505" s="30" t="inlineStr">
        <is>
          <t>POR</t>
        </is>
      </c>
      <c r="B11505" s="30" t="inlineStr">
        <is>
          <t>Porto Real</t>
        </is>
      </c>
      <c r="C11505" s="30" t="n">
        <v>83858664</v>
      </c>
      <c r="D11505" s="30">
        <f>"29108107000130"</f>
        <v/>
      </c>
      <c r="E11505" s="30" t="inlineStr">
        <is>
          <t>SOLAZER TRANSPORTES E TURISMO LTDA</t>
        </is>
      </c>
      <c r="F11505" s="30" t="inlineStr">
        <is>
          <t>2019</t>
        </is>
      </c>
      <c r="G11505" s="40" t="n">
        <v>58300.86</v>
      </c>
    </row>
    <row r="11506" ht="12" customHeight="1">
      <c r="A11506" s="30" t="inlineStr">
        <is>
          <t>POR</t>
        </is>
      </c>
      <c r="B11506" s="30" t="inlineStr">
        <is>
          <t>Porto Real</t>
        </is>
      </c>
      <c r="C11506" s="30" t="n">
        <v>83858664</v>
      </c>
      <c r="D11506" s="30">
        <f>"29108107000130"</f>
        <v/>
      </c>
      <c r="E11506" s="30" t="inlineStr">
        <is>
          <t>SOLAZER TRANSPORTES E TURISMO LTDA</t>
        </is>
      </c>
      <c r="F11506" s="30" t="inlineStr">
        <is>
          <t>2020</t>
        </is>
      </c>
      <c r="G11506" s="40" t="n">
        <v>15369.33</v>
      </c>
    </row>
    <row r="11507" ht="12" customHeight="1">
      <c r="A11507" s="30" t="inlineStr">
        <is>
          <t>POR</t>
        </is>
      </c>
      <c r="B11507" s="30" t="inlineStr">
        <is>
          <t>Porto Real</t>
        </is>
      </c>
      <c r="C11507" s="30" t="n">
        <v>83858664</v>
      </c>
      <c r="D11507" s="30">
        <f>"29108107000130"</f>
        <v/>
      </c>
      <c r="E11507" s="30" t="inlineStr">
        <is>
          <t>SOLAZER TRANSPORTES E TURISMO LTDA</t>
        </is>
      </c>
      <c r="F11507" s="30" t="inlineStr">
        <is>
          <t>2021</t>
        </is>
      </c>
      <c r="G11507" s="40" t="n">
        <v>32958.46</v>
      </c>
    </row>
    <row r="11508" ht="12" customHeight="1">
      <c r="A11508" s="30" t="inlineStr">
        <is>
          <t>POR</t>
        </is>
      </c>
      <c r="B11508" s="30" t="inlineStr">
        <is>
          <t>Porto Real</t>
        </is>
      </c>
      <c r="C11508" s="30" t="n">
        <v>83858664</v>
      </c>
      <c r="D11508" s="30">
        <f>"29108107000130"</f>
        <v/>
      </c>
      <c r="E11508" s="30" t="inlineStr">
        <is>
          <t>SOLAZER TRANSPORTES E TURISMO LTDA</t>
        </is>
      </c>
      <c r="F11508" s="30" t="inlineStr">
        <is>
          <t>2022</t>
        </is>
      </c>
      <c r="G11508" s="40" t="n">
        <v>97086.13</v>
      </c>
    </row>
    <row r="11509" ht="12" customHeight="1">
      <c r="A11509" s="30" t="inlineStr">
        <is>
          <t>POR</t>
        </is>
      </c>
      <c r="B11509" s="30" t="inlineStr">
        <is>
          <t>Porto Real</t>
        </is>
      </c>
      <c r="C11509" s="30" t="n">
        <v>83858664</v>
      </c>
      <c r="D11509" s="30">
        <f>"29108107000130"</f>
        <v/>
      </c>
      <c r="E11509" s="30" t="inlineStr">
        <is>
          <t>SOLAZER TRANSPORTES E TURISMO LTDA</t>
        </is>
      </c>
      <c r="F11509" s="30" t="inlineStr">
        <is>
          <t>2023</t>
        </is>
      </c>
      <c r="G11509" s="40" t="n">
        <v>422270.69</v>
      </c>
    </row>
    <row r="11510" ht="12" customHeight="1">
      <c r="A11510" s="30" t="inlineStr">
        <is>
          <t>POR</t>
        </is>
      </c>
      <c r="B11510" s="30" t="inlineStr">
        <is>
          <t>Porto Real</t>
        </is>
      </c>
      <c r="C11510" s="30" t="n">
        <v>83869194</v>
      </c>
      <c r="D11510" s="30">
        <f>"60860087001413"</f>
        <v/>
      </c>
      <c r="E11510" s="30" t="inlineStr">
        <is>
          <t>BRINK"S SEGURANCA E TRANSPORTE DE VALORES LTDA</t>
        </is>
      </c>
      <c r="F11510" s="30" t="inlineStr">
        <is>
          <t>2017</t>
        </is>
      </c>
      <c r="G11510" s="40" t="n">
        <v>13590.57</v>
      </c>
    </row>
    <row r="11511" ht="12" customHeight="1">
      <c r="A11511" s="30" t="inlineStr">
        <is>
          <t>POR</t>
        </is>
      </c>
      <c r="B11511" s="30" t="inlineStr">
        <is>
          <t>Porto Real</t>
        </is>
      </c>
      <c r="C11511" s="30" t="n">
        <v>83869194</v>
      </c>
      <c r="D11511" s="30">
        <f>"60860087001413"</f>
        <v/>
      </c>
      <c r="E11511" s="30" t="inlineStr">
        <is>
          <t>BRINK"S SEGURANCA E TRANSPORTE DE VALORES LTDA</t>
        </is>
      </c>
      <c r="F11511" s="30" t="inlineStr">
        <is>
          <t>2018</t>
        </is>
      </c>
      <c r="G11511" s="40" t="n">
        <v>13812.51</v>
      </c>
    </row>
    <row r="11512" ht="12" customHeight="1">
      <c r="A11512" s="30" t="inlineStr">
        <is>
          <t>POR</t>
        </is>
      </c>
      <c r="B11512" s="30" t="inlineStr">
        <is>
          <t>Porto Real</t>
        </is>
      </c>
      <c r="C11512" s="30" t="n">
        <v>83869194</v>
      </c>
      <c r="D11512" s="30">
        <f>"60860087001413"</f>
        <v/>
      </c>
      <c r="E11512" s="30" t="inlineStr">
        <is>
          <t>BRINK"S SEGURANCA E TRANSPORTE DE VALORES LTDA</t>
        </is>
      </c>
      <c r="F11512" s="30" t="inlineStr">
        <is>
          <t>2019</t>
        </is>
      </c>
      <c r="G11512" s="40" t="n">
        <v>13014.41</v>
      </c>
    </row>
    <row r="11513" ht="12" customHeight="1">
      <c r="A11513" s="30" t="inlineStr">
        <is>
          <t>POR</t>
        </is>
      </c>
      <c r="B11513" s="30" t="inlineStr">
        <is>
          <t>Porto Real</t>
        </is>
      </c>
      <c r="C11513" s="30" t="n">
        <v>83869194</v>
      </c>
      <c r="D11513" s="30">
        <f>"60860087001413"</f>
        <v/>
      </c>
      <c r="E11513" s="30" t="inlineStr">
        <is>
          <t>BRINK"S SEGURANCA E TRANSPORTE DE VALORES LTDA</t>
        </is>
      </c>
      <c r="F11513" s="30" t="inlineStr">
        <is>
          <t>2020</t>
        </is>
      </c>
      <c r="G11513" s="40" t="n">
        <v>14792.03</v>
      </c>
    </row>
    <row r="11514" ht="12" customHeight="1">
      <c r="A11514" s="30" t="inlineStr">
        <is>
          <t>POR</t>
        </is>
      </c>
      <c r="B11514" s="30" t="inlineStr">
        <is>
          <t>Porto Real</t>
        </is>
      </c>
      <c r="C11514" s="30" t="n">
        <v>83869194</v>
      </c>
      <c r="D11514" s="30">
        <f>"60860087001413"</f>
        <v/>
      </c>
      <c r="E11514" s="30" t="inlineStr">
        <is>
          <t>BRINK"S SEGURANCA E TRANSPORTE DE VALORES LTDA</t>
        </is>
      </c>
      <c r="F11514" s="30" t="inlineStr">
        <is>
          <t>2021</t>
        </is>
      </c>
      <c r="G11514" s="40" t="n">
        <v>12854.02</v>
      </c>
    </row>
    <row r="11515" ht="12" customHeight="1">
      <c r="A11515" s="30" t="inlineStr">
        <is>
          <t>POR</t>
        </is>
      </c>
      <c r="B11515" s="30" t="inlineStr">
        <is>
          <t>Porto Real</t>
        </is>
      </c>
      <c r="C11515" s="30" t="n">
        <v>83869194</v>
      </c>
      <c r="D11515" s="30">
        <f>"60860087001413"</f>
        <v/>
      </c>
      <c r="E11515" s="30" t="inlineStr">
        <is>
          <t>BRINK"S SEGURANCA E TRANSPORTE DE VALORES LTDA</t>
        </is>
      </c>
      <c r="F11515" s="30" t="inlineStr">
        <is>
          <t>2022</t>
        </is>
      </c>
      <c r="G11515" s="40" t="n">
        <v>15946.89</v>
      </c>
    </row>
    <row r="11516" ht="12" customHeight="1">
      <c r="A11516" s="30" t="inlineStr">
        <is>
          <t>POR</t>
        </is>
      </c>
      <c r="B11516" s="30" t="inlineStr">
        <is>
          <t>Porto Real</t>
        </is>
      </c>
      <c r="C11516" s="30" t="n">
        <v>83869194</v>
      </c>
      <c r="D11516" s="30">
        <f>"60860087001413"</f>
        <v/>
      </c>
      <c r="E11516" s="30" t="inlineStr">
        <is>
          <t>BRINK"S SEGURANCA E TRANSPORTE DE VALORES LTDA</t>
        </is>
      </c>
      <c r="F11516" s="30" t="inlineStr">
        <is>
          <t>2023</t>
        </is>
      </c>
      <c r="G11516" s="40" t="n">
        <v>29512.4</v>
      </c>
    </row>
    <row r="11517" ht="12" customHeight="1">
      <c r="A11517" s="30" t="inlineStr">
        <is>
          <t>POR</t>
        </is>
      </c>
      <c r="B11517" s="30" t="inlineStr">
        <is>
          <t>Porto Real</t>
        </is>
      </c>
      <c r="C11517" s="30" t="n">
        <v>83883332</v>
      </c>
      <c r="D11517" s="30">
        <f>"28672996000605"</f>
        <v/>
      </c>
      <c r="E11517" s="30" t="inlineStr">
        <is>
          <t>COOPERATIVA AGRO PECUARIA DE BARRA MANSA LTDA</t>
        </is>
      </c>
      <c r="F11517" s="30" t="inlineStr">
        <is>
          <t>2017</t>
        </is>
      </c>
      <c r="G11517" s="40" t="n">
        <v>669194.5600000001</v>
      </c>
    </row>
    <row r="11518" ht="12" customHeight="1">
      <c r="A11518" s="30" t="inlineStr">
        <is>
          <t>POR</t>
        </is>
      </c>
      <c r="B11518" s="30" t="inlineStr">
        <is>
          <t>Porto Real</t>
        </is>
      </c>
      <c r="C11518" s="30" t="n">
        <v>83883332</v>
      </c>
      <c r="D11518" s="30">
        <f>"28672996000605"</f>
        <v/>
      </c>
      <c r="E11518" s="30" t="inlineStr">
        <is>
          <t>COOPERATIVA AGRO PECUARIA DE BARRA MANSA LTDA</t>
        </is>
      </c>
      <c r="F11518" s="30" t="inlineStr">
        <is>
          <t>2018</t>
        </is>
      </c>
      <c r="G11518" s="40" t="n">
        <v>551625.8</v>
      </c>
    </row>
    <row r="11519" ht="12" customHeight="1">
      <c r="A11519" s="30" t="inlineStr">
        <is>
          <t>POR</t>
        </is>
      </c>
      <c r="B11519" s="30" t="inlineStr">
        <is>
          <t>Porto Real</t>
        </is>
      </c>
      <c r="C11519" s="30" t="n">
        <v>83883332</v>
      </c>
      <c r="D11519" s="30">
        <f>"28672996000605"</f>
        <v/>
      </c>
      <c r="E11519" s="30" t="inlineStr">
        <is>
          <t>COOPERATIVA AGRO PECUARIA DE BARRA MANSA LTDA</t>
        </is>
      </c>
      <c r="F11519" s="30" t="inlineStr">
        <is>
          <t>2019</t>
        </is>
      </c>
      <c r="G11519" s="40" t="n">
        <v>489659.5</v>
      </c>
    </row>
    <row r="11520" ht="12" customHeight="1">
      <c r="A11520" s="30" t="inlineStr">
        <is>
          <t>POR</t>
        </is>
      </c>
      <c r="B11520" s="30" t="inlineStr">
        <is>
          <t>Porto Real</t>
        </is>
      </c>
      <c r="C11520" s="30" t="n">
        <v>83883332</v>
      </c>
      <c r="D11520" s="30">
        <f>"28672996000605"</f>
        <v/>
      </c>
      <c r="E11520" s="30" t="inlineStr">
        <is>
          <t>COOPERATIVA AGRO PECUARIA DE BARRA MANSA LTDA</t>
        </is>
      </c>
      <c r="F11520" s="30" t="inlineStr">
        <is>
          <t>2020</t>
        </is>
      </c>
      <c r="G11520" s="40" t="n">
        <v>678091.03</v>
      </c>
    </row>
    <row r="11521" ht="12" customHeight="1">
      <c r="A11521" s="30" t="inlineStr">
        <is>
          <t>POR</t>
        </is>
      </c>
      <c r="B11521" s="30" t="inlineStr">
        <is>
          <t>Porto Real</t>
        </is>
      </c>
      <c r="C11521" s="30" t="n">
        <v>83883332</v>
      </c>
      <c r="D11521" s="30">
        <f>"28672996000605"</f>
        <v/>
      </c>
      <c r="E11521" s="30" t="inlineStr">
        <is>
          <t>COOPERATIVA AGRO PECUARIA DE BARRA MANSA LTDA</t>
        </is>
      </c>
      <c r="F11521" s="30" t="inlineStr">
        <is>
          <t>2021</t>
        </is>
      </c>
      <c r="G11521" s="40" t="n">
        <v>853833.13</v>
      </c>
    </row>
    <row r="11522" ht="12" customHeight="1">
      <c r="A11522" s="30" t="inlineStr">
        <is>
          <t>POR</t>
        </is>
      </c>
      <c r="B11522" s="30" t="inlineStr">
        <is>
          <t>Porto Real</t>
        </is>
      </c>
      <c r="C11522" s="30" t="n">
        <v>83883332</v>
      </c>
      <c r="D11522" s="30">
        <f>"28672996000605"</f>
        <v/>
      </c>
      <c r="E11522" s="30" t="inlineStr">
        <is>
          <t>COOPERATIVA AGRO PECUARIA DE BARRA MANSA LTDA</t>
        </is>
      </c>
      <c r="F11522" s="30" t="inlineStr">
        <is>
          <t>2022</t>
        </is>
      </c>
      <c r="G11522" s="40" t="n">
        <v>1694708.69</v>
      </c>
    </row>
    <row r="11523" ht="12" customHeight="1">
      <c r="A11523" s="30" t="inlineStr">
        <is>
          <t>POR</t>
        </is>
      </c>
      <c r="B11523" s="30" t="inlineStr">
        <is>
          <t>Porto Real</t>
        </is>
      </c>
      <c r="C11523" s="30" t="n">
        <v>83883332</v>
      </c>
      <c r="D11523" s="30">
        <f>"28672996000605"</f>
        <v/>
      </c>
      <c r="E11523" s="30" t="inlineStr">
        <is>
          <t>COOPERATIVA AGRO PECUARIA DE BARRA MANSA LTDA</t>
        </is>
      </c>
      <c r="F11523" s="30" t="inlineStr">
        <is>
          <t>2023</t>
        </is>
      </c>
      <c r="G11523" s="40" t="n">
        <v>2005536.78</v>
      </c>
    </row>
    <row r="11524" ht="12" customHeight="1">
      <c r="A11524" s="30" t="inlineStr">
        <is>
          <t>POR</t>
        </is>
      </c>
      <c r="B11524" s="30" t="inlineStr">
        <is>
          <t>Porto Real</t>
        </is>
      </c>
      <c r="C11524" s="30" t="n">
        <v>83883650</v>
      </c>
      <c r="D11524" s="30">
        <f>"32590788000120"</f>
        <v/>
      </c>
      <c r="E11524" s="30" t="inlineStr">
        <is>
          <t>BARRA SUL METAIS LTDA ME</t>
        </is>
      </c>
      <c r="F11524" s="30" t="inlineStr">
        <is>
          <t>2017</t>
        </is>
      </c>
      <c r="G11524" s="40" t="n">
        <v>401904.2</v>
      </c>
    </row>
    <row r="11525" ht="12" customHeight="1">
      <c r="A11525" s="30" t="inlineStr">
        <is>
          <t>POR</t>
        </is>
      </c>
      <c r="B11525" s="30" t="inlineStr">
        <is>
          <t>Porto Real</t>
        </is>
      </c>
      <c r="C11525" s="30" t="n">
        <v>83883650</v>
      </c>
      <c r="D11525" s="30">
        <f>"32590788000120"</f>
        <v/>
      </c>
      <c r="E11525" s="30" t="inlineStr">
        <is>
          <t>BARRA SUL METAIS LTDA ME</t>
        </is>
      </c>
      <c r="F11525" s="30" t="inlineStr">
        <is>
          <t>2018</t>
        </is>
      </c>
      <c r="G11525" s="40" t="n">
        <v>0</v>
      </c>
    </row>
    <row r="11526" ht="12" customHeight="1">
      <c r="A11526" s="30" t="inlineStr">
        <is>
          <t>POR</t>
        </is>
      </c>
      <c r="B11526" s="30" t="inlineStr">
        <is>
          <t>Porto Real</t>
        </is>
      </c>
      <c r="C11526" s="30" t="n">
        <v>83883650</v>
      </c>
      <c r="D11526" s="30">
        <f>"32590788000120"</f>
        <v/>
      </c>
      <c r="E11526" s="30" t="inlineStr">
        <is>
          <t>BARRA SUL METAIS LTDA ME</t>
        </is>
      </c>
      <c r="F11526" s="30" t="inlineStr">
        <is>
          <t>2019</t>
        </is>
      </c>
      <c r="G11526" s="40" t="n">
        <v>0</v>
      </c>
    </row>
    <row r="11527" ht="12" customHeight="1">
      <c r="A11527" s="30" t="inlineStr">
        <is>
          <t>POR</t>
        </is>
      </c>
      <c r="B11527" s="30" t="inlineStr">
        <is>
          <t>Porto Real</t>
        </is>
      </c>
      <c r="C11527" s="30" t="n">
        <v>83894377</v>
      </c>
      <c r="D11527" s="30">
        <f>"52438082002360"</f>
        <v/>
      </c>
      <c r="E11527" s="30" t="inlineStr">
        <is>
          <t>EXPRESSO MIRASSOL LTDA</t>
        </is>
      </c>
      <c r="F11527" s="30" t="inlineStr">
        <is>
          <t>2017</t>
        </is>
      </c>
      <c r="G11527" s="40" t="n">
        <v>223932.25</v>
      </c>
    </row>
    <row r="11528" ht="12" customHeight="1">
      <c r="A11528" s="30" t="inlineStr">
        <is>
          <t>POR</t>
        </is>
      </c>
      <c r="B11528" s="30" t="inlineStr">
        <is>
          <t>Porto Real</t>
        </is>
      </c>
      <c r="C11528" s="30" t="n">
        <v>83894377</v>
      </c>
      <c r="D11528" s="30">
        <f>"52438082002360"</f>
        <v/>
      </c>
      <c r="E11528" s="30" t="inlineStr">
        <is>
          <t>EXPRESSO MIRASSOL LTDA</t>
        </is>
      </c>
      <c r="F11528" s="30" t="inlineStr">
        <is>
          <t>2018</t>
        </is>
      </c>
      <c r="G11528" s="40" t="n">
        <v>0</v>
      </c>
    </row>
    <row r="11529" ht="12" customHeight="1">
      <c r="A11529" s="30" t="inlineStr">
        <is>
          <t>POR</t>
        </is>
      </c>
      <c r="B11529" s="30" t="inlineStr">
        <is>
          <t>Porto Real</t>
        </is>
      </c>
      <c r="C11529" s="30" t="n">
        <v>83894377</v>
      </c>
      <c r="D11529" s="30">
        <f>"52438082002360"</f>
        <v/>
      </c>
      <c r="E11529" s="30" t="inlineStr">
        <is>
          <t>EXPRESSO MIRASSOL LTDA</t>
        </is>
      </c>
      <c r="F11529" s="30" t="inlineStr">
        <is>
          <t>2019</t>
        </is>
      </c>
      <c r="G11529" s="40" t="n">
        <v>0</v>
      </c>
    </row>
    <row r="11530" ht="12" customHeight="1">
      <c r="A11530" s="30" t="inlineStr">
        <is>
          <t>POR</t>
        </is>
      </c>
      <c r="B11530" s="30" t="inlineStr">
        <is>
          <t>Porto Real</t>
        </is>
      </c>
      <c r="C11530" s="30" t="n">
        <v>83918748</v>
      </c>
      <c r="D11530" s="30">
        <f>"31096068000301"</f>
        <v/>
      </c>
      <c r="E11530" s="30" t="inlineStr">
        <is>
          <t>MULTITERMINAIS ALFANDEGADOS DO BRASIL S A</t>
        </is>
      </c>
      <c r="F11530" s="30" t="inlineStr">
        <is>
          <t>2017</t>
        </is>
      </c>
      <c r="G11530" s="40" t="n">
        <v>2698.42</v>
      </c>
    </row>
    <row r="11531" ht="12" customHeight="1">
      <c r="A11531" s="30" t="inlineStr">
        <is>
          <t>POR</t>
        </is>
      </c>
      <c r="B11531" s="30" t="inlineStr">
        <is>
          <t>Porto Real</t>
        </is>
      </c>
      <c r="C11531" s="30" t="n">
        <v>83918748</v>
      </c>
      <c r="D11531" s="30">
        <f>"31096068000301"</f>
        <v/>
      </c>
      <c r="E11531" s="30" t="inlineStr">
        <is>
          <t>MULTITERMINAIS ALFANDEGADOS DO BRASIL S A</t>
        </is>
      </c>
      <c r="F11531" s="30" t="inlineStr">
        <is>
          <t>2018</t>
        </is>
      </c>
      <c r="G11531" s="40" t="n">
        <v>0</v>
      </c>
    </row>
    <row r="11532" ht="12" customHeight="1">
      <c r="A11532" s="30" t="inlineStr">
        <is>
          <t>POR</t>
        </is>
      </c>
      <c r="B11532" s="30" t="inlineStr">
        <is>
          <t>Porto Real</t>
        </is>
      </c>
      <c r="C11532" s="30" t="n">
        <v>83918748</v>
      </c>
      <c r="D11532" s="30">
        <f>"31096068000301"</f>
        <v/>
      </c>
      <c r="E11532" s="30" t="inlineStr">
        <is>
          <t>MULTITERMINAIS ALFANDEGADOS DO BRASIL S A</t>
        </is>
      </c>
      <c r="F11532" s="30" t="inlineStr">
        <is>
          <t>2019</t>
        </is>
      </c>
      <c r="G11532" s="40" t="n">
        <v>0</v>
      </c>
    </row>
    <row r="11533" ht="12" customHeight="1">
      <c r="A11533" s="30" t="inlineStr">
        <is>
          <t>POR</t>
        </is>
      </c>
      <c r="B11533" s="30" t="inlineStr">
        <is>
          <t>Porto Real</t>
        </is>
      </c>
      <c r="C11533" s="30" t="n">
        <v>84089109</v>
      </c>
      <c r="D11533" s="30">
        <f>"17191172000516"</f>
        <v/>
      </c>
      <c r="E11533" s="30" t="inlineStr">
        <is>
          <t>EMPRESA DE TRANSPORTES MARTINS LTDA</t>
        </is>
      </c>
      <c r="F11533" s="30" t="inlineStr">
        <is>
          <t>2017</t>
        </is>
      </c>
      <c r="G11533" s="40" t="n">
        <v>0</v>
      </c>
    </row>
    <row r="11534" ht="12" customHeight="1">
      <c r="A11534" s="30" t="inlineStr">
        <is>
          <t>POR</t>
        </is>
      </c>
      <c r="B11534" s="30" t="inlineStr">
        <is>
          <t>Porto Real</t>
        </is>
      </c>
      <c r="C11534" s="30" t="n">
        <v>84089109</v>
      </c>
      <c r="D11534" s="30">
        <f>"17191172000516"</f>
        <v/>
      </c>
      <c r="E11534" s="30" t="inlineStr">
        <is>
          <t>EMPRESA DE TRANSPORTES MARTINS LTDA</t>
        </is>
      </c>
      <c r="F11534" s="30" t="inlineStr">
        <is>
          <t>2018</t>
        </is>
      </c>
      <c r="G11534" s="40" t="n">
        <v>0</v>
      </c>
    </row>
    <row r="11535" ht="12" customHeight="1">
      <c r="A11535" s="30" t="inlineStr">
        <is>
          <t>POR</t>
        </is>
      </c>
      <c r="B11535" s="30" t="inlineStr">
        <is>
          <t>Porto Real</t>
        </is>
      </c>
      <c r="C11535" s="30" t="n">
        <v>84089109</v>
      </c>
      <c r="D11535" s="30">
        <f>"17191172000516"</f>
        <v/>
      </c>
      <c r="E11535" s="30" t="inlineStr">
        <is>
          <t>EMPRESA DE TRANSPORTES MARTINS LTDA</t>
        </is>
      </c>
      <c r="F11535" s="30" t="inlineStr">
        <is>
          <t>2019</t>
        </is>
      </c>
      <c r="G11535" s="40" t="n">
        <v>510.05</v>
      </c>
    </row>
    <row r="11536" ht="12" customHeight="1">
      <c r="A11536" s="30" t="inlineStr">
        <is>
          <t>POR</t>
        </is>
      </c>
      <c r="B11536" s="30" t="inlineStr">
        <is>
          <t>Porto Real</t>
        </is>
      </c>
      <c r="C11536" s="30" t="n">
        <v>84089109</v>
      </c>
      <c r="D11536" s="30">
        <f>"17191172000516"</f>
        <v/>
      </c>
      <c r="E11536" s="30" t="inlineStr">
        <is>
          <t>EMPRESA DE TRANSPORTES MARTINS LTDA</t>
        </is>
      </c>
      <c r="F11536" s="30" t="inlineStr">
        <is>
          <t>2020</t>
        </is>
      </c>
      <c r="G11536" s="40" t="n">
        <v>511.26</v>
      </c>
    </row>
    <row r="11537" ht="12" customHeight="1">
      <c r="A11537" s="30" t="inlineStr">
        <is>
          <t>POR</t>
        </is>
      </c>
      <c r="B11537" s="30" t="inlineStr">
        <is>
          <t>Porto Real</t>
        </is>
      </c>
      <c r="C11537" s="30" t="n">
        <v>84089109</v>
      </c>
      <c r="D11537" s="30">
        <f>"17191172000516"</f>
        <v/>
      </c>
      <c r="E11537" s="30" t="inlineStr">
        <is>
          <t>EMPRESA DE TRANSPORTES MARTINS LTDA</t>
        </is>
      </c>
      <c r="F11537" s="30" t="inlineStr">
        <is>
          <t>2021</t>
        </is>
      </c>
      <c r="G11537" s="40" t="n">
        <v>0</v>
      </c>
    </row>
    <row r="11538" ht="12" customHeight="1">
      <c r="A11538" s="30" t="inlineStr">
        <is>
          <t>POR</t>
        </is>
      </c>
      <c r="B11538" s="30" t="inlineStr">
        <is>
          <t>Porto Real</t>
        </is>
      </c>
      <c r="C11538" s="30" t="n">
        <v>84089109</v>
      </c>
      <c r="D11538" s="30">
        <f>"17191172000516"</f>
        <v/>
      </c>
      <c r="E11538" s="30" t="inlineStr">
        <is>
          <t>EMPRESA DE TRANSPORTES MARTINS LTDA</t>
        </is>
      </c>
      <c r="F11538" s="30" t="inlineStr">
        <is>
          <t>2022</t>
        </is>
      </c>
      <c r="G11538" s="40" t="n">
        <v>0</v>
      </c>
    </row>
    <row r="11539" ht="12" customHeight="1">
      <c r="A11539" s="30" t="inlineStr">
        <is>
          <t>POR</t>
        </is>
      </c>
      <c r="B11539" s="30" t="inlineStr">
        <is>
          <t>Porto Real</t>
        </is>
      </c>
      <c r="C11539" s="30" t="n">
        <v>84089109</v>
      </c>
      <c r="D11539" s="30">
        <f>"17191172000516"</f>
        <v/>
      </c>
      <c r="E11539" s="30" t="inlineStr">
        <is>
          <t>EMPRESA DE TRANSPORTES MARTINS LTDA</t>
        </is>
      </c>
      <c r="F11539" s="30" t="inlineStr">
        <is>
          <t>2023</t>
        </is>
      </c>
      <c r="G11539" s="40" t="n">
        <v>5989.64</v>
      </c>
    </row>
    <row r="11540" ht="12" customHeight="1">
      <c r="A11540" s="30" t="inlineStr">
        <is>
          <t>POR</t>
        </is>
      </c>
      <c r="B11540" s="30" t="inlineStr">
        <is>
          <t>Porto Real</t>
        </is>
      </c>
      <c r="C11540" s="30" t="n">
        <v>84089311</v>
      </c>
      <c r="D11540" s="30">
        <f>"28679017000136"</f>
        <v/>
      </c>
      <c r="E11540" s="30" t="inlineStr">
        <is>
          <t>VIACAO FALCAO LTDA</t>
        </is>
      </c>
      <c r="F11540" s="30" t="inlineStr">
        <is>
          <t>2017</t>
        </is>
      </c>
      <c r="G11540" s="40" t="n">
        <v>44581.35</v>
      </c>
    </row>
    <row r="11541" ht="12" customHeight="1">
      <c r="A11541" s="30" t="inlineStr">
        <is>
          <t>POR</t>
        </is>
      </c>
      <c r="B11541" s="30" t="inlineStr">
        <is>
          <t>Porto Real</t>
        </is>
      </c>
      <c r="C11541" s="30" t="n">
        <v>84089311</v>
      </c>
      <c r="D11541" s="30">
        <f>"28679017000136"</f>
        <v/>
      </c>
      <c r="E11541" s="30" t="inlineStr">
        <is>
          <t>VIACAO FALCAO LTDA</t>
        </is>
      </c>
      <c r="F11541" s="30" t="inlineStr">
        <is>
          <t>2018</t>
        </is>
      </c>
      <c r="G11541" s="40" t="n">
        <v>0</v>
      </c>
    </row>
    <row r="11542" ht="12" customHeight="1">
      <c r="A11542" s="30" t="inlineStr">
        <is>
          <t>POR</t>
        </is>
      </c>
      <c r="B11542" s="30" t="inlineStr">
        <is>
          <t>Porto Real</t>
        </is>
      </c>
      <c r="C11542" s="30" t="n">
        <v>84089311</v>
      </c>
      <c r="D11542" s="30">
        <f>"28679017000136"</f>
        <v/>
      </c>
      <c r="E11542" s="30" t="inlineStr">
        <is>
          <t>VIACAO FALCAO LTDA</t>
        </is>
      </c>
      <c r="F11542" s="30" t="inlineStr">
        <is>
          <t>2019</t>
        </is>
      </c>
      <c r="G11542" s="40" t="n">
        <v>0</v>
      </c>
    </row>
    <row r="11543" ht="12" customHeight="1">
      <c r="A11543" s="30" t="inlineStr">
        <is>
          <t>POR</t>
        </is>
      </c>
      <c r="B11543" s="30" t="inlineStr">
        <is>
          <t>Porto Real</t>
        </is>
      </c>
      <c r="C11543" s="30" t="n">
        <v>84089311</v>
      </c>
      <c r="D11543" s="30">
        <f>"28679017000136"</f>
        <v/>
      </c>
      <c r="E11543" s="30" t="inlineStr">
        <is>
          <t>VIACAO FALCAO LTDA</t>
        </is>
      </c>
      <c r="F11543" s="30" t="inlineStr">
        <is>
          <t>2020</t>
        </is>
      </c>
      <c r="G11543" s="40" t="n">
        <v>0</v>
      </c>
    </row>
    <row r="11544" ht="12" customHeight="1">
      <c r="A11544" s="30" t="inlineStr">
        <is>
          <t>POR</t>
        </is>
      </c>
      <c r="B11544" s="30" t="inlineStr">
        <is>
          <t>Porto Real</t>
        </is>
      </c>
      <c r="C11544" s="30" t="n">
        <v>84089311</v>
      </c>
      <c r="D11544" s="30">
        <f>"28679017000136"</f>
        <v/>
      </c>
      <c r="E11544" s="30" t="inlineStr">
        <is>
          <t>VIACAO FALCAO LTDA</t>
        </is>
      </c>
      <c r="F11544" s="30" t="inlineStr">
        <is>
          <t>2021</t>
        </is>
      </c>
      <c r="G11544" s="40" t="n">
        <v>275203.1</v>
      </c>
    </row>
    <row r="11545" ht="12" customHeight="1">
      <c r="A11545" s="30" t="inlineStr">
        <is>
          <t>POR</t>
        </is>
      </c>
      <c r="B11545" s="30" t="inlineStr">
        <is>
          <t>Porto Real</t>
        </is>
      </c>
      <c r="C11545" s="30" t="n">
        <v>84089311</v>
      </c>
      <c r="D11545" s="30">
        <f>"28679017000136"</f>
        <v/>
      </c>
      <c r="E11545" s="30" t="inlineStr">
        <is>
          <t>VIACAO FALCAO LTDA</t>
        </is>
      </c>
      <c r="F11545" s="30" t="inlineStr">
        <is>
          <t>2022</t>
        </is>
      </c>
      <c r="G11545" s="40" t="n">
        <v>673620.15</v>
      </c>
    </row>
    <row r="11546" ht="12" customHeight="1">
      <c r="A11546" s="30" t="inlineStr">
        <is>
          <t>POR</t>
        </is>
      </c>
      <c r="B11546" s="30" t="inlineStr">
        <is>
          <t>Porto Real</t>
        </is>
      </c>
      <c r="C11546" s="30" t="n">
        <v>84089311</v>
      </c>
      <c r="D11546" s="30">
        <f>"28679017000136"</f>
        <v/>
      </c>
      <c r="E11546" s="30" t="inlineStr">
        <is>
          <t>VIACAO FALCAO LTDA</t>
        </is>
      </c>
      <c r="F11546" s="30" t="inlineStr">
        <is>
          <t>2023</t>
        </is>
      </c>
      <c r="G11546" s="40" t="n">
        <v>945641.25</v>
      </c>
    </row>
    <row r="11547" ht="12" customHeight="1">
      <c r="A11547" s="30" t="inlineStr">
        <is>
          <t>POR</t>
        </is>
      </c>
      <c r="B11547" s="30" t="inlineStr">
        <is>
          <t>Porto Real</t>
        </is>
      </c>
      <c r="C11547" s="30" t="n">
        <v>84089478</v>
      </c>
      <c r="D11547" s="30">
        <f>"45199510000844"</f>
        <v/>
      </c>
      <c r="E11547" s="30" t="inlineStr">
        <is>
          <t>TRANSPORTADORA SOBERANA LTDA</t>
        </is>
      </c>
      <c r="F11547" s="30" t="inlineStr">
        <is>
          <t>2017</t>
        </is>
      </c>
      <c r="G11547" s="40" t="n">
        <v>85085</v>
      </c>
    </row>
    <row r="11548" ht="12" customHeight="1">
      <c r="A11548" s="30" t="inlineStr">
        <is>
          <t>POR</t>
        </is>
      </c>
      <c r="B11548" s="30" t="inlineStr">
        <is>
          <t>Porto Real</t>
        </is>
      </c>
      <c r="C11548" s="30" t="n">
        <v>84089478</v>
      </c>
      <c r="D11548" s="30">
        <f>"45199510000844"</f>
        <v/>
      </c>
      <c r="E11548" s="30" t="inlineStr">
        <is>
          <t>TRANSPORTADORA SOBERANA LTDA</t>
        </is>
      </c>
      <c r="F11548" s="30" t="inlineStr">
        <is>
          <t>2018</t>
        </is>
      </c>
      <c r="G11548" s="40" t="n">
        <v>95731.02</v>
      </c>
    </row>
    <row r="11549" ht="12" customHeight="1">
      <c r="A11549" s="30" t="inlineStr">
        <is>
          <t>POR</t>
        </is>
      </c>
      <c r="B11549" s="30" t="inlineStr">
        <is>
          <t>Porto Real</t>
        </is>
      </c>
      <c r="C11549" s="30" t="n">
        <v>84089478</v>
      </c>
      <c r="D11549" s="30">
        <f>"45199510000844"</f>
        <v/>
      </c>
      <c r="E11549" s="30" t="inlineStr">
        <is>
          <t>TRANSPORTADORA SOBERANA LTDA</t>
        </is>
      </c>
      <c r="F11549" s="30" t="inlineStr">
        <is>
          <t>2019</t>
        </is>
      </c>
      <c r="G11549" s="40" t="n">
        <v>0</v>
      </c>
    </row>
    <row r="11550" ht="12" customHeight="1">
      <c r="A11550" s="30" t="inlineStr">
        <is>
          <t>POR</t>
        </is>
      </c>
      <c r="B11550" s="30" t="inlineStr">
        <is>
          <t>Porto Real</t>
        </is>
      </c>
      <c r="C11550" s="30" t="n">
        <v>84089478</v>
      </c>
      <c r="D11550" s="30">
        <f>"45199510000844"</f>
        <v/>
      </c>
      <c r="E11550" s="30" t="inlineStr">
        <is>
          <t>TRANSPORTADORA SOBERANA LTDA</t>
        </is>
      </c>
      <c r="F11550" s="30" t="inlineStr">
        <is>
          <t>2020</t>
        </is>
      </c>
      <c r="G11550" s="40" t="n">
        <v>0</v>
      </c>
    </row>
    <row r="11551" ht="12" customHeight="1">
      <c r="A11551" s="30" t="inlineStr">
        <is>
          <t>POR</t>
        </is>
      </c>
      <c r="B11551" s="30" t="inlineStr">
        <is>
          <t>Porto Real</t>
        </is>
      </c>
      <c r="C11551" s="30" t="n">
        <v>84118036</v>
      </c>
      <c r="D11551" s="30">
        <f>"29813896000100"</f>
        <v/>
      </c>
      <c r="E11551" s="30" t="inlineStr">
        <is>
          <t>RADIO DIFUSORA PORTO REAL LTDA</t>
        </is>
      </c>
      <c r="F11551" s="30" t="inlineStr">
        <is>
          <t>2017</t>
        </is>
      </c>
      <c r="G11551" s="40" t="n">
        <v>0</v>
      </c>
    </row>
    <row r="11552" ht="12" customHeight="1">
      <c r="A11552" s="30" t="inlineStr">
        <is>
          <t>POR</t>
        </is>
      </c>
      <c r="B11552" s="30" t="inlineStr">
        <is>
          <t>Porto Real</t>
        </is>
      </c>
      <c r="C11552" s="30" t="n">
        <v>84118036</v>
      </c>
      <c r="D11552" s="30">
        <f>"29813896000100"</f>
        <v/>
      </c>
      <c r="E11552" s="30" t="inlineStr">
        <is>
          <t>RADIO DIFUSORA PORTO REAL LTDA</t>
        </is>
      </c>
      <c r="F11552" s="30" t="inlineStr">
        <is>
          <t>2018</t>
        </is>
      </c>
      <c r="G11552" s="40" t="n">
        <v>0</v>
      </c>
    </row>
    <row r="11553" ht="12" customHeight="1">
      <c r="A11553" s="30" t="inlineStr">
        <is>
          <t>POR</t>
        </is>
      </c>
      <c r="B11553" s="30" t="inlineStr">
        <is>
          <t>Porto Real</t>
        </is>
      </c>
      <c r="C11553" s="30" t="n">
        <v>84118036</v>
      </c>
      <c r="D11553" s="30">
        <f>"29813896000100"</f>
        <v/>
      </c>
      <c r="E11553" s="30" t="inlineStr">
        <is>
          <t>RADIO DIFUSORA PORTO REAL LTDA</t>
        </is>
      </c>
      <c r="F11553" s="30" t="inlineStr">
        <is>
          <t>2019</t>
        </is>
      </c>
      <c r="G11553" s="40" t="n">
        <v>0</v>
      </c>
    </row>
    <row r="11554" ht="12" customHeight="1">
      <c r="A11554" s="30" t="inlineStr">
        <is>
          <t>POR</t>
        </is>
      </c>
      <c r="B11554" s="30" t="inlineStr">
        <is>
          <t>Porto Real</t>
        </is>
      </c>
      <c r="C11554" s="30" t="n">
        <v>84118036</v>
      </c>
      <c r="D11554" s="30">
        <f>"29813896000100"</f>
        <v/>
      </c>
      <c r="E11554" s="30" t="inlineStr">
        <is>
          <t>RADIO DIFUSORA PORTO REAL LTDA</t>
        </is>
      </c>
      <c r="F11554" s="30" t="inlineStr">
        <is>
          <t>2020</t>
        </is>
      </c>
      <c r="G11554" s="40" t="n">
        <v>0</v>
      </c>
    </row>
    <row r="11555" ht="12" customHeight="1">
      <c r="A11555" s="30" t="inlineStr">
        <is>
          <t>POR</t>
        </is>
      </c>
      <c r="B11555" s="30" t="inlineStr">
        <is>
          <t>Porto Real</t>
        </is>
      </c>
      <c r="C11555" s="30" t="n">
        <v>84325767</v>
      </c>
      <c r="D11555" s="30">
        <f>"40160558000159"</f>
        <v/>
      </c>
      <c r="E11555" s="30" t="inlineStr">
        <is>
          <t>TRANSPORTE E TURISMO REAL BRASIL LTDA</t>
        </is>
      </c>
      <c r="F11555" s="30" t="inlineStr">
        <is>
          <t>2017</t>
        </is>
      </c>
      <c r="G11555" s="40" t="n">
        <v>0</v>
      </c>
    </row>
    <row r="11556" ht="12" customHeight="1">
      <c r="A11556" s="30" t="inlineStr">
        <is>
          <t>POR</t>
        </is>
      </c>
      <c r="B11556" s="30" t="inlineStr">
        <is>
          <t>Porto Real</t>
        </is>
      </c>
      <c r="C11556" s="30" t="n">
        <v>84325767</v>
      </c>
      <c r="D11556" s="30">
        <f>"40160558000159"</f>
        <v/>
      </c>
      <c r="E11556" s="30" t="inlineStr">
        <is>
          <t>TRANSPORTE E TURISMO REAL BRASIL LTDA</t>
        </is>
      </c>
      <c r="F11556" s="30" t="inlineStr">
        <is>
          <t>2018</t>
        </is>
      </c>
      <c r="G11556" s="40" t="n">
        <v>0</v>
      </c>
    </row>
    <row r="11557" ht="12" customHeight="1">
      <c r="A11557" s="30" t="inlineStr">
        <is>
          <t>POR</t>
        </is>
      </c>
      <c r="B11557" s="30" t="inlineStr">
        <is>
          <t>Porto Real</t>
        </is>
      </c>
      <c r="C11557" s="30" t="n">
        <v>84325767</v>
      </c>
      <c r="D11557" s="30">
        <f>"40160558000159"</f>
        <v/>
      </c>
      <c r="E11557" s="30" t="inlineStr">
        <is>
          <t>TRANSPORTE E TURISMO REAL BRASIL LTDA</t>
        </is>
      </c>
      <c r="F11557" s="30" t="inlineStr">
        <is>
          <t>2019</t>
        </is>
      </c>
      <c r="G11557" s="40" t="n">
        <v>1800</v>
      </c>
    </row>
    <row r="11558" ht="12" customHeight="1">
      <c r="A11558" s="30" t="inlineStr">
        <is>
          <t>POR</t>
        </is>
      </c>
      <c r="B11558" s="30" t="inlineStr">
        <is>
          <t>Porto Real</t>
        </is>
      </c>
      <c r="C11558" s="30" t="n">
        <v>84325767</v>
      </c>
      <c r="D11558" s="30">
        <f>"40160558000159"</f>
        <v/>
      </c>
      <c r="E11558" s="30" t="inlineStr">
        <is>
          <t>TRANSPORTE E TURISMO REAL BRASIL LTDA</t>
        </is>
      </c>
      <c r="F11558" s="30" t="inlineStr">
        <is>
          <t>2020</t>
        </is>
      </c>
      <c r="G11558" s="40" t="n">
        <v>0</v>
      </c>
    </row>
    <row r="11559" ht="12" customHeight="1">
      <c r="A11559" s="30" t="inlineStr">
        <is>
          <t>POR</t>
        </is>
      </c>
      <c r="B11559" s="30" t="inlineStr">
        <is>
          <t>Porto Real</t>
        </is>
      </c>
      <c r="C11559" s="30" t="n">
        <v>84325767</v>
      </c>
      <c r="D11559" s="30">
        <f>"40160558000159"</f>
        <v/>
      </c>
      <c r="E11559" s="30" t="inlineStr">
        <is>
          <t>TRANSPORTE E TURISMO REAL BRASIL LTDA</t>
        </is>
      </c>
      <c r="F11559" s="30" t="inlineStr">
        <is>
          <t>2021</t>
        </is>
      </c>
      <c r="G11559" s="40" t="n">
        <v>0</v>
      </c>
    </row>
    <row r="11560" ht="12" customHeight="1">
      <c r="A11560" s="30" t="inlineStr">
        <is>
          <t>POR</t>
        </is>
      </c>
      <c r="B11560" s="30" t="inlineStr">
        <is>
          <t>Porto Real</t>
        </is>
      </c>
      <c r="C11560" s="30" t="n">
        <v>84326941</v>
      </c>
      <c r="D11560" s="30">
        <f>"32438772000449"</f>
        <v/>
      </c>
      <c r="E11560" s="30" t="inlineStr">
        <is>
          <t>TRANSPORTADORA JOLIVAN LTDA</t>
        </is>
      </c>
      <c r="F11560" s="30" t="inlineStr">
        <is>
          <t>2020</t>
        </is>
      </c>
      <c r="G11560" s="40" t="n">
        <v>0</v>
      </c>
    </row>
    <row r="11561" ht="12" customHeight="1">
      <c r="A11561" s="30" t="inlineStr">
        <is>
          <t>POR</t>
        </is>
      </c>
      <c r="B11561" s="30" t="inlineStr">
        <is>
          <t>Porto Real</t>
        </is>
      </c>
      <c r="C11561" s="30" t="n">
        <v>84326941</v>
      </c>
      <c r="D11561" s="30">
        <f>"32438772000449"</f>
        <v/>
      </c>
      <c r="E11561" s="30" t="inlineStr">
        <is>
          <t>TRANSPORTADORA JOLIVAN LTDA</t>
        </is>
      </c>
      <c r="F11561" s="30" t="inlineStr">
        <is>
          <t>2021</t>
        </is>
      </c>
      <c r="G11561" s="40" t="n">
        <v>0</v>
      </c>
    </row>
    <row r="11562" ht="12" customHeight="1">
      <c r="A11562" s="30" t="inlineStr">
        <is>
          <t>POR</t>
        </is>
      </c>
      <c r="B11562" s="30" t="inlineStr">
        <is>
          <t>Porto Real</t>
        </is>
      </c>
      <c r="C11562" s="30" t="n">
        <v>84326941</v>
      </c>
      <c r="D11562" s="30">
        <f>"32438772000449"</f>
        <v/>
      </c>
      <c r="E11562" s="30" t="inlineStr">
        <is>
          <t>TRANSPORTADORA JOLIVAN LTDA</t>
        </is>
      </c>
      <c r="F11562" s="30" t="inlineStr">
        <is>
          <t>2022</t>
        </is>
      </c>
      <c r="G11562" s="40" t="n">
        <v>8094.34</v>
      </c>
    </row>
    <row r="11563" ht="12" customHeight="1">
      <c r="A11563" s="30" t="inlineStr">
        <is>
          <t>POR</t>
        </is>
      </c>
      <c r="B11563" s="30" t="inlineStr">
        <is>
          <t>Porto Real</t>
        </is>
      </c>
      <c r="C11563" s="30" t="n">
        <v>84326941</v>
      </c>
      <c r="D11563" s="30">
        <f>"32438772000449"</f>
        <v/>
      </c>
      <c r="E11563" s="30" t="inlineStr">
        <is>
          <t>TRANSPORTADORA JOLIVAN LTDA</t>
        </is>
      </c>
      <c r="F11563" s="30" t="inlineStr">
        <is>
          <t>2023</t>
        </is>
      </c>
      <c r="G11563" s="40" t="n">
        <v>0</v>
      </c>
    </row>
    <row r="11564" ht="12" customHeight="1">
      <c r="A11564" s="30" t="inlineStr">
        <is>
          <t>POR</t>
        </is>
      </c>
      <c r="B11564" s="30" t="inlineStr">
        <is>
          <t>Porto Real</t>
        </is>
      </c>
      <c r="C11564" s="30" t="n">
        <v>84326992</v>
      </c>
      <c r="D11564" s="30">
        <f>"32314247000179"</f>
        <v/>
      </c>
      <c r="E11564" s="30" t="inlineStr">
        <is>
          <t>MTD TRANSPORTES LTDA</t>
        </is>
      </c>
      <c r="F11564" s="30" t="inlineStr">
        <is>
          <t>2020</t>
        </is>
      </c>
      <c r="G11564" s="40" t="n">
        <v>0</v>
      </c>
    </row>
    <row r="11565" ht="12" customHeight="1">
      <c r="A11565" s="30" t="inlineStr">
        <is>
          <t>POR</t>
        </is>
      </c>
      <c r="B11565" s="30" t="inlineStr">
        <is>
          <t>Porto Real</t>
        </is>
      </c>
      <c r="C11565" s="30" t="n">
        <v>84326992</v>
      </c>
      <c r="D11565" s="30">
        <f>"32314247000179"</f>
        <v/>
      </c>
      <c r="E11565" s="30" t="inlineStr">
        <is>
          <t>MTD TRANSPORTES LTDA</t>
        </is>
      </c>
      <c r="F11565" s="30" t="inlineStr">
        <is>
          <t>2021</t>
        </is>
      </c>
      <c r="G11565" s="40" t="n">
        <v>0</v>
      </c>
    </row>
    <row r="11566" ht="12" customHeight="1">
      <c r="A11566" s="30" t="inlineStr">
        <is>
          <t>POR</t>
        </is>
      </c>
      <c r="B11566" s="30" t="inlineStr">
        <is>
          <t>Porto Real</t>
        </is>
      </c>
      <c r="C11566" s="30" t="n">
        <v>84326992</v>
      </c>
      <c r="D11566" s="30">
        <f>"32314247000179"</f>
        <v/>
      </c>
      <c r="E11566" s="30" t="inlineStr">
        <is>
          <t>MTD TRANSPORTES LTDA</t>
        </is>
      </c>
      <c r="F11566" s="30" t="inlineStr">
        <is>
          <t>2022</t>
        </is>
      </c>
      <c r="G11566" s="40" t="n">
        <v>40</v>
      </c>
    </row>
    <row r="11567" ht="12" customHeight="1">
      <c r="A11567" s="30" t="inlineStr">
        <is>
          <t>POR</t>
        </is>
      </c>
      <c r="B11567" s="30" t="inlineStr">
        <is>
          <t>Porto Real</t>
        </is>
      </c>
      <c r="C11567" s="30" t="n">
        <v>84326992</v>
      </c>
      <c r="D11567" s="30">
        <f>"32314247000179"</f>
        <v/>
      </c>
      <c r="E11567" s="30" t="inlineStr">
        <is>
          <t>MTD TRANSPORTES LTDA</t>
        </is>
      </c>
      <c r="F11567" s="30" t="inlineStr">
        <is>
          <t>2023</t>
        </is>
      </c>
      <c r="G11567" s="40" t="n">
        <v>0</v>
      </c>
    </row>
    <row r="11568" ht="12" customHeight="1">
      <c r="A11568" s="30" t="inlineStr">
        <is>
          <t>POR</t>
        </is>
      </c>
      <c r="B11568" s="30" t="inlineStr">
        <is>
          <t>Porto Real</t>
        </is>
      </c>
      <c r="C11568" s="30" t="n">
        <v>84327093</v>
      </c>
      <c r="D11568" s="30">
        <f>"66199068000311"</f>
        <v/>
      </c>
      <c r="E11568" s="30" t="inlineStr">
        <is>
          <t>RAPIDO ALEM PARAIBA LTDA</t>
        </is>
      </c>
      <c r="F11568" s="30" t="inlineStr">
        <is>
          <t>2017</t>
        </is>
      </c>
      <c r="G11568" s="40" t="n">
        <v>0</v>
      </c>
    </row>
    <row r="11569" ht="12" customHeight="1">
      <c r="A11569" s="30" t="inlineStr">
        <is>
          <t>POR</t>
        </is>
      </c>
      <c r="B11569" s="30" t="inlineStr">
        <is>
          <t>Porto Real</t>
        </is>
      </c>
      <c r="C11569" s="30" t="n">
        <v>84327093</v>
      </c>
      <c r="D11569" s="30">
        <f>"66199068000311"</f>
        <v/>
      </c>
      <c r="E11569" s="30" t="inlineStr">
        <is>
          <t>RAPIDO ALEM PARAIBA LTDA</t>
        </is>
      </c>
      <c r="F11569" s="30" t="inlineStr">
        <is>
          <t>2018</t>
        </is>
      </c>
      <c r="G11569" s="40" t="n">
        <v>148</v>
      </c>
    </row>
    <row r="11570" ht="12" customHeight="1">
      <c r="A11570" s="30" t="inlineStr">
        <is>
          <t>POR</t>
        </is>
      </c>
      <c r="B11570" s="30" t="inlineStr">
        <is>
          <t>Porto Real</t>
        </is>
      </c>
      <c r="C11570" s="30" t="n">
        <v>84327093</v>
      </c>
      <c r="D11570" s="30">
        <f>"66199068000311"</f>
        <v/>
      </c>
      <c r="E11570" s="30" t="inlineStr">
        <is>
          <t>RAPIDO ALEM PARAIBA LTDA</t>
        </is>
      </c>
      <c r="F11570" s="30" t="inlineStr">
        <is>
          <t>2019</t>
        </is>
      </c>
      <c r="G11570" s="40" t="n">
        <v>0</v>
      </c>
    </row>
    <row r="11571" ht="12" customHeight="1">
      <c r="A11571" s="30" t="inlineStr">
        <is>
          <t>POR</t>
        </is>
      </c>
      <c r="B11571" s="30" t="inlineStr">
        <is>
          <t>Porto Real</t>
        </is>
      </c>
      <c r="C11571" s="30" t="n">
        <v>84327093</v>
      </c>
      <c r="D11571" s="30">
        <f>"66199068000311"</f>
        <v/>
      </c>
      <c r="E11571" s="30" t="inlineStr">
        <is>
          <t>RAPIDO ALEM PARAIBA LTDA</t>
        </is>
      </c>
      <c r="F11571" s="30" t="inlineStr">
        <is>
          <t>2020</t>
        </is>
      </c>
      <c r="G11571" s="40" t="n">
        <v>0</v>
      </c>
    </row>
    <row r="11572" ht="12" customHeight="1">
      <c r="A11572" s="30" t="inlineStr">
        <is>
          <t>POR</t>
        </is>
      </c>
      <c r="B11572" s="30" t="inlineStr">
        <is>
          <t>Porto Real</t>
        </is>
      </c>
      <c r="C11572" s="30" t="n">
        <v>84327093</v>
      </c>
      <c r="D11572" s="30">
        <f>"66199068000311"</f>
        <v/>
      </c>
      <c r="E11572" s="30" t="inlineStr">
        <is>
          <t>RAPIDO ALEM PARAIBA LTDA</t>
        </is>
      </c>
      <c r="F11572" s="30" t="inlineStr">
        <is>
          <t>2021</t>
        </is>
      </c>
      <c r="G11572" s="40" t="n">
        <v>75</v>
      </c>
    </row>
    <row r="11573" ht="12" customHeight="1">
      <c r="A11573" s="30" t="inlineStr">
        <is>
          <t>POR</t>
        </is>
      </c>
      <c r="B11573" s="30" t="inlineStr">
        <is>
          <t>Porto Real</t>
        </is>
      </c>
      <c r="C11573" s="30" t="n">
        <v>84327093</v>
      </c>
      <c r="D11573" s="30">
        <f>"66199068000311"</f>
        <v/>
      </c>
      <c r="E11573" s="30" t="inlineStr">
        <is>
          <t>RAPIDO ALEM PARAIBA LTDA</t>
        </is>
      </c>
      <c r="F11573" s="30" t="inlineStr">
        <is>
          <t>2022</t>
        </is>
      </c>
      <c r="G11573" s="40" t="n">
        <v>0</v>
      </c>
    </row>
    <row r="11574" ht="12" customHeight="1">
      <c r="A11574" s="30" t="inlineStr">
        <is>
          <t>POR</t>
        </is>
      </c>
      <c r="B11574" s="30" t="inlineStr">
        <is>
          <t>Porto Real</t>
        </is>
      </c>
      <c r="C11574" s="30" t="n">
        <v>84327093</v>
      </c>
      <c r="D11574" s="30">
        <f>"66199068000311"</f>
        <v/>
      </c>
      <c r="E11574" s="30" t="inlineStr">
        <is>
          <t>RAPIDO ALEM PARAIBA LTDA</t>
        </is>
      </c>
      <c r="F11574" s="30" t="inlineStr">
        <is>
          <t>2023</t>
        </is>
      </c>
      <c r="G11574" s="40" t="n">
        <v>345.24</v>
      </c>
    </row>
    <row r="11575" ht="12" customHeight="1">
      <c r="A11575" s="30" t="inlineStr">
        <is>
          <t>POR</t>
        </is>
      </c>
      <c r="B11575" s="30" t="inlineStr">
        <is>
          <t>Porto Real</t>
        </is>
      </c>
      <c r="C11575" s="30" t="n">
        <v>84327565</v>
      </c>
      <c r="D11575" s="30">
        <f>"19451038000370"</f>
        <v/>
      </c>
      <c r="E11575" s="30" t="inlineStr">
        <is>
          <t>RODOVIARIO CAMILO DOS SANTOS FILHO LTDA</t>
        </is>
      </c>
      <c r="F11575" s="30" t="inlineStr">
        <is>
          <t>2017</t>
        </is>
      </c>
      <c r="G11575" s="40" t="n">
        <v>0</v>
      </c>
    </row>
    <row r="11576" ht="12" customHeight="1">
      <c r="A11576" s="30" t="inlineStr">
        <is>
          <t>POR</t>
        </is>
      </c>
      <c r="B11576" s="30" t="inlineStr">
        <is>
          <t>Porto Real</t>
        </is>
      </c>
      <c r="C11576" s="30" t="n">
        <v>84327565</v>
      </c>
      <c r="D11576" s="30">
        <f>"19451038000370"</f>
        <v/>
      </c>
      <c r="E11576" s="30" t="inlineStr">
        <is>
          <t>RODOVIARIO CAMILO DOS SANTOS FILHO LTDA</t>
        </is>
      </c>
      <c r="F11576" s="30" t="inlineStr">
        <is>
          <t>2018</t>
        </is>
      </c>
      <c r="G11576" s="40" t="n">
        <v>0</v>
      </c>
    </row>
    <row r="11577" ht="12" customHeight="1">
      <c r="A11577" s="30" t="inlineStr">
        <is>
          <t>POR</t>
        </is>
      </c>
      <c r="B11577" s="30" t="inlineStr">
        <is>
          <t>Porto Real</t>
        </is>
      </c>
      <c r="C11577" s="30" t="n">
        <v>84327565</v>
      </c>
      <c r="D11577" s="30">
        <f>"19451038000370"</f>
        <v/>
      </c>
      <c r="E11577" s="30" t="inlineStr">
        <is>
          <t>RODOVIARIO CAMILO DOS SANTOS FILHO LTDA</t>
        </is>
      </c>
      <c r="F11577" s="30" t="inlineStr">
        <is>
          <t>2019</t>
        </is>
      </c>
      <c r="G11577" s="40" t="n">
        <v>944.04</v>
      </c>
    </row>
    <row r="11578" ht="12" customHeight="1">
      <c r="A11578" s="30" t="inlineStr">
        <is>
          <t>POR</t>
        </is>
      </c>
      <c r="B11578" s="30" t="inlineStr">
        <is>
          <t>Porto Real</t>
        </is>
      </c>
      <c r="C11578" s="30" t="n">
        <v>84327565</v>
      </c>
      <c r="D11578" s="30">
        <f>"19451038000370"</f>
        <v/>
      </c>
      <c r="E11578" s="30" t="inlineStr">
        <is>
          <t>RODOVIARIO CAMILO DOS SANTOS FILHO LTDA</t>
        </is>
      </c>
      <c r="F11578" s="30" t="inlineStr">
        <is>
          <t>2020</t>
        </is>
      </c>
      <c r="G11578" s="40" t="n">
        <v>80.20999999999999</v>
      </c>
    </row>
    <row r="11579" ht="12" customHeight="1">
      <c r="A11579" s="30" t="inlineStr">
        <is>
          <t>POR</t>
        </is>
      </c>
      <c r="B11579" s="30" t="inlineStr">
        <is>
          <t>Porto Real</t>
        </is>
      </c>
      <c r="C11579" s="30" t="n">
        <v>84327565</v>
      </c>
      <c r="D11579" s="30">
        <f>"19451038000370"</f>
        <v/>
      </c>
      <c r="E11579" s="30" t="inlineStr">
        <is>
          <t>RODOVIARIO CAMILO DOS SANTOS FILHO LTDA</t>
        </is>
      </c>
      <c r="F11579" s="30" t="inlineStr">
        <is>
          <t>2021</t>
        </is>
      </c>
      <c r="G11579" s="40" t="n">
        <v>2373.95</v>
      </c>
    </row>
    <row r="11580" ht="12" customHeight="1">
      <c r="A11580" s="30" t="inlineStr">
        <is>
          <t>POR</t>
        </is>
      </c>
      <c r="B11580" s="30" t="inlineStr">
        <is>
          <t>Porto Real</t>
        </is>
      </c>
      <c r="C11580" s="30" t="n">
        <v>84327565</v>
      </c>
      <c r="D11580" s="30">
        <f>"19451038000370"</f>
        <v/>
      </c>
      <c r="E11580" s="30" t="inlineStr">
        <is>
          <t>RODOVIARIO CAMILO DOS SANTOS FILHO LTDA</t>
        </is>
      </c>
      <c r="F11580" s="30" t="inlineStr">
        <is>
          <t>2022</t>
        </is>
      </c>
      <c r="G11580" s="40" t="n">
        <v>1468.3</v>
      </c>
    </row>
    <row r="11581" ht="12" customHeight="1">
      <c r="A11581" s="30" t="inlineStr">
        <is>
          <t>POR</t>
        </is>
      </c>
      <c r="B11581" s="30" t="inlineStr">
        <is>
          <t>Porto Real</t>
        </is>
      </c>
      <c r="C11581" s="30" t="n">
        <v>84327565</v>
      </c>
      <c r="D11581" s="30">
        <f>"19451038000370"</f>
        <v/>
      </c>
      <c r="E11581" s="30" t="inlineStr">
        <is>
          <t>RODOVIARIO CAMILO DOS SANTOS FILHO LTDA</t>
        </is>
      </c>
      <c r="F11581" s="30" t="inlineStr">
        <is>
          <t>2023</t>
        </is>
      </c>
      <c r="G11581" s="40" t="n">
        <v>1264.56</v>
      </c>
    </row>
    <row r="11582" ht="12" customHeight="1">
      <c r="A11582" s="30" t="inlineStr">
        <is>
          <t>POR</t>
        </is>
      </c>
      <c r="B11582" s="30" t="inlineStr">
        <is>
          <t>Porto Real</t>
        </is>
      </c>
      <c r="C11582" s="30" t="n">
        <v>84328596</v>
      </c>
      <c r="D11582" s="30">
        <f>"58581653000272"</f>
        <v/>
      </c>
      <c r="E11582" s="30" t="inlineStr">
        <is>
          <t>VITRASA TRANSPORTES LTDA</t>
        </is>
      </c>
      <c r="F11582" s="30" t="inlineStr">
        <is>
          <t>2017</t>
        </is>
      </c>
      <c r="G11582" s="40" t="n">
        <v>0</v>
      </c>
    </row>
    <row r="11583" ht="12" customHeight="1">
      <c r="A11583" s="30" t="inlineStr">
        <is>
          <t>POR</t>
        </is>
      </c>
      <c r="B11583" s="30" t="inlineStr">
        <is>
          <t>Porto Real</t>
        </is>
      </c>
      <c r="C11583" s="30" t="n">
        <v>84328596</v>
      </c>
      <c r="D11583" s="30">
        <f>"58581653000272"</f>
        <v/>
      </c>
      <c r="E11583" s="30" t="inlineStr">
        <is>
          <t>VITRASA TRANSPORTES LTDA</t>
        </is>
      </c>
      <c r="F11583" s="30" t="inlineStr">
        <is>
          <t>2018</t>
        </is>
      </c>
      <c r="G11583" s="40" t="n">
        <v>0</v>
      </c>
    </row>
    <row r="11584" ht="12" customHeight="1">
      <c r="A11584" s="30" t="inlineStr">
        <is>
          <t>POR</t>
        </is>
      </c>
      <c r="B11584" s="30" t="inlineStr">
        <is>
          <t>Porto Real</t>
        </is>
      </c>
      <c r="C11584" s="30" t="n">
        <v>84328596</v>
      </c>
      <c r="D11584" s="30">
        <f>"58581653000272"</f>
        <v/>
      </c>
      <c r="E11584" s="30" t="inlineStr">
        <is>
          <t>VITRASA TRANSPORTES LTDA</t>
        </is>
      </c>
      <c r="F11584" s="30" t="inlineStr">
        <is>
          <t>2019</t>
        </is>
      </c>
      <c r="G11584" s="40" t="n">
        <v>6000</v>
      </c>
    </row>
    <row r="11585" ht="12" customHeight="1">
      <c r="A11585" s="30" t="inlineStr">
        <is>
          <t>POR</t>
        </is>
      </c>
      <c r="B11585" s="30" t="inlineStr">
        <is>
          <t>Porto Real</t>
        </is>
      </c>
      <c r="C11585" s="30" t="n">
        <v>84328596</v>
      </c>
      <c r="D11585" s="30">
        <f>"58581653000272"</f>
        <v/>
      </c>
      <c r="E11585" s="30" t="inlineStr">
        <is>
          <t>VITRASA TRANSPORTES LTDA</t>
        </is>
      </c>
      <c r="F11585" s="30" t="inlineStr">
        <is>
          <t>2020</t>
        </is>
      </c>
      <c r="G11585" s="40" t="n">
        <v>0</v>
      </c>
    </row>
    <row r="11586" ht="12" customHeight="1">
      <c r="A11586" s="30" t="inlineStr">
        <is>
          <t>POR</t>
        </is>
      </c>
      <c r="B11586" s="30" t="inlineStr">
        <is>
          <t>Porto Real</t>
        </is>
      </c>
      <c r="C11586" s="30" t="n">
        <v>84328596</v>
      </c>
      <c r="D11586" s="30">
        <f>"58581653000272"</f>
        <v/>
      </c>
      <c r="E11586" s="30" t="inlineStr">
        <is>
          <t>VITRASA TRANSPORTES LTDA</t>
        </is>
      </c>
      <c r="F11586" s="30" t="inlineStr">
        <is>
          <t>2021</t>
        </is>
      </c>
      <c r="G11586" s="40" t="n">
        <v>3636.36</v>
      </c>
    </row>
    <row r="11587" ht="12" customHeight="1">
      <c r="A11587" s="30" t="inlineStr">
        <is>
          <t>POR</t>
        </is>
      </c>
      <c r="B11587" s="30" t="inlineStr">
        <is>
          <t>Porto Real</t>
        </is>
      </c>
      <c r="C11587" s="30" t="n">
        <v>84328596</v>
      </c>
      <c r="D11587" s="30">
        <f>"58581653000272"</f>
        <v/>
      </c>
      <c r="E11587" s="30" t="inlineStr">
        <is>
          <t>VITRASA TRANSPORTES LTDA</t>
        </is>
      </c>
      <c r="F11587" s="30" t="inlineStr">
        <is>
          <t>2022</t>
        </is>
      </c>
      <c r="G11587" s="40" t="n">
        <v>21012.3</v>
      </c>
    </row>
    <row r="11588" ht="12" customHeight="1">
      <c r="A11588" s="30" t="inlineStr">
        <is>
          <t>POR</t>
        </is>
      </c>
      <c r="B11588" s="30" t="inlineStr">
        <is>
          <t>Porto Real</t>
        </is>
      </c>
      <c r="C11588" s="30" t="n">
        <v>84328596</v>
      </c>
      <c r="D11588" s="30">
        <f>"58581653000272"</f>
        <v/>
      </c>
      <c r="E11588" s="30" t="inlineStr">
        <is>
          <t>VITRASA TRANSPORTES LTDA</t>
        </is>
      </c>
      <c r="F11588" s="30" t="inlineStr">
        <is>
          <t>2023</t>
        </is>
      </c>
      <c r="G11588" s="40" t="n">
        <v>0</v>
      </c>
    </row>
    <row r="11589" ht="12" customHeight="1">
      <c r="A11589" s="30" t="inlineStr">
        <is>
          <t>POR</t>
        </is>
      </c>
      <c r="B11589" s="30" t="inlineStr">
        <is>
          <t>Porto Real</t>
        </is>
      </c>
      <c r="C11589" s="30" t="n">
        <v>84372021</v>
      </c>
      <c r="D11589" s="30">
        <f>"36510683000174"</f>
        <v/>
      </c>
      <c r="E11589" s="30" t="inlineStr">
        <is>
          <t>KATIA PINESCHI FERREIRA</t>
        </is>
      </c>
      <c r="F11589" s="30" t="inlineStr">
        <is>
          <t>2017</t>
        </is>
      </c>
      <c r="G11589" s="40" t="n">
        <v>0</v>
      </c>
    </row>
    <row r="11590" ht="12" customHeight="1">
      <c r="A11590" s="30" t="inlineStr">
        <is>
          <t>POR</t>
        </is>
      </c>
      <c r="B11590" s="30" t="inlineStr">
        <is>
          <t>Porto Real</t>
        </is>
      </c>
      <c r="C11590" s="30" t="n">
        <v>84372021</v>
      </c>
      <c r="D11590" s="30">
        <f>"36510683000174"</f>
        <v/>
      </c>
      <c r="E11590" s="30" t="inlineStr">
        <is>
          <t>KATIA PINESCHI FERREIRA</t>
        </is>
      </c>
      <c r="F11590" s="30" t="inlineStr">
        <is>
          <t>2018</t>
        </is>
      </c>
      <c r="G11590" s="40" t="n">
        <v>0</v>
      </c>
    </row>
    <row r="11591" ht="12" customHeight="1">
      <c r="A11591" s="30" t="inlineStr">
        <is>
          <t>POR</t>
        </is>
      </c>
      <c r="B11591" s="30" t="inlineStr">
        <is>
          <t>Porto Real</t>
        </is>
      </c>
      <c r="C11591" s="30" t="n">
        <v>84372021</v>
      </c>
      <c r="D11591" s="30">
        <f>"36510683000174"</f>
        <v/>
      </c>
      <c r="E11591" s="30" t="inlineStr">
        <is>
          <t>KATIA PINESCHI FERREIRA</t>
        </is>
      </c>
      <c r="F11591" s="30" t="inlineStr">
        <is>
          <t>2019</t>
        </is>
      </c>
      <c r="G11591" s="40" t="n">
        <v>0</v>
      </c>
    </row>
    <row r="11592" ht="12" customHeight="1">
      <c r="A11592" s="30" t="inlineStr">
        <is>
          <t>POR</t>
        </is>
      </c>
      <c r="B11592" s="30" t="inlineStr">
        <is>
          <t>Porto Real</t>
        </is>
      </c>
      <c r="C11592" s="30" t="n">
        <v>84372021</v>
      </c>
      <c r="D11592" s="30">
        <f>"36510683000174"</f>
        <v/>
      </c>
      <c r="E11592" s="30" t="inlineStr">
        <is>
          <t>KATIA PINESCHI FERREIRA</t>
        </is>
      </c>
      <c r="F11592" s="30" t="inlineStr">
        <is>
          <t>2020</t>
        </is>
      </c>
      <c r="G11592" s="40" t="n">
        <v>0</v>
      </c>
    </row>
    <row r="11593" ht="12" customHeight="1">
      <c r="A11593" s="30" t="inlineStr">
        <is>
          <t>POR</t>
        </is>
      </c>
      <c r="B11593" s="30" t="inlineStr">
        <is>
          <t>Porto Real</t>
        </is>
      </c>
      <c r="C11593" s="30" t="n">
        <v>84372021</v>
      </c>
      <c r="D11593" s="30">
        <f>"36510683000174"</f>
        <v/>
      </c>
      <c r="E11593" s="30" t="inlineStr">
        <is>
          <t>KATIA PINESCHI FERREIRA</t>
        </is>
      </c>
      <c r="F11593" s="30" t="inlineStr">
        <is>
          <t>2021</t>
        </is>
      </c>
      <c r="G11593" s="40" t="n">
        <v>0</v>
      </c>
    </row>
    <row r="11594" ht="12" customHeight="1">
      <c r="A11594" s="30" t="inlineStr">
        <is>
          <t>POR</t>
        </is>
      </c>
      <c r="B11594" s="30" t="inlineStr">
        <is>
          <t>Porto Real</t>
        </is>
      </c>
      <c r="C11594" s="30" t="n">
        <v>84372021</v>
      </c>
      <c r="D11594" s="30">
        <f>"36510683000174"</f>
        <v/>
      </c>
      <c r="E11594" s="30" t="inlineStr">
        <is>
          <t>KATIA PINESCHI FERREIRA</t>
        </is>
      </c>
      <c r="F11594" s="30" t="inlineStr">
        <is>
          <t>2022</t>
        </is>
      </c>
      <c r="G11594" s="40" t="n">
        <v>0</v>
      </c>
    </row>
    <row r="11595" ht="12" customHeight="1">
      <c r="A11595" s="30" t="inlineStr">
        <is>
          <t>POR</t>
        </is>
      </c>
      <c r="B11595" s="30" t="inlineStr">
        <is>
          <t>Porto Real</t>
        </is>
      </c>
      <c r="C11595" s="30" t="n">
        <v>84372021</v>
      </c>
      <c r="D11595" s="30">
        <f>"36510683000174"</f>
        <v/>
      </c>
      <c r="E11595" s="30" t="inlineStr">
        <is>
          <t>KATIA PINESCHI FERREIRA</t>
        </is>
      </c>
      <c r="F11595" s="30" t="inlineStr">
        <is>
          <t>2023</t>
        </is>
      </c>
      <c r="G11595" s="40" t="n">
        <v>0</v>
      </c>
    </row>
    <row r="11596" ht="12" customHeight="1">
      <c r="A11596" s="30" t="inlineStr">
        <is>
          <t>POR</t>
        </is>
      </c>
      <c r="B11596" s="30" t="inlineStr">
        <is>
          <t>Porto Real</t>
        </is>
      </c>
      <c r="C11596" s="30" t="n">
        <v>84511161</v>
      </c>
      <c r="D11596" s="30">
        <f>"28816270000194"</f>
        <v/>
      </c>
      <c r="E11596" s="30" t="inlineStr">
        <is>
          <t>DOCE RIO FRETAMENTO E TURISMO LTDA</t>
        </is>
      </c>
      <c r="F11596" s="30" t="inlineStr">
        <is>
          <t>2017</t>
        </is>
      </c>
      <c r="G11596" s="40" t="n">
        <v>0</v>
      </c>
    </row>
    <row r="11597" ht="12" customHeight="1">
      <c r="A11597" s="30" t="inlineStr">
        <is>
          <t>POR</t>
        </is>
      </c>
      <c r="B11597" s="30" t="inlineStr">
        <is>
          <t>Porto Real</t>
        </is>
      </c>
      <c r="C11597" s="30" t="n">
        <v>84511161</v>
      </c>
      <c r="D11597" s="30">
        <f>"28816270000194"</f>
        <v/>
      </c>
      <c r="E11597" s="30" t="inlineStr">
        <is>
          <t>DOCE RIO FRETAMENTO E TURISMO LTDA</t>
        </is>
      </c>
      <c r="F11597" s="30" t="inlineStr">
        <is>
          <t>2018</t>
        </is>
      </c>
      <c r="G11597" s="40" t="n">
        <v>0</v>
      </c>
    </row>
    <row r="11598" ht="12" customHeight="1">
      <c r="A11598" s="30" t="inlineStr">
        <is>
          <t>POR</t>
        </is>
      </c>
      <c r="B11598" s="30" t="inlineStr">
        <is>
          <t>Porto Real</t>
        </is>
      </c>
      <c r="C11598" s="30" t="n">
        <v>84511161</v>
      </c>
      <c r="D11598" s="30">
        <f>"28816270000194"</f>
        <v/>
      </c>
      <c r="E11598" s="30" t="inlineStr">
        <is>
          <t>DOCE RIO FRETAMENTO E TURISMO LTDA</t>
        </is>
      </c>
      <c r="F11598" s="30" t="inlineStr">
        <is>
          <t>2019</t>
        </is>
      </c>
      <c r="G11598" s="40" t="n">
        <v>1900</v>
      </c>
    </row>
    <row r="11599" ht="12" customHeight="1">
      <c r="A11599" s="30" t="inlineStr">
        <is>
          <t>POR</t>
        </is>
      </c>
      <c r="B11599" s="30" t="inlineStr">
        <is>
          <t>Porto Real</t>
        </is>
      </c>
      <c r="C11599" s="30" t="n">
        <v>84511161</v>
      </c>
      <c r="D11599" s="30">
        <f>"28816270000194"</f>
        <v/>
      </c>
      <c r="E11599" s="30" t="inlineStr">
        <is>
          <t>DOCE RIO FRETAMENTO E TURISMO LTDA</t>
        </is>
      </c>
      <c r="F11599" s="30" t="inlineStr">
        <is>
          <t>2020</t>
        </is>
      </c>
      <c r="G11599" s="40" t="n">
        <v>0</v>
      </c>
    </row>
    <row r="11600" ht="12" customHeight="1">
      <c r="A11600" s="30" t="inlineStr">
        <is>
          <t>POR</t>
        </is>
      </c>
      <c r="B11600" s="30" t="inlineStr">
        <is>
          <t>Porto Real</t>
        </is>
      </c>
      <c r="C11600" s="30" t="n">
        <v>84511161</v>
      </c>
      <c r="D11600" s="30">
        <f>"28816270000194"</f>
        <v/>
      </c>
      <c r="E11600" s="30" t="inlineStr">
        <is>
          <t>DOCE RIO FRETAMENTO E TURISMO LTDA</t>
        </is>
      </c>
      <c r="F11600" s="30" t="inlineStr">
        <is>
          <t>2021</t>
        </is>
      </c>
      <c r="G11600" s="40" t="n">
        <v>0</v>
      </c>
    </row>
    <row r="11601" ht="12" customHeight="1">
      <c r="A11601" s="30" t="inlineStr">
        <is>
          <t>POR</t>
        </is>
      </c>
      <c r="B11601" s="30" t="inlineStr">
        <is>
          <t>Porto Real</t>
        </is>
      </c>
      <c r="C11601" s="30" t="n">
        <v>84511277</v>
      </c>
      <c r="D11601" s="30">
        <f>"40433401000150"</f>
        <v/>
      </c>
      <c r="E11601" s="30" t="inlineStr">
        <is>
          <t>BWA TRANSPORTES ESPECIALIZADOS LTDA</t>
        </is>
      </c>
      <c r="F11601" s="30" t="inlineStr">
        <is>
          <t>2017</t>
        </is>
      </c>
      <c r="G11601" s="40" t="n">
        <v>13447</v>
      </c>
    </row>
    <row r="11602" ht="12" customHeight="1">
      <c r="A11602" s="30" t="inlineStr">
        <is>
          <t>POR</t>
        </is>
      </c>
      <c r="B11602" s="30" t="inlineStr">
        <is>
          <t>Porto Real</t>
        </is>
      </c>
      <c r="C11602" s="30" t="n">
        <v>84511277</v>
      </c>
      <c r="D11602" s="30">
        <f>"40433401000150"</f>
        <v/>
      </c>
      <c r="E11602" s="30" t="inlineStr">
        <is>
          <t>BWA TRANSPORTES ESPECIALIZADOS LTDA</t>
        </is>
      </c>
      <c r="F11602" s="30" t="inlineStr">
        <is>
          <t>2018</t>
        </is>
      </c>
      <c r="G11602" s="40" t="n">
        <v>2554.74</v>
      </c>
    </row>
    <row r="11603" ht="12" customHeight="1">
      <c r="A11603" s="30" t="inlineStr">
        <is>
          <t>POR</t>
        </is>
      </c>
      <c r="B11603" s="30" t="inlineStr">
        <is>
          <t>Porto Real</t>
        </is>
      </c>
      <c r="C11603" s="30" t="n">
        <v>84511277</v>
      </c>
      <c r="D11603" s="30">
        <f>"40433401000150"</f>
        <v/>
      </c>
      <c r="E11603" s="30" t="inlineStr">
        <is>
          <t>BWA TRANSPORTES ESPECIALIZADOS LTDA</t>
        </is>
      </c>
      <c r="F11603" s="30" t="inlineStr">
        <is>
          <t>2019</t>
        </is>
      </c>
      <c r="G11603" s="40" t="n">
        <v>8716</v>
      </c>
    </row>
    <row r="11604" ht="12" customHeight="1">
      <c r="A11604" s="30" t="inlineStr">
        <is>
          <t>POR</t>
        </is>
      </c>
      <c r="B11604" s="30" t="inlineStr">
        <is>
          <t>Porto Real</t>
        </is>
      </c>
      <c r="C11604" s="30" t="n">
        <v>84511277</v>
      </c>
      <c r="D11604" s="30">
        <f>"40433401000150"</f>
        <v/>
      </c>
      <c r="E11604" s="30" t="inlineStr">
        <is>
          <t>BWA TRANSPORTES ESPECIALIZADOS LTDA</t>
        </is>
      </c>
      <c r="F11604" s="30" t="inlineStr">
        <is>
          <t>2020</t>
        </is>
      </c>
      <c r="G11604" s="40" t="n">
        <v>0</v>
      </c>
    </row>
    <row r="11605" ht="12" customHeight="1">
      <c r="A11605" s="30" t="inlineStr">
        <is>
          <t>POR</t>
        </is>
      </c>
      <c r="B11605" s="30" t="inlineStr">
        <is>
          <t>Porto Real</t>
        </is>
      </c>
      <c r="C11605" s="30" t="n">
        <v>84511277</v>
      </c>
      <c r="D11605" s="30">
        <f>"40433401000150"</f>
        <v/>
      </c>
      <c r="E11605" s="30" t="inlineStr">
        <is>
          <t>BWA TRANSPORTES ESPECIALIZADOS LTDA</t>
        </is>
      </c>
      <c r="F11605" s="30" t="inlineStr">
        <is>
          <t>2021</t>
        </is>
      </c>
      <c r="G11605" s="40" t="n">
        <v>0</v>
      </c>
    </row>
    <row r="11606" ht="12" customHeight="1">
      <c r="A11606" s="30" t="inlineStr">
        <is>
          <t>POR</t>
        </is>
      </c>
      <c r="B11606" s="30" t="inlineStr">
        <is>
          <t>Porto Real</t>
        </is>
      </c>
      <c r="C11606" s="30" t="n">
        <v>84701254</v>
      </c>
      <c r="D11606" s="30">
        <f>"17689837000273"</f>
        <v/>
      </c>
      <c r="E11606" s="30" t="inlineStr">
        <is>
          <t>IBOR TRANSPORTE RODOVIARIO LTDA</t>
        </is>
      </c>
      <c r="F11606" s="30" t="inlineStr">
        <is>
          <t>2017</t>
        </is>
      </c>
      <c r="G11606" s="40" t="n">
        <v>38411.5</v>
      </c>
    </row>
    <row r="11607" ht="12" customHeight="1">
      <c r="A11607" s="30" t="inlineStr">
        <is>
          <t>POR</t>
        </is>
      </c>
      <c r="B11607" s="30" t="inlineStr">
        <is>
          <t>Porto Real</t>
        </is>
      </c>
      <c r="C11607" s="30" t="n">
        <v>84701254</v>
      </c>
      <c r="D11607" s="30">
        <f>"17689837000273"</f>
        <v/>
      </c>
      <c r="E11607" s="30" t="inlineStr">
        <is>
          <t>IBOR TRANSPORTE RODOVIARIO LTDA</t>
        </is>
      </c>
      <c r="F11607" s="30" t="inlineStr">
        <is>
          <t>2018</t>
        </is>
      </c>
      <c r="G11607" s="40" t="n">
        <v>0</v>
      </c>
    </row>
    <row r="11608" ht="12" customHeight="1">
      <c r="A11608" s="30" t="inlineStr">
        <is>
          <t>POR</t>
        </is>
      </c>
      <c r="B11608" s="30" t="inlineStr">
        <is>
          <t>Porto Real</t>
        </is>
      </c>
      <c r="C11608" s="30" t="n">
        <v>84701254</v>
      </c>
      <c r="D11608" s="30">
        <f>"17689837000273"</f>
        <v/>
      </c>
      <c r="E11608" s="30" t="inlineStr">
        <is>
          <t>IBOR TRANSPORTE RODOVIARIO LTDA</t>
        </is>
      </c>
      <c r="F11608" s="30" t="inlineStr">
        <is>
          <t>2019</t>
        </is>
      </c>
      <c r="G11608" s="40" t="n">
        <v>0</v>
      </c>
    </row>
    <row r="11609" ht="12" customHeight="1">
      <c r="A11609" s="30" t="inlineStr">
        <is>
          <t>POR</t>
        </is>
      </c>
      <c r="B11609" s="30" t="inlineStr">
        <is>
          <t>Porto Real</t>
        </is>
      </c>
      <c r="C11609" s="30" t="n">
        <v>84701254</v>
      </c>
      <c r="D11609" s="30">
        <f>"17689837000273"</f>
        <v/>
      </c>
      <c r="E11609" s="30" t="inlineStr">
        <is>
          <t>IBOR TRANSPORTE RODOVIARIO LTDA</t>
        </is>
      </c>
      <c r="F11609" s="30" t="inlineStr">
        <is>
          <t>2020</t>
        </is>
      </c>
      <c r="G11609" s="40" t="n">
        <v>11.36</v>
      </c>
    </row>
    <row r="11610" ht="12" customHeight="1">
      <c r="A11610" s="30" t="inlineStr">
        <is>
          <t>POR</t>
        </is>
      </c>
      <c r="B11610" s="30" t="inlineStr">
        <is>
          <t>Porto Real</t>
        </is>
      </c>
      <c r="C11610" s="30" t="n">
        <v>84701254</v>
      </c>
      <c r="D11610" s="30">
        <f>"17689837000273"</f>
        <v/>
      </c>
      <c r="E11610" s="30" t="inlineStr">
        <is>
          <t>IBOR TRANSPORTE RODOVIARIO LTDA</t>
        </is>
      </c>
      <c r="F11610" s="30" t="inlineStr">
        <is>
          <t>2021</t>
        </is>
      </c>
      <c r="G11610" s="40" t="n">
        <v>9422.690000000001</v>
      </c>
    </row>
    <row r="11611" ht="12" customHeight="1">
      <c r="A11611" s="30" t="inlineStr">
        <is>
          <t>POR</t>
        </is>
      </c>
      <c r="B11611" s="30" t="inlineStr">
        <is>
          <t>Porto Real</t>
        </is>
      </c>
      <c r="C11611" s="30" t="n">
        <v>84701254</v>
      </c>
      <c r="D11611" s="30">
        <f>"17689837000273"</f>
        <v/>
      </c>
      <c r="E11611" s="30" t="inlineStr">
        <is>
          <t>IBOR TRANSPORTE RODOVIARIO LTDA</t>
        </is>
      </c>
      <c r="F11611" s="30" t="inlineStr">
        <is>
          <t>2022</t>
        </is>
      </c>
      <c r="G11611" s="40" t="n">
        <v>0</v>
      </c>
    </row>
    <row r="11612" ht="12" customHeight="1">
      <c r="A11612" s="30" t="inlineStr">
        <is>
          <t>POR</t>
        </is>
      </c>
      <c r="B11612" s="30" t="inlineStr">
        <is>
          <t>Porto Real</t>
        </is>
      </c>
      <c r="C11612" s="30" t="n">
        <v>84701254</v>
      </c>
      <c r="D11612" s="30">
        <f>"17689837000273"</f>
        <v/>
      </c>
      <c r="E11612" s="30" t="inlineStr">
        <is>
          <t>IBOR TRANSPORTE RODOVIARIO LTDA</t>
        </is>
      </c>
      <c r="F11612" s="30" t="inlineStr">
        <is>
          <t>2023</t>
        </is>
      </c>
      <c r="G11612" s="40" t="n">
        <v>0</v>
      </c>
    </row>
    <row r="11613" ht="12" customHeight="1">
      <c r="A11613" s="30" t="inlineStr">
        <is>
          <t>POR</t>
        </is>
      </c>
      <c r="B11613" s="30" t="inlineStr">
        <is>
          <t>Porto Real</t>
        </is>
      </c>
      <c r="C11613" s="30" t="n">
        <v>84702013</v>
      </c>
      <c r="D11613" s="30">
        <f>"43035146002129"</f>
        <v/>
      </c>
      <c r="E11613" s="30" t="inlineStr">
        <is>
          <t>PROTEGE SOCIEDADE ANONIMA PROTECAO E TRANSPORTE DE VALORES</t>
        </is>
      </c>
      <c r="F11613" s="30" t="inlineStr">
        <is>
          <t>2017</t>
        </is>
      </c>
      <c r="G11613" s="40" t="n">
        <v>18441.75</v>
      </c>
    </row>
    <row r="11614" ht="12" customHeight="1">
      <c r="A11614" s="30" t="inlineStr">
        <is>
          <t>POR</t>
        </is>
      </c>
      <c r="B11614" s="30" t="inlineStr">
        <is>
          <t>Porto Real</t>
        </is>
      </c>
      <c r="C11614" s="30" t="n">
        <v>84702013</v>
      </c>
      <c r="D11614" s="30">
        <f>"43035146002129"</f>
        <v/>
      </c>
      <c r="E11614" s="30" t="inlineStr">
        <is>
          <t>PROTEGE SOCIEDADE ANONIMA PROTECAO E TRANSPORTE DE VALORES</t>
        </is>
      </c>
      <c r="F11614" s="30" t="inlineStr">
        <is>
          <t>2018</t>
        </is>
      </c>
      <c r="G11614" s="40" t="n">
        <v>44875.9</v>
      </c>
    </row>
    <row r="11615" ht="12" customHeight="1">
      <c r="A11615" s="30" t="inlineStr">
        <is>
          <t>POR</t>
        </is>
      </c>
      <c r="B11615" s="30" t="inlineStr">
        <is>
          <t>Porto Real</t>
        </is>
      </c>
      <c r="C11615" s="30" t="n">
        <v>84702013</v>
      </c>
      <c r="D11615" s="30">
        <f>"43035146002129"</f>
        <v/>
      </c>
      <c r="E11615" s="30" t="inlineStr">
        <is>
          <t>PROTEGE SOCIEDADE ANONIMA PROTECAO E TRANSPORTE DE VALORES</t>
        </is>
      </c>
      <c r="F11615" s="30" t="inlineStr">
        <is>
          <t>2019</t>
        </is>
      </c>
      <c r="G11615" s="40" t="n">
        <v>45223.25</v>
      </c>
    </row>
    <row r="11616" ht="12" customHeight="1">
      <c r="A11616" s="30" t="inlineStr">
        <is>
          <t>POR</t>
        </is>
      </c>
      <c r="B11616" s="30" t="inlineStr">
        <is>
          <t>Porto Real</t>
        </is>
      </c>
      <c r="C11616" s="30" t="n">
        <v>84702013</v>
      </c>
      <c r="D11616" s="30">
        <f>"43035146002129"</f>
        <v/>
      </c>
      <c r="E11616" s="30" t="inlineStr">
        <is>
          <t>PROTEGE SOCIEDADE ANONIMA PROTECAO E TRANSPORTE DE VALORES</t>
        </is>
      </c>
      <c r="F11616" s="30" t="inlineStr">
        <is>
          <t>2020</t>
        </is>
      </c>
      <c r="G11616" s="40" t="n">
        <v>42078.95</v>
      </c>
    </row>
    <row r="11617" ht="12" customHeight="1">
      <c r="A11617" s="30" t="inlineStr">
        <is>
          <t>POR</t>
        </is>
      </c>
      <c r="B11617" s="30" t="inlineStr">
        <is>
          <t>Porto Real</t>
        </is>
      </c>
      <c r="C11617" s="30" t="n">
        <v>84702013</v>
      </c>
      <c r="D11617" s="30">
        <f>"43035146002129"</f>
        <v/>
      </c>
      <c r="E11617" s="30" t="inlineStr">
        <is>
          <t>PROTEGE SOCIEDADE ANONIMA PROTECAO E TRANSPORTE DE VALORES</t>
        </is>
      </c>
      <c r="F11617" s="30" t="inlineStr">
        <is>
          <t>2021</t>
        </is>
      </c>
      <c r="G11617" s="40" t="n">
        <v>43442.18</v>
      </c>
    </row>
    <row r="11618" ht="12" customHeight="1">
      <c r="A11618" s="30" t="inlineStr">
        <is>
          <t>POR</t>
        </is>
      </c>
      <c r="B11618" s="30" t="inlineStr">
        <is>
          <t>Porto Real</t>
        </is>
      </c>
      <c r="C11618" s="30" t="n">
        <v>84702013</v>
      </c>
      <c r="D11618" s="30">
        <f>"43035146002129"</f>
        <v/>
      </c>
      <c r="E11618" s="30" t="inlineStr">
        <is>
          <t>PROTEGE SOCIEDADE ANONIMA PROTECAO E TRANSPORTE DE VALORES</t>
        </is>
      </c>
      <c r="F11618" s="30" t="inlineStr">
        <is>
          <t>2022</t>
        </is>
      </c>
      <c r="G11618" s="40" t="n">
        <v>68629.09</v>
      </c>
    </row>
    <row r="11619" ht="12" customHeight="1">
      <c r="A11619" s="30" t="inlineStr">
        <is>
          <t>POR</t>
        </is>
      </c>
      <c r="B11619" s="30" t="inlineStr">
        <is>
          <t>Porto Real</t>
        </is>
      </c>
      <c r="C11619" s="30" t="n">
        <v>84702013</v>
      </c>
      <c r="D11619" s="30">
        <f>"43035146002129"</f>
        <v/>
      </c>
      <c r="E11619" s="30" t="inlineStr">
        <is>
          <t>PROTEGE SOCIEDADE ANONIMA PROTECAO E TRANSPORTE DE VALORES</t>
        </is>
      </c>
      <c r="F11619" s="30" t="inlineStr">
        <is>
          <t>2023</t>
        </is>
      </c>
      <c r="G11619" s="40" t="n">
        <v>707668.9399999999</v>
      </c>
    </row>
    <row r="11620" ht="12" customHeight="1">
      <c r="A11620" s="30" t="inlineStr">
        <is>
          <t>POR</t>
        </is>
      </c>
      <c r="B11620" s="30" t="inlineStr">
        <is>
          <t>Porto Real</t>
        </is>
      </c>
      <c r="C11620" s="30" t="n">
        <v>84781193</v>
      </c>
      <c r="D11620" s="30">
        <f>"01695370000153"</f>
        <v/>
      </c>
      <c r="E11620" s="30" t="inlineStr">
        <is>
          <t>CEG RIO S/A</t>
        </is>
      </c>
      <c r="F11620" s="30" t="inlineStr">
        <is>
          <t>2017</t>
        </is>
      </c>
      <c r="G11620" s="40" t="n">
        <v>60940306.43</v>
      </c>
    </row>
    <row r="11621" ht="12" customHeight="1">
      <c r="A11621" s="30" t="inlineStr">
        <is>
          <t>POR</t>
        </is>
      </c>
      <c r="B11621" s="30" t="inlineStr">
        <is>
          <t>Porto Real</t>
        </is>
      </c>
      <c r="C11621" s="30" t="n">
        <v>84781193</v>
      </c>
      <c r="D11621" s="30">
        <f>"01695370000153"</f>
        <v/>
      </c>
      <c r="E11621" s="30" t="inlineStr">
        <is>
          <t>CEG RIO S/A</t>
        </is>
      </c>
      <c r="F11621" s="30" t="inlineStr">
        <is>
          <t>2018</t>
        </is>
      </c>
      <c r="G11621" s="40" t="n">
        <v>90908536.41</v>
      </c>
    </row>
    <row r="11622" ht="12" customHeight="1">
      <c r="A11622" s="30" t="inlineStr">
        <is>
          <t>POR</t>
        </is>
      </c>
      <c r="B11622" s="30" t="inlineStr">
        <is>
          <t>Porto Real</t>
        </is>
      </c>
      <c r="C11622" s="30" t="n">
        <v>84781193</v>
      </c>
      <c r="D11622" s="30">
        <f>"01695370000153"</f>
        <v/>
      </c>
      <c r="E11622" s="30" t="inlineStr">
        <is>
          <t>CEG RIO S/A</t>
        </is>
      </c>
      <c r="F11622" s="30" t="inlineStr">
        <is>
          <t>2019</t>
        </is>
      </c>
      <c r="G11622" s="40" t="n">
        <v>104605213.59</v>
      </c>
    </row>
    <row r="11623" ht="12" customHeight="1">
      <c r="A11623" s="30" t="inlineStr">
        <is>
          <t>POR</t>
        </is>
      </c>
      <c r="B11623" s="30" t="inlineStr">
        <is>
          <t>Porto Real</t>
        </is>
      </c>
      <c r="C11623" s="30" t="n">
        <v>84781193</v>
      </c>
      <c r="D11623" s="30">
        <f>"01695370000153"</f>
        <v/>
      </c>
      <c r="E11623" s="30" t="inlineStr">
        <is>
          <t>CEG RIO S/A</t>
        </is>
      </c>
      <c r="F11623" s="30" t="inlineStr">
        <is>
          <t>2020</t>
        </is>
      </c>
      <c r="G11623" s="40" t="n">
        <v>82707765.70999999</v>
      </c>
    </row>
    <row r="11624" ht="12" customHeight="1">
      <c r="A11624" s="30" t="inlineStr">
        <is>
          <t>POR</t>
        </is>
      </c>
      <c r="B11624" s="30" t="inlineStr">
        <is>
          <t>Porto Real</t>
        </is>
      </c>
      <c r="C11624" s="30" t="n">
        <v>84781193</v>
      </c>
      <c r="D11624" s="30">
        <f>"01695370000153"</f>
        <v/>
      </c>
      <c r="E11624" s="30" t="inlineStr">
        <is>
          <t>CEG RIO S/A</t>
        </is>
      </c>
      <c r="F11624" s="30" t="inlineStr">
        <is>
          <t>2021</t>
        </is>
      </c>
      <c r="G11624" s="40" t="n">
        <v>114635648.11</v>
      </c>
    </row>
    <row r="11625" ht="12" customHeight="1">
      <c r="A11625" s="30" t="inlineStr">
        <is>
          <t>POR</t>
        </is>
      </c>
      <c r="B11625" s="30" t="inlineStr">
        <is>
          <t>Porto Real</t>
        </is>
      </c>
      <c r="C11625" s="30" t="n">
        <v>84781193</v>
      </c>
      <c r="D11625" s="30">
        <f>"01695370000153"</f>
        <v/>
      </c>
      <c r="E11625" s="30" t="inlineStr">
        <is>
          <t>CEG RIO S/A</t>
        </is>
      </c>
      <c r="F11625" s="30" t="inlineStr">
        <is>
          <t>2022</t>
        </is>
      </c>
      <c r="G11625" s="40" t="n">
        <v>169488410.17</v>
      </c>
    </row>
    <row r="11626" ht="12" customHeight="1">
      <c r="A11626" s="30" t="inlineStr">
        <is>
          <t>POR</t>
        </is>
      </c>
      <c r="B11626" s="30" t="inlineStr">
        <is>
          <t>Porto Real</t>
        </is>
      </c>
      <c r="C11626" s="30" t="n">
        <v>84781193</v>
      </c>
      <c r="D11626" s="30">
        <f>"01695370000153"</f>
        <v/>
      </c>
      <c r="E11626" s="30" t="inlineStr">
        <is>
          <t>CEG RIO S/A</t>
        </is>
      </c>
      <c r="F11626" s="30" t="inlineStr">
        <is>
          <t>2023</t>
        </is>
      </c>
      <c r="G11626" s="40" t="n">
        <v>144545642.11</v>
      </c>
    </row>
    <row r="11627" ht="12" customHeight="1">
      <c r="A11627" s="30" t="inlineStr">
        <is>
          <t>POR</t>
        </is>
      </c>
      <c r="B11627" s="30" t="inlineStr">
        <is>
          <t>Porto Real</t>
        </is>
      </c>
      <c r="C11627" s="30" t="n">
        <v>84984388</v>
      </c>
      <c r="D11627" s="30">
        <f>"39759667000108"</f>
        <v/>
      </c>
      <c r="E11627" s="30" t="inlineStr">
        <is>
          <t>IRMAOS SOARES OLIVEIRA LTDA</t>
        </is>
      </c>
      <c r="F11627" s="30" t="inlineStr">
        <is>
          <t>2017</t>
        </is>
      </c>
      <c r="G11627" s="40" t="n">
        <v>191319.67</v>
      </c>
    </row>
    <row r="11628" ht="12" customHeight="1">
      <c r="A11628" s="30" t="inlineStr">
        <is>
          <t>POR</t>
        </is>
      </c>
      <c r="B11628" s="30" t="inlineStr">
        <is>
          <t>Porto Real</t>
        </is>
      </c>
      <c r="C11628" s="30" t="n">
        <v>84984388</v>
      </c>
      <c r="D11628" s="30">
        <f>"39759667000108"</f>
        <v/>
      </c>
      <c r="E11628" s="30" t="inlineStr">
        <is>
          <t>IRMAOS SOARES OLIVEIRA LTDA</t>
        </is>
      </c>
      <c r="F11628" s="30" t="inlineStr">
        <is>
          <t>2018</t>
        </is>
      </c>
      <c r="G11628" s="40" t="n">
        <v>229761.22</v>
      </c>
    </row>
    <row r="11629" ht="12" customHeight="1">
      <c r="A11629" s="30" t="inlineStr">
        <is>
          <t>POR</t>
        </is>
      </c>
      <c r="B11629" s="30" t="inlineStr">
        <is>
          <t>Porto Real</t>
        </is>
      </c>
      <c r="C11629" s="30" t="n">
        <v>84984388</v>
      </c>
      <c r="D11629" s="30">
        <f>"39759667000108"</f>
        <v/>
      </c>
      <c r="E11629" s="30" t="inlineStr">
        <is>
          <t>IRMAOS SOARES OLIVEIRA LTDA</t>
        </is>
      </c>
      <c r="F11629" s="30" t="inlineStr">
        <is>
          <t>2019</t>
        </is>
      </c>
      <c r="G11629" s="40" t="n">
        <v>306856.93</v>
      </c>
    </row>
    <row r="11630" ht="12" customHeight="1">
      <c r="A11630" s="30" t="inlineStr">
        <is>
          <t>POR</t>
        </is>
      </c>
      <c r="B11630" s="30" t="inlineStr">
        <is>
          <t>Porto Real</t>
        </is>
      </c>
      <c r="C11630" s="30" t="n">
        <v>84984388</v>
      </c>
      <c r="D11630" s="30">
        <f>"39759667000108"</f>
        <v/>
      </c>
      <c r="E11630" s="30" t="inlineStr">
        <is>
          <t>IRMAOS SOARES OLIVEIRA LTDA</t>
        </is>
      </c>
      <c r="F11630" s="30" t="inlineStr">
        <is>
          <t>2020</t>
        </is>
      </c>
      <c r="G11630" s="40" t="n">
        <v>93172.46000000001</v>
      </c>
    </row>
    <row r="11631" ht="12" customHeight="1">
      <c r="A11631" s="30" t="inlineStr">
        <is>
          <t>POR</t>
        </is>
      </c>
      <c r="B11631" s="30" t="inlineStr">
        <is>
          <t>Porto Real</t>
        </is>
      </c>
      <c r="C11631" s="30" t="n">
        <v>84984388</v>
      </c>
      <c r="D11631" s="30">
        <f>"39759667000108"</f>
        <v/>
      </c>
      <c r="E11631" s="30" t="inlineStr">
        <is>
          <t>IRMAOS SOARES OLIVEIRA LTDA</t>
        </is>
      </c>
      <c r="F11631" s="30" t="inlineStr">
        <is>
          <t>2021</t>
        </is>
      </c>
      <c r="G11631" s="40" t="n">
        <v>0</v>
      </c>
    </row>
    <row r="11632" ht="12" customHeight="1">
      <c r="A11632" s="30" t="inlineStr">
        <is>
          <t>POR</t>
        </is>
      </c>
      <c r="B11632" s="30" t="inlineStr">
        <is>
          <t>Porto Real</t>
        </is>
      </c>
      <c r="C11632" s="30" t="n">
        <v>84984388</v>
      </c>
      <c r="D11632" s="30">
        <f>"39759667000108"</f>
        <v/>
      </c>
      <c r="E11632" s="30" t="inlineStr">
        <is>
          <t>IRMAOS SOARES OLIVEIRA LTDA</t>
        </is>
      </c>
      <c r="F11632" s="30" t="inlineStr">
        <is>
          <t>2022</t>
        </is>
      </c>
      <c r="G11632" s="40" t="n">
        <v>0</v>
      </c>
    </row>
    <row r="11633" ht="12" customHeight="1">
      <c r="A11633" s="30" t="inlineStr">
        <is>
          <t>POR</t>
        </is>
      </c>
      <c r="B11633" s="30" t="inlineStr">
        <is>
          <t>Porto Real</t>
        </is>
      </c>
      <c r="C11633" s="30" t="n">
        <v>84984388</v>
      </c>
      <c r="D11633" s="30">
        <f>"39759667000108"</f>
        <v/>
      </c>
      <c r="E11633" s="30" t="inlineStr">
        <is>
          <t>IRMAOS SOARES OLIVEIRA LTDA</t>
        </is>
      </c>
      <c r="F11633" s="30" t="inlineStr">
        <is>
          <t>2023</t>
        </is>
      </c>
      <c r="G11633" s="40" t="n">
        <v>0</v>
      </c>
    </row>
    <row r="11634" ht="12" customHeight="1">
      <c r="A11634" s="30" t="inlineStr">
        <is>
          <t>POR</t>
        </is>
      </c>
      <c r="B11634" s="30" t="inlineStr">
        <is>
          <t>Porto Real</t>
        </is>
      </c>
      <c r="C11634" s="30" t="n">
        <v>85103687</v>
      </c>
      <c r="D11634" s="30">
        <f>"39205679000190"</f>
        <v/>
      </c>
      <c r="E11634" s="30" t="inlineStr">
        <is>
          <t>PENEDO TRANSPORTES EIRELI EPP</t>
        </is>
      </c>
      <c r="F11634" s="30" t="inlineStr">
        <is>
          <t>2017</t>
        </is>
      </c>
      <c r="G11634" s="40" t="n">
        <v>59353.06</v>
      </c>
    </row>
    <row r="11635" ht="12" customHeight="1">
      <c r="A11635" s="30" t="inlineStr">
        <is>
          <t>POR</t>
        </is>
      </c>
      <c r="B11635" s="30" t="inlineStr">
        <is>
          <t>Porto Real</t>
        </is>
      </c>
      <c r="C11635" s="30" t="n">
        <v>85103687</v>
      </c>
      <c r="D11635" s="30">
        <f>"39205679000190"</f>
        <v/>
      </c>
      <c r="E11635" s="30" t="inlineStr">
        <is>
          <t>PENEDO TRANSPORTES EIRELI EPP</t>
        </is>
      </c>
      <c r="F11635" s="30" t="inlineStr">
        <is>
          <t>2018</t>
        </is>
      </c>
      <c r="G11635" s="40" t="n">
        <v>0</v>
      </c>
    </row>
    <row r="11636" ht="12" customHeight="1">
      <c r="A11636" s="30" t="inlineStr">
        <is>
          <t>POR</t>
        </is>
      </c>
      <c r="B11636" s="30" t="inlineStr">
        <is>
          <t>Porto Real</t>
        </is>
      </c>
      <c r="C11636" s="30" t="n">
        <v>85103687</v>
      </c>
      <c r="D11636" s="30">
        <f>"39205679000190"</f>
        <v/>
      </c>
      <c r="E11636" s="30" t="inlineStr">
        <is>
          <t>PENEDO TRANSPORTES EIRELI EPP</t>
        </is>
      </c>
      <c r="F11636" s="30" t="inlineStr">
        <is>
          <t>2019</t>
        </is>
      </c>
      <c r="G11636" s="40" t="n">
        <v>0</v>
      </c>
    </row>
    <row r="11637" ht="12" customHeight="1">
      <c r="A11637" s="30" t="inlineStr">
        <is>
          <t>POR</t>
        </is>
      </c>
      <c r="B11637" s="30" t="inlineStr">
        <is>
          <t>Porto Real</t>
        </is>
      </c>
      <c r="C11637" s="30" t="n">
        <v>85105507</v>
      </c>
      <c r="D11637" s="30">
        <f>"66199068000400"</f>
        <v/>
      </c>
      <c r="E11637" s="30" t="inlineStr">
        <is>
          <t>RAPIDO ALEM PARAIBA LTDA</t>
        </is>
      </c>
      <c r="F11637" s="30" t="inlineStr">
        <is>
          <t>2017</t>
        </is>
      </c>
      <c r="G11637" s="40" t="n">
        <v>957</v>
      </c>
    </row>
    <row r="11638" ht="12" customHeight="1">
      <c r="A11638" s="30" t="inlineStr">
        <is>
          <t>POR</t>
        </is>
      </c>
      <c r="B11638" s="30" t="inlineStr">
        <is>
          <t>Porto Real</t>
        </is>
      </c>
      <c r="C11638" s="30" t="n">
        <v>85105507</v>
      </c>
      <c r="D11638" s="30">
        <f>"66199068000400"</f>
        <v/>
      </c>
      <c r="E11638" s="30" t="inlineStr">
        <is>
          <t>RAPIDO ALEM PARAIBA LTDA</t>
        </is>
      </c>
      <c r="F11638" s="30" t="inlineStr">
        <is>
          <t>2018</t>
        </is>
      </c>
      <c r="G11638" s="40" t="n">
        <v>312</v>
      </c>
    </row>
    <row r="11639" ht="12" customHeight="1">
      <c r="A11639" s="30" t="inlineStr">
        <is>
          <t>POR</t>
        </is>
      </c>
      <c r="B11639" s="30" t="inlineStr">
        <is>
          <t>Porto Real</t>
        </is>
      </c>
      <c r="C11639" s="30" t="n">
        <v>85105507</v>
      </c>
      <c r="D11639" s="30">
        <f>"66199068000400"</f>
        <v/>
      </c>
      <c r="E11639" s="30" t="inlineStr">
        <is>
          <t>RAPIDO ALEM PARAIBA LTDA</t>
        </is>
      </c>
      <c r="F11639" s="30" t="inlineStr">
        <is>
          <t>2019</t>
        </is>
      </c>
      <c r="G11639" s="40" t="n">
        <v>0</v>
      </c>
    </row>
    <row r="11640" ht="12" customHeight="1">
      <c r="A11640" s="30" t="inlineStr">
        <is>
          <t>POR</t>
        </is>
      </c>
      <c r="B11640" s="30" t="inlineStr">
        <is>
          <t>Porto Real</t>
        </is>
      </c>
      <c r="C11640" s="30" t="n">
        <v>85105507</v>
      </c>
      <c r="D11640" s="30">
        <f>"66199068000400"</f>
        <v/>
      </c>
      <c r="E11640" s="30" t="inlineStr">
        <is>
          <t>RAPIDO ALEM PARAIBA LTDA</t>
        </is>
      </c>
      <c r="F11640" s="30" t="inlineStr">
        <is>
          <t>2020</t>
        </is>
      </c>
      <c r="G11640" s="40" t="n">
        <v>0</v>
      </c>
    </row>
    <row r="11641" ht="12" customHeight="1">
      <c r="A11641" s="30" t="inlineStr">
        <is>
          <t>POR</t>
        </is>
      </c>
      <c r="B11641" s="30" t="inlineStr">
        <is>
          <t>Porto Real</t>
        </is>
      </c>
      <c r="C11641" s="30" t="n">
        <v>85206672</v>
      </c>
      <c r="D11641" s="30">
        <f>"88009030000452"</f>
        <v/>
      </c>
      <c r="E11641" s="30" t="inlineStr">
        <is>
          <t>MODULAR TRANSPORTES LTDA</t>
        </is>
      </c>
      <c r="F11641" s="30" t="inlineStr">
        <is>
          <t>2017</t>
        </is>
      </c>
      <c r="G11641" s="40" t="n">
        <v>0</v>
      </c>
    </row>
    <row r="11642" ht="12" customHeight="1">
      <c r="A11642" s="30" t="inlineStr">
        <is>
          <t>POR</t>
        </is>
      </c>
      <c r="B11642" s="30" t="inlineStr">
        <is>
          <t>Porto Real</t>
        </is>
      </c>
      <c r="C11642" s="30" t="n">
        <v>85206672</v>
      </c>
      <c r="D11642" s="30">
        <f>"88009030000452"</f>
        <v/>
      </c>
      <c r="E11642" s="30" t="inlineStr">
        <is>
          <t>MODULAR TRANSPORTES LTDA</t>
        </is>
      </c>
      <c r="F11642" s="30" t="inlineStr">
        <is>
          <t>2018</t>
        </is>
      </c>
      <c r="G11642" s="40" t="n">
        <v>205.19</v>
      </c>
    </row>
    <row r="11643" ht="12" customHeight="1">
      <c r="A11643" s="30" t="inlineStr">
        <is>
          <t>POR</t>
        </is>
      </c>
      <c r="B11643" s="30" t="inlineStr">
        <is>
          <t>Porto Real</t>
        </is>
      </c>
      <c r="C11643" s="30" t="n">
        <v>85206672</v>
      </c>
      <c r="D11643" s="30">
        <f>"88009030000452"</f>
        <v/>
      </c>
      <c r="E11643" s="30" t="inlineStr">
        <is>
          <t>MODULAR TRANSPORTES LTDA</t>
        </is>
      </c>
      <c r="F11643" s="30" t="inlineStr">
        <is>
          <t>2019</t>
        </is>
      </c>
      <c r="G11643" s="40" t="n">
        <v>280615.5</v>
      </c>
    </row>
    <row r="11644" ht="12" customHeight="1">
      <c r="A11644" s="30" t="inlineStr">
        <is>
          <t>POR</t>
        </is>
      </c>
      <c r="B11644" s="30" t="inlineStr">
        <is>
          <t>Porto Real</t>
        </is>
      </c>
      <c r="C11644" s="30" t="n">
        <v>85206672</v>
      </c>
      <c r="D11644" s="30">
        <f>"88009030000452"</f>
        <v/>
      </c>
      <c r="E11644" s="30" t="inlineStr">
        <is>
          <t>MODULAR TRANSPORTES LTDA</t>
        </is>
      </c>
      <c r="F11644" s="30" t="inlineStr">
        <is>
          <t>2020</t>
        </is>
      </c>
      <c r="G11644" s="40" t="n">
        <v>782052.42</v>
      </c>
    </row>
    <row r="11645" ht="12" customHeight="1">
      <c r="A11645" s="30" t="inlineStr">
        <is>
          <t>POR</t>
        </is>
      </c>
      <c r="B11645" s="30" t="inlineStr">
        <is>
          <t>Porto Real</t>
        </is>
      </c>
      <c r="C11645" s="30" t="n">
        <v>85206672</v>
      </c>
      <c r="D11645" s="30">
        <f>"88009030000452"</f>
        <v/>
      </c>
      <c r="E11645" s="30" t="inlineStr">
        <is>
          <t>MODULAR TRANSPORTES LTDA</t>
        </is>
      </c>
      <c r="F11645" s="30" t="inlineStr">
        <is>
          <t>2021</t>
        </is>
      </c>
      <c r="G11645" s="40" t="n">
        <v>696457.13</v>
      </c>
    </row>
    <row r="11646" ht="12" customHeight="1">
      <c r="A11646" s="30" t="inlineStr">
        <is>
          <t>POR</t>
        </is>
      </c>
      <c r="B11646" s="30" t="inlineStr">
        <is>
          <t>Porto Real</t>
        </is>
      </c>
      <c r="C11646" s="30" t="n">
        <v>85206672</v>
      </c>
      <c r="D11646" s="30">
        <f>"88009030000452"</f>
        <v/>
      </c>
      <c r="E11646" s="30" t="inlineStr">
        <is>
          <t>MODULAR TRANSPORTES LTDA</t>
        </is>
      </c>
      <c r="F11646" s="30" t="inlineStr">
        <is>
          <t>2022</t>
        </is>
      </c>
      <c r="G11646" s="40" t="n">
        <v>623607.36</v>
      </c>
    </row>
    <row r="11647" ht="12" customHeight="1">
      <c r="A11647" s="30" t="inlineStr">
        <is>
          <t>POR</t>
        </is>
      </c>
      <c r="B11647" s="30" t="inlineStr">
        <is>
          <t>Porto Real</t>
        </is>
      </c>
      <c r="C11647" s="30" t="n">
        <v>85206672</v>
      </c>
      <c r="D11647" s="30">
        <f>"88009030000452"</f>
        <v/>
      </c>
      <c r="E11647" s="30" t="inlineStr">
        <is>
          <t>MODULAR TRANSPORTES LTDA</t>
        </is>
      </c>
      <c r="F11647" s="30" t="inlineStr">
        <is>
          <t>2023</t>
        </is>
      </c>
      <c r="G11647" s="40" t="n">
        <v>77350.21000000001</v>
      </c>
    </row>
    <row r="11648" ht="12" customHeight="1">
      <c r="A11648" s="30" t="inlineStr">
        <is>
          <t>POR</t>
        </is>
      </c>
      <c r="B11648" s="30" t="inlineStr">
        <is>
          <t>Porto Real</t>
        </is>
      </c>
      <c r="C11648" s="30" t="n">
        <v>85208527</v>
      </c>
      <c r="D11648" s="30">
        <f>"23864838000633"</f>
        <v/>
      </c>
      <c r="E11648" s="30" t="inlineStr">
        <is>
          <t>MOVVI LOGISTICA LTDA</t>
        </is>
      </c>
      <c r="F11648" s="30" t="inlineStr">
        <is>
          <t>2017</t>
        </is>
      </c>
      <c r="G11648" s="40" t="n">
        <v>104.86</v>
      </c>
    </row>
    <row r="11649" ht="12" customHeight="1">
      <c r="A11649" s="30" t="inlineStr">
        <is>
          <t>POR</t>
        </is>
      </c>
      <c r="B11649" s="30" t="inlineStr">
        <is>
          <t>Porto Real</t>
        </is>
      </c>
      <c r="C11649" s="30" t="n">
        <v>85208527</v>
      </c>
      <c r="D11649" s="30">
        <f>"23864838000633"</f>
        <v/>
      </c>
      <c r="E11649" s="30" t="inlineStr">
        <is>
          <t>MOVVI LOGISTICA LTDA</t>
        </is>
      </c>
      <c r="F11649" s="30" t="inlineStr">
        <is>
          <t>2018</t>
        </is>
      </c>
      <c r="G11649" s="40" t="n">
        <v>2215</v>
      </c>
    </row>
    <row r="11650" ht="12" customHeight="1">
      <c r="A11650" s="30" t="inlineStr">
        <is>
          <t>POR</t>
        </is>
      </c>
      <c r="B11650" s="30" t="inlineStr">
        <is>
          <t>Porto Real</t>
        </is>
      </c>
      <c r="C11650" s="30" t="n">
        <v>85208527</v>
      </c>
      <c r="D11650" s="30">
        <f>"23864838000633"</f>
        <v/>
      </c>
      <c r="E11650" s="30" t="inlineStr">
        <is>
          <t>MOVVI LOGISTICA LTDA</t>
        </is>
      </c>
      <c r="F11650" s="30" t="inlineStr">
        <is>
          <t>2019</t>
        </is>
      </c>
      <c r="G11650" s="40" t="n">
        <v>87.06</v>
      </c>
    </row>
    <row r="11651" ht="12" customHeight="1">
      <c r="A11651" s="30" t="inlineStr">
        <is>
          <t>POR</t>
        </is>
      </c>
      <c r="B11651" s="30" t="inlineStr">
        <is>
          <t>Porto Real</t>
        </is>
      </c>
      <c r="C11651" s="30" t="n">
        <v>85208527</v>
      </c>
      <c r="D11651" s="30">
        <f>"23864838000633"</f>
        <v/>
      </c>
      <c r="E11651" s="30" t="inlineStr">
        <is>
          <t>MOVVI LOGISTICA LTDA</t>
        </is>
      </c>
      <c r="F11651" s="30" t="inlineStr">
        <is>
          <t>2020</t>
        </is>
      </c>
      <c r="G11651" s="40" t="n">
        <v>613.03</v>
      </c>
    </row>
    <row r="11652" ht="12" customHeight="1">
      <c r="A11652" s="30" t="inlineStr">
        <is>
          <t>POR</t>
        </is>
      </c>
      <c r="B11652" s="30" t="inlineStr">
        <is>
          <t>Porto Real</t>
        </is>
      </c>
      <c r="C11652" s="30" t="n">
        <v>85208527</v>
      </c>
      <c r="D11652" s="30">
        <f>"23864838000633"</f>
        <v/>
      </c>
      <c r="E11652" s="30" t="inlineStr">
        <is>
          <t>MOVVI LOGISTICA LTDA</t>
        </is>
      </c>
      <c r="F11652" s="30" t="inlineStr">
        <is>
          <t>2021</t>
        </is>
      </c>
      <c r="G11652" s="40" t="n">
        <v>149.12</v>
      </c>
    </row>
    <row r="11653" ht="12" customHeight="1">
      <c r="A11653" s="30" t="inlineStr">
        <is>
          <t>POR</t>
        </is>
      </c>
      <c r="B11653" s="30" t="inlineStr">
        <is>
          <t>Porto Real</t>
        </is>
      </c>
      <c r="C11653" s="30" t="n">
        <v>85208527</v>
      </c>
      <c r="D11653" s="30">
        <f>"23864838000633"</f>
        <v/>
      </c>
      <c r="E11653" s="30" t="inlineStr">
        <is>
          <t>MOVVI LOGISTICA LTDA</t>
        </is>
      </c>
      <c r="F11653" s="30" t="inlineStr">
        <is>
          <t>2022</t>
        </is>
      </c>
      <c r="G11653" s="40" t="n">
        <v>428.31</v>
      </c>
    </row>
    <row r="11654" ht="12" customHeight="1">
      <c r="A11654" s="30" t="inlineStr">
        <is>
          <t>POR</t>
        </is>
      </c>
      <c r="B11654" s="30" t="inlineStr">
        <is>
          <t>Porto Real</t>
        </is>
      </c>
      <c r="C11654" s="30" t="n">
        <v>85208527</v>
      </c>
      <c r="D11654" s="30">
        <f>"23864838000633"</f>
        <v/>
      </c>
      <c r="E11654" s="30" t="inlineStr">
        <is>
          <t>MOVVI LOGISTICA LTDA</t>
        </is>
      </c>
      <c r="F11654" s="30" t="inlineStr">
        <is>
          <t>2023</t>
        </is>
      </c>
      <c r="G11654" s="40" t="n">
        <v>163.74</v>
      </c>
    </row>
    <row r="11655" ht="12" customHeight="1">
      <c r="A11655" s="30" t="inlineStr">
        <is>
          <t>POR</t>
        </is>
      </c>
      <c r="B11655" s="30" t="inlineStr">
        <is>
          <t>Porto Real</t>
        </is>
      </c>
      <c r="C11655" s="30" t="n">
        <v>85297848</v>
      </c>
      <c r="D11655" s="30">
        <f>"02667694000221"</f>
        <v/>
      </c>
      <c r="E11655" s="30" t="inlineStr">
        <is>
          <t>TELMEX DO BRASIL S/A</t>
        </is>
      </c>
      <c r="F11655" s="30" t="inlineStr">
        <is>
          <t>2017</t>
        </is>
      </c>
      <c r="G11655" s="40" t="n">
        <v>0</v>
      </c>
    </row>
    <row r="11656" ht="12" customHeight="1">
      <c r="A11656" s="30" t="inlineStr">
        <is>
          <t>POR</t>
        </is>
      </c>
      <c r="B11656" s="30" t="inlineStr">
        <is>
          <t>Porto Real</t>
        </is>
      </c>
      <c r="C11656" s="30" t="n">
        <v>85297848</v>
      </c>
      <c r="D11656" s="30">
        <f>"02667694000221"</f>
        <v/>
      </c>
      <c r="E11656" s="30" t="inlineStr">
        <is>
          <t>TELMEX DO BRASIL S/A</t>
        </is>
      </c>
      <c r="F11656" s="30" t="inlineStr">
        <is>
          <t>2018</t>
        </is>
      </c>
      <c r="G11656" s="40" t="n">
        <v>0</v>
      </c>
    </row>
    <row r="11657" ht="12" customHeight="1">
      <c r="A11657" s="30" t="inlineStr">
        <is>
          <t>POR</t>
        </is>
      </c>
      <c r="B11657" s="30" t="inlineStr">
        <is>
          <t>Porto Real</t>
        </is>
      </c>
      <c r="C11657" s="30" t="n">
        <v>85297848</v>
      </c>
      <c r="D11657" s="30">
        <f>"02667694000221"</f>
        <v/>
      </c>
      <c r="E11657" s="30" t="inlineStr">
        <is>
          <t>TELMEX DO BRASIL S/A</t>
        </is>
      </c>
      <c r="F11657" s="30" t="inlineStr">
        <is>
          <t>2019</t>
        </is>
      </c>
      <c r="G11657" s="40" t="n">
        <v>730307.78</v>
      </c>
    </row>
    <row r="11658" ht="12" customHeight="1">
      <c r="A11658" s="30" t="inlineStr">
        <is>
          <t>POR</t>
        </is>
      </c>
      <c r="B11658" s="30" t="inlineStr">
        <is>
          <t>Porto Real</t>
        </is>
      </c>
      <c r="C11658" s="30" t="n">
        <v>85297848</v>
      </c>
      <c r="D11658" s="30">
        <f>"02667694000221"</f>
        <v/>
      </c>
      <c r="E11658" s="30" t="inlineStr">
        <is>
          <t>TELMEX DO BRASIL S/A</t>
        </is>
      </c>
      <c r="F11658" s="30" t="inlineStr">
        <is>
          <t>2020</t>
        </is>
      </c>
      <c r="G11658" s="40" t="n">
        <v>1234741.91</v>
      </c>
    </row>
    <row r="11659" ht="12" customHeight="1">
      <c r="A11659" s="30" t="inlineStr">
        <is>
          <t>POR</t>
        </is>
      </c>
      <c r="B11659" s="30" t="inlineStr">
        <is>
          <t>Porto Real</t>
        </is>
      </c>
      <c r="C11659" s="30" t="n">
        <v>85297848</v>
      </c>
      <c r="D11659" s="30">
        <f>"02667694000221"</f>
        <v/>
      </c>
      <c r="E11659" s="30" t="inlineStr">
        <is>
          <t>TELMEX DO BRASIL S/A</t>
        </is>
      </c>
      <c r="F11659" s="30" t="inlineStr">
        <is>
          <t>2021</t>
        </is>
      </c>
      <c r="G11659" s="40" t="n">
        <v>441277.46</v>
      </c>
    </row>
    <row r="11660" ht="12" customHeight="1">
      <c r="A11660" s="30" t="inlineStr">
        <is>
          <t>POR</t>
        </is>
      </c>
      <c r="B11660" s="30" t="inlineStr">
        <is>
          <t>Porto Real</t>
        </is>
      </c>
      <c r="C11660" s="30" t="n">
        <v>85297848</v>
      </c>
      <c r="D11660" s="30">
        <f>"02667694000221"</f>
        <v/>
      </c>
      <c r="E11660" s="30" t="inlineStr">
        <is>
          <t>TELMEX DO BRASIL S/A</t>
        </is>
      </c>
      <c r="F11660" s="30" t="inlineStr">
        <is>
          <t>2022</t>
        </is>
      </c>
      <c r="G11660" s="40" t="n">
        <v>256676.12</v>
      </c>
    </row>
    <row r="11661" ht="12" customHeight="1">
      <c r="A11661" s="30" t="inlineStr">
        <is>
          <t>POR</t>
        </is>
      </c>
      <c r="B11661" s="30" t="inlineStr">
        <is>
          <t>Porto Real</t>
        </is>
      </c>
      <c r="C11661" s="30" t="n">
        <v>85297848</v>
      </c>
      <c r="D11661" s="30">
        <f>"02667694000221"</f>
        <v/>
      </c>
      <c r="E11661" s="30" t="inlineStr">
        <is>
          <t>TELMEX DO BRASIL S/A</t>
        </is>
      </c>
      <c r="F11661" s="30" t="inlineStr">
        <is>
          <t>2023</t>
        </is>
      </c>
      <c r="G11661" s="40" t="n">
        <v>232513.2</v>
      </c>
    </row>
    <row r="11662" ht="12" customHeight="1">
      <c r="A11662" s="30" t="inlineStr">
        <is>
          <t>POR</t>
        </is>
      </c>
      <c r="B11662" s="30" t="inlineStr">
        <is>
          <t>Porto Real</t>
        </is>
      </c>
      <c r="C11662" s="30" t="n">
        <v>85366386</v>
      </c>
      <c r="D11662" s="30">
        <f>"90434000120"</f>
        <v/>
      </c>
      <c r="E11662" s="30" t="inlineStr">
        <is>
          <t>ALEXANDRE DOS SANTOS CAMPOS</t>
        </is>
      </c>
      <c r="F11662" s="30" t="inlineStr">
        <is>
          <t>2017</t>
        </is>
      </c>
      <c r="G11662" s="40" t="n">
        <v>0</v>
      </c>
    </row>
    <row r="11663" ht="12" customHeight="1">
      <c r="A11663" s="30" t="inlineStr">
        <is>
          <t>POR</t>
        </is>
      </c>
      <c r="B11663" s="30" t="inlineStr">
        <is>
          <t>Porto Real</t>
        </is>
      </c>
      <c r="C11663" s="30" t="n">
        <v>85366386</v>
      </c>
      <c r="D11663" s="30">
        <f>"90434000120"</f>
        <v/>
      </c>
      <c r="E11663" s="30" t="inlineStr">
        <is>
          <t>ALEXANDRE DOS SANTOS CAMPOS</t>
        </is>
      </c>
      <c r="F11663" s="30" t="inlineStr">
        <is>
          <t>2018</t>
        </is>
      </c>
      <c r="G11663" s="40" t="n">
        <v>0</v>
      </c>
    </row>
    <row r="11664" ht="12" customHeight="1">
      <c r="A11664" s="30" t="inlineStr">
        <is>
          <t>POR</t>
        </is>
      </c>
      <c r="B11664" s="30" t="inlineStr">
        <is>
          <t>Porto Real</t>
        </is>
      </c>
      <c r="C11664" s="30" t="n">
        <v>85366386</v>
      </c>
      <c r="D11664" s="30">
        <f>"90434000120"</f>
        <v/>
      </c>
      <c r="E11664" s="30" t="inlineStr">
        <is>
          <t>ALEXANDRE DOS SANTOS CAMPOS</t>
        </is>
      </c>
      <c r="F11664" s="30" t="inlineStr">
        <is>
          <t>2019</t>
        </is>
      </c>
      <c r="G11664" s="40" t="n">
        <v>0</v>
      </c>
    </row>
    <row r="11665" ht="12" customHeight="1">
      <c r="A11665" s="30" t="inlineStr">
        <is>
          <t>POR</t>
        </is>
      </c>
      <c r="B11665" s="30" t="inlineStr">
        <is>
          <t>Porto Real</t>
        </is>
      </c>
      <c r="C11665" s="30" t="n">
        <v>85390449</v>
      </c>
      <c r="D11665" s="30">
        <f>"17428731005447"</f>
        <v/>
      </c>
      <c r="E11665" s="30" t="inlineStr">
        <is>
          <t>PROSEGUR BRASIL S/A</t>
        </is>
      </c>
      <c r="F11665" s="30" t="inlineStr">
        <is>
          <t>2018</t>
        </is>
      </c>
      <c r="G11665" s="40" t="n">
        <v>0</v>
      </c>
    </row>
    <row r="11666" ht="12" customHeight="1">
      <c r="A11666" s="30" t="inlineStr">
        <is>
          <t>POR</t>
        </is>
      </c>
      <c r="B11666" s="30" t="inlineStr">
        <is>
          <t>Porto Real</t>
        </is>
      </c>
      <c r="C11666" s="30" t="n">
        <v>85390449</v>
      </c>
      <c r="D11666" s="30">
        <f>"17428731005447"</f>
        <v/>
      </c>
      <c r="E11666" s="30" t="inlineStr">
        <is>
          <t>PROSEGUR BRASIL S/A</t>
        </is>
      </c>
      <c r="F11666" s="30" t="inlineStr">
        <is>
          <t>2019</t>
        </is>
      </c>
      <c r="G11666" s="40" t="n">
        <v>0</v>
      </c>
    </row>
    <row r="11667" ht="12" customHeight="1">
      <c r="A11667" s="30" t="inlineStr">
        <is>
          <t>POR</t>
        </is>
      </c>
      <c r="B11667" s="30" t="inlineStr">
        <is>
          <t>Porto Real</t>
        </is>
      </c>
      <c r="C11667" s="30" t="n">
        <v>85390449</v>
      </c>
      <c r="D11667" s="30">
        <f>"17428731005447"</f>
        <v/>
      </c>
      <c r="E11667" s="30" t="inlineStr">
        <is>
          <t>PROSEGUR BRASIL S/A</t>
        </is>
      </c>
      <c r="F11667" s="30" t="inlineStr">
        <is>
          <t>2020</t>
        </is>
      </c>
      <c r="G11667" s="40" t="n">
        <v>3594.94</v>
      </c>
    </row>
    <row r="11668" ht="12" customHeight="1">
      <c r="A11668" s="30" t="inlineStr">
        <is>
          <t>POR</t>
        </is>
      </c>
      <c r="B11668" s="30" t="inlineStr">
        <is>
          <t>Porto Real</t>
        </is>
      </c>
      <c r="C11668" s="30" t="n">
        <v>85390449</v>
      </c>
      <c r="D11668" s="30">
        <f>"17428731005447"</f>
        <v/>
      </c>
      <c r="E11668" s="30" t="inlineStr">
        <is>
          <t>PROSEGUR BRASIL S/A</t>
        </is>
      </c>
      <c r="F11668" s="30" t="inlineStr">
        <is>
          <t>2021</t>
        </is>
      </c>
      <c r="G11668" s="40" t="n">
        <v>0</v>
      </c>
    </row>
    <row r="11669" ht="12" customHeight="1">
      <c r="A11669" s="30" t="inlineStr">
        <is>
          <t>POR</t>
        </is>
      </c>
      <c r="B11669" s="30" t="inlineStr">
        <is>
          <t>Porto Real</t>
        </is>
      </c>
      <c r="C11669" s="30" t="n">
        <v>85390449</v>
      </c>
      <c r="D11669" s="30">
        <f>"17428731005447"</f>
        <v/>
      </c>
      <c r="E11669" s="30" t="inlineStr">
        <is>
          <t>PROSEGUR BRASIL S/A</t>
        </is>
      </c>
      <c r="F11669" s="30" t="inlineStr">
        <is>
          <t>2022</t>
        </is>
      </c>
      <c r="G11669" s="40" t="n">
        <v>0</v>
      </c>
    </row>
    <row r="11670" ht="12" customHeight="1">
      <c r="A11670" s="30" t="inlineStr">
        <is>
          <t>POR</t>
        </is>
      </c>
      <c r="B11670" s="30" t="inlineStr">
        <is>
          <t>Porto Real</t>
        </is>
      </c>
      <c r="C11670" s="30" t="n">
        <v>85390465</v>
      </c>
      <c r="D11670" s="30">
        <f>"17428731005609"</f>
        <v/>
      </c>
      <c r="E11670" s="30" t="inlineStr">
        <is>
          <t>PROSEGUR BRASIL S/A</t>
        </is>
      </c>
      <c r="F11670" s="30" t="inlineStr">
        <is>
          <t>2017</t>
        </is>
      </c>
      <c r="G11670" s="40" t="n">
        <v>190493.56</v>
      </c>
    </row>
    <row r="11671" ht="12" customHeight="1">
      <c r="A11671" s="30" t="inlineStr">
        <is>
          <t>POR</t>
        </is>
      </c>
      <c r="B11671" s="30" t="inlineStr">
        <is>
          <t>Porto Real</t>
        </is>
      </c>
      <c r="C11671" s="30" t="n">
        <v>85390465</v>
      </c>
      <c r="D11671" s="30">
        <f>"17428731005609"</f>
        <v/>
      </c>
      <c r="E11671" s="30" t="inlineStr">
        <is>
          <t>PROSEGUR BRASIL S/A</t>
        </is>
      </c>
      <c r="F11671" s="30" t="inlineStr">
        <is>
          <t>2018</t>
        </is>
      </c>
      <c r="G11671" s="40" t="n">
        <v>148058.86</v>
      </c>
    </row>
    <row r="11672" ht="12" customHeight="1">
      <c r="A11672" s="30" t="inlineStr">
        <is>
          <t>POR</t>
        </is>
      </c>
      <c r="B11672" s="30" t="inlineStr">
        <is>
          <t>Porto Real</t>
        </is>
      </c>
      <c r="C11672" s="30" t="n">
        <v>85390465</v>
      </c>
      <c r="D11672" s="30">
        <f>"17428731005609"</f>
        <v/>
      </c>
      <c r="E11672" s="30" t="inlineStr">
        <is>
          <t>PROSEGUR BRASIL S/A</t>
        </is>
      </c>
      <c r="F11672" s="30" t="inlineStr">
        <is>
          <t>2019</t>
        </is>
      </c>
      <c r="G11672" s="40" t="n">
        <v>156795.25</v>
      </c>
    </row>
    <row r="11673" ht="12" customHeight="1">
      <c r="A11673" s="30" t="inlineStr">
        <is>
          <t>POR</t>
        </is>
      </c>
      <c r="B11673" s="30" t="inlineStr">
        <is>
          <t>Porto Real</t>
        </is>
      </c>
      <c r="C11673" s="30" t="n">
        <v>85390465</v>
      </c>
      <c r="D11673" s="30">
        <f>"17428731005609"</f>
        <v/>
      </c>
      <c r="E11673" s="30" t="inlineStr">
        <is>
          <t>PROSEGUR BRASIL S/A</t>
        </is>
      </c>
      <c r="F11673" s="30" t="inlineStr">
        <is>
          <t>2020</t>
        </is>
      </c>
      <c r="G11673" s="40" t="n">
        <v>143936.98</v>
      </c>
    </row>
    <row r="11674" ht="12" customHeight="1">
      <c r="A11674" s="30" t="inlineStr">
        <is>
          <t>POR</t>
        </is>
      </c>
      <c r="B11674" s="30" t="inlineStr">
        <is>
          <t>Porto Real</t>
        </is>
      </c>
      <c r="C11674" s="30" t="n">
        <v>85390465</v>
      </c>
      <c r="D11674" s="30">
        <f>"17428731005609"</f>
        <v/>
      </c>
      <c r="E11674" s="30" t="inlineStr">
        <is>
          <t>PROSEGUR BRASIL S/A</t>
        </is>
      </c>
      <c r="F11674" s="30" t="inlineStr">
        <is>
          <t>2021</t>
        </is>
      </c>
      <c r="G11674" s="40" t="n">
        <v>135433.76</v>
      </c>
    </row>
    <row r="11675" ht="12" customHeight="1">
      <c r="A11675" s="30" t="inlineStr">
        <is>
          <t>POR</t>
        </is>
      </c>
      <c r="B11675" s="30" t="inlineStr">
        <is>
          <t>Porto Real</t>
        </is>
      </c>
      <c r="C11675" s="30" t="n">
        <v>85390465</v>
      </c>
      <c r="D11675" s="30">
        <f>"17428731005609"</f>
        <v/>
      </c>
      <c r="E11675" s="30" t="inlineStr">
        <is>
          <t>PROSEGUR BRASIL S/A</t>
        </is>
      </c>
      <c r="F11675" s="30" t="inlineStr">
        <is>
          <t>2022</t>
        </is>
      </c>
      <c r="G11675" s="40" t="n">
        <v>31669.43</v>
      </c>
    </row>
    <row r="11676" ht="12" customHeight="1">
      <c r="A11676" s="30" t="inlineStr">
        <is>
          <t>POR</t>
        </is>
      </c>
      <c r="B11676" s="30" t="inlineStr">
        <is>
          <t>Porto Real</t>
        </is>
      </c>
      <c r="C11676" s="30" t="n">
        <v>85390465</v>
      </c>
      <c r="D11676" s="30">
        <f>"17428731005609"</f>
        <v/>
      </c>
      <c r="E11676" s="30" t="inlineStr">
        <is>
          <t>PROSEGUR BRASIL S/A</t>
        </is>
      </c>
      <c r="F11676" s="30" t="inlineStr">
        <is>
          <t>2023</t>
        </is>
      </c>
      <c r="G11676" s="40" t="n">
        <v>147172.78</v>
      </c>
    </row>
    <row r="11677" ht="12" customHeight="1">
      <c r="A11677" s="30" t="inlineStr">
        <is>
          <t>POR</t>
        </is>
      </c>
      <c r="B11677" s="30" t="inlineStr">
        <is>
          <t>Porto Real</t>
        </is>
      </c>
      <c r="C11677" s="30" t="n">
        <v>85440357</v>
      </c>
      <c r="D11677" s="30">
        <f>"55184691000201"</f>
        <v/>
      </c>
      <c r="E11677" s="30" t="inlineStr">
        <is>
          <t>TRANSPORTADORA JULE LTDA</t>
        </is>
      </c>
      <c r="F11677" s="30" t="inlineStr">
        <is>
          <t>2017</t>
        </is>
      </c>
      <c r="G11677" s="40" t="n">
        <v>373492.66</v>
      </c>
    </row>
    <row r="11678" ht="12" customHeight="1">
      <c r="A11678" s="30" t="inlineStr">
        <is>
          <t>POR</t>
        </is>
      </c>
      <c r="B11678" s="30" t="inlineStr">
        <is>
          <t>Porto Real</t>
        </is>
      </c>
      <c r="C11678" s="30" t="n">
        <v>85440357</v>
      </c>
      <c r="D11678" s="30">
        <f>"55184691000201"</f>
        <v/>
      </c>
      <c r="E11678" s="30" t="inlineStr">
        <is>
          <t>TRANSPORTADORA JULE LTDA</t>
        </is>
      </c>
      <c r="F11678" s="30" t="inlineStr">
        <is>
          <t>2018</t>
        </is>
      </c>
      <c r="G11678" s="40" t="n">
        <v>93412.60000000001</v>
      </c>
    </row>
    <row r="11679" ht="12" customHeight="1">
      <c r="A11679" s="30" t="inlineStr">
        <is>
          <t>POR</t>
        </is>
      </c>
      <c r="B11679" s="30" t="inlineStr">
        <is>
          <t>Porto Real</t>
        </is>
      </c>
      <c r="C11679" s="30" t="n">
        <v>85440357</v>
      </c>
      <c r="D11679" s="30">
        <f>"55184691000201"</f>
        <v/>
      </c>
      <c r="E11679" s="30" t="inlineStr">
        <is>
          <t>TRANSPORTADORA JULE LTDA</t>
        </is>
      </c>
      <c r="F11679" s="30" t="inlineStr">
        <is>
          <t>2019</t>
        </is>
      </c>
      <c r="G11679" s="40" t="n">
        <v>17988.85</v>
      </c>
    </row>
    <row r="11680" ht="12" customHeight="1">
      <c r="A11680" s="30" t="inlineStr">
        <is>
          <t>POR</t>
        </is>
      </c>
      <c r="B11680" s="30" t="inlineStr">
        <is>
          <t>Porto Real</t>
        </is>
      </c>
      <c r="C11680" s="30" t="n">
        <v>85440357</v>
      </c>
      <c r="D11680" s="30">
        <f>"55184691000201"</f>
        <v/>
      </c>
      <c r="E11680" s="30" t="inlineStr">
        <is>
          <t>TRANSPORTADORA JULE LTDA</t>
        </is>
      </c>
      <c r="F11680" s="30" t="inlineStr">
        <is>
          <t>2020</t>
        </is>
      </c>
      <c r="G11680" s="40" t="n">
        <v>191867.36</v>
      </c>
    </row>
    <row r="11681" ht="12" customHeight="1">
      <c r="A11681" s="30" t="inlineStr">
        <is>
          <t>POR</t>
        </is>
      </c>
      <c r="B11681" s="30" t="inlineStr">
        <is>
          <t>Porto Real</t>
        </is>
      </c>
      <c r="C11681" s="30" t="n">
        <v>85440357</v>
      </c>
      <c r="D11681" s="30">
        <f>"55184691000201"</f>
        <v/>
      </c>
      <c r="E11681" s="30" t="inlineStr">
        <is>
          <t>TRANSPORTADORA JULE LTDA</t>
        </is>
      </c>
      <c r="F11681" s="30" t="inlineStr">
        <is>
          <t>2021</t>
        </is>
      </c>
      <c r="G11681" s="40" t="n">
        <v>78070.03999999999</v>
      </c>
    </row>
    <row r="11682" ht="12" customHeight="1">
      <c r="A11682" s="30" t="inlineStr">
        <is>
          <t>POR</t>
        </is>
      </c>
      <c r="B11682" s="30" t="inlineStr">
        <is>
          <t>Porto Real</t>
        </is>
      </c>
      <c r="C11682" s="30" t="n">
        <v>85440357</v>
      </c>
      <c r="D11682" s="30">
        <f>"55184691000201"</f>
        <v/>
      </c>
      <c r="E11682" s="30" t="inlineStr">
        <is>
          <t>TRANSPORTADORA JULE LTDA</t>
        </is>
      </c>
      <c r="F11682" s="30" t="inlineStr">
        <is>
          <t>2022</t>
        </is>
      </c>
      <c r="G11682" s="40" t="n">
        <v>2778.39</v>
      </c>
    </row>
    <row r="11683" ht="12" customHeight="1">
      <c r="A11683" s="30" t="inlineStr">
        <is>
          <t>POR</t>
        </is>
      </c>
      <c r="B11683" s="30" t="inlineStr">
        <is>
          <t>Porto Real</t>
        </is>
      </c>
      <c r="C11683" s="30" t="n">
        <v>85440357</v>
      </c>
      <c r="D11683" s="30">
        <f>"55184691000201"</f>
        <v/>
      </c>
      <c r="E11683" s="30" t="inlineStr">
        <is>
          <t>TRANSPORTADORA JULE LTDA</t>
        </is>
      </c>
      <c r="F11683" s="30" t="inlineStr">
        <is>
          <t>2023</t>
        </is>
      </c>
      <c r="G11683" s="40" t="n">
        <v>95843.3</v>
      </c>
    </row>
    <row r="11684" ht="12" customHeight="1">
      <c r="A11684" s="30" t="inlineStr">
        <is>
          <t>POR</t>
        </is>
      </c>
      <c r="B11684" s="30" t="inlineStr">
        <is>
          <t>Porto Real</t>
        </is>
      </c>
      <c r="C11684" s="30" t="n">
        <v>85454455</v>
      </c>
      <c r="D11684" s="30">
        <f>"00468285000190"</f>
        <v/>
      </c>
      <c r="E11684" s="30" t="inlineStr">
        <is>
          <t>TRANZIRAN TRANSPORTES EIRELI</t>
        </is>
      </c>
      <c r="F11684" s="30" t="inlineStr">
        <is>
          <t>2018</t>
        </is>
      </c>
      <c r="G11684" s="40" t="n">
        <v>0</v>
      </c>
    </row>
    <row r="11685" ht="12" customHeight="1">
      <c r="A11685" s="30" t="inlineStr">
        <is>
          <t>POR</t>
        </is>
      </c>
      <c r="B11685" s="30" t="inlineStr">
        <is>
          <t>Porto Real</t>
        </is>
      </c>
      <c r="C11685" s="30" t="n">
        <v>85454455</v>
      </c>
      <c r="D11685" s="30">
        <f>"00468285000190"</f>
        <v/>
      </c>
      <c r="E11685" s="30" t="inlineStr">
        <is>
          <t>TRANZIRAN TRANSPORTES EIRELI</t>
        </is>
      </c>
      <c r="F11685" s="30" t="inlineStr">
        <is>
          <t>2019</t>
        </is>
      </c>
      <c r="G11685" s="40" t="n">
        <v>0</v>
      </c>
    </row>
    <row r="11686" ht="12" customHeight="1">
      <c r="A11686" s="30" t="inlineStr">
        <is>
          <t>POR</t>
        </is>
      </c>
      <c r="B11686" s="30" t="inlineStr">
        <is>
          <t>Porto Real</t>
        </is>
      </c>
      <c r="C11686" s="30" t="n">
        <v>85454455</v>
      </c>
      <c r="D11686" s="30">
        <f>"00468285000190"</f>
        <v/>
      </c>
      <c r="E11686" s="30" t="inlineStr">
        <is>
          <t>TRANZIRAN TRANSPORTES EIRELI</t>
        </is>
      </c>
      <c r="F11686" s="30" t="inlineStr">
        <is>
          <t>2020</t>
        </is>
      </c>
      <c r="G11686" s="40" t="n">
        <v>30847.31</v>
      </c>
    </row>
    <row r="11687" ht="12" customHeight="1">
      <c r="A11687" s="30" t="inlineStr">
        <is>
          <t>POR</t>
        </is>
      </c>
      <c r="B11687" s="30" t="inlineStr">
        <is>
          <t>Porto Real</t>
        </is>
      </c>
      <c r="C11687" s="30" t="n">
        <v>85454455</v>
      </c>
      <c r="D11687" s="30">
        <f>"00468285000190"</f>
        <v/>
      </c>
      <c r="E11687" s="30" t="inlineStr">
        <is>
          <t>TRANZIRAN TRANSPORTES EIRELI</t>
        </is>
      </c>
      <c r="F11687" s="30" t="inlineStr">
        <is>
          <t>2021</t>
        </is>
      </c>
      <c r="G11687" s="40" t="n">
        <v>5469.04</v>
      </c>
    </row>
    <row r="11688" ht="12" customHeight="1">
      <c r="A11688" s="30" t="inlineStr">
        <is>
          <t>POR</t>
        </is>
      </c>
      <c r="B11688" s="30" t="inlineStr">
        <is>
          <t>Porto Real</t>
        </is>
      </c>
      <c r="C11688" s="30" t="n">
        <v>85454455</v>
      </c>
      <c r="D11688" s="30">
        <f>"00468285000190"</f>
        <v/>
      </c>
      <c r="E11688" s="30" t="inlineStr">
        <is>
          <t>TRANZIRAN TRANSPORTES EIRELI</t>
        </is>
      </c>
      <c r="F11688" s="30" t="inlineStr">
        <is>
          <t>2022</t>
        </is>
      </c>
      <c r="G11688" s="40" t="n">
        <v>20188.26</v>
      </c>
    </row>
    <row r="11689" ht="12" customHeight="1">
      <c r="A11689" s="30" t="inlineStr">
        <is>
          <t>POR</t>
        </is>
      </c>
      <c r="B11689" s="30" t="inlineStr">
        <is>
          <t>Porto Real</t>
        </is>
      </c>
      <c r="C11689" s="30" t="n">
        <v>85454455</v>
      </c>
      <c r="D11689" s="30">
        <f>"00468285000190"</f>
        <v/>
      </c>
      <c r="E11689" s="30" t="inlineStr">
        <is>
          <t>TRANZIRAN TRANSPORTES EIRELI</t>
        </is>
      </c>
      <c r="F11689" s="30" t="inlineStr">
        <is>
          <t>2023</t>
        </is>
      </c>
      <c r="G11689" s="40" t="n">
        <v>0</v>
      </c>
    </row>
    <row r="11690" ht="12" customHeight="1">
      <c r="A11690" s="30" t="inlineStr">
        <is>
          <t>POR</t>
        </is>
      </c>
      <c r="B11690" s="30" t="inlineStr">
        <is>
          <t>Porto Real</t>
        </is>
      </c>
      <c r="C11690" s="30" t="n">
        <v>85454684</v>
      </c>
      <c r="D11690" s="30">
        <f>"81800849001032"</f>
        <v/>
      </c>
      <c r="E11690" s="30" t="inlineStr">
        <is>
          <t>COTRESC COOPERATIVA DE TRANSPORTE DE CARGAS DO ESTADO DE SC LTDA</t>
        </is>
      </c>
      <c r="F11690" s="30" t="inlineStr">
        <is>
          <t>2017</t>
        </is>
      </c>
      <c r="G11690" s="40" t="n">
        <v>0</v>
      </c>
    </row>
    <row r="11691" ht="12" customHeight="1">
      <c r="A11691" s="30" t="inlineStr">
        <is>
          <t>POR</t>
        </is>
      </c>
      <c r="B11691" s="30" t="inlineStr">
        <is>
          <t>Porto Real</t>
        </is>
      </c>
      <c r="C11691" s="30" t="n">
        <v>85454684</v>
      </c>
      <c r="D11691" s="30">
        <f>"81800849001032"</f>
        <v/>
      </c>
      <c r="E11691" s="30" t="inlineStr">
        <is>
          <t>COTRESC COOPERATIVA DE TRANSPORTE DE CARGAS DO ESTADO DE SC LTDA</t>
        </is>
      </c>
      <c r="F11691" s="30" t="inlineStr">
        <is>
          <t>2018</t>
        </is>
      </c>
      <c r="G11691" s="40" t="n">
        <v>0</v>
      </c>
    </row>
    <row r="11692" ht="12" customHeight="1">
      <c r="A11692" s="30" t="inlineStr">
        <is>
          <t>POR</t>
        </is>
      </c>
      <c r="B11692" s="30" t="inlineStr">
        <is>
          <t>Porto Real</t>
        </is>
      </c>
      <c r="C11692" s="30" t="n">
        <v>85454684</v>
      </c>
      <c r="D11692" s="30">
        <f>"81800849001032"</f>
        <v/>
      </c>
      <c r="E11692" s="30" t="inlineStr">
        <is>
          <t>COTRESC COOPERATIVA DE TRANSPORTE DE CARGAS DO ESTADO DE SC LTDA</t>
        </is>
      </c>
      <c r="F11692" s="30" t="inlineStr">
        <is>
          <t>2019</t>
        </is>
      </c>
      <c r="G11692" s="40" t="n">
        <v>2832.88</v>
      </c>
    </row>
    <row r="11693" ht="12" customHeight="1">
      <c r="A11693" s="30" t="inlineStr">
        <is>
          <t>POR</t>
        </is>
      </c>
      <c r="B11693" s="30" t="inlineStr">
        <is>
          <t>Porto Real</t>
        </is>
      </c>
      <c r="C11693" s="30" t="n">
        <v>85454684</v>
      </c>
      <c r="D11693" s="30">
        <f>"81800849001032"</f>
        <v/>
      </c>
      <c r="E11693" s="30" t="inlineStr">
        <is>
          <t>COTRESC COOPERATIVA DE TRANSPORTE DE CARGAS DO ESTADO DE SC LTDA</t>
        </is>
      </c>
      <c r="F11693" s="30" t="inlineStr">
        <is>
          <t>2020</t>
        </is>
      </c>
      <c r="G11693" s="40" t="n">
        <v>2907.9</v>
      </c>
    </row>
    <row r="11694" ht="12" customHeight="1">
      <c r="A11694" s="30" t="inlineStr">
        <is>
          <t>POR</t>
        </is>
      </c>
      <c r="B11694" s="30" t="inlineStr">
        <is>
          <t>Porto Real</t>
        </is>
      </c>
      <c r="C11694" s="30" t="n">
        <v>85454684</v>
      </c>
      <c r="D11694" s="30">
        <f>"81800849001032"</f>
        <v/>
      </c>
      <c r="E11694" s="30" t="inlineStr">
        <is>
          <t>COTRESC COOPERATIVA DE TRANSPORTE DE CARGAS DO ESTADO DE SC LTDA</t>
        </is>
      </c>
      <c r="F11694" s="30" t="inlineStr">
        <is>
          <t>2021</t>
        </is>
      </c>
      <c r="G11694" s="40" t="n">
        <v>2042.45</v>
      </c>
    </row>
    <row r="11695" ht="12" customHeight="1">
      <c r="A11695" s="30" t="inlineStr">
        <is>
          <t>POR</t>
        </is>
      </c>
      <c r="B11695" s="30" t="inlineStr">
        <is>
          <t>Porto Real</t>
        </is>
      </c>
      <c r="C11695" s="30" t="n">
        <v>85454684</v>
      </c>
      <c r="D11695" s="30">
        <f>"81800849001032"</f>
        <v/>
      </c>
      <c r="E11695" s="30" t="inlineStr">
        <is>
          <t>COTRESC COOPERATIVA DE TRANSPORTE DE CARGAS DO ESTADO DE SC LTDA</t>
        </is>
      </c>
      <c r="F11695" s="30" t="inlineStr">
        <is>
          <t>2022</t>
        </is>
      </c>
      <c r="G11695" s="40" t="n">
        <v>0</v>
      </c>
    </row>
    <row r="11696" ht="12" customHeight="1">
      <c r="A11696" s="30" t="inlineStr">
        <is>
          <t>POR</t>
        </is>
      </c>
      <c r="B11696" s="30" t="inlineStr">
        <is>
          <t>Porto Real</t>
        </is>
      </c>
      <c r="C11696" s="30" t="n">
        <v>85454684</v>
      </c>
      <c r="D11696" s="30">
        <f>"81800849001032"</f>
        <v/>
      </c>
      <c r="E11696" s="30" t="inlineStr">
        <is>
          <t>COTRESC COOPERATIVA DE TRANSPORTE DE CARGAS DO ESTADO DE SC LTDA</t>
        </is>
      </c>
      <c r="F11696" s="30" t="inlineStr">
        <is>
          <t>2023</t>
        </is>
      </c>
      <c r="G11696" s="40" t="n">
        <v>0</v>
      </c>
    </row>
    <row r="11697" ht="12" customHeight="1">
      <c r="A11697" s="30" t="inlineStr">
        <is>
          <t>POR</t>
        </is>
      </c>
      <c r="B11697" s="30" t="inlineStr">
        <is>
          <t>Porto Real</t>
        </is>
      </c>
      <c r="C11697" s="30" t="n">
        <v>85498053</v>
      </c>
      <c r="D11697" s="30">
        <f>"01341776000219"</f>
        <v/>
      </c>
      <c r="E11697" s="30" t="inlineStr">
        <is>
          <t>MERCOSUL LINE NAVEGACAO E LOGISTICA LTDA</t>
        </is>
      </c>
      <c r="F11697" s="30" t="inlineStr">
        <is>
          <t>2017</t>
        </is>
      </c>
      <c r="G11697" s="40" t="n">
        <v>5062.5</v>
      </c>
    </row>
    <row r="11698" ht="12" customHeight="1">
      <c r="A11698" s="30" t="inlineStr">
        <is>
          <t>POR</t>
        </is>
      </c>
      <c r="B11698" s="30" t="inlineStr">
        <is>
          <t>Porto Real</t>
        </is>
      </c>
      <c r="C11698" s="30" t="n">
        <v>85498053</v>
      </c>
      <c r="D11698" s="30">
        <f>"01341776000219"</f>
        <v/>
      </c>
      <c r="E11698" s="30" t="inlineStr">
        <is>
          <t>MERCOSUL LINE NAVEGACAO E LOGISTICA LTDA</t>
        </is>
      </c>
      <c r="F11698" s="30" t="inlineStr">
        <is>
          <t>2018</t>
        </is>
      </c>
      <c r="G11698" s="40" t="n">
        <v>0</v>
      </c>
    </row>
    <row r="11699" ht="12" customHeight="1">
      <c r="A11699" s="30" t="inlineStr">
        <is>
          <t>POR</t>
        </is>
      </c>
      <c r="B11699" s="30" t="inlineStr">
        <is>
          <t>Porto Real</t>
        </is>
      </c>
      <c r="C11699" s="30" t="n">
        <v>85498053</v>
      </c>
      <c r="D11699" s="30">
        <f>"01341776000219"</f>
        <v/>
      </c>
      <c r="E11699" s="30" t="inlineStr">
        <is>
          <t>MERCOSUL LINE NAVEGACAO E LOGISTICA LTDA</t>
        </is>
      </c>
      <c r="F11699" s="30" t="inlineStr">
        <is>
          <t>2019</t>
        </is>
      </c>
      <c r="G11699" s="40" t="n">
        <v>0</v>
      </c>
    </row>
    <row r="11700" ht="12" customHeight="1">
      <c r="A11700" s="30" t="inlineStr">
        <is>
          <t>POR</t>
        </is>
      </c>
      <c r="B11700" s="30" t="inlineStr">
        <is>
          <t>Porto Real</t>
        </is>
      </c>
      <c r="C11700" s="30" t="n">
        <v>85498053</v>
      </c>
      <c r="D11700" s="30">
        <f>"01341776000219"</f>
        <v/>
      </c>
      <c r="E11700" s="30" t="inlineStr">
        <is>
          <t>MERCOSUL LINE NAVEGACAO E LOGISTICA LTDA</t>
        </is>
      </c>
      <c r="F11700" s="30" t="inlineStr">
        <is>
          <t>2020</t>
        </is>
      </c>
      <c r="G11700" s="40" t="n">
        <v>0</v>
      </c>
    </row>
    <row r="11701" ht="12" customHeight="1">
      <c r="A11701" s="30" t="inlineStr">
        <is>
          <t>POR</t>
        </is>
      </c>
      <c r="B11701" s="30" t="inlineStr">
        <is>
          <t>Porto Real</t>
        </is>
      </c>
      <c r="C11701" s="30" t="n">
        <v>85498053</v>
      </c>
      <c r="D11701" s="30">
        <f>"01341776000219"</f>
        <v/>
      </c>
      <c r="E11701" s="30" t="inlineStr">
        <is>
          <t>MERCOSUL LINE NAVEGACAO E LOGISTICA LTDA</t>
        </is>
      </c>
      <c r="F11701" s="30" t="inlineStr">
        <is>
          <t>2021</t>
        </is>
      </c>
      <c r="G11701" s="40" t="n">
        <v>0</v>
      </c>
    </row>
    <row r="11702" ht="12" customHeight="1">
      <c r="A11702" s="30" t="inlineStr">
        <is>
          <t>POR</t>
        </is>
      </c>
      <c r="B11702" s="30" t="inlineStr">
        <is>
          <t>Porto Real</t>
        </is>
      </c>
      <c r="C11702" s="30" t="n">
        <v>85498053</v>
      </c>
      <c r="D11702" s="30">
        <f>"01341776000219"</f>
        <v/>
      </c>
      <c r="E11702" s="30" t="inlineStr">
        <is>
          <t>MERCOSUL LINE NAVEGACAO E LOGISTICA LTDA</t>
        </is>
      </c>
      <c r="F11702" s="30" t="inlineStr">
        <is>
          <t>2022</t>
        </is>
      </c>
      <c r="G11702" s="40" t="n">
        <v>15524.38</v>
      </c>
    </row>
    <row r="11703" ht="12" customHeight="1">
      <c r="A11703" s="30" t="inlineStr">
        <is>
          <t>POR</t>
        </is>
      </c>
      <c r="B11703" s="30" t="inlineStr">
        <is>
          <t>Porto Real</t>
        </is>
      </c>
      <c r="C11703" s="30" t="n">
        <v>85498053</v>
      </c>
      <c r="D11703" s="30">
        <f>"01341776000219"</f>
        <v/>
      </c>
      <c r="E11703" s="30" t="inlineStr">
        <is>
          <t>MERCOSUL LINE NAVEGACAO E LOGISTICA LTDA</t>
        </is>
      </c>
      <c r="F11703" s="30" t="inlineStr">
        <is>
          <t>2023</t>
        </is>
      </c>
      <c r="G11703" s="40" t="n">
        <v>0</v>
      </c>
    </row>
    <row r="11704" ht="12" customHeight="1">
      <c r="A11704" s="30" t="inlineStr">
        <is>
          <t>POR</t>
        </is>
      </c>
      <c r="B11704" s="30" t="inlineStr">
        <is>
          <t>Porto Real</t>
        </is>
      </c>
      <c r="C11704" s="30" t="n">
        <v>85513567</v>
      </c>
      <c r="D11704" s="30">
        <f>"00510079000109"</f>
        <v/>
      </c>
      <c r="E11704" s="30" t="inlineStr">
        <is>
          <t>NEWTON ALVES CONDE ME</t>
        </is>
      </c>
      <c r="F11704" s="30" t="inlineStr">
        <is>
          <t>2017</t>
        </is>
      </c>
      <c r="G11704" s="40" t="n">
        <v>0</v>
      </c>
    </row>
    <row r="11705" ht="12" customHeight="1">
      <c r="A11705" s="30" t="inlineStr">
        <is>
          <t>POR</t>
        </is>
      </c>
      <c r="B11705" s="30" t="inlineStr">
        <is>
          <t>Porto Real</t>
        </is>
      </c>
      <c r="C11705" s="30" t="n">
        <v>85513567</v>
      </c>
      <c r="D11705" s="30">
        <f>"00510079000109"</f>
        <v/>
      </c>
      <c r="E11705" s="30" t="inlineStr">
        <is>
          <t>NEWTON ALVES CONDE ME</t>
        </is>
      </c>
      <c r="F11705" s="30" t="inlineStr">
        <is>
          <t>2018</t>
        </is>
      </c>
      <c r="G11705" s="40" t="n">
        <v>0</v>
      </c>
    </row>
    <row r="11706" ht="12" customHeight="1">
      <c r="A11706" s="30" t="inlineStr">
        <is>
          <t>POR</t>
        </is>
      </c>
      <c r="B11706" s="30" t="inlineStr">
        <is>
          <t>Porto Real</t>
        </is>
      </c>
      <c r="C11706" s="30" t="n">
        <v>85513567</v>
      </c>
      <c r="D11706" s="30">
        <f>"00510079000109"</f>
        <v/>
      </c>
      <c r="E11706" s="30" t="inlineStr">
        <is>
          <t>NEWTON ALVES CONDE ME</t>
        </is>
      </c>
      <c r="F11706" s="30" t="inlineStr">
        <is>
          <t>2019</t>
        </is>
      </c>
      <c r="G11706" s="40" t="n">
        <v>0</v>
      </c>
    </row>
    <row r="11707" ht="12" customHeight="1">
      <c r="A11707" s="30" t="inlineStr">
        <is>
          <t>POR</t>
        </is>
      </c>
      <c r="B11707" s="30" t="inlineStr">
        <is>
          <t>Porto Real</t>
        </is>
      </c>
      <c r="C11707" s="30" t="n">
        <v>85528211</v>
      </c>
      <c r="D11707" s="30">
        <f>"00185997000100"</f>
        <v/>
      </c>
      <c r="E11707" s="30" t="inlineStr">
        <is>
          <t>NOVO HORIZONTE JACAREPAGUA IMPORTA??O E EXPORTA??O S.A</t>
        </is>
      </c>
      <c r="F11707" s="30" t="inlineStr">
        <is>
          <t>2020</t>
        </is>
      </c>
      <c r="G11707" s="40" t="n">
        <v>0</v>
      </c>
    </row>
    <row r="11708" ht="12" customHeight="1">
      <c r="A11708" s="30" t="inlineStr">
        <is>
          <t>POR</t>
        </is>
      </c>
      <c r="B11708" s="30" t="inlineStr">
        <is>
          <t>Porto Real</t>
        </is>
      </c>
      <c r="C11708" s="30" t="n">
        <v>85528211</v>
      </c>
      <c r="D11708" s="30">
        <f>"00185997000100"</f>
        <v/>
      </c>
      <c r="E11708" s="30" t="inlineStr">
        <is>
          <t>NOVO HORIZONTE JACAREPAGUA IMPORTA??O E EXPORTA??O S.A</t>
        </is>
      </c>
      <c r="F11708" s="30" t="inlineStr">
        <is>
          <t>2021</t>
        </is>
      </c>
      <c r="G11708" s="40" t="n">
        <v>0</v>
      </c>
    </row>
    <row r="11709" ht="12" customHeight="1">
      <c r="A11709" s="30" t="inlineStr">
        <is>
          <t>POR</t>
        </is>
      </c>
      <c r="B11709" s="30" t="inlineStr">
        <is>
          <t>Porto Real</t>
        </is>
      </c>
      <c r="C11709" s="30" t="n">
        <v>85528211</v>
      </c>
      <c r="D11709" s="30">
        <f>"00185997000100"</f>
        <v/>
      </c>
      <c r="E11709" s="30" t="inlineStr">
        <is>
          <t>NOVO HORIZONTE JACAREPAGUA IMPORTA??O E EXPORTA??O S.A</t>
        </is>
      </c>
      <c r="F11709" s="30" t="inlineStr">
        <is>
          <t>2022</t>
        </is>
      </c>
      <c r="G11709" s="40" t="n">
        <v>11388</v>
      </c>
    </row>
    <row r="11710" ht="12" customHeight="1">
      <c r="A11710" s="30" t="inlineStr">
        <is>
          <t>POR</t>
        </is>
      </c>
      <c r="B11710" s="30" t="inlineStr">
        <is>
          <t>Porto Real</t>
        </is>
      </c>
      <c r="C11710" s="30" t="n">
        <v>85528211</v>
      </c>
      <c r="D11710" s="30">
        <f>"00185997000100"</f>
        <v/>
      </c>
      <c r="E11710" s="30" t="inlineStr">
        <is>
          <t>NOVO HORIZONTE JACAREPAGUA IMPORTA??O E EXPORTA??O S.A</t>
        </is>
      </c>
      <c r="F11710" s="30" t="inlineStr">
        <is>
          <t>2023</t>
        </is>
      </c>
      <c r="G11710" s="40" t="n">
        <v>0</v>
      </c>
    </row>
    <row r="11711" ht="12" customHeight="1">
      <c r="A11711" s="30" t="inlineStr">
        <is>
          <t>POR</t>
        </is>
      </c>
      <c r="B11711" s="30" t="inlineStr">
        <is>
          <t>Porto Real</t>
        </is>
      </c>
      <c r="C11711" s="30" t="n">
        <v>85646052</v>
      </c>
      <c r="D11711" s="30">
        <f>"73475303001025"</f>
        <v/>
      </c>
      <c r="E11711" s="30" t="inlineStr">
        <is>
          <t>TNT EXPRESS BRASIL LTDA</t>
        </is>
      </c>
      <c r="F11711" s="30" t="inlineStr">
        <is>
          <t>2017</t>
        </is>
      </c>
      <c r="G11711" s="40" t="n">
        <v>4665.38</v>
      </c>
    </row>
    <row r="11712" ht="12" customHeight="1">
      <c r="A11712" s="30" t="inlineStr">
        <is>
          <t>POR</t>
        </is>
      </c>
      <c r="B11712" s="30" t="inlineStr">
        <is>
          <t>Porto Real</t>
        </is>
      </c>
      <c r="C11712" s="30" t="n">
        <v>85646052</v>
      </c>
      <c r="D11712" s="30">
        <f>"73475303001025"</f>
        <v/>
      </c>
      <c r="E11712" s="30" t="inlineStr">
        <is>
          <t>TNT EXPRESS BRASIL LTDA</t>
        </is>
      </c>
      <c r="F11712" s="30" t="inlineStr">
        <is>
          <t>2018</t>
        </is>
      </c>
      <c r="G11712" s="40" t="n">
        <v>0</v>
      </c>
    </row>
    <row r="11713" ht="12" customHeight="1">
      <c r="A11713" s="30" t="inlineStr">
        <is>
          <t>POR</t>
        </is>
      </c>
      <c r="B11713" s="30" t="inlineStr">
        <is>
          <t>Porto Real</t>
        </is>
      </c>
      <c r="C11713" s="30" t="n">
        <v>85646052</v>
      </c>
      <c r="D11713" s="30">
        <f>"73475303001025"</f>
        <v/>
      </c>
      <c r="E11713" s="30" t="inlineStr">
        <is>
          <t>TNT EXPRESS BRASIL LTDA</t>
        </is>
      </c>
      <c r="F11713" s="30" t="inlineStr">
        <is>
          <t>2019</t>
        </is>
      </c>
      <c r="G11713" s="40" t="n">
        <v>0</v>
      </c>
    </row>
    <row r="11714" ht="12" customHeight="1">
      <c r="A11714" s="30" t="inlineStr">
        <is>
          <t>POR</t>
        </is>
      </c>
      <c r="B11714" s="30" t="inlineStr">
        <is>
          <t>Porto Real</t>
        </is>
      </c>
      <c r="C11714" s="30" t="n">
        <v>85727028</v>
      </c>
      <c r="D11714" s="30">
        <f>"66970229001139"</f>
        <v/>
      </c>
      <c r="E11714" s="30" t="inlineStr">
        <is>
          <t>NEXTEL TELECOMUNICACOES LTDA.</t>
        </is>
      </c>
      <c r="F11714" s="30" t="inlineStr">
        <is>
          <t>2017</t>
        </is>
      </c>
      <c r="G11714" s="40" t="n">
        <v>478297.61</v>
      </c>
    </row>
    <row r="11715" ht="12" customHeight="1">
      <c r="A11715" s="30" t="inlineStr">
        <is>
          <t>POR</t>
        </is>
      </c>
      <c r="B11715" s="30" t="inlineStr">
        <is>
          <t>Porto Real</t>
        </is>
      </c>
      <c r="C11715" s="30" t="n">
        <v>85727028</v>
      </c>
      <c r="D11715" s="30">
        <f>"66970229001139"</f>
        <v/>
      </c>
      <c r="E11715" s="30" t="inlineStr">
        <is>
          <t>NEXTEL TELECOMUNICACOES LTDA.</t>
        </is>
      </c>
      <c r="F11715" s="30" t="inlineStr">
        <is>
          <t>2018</t>
        </is>
      </c>
      <c r="G11715" s="40" t="n">
        <v>407149.55</v>
      </c>
    </row>
    <row r="11716" ht="12" customHeight="1">
      <c r="A11716" s="30" t="inlineStr">
        <is>
          <t>POR</t>
        </is>
      </c>
      <c r="B11716" s="30" t="inlineStr">
        <is>
          <t>Porto Real</t>
        </is>
      </c>
      <c r="C11716" s="30" t="n">
        <v>85727028</v>
      </c>
      <c r="D11716" s="30">
        <f>"66970229001139"</f>
        <v/>
      </c>
      <c r="E11716" s="30" t="inlineStr">
        <is>
          <t>NEXTEL TELECOMUNICACOES LTDA.</t>
        </is>
      </c>
      <c r="F11716" s="30" t="inlineStr">
        <is>
          <t>2019</t>
        </is>
      </c>
      <c r="G11716" s="40" t="n">
        <v>500212.53</v>
      </c>
    </row>
    <row r="11717" ht="12" customHeight="1">
      <c r="A11717" s="30" t="inlineStr">
        <is>
          <t>POR</t>
        </is>
      </c>
      <c r="B11717" s="30" t="inlineStr">
        <is>
          <t>Porto Real</t>
        </is>
      </c>
      <c r="C11717" s="30" t="n">
        <v>85727028</v>
      </c>
      <c r="D11717" s="30">
        <f>"66970229001139"</f>
        <v/>
      </c>
      <c r="E11717" s="30" t="inlineStr">
        <is>
          <t>NEXTEL TELECOMUNICACOES LTDA.</t>
        </is>
      </c>
      <c r="F11717" s="30" t="inlineStr">
        <is>
          <t>2020</t>
        </is>
      </c>
      <c r="G11717" s="40" t="n">
        <v>613845.08</v>
      </c>
    </row>
    <row r="11718" ht="12" customHeight="1">
      <c r="A11718" s="30" t="inlineStr">
        <is>
          <t>POR</t>
        </is>
      </c>
      <c r="B11718" s="30" t="inlineStr">
        <is>
          <t>Porto Real</t>
        </is>
      </c>
      <c r="C11718" s="30" t="n">
        <v>85727028</v>
      </c>
      <c r="D11718" s="30">
        <f>"66970229001139"</f>
        <v/>
      </c>
      <c r="E11718" s="30" t="inlineStr">
        <is>
          <t>NEXTEL TELECOMUNICACOES LTDA.</t>
        </is>
      </c>
      <c r="F11718" s="30" t="inlineStr">
        <is>
          <t>2021</t>
        </is>
      </c>
      <c r="G11718" s="40" t="n">
        <v>510699.85</v>
      </c>
    </row>
    <row r="11719" ht="12" customHeight="1">
      <c r="A11719" s="30" t="inlineStr">
        <is>
          <t>POR</t>
        </is>
      </c>
      <c r="B11719" s="30" t="inlineStr">
        <is>
          <t>Porto Real</t>
        </is>
      </c>
      <c r="C11719" s="30" t="n">
        <v>85727028</v>
      </c>
      <c r="D11719" s="30">
        <f>"66970229001139"</f>
        <v/>
      </c>
      <c r="E11719" s="30" t="inlineStr">
        <is>
          <t>NEXTEL TELECOMUNICACOES LTDA.</t>
        </is>
      </c>
      <c r="F11719" s="30" t="inlineStr">
        <is>
          <t>2022</t>
        </is>
      </c>
      <c r="G11719" s="40" t="n">
        <v>893247.1899999999</v>
      </c>
    </row>
    <row r="11720" ht="12" customHeight="1">
      <c r="A11720" s="30" t="inlineStr">
        <is>
          <t>POR</t>
        </is>
      </c>
      <c r="B11720" s="30" t="inlineStr">
        <is>
          <t>Porto Real</t>
        </is>
      </c>
      <c r="C11720" s="30" t="n">
        <v>85727028</v>
      </c>
      <c r="D11720" s="30">
        <f>"66970229001139"</f>
        <v/>
      </c>
      <c r="E11720" s="30" t="inlineStr">
        <is>
          <t>NEXTEL TELECOMUNICACOES LTDA.</t>
        </is>
      </c>
      <c r="F11720" s="30" t="inlineStr">
        <is>
          <t>2023</t>
        </is>
      </c>
      <c r="G11720" s="40" t="n">
        <v>849220.37</v>
      </c>
    </row>
    <row r="11721" ht="12" customHeight="1">
      <c r="A11721" s="30" t="inlineStr">
        <is>
          <t>POR</t>
        </is>
      </c>
      <c r="B11721" s="30" t="inlineStr">
        <is>
          <t>Porto Real</t>
        </is>
      </c>
      <c r="C11721" s="30" t="n">
        <v>85730169</v>
      </c>
      <c r="D11721" s="30">
        <f>"01114430000105"</f>
        <v/>
      </c>
      <c r="E11721" s="30" t="inlineStr">
        <is>
          <t>TRANSFUTURO TRANSPORTES LTDA</t>
        </is>
      </c>
      <c r="F11721" s="30" t="inlineStr">
        <is>
          <t>2017</t>
        </is>
      </c>
      <c r="G11721" s="40" t="n">
        <v>1043236.81</v>
      </c>
    </row>
    <row r="11722" ht="12" customHeight="1">
      <c r="A11722" s="30" t="inlineStr">
        <is>
          <t>POR</t>
        </is>
      </c>
      <c r="B11722" s="30" t="inlineStr">
        <is>
          <t>Porto Real</t>
        </is>
      </c>
      <c r="C11722" s="30" t="n">
        <v>85730169</v>
      </c>
      <c r="D11722" s="30">
        <f>"01114430000105"</f>
        <v/>
      </c>
      <c r="E11722" s="30" t="inlineStr">
        <is>
          <t>TRANSFUTURO TRANSPORTES LTDA</t>
        </is>
      </c>
      <c r="F11722" s="30" t="inlineStr">
        <is>
          <t>2018</t>
        </is>
      </c>
      <c r="G11722" s="40" t="n">
        <v>1279564.34</v>
      </c>
    </row>
    <row r="11723" ht="12" customHeight="1">
      <c r="A11723" s="30" t="inlineStr">
        <is>
          <t>POR</t>
        </is>
      </c>
      <c r="B11723" s="30" t="inlineStr">
        <is>
          <t>Porto Real</t>
        </is>
      </c>
      <c r="C11723" s="30" t="n">
        <v>85730169</v>
      </c>
      <c r="D11723" s="30">
        <f>"01114430000105"</f>
        <v/>
      </c>
      <c r="E11723" s="30" t="inlineStr">
        <is>
          <t>TRANSFUTURO TRANSPORTES LTDA</t>
        </is>
      </c>
      <c r="F11723" s="30" t="inlineStr">
        <is>
          <t>2019</t>
        </is>
      </c>
      <c r="G11723" s="40" t="n">
        <v>1345627.2</v>
      </c>
    </row>
    <row r="11724" ht="12" customHeight="1">
      <c r="A11724" s="30" t="inlineStr">
        <is>
          <t>POR</t>
        </is>
      </c>
      <c r="B11724" s="30" t="inlineStr">
        <is>
          <t>Porto Real</t>
        </is>
      </c>
      <c r="C11724" s="30" t="n">
        <v>85730169</v>
      </c>
      <c r="D11724" s="30">
        <f>"01114430000105"</f>
        <v/>
      </c>
      <c r="E11724" s="30" t="inlineStr">
        <is>
          <t>TRANSFUTURO TRANSPORTES LTDA</t>
        </is>
      </c>
      <c r="F11724" s="30" t="inlineStr">
        <is>
          <t>2020</t>
        </is>
      </c>
      <c r="G11724" s="40" t="n">
        <v>1089806.94</v>
      </c>
    </row>
    <row r="11725" ht="12" customHeight="1">
      <c r="A11725" s="30" t="inlineStr">
        <is>
          <t>POR</t>
        </is>
      </c>
      <c r="B11725" s="30" t="inlineStr">
        <is>
          <t>Porto Real</t>
        </is>
      </c>
      <c r="C11725" s="30" t="n">
        <v>85730169</v>
      </c>
      <c r="D11725" s="30">
        <f>"01114430000105"</f>
        <v/>
      </c>
      <c r="E11725" s="30" t="inlineStr">
        <is>
          <t>TRANSFUTURO TRANSPORTES LTDA</t>
        </is>
      </c>
      <c r="F11725" s="30" t="inlineStr">
        <is>
          <t>2021</t>
        </is>
      </c>
      <c r="G11725" s="40" t="n">
        <v>805464.36</v>
      </c>
    </row>
    <row r="11726" ht="12" customHeight="1">
      <c r="A11726" s="30" t="inlineStr">
        <is>
          <t>POR</t>
        </is>
      </c>
      <c r="B11726" s="30" t="inlineStr">
        <is>
          <t>Porto Real</t>
        </is>
      </c>
      <c r="C11726" s="30" t="n">
        <v>85730169</v>
      </c>
      <c r="D11726" s="30">
        <f>"01114430000105"</f>
        <v/>
      </c>
      <c r="E11726" s="30" t="inlineStr">
        <is>
          <t>TRANSFUTURO TRANSPORTES LTDA</t>
        </is>
      </c>
      <c r="F11726" s="30" t="inlineStr">
        <is>
          <t>2022</t>
        </is>
      </c>
      <c r="G11726" s="40" t="n">
        <v>0</v>
      </c>
    </row>
    <row r="11727" ht="12" customHeight="1">
      <c r="A11727" s="30" t="inlineStr">
        <is>
          <t>POR</t>
        </is>
      </c>
      <c r="B11727" s="30" t="inlineStr">
        <is>
          <t>Porto Real</t>
        </is>
      </c>
      <c r="C11727" s="30" t="n">
        <v>85730169</v>
      </c>
      <c r="D11727" s="30">
        <f>"01114430000105"</f>
        <v/>
      </c>
      <c r="E11727" s="30" t="inlineStr">
        <is>
          <t>TRANSFUTURO TRANSPORTES LTDA</t>
        </is>
      </c>
      <c r="F11727" s="30" t="inlineStr">
        <is>
          <t>2023</t>
        </is>
      </c>
      <c r="G11727" s="40" t="n">
        <v>0</v>
      </c>
    </row>
    <row r="11728" ht="12" customHeight="1">
      <c r="A11728" s="30" t="inlineStr">
        <is>
          <t>POR</t>
        </is>
      </c>
      <c r="B11728" s="30" t="inlineStr">
        <is>
          <t>Porto Real</t>
        </is>
      </c>
      <c r="C11728" s="30" t="n">
        <v>85730533</v>
      </c>
      <c r="D11728" s="30">
        <f>"01089179000168"</f>
        <v/>
      </c>
      <c r="E11728" s="30" t="inlineStr">
        <is>
          <t>TTC LOGISTICA LTDA</t>
        </is>
      </c>
      <c r="F11728" s="30" t="inlineStr">
        <is>
          <t>2017</t>
        </is>
      </c>
      <c r="G11728" s="40" t="n">
        <v>86790</v>
      </c>
    </row>
    <row r="11729" ht="12" customHeight="1">
      <c r="A11729" s="30" t="inlineStr">
        <is>
          <t>POR</t>
        </is>
      </c>
      <c r="B11729" s="30" t="inlineStr">
        <is>
          <t>Porto Real</t>
        </is>
      </c>
      <c r="C11729" s="30" t="n">
        <v>85730533</v>
      </c>
      <c r="D11729" s="30">
        <f>"01089179000168"</f>
        <v/>
      </c>
      <c r="E11729" s="30" t="inlineStr">
        <is>
          <t>TTC LOGISTICA LTDA</t>
        </is>
      </c>
      <c r="F11729" s="30" t="inlineStr">
        <is>
          <t>2018</t>
        </is>
      </c>
      <c r="G11729" s="40" t="n">
        <v>125</v>
      </c>
    </row>
    <row r="11730" ht="12" customHeight="1">
      <c r="A11730" s="30" t="inlineStr">
        <is>
          <t>POR</t>
        </is>
      </c>
      <c r="B11730" s="30" t="inlineStr">
        <is>
          <t>Porto Real</t>
        </is>
      </c>
      <c r="C11730" s="30" t="n">
        <v>85730533</v>
      </c>
      <c r="D11730" s="30">
        <f>"01089179000168"</f>
        <v/>
      </c>
      <c r="E11730" s="30" t="inlineStr">
        <is>
          <t>TTC LOGISTICA LTDA</t>
        </is>
      </c>
      <c r="F11730" s="30" t="inlineStr">
        <is>
          <t>2019</t>
        </is>
      </c>
      <c r="G11730" s="40" t="n">
        <v>0</v>
      </c>
    </row>
    <row r="11731" ht="12" customHeight="1">
      <c r="A11731" s="30" t="inlineStr">
        <is>
          <t>POR</t>
        </is>
      </c>
      <c r="B11731" s="30" t="inlineStr">
        <is>
          <t>Porto Real</t>
        </is>
      </c>
      <c r="C11731" s="30" t="n">
        <v>85730533</v>
      </c>
      <c r="D11731" s="30">
        <f>"01089179000168"</f>
        <v/>
      </c>
      <c r="E11731" s="30" t="inlineStr">
        <is>
          <t>TTC LOGISTICA LTDA</t>
        </is>
      </c>
      <c r="F11731" s="30" t="inlineStr">
        <is>
          <t>2020</t>
        </is>
      </c>
      <c r="G11731" s="40" t="n">
        <v>0</v>
      </c>
    </row>
    <row r="11732" ht="12" customHeight="1">
      <c r="A11732" s="30" t="inlineStr">
        <is>
          <t>POR</t>
        </is>
      </c>
      <c r="B11732" s="30" t="inlineStr">
        <is>
          <t>Porto Real</t>
        </is>
      </c>
      <c r="C11732" s="30" t="n">
        <v>85730924</v>
      </c>
      <c r="D11732" s="30">
        <f>"25436130000283"</f>
        <v/>
      </c>
      <c r="E11732" s="30" t="inlineStr">
        <is>
          <t>AUTOSERVICE LOGISTICA LTDA</t>
        </is>
      </c>
      <c r="F11732" s="30" t="inlineStr">
        <is>
          <t>2017</t>
        </is>
      </c>
      <c r="G11732" s="40" t="n">
        <v>0</v>
      </c>
    </row>
    <row r="11733" ht="12" customHeight="1">
      <c r="A11733" s="30" t="inlineStr">
        <is>
          <t>POR</t>
        </is>
      </c>
      <c r="B11733" s="30" t="inlineStr">
        <is>
          <t>Porto Real</t>
        </is>
      </c>
      <c r="C11733" s="30" t="n">
        <v>85730924</v>
      </c>
      <c r="D11733" s="30">
        <f>"25436130000283"</f>
        <v/>
      </c>
      <c r="E11733" s="30" t="inlineStr">
        <is>
          <t>AUTOSERVICE LOGISTICA LTDA</t>
        </is>
      </c>
      <c r="F11733" s="30" t="inlineStr">
        <is>
          <t>2018</t>
        </is>
      </c>
      <c r="G11733" s="40" t="n">
        <v>7807.74</v>
      </c>
    </row>
    <row r="11734" ht="12" customHeight="1">
      <c r="A11734" s="30" t="inlineStr">
        <is>
          <t>POR</t>
        </is>
      </c>
      <c r="B11734" s="30" t="inlineStr">
        <is>
          <t>Porto Real</t>
        </is>
      </c>
      <c r="C11734" s="30" t="n">
        <v>85730924</v>
      </c>
      <c r="D11734" s="30">
        <f>"25436130000283"</f>
        <v/>
      </c>
      <c r="E11734" s="30" t="inlineStr">
        <is>
          <t>AUTOSERVICE LOGISTICA LTDA</t>
        </is>
      </c>
      <c r="F11734" s="30" t="inlineStr">
        <is>
          <t>2019</t>
        </is>
      </c>
      <c r="G11734" s="40" t="n">
        <v>43968.27</v>
      </c>
    </row>
    <row r="11735" ht="12" customHeight="1">
      <c r="A11735" s="30" t="inlineStr">
        <is>
          <t>POR</t>
        </is>
      </c>
      <c r="B11735" s="30" t="inlineStr">
        <is>
          <t>Porto Real</t>
        </is>
      </c>
      <c r="C11735" s="30" t="n">
        <v>85730924</v>
      </c>
      <c r="D11735" s="30">
        <f>"25436130000283"</f>
        <v/>
      </c>
      <c r="E11735" s="30" t="inlineStr">
        <is>
          <t>AUTOSERVICE LOGISTICA LTDA</t>
        </is>
      </c>
      <c r="F11735" s="30" t="inlineStr">
        <is>
          <t>2020</t>
        </is>
      </c>
      <c r="G11735" s="40" t="n">
        <v>9071.299999999999</v>
      </c>
    </row>
    <row r="11736" ht="12" customHeight="1">
      <c r="A11736" s="30" t="inlineStr">
        <is>
          <t>POR</t>
        </is>
      </c>
      <c r="B11736" s="30" t="inlineStr">
        <is>
          <t>Porto Real</t>
        </is>
      </c>
      <c r="C11736" s="30" t="n">
        <v>85730924</v>
      </c>
      <c r="D11736" s="30">
        <f>"25436130000283"</f>
        <v/>
      </c>
      <c r="E11736" s="30" t="inlineStr">
        <is>
          <t>AUTOSERVICE LOGISTICA LTDA</t>
        </is>
      </c>
      <c r="F11736" s="30" t="inlineStr">
        <is>
          <t>2021</t>
        </is>
      </c>
      <c r="G11736" s="40" t="n">
        <v>0</v>
      </c>
    </row>
    <row r="11737" ht="12" customHeight="1">
      <c r="A11737" s="30" t="inlineStr">
        <is>
          <t>POR</t>
        </is>
      </c>
      <c r="B11737" s="30" t="inlineStr">
        <is>
          <t>Porto Real</t>
        </is>
      </c>
      <c r="C11737" s="30" t="n">
        <v>85730924</v>
      </c>
      <c r="D11737" s="30">
        <f>"25436130000283"</f>
        <v/>
      </c>
      <c r="E11737" s="30" t="inlineStr">
        <is>
          <t>AUTOSERVICE LOGISTICA LTDA</t>
        </is>
      </c>
      <c r="F11737" s="30" t="inlineStr">
        <is>
          <t>2022</t>
        </is>
      </c>
      <c r="G11737" s="40" t="n">
        <v>18072.77</v>
      </c>
    </row>
    <row r="11738" ht="12" customHeight="1">
      <c r="A11738" s="30" t="inlineStr">
        <is>
          <t>POR</t>
        </is>
      </c>
      <c r="B11738" s="30" t="inlineStr">
        <is>
          <t>Porto Real</t>
        </is>
      </c>
      <c r="C11738" s="30" t="n">
        <v>85730924</v>
      </c>
      <c r="D11738" s="30">
        <f>"25436130000283"</f>
        <v/>
      </c>
      <c r="E11738" s="30" t="inlineStr">
        <is>
          <t>AUTOSERVICE LOGISTICA LTDA</t>
        </is>
      </c>
      <c r="F11738" s="30" t="inlineStr">
        <is>
          <t>2023</t>
        </is>
      </c>
      <c r="G11738" s="40" t="n">
        <v>3450.29</v>
      </c>
    </row>
    <row r="11739" ht="12" customHeight="1">
      <c r="A11739" s="30" t="inlineStr">
        <is>
          <t>POR</t>
        </is>
      </c>
      <c r="B11739" s="30" t="inlineStr">
        <is>
          <t>Porto Real</t>
        </is>
      </c>
      <c r="C11739" s="30" t="n">
        <v>85731270</v>
      </c>
      <c r="D11739" s="30">
        <f>"74445099000252"</f>
        <v/>
      </c>
      <c r="E11739" s="30" t="inlineStr">
        <is>
          <t>QUIMITRANS TRANSPORTES LTDA</t>
        </is>
      </c>
      <c r="F11739" s="30" t="inlineStr">
        <is>
          <t>2017</t>
        </is>
      </c>
      <c r="G11739" s="40" t="n">
        <v>1541.33</v>
      </c>
    </row>
    <row r="11740" ht="12" customHeight="1">
      <c r="A11740" s="30" t="inlineStr">
        <is>
          <t>POR</t>
        </is>
      </c>
      <c r="B11740" s="30" t="inlineStr">
        <is>
          <t>Porto Real</t>
        </is>
      </c>
      <c r="C11740" s="30" t="n">
        <v>85731270</v>
      </c>
      <c r="D11740" s="30">
        <f>"74445099000252"</f>
        <v/>
      </c>
      <c r="E11740" s="30" t="inlineStr">
        <is>
          <t>QUIMITRANS TRANSPORTES LTDA</t>
        </is>
      </c>
      <c r="F11740" s="30" t="inlineStr">
        <is>
          <t>2018</t>
        </is>
      </c>
      <c r="G11740" s="40" t="n">
        <v>0</v>
      </c>
    </row>
    <row r="11741" ht="12" customHeight="1">
      <c r="A11741" s="30" t="inlineStr">
        <is>
          <t>POR</t>
        </is>
      </c>
      <c r="B11741" s="30" t="inlineStr">
        <is>
          <t>Porto Real</t>
        </is>
      </c>
      <c r="C11741" s="30" t="n">
        <v>85731270</v>
      </c>
      <c r="D11741" s="30">
        <f>"74445099000252"</f>
        <v/>
      </c>
      <c r="E11741" s="30" t="inlineStr">
        <is>
          <t>QUIMITRANS TRANSPORTES LTDA</t>
        </is>
      </c>
      <c r="F11741" s="30" t="inlineStr">
        <is>
          <t>2019</t>
        </is>
      </c>
      <c r="G11741" s="40" t="n">
        <v>0</v>
      </c>
    </row>
    <row r="11742" ht="12" customHeight="1">
      <c r="A11742" s="30" t="inlineStr">
        <is>
          <t>POR</t>
        </is>
      </c>
      <c r="B11742" s="30" t="inlineStr">
        <is>
          <t>Porto Real</t>
        </is>
      </c>
      <c r="C11742" s="30" t="n">
        <v>85731270</v>
      </c>
      <c r="D11742" s="30">
        <f>"74445099000252"</f>
        <v/>
      </c>
      <c r="E11742" s="30" t="inlineStr">
        <is>
          <t>QUIMITRANS TRANSPORTES LTDA</t>
        </is>
      </c>
      <c r="F11742" s="30" t="inlineStr">
        <is>
          <t>2020</t>
        </is>
      </c>
      <c r="G11742" s="40" t="n">
        <v>20501.23</v>
      </c>
    </row>
    <row r="11743" ht="12" customHeight="1">
      <c r="A11743" s="30" t="inlineStr">
        <is>
          <t>POR</t>
        </is>
      </c>
      <c r="B11743" s="30" t="inlineStr">
        <is>
          <t>Porto Real</t>
        </is>
      </c>
      <c r="C11743" s="30" t="n">
        <v>85731270</v>
      </c>
      <c r="D11743" s="30">
        <f>"74445099000252"</f>
        <v/>
      </c>
      <c r="E11743" s="30" t="inlineStr">
        <is>
          <t>QUIMITRANS TRANSPORTES LTDA</t>
        </is>
      </c>
      <c r="F11743" s="30" t="inlineStr">
        <is>
          <t>2021</t>
        </is>
      </c>
      <c r="G11743" s="40" t="n">
        <v>3398.73</v>
      </c>
    </row>
    <row r="11744" ht="12" customHeight="1">
      <c r="A11744" s="30" t="inlineStr">
        <is>
          <t>POR</t>
        </is>
      </c>
      <c r="B11744" s="30" t="inlineStr">
        <is>
          <t>Porto Real</t>
        </is>
      </c>
      <c r="C11744" s="30" t="n">
        <v>85731270</v>
      </c>
      <c r="D11744" s="30">
        <f>"74445099000252"</f>
        <v/>
      </c>
      <c r="E11744" s="30" t="inlineStr">
        <is>
          <t>QUIMITRANS TRANSPORTES LTDA</t>
        </is>
      </c>
      <c r="F11744" s="30" t="inlineStr">
        <is>
          <t>2022</t>
        </is>
      </c>
      <c r="G11744" s="40" t="n">
        <v>0</v>
      </c>
    </row>
    <row r="11745" ht="12" customHeight="1">
      <c r="A11745" s="30" t="inlineStr">
        <is>
          <t>POR</t>
        </is>
      </c>
      <c r="B11745" s="30" t="inlineStr">
        <is>
          <t>Porto Real</t>
        </is>
      </c>
      <c r="C11745" s="30" t="n">
        <v>85731270</v>
      </c>
      <c r="D11745" s="30">
        <f>"74445099000252"</f>
        <v/>
      </c>
      <c r="E11745" s="30" t="inlineStr">
        <is>
          <t>QUIMITRANS TRANSPORTES LTDA</t>
        </is>
      </c>
      <c r="F11745" s="30" t="inlineStr">
        <is>
          <t>2023</t>
        </is>
      </c>
      <c r="G11745" s="40" t="n">
        <v>0</v>
      </c>
    </row>
    <row r="11746" ht="12" customHeight="1">
      <c r="A11746" s="30" t="inlineStr">
        <is>
          <t>POR</t>
        </is>
      </c>
      <c r="B11746" s="30" t="inlineStr">
        <is>
          <t>Porto Real</t>
        </is>
      </c>
      <c r="C11746" s="30" t="n">
        <v>85804774</v>
      </c>
      <c r="D11746" s="30">
        <f>"67945071001029"</f>
        <v/>
      </c>
      <c r="E11746" s="30" t="inlineStr">
        <is>
          <t>SAPORE S.A</t>
        </is>
      </c>
      <c r="F11746" s="30" t="inlineStr">
        <is>
          <t>2017</t>
        </is>
      </c>
      <c r="G11746" s="40" t="n">
        <v>4365800.05</v>
      </c>
    </row>
    <row r="11747" ht="12" customHeight="1">
      <c r="A11747" s="30" t="inlineStr">
        <is>
          <t>POR</t>
        </is>
      </c>
      <c r="B11747" s="30" t="inlineStr">
        <is>
          <t>Porto Real</t>
        </is>
      </c>
      <c r="C11747" s="30" t="n">
        <v>85804774</v>
      </c>
      <c r="D11747" s="30">
        <f>"67945071001029"</f>
        <v/>
      </c>
      <c r="E11747" s="30" t="inlineStr">
        <is>
          <t>SAPORE S.A</t>
        </is>
      </c>
      <c r="F11747" s="30" t="inlineStr">
        <is>
          <t>2018</t>
        </is>
      </c>
      <c r="G11747" s="40" t="n">
        <v>8987830.74</v>
      </c>
    </row>
    <row r="11748" ht="12" customHeight="1">
      <c r="A11748" s="30" t="inlineStr">
        <is>
          <t>POR</t>
        </is>
      </c>
      <c r="B11748" s="30" t="inlineStr">
        <is>
          <t>Porto Real</t>
        </is>
      </c>
      <c r="C11748" s="30" t="n">
        <v>85804774</v>
      </c>
      <c r="D11748" s="30">
        <f>"67945071001029"</f>
        <v/>
      </c>
      <c r="E11748" s="30" t="inlineStr">
        <is>
          <t>SAPORE S.A</t>
        </is>
      </c>
      <c r="F11748" s="30" t="inlineStr">
        <is>
          <t>2019</t>
        </is>
      </c>
      <c r="G11748" s="40" t="n">
        <v>4111240.64</v>
      </c>
    </row>
    <row r="11749" ht="12" customHeight="1">
      <c r="A11749" s="30" t="inlineStr">
        <is>
          <t>POR</t>
        </is>
      </c>
      <c r="B11749" s="30" t="inlineStr">
        <is>
          <t>Porto Real</t>
        </is>
      </c>
      <c r="C11749" s="30" t="n">
        <v>85804774</v>
      </c>
      <c r="D11749" s="30">
        <f>"67945071001029"</f>
        <v/>
      </c>
      <c r="E11749" s="30" t="inlineStr">
        <is>
          <t>SAPORE S.A</t>
        </is>
      </c>
      <c r="F11749" s="30" t="inlineStr">
        <is>
          <t>2020</t>
        </is>
      </c>
      <c r="G11749" s="40" t="n">
        <v>2492921.23</v>
      </c>
    </row>
    <row r="11750" ht="12" customHeight="1">
      <c r="A11750" s="30" t="inlineStr">
        <is>
          <t>POR</t>
        </is>
      </c>
      <c r="B11750" s="30" t="inlineStr">
        <is>
          <t>Porto Real</t>
        </is>
      </c>
      <c r="C11750" s="30" t="n">
        <v>85804774</v>
      </c>
      <c r="D11750" s="30">
        <f>"67945071001029"</f>
        <v/>
      </c>
      <c r="E11750" s="30" t="inlineStr">
        <is>
          <t>SAPORE S.A</t>
        </is>
      </c>
      <c r="F11750" s="30" t="inlineStr">
        <is>
          <t>2021</t>
        </is>
      </c>
      <c r="G11750" s="40" t="n">
        <v>2724770.41</v>
      </c>
    </row>
    <row r="11751" ht="12" customHeight="1">
      <c r="A11751" s="30" t="inlineStr">
        <is>
          <t>POR</t>
        </is>
      </c>
      <c r="B11751" s="30" t="inlineStr">
        <is>
          <t>Porto Real</t>
        </is>
      </c>
      <c r="C11751" s="30" t="n">
        <v>85804774</v>
      </c>
      <c r="D11751" s="30">
        <f>"67945071001029"</f>
        <v/>
      </c>
      <c r="E11751" s="30" t="inlineStr">
        <is>
          <t>SAPORE S.A</t>
        </is>
      </c>
      <c r="F11751" s="30" t="inlineStr">
        <is>
          <t>2022</t>
        </is>
      </c>
      <c r="G11751" s="40" t="n">
        <v>0</v>
      </c>
    </row>
    <row r="11752" ht="12" customHeight="1">
      <c r="A11752" s="30" t="inlineStr">
        <is>
          <t>POR</t>
        </is>
      </c>
      <c r="B11752" s="30" t="inlineStr">
        <is>
          <t>Porto Real</t>
        </is>
      </c>
      <c r="C11752" s="30" t="n">
        <v>85804774</v>
      </c>
      <c r="D11752" s="30">
        <f>"67945071001029"</f>
        <v/>
      </c>
      <c r="E11752" s="30" t="inlineStr">
        <is>
          <t>SAPORE S.A</t>
        </is>
      </c>
      <c r="F11752" s="30" t="inlineStr">
        <is>
          <t>2023</t>
        </is>
      </c>
      <c r="G11752" s="40" t="n">
        <v>973393.5699999999</v>
      </c>
    </row>
    <row r="11753" ht="12" customHeight="1">
      <c r="A11753" s="30" t="inlineStr">
        <is>
          <t>POR</t>
        </is>
      </c>
      <c r="B11753" s="30" t="inlineStr">
        <is>
          <t>Porto Real</t>
        </is>
      </c>
      <c r="C11753" s="30" t="n">
        <v>85872974</v>
      </c>
      <c r="D11753" s="30">
        <f>"00806930000137"</f>
        <v/>
      </c>
      <c r="E11753" s="30" t="inlineStr">
        <is>
          <t>GERSON TAVERNARI - ME</t>
        </is>
      </c>
      <c r="F11753" s="30" t="inlineStr">
        <is>
          <t>2017</t>
        </is>
      </c>
      <c r="G11753" s="40" t="n">
        <v>0</v>
      </c>
    </row>
    <row r="11754" ht="12" customHeight="1">
      <c r="A11754" s="30" t="inlineStr">
        <is>
          <t>POR</t>
        </is>
      </c>
      <c r="B11754" s="30" t="inlineStr">
        <is>
          <t>Porto Real</t>
        </is>
      </c>
      <c r="C11754" s="30" t="n">
        <v>85872974</v>
      </c>
      <c r="D11754" s="30">
        <f>"00806930000137"</f>
        <v/>
      </c>
      <c r="E11754" s="30" t="inlineStr">
        <is>
          <t>GERSON TAVERNARI - ME</t>
        </is>
      </c>
      <c r="F11754" s="30" t="inlineStr">
        <is>
          <t>2018</t>
        </is>
      </c>
      <c r="G11754" s="40" t="n">
        <v>0</v>
      </c>
    </row>
    <row r="11755" ht="12" customHeight="1">
      <c r="A11755" s="30" t="inlineStr">
        <is>
          <t>POR</t>
        </is>
      </c>
      <c r="B11755" s="30" t="inlineStr">
        <is>
          <t>Porto Real</t>
        </is>
      </c>
      <c r="C11755" s="30" t="n">
        <v>85872974</v>
      </c>
      <c r="D11755" s="30">
        <f>"00806930000137"</f>
        <v/>
      </c>
      <c r="E11755" s="30" t="inlineStr">
        <is>
          <t>GERSON TAVERNARI - ME</t>
        </is>
      </c>
      <c r="F11755" s="30" t="inlineStr">
        <is>
          <t>2019</t>
        </is>
      </c>
      <c r="G11755" s="40" t="n">
        <v>0</v>
      </c>
    </row>
    <row r="11756" ht="12" customHeight="1">
      <c r="A11756" s="30" t="inlineStr">
        <is>
          <t>POR</t>
        </is>
      </c>
      <c r="B11756" s="30" t="inlineStr">
        <is>
          <t>Porto Real</t>
        </is>
      </c>
      <c r="C11756" s="30" t="n">
        <v>85872974</v>
      </c>
      <c r="D11756" s="30">
        <f>"00806930000137"</f>
        <v/>
      </c>
      <c r="E11756" s="30" t="inlineStr">
        <is>
          <t>GERSON TAVERNARI - ME</t>
        </is>
      </c>
      <c r="F11756" s="30" t="inlineStr">
        <is>
          <t>2020</t>
        </is>
      </c>
      <c r="G11756" s="40" t="n">
        <v>0</v>
      </c>
    </row>
    <row r="11757" ht="12" customHeight="1">
      <c r="A11757" s="30" t="inlineStr">
        <is>
          <t>POR</t>
        </is>
      </c>
      <c r="B11757" s="30" t="inlineStr">
        <is>
          <t>Porto Real</t>
        </is>
      </c>
      <c r="C11757" s="30" t="n">
        <v>85873067</v>
      </c>
      <c r="D11757" s="30">
        <f>"01807781000193"</f>
        <v/>
      </c>
      <c r="E11757" s="30" t="inlineStr">
        <is>
          <t>NOEMIA GRACIANI TAVERNARI ME</t>
        </is>
      </c>
      <c r="F11757" s="30" t="inlineStr">
        <is>
          <t>2017</t>
        </is>
      </c>
      <c r="G11757" s="40" t="n">
        <v>0</v>
      </c>
    </row>
    <row r="11758" ht="12" customHeight="1">
      <c r="A11758" s="30" t="inlineStr">
        <is>
          <t>POR</t>
        </is>
      </c>
      <c r="B11758" s="30" t="inlineStr">
        <is>
          <t>Porto Real</t>
        </is>
      </c>
      <c r="C11758" s="30" t="n">
        <v>85873067</v>
      </c>
      <c r="D11758" s="30">
        <f>"01807781000193"</f>
        <v/>
      </c>
      <c r="E11758" s="30" t="inlineStr">
        <is>
          <t>NOEMIA GRACIANI TAVERNARI ME</t>
        </is>
      </c>
      <c r="F11758" s="30" t="inlineStr">
        <is>
          <t>2018</t>
        </is>
      </c>
      <c r="G11758" s="40" t="n">
        <v>0</v>
      </c>
    </row>
    <row r="11759" ht="12" customHeight="1">
      <c r="A11759" s="30" t="inlineStr">
        <is>
          <t>POR</t>
        </is>
      </c>
      <c r="B11759" s="30" t="inlineStr">
        <is>
          <t>Porto Real</t>
        </is>
      </c>
      <c r="C11759" s="30" t="n">
        <v>85873067</v>
      </c>
      <c r="D11759" s="30">
        <f>"01807781000193"</f>
        <v/>
      </c>
      <c r="E11759" s="30" t="inlineStr">
        <is>
          <t>NOEMIA GRACIANI TAVERNARI ME</t>
        </is>
      </c>
      <c r="F11759" s="30" t="inlineStr">
        <is>
          <t>2019</t>
        </is>
      </c>
      <c r="G11759" s="40" t="n">
        <v>0</v>
      </c>
    </row>
    <row r="11760" ht="12" customHeight="1">
      <c r="A11760" s="30" t="inlineStr">
        <is>
          <t>POR</t>
        </is>
      </c>
      <c r="B11760" s="30" t="inlineStr">
        <is>
          <t>Porto Real</t>
        </is>
      </c>
      <c r="C11760" s="30" t="n">
        <v>85873067</v>
      </c>
      <c r="D11760" s="30">
        <f>"01807781000193"</f>
        <v/>
      </c>
      <c r="E11760" s="30" t="inlineStr">
        <is>
          <t>NOEMIA GRACIANI TAVERNARI ME</t>
        </is>
      </c>
      <c r="F11760" s="30" t="inlineStr">
        <is>
          <t>2020</t>
        </is>
      </c>
      <c r="G11760" s="40" t="n">
        <v>0</v>
      </c>
    </row>
    <row r="11761" ht="12" customHeight="1">
      <c r="A11761" s="30" t="inlineStr">
        <is>
          <t>POR</t>
        </is>
      </c>
      <c r="B11761" s="30" t="inlineStr">
        <is>
          <t>Porto Real</t>
        </is>
      </c>
      <c r="C11761" s="30" t="n">
        <v>85873067</v>
      </c>
      <c r="D11761" s="30">
        <f>"01807781000193"</f>
        <v/>
      </c>
      <c r="E11761" s="30" t="inlineStr">
        <is>
          <t>NOEMIA GRACIANI TAVERNARI ME</t>
        </is>
      </c>
      <c r="F11761" s="30" t="inlineStr">
        <is>
          <t>2021</t>
        </is>
      </c>
      <c r="G11761" s="40" t="n">
        <v>0</v>
      </c>
    </row>
    <row r="11762" ht="12" customHeight="1">
      <c r="A11762" s="30" t="inlineStr">
        <is>
          <t>POR</t>
        </is>
      </c>
      <c r="B11762" s="30" t="inlineStr">
        <is>
          <t>Porto Real</t>
        </is>
      </c>
      <c r="C11762" s="30" t="n">
        <v>85873067</v>
      </c>
      <c r="D11762" s="30">
        <f>"01807781000193"</f>
        <v/>
      </c>
      <c r="E11762" s="30" t="inlineStr">
        <is>
          <t>NOEMIA GRACIANI TAVERNARI ME</t>
        </is>
      </c>
      <c r="F11762" s="30" t="inlineStr">
        <is>
          <t>2022</t>
        </is>
      </c>
      <c r="G11762" s="40" t="n">
        <v>0</v>
      </c>
    </row>
    <row r="11763" ht="12" customHeight="1">
      <c r="A11763" s="30" t="inlineStr">
        <is>
          <t>POR</t>
        </is>
      </c>
      <c r="B11763" s="30" t="inlineStr">
        <is>
          <t>Porto Real</t>
        </is>
      </c>
      <c r="C11763" s="30" t="n">
        <v>85873067</v>
      </c>
      <c r="D11763" s="30">
        <f>"01807781000193"</f>
        <v/>
      </c>
      <c r="E11763" s="30" t="inlineStr">
        <is>
          <t>NOEMIA GRACIANI TAVERNARI ME</t>
        </is>
      </c>
      <c r="F11763" s="30" t="inlineStr">
        <is>
          <t>2023</t>
        </is>
      </c>
      <c r="G11763" s="40" t="n">
        <v>0</v>
      </c>
    </row>
    <row r="11764" ht="12" customHeight="1">
      <c r="A11764" s="30" t="inlineStr">
        <is>
          <t>POR</t>
        </is>
      </c>
      <c r="B11764" s="30" t="inlineStr">
        <is>
          <t>Porto Real</t>
        </is>
      </c>
      <c r="C11764" s="30" t="n">
        <v>85873091</v>
      </c>
      <c r="D11764" s="30">
        <f>"01410577000134"</f>
        <v/>
      </c>
      <c r="E11764" s="30" t="inlineStr">
        <is>
          <t>GUARDIAN DO BRASIL VIDROS PLANOS LTDA</t>
        </is>
      </c>
      <c r="F11764" s="30" t="inlineStr">
        <is>
          <t>2017</t>
        </is>
      </c>
      <c r="G11764" s="40" t="n">
        <v>99267845.34</v>
      </c>
    </row>
    <row r="11765" ht="12" customHeight="1">
      <c r="A11765" s="30" t="inlineStr">
        <is>
          <t>POR</t>
        </is>
      </c>
      <c r="B11765" s="30" t="inlineStr">
        <is>
          <t>Porto Real</t>
        </is>
      </c>
      <c r="C11765" s="30" t="n">
        <v>85873091</v>
      </c>
      <c r="D11765" s="30">
        <f>"01410577000134"</f>
        <v/>
      </c>
      <c r="E11765" s="30" t="inlineStr">
        <is>
          <t>GUARDIAN DO BRASIL VIDROS PLANOS LTDA</t>
        </is>
      </c>
      <c r="F11765" s="30" t="inlineStr">
        <is>
          <t>2018</t>
        </is>
      </c>
      <c r="G11765" s="40" t="n">
        <v>182666283.51</v>
      </c>
    </row>
    <row r="11766" ht="12" customHeight="1">
      <c r="A11766" s="30" t="inlineStr">
        <is>
          <t>POR</t>
        </is>
      </c>
      <c r="B11766" s="30" t="inlineStr">
        <is>
          <t>Porto Real</t>
        </is>
      </c>
      <c r="C11766" s="30" t="n">
        <v>85873091</v>
      </c>
      <c r="D11766" s="30">
        <f>"01410577000134"</f>
        <v/>
      </c>
      <c r="E11766" s="30" t="inlineStr">
        <is>
          <t>GUARDIAN DO BRASIL VIDROS PLANOS LTDA</t>
        </is>
      </c>
      <c r="F11766" s="30" t="inlineStr">
        <is>
          <t>2019</t>
        </is>
      </c>
      <c r="G11766" s="40" t="n">
        <v>120051550.57</v>
      </c>
    </row>
    <row r="11767" ht="12" customHeight="1">
      <c r="A11767" s="30" t="inlineStr">
        <is>
          <t>POR</t>
        </is>
      </c>
      <c r="B11767" s="30" t="inlineStr">
        <is>
          <t>Porto Real</t>
        </is>
      </c>
      <c r="C11767" s="30" t="n">
        <v>85873091</v>
      </c>
      <c r="D11767" s="30">
        <f>"01410577000134"</f>
        <v/>
      </c>
      <c r="E11767" s="30" t="inlineStr">
        <is>
          <t>GUARDIAN DO BRASIL VIDROS PLANOS LTDA</t>
        </is>
      </c>
      <c r="F11767" s="30" t="inlineStr">
        <is>
          <t>2020</t>
        </is>
      </c>
      <c r="G11767" s="40" t="n">
        <v>148921883.63</v>
      </c>
    </row>
    <row r="11768" ht="12" customHeight="1">
      <c r="A11768" s="30" t="inlineStr">
        <is>
          <t>POR</t>
        </is>
      </c>
      <c r="B11768" s="30" t="inlineStr">
        <is>
          <t>Porto Real</t>
        </is>
      </c>
      <c r="C11768" s="30" t="n">
        <v>85873091</v>
      </c>
      <c r="D11768" s="30">
        <f>"01410577000134"</f>
        <v/>
      </c>
      <c r="E11768" s="30" t="inlineStr">
        <is>
          <t>GUARDIAN DO BRASIL VIDROS PLANOS LTDA</t>
        </is>
      </c>
      <c r="F11768" s="30" t="inlineStr">
        <is>
          <t>2021</t>
        </is>
      </c>
      <c r="G11768" s="40" t="n">
        <v>430301458.92</v>
      </c>
    </row>
    <row r="11769" ht="12" customHeight="1">
      <c r="A11769" s="30" t="inlineStr">
        <is>
          <t>POR</t>
        </is>
      </c>
      <c r="B11769" s="30" t="inlineStr">
        <is>
          <t>Porto Real</t>
        </is>
      </c>
      <c r="C11769" s="30" t="n">
        <v>85873091</v>
      </c>
      <c r="D11769" s="30">
        <f>"01410577000134"</f>
        <v/>
      </c>
      <c r="E11769" s="30" t="inlineStr">
        <is>
          <t>GUARDIAN DO BRASIL VIDROS PLANOS LTDA</t>
        </is>
      </c>
      <c r="F11769" s="30" t="inlineStr">
        <is>
          <t>2022</t>
        </is>
      </c>
      <c r="G11769" s="40" t="n">
        <v>297581455.86</v>
      </c>
    </row>
    <row r="11770" ht="12" customHeight="1">
      <c r="A11770" s="30" t="inlineStr">
        <is>
          <t>POR</t>
        </is>
      </c>
      <c r="B11770" s="30" t="inlineStr">
        <is>
          <t>Porto Real</t>
        </is>
      </c>
      <c r="C11770" s="30" t="n">
        <v>85873091</v>
      </c>
      <c r="D11770" s="30">
        <f>"01410577000134"</f>
        <v/>
      </c>
      <c r="E11770" s="30" t="inlineStr">
        <is>
          <t>GUARDIAN DO BRASIL VIDROS PLANOS LTDA</t>
        </is>
      </c>
      <c r="F11770" s="30" t="inlineStr">
        <is>
          <t>2023</t>
        </is>
      </c>
      <c r="G11770" s="40" t="n">
        <v>264193333.52</v>
      </c>
    </row>
    <row r="11771" ht="12" customHeight="1">
      <c r="A11771" s="30" t="inlineStr">
        <is>
          <t>POR</t>
        </is>
      </c>
      <c r="B11771" s="30" t="inlineStr">
        <is>
          <t>Porto Real</t>
        </is>
      </c>
      <c r="C11771" s="30" t="n">
        <v>85873644</v>
      </c>
      <c r="D11771" s="30">
        <f>"02862471000134"</f>
        <v/>
      </c>
      <c r="E11771" s="30" t="inlineStr">
        <is>
          <t>ALESSANDRA REGINA DA SILVA</t>
        </is>
      </c>
      <c r="F11771" s="30" t="inlineStr">
        <is>
          <t>2017</t>
        </is>
      </c>
      <c r="G11771" s="40" t="n">
        <v>0</v>
      </c>
    </row>
    <row r="11772" ht="12" customHeight="1">
      <c r="A11772" s="30" t="inlineStr">
        <is>
          <t>POR</t>
        </is>
      </c>
      <c r="B11772" s="30" t="inlineStr">
        <is>
          <t>Porto Real</t>
        </is>
      </c>
      <c r="C11772" s="30" t="n">
        <v>85873644</v>
      </c>
      <c r="D11772" s="30">
        <f>"02862471000134"</f>
        <v/>
      </c>
      <c r="E11772" s="30" t="inlineStr">
        <is>
          <t>ALESSANDRA REGINA DA SILVA</t>
        </is>
      </c>
      <c r="F11772" s="30" t="inlineStr">
        <is>
          <t>2018</t>
        </is>
      </c>
      <c r="G11772" s="40" t="n">
        <v>0</v>
      </c>
    </row>
    <row r="11773" ht="12" customHeight="1">
      <c r="A11773" s="30" t="inlineStr">
        <is>
          <t>POR</t>
        </is>
      </c>
      <c r="B11773" s="30" t="inlineStr">
        <is>
          <t>Porto Real</t>
        </is>
      </c>
      <c r="C11773" s="30" t="n">
        <v>85873644</v>
      </c>
      <c r="D11773" s="30">
        <f>"02862471000134"</f>
        <v/>
      </c>
      <c r="E11773" s="30" t="inlineStr">
        <is>
          <t>ALESSANDRA REGINA DA SILVA</t>
        </is>
      </c>
      <c r="F11773" s="30" t="inlineStr">
        <is>
          <t>2019</t>
        </is>
      </c>
      <c r="G11773" s="40" t="n">
        <v>0</v>
      </c>
    </row>
    <row r="11774" ht="12" customHeight="1">
      <c r="A11774" s="30" t="inlineStr">
        <is>
          <t>POR</t>
        </is>
      </c>
      <c r="B11774" s="30" t="inlineStr">
        <is>
          <t>Porto Real</t>
        </is>
      </c>
      <c r="C11774" s="30" t="n">
        <v>85873644</v>
      </c>
      <c r="D11774" s="30">
        <f>"02862471000134"</f>
        <v/>
      </c>
      <c r="E11774" s="30" t="inlineStr">
        <is>
          <t>ALESSANDRA REGINA DA SILVA</t>
        </is>
      </c>
      <c r="F11774" s="30" t="inlineStr">
        <is>
          <t>2020</t>
        </is>
      </c>
      <c r="G11774" s="40" t="n">
        <v>0</v>
      </c>
    </row>
    <row r="11775" ht="12" customHeight="1">
      <c r="A11775" s="30" t="inlineStr">
        <is>
          <t>POR</t>
        </is>
      </c>
      <c r="B11775" s="30" t="inlineStr">
        <is>
          <t>Porto Real</t>
        </is>
      </c>
      <c r="C11775" s="30" t="n">
        <v>85873644</v>
      </c>
      <c r="D11775" s="30">
        <f>"02862471000134"</f>
        <v/>
      </c>
      <c r="E11775" s="30" t="inlineStr">
        <is>
          <t>ALESSANDRA REGINA DA SILVA</t>
        </is>
      </c>
      <c r="F11775" s="30" t="inlineStr">
        <is>
          <t>2021</t>
        </is>
      </c>
      <c r="G11775" s="40" t="n">
        <v>0</v>
      </c>
    </row>
    <row r="11776" ht="12" customHeight="1">
      <c r="A11776" s="30" t="inlineStr">
        <is>
          <t>POR</t>
        </is>
      </c>
      <c r="B11776" s="30" t="inlineStr">
        <is>
          <t>Porto Real</t>
        </is>
      </c>
      <c r="C11776" s="30" t="n">
        <v>85873644</v>
      </c>
      <c r="D11776" s="30">
        <f>"02862471000134"</f>
        <v/>
      </c>
      <c r="E11776" s="30" t="inlineStr">
        <is>
          <t>ALESSANDRA REGINA DA SILVA</t>
        </is>
      </c>
      <c r="F11776" s="30" t="inlineStr">
        <is>
          <t>2022</t>
        </is>
      </c>
      <c r="G11776" s="40" t="n">
        <v>0</v>
      </c>
    </row>
    <row r="11777" ht="12" customHeight="1">
      <c r="A11777" s="30" t="inlineStr">
        <is>
          <t>POR</t>
        </is>
      </c>
      <c r="B11777" s="30" t="inlineStr">
        <is>
          <t>Porto Real</t>
        </is>
      </c>
      <c r="C11777" s="30" t="n">
        <v>85873644</v>
      </c>
      <c r="D11777" s="30">
        <f>"02862471000134"</f>
        <v/>
      </c>
      <c r="E11777" s="30" t="inlineStr">
        <is>
          <t>ALESSANDRA REGINA DA SILVA</t>
        </is>
      </c>
      <c r="F11777" s="30" t="inlineStr">
        <is>
          <t>2023</t>
        </is>
      </c>
      <c r="G11777" s="40" t="n">
        <v>0</v>
      </c>
    </row>
    <row r="11778" ht="12" customHeight="1">
      <c r="A11778" s="30" t="inlineStr">
        <is>
          <t>POR</t>
        </is>
      </c>
      <c r="B11778" s="30" t="inlineStr">
        <is>
          <t>Porto Real</t>
        </is>
      </c>
      <c r="C11778" s="30" t="n">
        <v>85873679</v>
      </c>
      <c r="D11778" s="30">
        <f>"02950179000173"</f>
        <v/>
      </c>
      <c r="E11778" s="30" t="inlineStr">
        <is>
          <t>LETICIA LUCINDA FRANCISCO ROCHA</t>
        </is>
      </c>
      <c r="F11778" s="30" t="inlineStr">
        <is>
          <t>2017</t>
        </is>
      </c>
      <c r="G11778" s="40" t="n">
        <v>0</v>
      </c>
    </row>
    <row r="11779" ht="12" customHeight="1">
      <c r="A11779" s="30" t="inlineStr">
        <is>
          <t>POR</t>
        </is>
      </c>
      <c r="B11779" s="30" t="inlineStr">
        <is>
          <t>Porto Real</t>
        </is>
      </c>
      <c r="C11779" s="30" t="n">
        <v>85873679</v>
      </c>
      <c r="D11779" s="30">
        <f>"02950179000173"</f>
        <v/>
      </c>
      <c r="E11779" s="30" t="inlineStr">
        <is>
          <t>LETICIA LUCINDA FRANCISCO ROCHA</t>
        </is>
      </c>
      <c r="F11779" s="30" t="inlineStr">
        <is>
          <t>2018</t>
        </is>
      </c>
      <c r="G11779" s="40" t="n">
        <v>0</v>
      </c>
    </row>
    <row r="11780" ht="12" customHeight="1">
      <c r="A11780" s="30" t="inlineStr">
        <is>
          <t>POR</t>
        </is>
      </c>
      <c r="B11780" s="30" t="inlineStr">
        <is>
          <t>Porto Real</t>
        </is>
      </c>
      <c r="C11780" s="30" t="n">
        <v>85873679</v>
      </c>
      <c r="D11780" s="30">
        <f>"02950179000173"</f>
        <v/>
      </c>
      <c r="E11780" s="30" t="inlineStr">
        <is>
          <t>LETICIA LUCINDA FRANCISCO ROCHA</t>
        </is>
      </c>
      <c r="F11780" s="30" t="inlineStr">
        <is>
          <t>2019</t>
        </is>
      </c>
      <c r="G11780" s="40" t="n">
        <v>0</v>
      </c>
    </row>
    <row r="11781" ht="12" customHeight="1">
      <c r="A11781" s="30" t="inlineStr">
        <is>
          <t>POR</t>
        </is>
      </c>
      <c r="B11781" s="30" t="inlineStr">
        <is>
          <t>Porto Real</t>
        </is>
      </c>
      <c r="C11781" s="30" t="n">
        <v>85873679</v>
      </c>
      <c r="D11781" s="30">
        <f>"02950179000173"</f>
        <v/>
      </c>
      <c r="E11781" s="30" t="inlineStr">
        <is>
          <t>LETICIA LUCINDA FRANCISCO ROCHA</t>
        </is>
      </c>
      <c r="F11781" s="30" t="inlineStr">
        <is>
          <t>2020</t>
        </is>
      </c>
      <c r="G11781" s="40" t="n">
        <v>0</v>
      </c>
    </row>
    <row r="11782" ht="12" customHeight="1">
      <c r="A11782" s="30" t="inlineStr">
        <is>
          <t>POR</t>
        </is>
      </c>
      <c r="B11782" s="30" t="inlineStr">
        <is>
          <t>Porto Real</t>
        </is>
      </c>
      <c r="C11782" s="30" t="n">
        <v>85873679</v>
      </c>
      <c r="D11782" s="30">
        <f>"02950179000173"</f>
        <v/>
      </c>
      <c r="E11782" s="30" t="inlineStr">
        <is>
          <t>LETICIA LUCINDA FRANCISCO ROCHA</t>
        </is>
      </c>
      <c r="F11782" s="30" t="inlineStr">
        <is>
          <t>2021</t>
        </is>
      </c>
      <c r="G11782" s="40" t="n">
        <v>0</v>
      </c>
    </row>
    <row r="11783" ht="12" customHeight="1">
      <c r="A11783" s="30" t="inlineStr">
        <is>
          <t>POR</t>
        </is>
      </c>
      <c r="B11783" s="30" t="inlineStr">
        <is>
          <t>Porto Real</t>
        </is>
      </c>
      <c r="C11783" s="30" t="n">
        <v>85873679</v>
      </c>
      <c r="D11783" s="30">
        <f>"02950179000173"</f>
        <v/>
      </c>
      <c r="E11783" s="30" t="inlineStr">
        <is>
          <t>LETICIA LUCINDA FRANCISCO ROCHA</t>
        </is>
      </c>
      <c r="F11783" s="30" t="inlineStr">
        <is>
          <t>2022</t>
        </is>
      </c>
      <c r="G11783" s="40" t="n">
        <v>0</v>
      </c>
    </row>
    <row r="11784" ht="12" customHeight="1">
      <c r="A11784" s="30" t="inlineStr">
        <is>
          <t>POR</t>
        </is>
      </c>
      <c r="B11784" s="30" t="inlineStr">
        <is>
          <t>Porto Real</t>
        </is>
      </c>
      <c r="C11784" s="30" t="n">
        <v>85873679</v>
      </c>
      <c r="D11784" s="30">
        <f>"02950179000173"</f>
        <v/>
      </c>
      <c r="E11784" s="30" t="inlineStr">
        <is>
          <t>LETICIA LUCINDA FRANCISCO ROCHA</t>
        </is>
      </c>
      <c r="F11784" s="30" t="inlineStr">
        <is>
          <t>2023</t>
        </is>
      </c>
      <c r="G11784" s="40" t="n">
        <v>0</v>
      </c>
    </row>
    <row r="11785" ht="12" customHeight="1">
      <c r="A11785" s="30" t="inlineStr">
        <is>
          <t>POR</t>
        </is>
      </c>
      <c r="B11785" s="30" t="inlineStr">
        <is>
          <t>Porto Real</t>
        </is>
      </c>
      <c r="C11785" s="30" t="n">
        <v>85873830</v>
      </c>
      <c r="D11785" s="30">
        <f>"03128702000143"</f>
        <v/>
      </c>
      <c r="E11785" s="30" t="inlineStr">
        <is>
          <t>CERAMICA ARCO ROMANO LTDA - EPP</t>
        </is>
      </c>
      <c r="F11785" s="30" t="inlineStr">
        <is>
          <t>2017</t>
        </is>
      </c>
      <c r="G11785" s="40" t="n">
        <v>0</v>
      </c>
    </row>
    <row r="11786" ht="12" customHeight="1">
      <c r="A11786" s="30" t="inlineStr">
        <is>
          <t>POR</t>
        </is>
      </c>
      <c r="B11786" s="30" t="inlineStr">
        <is>
          <t>Porto Real</t>
        </is>
      </c>
      <c r="C11786" s="30" t="n">
        <v>85873830</v>
      </c>
      <c r="D11786" s="30">
        <f>"03128702000143"</f>
        <v/>
      </c>
      <c r="E11786" s="30" t="inlineStr">
        <is>
          <t>CERAMICA ARCO ROMANO LTDA - EPP</t>
        </is>
      </c>
      <c r="F11786" s="30" t="inlineStr">
        <is>
          <t>2018</t>
        </is>
      </c>
      <c r="G11786" s="40" t="n">
        <v>885008.6899999999</v>
      </c>
    </row>
    <row r="11787" ht="12" customHeight="1">
      <c r="A11787" s="30" t="inlineStr">
        <is>
          <t>POR</t>
        </is>
      </c>
      <c r="B11787" s="30" t="inlineStr">
        <is>
          <t>Porto Real</t>
        </is>
      </c>
      <c r="C11787" s="30" t="n">
        <v>85873830</v>
      </c>
      <c r="D11787" s="30">
        <f>"03128702000143"</f>
        <v/>
      </c>
      <c r="E11787" s="30" t="inlineStr">
        <is>
          <t>CERAMICA ARCO ROMANO LTDA - EPP</t>
        </is>
      </c>
      <c r="F11787" s="30" t="inlineStr">
        <is>
          <t>2019</t>
        </is>
      </c>
      <c r="G11787" s="40" t="n">
        <v>0</v>
      </c>
    </row>
    <row r="11788" ht="12" customHeight="1">
      <c r="A11788" s="30" t="inlineStr">
        <is>
          <t>POR</t>
        </is>
      </c>
      <c r="B11788" s="30" t="inlineStr">
        <is>
          <t>Porto Real</t>
        </is>
      </c>
      <c r="C11788" s="30" t="n">
        <v>85873830</v>
      </c>
      <c r="D11788" s="30">
        <f>"03128702000143"</f>
        <v/>
      </c>
      <c r="E11788" s="30" t="inlineStr">
        <is>
          <t>CERAMICA ARCO ROMANO LTDA - EPP</t>
        </is>
      </c>
      <c r="F11788" s="30" t="inlineStr">
        <is>
          <t>2020</t>
        </is>
      </c>
      <c r="G11788" s="40" t="n">
        <v>0</v>
      </c>
    </row>
    <row r="11789" ht="12" customHeight="1">
      <c r="A11789" s="30" t="inlineStr">
        <is>
          <t>POR</t>
        </is>
      </c>
      <c r="B11789" s="30" t="inlineStr">
        <is>
          <t>Porto Real</t>
        </is>
      </c>
      <c r="C11789" s="30" t="n">
        <v>85873830</v>
      </c>
      <c r="D11789" s="30">
        <f>"03128702000143"</f>
        <v/>
      </c>
      <c r="E11789" s="30" t="inlineStr">
        <is>
          <t>CERAMICA ARCO ROMANO LTDA - EPP</t>
        </is>
      </c>
      <c r="F11789" s="30" t="inlineStr">
        <is>
          <t>2021</t>
        </is>
      </c>
      <c r="G11789" s="40" t="n">
        <v>0</v>
      </c>
    </row>
    <row r="11790" ht="12" customHeight="1">
      <c r="A11790" s="30" t="inlineStr">
        <is>
          <t>POR</t>
        </is>
      </c>
      <c r="B11790" s="30" t="inlineStr">
        <is>
          <t>Porto Real</t>
        </is>
      </c>
      <c r="C11790" s="30" t="n">
        <v>85873830</v>
      </c>
      <c r="D11790" s="30">
        <f>"03128702000143"</f>
        <v/>
      </c>
      <c r="E11790" s="30" t="inlineStr">
        <is>
          <t>CERAMICA ARCO ROMANO LTDA - EPP</t>
        </is>
      </c>
      <c r="F11790" s="30" t="inlineStr">
        <is>
          <t>2022</t>
        </is>
      </c>
      <c r="G11790" s="40" t="n">
        <v>0</v>
      </c>
    </row>
    <row r="11791" ht="12" customHeight="1">
      <c r="A11791" s="30" t="inlineStr">
        <is>
          <t>POR</t>
        </is>
      </c>
      <c r="B11791" s="30" t="inlineStr">
        <is>
          <t>Porto Real</t>
        </is>
      </c>
      <c r="C11791" s="30" t="n">
        <v>85873830</v>
      </c>
      <c r="D11791" s="30">
        <f>"03128702000143"</f>
        <v/>
      </c>
      <c r="E11791" s="30" t="inlineStr">
        <is>
          <t>CERAMICA ARCO ROMANO LTDA - EPP</t>
        </is>
      </c>
      <c r="F11791" s="30" t="inlineStr">
        <is>
          <t>2023</t>
        </is>
      </c>
      <c r="G11791" s="40" t="n">
        <v>0</v>
      </c>
    </row>
    <row r="11792" ht="12" customHeight="1">
      <c r="A11792" s="30" t="inlineStr">
        <is>
          <t>POR</t>
        </is>
      </c>
      <c r="B11792" s="30" t="inlineStr">
        <is>
          <t>Porto Real</t>
        </is>
      </c>
      <c r="C11792" s="30" t="n">
        <v>85874012</v>
      </c>
      <c r="D11792" s="30">
        <f>"03463089000110"</f>
        <v/>
      </c>
      <c r="E11792" s="30" t="inlineStr">
        <is>
          <t>AGROPECUARIA DULEITE LTDA</t>
        </is>
      </c>
      <c r="F11792" s="30" t="inlineStr">
        <is>
          <t>2017</t>
        </is>
      </c>
      <c r="G11792" s="40" t="n">
        <v>0</v>
      </c>
    </row>
    <row r="11793" ht="12" customHeight="1">
      <c r="A11793" s="30" t="inlineStr">
        <is>
          <t>POR</t>
        </is>
      </c>
      <c r="B11793" s="30" t="inlineStr">
        <is>
          <t>Porto Real</t>
        </is>
      </c>
      <c r="C11793" s="30" t="n">
        <v>85874012</v>
      </c>
      <c r="D11793" s="30">
        <f>"03463089000110"</f>
        <v/>
      </c>
      <c r="E11793" s="30" t="inlineStr">
        <is>
          <t>AGROPECUARIA DULEITE LTDA</t>
        </is>
      </c>
      <c r="F11793" s="30" t="inlineStr">
        <is>
          <t>2018</t>
        </is>
      </c>
      <c r="G11793" s="40" t="n">
        <v>0</v>
      </c>
    </row>
    <row r="11794" ht="12" customHeight="1">
      <c r="A11794" s="30" t="inlineStr">
        <is>
          <t>POR</t>
        </is>
      </c>
      <c r="B11794" s="30" t="inlineStr">
        <is>
          <t>Porto Real</t>
        </is>
      </c>
      <c r="C11794" s="30" t="n">
        <v>85874012</v>
      </c>
      <c r="D11794" s="30">
        <f>"03463089000110"</f>
        <v/>
      </c>
      <c r="E11794" s="30" t="inlineStr">
        <is>
          <t>AGROPECUARIA DULEITE LTDA</t>
        </is>
      </c>
      <c r="F11794" s="30" t="inlineStr">
        <is>
          <t>2019</t>
        </is>
      </c>
      <c r="G11794" s="40" t="n">
        <v>0</v>
      </c>
    </row>
    <row r="11795" ht="12" customHeight="1">
      <c r="A11795" s="30" t="inlineStr">
        <is>
          <t>POR</t>
        </is>
      </c>
      <c r="B11795" s="30" t="inlineStr">
        <is>
          <t>Porto Real</t>
        </is>
      </c>
      <c r="C11795" s="30" t="n">
        <v>85874012</v>
      </c>
      <c r="D11795" s="30">
        <f>"03463089000110"</f>
        <v/>
      </c>
      <c r="E11795" s="30" t="inlineStr">
        <is>
          <t>AGROPECUARIA DULEITE LTDA</t>
        </is>
      </c>
      <c r="F11795" s="30" t="inlineStr">
        <is>
          <t>2020</t>
        </is>
      </c>
      <c r="G11795" s="40" t="n">
        <v>0</v>
      </c>
    </row>
    <row r="11796" ht="12" customHeight="1">
      <c r="A11796" s="30" t="inlineStr">
        <is>
          <t>POR</t>
        </is>
      </c>
      <c r="B11796" s="30" t="inlineStr">
        <is>
          <t>Porto Real</t>
        </is>
      </c>
      <c r="C11796" s="30" t="n">
        <v>85874012</v>
      </c>
      <c r="D11796" s="30">
        <f>"03463089000110"</f>
        <v/>
      </c>
      <c r="E11796" s="30" t="inlineStr">
        <is>
          <t>AGROPECUARIA DULEITE LTDA</t>
        </is>
      </c>
      <c r="F11796" s="30" t="inlineStr">
        <is>
          <t>2021</t>
        </is>
      </c>
      <c r="G11796" s="40" t="n">
        <v>0</v>
      </c>
    </row>
    <row r="11797" ht="12" customHeight="1">
      <c r="A11797" s="30" t="inlineStr">
        <is>
          <t>POR</t>
        </is>
      </c>
      <c r="B11797" s="30" t="inlineStr">
        <is>
          <t>Porto Real</t>
        </is>
      </c>
      <c r="C11797" s="30" t="n">
        <v>85874012</v>
      </c>
      <c r="D11797" s="30">
        <f>"03463089000110"</f>
        <v/>
      </c>
      <c r="E11797" s="30" t="inlineStr">
        <is>
          <t>AGROPECUARIA DULEITE LTDA</t>
        </is>
      </c>
      <c r="F11797" s="30" t="inlineStr">
        <is>
          <t>2022</t>
        </is>
      </c>
      <c r="G11797" s="40" t="n">
        <v>0</v>
      </c>
    </row>
    <row r="11798" ht="12" customHeight="1">
      <c r="A11798" s="30" t="inlineStr">
        <is>
          <t>POR</t>
        </is>
      </c>
      <c r="B11798" s="30" t="inlineStr">
        <is>
          <t>Porto Real</t>
        </is>
      </c>
      <c r="C11798" s="30" t="n">
        <v>85874012</v>
      </c>
      <c r="D11798" s="30">
        <f>"03463089000110"</f>
        <v/>
      </c>
      <c r="E11798" s="30" t="inlineStr">
        <is>
          <t>AGROPECUARIA DULEITE LTDA</t>
        </is>
      </c>
      <c r="F11798" s="30" t="inlineStr">
        <is>
          <t>2023</t>
        </is>
      </c>
      <c r="G11798" s="40" t="n">
        <v>0</v>
      </c>
    </row>
    <row r="11799" ht="12" customHeight="1">
      <c r="A11799" s="30" t="inlineStr">
        <is>
          <t>POR</t>
        </is>
      </c>
      <c r="B11799" s="30" t="inlineStr">
        <is>
          <t>Porto Real</t>
        </is>
      </c>
      <c r="C11799" s="30" t="n">
        <v>85874020</v>
      </c>
      <c r="D11799" s="30">
        <f>"03129227000120"</f>
        <v/>
      </c>
      <c r="E11799" s="30" t="inlineStr">
        <is>
          <t>ASSOCIACAO DOS PEQUENOS PRODUTORES RURAIS DE PORTO REAL</t>
        </is>
      </c>
      <c r="F11799" s="30" t="inlineStr">
        <is>
          <t>2017</t>
        </is>
      </c>
      <c r="G11799" s="40" t="n">
        <v>0</v>
      </c>
    </row>
    <row r="11800" ht="12" customHeight="1">
      <c r="A11800" s="30" t="inlineStr">
        <is>
          <t>POR</t>
        </is>
      </c>
      <c r="B11800" s="30" t="inlineStr">
        <is>
          <t>Porto Real</t>
        </is>
      </c>
      <c r="C11800" s="30" t="n">
        <v>85874020</v>
      </c>
      <c r="D11800" s="30">
        <f>"03129227000120"</f>
        <v/>
      </c>
      <c r="E11800" s="30" t="inlineStr">
        <is>
          <t>ASSOCIACAO DOS PEQUENOS PRODUTORES RURAIS DE PORTO REAL</t>
        </is>
      </c>
      <c r="F11800" s="30" t="inlineStr">
        <is>
          <t>2018</t>
        </is>
      </c>
      <c r="G11800" s="40" t="n">
        <v>0</v>
      </c>
    </row>
    <row r="11801" ht="12" customHeight="1">
      <c r="A11801" s="30" t="inlineStr">
        <is>
          <t>POR</t>
        </is>
      </c>
      <c r="B11801" s="30" t="inlineStr">
        <is>
          <t>Porto Real</t>
        </is>
      </c>
      <c r="C11801" s="30" t="n">
        <v>85874020</v>
      </c>
      <c r="D11801" s="30">
        <f>"03129227000120"</f>
        <v/>
      </c>
      <c r="E11801" s="30" t="inlineStr">
        <is>
          <t>ASSOCIACAO DOS PEQUENOS PRODUTORES RURAIS DE PORTO REAL</t>
        </is>
      </c>
      <c r="F11801" s="30" t="inlineStr">
        <is>
          <t>2019</t>
        </is>
      </c>
      <c r="G11801" s="40" t="n">
        <v>0</v>
      </c>
    </row>
    <row r="11802" ht="12" customHeight="1">
      <c r="A11802" s="30" t="inlineStr">
        <is>
          <t>POR</t>
        </is>
      </c>
      <c r="B11802" s="30" t="inlineStr">
        <is>
          <t>Porto Real</t>
        </is>
      </c>
      <c r="C11802" s="30" t="n">
        <v>85874020</v>
      </c>
      <c r="D11802" s="30">
        <f>"03129227000120"</f>
        <v/>
      </c>
      <c r="E11802" s="30" t="inlineStr">
        <is>
          <t>ASSOCIACAO DOS PEQUENOS PRODUTORES RURAIS DE PORTO REAL</t>
        </is>
      </c>
      <c r="F11802" s="30" t="inlineStr">
        <is>
          <t>2020</t>
        </is>
      </c>
      <c r="G11802" s="40" t="n">
        <v>0</v>
      </c>
    </row>
    <row r="11803" ht="12" customHeight="1">
      <c r="A11803" s="30" t="inlineStr">
        <is>
          <t>POR</t>
        </is>
      </c>
      <c r="B11803" s="30" t="inlineStr">
        <is>
          <t>Porto Real</t>
        </is>
      </c>
      <c r="C11803" s="30" t="n">
        <v>85874020</v>
      </c>
      <c r="D11803" s="30">
        <f>"03129227000120"</f>
        <v/>
      </c>
      <c r="E11803" s="30" t="inlineStr">
        <is>
          <t>ASSOCIACAO DOS PEQUENOS PRODUTORES RURAIS DE PORTO REAL</t>
        </is>
      </c>
      <c r="F11803" s="30" t="inlineStr">
        <is>
          <t>2021</t>
        </is>
      </c>
      <c r="G11803" s="40" t="n">
        <v>0</v>
      </c>
    </row>
    <row r="11804" ht="12" customHeight="1">
      <c r="A11804" s="30" t="inlineStr">
        <is>
          <t>POR</t>
        </is>
      </c>
      <c r="B11804" s="30" t="inlineStr">
        <is>
          <t>Porto Real</t>
        </is>
      </c>
      <c r="C11804" s="30" t="n">
        <v>85874020</v>
      </c>
      <c r="D11804" s="30">
        <f>"03129227000120"</f>
        <v/>
      </c>
      <c r="E11804" s="30" t="inlineStr">
        <is>
          <t>ASSOCIACAO DOS PEQUENOS PRODUTORES RURAIS DE PORTO REAL</t>
        </is>
      </c>
      <c r="F11804" s="30" t="inlineStr">
        <is>
          <t>2022</t>
        </is>
      </c>
      <c r="G11804" s="40" t="n">
        <v>0</v>
      </c>
    </row>
    <row r="11805" ht="12" customHeight="1">
      <c r="A11805" s="30" t="inlineStr">
        <is>
          <t>POR</t>
        </is>
      </c>
      <c r="B11805" s="30" t="inlineStr">
        <is>
          <t>Porto Real</t>
        </is>
      </c>
      <c r="C11805" s="30" t="n">
        <v>85874020</v>
      </c>
      <c r="D11805" s="30">
        <f>"03129227000120"</f>
        <v/>
      </c>
      <c r="E11805" s="30" t="inlineStr">
        <is>
          <t>ASSOCIACAO DOS PEQUENOS PRODUTORES RURAIS DE PORTO REAL</t>
        </is>
      </c>
      <c r="F11805" s="30" t="inlineStr">
        <is>
          <t>2023</t>
        </is>
      </c>
      <c r="G11805" s="40" t="n">
        <v>0</v>
      </c>
    </row>
    <row r="11806" ht="12" customHeight="1">
      <c r="A11806" s="30" t="inlineStr">
        <is>
          <t>POR</t>
        </is>
      </c>
      <c r="B11806" s="30" t="inlineStr">
        <is>
          <t>Porto Real</t>
        </is>
      </c>
      <c r="C11806" s="30" t="n">
        <v>85874047</v>
      </c>
      <c r="D11806" s="30">
        <f>"67405936000173"</f>
        <v/>
      </c>
      <c r="E11806" s="30" t="inlineStr">
        <is>
          <t>PEUGEOT CITROEN DO BRASIL AUTOMOVEIS LTDA</t>
        </is>
      </c>
      <c r="F11806" s="30" t="inlineStr">
        <is>
          <t>2017</t>
        </is>
      </c>
      <c r="G11806" s="40" t="n">
        <v>2334137761.34</v>
      </c>
    </row>
    <row r="11807" ht="12" customHeight="1">
      <c r="A11807" s="30" t="inlineStr">
        <is>
          <t>POR</t>
        </is>
      </c>
      <c r="B11807" s="30" t="inlineStr">
        <is>
          <t>Porto Real</t>
        </is>
      </c>
      <c r="C11807" s="30" t="n">
        <v>85874047</v>
      </c>
      <c r="D11807" s="30">
        <f>"67405936000173"</f>
        <v/>
      </c>
      <c r="E11807" s="30" t="inlineStr">
        <is>
          <t>PEUGEOT CITROEN DO BRASIL AUTOMOVEIS LTDA</t>
        </is>
      </c>
      <c r="F11807" s="30" t="inlineStr">
        <is>
          <t>2018</t>
        </is>
      </c>
      <c r="G11807" s="40" t="n">
        <v>2888226548.88</v>
      </c>
    </row>
    <row r="11808" ht="12" customHeight="1">
      <c r="A11808" s="30" t="inlineStr">
        <is>
          <t>POR</t>
        </is>
      </c>
      <c r="B11808" s="30" t="inlineStr">
        <is>
          <t>Porto Real</t>
        </is>
      </c>
      <c r="C11808" s="30" t="n">
        <v>85874047</v>
      </c>
      <c r="D11808" s="30">
        <f>"67405936000173"</f>
        <v/>
      </c>
      <c r="E11808" s="30" t="inlineStr">
        <is>
          <t>PEUGEOT CITROEN DO BRASIL AUTOMOVEIS LTDA</t>
        </is>
      </c>
      <c r="F11808" s="30" t="inlineStr">
        <is>
          <t>2019</t>
        </is>
      </c>
      <c r="G11808" s="40" t="n">
        <v>2261626698.94</v>
      </c>
    </row>
    <row r="11809" ht="12" customHeight="1">
      <c r="A11809" s="30" t="inlineStr">
        <is>
          <t>POR</t>
        </is>
      </c>
      <c r="B11809" s="30" t="inlineStr">
        <is>
          <t>Porto Real</t>
        </is>
      </c>
      <c r="C11809" s="30" t="n">
        <v>85874047</v>
      </c>
      <c r="D11809" s="30">
        <f>"67405936000173"</f>
        <v/>
      </c>
      <c r="E11809" s="30" t="inlineStr">
        <is>
          <t>PEUGEOT CITROEN DO BRASIL AUTOMOVEIS LTDA</t>
        </is>
      </c>
      <c r="F11809" s="30" t="inlineStr">
        <is>
          <t>2020</t>
        </is>
      </c>
      <c r="G11809" s="40" t="n">
        <v>1954368359.55</v>
      </c>
    </row>
    <row r="11810" ht="12" customHeight="1">
      <c r="A11810" s="30" t="inlineStr">
        <is>
          <t>POR</t>
        </is>
      </c>
      <c r="B11810" s="30" t="inlineStr">
        <is>
          <t>Porto Real</t>
        </is>
      </c>
      <c r="C11810" s="30" t="n">
        <v>85874047</v>
      </c>
      <c r="D11810" s="30">
        <f>"67405936000173"</f>
        <v/>
      </c>
      <c r="E11810" s="30" t="inlineStr">
        <is>
          <t>PEUGEOT CITROEN DO BRASIL AUTOMOVEIS LTDA</t>
        </is>
      </c>
      <c r="F11810" s="30" t="inlineStr">
        <is>
          <t>2021</t>
        </is>
      </c>
      <c r="G11810" s="40" t="n">
        <v>4486220513.16</v>
      </c>
    </row>
    <row r="11811" ht="12" customHeight="1">
      <c r="A11811" s="30" t="inlineStr">
        <is>
          <t>POR</t>
        </is>
      </c>
      <c r="B11811" s="30" t="inlineStr">
        <is>
          <t>Porto Real</t>
        </is>
      </c>
      <c r="C11811" s="30" t="n">
        <v>85874047</v>
      </c>
      <c r="D11811" s="30">
        <f>"67405936000173"</f>
        <v/>
      </c>
      <c r="E11811" s="30" t="inlineStr">
        <is>
          <t>PEUGEOT CITROEN DO BRASIL AUTOMOVEIS LTDA</t>
        </is>
      </c>
      <c r="F11811" s="30" t="inlineStr">
        <is>
          <t>2022</t>
        </is>
      </c>
      <c r="G11811" s="40" t="n">
        <v>6137050966.38</v>
      </c>
    </row>
    <row r="11812" ht="12" customHeight="1">
      <c r="A11812" s="30" t="inlineStr">
        <is>
          <t>POR</t>
        </is>
      </c>
      <c r="B11812" s="30" t="inlineStr">
        <is>
          <t>Porto Real</t>
        </is>
      </c>
      <c r="C11812" s="30" t="n">
        <v>85874047</v>
      </c>
      <c r="D11812" s="30">
        <f>"67405936000173"</f>
        <v/>
      </c>
      <c r="E11812" s="30" t="inlineStr">
        <is>
          <t>PEUGEOT CITROEN DO BRASIL AUTOMOVEIS LTDA</t>
        </is>
      </c>
      <c r="F11812" s="30" t="inlineStr">
        <is>
          <t>2023</t>
        </is>
      </c>
      <c r="G11812" s="40" t="n">
        <v>2740134348.56</v>
      </c>
    </row>
    <row r="11813" ht="12" customHeight="1">
      <c r="A11813" s="30" t="inlineStr">
        <is>
          <t>POR</t>
        </is>
      </c>
      <c r="B11813" s="30" t="inlineStr">
        <is>
          <t>Porto Real</t>
        </is>
      </c>
      <c r="C11813" s="30" t="n">
        <v>85874098</v>
      </c>
      <c r="D11813" s="30">
        <f>"03585982000119"</f>
        <v/>
      </c>
      <c r="E11813" s="30" t="inlineStr">
        <is>
          <t>PORTO REAL TRANSPORTE COLETIVO LTDA</t>
        </is>
      </c>
      <c r="F11813" s="30" t="inlineStr">
        <is>
          <t>2020</t>
        </is>
      </c>
      <c r="G11813" s="40" t="n">
        <v>0</v>
      </c>
    </row>
    <row r="11814" ht="12" customHeight="1">
      <c r="A11814" s="30" t="inlineStr">
        <is>
          <t>POR</t>
        </is>
      </c>
      <c r="B11814" s="30" t="inlineStr">
        <is>
          <t>Porto Real</t>
        </is>
      </c>
      <c r="C11814" s="30" t="n">
        <v>85874098</v>
      </c>
      <c r="D11814" s="30">
        <f>"03585982000119"</f>
        <v/>
      </c>
      <c r="E11814" s="30" t="inlineStr">
        <is>
          <t>PORTO REAL TRANSPORTE COLETIVO LTDA</t>
        </is>
      </c>
      <c r="F11814" s="30" t="inlineStr">
        <is>
          <t>2021</t>
        </is>
      </c>
      <c r="G11814" s="40" t="n">
        <v>0</v>
      </c>
    </row>
    <row r="11815" ht="12" customHeight="1">
      <c r="A11815" s="30" t="inlineStr">
        <is>
          <t>POR</t>
        </is>
      </c>
      <c r="B11815" s="30" t="inlineStr">
        <is>
          <t>Porto Real</t>
        </is>
      </c>
      <c r="C11815" s="30" t="n">
        <v>85874098</v>
      </c>
      <c r="D11815" s="30">
        <f>"03585982000119"</f>
        <v/>
      </c>
      <c r="E11815" s="30" t="inlineStr">
        <is>
          <t>PORTO REAL TRANSPORTE COLETIVO LTDA</t>
        </is>
      </c>
      <c r="F11815" s="30" t="inlineStr">
        <is>
          <t>2022</t>
        </is>
      </c>
      <c r="G11815" s="40" t="n">
        <v>373372.65</v>
      </c>
    </row>
    <row r="11816" ht="12" customHeight="1">
      <c r="A11816" s="30" t="inlineStr">
        <is>
          <t>POR</t>
        </is>
      </c>
      <c r="B11816" s="30" t="inlineStr">
        <is>
          <t>Porto Real</t>
        </is>
      </c>
      <c r="C11816" s="30" t="n">
        <v>85874098</v>
      </c>
      <c r="D11816" s="30">
        <f>"03585982000119"</f>
        <v/>
      </c>
      <c r="E11816" s="30" t="inlineStr">
        <is>
          <t>PORTO REAL TRANSPORTE COLETIVO LTDA</t>
        </is>
      </c>
      <c r="F11816" s="30" t="inlineStr">
        <is>
          <t>2023</t>
        </is>
      </c>
      <c r="G11816" s="40" t="n">
        <v>343562.9</v>
      </c>
    </row>
    <row r="11817" ht="12" customHeight="1">
      <c r="A11817" s="30" t="inlineStr">
        <is>
          <t>POR</t>
        </is>
      </c>
      <c r="B11817" s="30" t="inlineStr">
        <is>
          <t>Porto Real</t>
        </is>
      </c>
      <c r="C11817" s="30" t="n">
        <v>85874195</v>
      </c>
      <c r="D11817" s="30">
        <f>"02295769000533"</f>
        <v/>
      </c>
      <c r="E11817" s="30" t="inlineStr">
        <is>
          <t>BENTELER SISTEMAS AUTOMOTIVOS LTDA</t>
        </is>
      </c>
      <c r="F11817" s="30" t="inlineStr">
        <is>
          <t>2017</t>
        </is>
      </c>
      <c r="G11817" s="40" t="n">
        <v>176806298.45</v>
      </c>
    </row>
    <row r="11818" ht="12" customHeight="1">
      <c r="A11818" s="30" t="inlineStr">
        <is>
          <t>POR</t>
        </is>
      </c>
      <c r="B11818" s="30" t="inlineStr">
        <is>
          <t>Porto Real</t>
        </is>
      </c>
      <c r="C11818" s="30" t="n">
        <v>85874195</v>
      </c>
      <c r="D11818" s="30">
        <f>"02295769000533"</f>
        <v/>
      </c>
      <c r="E11818" s="30" t="inlineStr">
        <is>
          <t>BENTELER SISTEMAS AUTOMOTIVOS LTDA</t>
        </is>
      </c>
      <c r="F11818" s="30" t="inlineStr">
        <is>
          <t>2018</t>
        </is>
      </c>
      <c r="G11818" s="40" t="n">
        <v>157085991.85</v>
      </c>
    </row>
    <row r="11819" ht="12" customHeight="1">
      <c r="A11819" s="30" t="inlineStr">
        <is>
          <t>POR</t>
        </is>
      </c>
      <c r="B11819" s="30" t="inlineStr">
        <is>
          <t>Porto Real</t>
        </is>
      </c>
      <c r="C11819" s="30" t="n">
        <v>85874195</v>
      </c>
      <c r="D11819" s="30">
        <f>"02295769000533"</f>
        <v/>
      </c>
      <c r="E11819" s="30" t="inlineStr">
        <is>
          <t>BENTELER SISTEMAS AUTOMOTIVOS LTDA</t>
        </is>
      </c>
      <c r="F11819" s="30" t="inlineStr">
        <is>
          <t>2019</t>
        </is>
      </c>
      <c r="G11819" s="40" t="n">
        <v>9980899.449999999</v>
      </c>
    </row>
    <row r="11820" ht="12" customHeight="1">
      <c r="A11820" s="30" t="inlineStr">
        <is>
          <t>POR</t>
        </is>
      </c>
      <c r="B11820" s="30" t="inlineStr">
        <is>
          <t>Porto Real</t>
        </is>
      </c>
      <c r="C11820" s="30" t="n">
        <v>85874195</v>
      </c>
      <c r="D11820" s="30">
        <f>"02295769000533"</f>
        <v/>
      </c>
      <c r="E11820" s="30" t="inlineStr">
        <is>
          <t>BENTELER SISTEMAS AUTOMOTIVOS LTDA</t>
        </is>
      </c>
      <c r="F11820" s="30" t="inlineStr">
        <is>
          <t>2020</t>
        </is>
      </c>
      <c r="G11820" s="40" t="n">
        <v>5598644.07</v>
      </c>
    </row>
    <row r="11821" ht="12" customHeight="1">
      <c r="A11821" s="30" t="inlineStr">
        <is>
          <t>POR</t>
        </is>
      </c>
      <c r="B11821" s="30" t="inlineStr">
        <is>
          <t>Porto Real</t>
        </is>
      </c>
      <c r="C11821" s="30" t="n">
        <v>85874195</v>
      </c>
      <c r="D11821" s="30">
        <f>"02295769000533"</f>
        <v/>
      </c>
      <c r="E11821" s="30" t="inlineStr">
        <is>
          <t>BENTELER SISTEMAS AUTOMOTIVOS LTDA</t>
        </is>
      </c>
      <c r="F11821" s="30" t="inlineStr">
        <is>
          <t>2021</t>
        </is>
      </c>
      <c r="G11821" s="40" t="n">
        <v>10804729.81</v>
      </c>
    </row>
    <row r="11822" ht="12" customHeight="1">
      <c r="A11822" s="30" t="inlineStr">
        <is>
          <t>POR</t>
        </is>
      </c>
      <c r="B11822" s="30" t="inlineStr">
        <is>
          <t>Porto Real</t>
        </is>
      </c>
      <c r="C11822" s="30" t="n">
        <v>85874195</v>
      </c>
      <c r="D11822" s="30">
        <f>"02295769000533"</f>
        <v/>
      </c>
      <c r="E11822" s="30" t="inlineStr">
        <is>
          <t>BENTELER SISTEMAS AUTOMOTIVOS LTDA</t>
        </is>
      </c>
      <c r="F11822" s="30" t="inlineStr">
        <is>
          <t>2022</t>
        </is>
      </c>
      <c r="G11822" s="40" t="n">
        <v>73497222.34999999</v>
      </c>
    </row>
    <row r="11823" ht="12" customHeight="1">
      <c r="A11823" s="30" t="inlineStr">
        <is>
          <t>POR</t>
        </is>
      </c>
      <c r="B11823" s="30" t="inlineStr">
        <is>
          <t>Porto Real</t>
        </is>
      </c>
      <c r="C11823" s="30" t="n">
        <v>85874195</v>
      </c>
      <c r="D11823" s="30">
        <f>"02295769000533"</f>
        <v/>
      </c>
      <c r="E11823" s="30" t="inlineStr">
        <is>
          <t>BENTELER SISTEMAS AUTOMOTIVOS LTDA</t>
        </is>
      </c>
      <c r="F11823" s="30" t="inlineStr">
        <is>
          <t>2023</t>
        </is>
      </c>
      <c r="G11823" s="40" t="n">
        <v>89687458.48999999</v>
      </c>
    </row>
    <row r="11824" ht="12" customHeight="1">
      <c r="A11824" s="30" t="inlineStr">
        <is>
          <t>POR</t>
        </is>
      </c>
      <c r="B11824" s="30" t="inlineStr">
        <is>
          <t>Porto Real</t>
        </is>
      </c>
      <c r="C11824" s="30" t="n">
        <v>85874241</v>
      </c>
      <c r="D11824" s="30">
        <f>"01178298000510"</f>
        <v/>
      </c>
      <c r="E11824" s="30" t="inlineStr">
        <is>
          <t>FAURECIA AUTOMOTIVE DO BRASIL LTDA</t>
        </is>
      </c>
      <c r="F11824" s="30" t="inlineStr">
        <is>
          <t>2017</t>
        </is>
      </c>
      <c r="G11824" s="40" t="n">
        <v>48470336.55</v>
      </c>
    </row>
    <row r="11825" ht="12" customHeight="1">
      <c r="A11825" s="30" t="inlineStr">
        <is>
          <t>POR</t>
        </is>
      </c>
      <c r="B11825" s="30" t="inlineStr">
        <is>
          <t>Porto Real</t>
        </is>
      </c>
      <c r="C11825" s="30" t="n">
        <v>85874241</v>
      </c>
      <c r="D11825" s="30">
        <f>"01178298000510"</f>
        <v/>
      </c>
      <c r="E11825" s="30" t="inlineStr">
        <is>
          <t>FAURECIA AUTOMOTIVE DO BRASIL LTDA</t>
        </is>
      </c>
      <c r="F11825" s="30" t="inlineStr">
        <is>
          <t>2018</t>
        </is>
      </c>
      <c r="G11825" s="40" t="n">
        <v>67659483.45999999</v>
      </c>
    </row>
    <row r="11826" ht="12" customHeight="1">
      <c r="A11826" s="30" t="inlineStr">
        <is>
          <t>POR</t>
        </is>
      </c>
      <c r="B11826" s="30" t="inlineStr">
        <is>
          <t>Porto Real</t>
        </is>
      </c>
      <c r="C11826" s="30" t="n">
        <v>85874241</v>
      </c>
      <c r="D11826" s="30">
        <f>"01178298000510"</f>
        <v/>
      </c>
      <c r="E11826" s="30" t="inlineStr">
        <is>
          <t>FAURECIA AUTOMOTIVE DO BRASIL LTDA</t>
        </is>
      </c>
      <c r="F11826" s="30" t="inlineStr">
        <is>
          <t>2019</t>
        </is>
      </c>
      <c r="G11826" s="40" t="n">
        <v>40181504.25</v>
      </c>
    </row>
    <row r="11827" ht="12" customHeight="1">
      <c r="A11827" s="30" t="inlineStr">
        <is>
          <t>POR</t>
        </is>
      </c>
      <c r="B11827" s="30" t="inlineStr">
        <is>
          <t>Porto Real</t>
        </is>
      </c>
      <c r="C11827" s="30" t="n">
        <v>85874241</v>
      </c>
      <c r="D11827" s="30">
        <f>"01178298000510"</f>
        <v/>
      </c>
      <c r="E11827" s="30" t="inlineStr">
        <is>
          <t>FAURECIA AUTOMOTIVE DO BRASIL LTDA</t>
        </is>
      </c>
      <c r="F11827" s="30" t="inlineStr">
        <is>
          <t>2020</t>
        </is>
      </c>
      <c r="G11827" s="40" t="n">
        <v>34186195.88</v>
      </c>
    </row>
    <row r="11828" ht="12" customHeight="1">
      <c r="A11828" s="30" t="inlineStr">
        <is>
          <t>POR</t>
        </is>
      </c>
      <c r="B11828" s="30" t="inlineStr">
        <is>
          <t>Porto Real</t>
        </is>
      </c>
      <c r="C11828" s="30" t="n">
        <v>85874241</v>
      </c>
      <c r="D11828" s="30">
        <f>"01178298000510"</f>
        <v/>
      </c>
      <c r="E11828" s="30" t="inlineStr">
        <is>
          <t>FAURECIA AUTOMOTIVE DO BRASIL LTDA</t>
        </is>
      </c>
      <c r="F11828" s="30" t="inlineStr">
        <is>
          <t>2021</t>
        </is>
      </c>
      <c r="G11828" s="40" t="n">
        <v>50024992.16</v>
      </c>
    </row>
    <row r="11829" ht="12" customHeight="1">
      <c r="A11829" s="30" t="inlineStr">
        <is>
          <t>POR</t>
        </is>
      </c>
      <c r="B11829" s="30" t="inlineStr">
        <is>
          <t>Porto Real</t>
        </is>
      </c>
      <c r="C11829" s="30" t="n">
        <v>85874241</v>
      </c>
      <c r="D11829" s="30">
        <f>"01178298000510"</f>
        <v/>
      </c>
      <c r="E11829" s="30" t="inlineStr">
        <is>
          <t>FAURECIA AUTOMOTIVE DO BRASIL LTDA</t>
        </is>
      </c>
      <c r="F11829" s="30" t="inlineStr">
        <is>
          <t>2022</t>
        </is>
      </c>
      <c r="G11829" s="40" t="n">
        <v>36126177.17</v>
      </c>
    </row>
    <row r="11830" ht="12" customHeight="1">
      <c r="A11830" s="30" t="inlineStr">
        <is>
          <t>POR</t>
        </is>
      </c>
      <c r="B11830" s="30" t="inlineStr">
        <is>
          <t>Porto Real</t>
        </is>
      </c>
      <c r="C11830" s="30" t="n">
        <v>85874241</v>
      </c>
      <c r="D11830" s="30">
        <f>"01178298000510"</f>
        <v/>
      </c>
      <c r="E11830" s="30" t="inlineStr">
        <is>
          <t>FAURECIA AUTOMOTIVE DO BRASIL LTDA</t>
        </is>
      </c>
      <c r="F11830" s="30" t="inlineStr">
        <is>
          <t>2023</t>
        </is>
      </c>
      <c r="G11830" s="40" t="n">
        <v>24830725.02</v>
      </c>
    </row>
    <row r="11831" ht="12" customHeight="1">
      <c r="A11831" s="30" t="inlineStr">
        <is>
          <t>POR</t>
        </is>
      </c>
      <c r="B11831" s="30" t="inlineStr">
        <is>
          <t>Porto Real</t>
        </is>
      </c>
      <c r="C11831" s="30" t="n">
        <v>85874306</v>
      </c>
      <c r="D11831" s="30">
        <f>"03912886000138"</f>
        <v/>
      </c>
      <c r="E11831" s="30" t="inlineStr">
        <is>
          <t>NINO"S RESTAURANTE EIRELI</t>
        </is>
      </c>
      <c r="F11831" s="30" t="inlineStr">
        <is>
          <t>2021</t>
        </is>
      </c>
      <c r="G11831" s="40" t="n">
        <v>0</v>
      </c>
    </row>
    <row r="11832" ht="12" customHeight="1">
      <c r="A11832" s="30" t="inlineStr">
        <is>
          <t>POR</t>
        </is>
      </c>
      <c r="B11832" s="30" t="inlineStr">
        <is>
          <t>Porto Real</t>
        </is>
      </c>
      <c r="C11832" s="30" t="n">
        <v>85874306</v>
      </c>
      <c r="D11832" s="30">
        <f>"03912886000138"</f>
        <v/>
      </c>
      <c r="E11832" s="30" t="inlineStr">
        <is>
          <t>NINO"S RESTAURANTE EIRELI</t>
        </is>
      </c>
      <c r="F11832" s="30" t="inlineStr">
        <is>
          <t>2022</t>
        </is>
      </c>
      <c r="G11832" s="40" t="n">
        <v>0</v>
      </c>
    </row>
    <row r="11833" ht="12" customHeight="1">
      <c r="A11833" s="30" t="inlineStr">
        <is>
          <t>POR</t>
        </is>
      </c>
      <c r="B11833" s="30" t="inlineStr">
        <is>
          <t>Porto Real</t>
        </is>
      </c>
      <c r="C11833" s="30" t="n">
        <v>85874306</v>
      </c>
      <c r="D11833" s="30">
        <f>"03912886000138"</f>
        <v/>
      </c>
      <c r="E11833" s="30" t="inlineStr">
        <is>
          <t>NINO"S RESTAURANTE EIRELI</t>
        </is>
      </c>
      <c r="F11833" s="30" t="inlineStr">
        <is>
          <t>2023</t>
        </is>
      </c>
      <c r="G11833" s="40" t="n">
        <v>107899.89</v>
      </c>
    </row>
    <row r="11834" ht="12" customHeight="1">
      <c r="A11834" s="30" t="inlineStr">
        <is>
          <t>POR</t>
        </is>
      </c>
      <c r="B11834" s="30" t="inlineStr">
        <is>
          <t>Porto Real</t>
        </is>
      </c>
      <c r="C11834" s="30" t="n">
        <v>85874314</v>
      </c>
      <c r="D11834" s="30">
        <f>"03094658000440"</f>
        <v/>
      </c>
      <c r="E11834" s="30" t="inlineStr">
        <is>
          <t>GEFCO LOGISTICA DO BRASIL LTDA</t>
        </is>
      </c>
      <c r="F11834" s="30" t="inlineStr">
        <is>
          <t>2017</t>
        </is>
      </c>
      <c r="G11834" s="40" t="n">
        <v>97382192.22</v>
      </c>
    </row>
    <row r="11835" ht="12" customHeight="1">
      <c r="A11835" s="30" t="inlineStr">
        <is>
          <t>POR</t>
        </is>
      </c>
      <c r="B11835" s="30" t="inlineStr">
        <is>
          <t>Porto Real</t>
        </is>
      </c>
      <c r="C11835" s="30" t="n">
        <v>85874314</v>
      </c>
      <c r="D11835" s="30">
        <f>"03094658000440"</f>
        <v/>
      </c>
      <c r="E11835" s="30" t="inlineStr">
        <is>
          <t>GEFCO LOGISTICA DO BRASIL LTDA</t>
        </is>
      </c>
      <c r="F11835" s="30" t="inlineStr">
        <is>
          <t>2018</t>
        </is>
      </c>
      <c r="G11835" s="40" t="n">
        <v>92681954.47</v>
      </c>
    </row>
    <row r="11836" ht="12" customHeight="1">
      <c r="A11836" s="30" t="inlineStr">
        <is>
          <t>POR</t>
        </is>
      </c>
      <c r="B11836" s="30" t="inlineStr">
        <is>
          <t>Porto Real</t>
        </is>
      </c>
      <c r="C11836" s="30" t="n">
        <v>85874314</v>
      </c>
      <c r="D11836" s="30">
        <f>"03094658000440"</f>
        <v/>
      </c>
      <c r="E11836" s="30" t="inlineStr">
        <is>
          <t>GEFCO LOGISTICA DO BRASIL LTDA</t>
        </is>
      </c>
      <c r="F11836" s="30" t="inlineStr">
        <is>
          <t>2019</t>
        </is>
      </c>
      <c r="G11836" s="40" t="n">
        <v>89830117.14</v>
      </c>
    </row>
    <row r="11837" ht="12" customHeight="1">
      <c r="A11837" s="30" t="inlineStr">
        <is>
          <t>POR</t>
        </is>
      </c>
      <c r="B11837" s="30" t="inlineStr">
        <is>
          <t>Porto Real</t>
        </is>
      </c>
      <c r="C11837" s="30" t="n">
        <v>85874314</v>
      </c>
      <c r="D11837" s="30">
        <f>"03094658000440"</f>
        <v/>
      </c>
      <c r="E11837" s="30" t="inlineStr">
        <is>
          <t>GEFCO LOGISTICA DO BRASIL LTDA</t>
        </is>
      </c>
      <c r="F11837" s="30" t="inlineStr">
        <is>
          <t>2020</t>
        </is>
      </c>
      <c r="G11837" s="40" t="n">
        <v>56138521</v>
      </c>
    </row>
    <row r="11838" ht="12" customHeight="1">
      <c r="A11838" s="30" t="inlineStr">
        <is>
          <t>POR</t>
        </is>
      </c>
      <c r="B11838" s="30" t="inlineStr">
        <is>
          <t>Porto Real</t>
        </is>
      </c>
      <c r="C11838" s="30" t="n">
        <v>85874314</v>
      </c>
      <c r="D11838" s="30">
        <f>"03094658000440"</f>
        <v/>
      </c>
      <c r="E11838" s="30" t="inlineStr">
        <is>
          <t>GEFCO LOGISTICA DO BRASIL LTDA</t>
        </is>
      </c>
      <c r="F11838" s="30" t="inlineStr">
        <is>
          <t>2021</t>
        </is>
      </c>
      <c r="G11838" s="40" t="n">
        <v>110704603.94</v>
      </c>
    </row>
    <row r="11839" ht="12" customHeight="1">
      <c r="A11839" s="30" t="inlineStr">
        <is>
          <t>POR</t>
        </is>
      </c>
      <c r="B11839" s="30" t="inlineStr">
        <is>
          <t>Porto Real</t>
        </is>
      </c>
      <c r="C11839" s="30" t="n">
        <v>85874314</v>
      </c>
      <c r="D11839" s="30">
        <f>"03094658000440"</f>
        <v/>
      </c>
      <c r="E11839" s="30" t="inlineStr">
        <is>
          <t>GEFCO LOGISTICA DO BRASIL LTDA</t>
        </is>
      </c>
      <c r="F11839" s="30" t="inlineStr">
        <is>
          <t>2022</t>
        </is>
      </c>
      <c r="G11839" s="40" t="n">
        <v>199635959.98</v>
      </c>
    </row>
    <row r="11840" ht="12" customHeight="1">
      <c r="A11840" s="30" t="inlineStr">
        <is>
          <t>POR</t>
        </is>
      </c>
      <c r="B11840" s="30" t="inlineStr">
        <is>
          <t>Porto Real</t>
        </is>
      </c>
      <c r="C11840" s="30" t="n">
        <v>85874314</v>
      </c>
      <c r="D11840" s="30">
        <f>"03094658000440"</f>
        <v/>
      </c>
      <c r="E11840" s="30" t="inlineStr">
        <is>
          <t>GEFCO LOGISTICA DO BRASIL LTDA</t>
        </is>
      </c>
      <c r="F11840" s="30" t="inlineStr">
        <is>
          <t>2023</t>
        </is>
      </c>
      <c r="G11840" s="40" t="n">
        <v>136235075.94</v>
      </c>
    </row>
    <row r="11841" ht="12" customHeight="1">
      <c r="A11841" s="30" t="inlineStr">
        <is>
          <t>POR</t>
        </is>
      </c>
      <c r="B11841" s="30" t="inlineStr">
        <is>
          <t>Porto Real</t>
        </is>
      </c>
      <c r="C11841" s="30" t="n">
        <v>85874322</v>
      </c>
      <c r="D11841" s="30">
        <f>"03601681000131"</f>
        <v/>
      </c>
      <c r="E11841" s="30" t="inlineStr">
        <is>
          <t>AUTO POSTO REAL BEIRA RIO LTDA</t>
        </is>
      </c>
      <c r="F11841" s="30" t="inlineStr">
        <is>
          <t>2017</t>
        </is>
      </c>
      <c r="G11841" s="40" t="n">
        <v>767414.36</v>
      </c>
    </row>
    <row r="11842" ht="12" customHeight="1">
      <c r="A11842" s="30" t="inlineStr">
        <is>
          <t>POR</t>
        </is>
      </c>
      <c r="B11842" s="30" t="inlineStr">
        <is>
          <t>Porto Real</t>
        </is>
      </c>
      <c r="C11842" s="30" t="n">
        <v>85874322</v>
      </c>
      <c r="D11842" s="30">
        <f>"03601681000131"</f>
        <v/>
      </c>
      <c r="E11842" s="30" t="inlineStr">
        <is>
          <t>AUTO POSTO REAL BEIRA RIO LTDA</t>
        </is>
      </c>
      <c r="F11842" s="30" t="inlineStr">
        <is>
          <t>2018</t>
        </is>
      </c>
      <c r="G11842" s="40" t="n">
        <v>1040038.85</v>
      </c>
    </row>
    <row r="11843" ht="12" customHeight="1">
      <c r="A11843" s="30" t="inlineStr">
        <is>
          <t>POR</t>
        </is>
      </c>
      <c r="B11843" s="30" t="inlineStr">
        <is>
          <t>Porto Real</t>
        </is>
      </c>
      <c r="C11843" s="30" t="n">
        <v>85874322</v>
      </c>
      <c r="D11843" s="30">
        <f>"03601681000131"</f>
        <v/>
      </c>
      <c r="E11843" s="30" t="inlineStr">
        <is>
          <t>AUTO POSTO REAL BEIRA RIO LTDA</t>
        </is>
      </c>
      <c r="F11843" s="30" t="inlineStr">
        <is>
          <t>2019</t>
        </is>
      </c>
      <c r="G11843" s="40" t="n">
        <v>1261346.76</v>
      </c>
    </row>
    <row r="11844" ht="12" customHeight="1">
      <c r="A11844" s="30" t="inlineStr">
        <is>
          <t>POR</t>
        </is>
      </c>
      <c r="B11844" s="30" t="inlineStr">
        <is>
          <t>Porto Real</t>
        </is>
      </c>
      <c r="C11844" s="30" t="n">
        <v>85874322</v>
      </c>
      <c r="D11844" s="30">
        <f>"03601681000131"</f>
        <v/>
      </c>
      <c r="E11844" s="30" t="inlineStr">
        <is>
          <t>AUTO POSTO REAL BEIRA RIO LTDA</t>
        </is>
      </c>
      <c r="F11844" s="30" t="inlineStr">
        <is>
          <t>2020</t>
        </is>
      </c>
      <c r="G11844" s="40" t="n">
        <v>1162391.13</v>
      </c>
    </row>
    <row r="11845" ht="12" customHeight="1">
      <c r="A11845" s="30" t="inlineStr">
        <is>
          <t>POR</t>
        </is>
      </c>
      <c r="B11845" s="30" t="inlineStr">
        <is>
          <t>Porto Real</t>
        </is>
      </c>
      <c r="C11845" s="30" t="n">
        <v>85874322</v>
      </c>
      <c r="D11845" s="30">
        <f>"03601681000131"</f>
        <v/>
      </c>
      <c r="E11845" s="30" t="inlineStr">
        <is>
          <t>AUTO POSTO REAL BEIRA RIO LTDA</t>
        </is>
      </c>
      <c r="F11845" s="30" t="inlineStr">
        <is>
          <t>2021</t>
        </is>
      </c>
      <c r="G11845" s="40" t="n">
        <v>1262590.63</v>
      </c>
    </row>
    <row r="11846" ht="12" customHeight="1">
      <c r="A11846" s="30" t="inlineStr">
        <is>
          <t>POR</t>
        </is>
      </c>
      <c r="B11846" s="30" t="inlineStr">
        <is>
          <t>Porto Real</t>
        </is>
      </c>
      <c r="C11846" s="30" t="n">
        <v>85874322</v>
      </c>
      <c r="D11846" s="30">
        <f>"03601681000131"</f>
        <v/>
      </c>
      <c r="E11846" s="30" t="inlineStr">
        <is>
          <t>AUTO POSTO REAL BEIRA RIO LTDA</t>
        </is>
      </c>
      <c r="F11846" s="30" t="inlineStr">
        <is>
          <t>2022</t>
        </is>
      </c>
      <c r="G11846" s="40" t="n">
        <v>1468316.68</v>
      </c>
    </row>
    <row r="11847" ht="12" customHeight="1">
      <c r="A11847" s="30" t="inlineStr">
        <is>
          <t>POR</t>
        </is>
      </c>
      <c r="B11847" s="30" t="inlineStr">
        <is>
          <t>Porto Real</t>
        </is>
      </c>
      <c r="C11847" s="30" t="n">
        <v>85874322</v>
      </c>
      <c r="D11847" s="30">
        <f>"03601681000131"</f>
        <v/>
      </c>
      <c r="E11847" s="30" t="inlineStr">
        <is>
          <t>AUTO POSTO REAL BEIRA RIO LTDA</t>
        </is>
      </c>
      <c r="F11847" s="30" t="inlineStr">
        <is>
          <t>2023</t>
        </is>
      </c>
      <c r="G11847" s="40" t="n">
        <v>3157338.2</v>
      </c>
    </row>
    <row r="11848" ht="12" customHeight="1">
      <c r="A11848" s="30" t="inlineStr">
        <is>
          <t>POR</t>
        </is>
      </c>
      <c r="B11848" s="30" t="inlineStr">
        <is>
          <t>Porto Real</t>
        </is>
      </c>
      <c r="C11848" s="30" t="n">
        <v>85874438</v>
      </c>
      <c r="D11848" s="30">
        <f>"04265390000182"</f>
        <v/>
      </c>
      <c r="E11848" s="30" t="inlineStr">
        <is>
          <t>REAL FLEX COMERCIO E SERVICOS EIRELI ME</t>
        </is>
      </c>
      <c r="F11848" s="30" t="inlineStr">
        <is>
          <t>2017</t>
        </is>
      </c>
      <c r="G11848" s="40" t="n">
        <v>0</v>
      </c>
    </row>
    <row r="11849" ht="12" customHeight="1">
      <c r="A11849" s="30" t="inlineStr">
        <is>
          <t>POR</t>
        </is>
      </c>
      <c r="B11849" s="30" t="inlineStr">
        <is>
          <t>Porto Real</t>
        </is>
      </c>
      <c r="C11849" s="30" t="n">
        <v>85874438</v>
      </c>
      <c r="D11849" s="30">
        <f>"04265390000182"</f>
        <v/>
      </c>
      <c r="E11849" s="30" t="inlineStr">
        <is>
          <t>REAL FLEX COMERCIO E SERVICOS EIRELI ME</t>
        </is>
      </c>
      <c r="F11849" s="30" t="inlineStr">
        <is>
          <t>2018</t>
        </is>
      </c>
      <c r="G11849" s="40" t="n">
        <v>0</v>
      </c>
    </row>
    <row r="11850" ht="12" customHeight="1">
      <c r="A11850" s="30" t="inlineStr">
        <is>
          <t>POR</t>
        </is>
      </c>
      <c r="B11850" s="30" t="inlineStr">
        <is>
          <t>Porto Real</t>
        </is>
      </c>
      <c r="C11850" s="30" t="n">
        <v>85874438</v>
      </c>
      <c r="D11850" s="30">
        <f>"04265390000182"</f>
        <v/>
      </c>
      <c r="E11850" s="30" t="inlineStr">
        <is>
          <t>REAL FLEX COMERCIO E SERVICOS EIRELI ME</t>
        </is>
      </c>
      <c r="F11850" s="30" t="inlineStr">
        <is>
          <t>2019</t>
        </is>
      </c>
      <c r="G11850" s="40" t="n">
        <v>0</v>
      </c>
    </row>
    <row r="11851" ht="12" customHeight="1">
      <c r="A11851" s="30" t="inlineStr">
        <is>
          <t>POR</t>
        </is>
      </c>
      <c r="B11851" s="30" t="inlineStr">
        <is>
          <t>Porto Real</t>
        </is>
      </c>
      <c r="C11851" s="30" t="n">
        <v>85874438</v>
      </c>
      <c r="D11851" s="30">
        <f>"04265390000182"</f>
        <v/>
      </c>
      <c r="E11851" s="30" t="inlineStr">
        <is>
          <t>REAL FLEX COMERCIO E SERVICOS EIRELI ME</t>
        </is>
      </c>
      <c r="F11851" s="30" t="inlineStr">
        <is>
          <t>2020</t>
        </is>
      </c>
      <c r="G11851" s="40" t="n">
        <v>0</v>
      </c>
    </row>
    <row r="11852" ht="12" customHeight="1">
      <c r="A11852" s="30" t="inlineStr">
        <is>
          <t>POR</t>
        </is>
      </c>
      <c r="B11852" s="30" t="inlineStr">
        <is>
          <t>Porto Real</t>
        </is>
      </c>
      <c r="C11852" s="30" t="n">
        <v>85874438</v>
      </c>
      <c r="D11852" s="30">
        <f>"04265390000182"</f>
        <v/>
      </c>
      <c r="E11852" s="30" t="inlineStr">
        <is>
          <t>REAL FLEX COMERCIO E SERVICOS EIRELI ME</t>
        </is>
      </c>
      <c r="F11852" s="30" t="inlineStr">
        <is>
          <t>2021</t>
        </is>
      </c>
      <c r="G11852" s="40" t="n">
        <v>0</v>
      </c>
    </row>
    <row r="11853" ht="12" customHeight="1">
      <c r="A11853" s="30" t="inlineStr">
        <is>
          <t>POR</t>
        </is>
      </c>
      <c r="B11853" s="30" t="inlineStr">
        <is>
          <t>Porto Real</t>
        </is>
      </c>
      <c r="C11853" s="30" t="n">
        <v>85874438</v>
      </c>
      <c r="D11853" s="30">
        <f>"04265390000182"</f>
        <v/>
      </c>
      <c r="E11853" s="30" t="inlineStr">
        <is>
          <t>REAL FLEX COMERCIO E SERVICOS EIRELI ME</t>
        </is>
      </c>
      <c r="F11853" s="30" t="inlineStr">
        <is>
          <t>2022</t>
        </is>
      </c>
      <c r="G11853" s="40" t="n">
        <v>0</v>
      </c>
    </row>
    <row r="11854" ht="12" customHeight="1">
      <c r="A11854" s="30" t="inlineStr">
        <is>
          <t>POR</t>
        </is>
      </c>
      <c r="B11854" s="30" t="inlineStr">
        <is>
          <t>Porto Real</t>
        </is>
      </c>
      <c r="C11854" s="30" t="n">
        <v>85874438</v>
      </c>
      <c r="D11854" s="30">
        <f>"04265390000182"</f>
        <v/>
      </c>
      <c r="E11854" s="30" t="inlineStr">
        <is>
          <t>REAL FLEX COMERCIO E SERVICOS EIRELI ME</t>
        </is>
      </c>
      <c r="F11854" s="30" t="inlineStr">
        <is>
          <t>2023</t>
        </is>
      </c>
      <c r="G11854" s="40" t="n">
        <v>0</v>
      </c>
    </row>
    <row r="11855" ht="12" customHeight="1">
      <c r="A11855" s="30" t="inlineStr">
        <is>
          <t>POR</t>
        </is>
      </c>
      <c r="B11855" s="30" t="inlineStr">
        <is>
          <t>Porto Real</t>
        </is>
      </c>
      <c r="C11855" s="30" t="n">
        <v>85874500</v>
      </c>
      <c r="D11855" s="30">
        <f>"60395589000287"</f>
        <v/>
      </c>
      <c r="E11855" s="30" t="inlineStr">
        <is>
          <t>BRAZUL TRANSPORTE DE VEICULOS LTDA</t>
        </is>
      </c>
      <c r="F11855" s="30" t="inlineStr">
        <is>
          <t>2017</t>
        </is>
      </c>
      <c r="G11855" s="40" t="n">
        <v>27403939.74</v>
      </c>
    </row>
    <row r="11856" ht="12" customHeight="1">
      <c r="A11856" s="30" t="inlineStr">
        <is>
          <t>POR</t>
        </is>
      </c>
      <c r="B11856" s="30" t="inlineStr">
        <is>
          <t>Porto Real</t>
        </is>
      </c>
      <c r="C11856" s="30" t="n">
        <v>85874500</v>
      </c>
      <c r="D11856" s="30">
        <f>"60395589000287"</f>
        <v/>
      </c>
      <c r="E11856" s="30" t="inlineStr">
        <is>
          <t>BRAZUL TRANSPORTE DE VEICULOS LTDA</t>
        </is>
      </c>
      <c r="F11856" s="30" t="inlineStr">
        <is>
          <t>2018</t>
        </is>
      </c>
      <c r="G11856" s="40" t="n">
        <v>27566538.55</v>
      </c>
    </row>
    <row r="11857" ht="12" customHeight="1">
      <c r="A11857" s="30" t="inlineStr">
        <is>
          <t>POR</t>
        </is>
      </c>
      <c r="B11857" s="30" t="inlineStr">
        <is>
          <t>Porto Real</t>
        </is>
      </c>
      <c r="C11857" s="30" t="n">
        <v>85874500</v>
      </c>
      <c r="D11857" s="30">
        <f>"60395589000287"</f>
        <v/>
      </c>
      <c r="E11857" s="30" t="inlineStr">
        <is>
          <t>BRAZUL TRANSPORTE DE VEICULOS LTDA</t>
        </is>
      </c>
      <c r="F11857" s="30" t="inlineStr">
        <is>
          <t>2019</t>
        </is>
      </c>
      <c r="G11857" s="40" t="n">
        <v>28954412.59</v>
      </c>
    </row>
    <row r="11858" ht="12" customHeight="1">
      <c r="A11858" s="30" t="inlineStr">
        <is>
          <t>POR</t>
        </is>
      </c>
      <c r="B11858" s="30" t="inlineStr">
        <is>
          <t>Porto Real</t>
        </is>
      </c>
      <c r="C11858" s="30" t="n">
        <v>85874500</v>
      </c>
      <c r="D11858" s="30">
        <f>"60395589000287"</f>
        <v/>
      </c>
      <c r="E11858" s="30" t="inlineStr">
        <is>
          <t>BRAZUL TRANSPORTE DE VEICULOS LTDA</t>
        </is>
      </c>
      <c r="F11858" s="30" t="inlineStr">
        <is>
          <t>2020</t>
        </is>
      </c>
      <c r="G11858" s="40" t="n">
        <v>17234837.16</v>
      </c>
    </row>
    <row r="11859" ht="12" customHeight="1">
      <c r="A11859" s="30" t="inlineStr">
        <is>
          <t>POR</t>
        </is>
      </c>
      <c r="B11859" s="30" t="inlineStr">
        <is>
          <t>Porto Real</t>
        </is>
      </c>
      <c r="C11859" s="30" t="n">
        <v>85874500</v>
      </c>
      <c r="D11859" s="30">
        <f>"60395589000287"</f>
        <v/>
      </c>
      <c r="E11859" s="30" t="inlineStr">
        <is>
          <t>BRAZUL TRANSPORTE DE VEICULOS LTDA</t>
        </is>
      </c>
      <c r="F11859" s="30" t="inlineStr">
        <is>
          <t>2021</t>
        </is>
      </c>
      <c r="G11859" s="40" t="n">
        <v>29386205.72</v>
      </c>
    </row>
    <row r="11860" ht="12" customHeight="1">
      <c r="A11860" s="30" t="inlineStr">
        <is>
          <t>POR</t>
        </is>
      </c>
      <c r="B11860" s="30" t="inlineStr">
        <is>
          <t>Porto Real</t>
        </is>
      </c>
      <c r="C11860" s="30" t="n">
        <v>85874500</v>
      </c>
      <c r="D11860" s="30">
        <f>"60395589000287"</f>
        <v/>
      </c>
      <c r="E11860" s="30" t="inlineStr">
        <is>
          <t>BRAZUL TRANSPORTE DE VEICULOS LTDA</t>
        </is>
      </c>
      <c r="F11860" s="30" t="inlineStr">
        <is>
          <t>2022</t>
        </is>
      </c>
      <c r="G11860" s="40" t="n">
        <v>53640395.99</v>
      </c>
    </row>
    <row r="11861" ht="12" customHeight="1">
      <c r="A11861" s="30" t="inlineStr">
        <is>
          <t>POR</t>
        </is>
      </c>
      <c r="B11861" s="30" t="inlineStr">
        <is>
          <t>Porto Real</t>
        </is>
      </c>
      <c r="C11861" s="30" t="n">
        <v>85874500</v>
      </c>
      <c r="D11861" s="30">
        <f>"60395589000287"</f>
        <v/>
      </c>
      <c r="E11861" s="30" t="inlineStr">
        <is>
          <t>BRAZUL TRANSPORTE DE VEICULOS LTDA</t>
        </is>
      </c>
      <c r="F11861" s="30" t="inlineStr">
        <is>
          <t>2023</t>
        </is>
      </c>
      <c r="G11861" s="40" t="n">
        <v>36905503.37</v>
      </c>
    </row>
    <row r="11862" ht="12" customHeight="1">
      <c r="A11862" s="30" t="inlineStr">
        <is>
          <t>POR</t>
        </is>
      </c>
      <c r="B11862" s="30" t="inlineStr">
        <is>
          <t>Porto Real</t>
        </is>
      </c>
      <c r="C11862" s="30" t="n">
        <v>85994964</v>
      </c>
      <c r="D11862" s="30">
        <f>"01417222000509"</f>
        <v/>
      </c>
      <c r="E11862" s="30" t="inlineStr">
        <is>
          <t>MRS LOGISTICA S/A</t>
        </is>
      </c>
      <c r="F11862" s="30" t="inlineStr">
        <is>
          <t>2017</t>
        </is>
      </c>
      <c r="G11862" s="40" t="n">
        <v>1965393.71</v>
      </c>
    </row>
    <row r="11863" ht="12" customHeight="1">
      <c r="A11863" s="30" t="inlineStr">
        <is>
          <t>POR</t>
        </is>
      </c>
      <c r="B11863" s="30" t="inlineStr">
        <is>
          <t>Porto Real</t>
        </is>
      </c>
      <c r="C11863" s="30" t="n">
        <v>85994964</v>
      </c>
      <c r="D11863" s="30">
        <f>"01417222000509"</f>
        <v/>
      </c>
      <c r="E11863" s="30" t="inlineStr">
        <is>
          <t>MRS LOGISTICA S/A</t>
        </is>
      </c>
      <c r="F11863" s="30" t="inlineStr">
        <is>
          <t>2018</t>
        </is>
      </c>
      <c r="G11863" s="40" t="n">
        <v>793913.7</v>
      </c>
    </row>
    <row r="11864" ht="12" customHeight="1">
      <c r="A11864" s="30" t="inlineStr">
        <is>
          <t>POR</t>
        </is>
      </c>
      <c r="B11864" s="30" t="inlineStr">
        <is>
          <t>Porto Real</t>
        </is>
      </c>
      <c r="C11864" s="30" t="n">
        <v>85994964</v>
      </c>
      <c r="D11864" s="30">
        <f>"01417222000509"</f>
        <v/>
      </c>
      <c r="E11864" s="30" t="inlineStr">
        <is>
          <t>MRS LOGISTICA S/A</t>
        </is>
      </c>
      <c r="F11864" s="30" t="inlineStr">
        <is>
          <t>2019</t>
        </is>
      </c>
      <c r="G11864" s="40" t="n">
        <v>1965672.07</v>
      </c>
    </row>
    <row r="11865" ht="12" customHeight="1">
      <c r="A11865" s="30" t="inlineStr">
        <is>
          <t>POR</t>
        </is>
      </c>
      <c r="B11865" s="30" t="inlineStr">
        <is>
          <t>Porto Real</t>
        </is>
      </c>
      <c r="C11865" s="30" t="n">
        <v>85994964</v>
      </c>
      <c r="D11865" s="30">
        <f>"01417222000509"</f>
        <v/>
      </c>
      <c r="E11865" s="30" t="inlineStr">
        <is>
          <t>MRS LOGISTICA S/A</t>
        </is>
      </c>
      <c r="F11865" s="30" t="inlineStr">
        <is>
          <t>2020</t>
        </is>
      </c>
      <c r="G11865" s="40" t="n">
        <v>4013973.18</v>
      </c>
    </row>
    <row r="11866" ht="12" customHeight="1">
      <c r="A11866" s="30" t="inlineStr">
        <is>
          <t>POR</t>
        </is>
      </c>
      <c r="B11866" s="30" t="inlineStr">
        <is>
          <t>Porto Real</t>
        </is>
      </c>
      <c r="C11866" s="30" t="n">
        <v>85994964</v>
      </c>
      <c r="D11866" s="30">
        <f>"01417222000509"</f>
        <v/>
      </c>
      <c r="E11866" s="30" t="inlineStr">
        <is>
          <t>MRS LOGISTICA S/A</t>
        </is>
      </c>
      <c r="F11866" s="30" t="inlineStr">
        <is>
          <t>2021</t>
        </is>
      </c>
      <c r="G11866" s="40" t="n">
        <v>3390016.78</v>
      </c>
    </row>
    <row r="11867" ht="12" customHeight="1">
      <c r="A11867" s="30" t="inlineStr">
        <is>
          <t>POR</t>
        </is>
      </c>
      <c r="B11867" s="30" t="inlineStr">
        <is>
          <t>Porto Real</t>
        </is>
      </c>
      <c r="C11867" s="30" t="n">
        <v>85994964</v>
      </c>
      <c r="D11867" s="30">
        <f>"01417222000509"</f>
        <v/>
      </c>
      <c r="E11867" s="30" t="inlineStr">
        <is>
          <t>MRS LOGISTICA S/A</t>
        </is>
      </c>
      <c r="F11867" s="30" t="inlineStr">
        <is>
          <t>2022</t>
        </is>
      </c>
      <c r="G11867" s="40" t="n">
        <v>3144169.16</v>
      </c>
    </row>
    <row r="11868" ht="12" customHeight="1">
      <c r="A11868" s="30" t="inlineStr">
        <is>
          <t>POR</t>
        </is>
      </c>
      <c r="B11868" s="30" t="inlineStr">
        <is>
          <t>Porto Real</t>
        </is>
      </c>
      <c r="C11868" s="30" t="n">
        <v>85994964</v>
      </c>
      <c r="D11868" s="30">
        <f>"01417222000509"</f>
        <v/>
      </c>
      <c r="E11868" s="30" t="inlineStr">
        <is>
          <t>MRS LOGISTICA S/A</t>
        </is>
      </c>
      <c r="F11868" s="30" t="inlineStr">
        <is>
          <t>2023</t>
        </is>
      </c>
      <c r="G11868" s="40" t="n">
        <v>467910.22</v>
      </c>
    </row>
    <row r="11869" ht="12" customHeight="1">
      <c r="A11869" s="30" t="inlineStr">
        <is>
          <t>POR</t>
        </is>
      </c>
      <c r="B11869" s="30" t="inlineStr">
        <is>
          <t>Porto Real</t>
        </is>
      </c>
      <c r="C11869" s="30" t="n">
        <v>85995634</v>
      </c>
      <c r="D11869" s="30">
        <f>"01486029000198"</f>
        <v/>
      </c>
      <c r="E11869" s="30" t="inlineStr">
        <is>
          <t>AVB 2004 TRANSPORTES LTDA</t>
        </is>
      </c>
      <c r="F11869" s="30" t="inlineStr">
        <is>
          <t>2017</t>
        </is>
      </c>
      <c r="G11869" s="40" t="n">
        <v>275615</v>
      </c>
    </row>
    <row r="11870" ht="12" customHeight="1">
      <c r="A11870" s="30" t="inlineStr">
        <is>
          <t>POR</t>
        </is>
      </c>
      <c r="B11870" s="30" t="inlineStr">
        <is>
          <t>Porto Real</t>
        </is>
      </c>
      <c r="C11870" s="30" t="n">
        <v>85995634</v>
      </c>
      <c r="D11870" s="30">
        <f>"01486029000198"</f>
        <v/>
      </c>
      <c r="E11870" s="30" t="inlineStr">
        <is>
          <t>AVB 2004 TRANSPORTES LTDA</t>
        </is>
      </c>
      <c r="F11870" s="30" t="inlineStr">
        <is>
          <t>2018</t>
        </is>
      </c>
      <c r="G11870" s="40" t="n">
        <v>339183.4</v>
      </c>
    </row>
    <row r="11871" ht="12" customHeight="1">
      <c r="A11871" s="30" t="inlineStr">
        <is>
          <t>POR</t>
        </is>
      </c>
      <c r="B11871" s="30" t="inlineStr">
        <is>
          <t>Porto Real</t>
        </is>
      </c>
      <c r="C11871" s="30" t="n">
        <v>85995634</v>
      </c>
      <c r="D11871" s="30">
        <f>"01486029000198"</f>
        <v/>
      </c>
      <c r="E11871" s="30" t="inlineStr">
        <is>
          <t>AVB 2004 TRANSPORTES LTDA</t>
        </is>
      </c>
      <c r="F11871" s="30" t="inlineStr">
        <is>
          <t>2019</t>
        </is>
      </c>
      <c r="G11871" s="40" t="n">
        <v>0</v>
      </c>
    </row>
    <row r="11872" ht="12" customHeight="1">
      <c r="A11872" s="30" t="inlineStr">
        <is>
          <t>POR</t>
        </is>
      </c>
      <c r="B11872" s="30" t="inlineStr">
        <is>
          <t>Porto Real</t>
        </is>
      </c>
      <c r="C11872" s="30" t="n">
        <v>85995634</v>
      </c>
      <c r="D11872" s="30">
        <f>"01486029000198"</f>
        <v/>
      </c>
      <c r="E11872" s="30" t="inlineStr">
        <is>
          <t>AVB 2004 TRANSPORTES LTDA</t>
        </is>
      </c>
      <c r="F11872" s="30" t="inlineStr">
        <is>
          <t>2020</t>
        </is>
      </c>
      <c r="G11872" s="40" t="n">
        <v>0</v>
      </c>
    </row>
    <row r="11873" ht="12" customHeight="1">
      <c r="A11873" s="30" t="inlineStr">
        <is>
          <t>POR</t>
        </is>
      </c>
      <c r="B11873" s="30" t="inlineStr">
        <is>
          <t>Porto Real</t>
        </is>
      </c>
      <c r="C11873" s="30" t="n">
        <v>86037874</v>
      </c>
      <c r="D11873" s="30">
        <f>"01434954000256"</f>
        <v/>
      </c>
      <c r="E11873" s="30" t="inlineStr">
        <is>
          <t>T N B TRANSPORTES LTDA</t>
        </is>
      </c>
      <c r="F11873" s="30" t="inlineStr">
        <is>
          <t>2021</t>
        </is>
      </c>
      <c r="G11873" s="40" t="n">
        <v>0</v>
      </c>
    </row>
    <row r="11874" ht="12" customHeight="1">
      <c r="A11874" s="30" t="inlineStr">
        <is>
          <t>POR</t>
        </is>
      </c>
      <c r="B11874" s="30" t="inlineStr">
        <is>
          <t>Porto Real</t>
        </is>
      </c>
      <c r="C11874" s="30" t="n">
        <v>86037874</v>
      </c>
      <c r="D11874" s="30">
        <f>"01434954000256"</f>
        <v/>
      </c>
      <c r="E11874" s="30" t="inlineStr">
        <is>
          <t>T N B TRANSPORTES LTDA</t>
        </is>
      </c>
      <c r="F11874" s="30" t="inlineStr">
        <is>
          <t>2022</t>
        </is>
      </c>
      <c r="G11874" s="40" t="n">
        <v>0</v>
      </c>
    </row>
    <row r="11875" ht="12" customHeight="1">
      <c r="A11875" s="30" t="inlineStr">
        <is>
          <t>POR</t>
        </is>
      </c>
      <c r="B11875" s="30" t="inlineStr">
        <is>
          <t>Porto Real</t>
        </is>
      </c>
      <c r="C11875" s="30" t="n">
        <v>86037874</v>
      </c>
      <c r="D11875" s="30">
        <f>"01434954000256"</f>
        <v/>
      </c>
      <c r="E11875" s="30" t="inlineStr">
        <is>
          <t>T N B TRANSPORTES LTDA</t>
        </is>
      </c>
      <c r="F11875" s="30" t="inlineStr">
        <is>
          <t>2023</t>
        </is>
      </c>
      <c r="G11875" s="40" t="n">
        <v>915.5700000000001</v>
      </c>
    </row>
    <row r="11876" ht="12" customHeight="1">
      <c r="A11876" s="30" t="inlineStr">
        <is>
          <t>POR</t>
        </is>
      </c>
      <c r="B11876" s="30" t="inlineStr">
        <is>
          <t>Porto Real</t>
        </is>
      </c>
      <c r="C11876" s="30" t="n">
        <v>86039397</v>
      </c>
      <c r="D11876" s="30">
        <f>"57012098000467"</f>
        <v/>
      </c>
      <c r="E11876" s="30" t="inlineStr">
        <is>
          <t>TRANSLUTE TRANSPORTES RODOVIARIO LTDA</t>
        </is>
      </c>
      <c r="F11876" s="30" t="inlineStr">
        <is>
          <t>2017</t>
        </is>
      </c>
      <c r="G11876" s="40" t="n">
        <v>0</v>
      </c>
    </row>
    <row r="11877" ht="12" customHeight="1">
      <c r="A11877" s="30" t="inlineStr">
        <is>
          <t>POR</t>
        </is>
      </c>
      <c r="B11877" s="30" t="inlineStr">
        <is>
          <t>Porto Real</t>
        </is>
      </c>
      <c r="C11877" s="30" t="n">
        <v>86039397</v>
      </c>
      <c r="D11877" s="30">
        <f>"57012098000467"</f>
        <v/>
      </c>
      <c r="E11877" s="30" t="inlineStr">
        <is>
          <t>TRANSLUTE TRANSPORTES RODOVIARIO LTDA</t>
        </is>
      </c>
      <c r="F11877" s="30" t="inlineStr">
        <is>
          <t>2018</t>
        </is>
      </c>
      <c r="G11877" s="40" t="n">
        <v>0</v>
      </c>
    </row>
    <row r="11878" ht="12" customHeight="1">
      <c r="A11878" s="30" t="inlineStr">
        <is>
          <t>POR</t>
        </is>
      </c>
      <c r="B11878" s="30" t="inlineStr">
        <is>
          <t>Porto Real</t>
        </is>
      </c>
      <c r="C11878" s="30" t="n">
        <v>86039397</v>
      </c>
      <c r="D11878" s="30">
        <f>"57012098000467"</f>
        <v/>
      </c>
      <c r="E11878" s="30" t="inlineStr">
        <is>
          <t>TRANSLUTE TRANSPORTES RODOVIARIO LTDA</t>
        </is>
      </c>
      <c r="F11878" s="30" t="inlineStr">
        <is>
          <t>2019</t>
        </is>
      </c>
      <c r="G11878" s="40" t="n">
        <v>272.88</v>
      </c>
    </row>
    <row r="11879" ht="12" customHeight="1">
      <c r="A11879" s="30" t="inlineStr">
        <is>
          <t>POR</t>
        </is>
      </c>
      <c r="B11879" s="30" t="inlineStr">
        <is>
          <t>Porto Real</t>
        </is>
      </c>
      <c r="C11879" s="30" t="n">
        <v>86039397</v>
      </c>
      <c r="D11879" s="30">
        <f>"57012098000467"</f>
        <v/>
      </c>
      <c r="E11879" s="30" t="inlineStr">
        <is>
          <t>TRANSLUTE TRANSPORTES RODOVIARIO LTDA</t>
        </is>
      </c>
      <c r="F11879" s="30" t="inlineStr">
        <is>
          <t>2020</t>
        </is>
      </c>
      <c r="G11879" s="40" t="n">
        <v>0</v>
      </c>
    </row>
    <row r="11880" ht="12" customHeight="1">
      <c r="A11880" s="30" t="inlineStr">
        <is>
          <t>POR</t>
        </is>
      </c>
      <c r="B11880" s="30" t="inlineStr">
        <is>
          <t>Porto Real</t>
        </is>
      </c>
      <c r="C11880" s="30" t="n">
        <v>86039397</v>
      </c>
      <c r="D11880" s="30">
        <f>"57012098000467"</f>
        <v/>
      </c>
      <c r="E11880" s="30" t="inlineStr">
        <is>
          <t>TRANSLUTE TRANSPORTES RODOVIARIO LTDA</t>
        </is>
      </c>
      <c r="F11880" s="30" t="inlineStr">
        <is>
          <t>2021</t>
        </is>
      </c>
      <c r="G11880" s="40" t="n">
        <v>1122.97</v>
      </c>
    </row>
    <row r="11881" ht="12" customHeight="1">
      <c r="A11881" s="30" t="inlineStr">
        <is>
          <t>POR</t>
        </is>
      </c>
      <c r="B11881" s="30" t="inlineStr">
        <is>
          <t>Porto Real</t>
        </is>
      </c>
      <c r="C11881" s="30" t="n">
        <v>86039397</v>
      </c>
      <c r="D11881" s="30">
        <f>"57012098000467"</f>
        <v/>
      </c>
      <c r="E11881" s="30" t="inlineStr">
        <is>
          <t>TRANSLUTE TRANSPORTES RODOVIARIO LTDA</t>
        </is>
      </c>
      <c r="F11881" s="30" t="inlineStr">
        <is>
          <t>2022</t>
        </is>
      </c>
      <c r="G11881" s="40" t="n">
        <v>0</v>
      </c>
    </row>
    <row r="11882" ht="12" customHeight="1">
      <c r="A11882" s="30" t="inlineStr">
        <is>
          <t>POR</t>
        </is>
      </c>
      <c r="B11882" s="30" t="inlineStr">
        <is>
          <t>Porto Real</t>
        </is>
      </c>
      <c r="C11882" s="30" t="n">
        <v>86039397</v>
      </c>
      <c r="D11882" s="30">
        <f>"57012098000467"</f>
        <v/>
      </c>
      <c r="E11882" s="30" t="inlineStr">
        <is>
          <t>TRANSLUTE TRANSPORTES RODOVIARIO LTDA</t>
        </is>
      </c>
      <c r="F11882" s="30" t="inlineStr">
        <is>
          <t>2023</t>
        </is>
      </c>
      <c r="G11882" s="40" t="n">
        <v>17403.53</v>
      </c>
    </row>
    <row r="11883" ht="12" customHeight="1">
      <c r="A11883" s="30" t="inlineStr">
        <is>
          <t>POR</t>
        </is>
      </c>
      <c r="B11883" s="30" t="inlineStr">
        <is>
          <t>Porto Real</t>
        </is>
      </c>
      <c r="C11883" s="30" t="n">
        <v>86039494</v>
      </c>
      <c r="D11883" s="30">
        <f>"01695336000189"</f>
        <v/>
      </c>
      <c r="E11883" s="30" t="inlineStr">
        <is>
          <t>25 DE JULHO TRANSPORTES LTDA EPP</t>
        </is>
      </c>
      <c r="F11883" s="30" t="inlineStr">
        <is>
          <t>2020</t>
        </is>
      </c>
      <c r="G11883" s="40" t="n">
        <v>0</v>
      </c>
    </row>
    <row r="11884" ht="12" customHeight="1">
      <c r="A11884" s="30" t="inlineStr">
        <is>
          <t>POR</t>
        </is>
      </c>
      <c r="B11884" s="30" t="inlineStr">
        <is>
          <t>Porto Real</t>
        </is>
      </c>
      <c r="C11884" s="30" t="n">
        <v>86039494</v>
      </c>
      <c r="D11884" s="30">
        <f>"01695336000189"</f>
        <v/>
      </c>
      <c r="E11884" s="30" t="inlineStr">
        <is>
          <t>25 DE JULHO TRANSPORTES LTDA EPP</t>
        </is>
      </c>
      <c r="F11884" s="30" t="inlineStr">
        <is>
          <t>2021</t>
        </is>
      </c>
      <c r="G11884" s="40" t="n">
        <v>0</v>
      </c>
    </row>
    <row r="11885" ht="12" customHeight="1">
      <c r="A11885" s="30" t="inlineStr">
        <is>
          <t>POR</t>
        </is>
      </c>
      <c r="B11885" s="30" t="inlineStr">
        <is>
          <t>Porto Real</t>
        </is>
      </c>
      <c r="C11885" s="30" t="n">
        <v>86039494</v>
      </c>
      <c r="D11885" s="30">
        <f>"01695336000189"</f>
        <v/>
      </c>
      <c r="E11885" s="30" t="inlineStr">
        <is>
          <t>25 DE JULHO TRANSPORTES LTDA EPP</t>
        </is>
      </c>
      <c r="F11885" s="30" t="inlineStr">
        <is>
          <t>2022</t>
        </is>
      </c>
      <c r="G11885" s="40" t="n">
        <v>6428.17</v>
      </c>
    </row>
    <row r="11886" ht="12" customHeight="1">
      <c r="A11886" s="30" t="inlineStr">
        <is>
          <t>POR</t>
        </is>
      </c>
      <c r="B11886" s="30" t="inlineStr">
        <is>
          <t>Porto Real</t>
        </is>
      </c>
      <c r="C11886" s="30" t="n">
        <v>86039494</v>
      </c>
      <c r="D11886" s="30">
        <f>"01695336000189"</f>
        <v/>
      </c>
      <c r="E11886" s="30" t="inlineStr">
        <is>
          <t>25 DE JULHO TRANSPORTES LTDA EPP</t>
        </is>
      </c>
      <c r="F11886" s="30" t="inlineStr">
        <is>
          <t>2023</t>
        </is>
      </c>
      <c r="G11886" s="40" t="n">
        <v>1002.12</v>
      </c>
    </row>
    <row r="11887" ht="12" customHeight="1">
      <c r="A11887" s="30" t="inlineStr">
        <is>
          <t>POR</t>
        </is>
      </c>
      <c r="B11887" s="30" t="inlineStr">
        <is>
          <t>Porto Real</t>
        </is>
      </c>
      <c r="C11887" s="30" t="n">
        <v>86039842</v>
      </c>
      <c r="D11887" s="30">
        <f>"86442720000203"</f>
        <v/>
      </c>
      <c r="E11887" s="30" t="inlineStr">
        <is>
          <t>COOPERATIVA RIOBRANQUENSE DE TRANSPORTES LTDA</t>
        </is>
      </c>
      <c r="F11887" s="30" t="inlineStr">
        <is>
          <t>2018</t>
        </is>
      </c>
      <c r="G11887" s="40" t="n">
        <v>0</v>
      </c>
    </row>
    <row r="11888" ht="12" customHeight="1">
      <c r="A11888" s="30" t="inlineStr">
        <is>
          <t>POR</t>
        </is>
      </c>
      <c r="B11888" s="30" t="inlineStr">
        <is>
          <t>Porto Real</t>
        </is>
      </c>
      <c r="C11888" s="30" t="n">
        <v>86039842</v>
      </c>
      <c r="D11888" s="30">
        <f>"86442720000203"</f>
        <v/>
      </c>
      <c r="E11888" s="30" t="inlineStr">
        <is>
          <t>COOPERATIVA RIOBRANQUENSE DE TRANSPORTES LTDA</t>
        </is>
      </c>
      <c r="F11888" s="30" t="inlineStr">
        <is>
          <t>2019</t>
        </is>
      </c>
      <c r="G11888" s="40" t="n">
        <v>0</v>
      </c>
    </row>
    <row r="11889" ht="12" customHeight="1">
      <c r="A11889" s="30" t="inlineStr">
        <is>
          <t>POR</t>
        </is>
      </c>
      <c r="B11889" s="30" t="inlineStr">
        <is>
          <t>Porto Real</t>
        </is>
      </c>
      <c r="C11889" s="30" t="n">
        <v>86039842</v>
      </c>
      <c r="D11889" s="30">
        <f>"86442720000203"</f>
        <v/>
      </c>
      <c r="E11889" s="30" t="inlineStr">
        <is>
          <t>COOPERATIVA RIOBRANQUENSE DE TRANSPORTES LTDA</t>
        </is>
      </c>
      <c r="F11889" s="30" t="inlineStr">
        <is>
          <t>2020</t>
        </is>
      </c>
      <c r="G11889" s="40" t="n">
        <v>400</v>
      </c>
    </row>
    <row r="11890" ht="12" customHeight="1">
      <c r="A11890" s="30" t="inlineStr">
        <is>
          <t>POR</t>
        </is>
      </c>
      <c r="B11890" s="30" t="inlineStr">
        <is>
          <t>Porto Real</t>
        </is>
      </c>
      <c r="C11890" s="30" t="n">
        <v>86039842</v>
      </c>
      <c r="D11890" s="30">
        <f>"86442720000203"</f>
        <v/>
      </c>
      <c r="E11890" s="30" t="inlineStr">
        <is>
          <t>COOPERATIVA RIOBRANQUENSE DE TRANSPORTES LTDA</t>
        </is>
      </c>
      <c r="F11890" s="30" t="inlineStr">
        <is>
          <t>2021</t>
        </is>
      </c>
      <c r="G11890" s="40" t="n">
        <v>0</v>
      </c>
    </row>
    <row r="11891" ht="12" customHeight="1">
      <c r="A11891" s="30" t="inlineStr">
        <is>
          <t>POR</t>
        </is>
      </c>
      <c r="B11891" s="30" t="inlineStr">
        <is>
          <t>Porto Real</t>
        </is>
      </c>
      <c r="C11891" s="30" t="n">
        <v>86039842</v>
      </c>
      <c r="D11891" s="30">
        <f>"86442720000203"</f>
        <v/>
      </c>
      <c r="E11891" s="30" t="inlineStr">
        <is>
          <t>COOPERATIVA RIOBRANQUENSE DE TRANSPORTES LTDA</t>
        </is>
      </c>
      <c r="F11891" s="30" t="inlineStr">
        <is>
          <t>2022</t>
        </is>
      </c>
      <c r="G11891" s="40" t="n">
        <v>0</v>
      </c>
    </row>
    <row r="11892" ht="12" customHeight="1">
      <c r="A11892" s="30" t="inlineStr">
        <is>
          <t>POR</t>
        </is>
      </c>
      <c r="B11892" s="30" t="inlineStr">
        <is>
          <t>Porto Real</t>
        </is>
      </c>
      <c r="C11892" s="30" t="n">
        <v>86040646</v>
      </c>
      <c r="D11892" s="30">
        <f>"01812566000180"</f>
        <v/>
      </c>
      <c r="E11892" s="30" t="inlineStr">
        <is>
          <t>TRANSWAGEN RESENDE ENTREGADORA DE VEÍCULOS EIRELI</t>
        </is>
      </c>
      <c r="F11892" s="30" t="inlineStr">
        <is>
          <t>2017</t>
        </is>
      </c>
      <c r="G11892" s="40" t="n">
        <v>0</v>
      </c>
    </row>
    <row r="11893" ht="12" customHeight="1">
      <c r="A11893" s="30" t="inlineStr">
        <is>
          <t>POR</t>
        </is>
      </c>
      <c r="B11893" s="30" t="inlineStr">
        <is>
          <t>Porto Real</t>
        </is>
      </c>
      <c r="C11893" s="30" t="n">
        <v>86040646</v>
      </c>
      <c r="D11893" s="30">
        <f>"01812566000180"</f>
        <v/>
      </c>
      <c r="E11893" s="30" t="inlineStr">
        <is>
          <t>TRANSWAGEN RESENDE ENTREGADORA DE VEÍCULOS EIRELI</t>
        </is>
      </c>
      <c r="F11893" s="30" t="inlineStr">
        <is>
          <t>2018</t>
        </is>
      </c>
      <c r="G11893" s="40" t="n">
        <v>0</v>
      </c>
    </row>
    <row r="11894" ht="12" customHeight="1">
      <c r="A11894" s="30" t="inlineStr">
        <is>
          <t>POR</t>
        </is>
      </c>
      <c r="B11894" s="30" t="inlineStr">
        <is>
          <t>Porto Real</t>
        </is>
      </c>
      <c r="C11894" s="30" t="n">
        <v>86040646</v>
      </c>
      <c r="D11894" s="30">
        <f>"01812566000180"</f>
        <v/>
      </c>
      <c r="E11894" s="30" t="inlineStr">
        <is>
          <t>TRANSWAGEN RESENDE ENTREGADORA DE VEÍCULOS EIRELI</t>
        </is>
      </c>
      <c r="F11894" s="30" t="inlineStr">
        <is>
          <t>2019</t>
        </is>
      </c>
      <c r="G11894" s="40" t="n">
        <v>0</v>
      </c>
    </row>
    <row r="11895" ht="12" customHeight="1">
      <c r="A11895" s="30" t="inlineStr">
        <is>
          <t>POR</t>
        </is>
      </c>
      <c r="B11895" s="30" t="inlineStr">
        <is>
          <t>Porto Real</t>
        </is>
      </c>
      <c r="C11895" s="30" t="n">
        <v>86062895</v>
      </c>
      <c r="D11895" s="30">
        <f>"72843212000222"</f>
        <v/>
      </c>
      <c r="E11895" s="30" t="inlineStr">
        <is>
          <t>CENTURYLINK COMUNICAÇÕES DO BRASIL LTDA</t>
        </is>
      </c>
      <c r="F11895" s="30" t="inlineStr">
        <is>
          <t>2017</t>
        </is>
      </c>
      <c r="G11895" s="40" t="n">
        <v>51483.42</v>
      </c>
    </row>
    <row r="11896" ht="12" customHeight="1">
      <c r="A11896" s="30" t="inlineStr">
        <is>
          <t>POR</t>
        </is>
      </c>
      <c r="B11896" s="30" t="inlineStr">
        <is>
          <t>Porto Real</t>
        </is>
      </c>
      <c r="C11896" s="30" t="n">
        <v>86062895</v>
      </c>
      <c r="D11896" s="30">
        <f>"72843212000222"</f>
        <v/>
      </c>
      <c r="E11896" s="30" t="inlineStr">
        <is>
          <t>CENTURYLINK COMUNICAÇÕES DO BRASIL LTDA</t>
        </is>
      </c>
      <c r="F11896" s="30" t="inlineStr">
        <is>
          <t>2018</t>
        </is>
      </c>
      <c r="G11896" s="40" t="n">
        <v>15690.09</v>
      </c>
    </row>
    <row r="11897" ht="12" customHeight="1">
      <c r="A11897" s="30" t="inlineStr">
        <is>
          <t>POR</t>
        </is>
      </c>
      <c r="B11897" s="30" t="inlineStr">
        <is>
          <t>Porto Real</t>
        </is>
      </c>
      <c r="C11897" s="30" t="n">
        <v>86062895</v>
      </c>
      <c r="D11897" s="30">
        <f>"72843212000222"</f>
        <v/>
      </c>
      <c r="E11897" s="30" t="inlineStr">
        <is>
          <t>CENTURYLINK COMUNICAÇÕES DO BRASIL LTDA</t>
        </is>
      </c>
      <c r="F11897" s="30" t="inlineStr">
        <is>
          <t>2019</t>
        </is>
      </c>
      <c r="G11897" s="40" t="n">
        <v>15390.61</v>
      </c>
    </row>
    <row r="11898" ht="12" customHeight="1">
      <c r="A11898" s="30" t="inlineStr">
        <is>
          <t>POR</t>
        </is>
      </c>
      <c r="B11898" s="30" t="inlineStr">
        <is>
          <t>Porto Real</t>
        </is>
      </c>
      <c r="C11898" s="30" t="n">
        <v>86062895</v>
      </c>
      <c r="D11898" s="30">
        <f>"72843212000222"</f>
        <v/>
      </c>
      <c r="E11898" s="30" t="inlineStr">
        <is>
          <t>CENTURYLINK COMUNICAÇÕES DO BRASIL LTDA</t>
        </is>
      </c>
      <c r="F11898" s="30" t="inlineStr">
        <is>
          <t>2020</t>
        </is>
      </c>
      <c r="G11898" s="40" t="n">
        <v>10177.17</v>
      </c>
    </row>
    <row r="11899" ht="12" customHeight="1">
      <c r="A11899" s="30" t="inlineStr">
        <is>
          <t>POR</t>
        </is>
      </c>
      <c r="B11899" s="30" t="inlineStr">
        <is>
          <t>Porto Real</t>
        </is>
      </c>
      <c r="C11899" s="30" t="n">
        <v>86062895</v>
      </c>
      <c r="D11899" s="30">
        <f>"72843212000222"</f>
        <v/>
      </c>
      <c r="E11899" s="30" t="inlineStr">
        <is>
          <t>CENTURYLINK COMUNICAÇÕES DO BRASIL LTDA</t>
        </is>
      </c>
      <c r="F11899" s="30" t="inlineStr">
        <is>
          <t>2021</t>
        </is>
      </c>
      <c r="G11899" s="40" t="n">
        <v>0</v>
      </c>
    </row>
    <row r="11900" ht="12" customHeight="1">
      <c r="A11900" s="30" t="inlineStr">
        <is>
          <t>POR</t>
        </is>
      </c>
      <c r="B11900" s="30" t="inlineStr">
        <is>
          <t>Porto Real</t>
        </is>
      </c>
      <c r="C11900" s="30" t="n">
        <v>86062895</v>
      </c>
      <c r="D11900" s="30">
        <f>"72843212000222"</f>
        <v/>
      </c>
      <c r="E11900" s="30" t="inlineStr">
        <is>
          <t>CENTURYLINK COMUNICAÇÕES DO BRASIL LTDA</t>
        </is>
      </c>
      <c r="F11900" s="30" t="inlineStr">
        <is>
          <t>2022</t>
        </is>
      </c>
      <c r="G11900" s="40" t="n">
        <v>0</v>
      </c>
    </row>
    <row r="11901" ht="12" customHeight="1">
      <c r="A11901" s="30" t="inlineStr">
        <is>
          <t>POR</t>
        </is>
      </c>
      <c r="B11901" s="30" t="inlineStr">
        <is>
          <t>Porto Real</t>
        </is>
      </c>
      <c r="C11901" s="30" t="n">
        <v>86092085</v>
      </c>
      <c r="D11901" s="30">
        <f>"02421421000111"</f>
        <v/>
      </c>
      <c r="E11901" s="30" t="inlineStr">
        <is>
          <t>TIM S.A.</t>
        </is>
      </c>
      <c r="F11901" s="30" t="inlineStr">
        <is>
          <t>2017</t>
        </is>
      </c>
      <c r="G11901" s="40" t="n">
        <v>1656196.21</v>
      </c>
    </row>
    <row r="11902" ht="12" customHeight="1">
      <c r="A11902" s="30" t="inlineStr">
        <is>
          <t>POR</t>
        </is>
      </c>
      <c r="B11902" s="30" t="inlineStr">
        <is>
          <t>Porto Real</t>
        </is>
      </c>
      <c r="C11902" s="30" t="n">
        <v>86092085</v>
      </c>
      <c r="D11902" s="30">
        <f>"02421421000111"</f>
        <v/>
      </c>
      <c r="E11902" s="30" t="inlineStr">
        <is>
          <t>TIM S.A.</t>
        </is>
      </c>
      <c r="F11902" s="30" t="inlineStr">
        <is>
          <t>2018</t>
        </is>
      </c>
      <c r="G11902" s="40" t="n">
        <v>3354637.79</v>
      </c>
    </row>
    <row r="11903" ht="12" customHeight="1">
      <c r="A11903" s="30" t="inlineStr">
        <is>
          <t>POR</t>
        </is>
      </c>
      <c r="B11903" s="30" t="inlineStr">
        <is>
          <t>Porto Real</t>
        </is>
      </c>
      <c r="C11903" s="30" t="n">
        <v>86092085</v>
      </c>
      <c r="D11903" s="30">
        <f>"02421421000111"</f>
        <v/>
      </c>
      <c r="E11903" s="30" t="inlineStr">
        <is>
          <t>TIM S.A.</t>
        </is>
      </c>
      <c r="F11903" s="30" t="inlineStr">
        <is>
          <t>2019</t>
        </is>
      </c>
      <c r="G11903" s="40" t="n">
        <v>12915171.04</v>
      </c>
    </row>
    <row r="11904" ht="12" customHeight="1">
      <c r="A11904" s="30" t="inlineStr">
        <is>
          <t>POR</t>
        </is>
      </c>
      <c r="B11904" s="30" t="inlineStr">
        <is>
          <t>Porto Real</t>
        </is>
      </c>
      <c r="C11904" s="30" t="n">
        <v>86092085</v>
      </c>
      <c r="D11904" s="30">
        <f>"02421421000111"</f>
        <v/>
      </c>
      <c r="E11904" s="30" t="inlineStr">
        <is>
          <t>TIM S.A.</t>
        </is>
      </c>
      <c r="F11904" s="30" t="inlineStr">
        <is>
          <t>2020</t>
        </is>
      </c>
      <c r="G11904" s="40" t="n">
        <v>12570425.88</v>
      </c>
    </row>
    <row r="11905" ht="12" customHeight="1">
      <c r="A11905" s="30" t="inlineStr">
        <is>
          <t>POR</t>
        </is>
      </c>
      <c r="B11905" s="30" t="inlineStr">
        <is>
          <t>Porto Real</t>
        </is>
      </c>
      <c r="C11905" s="30" t="n">
        <v>86092085</v>
      </c>
      <c r="D11905" s="30">
        <f>"02421421000111"</f>
        <v/>
      </c>
      <c r="E11905" s="30" t="inlineStr">
        <is>
          <t>TIM S.A.</t>
        </is>
      </c>
      <c r="F11905" s="30" t="inlineStr">
        <is>
          <t>2021</t>
        </is>
      </c>
      <c r="G11905" s="40" t="n">
        <v>11818961.84</v>
      </c>
    </row>
    <row r="11906" ht="12" customHeight="1">
      <c r="A11906" s="30" t="inlineStr">
        <is>
          <t>POR</t>
        </is>
      </c>
      <c r="B11906" s="30" t="inlineStr">
        <is>
          <t>Porto Real</t>
        </is>
      </c>
      <c r="C11906" s="30" t="n">
        <v>86092085</v>
      </c>
      <c r="D11906" s="30">
        <f>"02421421000111"</f>
        <v/>
      </c>
      <c r="E11906" s="30" t="inlineStr">
        <is>
          <t>TIM S.A.</t>
        </is>
      </c>
      <c r="F11906" s="30" t="inlineStr">
        <is>
          <t>2022</t>
        </is>
      </c>
      <c r="G11906" s="40" t="n">
        <v>10881487.97</v>
      </c>
    </row>
    <row r="11907" ht="12" customHeight="1">
      <c r="A11907" s="30" t="inlineStr">
        <is>
          <t>POR</t>
        </is>
      </c>
      <c r="B11907" s="30" t="inlineStr">
        <is>
          <t>Porto Real</t>
        </is>
      </c>
      <c r="C11907" s="30" t="n">
        <v>86092085</v>
      </c>
      <c r="D11907" s="30">
        <f>"02421421000111"</f>
        <v/>
      </c>
      <c r="E11907" s="30" t="inlineStr">
        <is>
          <t>TIM S.A.</t>
        </is>
      </c>
      <c r="F11907" s="30" t="inlineStr">
        <is>
          <t>2023</t>
        </is>
      </c>
      <c r="G11907" s="40" t="n">
        <v>12782247.58</v>
      </c>
    </row>
    <row r="11908" ht="12" customHeight="1">
      <c r="A11908" s="30" t="inlineStr">
        <is>
          <t>POR</t>
        </is>
      </c>
      <c r="B11908" s="30" t="inlineStr">
        <is>
          <t>Porto Real</t>
        </is>
      </c>
      <c r="C11908" s="30" t="n">
        <v>86115220</v>
      </c>
      <c r="D11908" s="30">
        <f>"02231030000134"</f>
        <v/>
      </c>
      <c r="E11908" s="30" t="inlineStr">
        <is>
          <t>GLOBALSTAR DO BRASIL LTDA</t>
        </is>
      </c>
      <c r="F11908" s="30" t="inlineStr">
        <is>
          <t>2017</t>
        </is>
      </c>
      <c r="G11908" s="40" t="n">
        <v>1331.64</v>
      </c>
    </row>
    <row r="11909" ht="12" customHeight="1">
      <c r="A11909" s="30" t="inlineStr">
        <is>
          <t>POR</t>
        </is>
      </c>
      <c r="B11909" s="30" t="inlineStr">
        <is>
          <t>Porto Real</t>
        </is>
      </c>
      <c r="C11909" s="30" t="n">
        <v>86115220</v>
      </c>
      <c r="D11909" s="30">
        <f>"02231030000134"</f>
        <v/>
      </c>
      <c r="E11909" s="30" t="inlineStr">
        <is>
          <t>GLOBALSTAR DO BRASIL LTDA</t>
        </is>
      </c>
      <c r="F11909" s="30" t="inlineStr">
        <is>
          <t>2018</t>
        </is>
      </c>
      <c r="G11909" s="40" t="n">
        <v>2246</v>
      </c>
    </row>
    <row r="11910" ht="12" customHeight="1">
      <c r="A11910" s="30" t="inlineStr">
        <is>
          <t>POR</t>
        </is>
      </c>
      <c r="B11910" s="30" t="inlineStr">
        <is>
          <t>Porto Real</t>
        </is>
      </c>
      <c r="C11910" s="30" t="n">
        <v>86115220</v>
      </c>
      <c r="D11910" s="30">
        <f>"02231030000134"</f>
        <v/>
      </c>
      <c r="E11910" s="30" t="inlineStr">
        <is>
          <t>GLOBALSTAR DO BRASIL LTDA</t>
        </is>
      </c>
      <c r="F11910" s="30" t="inlineStr">
        <is>
          <t>2019</t>
        </is>
      </c>
      <c r="G11910" s="40" t="n">
        <v>2272.16</v>
      </c>
    </row>
    <row r="11911" ht="12" customHeight="1">
      <c r="A11911" s="30" t="inlineStr">
        <is>
          <t>POR</t>
        </is>
      </c>
      <c r="B11911" s="30" t="inlineStr">
        <is>
          <t>Porto Real</t>
        </is>
      </c>
      <c r="C11911" s="30" t="n">
        <v>86115220</v>
      </c>
      <c r="D11911" s="30">
        <f>"02231030000134"</f>
        <v/>
      </c>
      <c r="E11911" s="30" t="inlineStr">
        <is>
          <t>GLOBALSTAR DO BRASIL LTDA</t>
        </is>
      </c>
      <c r="F11911" s="30" t="inlineStr">
        <is>
          <t>2020</t>
        </is>
      </c>
      <c r="G11911" s="40" t="n">
        <v>0</v>
      </c>
    </row>
    <row r="11912" ht="12" customHeight="1">
      <c r="A11912" s="30" t="inlineStr">
        <is>
          <t>POR</t>
        </is>
      </c>
      <c r="B11912" s="30" t="inlineStr">
        <is>
          <t>Porto Real</t>
        </is>
      </c>
      <c r="C11912" s="30" t="n">
        <v>86115220</v>
      </c>
      <c r="D11912" s="30">
        <f>"02231030000134"</f>
        <v/>
      </c>
      <c r="E11912" s="30" t="inlineStr">
        <is>
          <t>GLOBALSTAR DO BRASIL LTDA</t>
        </is>
      </c>
      <c r="F11912" s="30" t="inlineStr">
        <is>
          <t>2021</t>
        </is>
      </c>
      <c r="G11912" s="40" t="n">
        <v>819.3</v>
      </c>
    </row>
    <row r="11913" ht="12" customHeight="1">
      <c r="A11913" s="30" t="inlineStr">
        <is>
          <t>POR</t>
        </is>
      </c>
      <c r="B11913" s="30" t="inlineStr">
        <is>
          <t>Porto Real</t>
        </is>
      </c>
      <c r="C11913" s="30" t="n">
        <v>86115220</v>
      </c>
      <c r="D11913" s="30">
        <f>"02231030000134"</f>
        <v/>
      </c>
      <c r="E11913" s="30" t="inlineStr">
        <is>
          <t>GLOBALSTAR DO BRASIL LTDA</t>
        </is>
      </c>
      <c r="F11913" s="30" t="inlineStr">
        <is>
          <t>2022</t>
        </is>
      </c>
      <c r="G11913" s="40" t="n">
        <v>599.4</v>
      </c>
    </row>
    <row r="11914" ht="12" customHeight="1">
      <c r="A11914" s="30" t="inlineStr">
        <is>
          <t>POR</t>
        </is>
      </c>
      <c r="B11914" s="30" t="inlineStr">
        <is>
          <t>Porto Real</t>
        </is>
      </c>
      <c r="C11914" s="30" t="n">
        <v>86115220</v>
      </c>
      <c r="D11914" s="30">
        <f>"02231030000134"</f>
        <v/>
      </c>
      <c r="E11914" s="30" t="inlineStr">
        <is>
          <t>GLOBALSTAR DO BRASIL LTDA</t>
        </is>
      </c>
      <c r="F11914" s="30" t="inlineStr">
        <is>
          <t>2023</t>
        </is>
      </c>
      <c r="G11914" s="40" t="n">
        <v>0</v>
      </c>
    </row>
    <row r="11915" ht="12" customHeight="1">
      <c r="A11915" s="30" t="inlineStr">
        <is>
          <t>POR</t>
        </is>
      </c>
      <c r="B11915" s="30" t="inlineStr">
        <is>
          <t>Porto Real</t>
        </is>
      </c>
      <c r="C11915" s="30" t="n">
        <v>86159910</v>
      </c>
      <c r="D11915" s="30">
        <f>"01878026000108"</f>
        <v/>
      </c>
      <c r="E11915" s="30" t="inlineStr">
        <is>
          <t>HAWAI-PORTO REAL TRANSPORTES LTDA</t>
        </is>
      </c>
      <c r="F11915" s="30" t="inlineStr">
        <is>
          <t>2017</t>
        </is>
      </c>
      <c r="G11915" s="40" t="n">
        <v>0</v>
      </c>
    </row>
    <row r="11916" ht="12" customHeight="1">
      <c r="A11916" s="30" t="inlineStr">
        <is>
          <t>POR</t>
        </is>
      </c>
      <c r="B11916" s="30" t="inlineStr">
        <is>
          <t>Porto Real</t>
        </is>
      </c>
      <c r="C11916" s="30" t="n">
        <v>86159910</v>
      </c>
      <c r="D11916" s="30">
        <f>"01878026000108"</f>
        <v/>
      </c>
      <c r="E11916" s="30" t="inlineStr">
        <is>
          <t>HAWAI-PORTO REAL TRANSPORTES LTDA</t>
        </is>
      </c>
      <c r="F11916" s="30" t="inlineStr">
        <is>
          <t>2018</t>
        </is>
      </c>
      <c r="G11916" s="40" t="n">
        <v>2676</v>
      </c>
    </row>
    <row r="11917" ht="12" customHeight="1">
      <c r="A11917" s="30" t="inlineStr">
        <is>
          <t>POR</t>
        </is>
      </c>
      <c r="B11917" s="30" t="inlineStr">
        <is>
          <t>Porto Real</t>
        </is>
      </c>
      <c r="C11917" s="30" t="n">
        <v>86159910</v>
      </c>
      <c r="D11917" s="30">
        <f>"01878026000108"</f>
        <v/>
      </c>
      <c r="E11917" s="30" t="inlineStr">
        <is>
          <t>HAWAI-PORTO REAL TRANSPORTES LTDA</t>
        </is>
      </c>
      <c r="F11917" s="30" t="inlineStr">
        <is>
          <t>2019</t>
        </is>
      </c>
      <c r="G11917" s="40" t="n">
        <v>20980</v>
      </c>
    </row>
    <row r="11918" ht="12" customHeight="1">
      <c r="A11918" s="30" t="inlineStr">
        <is>
          <t>POR</t>
        </is>
      </c>
      <c r="B11918" s="30" t="inlineStr">
        <is>
          <t>Porto Real</t>
        </is>
      </c>
      <c r="C11918" s="30" t="n">
        <v>86159910</v>
      </c>
      <c r="D11918" s="30">
        <f>"01878026000108"</f>
        <v/>
      </c>
      <c r="E11918" s="30" t="inlineStr">
        <is>
          <t>HAWAI-PORTO REAL TRANSPORTES LTDA</t>
        </is>
      </c>
      <c r="F11918" s="30" t="inlineStr">
        <is>
          <t>2020</t>
        </is>
      </c>
      <c r="G11918" s="40" t="n">
        <v>37335</v>
      </c>
    </row>
    <row r="11919" ht="12" customHeight="1">
      <c r="A11919" s="30" t="inlineStr">
        <is>
          <t>POR</t>
        </is>
      </c>
      <c r="B11919" s="30" t="inlineStr">
        <is>
          <t>Porto Real</t>
        </is>
      </c>
      <c r="C11919" s="30" t="n">
        <v>86159910</v>
      </c>
      <c r="D11919" s="30">
        <f>"01878026000108"</f>
        <v/>
      </c>
      <c r="E11919" s="30" t="inlineStr">
        <is>
          <t>HAWAI-PORTO REAL TRANSPORTES LTDA</t>
        </is>
      </c>
      <c r="F11919" s="30" t="inlineStr">
        <is>
          <t>2021</t>
        </is>
      </c>
      <c r="G11919" s="40" t="n">
        <v>2101340.97</v>
      </c>
    </row>
    <row r="11920" ht="12" customHeight="1">
      <c r="A11920" s="30" t="inlineStr">
        <is>
          <t>POR</t>
        </is>
      </c>
      <c r="B11920" s="30" t="inlineStr">
        <is>
          <t>Porto Real</t>
        </is>
      </c>
      <c r="C11920" s="30" t="n">
        <v>86159910</v>
      </c>
      <c r="D11920" s="30">
        <f>"01878026000108"</f>
        <v/>
      </c>
      <c r="E11920" s="30" t="inlineStr">
        <is>
          <t>HAWAI-PORTO REAL TRANSPORTES LTDA</t>
        </is>
      </c>
      <c r="F11920" s="30" t="inlineStr">
        <is>
          <t>2022</t>
        </is>
      </c>
      <c r="G11920" s="40" t="n">
        <v>2101340.97</v>
      </c>
    </row>
    <row r="11921" ht="12" customHeight="1">
      <c r="A11921" s="30" t="inlineStr">
        <is>
          <t>POR</t>
        </is>
      </c>
      <c r="B11921" s="30" t="inlineStr">
        <is>
          <t>Porto Real</t>
        </is>
      </c>
      <c r="C11921" s="30" t="n">
        <v>86159910</v>
      </c>
      <c r="D11921" s="30">
        <f>"01878026000108"</f>
        <v/>
      </c>
      <c r="E11921" s="30" t="inlineStr">
        <is>
          <t>HAWAI-PORTO REAL TRANSPORTES LTDA</t>
        </is>
      </c>
      <c r="F11921" s="30" t="inlineStr">
        <is>
          <t>2023</t>
        </is>
      </c>
      <c r="G11921" s="40" t="n">
        <v>84713</v>
      </c>
    </row>
    <row r="11922" ht="12" customHeight="1">
      <c r="A11922" s="30" t="inlineStr">
        <is>
          <t>POR</t>
        </is>
      </c>
      <c r="B11922" s="30" t="inlineStr">
        <is>
          <t>Porto Real</t>
        </is>
      </c>
      <c r="C11922" s="30" t="n">
        <v>86160919</v>
      </c>
      <c r="D11922" s="30">
        <f>"01682917000186"</f>
        <v/>
      </c>
      <c r="E11922" s="30" t="inlineStr">
        <is>
          <t>COUTRANS TRANSPORTES E SERVICOS LTDA</t>
        </is>
      </c>
      <c r="F11922" s="30" t="inlineStr">
        <is>
          <t>2017</t>
        </is>
      </c>
      <c r="G11922" s="40" t="n">
        <v>3100</v>
      </c>
    </row>
    <row r="11923" ht="12" customHeight="1">
      <c r="A11923" s="30" t="inlineStr">
        <is>
          <t>POR</t>
        </is>
      </c>
      <c r="B11923" s="30" t="inlineStr">
        <is>
          <t>Porto Real</t>
        </is>
      </c>
      <c r="C11923" s="30" t="n">
        <v>86160919</v>
      </c>
      <c r="D11923" s="30">
        <f>"01682917000186"</f>
        <v/>
      </c>
      <c r="E11923" s="30" t="inlineStr">
        <is>
          <t>COUTRANS TRANSPORTES E SERVICOS LTDA</t>
        </is>
      </c>
      <c r="F11923" s="30" t="inlineStr">
        <is>
          <t>2018</t>
        </is>
      </c>
      <c r="G11923" s="40" t="n">
        <v>2700</v>
      </c>
    </row>
    <row r="11924" ht="12" customHeight="1">
      <c r="A11924" s="30" t="inlineStr">
        <is>
          <t>POR</t>
        </is>
      </c>
      <c r="B11924" s="30" t="inlineStr">
        <is>
          <t>Porto Real</t>
        </is>
      </c>
      <c r="C11924" s="30" t="n">
        <v>86160919</v>
      </c>
      <c r="D11924" s="30">
        <f>"01682917000186"</f>
        <v/>
      </c>
      <c r="E11924" s="30" t="inlineStr">
        <is>
          <t>COUTRANS TRANSPORTES E SERVICOS LTDA</t>
        </is>
      </c>
      <c r="F11924" s="30" t="inlineStr">
        <is>
          <t>2019</t>
        </is>
      </c>
      <c r="G11924" s="40" t="n">
        <v>78060.82000000001</v>
      </c>
    </row>
    <row r="11925" ht="12" customHeight="1">
      <c r="A11925" s="30" t="inlineStr">
        <is>
          <t>POR</t>
        </is>
      </c>
      <c r="B11925" s="30" t="inlineStr">
        <is>
          <t>Porto Real</t>
        </is>
      </c>
      <c r="C11925" s="30" t="n">
        <v>86160919</v>
      </c>
      <c r="D11925" s="30">
        <f>"01682917000186"</f>
        <v/>
      </c>
      <c r="E11925" s="30" t="inlineStr">
        <is>
          <t>COUTRANS TRANSPORTES E SERVICOS LTDA</t>
        </is>
      </c>
      <c r="F11925" s="30" t="inlineStr">
        <is>
          <t>2020</t>
        </is>
      </c>
      <c r="G11925" s="40" t="n">
        <v>146664.6</v>
      </c>
    </row>
    <row r="11926" ht="12" customHeight="1">
      <c r="A11926" s="30" t="inlineStr">
        <is>
          <t>POR</t>
        </is>
      </c>
      <c r="B11926" s="30" t="inlineStr">
        <is>
          <t>Porto Real</t>
        </is>
      </c>
      <c r="C11926" s="30" t="n">
        <v>86160919</v>
      </c>
      <c r="D11926" s="30">
        <f>"01682917000186"</f>
        <v/>
      </c>
      <c r="E11926" s="30" t="inlineStr">
        <is>
          <t>COUTRANS TRANSPORTES E SERVICOS LTDA</t>
        </is>
      </c>
      <c r="F11926" s="30" t="inlineStr">
        <is>
          <t>2021</t>
        </is>
      </c>
      <c r="G11926" s="40" t="n">
        <v>102212.66</v>
      </c>
    </row>
    <row r="11927" ht="12" customHeight="1">
      <c r="A11927" s="30" t="inlineStr">
        <is>
          <t>POR</t>
        </is>
      </c>
      <c r="B11927" s="30" t="inlineStr">
        <is>
          <t>Porto Real</t>
        </is>
      </c>
      <c r="C11927" s="30" t="n">
        <v>86160919</v>
      </c>
      <c r="D11927" s="30">
        <f>"01682917000186"</f>
        <v/>
      </c>
      <c r="E11927" s="30" t="inlineStr">
        <is>
          <t>COUTRANS TRANSPORTES E SERVICOS LTDA</t>
        </is>
      </c>
      <c r="F11927" s="30" t="inlineStr">
        <is>
          <t>2022</t>
        </is>
      </c>
      <c r="G11927" s="40" t="n">
        <v>105558.66</v>
      </c>
    </row>
    <row r="11928" ht="12" customHeight="1">
      <c r="A11928" s="30" t="inlineStr">
        <is>
          <t>POR</t>
        </is>
      </c>
      <c r="B11928" s="30" t="inlineStr">
        <is>
          <t>Porto Real</t>
        </is>
      </c>
      <c r="C11928" s="30" t="n">
        <v>86160919</v>
      </c>
      <c r="D11928" s="30">
        <f>"01682917000186"</f>
        <v/>
      </c>
      <c r="E11928" s="30" t="inlineStr">
        <is>
          <t>COUTRANS TRANSPORTES E SERVICOS LTDA</t>
        </is>
      </c>
      <c r="F11928" s="30" t="inlineStr">
        <is>
          <t>2023</t>
        </is>
      </c>
      <c r="G11928" s="40" t="n">
        <v>119697.98</v>
      </c>
    </row>
    <row r="11929" ht="12" customHeight="1">
      <c r="A11929" s="30" t="inlineStr">
        <is>
          <t>POR</t>
        </is>
      </c>
      <c r="B11929" s="30" t="inlineStr">
        <is>
          <t>Porto Real</t>
        </is>
      </c>
      <c r="C11929" s="30" t="n">
        <v>86203588</v>
      </c>
      <c r="D11929" s="30">
        <f>"02173234000166"</f>
        <v/>
      </c>
      <c r="E11929" s="30" t="inlineStr">
        <is>
          <t>AN DE AMORIM MERCEARIA LTDA ME</t>
        </is>
      </c>
      <c r="F11929" s="30" t="inlineStr">
        <is>
          <t>2017</t>
        </is>
      </c>
      <c r="G11929" s="40" t="n">
        <v>0</v>
      </c>
    </row>
    <row r="11930" ht="12" customHeight="1">
      <c r="A11930" s="30" t="inlineStr">
        <is>
          <t>POR</t>
        </is>
      </c>
      <c r="B11930" s="30" t="inlineStr">
        <is>
          <t>Porto Real</t>
        </is>
      </c>
      <c r="C11930" s="30" t="n">
        <v>86203588</v>
      </c>
      <c r="D11930" s="30">
        <f>"02173234000166"</f>
        <v/>
      </c>
      <c r="E11930" s="30" t="inlineStr">
        <is>
          <t>AN DE AMORIM MERCEARIA LTDA ME</t>
        </is>
      </c>
      <c r="F11930" s="30" t="inlineStr">
        <is>
          <t>2018</t>
        </is>
      </c>
      <c r="G11930" s="40" t="n">
        <v>0</v>
      </c>
    </row>
    <row r="11931" ht="12" customHeight="1">
      <c r="A11931" s="30" t="inlineStr">
        <is>
          <t>POR</t>
        </is>
      </c>
      <c r="B11931" s="30" t="inlineStr">
        <is>
          <t>Porto Real</t>
        </is>
      </c>
      <c r="C11931" s="30" t="n">
        <v>86203588</v>
      </c>
      <c r="D11931" s="30">
        <f>"02173234000166"</f>
        <v/>
      </c>
      <c r="E11931" s="30" t="inlineStr">
        <is>
          <t>AN DE AMORIM MERCEARIA LTDA ME</t>
        </is>
      </c>
      <c r="F11931" s="30" t="inlineStr">
        <is>
          <t>2019</t>
        </is>
      </c>
      <c r="G11931" s="40" t="n">
        <v>0</v>
      </c>
    </row>
    <row r="11932" ht="12" customHeight="1">
      <c r="A11932" s="30" t="inlineStr">
        <is>
          <t>POR</t>
        </is>
      </c>
      <c r="B11932" s="30" t="inlineStr">
        <is>
          <t>Porto Real</t>
        </is>
      </c>
      <c r="C11932" s="30" t="n">
        <v>86203588</v>
      </c>
      <c r="D11932" s="30">
        <f>"02173234000166"</f>
        <v/>
      </c>
      <c r="E11932" s="30" t="inlineStr">
        <is>
          <t>AN DE AMORIM MERCEARIA LTDA ME</t>
        </is>
      </c>
      <c r="F11932" s="30" t="inlineStr">
        <is>
          <t>2020</t>
        </is>
      </c>
      <c r="G11932" s="40" t="n">
        <v>0</v>
      </c>
    </row>
    <row r="11933" ht="12" customHeight="1">
      <c r="A11933" s="30" t="inlineStr">
        <is>
          <t>POR</t>
        </is>
      </c>
      <c r="B11933" s="30" t="inlineStr">
        <is>
          <t>Porto Real</t>
        </is>
      </c>
      <c r="C11933" s="30" t="n">
        <v>86203588</v>
      </c>
      <c r="D11933" s="30">
        <f>"02173234000166"</f>
        <v/>
      </c>
      <c r="E11933" s="30" t="inlineStr">
        <is>
          <t>AN DE AMORIM MERCEARIA LTDA ME</t>
        </is>
      </c>
      <c r="F11933" s="30" t="inlineStr">
        <is>
          <t>2021</t>
        </is>
      </c>
      <c r="G11933" s="40" t="n">
        <v>0</v>
      </c>
    </row>
    <row r="11934" ht="12" customHeight="1">
      <c r="A11934" s="30" t="inlineStr">
        <is>
          <t>POR</t>
        </is>
      </c>
      <c r="B11934" s="30" t="inlineStr">
        <is>
          <t>Porto Real</t>
        </is>
      </c>
      <c r="C11934" s="30" t="n">
        <v>86233703</v>
      </c>
      <c r="D11934" s="30">
        <f>"02357033000119"</f>
        <v/>
      </c>
      <c r="E11934" s="30" t="inlineStr">
        <is>
          <t>QUICKNET TELECOM LTDA EPP</t>
        </is>
      </c>
      <c r="F11934" s="30" t="inlineStr">
        <is>
          <t>2021</t>
        </is>
      </c>
      <c r="G11934" s="40" t="n">
        <v>0</v>
      </c>
    </row>
    <row r="11935" ht="12" customHeight="1">
      <c r="A11935" s="30" t="inlineStr">
        <is>
          <t>POR</t>
        </is>
      </c>
      <c r="B11935" s="30" t="inlineStr">
        <is>
          <t>Porto Real</t>
        </is>
      </c>
      <c r="C11935" s="30" t="n">
        <v>86233703</v>
      </c>
      <c r="D11935" s="30">
        <f>"02357033000119"</f>
        <v/>
      </c>
      <c r="E11935" s="30" t="inlineStr">
        <is>
          <t>QUICKNET TELECOM LTDA EPP</t>
        </is>
      </c>
      <c r="F11935" s="30" t="inlineStr">
        <is>
          <t>2022</t>
        </is>
      </c>
      <c r="G11935" s="40" t="n">
        <v>0</v>
      </c>
    </row>
    <row r="11936" ht="12" customHeight="1">
      <c r="A11936" s="30" t="inlineStr">
        <is>
          <t>POR</t>
        </is>
      </c>
      <c r="B11936" s="30" t="inlineStr">
        <is>
          <t>Porto Real</t>
        </is>
      </c>
      <c r="C11936" s="30" t="n">
        <v>86233703</v>
      </c>
      <c r="D11936" s="30">
        <f>"02357033000119"</f>
        <v/>
      </c>
      <c r="E11936" s="30" t="inlineStr">
        <is>
          <t>QUICKNET TELECOM LTDA EPP</t>
        </is>
      </c>
      <c r="F11936" s="30" t="inlineStr">
        <is>
          <t>2023</t>
        </is>
      </c>
      <c r="G11936" s="40" t="n">
        <v>1188804.83</v>
      </c>
    </row>
    <row r="11937" ht="12" customHeight="1">
      <c r="A11937" s="30" t="inlineStr">
        <is>
          <t>POR</t>
        </is>
      </c>
      <c r="B11937" s="30" t="inlineStr">
        <is>
          <t>Porto Real</t>
        </is>
      </c>
      <c r="C11937" s="30" t="n">
        <v>86273004</v>
      </c>
      <c r="D11937" s="30">
        <f>"03113442000132"</f>
        <v/>
      </c>
      <c r="E11937" s="30" t="inlineStr">
        <is>
          <t>AGMSBS TRANSPORTES LTDA</t>
        </is>
      </c>
      <c r="F11937" s="30" t="inlineStr">
        <is>
          <t>2017</t>
        </is>
      </c>
      <c r="G11937" s="40" t="n">
        <v>0</v>
      </c>
    </row>
    <row r="11938" ht="12" customHeight="1">
      <c r="A11938" s="30" t="inlineStr">
        <is>
          <t>POR</t>
        </is>
      </c>
      <c r="B11938" s="30" t="inlineStr">
        <is>
          <t>Porto Real</t>
        </is>
      </c>
      <c r="C11938" s="30" t="n">
        <v>86273004</v>
      </c>
      <c r="D11938" s="30">
        <f>"03113442000132"</f>
        <v/>
      </c>
      <c r="E11938" s="30" t="inlineStr">
        <is>
          <t>AGMSBS TRANSPORTES LTDA</t>
        </is>
      </c>
      <c r="F11938" s="30" t="inlineStr">
        <is>
          <t>2018</t>
        </is>
      </c>
      <c r="G11938" s="40" t="n">
        <v>0</v>
      </c>
    </row>
    <row r="11939" ht="12" customHeight="1">
      <c r="A11939" s="30" t="inlineStr">
        <is>
          <t>POR</t>
        </is>
      </c>
      <c r="B11939" s="30" t="inlineStr">
        <is>
          <t>Porto Real</t>
        </is>
      </c>
      <c r="C11939" s="30" t="n">
        <v>86273004</v>
      </c>
      <c r="D11939" s="30">
        <f>"03113442000132"</f>
        <v/>
      </c>
      <c r="E11939" s="30" t="inlineStr">
        <is>
          <t>AGMSBS TRANSPORTES LTDA</t>
        </is>
      </c>
      <c r="F11939" s="30" t="inlineStr">
        <is>
          <t>2019</t>
        </is>
      </c>
      <c r="G11939" s="40" t="n">
        <v>718.8099999999999</v>
      </c>
    </row>
    <row r="11940" ht="12" customHeight="1">
      <c r="A11940" s="30" t="inlineStr">
        <is>
          <t>POR</t>
        </is>
      </c>
      <c r="B11940" s="30" t="inlineStr">
        <is>
          <t>Porto Real</t>
        </is>
      </c>
      <c r="C11940" s="30" t="n">
        <v>86273004</v>
      </c>
      <c r="D11940" s="30">
        <f>"03113442000132"</f>
        <v/>
      </c>
      <c r="E11940" s="30" t="inlineStr">
        <is>
          <t>AGMSBS TRANSPORTES LTDA</t>
        </is>
      </c>
      <c r="F11940" s="30" t="inlineStr">
        <is>
          <t>2020</t>
        </is>
      </c>
      <c r="G11940" s="40" t="n">
        <v>0</v>
      </c>
    </row>
    <row r="11941" ht="12" customHeight="1">
      <c r="A11941" s="30" t="inlineStr">
        <is>
          <t>POR</t>
        </is>
      </c>
      <c r="B11941" s="30" t="inlineStr">
        <is>
          <t>Porto Real</t>
        </is>
      </c>
      <c r="C11941" s="30" t="n">
        <v>86273004</v>
      </c>
      <c r="D11941" s="30">
        <f>"03113442000132"</f>
        <v/>
      </c>
      <c r="E11941" s="30" t="inlineStr">
        <is>
          <t>AGMSBS TRANSPORTES LTDA</t>
        </is>
      </c>
      <c r="F11941" s="30" t="inlineStr">
        <is>
          <t>2021</t>
        </is>
      </c>
      <c r="G11941" s="40" t="n">
        <v>0</v>
      </c>
    </row>
    <row r="11942" ht="12" customHeight="1">
      <c r="A11942" s="30" t="inlineStr">
        <is>
          <t>POR</t>
        </is>
      </c>
      <c r="B11942" s="30" t="inlineStr">
        <is>
          <t>Porto Real</t>
        </is>
      </c>
      <c r="C11942" s="30" t="n">
        <v>86288125</v>
      </c>
      <c r="D11942" s="30">
        <f>"02042295000194"</f>
        <v/>
      </c>
      <c r="E11942" s="30" t="inlineStr">
        <is>
          <t>TRANS POLLI PORTO REAL TRANSPORTES LTDA</t>
        </is>
      </c>
      <c r="F11942" s="30" t="inlineStr">
        <is>
          <t>2017</t>
        </is>
      </c>
      <c r="G11942" s="40" t="n">
        <v>0</v>
      </c>
    </row>
    <row r="11943" ht="12" customHeight="1">
      <c r="A11943" s="30" t="inlineStr">
        <is>
          <t>POR</t>
        </is>
      </c>
      <c r="B11943" s="30" t="inlineStr">
        <is>
          <t>Porto Real</t>
        </is>
      </c>
      <c r="C11943" s="30" t="n">
        <v>86288125</v>
      </c>
      <c r="D11943" s="30">
        <f>"02042295000194"</f>
        <v/>
      </c>
      <c r="E11943" s="30" t="inlineStr">
        <is>
          <t>TRANS POLLI PORTO REAL TRANSPORTES LTDA</t>
        </is>
      </c>
      <c r="F11943" s="30" t="inlineStr">
        <is>
          <t>2018</t>
        </is>
      </c>
      <c r="G11943" s="40" t="n">
        <v>5720</v>
      </c>
    </row>
    <row r="11944" ht="12" customHeight="1">
      <c r="A11944" s="30" t="inlineStr">
        <is>
          <t>POR</t>
        </is>
      </c>
      <c r="B11944" s="30" t="inlineStr">
        <is>
          <t>Porto Real</t>
        </is>
      </c>
      <c r="C11944" s="30" t="n">
        <v>86288125</v>
      </c>
      <c r="D11944" s="30">
        <f>"02042295000194"</f>
        <v/>
      </c>
      <c r="E11944" s="30" t="inlineStr">
        <is>
          <t>TRANS POLLI PORTO REAL TRANSPORTES LTDA</t>
        </is>
      </c>
      <c r="F11944" s="30" t="inlineStr">
        <is>
          <t>2019</t>
        </is>
      </c>
      <c r="G11944" s="40" t="n">
        <v>8990</v>
      </c>
    </row>
    <row r="11945" ht="12" customHeight="1">
      <c r="A11945" s="30" t="inlineStr">
        <is>
          <t>POR</t>
        </is>
      </c>
      <c r="B11945" s="30" t="inlineStr">
        <is>
          <t>Porto Real</t>
        </is>
      </c>
      <c r="C11945" s="30" t="n">
        <v>86288125</v>
      </c>
      <c r="D11945" s="30">
        <f>"02042295000194"</f>
        <v/>
      </c>
      <c r="E11945" s="30" t="inlineStr">
        <is>
          <t>TRANS POLLI PORTO REAL TRANSPORTES LTDA</t>
        </is>
      </c>
      <c r="F11945" s="30" t="inlineStr">
        <is>
          <t>2020</t>
        </is>
      </c>
      <c r="G11945" s="40" t="n">
        <v>0</v>
      </c>
    </row>
    <row r="11946" ht="12" customHeight="1">
      <c r="A11946" s="30" t="inlineStr">
        <is>
          <t>POR</t>
        </is>
      </c>
      <c r="B11946" s="30" t="inlineStr">
        <is>
          <t>Porto Real</t>
        </is>
      </c>
      <c r="C11946" s="30" t="n">
        <v>86288125</v>
      </c>
      <c r="D11946" s="30">
        <f>"02042295000194"</f>
        <v/>
      </c>
      <c r="E11946" s="30" t="inlineStr">
        <is>
          <t>TRANS POLLI PORTO REAL TRANSPORTES LTDA</t>
        </is>
      </c>
      <c r="F11946" s="30" t="inlineStr">
        <is>
          <t>2021</t>
        </is>
      </c>
      <c r="G11946" s="40" t="n">
        <v>30</v>
      </c>
    </row>
    <row r="11947" ht="12" customHeight="1">
      <c r="A11947" s="30" t="inlineStr">
        <is>
          <t>POR</t>
        </is>
      </c>
      <c r="B11947" s="30" t="inlineStr">
        <is>
          <t>Porto Real</t>
        </is>
      </c>
      <c r="C11947" s="30" t="n">
        <v>86288125</v>
      </c>
      <c r="D11947" s="30">
        <f>"02042295000194"</f>
        <v/>
      </c>
      <c r="E11947" s="30" t="inlineStr">
        <is>
          <t>TRANS POLLI PORTO REAL TRANSPORTES LTDA</t>
        </is>
      </c>
      <c r="F11947" s="30" t="inlineStr">
        <is>
          <t>2022</t>
        </is>
      </c>
      <c r="G11947" s="40" t="n">
        <v>124390.64</v>
      </c>
    </row>
    <row r="11948" ht="12" customHeight="1">
      <c r="A11948" s="30" t="inlineStr">
        <is>
          <t>POR</t>
        </is>
      </c>
      <c r="B11948" s="30" t="inlineStr">
        <is>
          <t>Porto Real</t>
        </is>
      </c>
      <c r="C11948" s="30" t="n">
        <v>86288125</v>
      </c>
      <c r="D11948" s="30">
        <f>"02042295000194"</f>
        <v/>
      </c>
      <c r="E11948" s="30" t="inlineStr">
        <is>
          <t>TRANS POLLI PORTO REAL TRANSPORTES LTDA</t>
        </is>
      </c>
      <c r="F11948" s="30" t="inlineStr">
        <is>
          <t>2023</t>
        </is>
      </c>
      <c r="G11948" s="40" t="n">
        <v>841845.46</v>
      </c>
    </row>
    <row r="11949" ht="12" customHeight="1">
      <c r="A11949" s="30" t="inlineStr">
        <is>
          <t>POR</t>
        </is>
      </c>
      <c r="B11949" s="30" t="inlineStr">
        <is>
          <t>Porto Real</t>
        </is>
      </c>
      <c r="C11949" s="30" t="n">
        <v>86288796</v>
      </c>
      <c r="D11949" s="30">
        <f>"01679681000200"</f>
        <v/>
      </c>
      <c r="E11949" s="30" t="inlineStr">
        <is>
          <t>HAMBURGO CARGAS LTDA</t>
        </is>
      </c>
      <c r="F11949" s="30" t="inlineStr">
        <is>
          <t>2017</t>
        </is>
      </c>
      <c r="G11949" s="40" t="n">
        <v>71.56</v>
      </c>
    </row>
    <row r="11950" ht="12" customHeight="1">
      <c r="A11950" s="30" t="inlineStr">
        <is>
          <t>POR</t>
        </is>
      </c>
      <c r="B11950" s="30" t="inlineStr">
        <is>
          <t>Porto Real</t>
        </is>
      </c>
      <c r="C11950" s="30" t="n">
        <v>86288796</v>
      </c>
      <c r="D11950" s="30">
        <f>"01679681000200"</f>
        <v/>
      </c>
      <c r="E11950" s="30" t="inlineStr">
        <is>
          <t>HAMBURGO CARGAS LTDA</t>
        </is>
      </c>
      <c r="F11950" s="30" t="inlineStr">
        <is>
          <t>2018</t>
        </is>
      </c>
      <c r="G11950" s="40" t="n">
        <v>0</v>
      </c>
    </row>
    <row r="11951" ht="12" customHeight="1">
      <c r="A11951" s="30" t="inlineStr">
        <is>
          <t>POR</t>
        </is>
      </c>
      <c r="B11951" s="30" t="inlineStr">
        <is>
          <t>Porto Real</t>
        </is>
      </c>
      <c r="C11951" s="30" t="n">
        <v>86288796</v>
      </c>
      <c r="D11951" s="30">
        <f>"01679681000200"</f>
        <v/>
      </c>
      <c r="E11951" s="30" t="inlineStr">
        <is>
          <t>HAMBURGO CARGAS LTDA</t>
        </is>
      </c>
      <c r="F11951" s="30" t="inlineStr">
        <is>
          <t>2019</t>
        </is>
      </c>
      <c r="G11951" s="40" t="n">
        <v>0</v>
      </c>
    </row>
    <row r="11952" ht="12" customHeight="1">
      <c r="A11952" s="30" t="inlineStr">
        <is>
          <t>POR</t>
        </is>
      </c>
      <c r="B11952" s="30" t="inlineStr">
        <is>
          <t>Porto Real</t>
        </is>
      </c>
      <c r="C11952" s="30" t="n">
        <v>86288796</v>
      </c>
      <c r="D11952" s="30">
        <f>"01679681000200"</f>
        <v/>
      </c>
      <c r="E11952" s="30" t="inlineStr">
        <is>
          <t>HAMBURGO CARGAS LTDA</t>
        </is>
      </c>
      <c r="F11952" s="30" t="inlineStr">
        <is>
          <t>2020</t>
        </is>
      </c>
      <c r="G11952" s="40" t="n">
        <v>0</v>
      </c>
    </row>
    <row r="11953" ht="12" customHeight="1">
      <c r="A11953" s="30" t="inlineStr">
        <is>
          <t>POR</t>
        </is>
      </c>
      <c r="B11953" s="30" t="inlineStr">
        <is>
          <t>Porto Real</t>
        </is>
      </c>
      <c r="C11953" s="30" t="n">
        <v>86288796</v>
      </c>
      <c r="D11953" s="30">
        <f>"01679681000200"</f>
        <v/>
      </c>
      <c r="E11953" s="30" t="inlineStr">
        <is>
          <t>HAMBURGO CARGAS LTDA</t>
        </is>
      </c>
      <c r="F11953" s="30" t="inlineStr">
        <is>
          <t>2021</t>
        </is>
      </c>
      <c r="G11953" s="40" t="n">
        <v>0</v>
      </c>
    </row>
    <row r="11954" ht="12" customHeight="1">
      <c r="A11954" s="30" t="inlineStr">
        <is>
          <t>POR</t>
        </is>
      </c>
      <c r="B11954" s="30" t="inlineStr">
        <is>
          <t>Porto Real</t>
        </is>
      </c>
      <c r="C11954" s="30" t="n">
        <v>86288796</v>
      </c>
      <c r="D11954" s="30">
        <f>"01679681000200"</f>
        <v/>
      </c>
      <c r="E11954" s="30" t="inlineStr">
        <is>
          <t>HAMBURGO CARGAS LTDA</t>
        </is>
      </c>
      <c r="F11954" s="30" t="inlineStr">
        <is>
          <t>2022</t>
        </is>
      </c>
      <c r="G11954" s="40" t="n">
        <v>366.88</v>
      </c>
    </row>
    <row r="11955" ht="12" customHeight="1">
      <c r="A11955" s="30" t="inlineStr">
        <is>
          <t>POR</t>
        </is>
      </c>
      <c r="B11955" s="30" t="inlineStr">
        <is>
          <t>Porto Real</t>
        </is>
      </c>
      <c r="C11955" s="30" t="n">
        <v>86288796</v>
      </c>
      <c r="D11955" s="30">
        <f>"01679681000200"</f>
        <v/>
      </c>
      <c r="E11955" s="30" t="inlineStr">
        <is>
          <t>HAMBURGO CARGAS LTDA</t>
        </is>
      </c>
      <c r="F11955" s="30" t="inlineStr">
        <is>
          <t>2023</t>
        </is>
      </c>
      <c r="G11955" s="40" t="n">
        <v>88.39</v>
      </c>
    </row>
    <row r="11956" ht="12" customHeight="1">
      <c r="A11956" s="30" t="inlineStr">
        <is>
          <t>POR</t>
        </is>
      </c>
      <c r="B11956" s="30" t="inlineStr">
        <is>
          <t>Porto Real</t>
        </is>
      </c>
      <c r="C11956" s="30" t="n">
        <v>86289784</v>
      </c>
      <c r="D11956" s="30">
        <f>"95591723009507"</f>
        <v/>
      </c>
      <c r="E11956" s="30" t="inlineStr">
        <is>
          <t>TNT MERCURIO CARGAS E ENCOMENDAS EXPRESSAS LTDA</t>
        </is>
      </c>
      <c r="F11956" s="30" t="inlineStr">
        <is>
          <t>2017</t>
        </is>
      </c>
      <c r="G11956" s="40" t="n">
        <v>15566.56</v>
      </c>
    </row>
    <row r="11957" ht="12" customHeight="1">
      <c r="A11957" s="30" t="inlineStr">
        <is>
          <t>POR</t>
        </is>
      </c>
      <c r="B11957" s="30" t="inlineStr">
        <is>
          <t>Porto Real</t>
        </is>
      </c>
      <c r="C11957" s="30" t="n">
        <v>86289784</v>
      </c>
      <c r="D11957" s="30">
        <f>"95591723009507"</f>
        <v/>
      </c>
      <c r="E11957" s="30" t="inlineStr">
        <is>
          <t>TNT MERCURIO CARGAS E ENCOMENDAS EXPRESSAS LTDA</t>
        </is>
      </c>
      <c r="F11957" s="30" t="inlineStr">
        <is>
          <t>2018</t>
        </is>
      </c>
      <c r="G11957" s="40" t="n">
        <v>9712.389999999999</v>
      </c>
    </row>
    <row r="11958" ht="12" customHeight="1">
      <c r="A11958" s="30" t="inlineStr">
        <is>
          <t>POR</t>
        </is>
      </c>
      <c r="B11958" s="30" t="inlineStr">
        <is>
          <t>Porto Real</t>
        </is>
      </c>
      <c r="C11958" s="30" t="n">
        <v>86289784</v>
      </c>
      <c r="D11958" s="30">
        <f>"95591723009507"</f>
        <v/>
      </c>
      <c r="E11958" s="30" t="inlineStr">
        <is>
          <t>TNT MERCURIO CARGAS E ENCOMENDAS EXPRESSAS LTDA</t>
        </is>
      </c>
      <c r="F11958" s="30" t="inlineStr">
        <is>
          <t>2019</t>
        </is>
      </c>
      <c r="G11958" s="40" t="n">
        <v>11793.75</v>
      </c>
    </row>
    <row r="11959" ht="12" customHeight="1">
      <c r="A11959" s="30" t="inlineStr">
        <is>
          <t>POR</t>
        </is>
      </c>
      <c r="B11959" s="30" t="inlineStr">
        <is>
          <t>Porto Real</t>
        </is>
      </c>
      <c r="C11959" s="30" t="n">
        <v>86289784</v>
      </c>
      <c r="D11959" s="30">
        <f>"95591723009507"</f>
        <v/>
      </c>
      <c r="E11959" s="30" t="inlineStr">
        <is>
          <t>TNT MERCURIO CARGAS E ENCOMENDAS EXPRESSAS LTDA</t>
        </is>
      </c>
      <c r="F11959" s="30" t="inlineStr">
        <is>
          <t>2020</t>
        </is>
      </c>
      <c r="G11959" s="40" t="n">
        <v>15581.27</v>
      </c>
    </row>
    <row r="11960" ht="12" customHeight="1">
      <c r="A11960" s="30" t="inlineStr">
        <is>
          <t>POR</t>
        </is>
      </c>
      <c r="B11960" s="30" t="inlineStr">
        <is>
          <t>Porto Real</t>
        </is>
      </c>
      <c r="C11960" s="30" t="n">
        <v>86289784</v>
      </c>
      <c r="D11960" s="30">
        <f>"95591723009507"</f>
        <v/>
      </c>
      <c r="E11960" s="30" t="inlineStr">
        <is>
          <t>TNT MERCURIO CARGAS E ENCOMENDAS EXPRESSAS LTDA</t>
        </is>
      </c>
      <c r="F11960" s="30" t="inlineStr">
        <is>
          <t>2021</t>
        </is>
      </c>
      <c r="G11960" s="40" t="n">
        <v>12249.03</v>
      </c>
    </row>
    <row r="11961" ht="12" customHeight="1">
      <c r="A11961" s="30" t="inlineStr">
        <is>
          <t>POR</t>
        </is>
      </c>
      <c r="B11961" s="30" t="inlineStr">
        <is>
          <t>Porto Real</t>
        </is>
      </c>
      <c r="C11961" s="30" t="n">
        <v>86289784</v>
      </c>
      <c r="D11961" s="30">
        <f>"95591723009507"</f>
        <v/>
      </c>
      <c r="E11961" s="30" t="inlineStr">
        <is>
          <t>TNT MERCURIO CARGAS E ENCOMENDAS EXPRESSAS LTDA</t>
        </is>
      </c>
      <c r="F11961" s="30" t="inlineStr">
        <is>
          <t>2022</t>
        </is>
      </c>
      <c r="G11961" s="40" t="n">
        <v>7151.19</v>
      </c>
    </row>
    <row r="11962" ht="12" customHeight="1">
      <c r="A11962" s="30" t="inlineStr">
        <is>
          <t>POR</t>
        </is>
      </c>
      <c r="B11962" s="30" t="inlineStr">
        <is>
          <t>Porto Real</t>
        </is>
      </c>
      <c r="C11962" s="30" t="n">
        <v>86289784</v>
      </c>
      <c r="D11962" s="30">
        <f>"95591723009507"</f>
        <v/>
      </c>
      <c r="E11962" s="30" t="inlineStr">
        <is>
          <t>TNT MERCURIO CARGAS E ENCOMENDAS EXPRESSAS LTDA</t>
        </is>
      </c>
      <c r="F11962" s="30" t="inlineStr">
        <is>
          <t>2023</t>
        </is>
      </c>
      <c r="G11962" s="40" t="n">
        <v>87.20999999999999</v>
      </c>
    </row>
    <row r="11963" ht="12" customHeight="1">
      <c r="A11963" s="30" t="inlineStr">
        <is>
          <t>POR</t>
        </is>
      </c>
      <c r="B11963" s="30" t="inlineStr">
        <is>
          <t>Porto Real</t>
        </is>
      </c>
      <c r="C11963" s="30" t="n">
        <v>86289989</v>
      </c>
      <c r="D11963" s="30">
        <f>"01703312000205"</f>
        <v/>
      </c>
      <c r="E11963" s="30" t="inlineStr">
        <is>
          <t>ABC CARGAS LTDA</t>
        </is>
      </c>
      <c r="F11963" s="30" t="inlineStr">
        <is>
          <t>2017</t>
        </is>
      </c>
      <c r="G11963" s="40" t="n">
        <v>2591488.66</v>
      </c>
    </row>
    <row r="11964" ht="12" customHeight="1">
      <c r="A11964" s="30" t="inlineStr">
        <is>
          <t>POR</t>
        </is>
      </c>
      <c r="B11964" s="30" t="inlineStr">
        <is>
          <t>Porto Real</t>
        </is>
      </c>
      <c r="C11964" s="30" t="n">
        <v>86289989</v>
      </c>
      <c r="D11964" s="30">
        <f>"01703312000205"</f>
        <v/>
      </c>
      <c r="E11964" s="30" t="inlineStr">
        <is>
          <t>ABC CARGAS LTDA</t>
        </is>
      </c>
      <c r="F11964" s="30" t="inlineStr">
        <is>
          <t>2018</t>
        </is>
      </c>
      <c r="G11964" s="40" t="n">
        <v>1787235.79</v>
      </c>
    </row>
    <row r="11965" ht="12" customHeight="1">
      <c r="A11965" s="30" t="inlineStr">
        <is>
          <t>POR</t>
        </is>
      </c>
      <c r="B11965" s="30" t="inlineStr">
        <is>
          <t>Porto Real</t>
        </is>
      </c>
      <c r="C11965" s="30" t="n">
        <v>86289989</v>
      </c>
      <c r="D11965" s="30">
        <f>"01703312000205"</f>
        <v/>
      </c>
      <c r="E11965" s="30" t="inlineStr">
        <is>
          <t>ABC CARGAS LTDA</t>
        </is>
      </c>
      <c r="F11965" s="30" t="inlineStr">
        <is>
          <t>2019</t>
        </is>
      </c>
      <c r="G11965" s="40" t="n">
        <v>1613318.24</v>
      </c>
    </row>
    <row r="11966" ht="12" customHeight="1">
      <c r="A11966" s="30" t="inlineStr">
        <is>
          <t>POR</t>
        </is>
      </c>
      <c r="B11966" s="30" t="inlineStr">
        <is>
          <t>Porto Real</t>
        </is>
      </c>
      <c r="C11966" s="30" t="n">
        <v>86289989</v>
      </c>
      <c r="D11966" s="30">
        <f>"01703312000205"</f>
        <v/>
      </c>
      <c r="E11966" s="30" t="inlineStr">
        <is>
          <t>ABC CARGAS LTDA</t>
        </is>
      </c>
      <c r="F11966" s="30" t="inlineStr">
        <is>
          <t>2020</t>
        </is>
      </c>
      <c r="G11966" s="40" t="n">
        <v>748721.35</v>
      </c>
    </row>
    <row r="11967" ht="12" customHeight="1">
      <c r="A11967" s="30" t="inlineStr">
        <is>
          <t>POR</t>
        </is>
      </c>
      <c r="B11967" s="30" t="inlineStr">
        <is>
          <t>Porto Real</t>
        </is>
      </c>
      <c r="C11967" s="30" t="n">
        <v>86289989</v>
      </c>
      <c r="D11967" s="30">
        <f>"01703312000205"</f>
        <v/>
      </c>
      <c r="E11967" s="30" t="inlineStr">
        <is>
          <t>ABC CARGAS LTDA</t>
        </is>
      </c>
      <c r="F11967" s="30" t="inlineStr">
        <is>
          <t>2021</t>
        </is>
      </c>
      <c r="G11967" s="40" t="n">
        <v>807136.54</v>
      </c>
    </row>
    <row r="11968" ht="12" customHeight="1">
      <c r="A11968" s="30" t="inlineStr">
        <is>
          <t>POR</t>
        </is>
      </c>
      <c r="B11968" s="30" t="inlineStr">
        <is>
          <t>Porto Real</t>
        </is>
      </c>
      <c r="C11968" s="30" t="n">
        <v>86289989</v>
      </c>
      <c r="D11968" s="30">
        <f>"01703312000205"</f>
        <v/>
      </c>
      <c r="E11968" s="30" t="inlineStr">
        <is>
          <t>ABC CARGAS LTDA</t>
        </is>
      </c>
      <c r="F11968" s="30" t="inlineStr">
        <is>
          <t>2022</t>
        </is>
      </c>
      <c r="G11968" s="40" t="n">
        <v>54786.49</v>
      </c>
    </row>
    <row r="11969" ht="12" customHeight="1">
      <c r="A11969" s="30" t="inlineStr">
        <is>
          <t>POR</t>
        </is>
      </c>
      <c r="B11969" s="30" t="inlineStr">
        <is>
          <t>Porto Real</t>
        </is>
      </c>
      <c r="C11969" s="30" t="n">
        <v>86289989</v>
      </c>
      <c r="D11969" s="30">
        <f>"01703312000205"</f>
        <v/>
      </c>
      <c r="E11969" s="30" t="inlineStr">
        <is>
          <t>ABC CARGAS LTDA</t>
        </is>
      </c>
      <c r="F11969" s="30" t="inlineStr">
        <is>
          <t>2023</t>
        </is>
      </c>
      <c r="G11969" s="40" t="n">
        <v>2000</v>
      </c>
    </row>
    <row r="11970" ht="12" customHeight="1">
      <c r="A11970" s="30" t="inlineStr">
        <is>
          <t>POR</t>
        </is>
      </c>
      <c r="B11970" s="30" t="inlineStr">
        <is>
          <t>Porto Real</t>
        </is>
      </c>
      <c r="C11970" s="30" t="n">
        <v>86316986</v>
      </c>
      <c r="D11970" s="30">
        <f>"57512691000987"</f>
        <v/>
      </c>
      <c r="E11970" s="30" t="inlineStr">
        <is>
          <t>TURSAN TURISMO SANTO ANDRE LTDA</t>
        </is>
      </c>
      <c r="F11970" s="30" t="inlineStr">
        <is>
          <t>2017</t>
        </is>
      </c>
      <c r="G11970" s="40" t="n">
        <v>0</v>
      </c>
    </row>
    <row r="11971" ht="12" customHeight="1">
      <c r="A11971" s="30" t="inlineStr">
        <is>
          <t>POR</t>
        </is>
      </c>
      <c r="B11971" s="30" t="inlineStr">
        <is>
          <t>Porto Real</t>
        </is>
      </c>
      <c r="C11971" s="30" t="n">
        <v>86316986</v>
      </c>
      <c r="D11971" s="30">
        <f>"57512691000987"</f>
        <v/>
      </c>
      <c r="E11971" s="30" t="inlineStr">
        <is>
          <t>TURSAN TURISMO SANTO ANDRE LTDA</t>
        </is>
      </c>
      <c r="F11971" s="30" t="inlineStr">
        <is>
          <t>2018</t>
        </is>
      </c>
      <c r="G11971" s="40" t="n">
        <v>885699.9300000001</v>
      </c>
    </row>
    <row r="11972" ht="12" customHeight="1">
      <c r="A11972" s="30" t="inlineStr">
        <is>
          <t>POR</t>
        </is>
      </c>
      <c r="B11972" s="30" t="inlineStr">
        <is>
          <t>Porto Real</t>
        </is>
      </c>
      <c r="C11972" s="30" t="n">
        <v>86316986</v>
      </c>
      <c r="D11972" s="30">
        <f>"57512691000987"</f>
        <v/>
      </c>
      <c r="E11972" s="30" t="inlineStr">
        <is>
          <t>TURSAN TURISMO SANTO ANDRE LTDA</t>
        </is>
      </c>
      <c r="F11972" s="30" t="inlineStr">
        <is>
          <t>2019</t>
        </is>
      </c>
      <c r="G11972" s="40" t="n">
        <v>1942082.12</v>
      </c>
    </row>
    <row r="11973" ht="12" customHeight="1">
      <c r="A11973" s="30" t="inlineStr">
        <is>
          <t>POR</t>
        </is>
      </c>
      <c r="B11973" s="30" t="inlineStr">
        <is>
          <t>Porto Real</t>
        </is>
      </c>
      <c r="C11973" s="30" t="n">
        <v>86316986</v>
      </c>
      <c r="D11973" s="30">
        <f>"57512691000987"</f>
        <v/>
      </c>
      <c r="E11973" s="30" t="inlineStr">
        <is>
          <t>TURSAN TURISMO SANTO ANDRE LTDA</t>
        </is>
      </c>
      <c r="F11973" s="30" t="inlineStr">
        <is>
          <t>2020</t>
        </is>
      </c>
      <c r="G11973" s="40" t="n">
        <v>2027943.46</v>
      </c>
    </row>
    <row r="11974" ht="12" customHeight="1">
      <c r="A11974" s="30" t="inlineStr">
        <is>
          <t>POR</t>
        </is>
      </c>
      <c r="B11974" s="30" t="inlineStr">
        <is>
          <t>Porto Real</t>
        </is>
      </c>
      <c r="C11974" s="30" t="n">
        <v>86316986</v>
      </c>
      <c r="D11974" s="30">
        <f>"57512691000987"</f>
        <v/>
      </c>
      <c r="E11974" s="30" t="inlineStr">
        <is>
          <t>TURSAN TURISMO SANTO ANDRE LTDA</t>
        </is>
      </c>
      <c r="F11974" s="30" t="inlineStr">
        <is>
          <t>2021</t>
        </is>
      </c>
      <c r="G11974" s="40" t="n">
        <v>2301304.23</v>
      </c>
    </row>
    <row r="11975" ht="12" customHeight="1">
      <c r="A11975" s="30" t="inlineStr">
        <is>
          <t>POR</t>
        </is>
      </c>
      <c r="B11975" s="30" t="inlineStr">
        <is>
          <t>Porto Real</t>
        </is>
      </c>
      <c r="C11975" s="30" t="n">
        <v>86316986</v>
      </c>
      <c r="D11975" s="30">
        <f>"57512691000987"</f>
        <v/>
      </c>
      <c r="E11975" s="30" t="inlineStr">
        <is>
          <t>TURSAN TURISMO SANTO ANDRE LTDA</t>
        </is>
      </c>
      <c r="F11975" s="30" t="inlineStr">
        <is>
          <t>2022</t>
        </is>
      </c>
      <c r="G11975" s="40" t="n">
        <v>2860256.48</v>
      </c>
    </row>
    <row r="11976" ht="12" customHeight="1">
      <c r="A11976" s="30" t="inlineStr">
        <is>
          <t>POR</t>
        </is>
      </c>
      <c r="B11976" s="30" t="inlineStr">
        <is>
          <t>Porto Real</t>
        </is>
      </c>
      <c r="C11976" s="30" t="n">
        <v>86316986</v>
      </c>
      <c r="D11976" s="30">
        <f>"57512691000987"</f>
        <v/>
      </c>
      <c r="E11976" s="30" t="inlineStr">
        <is>
          <t>TURSAN TURISMO SANTO ANDRE LTDA</t>
        </is>
      </c>
      <c r="F11976" s="30" t="inlineStr">
        <is>
          <t>2023</t>
        </is>
      </c>
      <c r="G11976" s="40" t="n">
        <v>3092574.36</v>
      </c>
    </row>
    <row r="11977" ht="12" customHeight="1">
      <c r="A11977" s="30" t="inlineStr">
        <is>
          <t>POR</t>
        </is>
      </c>
      <c r="B11977" s="30" t="inlineStr">
        <is>
          <t>Porto Real</t>
        </is>
      </c>
      <c r="C11977" s="30" t="n">
        <v>86319500</v>
      </c>
      <c r="D11977" s="30">
        <f>"60395589001330"</f>
        <v/>
      </c>
      <c r="E11977" s="30" t="inlineStr">
        <is>
          <t>BRAZUL TRANSPORTE DE VEICULOS LTDA</t>
        </is>
      </c>
      <c r="F11977" s="30" t="inlineStr">
        <is>
          <t>2021</t>
        </is>
      </c>
      <c r="G11977" s="40" t="n">
        <v>0</v>
      </c>
    </row>
    <row r="11978" ht="12" customHeight="1">
      <c r="A11978" s="30" t="inlineStr">
        <is>
          <t>POR</t>
        </is>
      </c>
      <c r="B11978" s="30" t="inlineStr">
        <is>
          <t>Porto Real</t>
        </is>
      </c>
      <c r="C11978" s="30" t="n">
        <v>86319500</v>
      </c>
      <c r="D11978" s="30">
        <f>"60395589001330"</f>
        <v/>
      </c>
      <c r="E11978" s="30" t="inlineStr">
        <is>
          <t>BRAZUL TRANSPORTE DE VEICULOS LTDA</t>
        </is>
      </c>
      <c r="F11978" s="30" t="inlineStr">
        <is>
          <t>2022</t>
        </is>
      </c>
      <c r="G11978" s="40" t="n">
        <v>0</v>
      </c>
    </row>
    <row r="11979" ht="12" customHeight="1">
      <c r="A11979" s="30" t="inlineStr">
        <is>
          <t>POR</t>
        </is>
      </c>
      <c r="B11979" s="30" t="inlineStr">
        <is>
          <t>Porto Real</t>
        </is>
      </c>
      <c r="C11979" s="30" t="n">
        <v>86319500</v>
      </c>
      <c r="D11979" s="30">
        <f>"60395589001330"</f>
        <v/>
      </c>
      <c r="E11979" s="30" t="inlineStr">
        <is>
          <t>BRAZUL TRANSPORTE DE VEICULOS LTDA</t>
        </is>
      </c>
      <c r="F11979" s="30" t="inlineStr">
        <is>
          <t>2023</t>
        </is>
      </c>
      <c r="G11979" s="40" t="n">
        <v>15205.89</v>
      </c>
    </row>
    <row r="11980" ht="12" customHeight="1">
      <c r="A11980" s="30" t="inlineStr">
        <is>
          <t>POR</t>
        </is>
      </c>
      <c r="B11980" s="30" t="inlineStr">
        <is>
          <t>Porto Real</t>
        </is>
      </c>
      <c r="C11980" s="30" t="n">
        <v>86320053</v>
      </c>
      <c r="D11980" s="30">
        <f>"02445414000583"</f>
        <v/>
      </c>
      <c r="E11980" s="30" t="inlineStr">
        <is>
          <t>TRANSVIP TRANSPORTE DE VALORES E VIGILANCIA PATRIMONIAL LTDA</t>
        </is>
      </c>
      <c r="F11980" s="30" t="inlineStr">
        <is>
          <t>2017</t>
        </is>
      </c>
      <c r="G11980" s="40" t="n">
        <v>16724.51</v>
      </c>
    </row>
    <row r="11981" ht="12" customHeight="1">
      <c r="A11981" s="30" t="inlineStr">
        <is>
          <t>POR</t>
        </is>
      </c>
      <c r="B11981" s="30" t="inlineStr">
        <is>
          <t>Porto Real</t>
        </is>
      </c>
      <c r="C11981" s="30" t="n">
        <v>86320053</v>
      </c>
      <c r="D11981" s="30">
        <f>"02445414000583"</f>
        <v/>
      </c>
      <c r="E11981" s="30" t="inlineStr">
        <is>
          <t>TRANSVIP TRANSPORTE DE VALORES E VIGILANCIA PATRIMONIAL LTDA</t>
        </is>
      </c>
      <c r="F11981" s="30" t="inlineStr">
        <is>
          <t>2018</t>
        </is>
      </c>
      <c r="G11981" s="40" t="n">
        <v>19335.58</v>
      </c>
    </row>
    <row r="11982" ht="12" customHeight="1">
      <c r="A11982" s="30" t="inlineStr">
        <is>
          <t>POR</t>
        </is>
      </c>
      <c r="B11982" s="30" t="inlineStr">
        <is>
          <t>Porto Real</t>
        </is>
      </c>
      <c r="C11982" s="30" t="n">
        <v>86320053</v>
      </c>
      <c r="D11982" s="30">
        <f>"02445414000583"</f>
        <v/>
      </c>
      <c r="E11982" s="30" t="inlineStr">
        <is>
          <t>TRANSVIP TRANSPORTE DE VALORES E VIGILANCIA PATRIMONIAL LTDA</t>
        </is>
      </c>
      <c r="F11982" s="30" t="inlineStr">
        <is>
          <t>2019</t>
        </is>
      </c>
      <c r="G11982" s="40" t="n">
        <v>42156.3</v>
      </c>
    </row>
    <row r="11983" ht="12" customHeight="1">
      <c r="A11983" s="30" t="inlineStr">
        <is>
          <t>POR</t>
        </is>
      </c>
      <c r="B11983" s="30" t="inlineStr">
        <is>
          <t>Porto Real</t>
        </is>
      </c>
      <c r="C11983" s="30" t="n">
        <v>86320053</v>
      </c>
      <c r="D11983" s="30">
        <f>"02445414000583"</f>
        <v/>
      </c>
      <c r="E11983" s="30" t="inlineStr">
        <is>
          <t>TRANSVIP TRANSPORTE DE VALORES E VIGILANCIA PATRIMONIAL LTDA</t>
        </is>
      </c>
      <c r="F11983" s="30" t="inlineStr">
        <is>
          <t>2020</t>
        </is>
      </c>
      <c r="G11983" s="40" t="n">
        <v>0</v>
      </c>
    </row>
    <row r="11984" ht="12" customHeight="1">
      <c r="A11984" s="30" t="inlineStr">
        <is>
          <t>POR</t>
        </is>
      </c>
      <c r="B11984" s="30" t="inlineStr">
        <is>
          <t>Porto Real</t>
        </is>
      </c>
      <c r="C11984" s="30" t="n">
        <v>86320053</v>
      </c>
      <c r="D11984" s="30">
        <f>"02445414000583"</f>
        <v/>
      </c>
      <c r="E11984" s="30" t="inlineStr">
        <is>
          <t>TRANSVIP TRANSPORTE DE VALORES E VIGILANCIA PATRIMONIAL LTDA</t>
        </is>
      </c>
      <c r="F11984" s="30" t="inlineStr">
        <is>
          <t>2021</t>
        </is>
      </c>
      <c r="G11984" s="40" t="n">
        <v>0</v>
      </c>
    </row>
    <row r="11985" ht="12" customHeight="1">
      <c r="A11985" s="30" t="inlineStr">
        <is>
          <t>POR</t>
        </is>
      </c>
      <c r="B11985" s="30" t="inlineStr">
        <is>
          <t>Porto Real</t>
        </is>
      </c>
      <c r="C11985" s="30" t="n">
        <v>86344335</v>
      </c>
      <c r="D11985" s="30">
        <f>"02412371000106"</f>
        <v/>
      </c>
      <c r="E11985" s="30" t="inlineStr">
        <is>
          <t>TREVO LOCAR TRANSPORTES LTDA EPP</t>
        </is>
      </c>
      <c r="F11985" s="30" t="inlineStr">
        <is>
          <t>2018</t>
        </is>
      </c>
      <c r="G11985" s="40" t="n">
        <v>0</v>
      </c>
    </row>
    <row r="11986" ht="12" customHeight="1">
      <c r="A11986" s="30" t="inlineStr">
        <is>
          <t>POR</t>
        </is>
      </c>
      <c r="B11986" s="30" t="inlineStr">
        <is>
          <t>Porto Real</t>
        </is>
      </c>
      <c r="C11986" s="30" t="n">
        <v>86344335</v>
      </c>
      <c r="D11986" s="30">
        <f>"02412371000106"</f>
        <v/>
      </c>
      <c r="E11986" s="30" t="inlineStr">
        <is>
          <t>TREVO LOCAR TRANSPORTES LTDA EPP</t>
        </is>
      </c>
      <c r="F11986" s="30" t="inlineStr">
        <is>
          <t>2019</t>
        </is>
      </c>
      <c r="G11986" s="40" t="n">
        <v>0</v>
      </c>
    </row>
    <row r="11987" ht="12" customHeight="1">
      <c r="A11987" s="30" t="inlineStr">
        <is>
          <t>POR</t>
        </is>
      </c>
      <c r="B11987" s="30" t="inlineStr">
        <is>
          <t>Porto Real</t>
        </is>
      </c>
      <c r="C11987" s="30" t="n">
        <v>86344335</v>
      </c>
      <c r="D11987" s="30">
        <f>"02412371000106"</f>
        <v/>
      </c>
      <c r="E11987" s="30" t="inlineStr">
        <is>
          <t>TREVO LOCAR TRANSPORTES LTDA EPP</t>
        </is>
      </c>
      <c r="F11987" s="30" t="inlineStr">
        <is>
          <t>2020</t>
        </is>
      </c>
      <c r="G11987" s="40" t="n">
        <v>5812.56</v>
      </c>
    </row>
    <row r="11988" ht="12" customHeight="1">
      <c r="A11988" s="30" t="inlineStr">
        <is>
          <t>POR</t>
        </is>
      </c>
      <c r="B11988" s="30" t="inlineStr">
        <is>
          <t>Porto Real</t>
        </is>
      </c>
      <c r="C11988" s="30" t="n">
        <v>86344335</v>
      </c>
      <c r="D11988" s="30">
        <f>"02412371000106"</f>
        <v/>
      </c>
      <c r="E11988" s="30" t="inlineStr">
        <is>
          <t>TREVO LOCAR TRANSPORTES LTDA EPP</t>
        </is>
      </c>
      <c r="F11988" s="30" t="inlineStr">
        <is>
          <t>2021</t>
        </is>
      </c>
      <c r="G11988" s="40" t="n">
        <v>0</v>
      </c>
    </row>
    <row r="11989" ht="12" customHeight="1">
      <c r="A11989" s="30" t="inlineStr">
        <is>
          <t>POR</t>
        </is>
      </c>
      <c r="B11989" s="30" t="inlineStr">
        <is>
          <t>Porto Real</t>
        </is>
      </c>
      <c r="C11989" s="30" t="n">
        <v>86344335</v>
      </c>
      <c r="D11989" s="30">
        <f>"02412371000106"</f>
        <v/>
      </c>
      <c r="E11989" s="30" t="inlineStr">
        <is>
          <t>TREVO LOCAR TRANSPORTES LTDA EPP</t>
        </is>
      </c>
      <c r="F11989" s="30" t="inlineStr">
        <is>
          <t>2022</t>
        </is>
      </c>
      <c r="G11989" s="40" t="n">
        <v>0</v>
      </c>
    </row>
    <row r="11990" ht="12" customHeight="1">
      <c r="A11990" s="30" t="inlineStr">
        <is>
          <t>POR</t>
        </is>
      </c>
      <c r="B11990" s="30" t="inlineStr">
        <is>
          <t>Porto Real</t>
        </is>
      </c>
      <c r="C11990" s="30" t="n">
        <v>86509938</v>
      </c>
      <c r="D11990" s="30">
        <f>"18730955000160"</f>
        <v/>
      </c>
      <c r="E11990" s="30" t="inlineStr">
        <is>
          <t>RENATA CONSTRUCOES LTDA ME</t>
        </is>
      </c>
      <c r="F11990" s="30" t="inlineStr">
        <is>
          <t>2018</t>
        </is>
      </c>
      <c r="G11990" s="40" t="n">
        <v>0</v>
      </c>
    </row>
    <row r="11991" ht="12" customHeight="1">
      <c r="A11991" s="30" t="inlineStr">
        <is>
          <t>POR</t>
        </is>
      </c>
      <c r="B11991" s="30" t="inlineStr">
        <is>
          <t>Porto Real</t>
        </is>
      </c>
      <c r="C11991" s="30" t="n">
        <v>86509938</v>
      </c>
      <c r="D11991" s="30">
        <f>"18730955000160"</f>
        <v/>
      </c>
      <c r="E11991" s="30" t="inlineStr">
        <is>
          <t>RENATA CONSTRUCOES LTDA ME</t>
        </is>
      </c>
      <c r="F11991" s="30" t="inlineStr">
        <is>
          <t>2019</t>
        </is>
      </c>
      <c r="G11991" s="40" t="n">
        <v>0</v>
      </c>
    </row>
    <row r="11992" ht="12" customHeight="1">
      <c r="A11992" s="30" t="inlineStr">
        <is>
          <t>POR</t>
        </is>
      </c>
      <c r="B11992" s="30" t="inlineStr">
        <is>
          <t>Porto Real</t>
        </is>
      </c>
      <c r="C11992" s="30" t="n">
        <v>86509938</v>
      </c>
      <c r="D11992" s="30">
        <f>"18730955000160"</f>
        <v/>
      </c>
      <c r="E11992" s="30" t="inlineStr">
        <is>
          <t>RENATA CONSTRUCOES LTDA ME</t>
        </is>
      </c>
      <c r="F11992" s="30" t="inlineStr">
        <is>
          <t>2020</t>
        </is>
      </c>
      <c r="G11992" s="40" t="n">
        <v>0</v>
      </c>
    </row>
    <row r="11993" ht="12" customHeight="1">
      <c r="A11993" s="30" t="inlineStr">
        <is>
          <t>POR</t>
        </is>
      </c>
      <c r="B11993" s="30" t="inlineStr">
        <is>
          <t>Porto Real</t>
        </is>
      </c>
      <c r="C11993" s="30" t="n">
        <v>86509938</v>
      </c>
      <c r="D11993" s="30">
        <f>"18730955000160"</f>
        <v/>
      </c>
      <c r="E11993" s="30" t="inlineStr">
        <is>
          <t>RENATA CONSTRUCOES LTDA ME</t>
        </is>
      </c>
      <c r="F11993" s="30" t="inlineStr">
        <is>
          <t>2021</t>
        </is>
      </c>
      <c r="G11993" s="40" t="n">
        <v>0</v>
      </c>
    </row>
    <row r="11994" ht="12" customHeight="1">
      <c r="A11994" s="30" t="inlineStr">
        <is>
          <t>POR</t>
        </is>
      </c>
      <c r="B11994" s="30" t="inlineStr">
        <is>
          <t>Porto Real</t>
        </is>
      </c>
      <c r="C11994" s="30" t="n">
        <v>86509938</v>
      </c>
      <c r="D11994" s="30">
        <f>"18730955000160"</f>
        <v/>
      </c>
      <c r="E11994" s="30" t="inlineStr">
        <is>
          <t>RENATA CONSTRUCOES LTDA ME</t>
        </is>
      </c>
      <c r="F11994" s="30" t="inlineStr">
        <is>
          <t>2022</t>
        </is>
      </c>
      <c r="G11994" s="40" t="n">
        <v>0</v>
      </c>
    </row>
    <row r="11995" ht="12" customHeight="1">
      <c r="A11995" s="30" t="inlineStr">
        <is>
          <t>POR</t>
        </is>
      </c>
      <c r="B11995" s="30" t="inlineStr">
        <is>
          <t>Porto Real</t>
        </is>
      </c>
      <c r="C11995" s="30" t="n">
        <v>86517051</v>
      </c>
      <c r="D11995" s="30">
        <f>"61186888010318"</f>
        <v/>
      </c>
      <c r="E11995" s="30" t="inlineStr">
        <is>
          <t>SPAL INDUSTRIA BRASILEIRA DE BEBIDAS S/A</t>
        </is>
      </c>
      <c r="F11995" s="30" t="inlineStr">
        <is>
          <t>2017</t>
        </is>
      </c>
      <c r="G11995" s="40" t="n">
        <v>66793398.92</v>
      </c>
    </row>
    <row r="11996" ht="12" customHeight="1">
      <c r="A11996" s="30" t="inlineStr">
        <is>
          <t>POR</t>
        </is>
      </c>
      <c r="B11996" s="30" t="inlineStr">
        <is>
          <t>Porto Real</t>
        </is>
      </c>
      <c r="C11996" s="30" t="n">
        <v>86517051</v>
      </c>
      <c r="D11996" s="30">
        <f>"61186888010318"</f>
        <v/>
      </c>
      <c r="E11996" s="30" t="inlineStr">
        <is>
          <t>SPAL INDUSTRIA BRASILEIRA DE BEBIDAS S/A</t>
        </is>
      </c>
      <c r="F11996" s="30" t="inlineStr">
        <is>
          <t>2018</t>
        </is>
      </c>
      <c r="G11996" s="40" t="n">
        <v>78385640.59999999</v>
      </c>
    </row>
    <row r="11997" ht="12" customHeight="1">
      <c r="A11997" s="30" t="inlineStr">
        <is>
          <t>POR</t>
        </is>
      </c>
      <c r="B11997" s="30" t="inlineStr">
        <is>
          <t>Porto Real</t>
        </is>
      </c>
      <c r="C11997" s="30" t="n">
        <v>86517051</v>
      </c>
      <c r="D11997" s="30">
        <f>"61186888010318"</f>
        <v/>
      </c>
      <c r="E11997" s="30" t="inlineStr">
        <is>
          <t>SPAL INDUSTRIA BRASILEIRA DE BEBIDAS S/A</t>
        </is>
      </c>
      <c r="F11997" s="30" t="inlineStr">
        <is>
          <t>2019</t>
        </is>
      </c>
      <c r="G11997" s="40" t="n">
        <v>137315920.93</v>
      </c>
    </row>
    <row r="11998" ht="12" customHeight="1">
      <c r="A11998" s="30" t="inlineStr">
        <is>
          <t>POR</t>
        </is>
      </c>
      <c r="B11998" s="30" t="inlineStr">
        <is>
          <t>Porto Real</t>
        </is>
      </c>
      <c r="C11998" s="30" t="n">
        <v>86517051</v>
      </c>
      <c r="D11998" s="30">
        <f>"61186888010318"</f>
        <v/>
      </c>
      <c r="E11998" s="30" t="inlineStr">
        <is>
          <t>SPAL INDUSTRIA BRASILEIRA DE BEBIDAS S/A</t>
        </is>
      </c>
      <c r="F11998" s="30" t="inlineStr">
        <is>
          <t>2020</t>
        </is>
      </c>
      <c r="G11998" s="40" t="n">
        <v>144871941.51</v>
      </c>
    </row>
    <row r="11999" ht="12" customHeight="1">
      <c r="A11999" s="30" t="inlineStr">
        <is>
          <t>POR</t>
        </is>
      </c>
      <c r="B11999" s="30" t="inlineStr">
        <is>
          <t>Porto Real</t>
        </is>
      </c>
      <c r="C11999" s="30" t="n">
        <v>86517051</v>
      </c>
      <c r="D11999" s="30">
        <f>"61186888010318"</f>
        <v/>
      </c>
      <c r="E11999" s="30" t="inlineStr">
        <is>
          <t>SPAL INDUSTRIA BRASILEIRA DE BEBIDAS S/A</t>
        </is>
      </c>
      <c r="F11999" s="30" t="inlineStr">
        <is>
          <t>2021</t>
        </is>
      </c>
      <c r="G11999" s="40" t="n">
        <v>151924693.46</v>
      </c>
    </row>
    <row r="12000" ht="12" customHeight="1">
      <c r="A12000" s="30" t="inlineStr">
        <is>
          <t>POR</t>
        </is>
      </c>
      <c r="B12000" s="30" t="inlineStr">
        <is>
          <t>Porto Real</t>
        </is>
      </c>
      <c r="C12000" s="30" t="n">
        <v>86517051</v>
      </c>
      <c r="D12000" s="30">
        <f>"61186888010318"</f>
        <v/>
      </c>
      <c r="E12000" s="30" t="inlineStr">
        <is>
          <t>SPAL INDUSTRIA BRASILEIRA DE BEBIDAS S/A</t>
        </is>
      </c>
      <c r="F12000" s="30" t="inlineStr">
        <is>
          <t>2022</t>
        </is>
      </c>
      <c r="G12000" s="40" t="n">
        <v>144996807.01</v>
      </c>
    </row>
    <row r="12001" ht="12" customHeight="1">
      <c r="A12001" s="30" t="inlineStr">
        <is>
          <t>POR</t>
        </is>
      </c>
      <c r="B12001" s="30" t="inlineStr">
        <is>
          <t>Porto Real</t>
        </is>
      </c>
      <c r="C12001" s="30" t="n">
        <v>86517051</v>
      </c>
      <c r="D12001" s="30">
        <f>"61186888010318"</f>
        <v/>
      </c>
      <c r="E12001" s="30" t="inlineStr">
        <is>
          <t>SPAL INDUSTRIA BRASILEIRA DE BEBIDAS S/A</t>
        </is>
      </c>
      <c r="F12001" s="30" t="inlineStr">
        <is>
          <t>2023</t>
        </is>
      </c>
      <c r="G12001" s="40" t="n">
        <v>183720296.56</v>
      </c>
    </row>
    <row r="12002" ht="12" customHeight="1">
      <c r="A12002" s="30" t="inlineStr">
        <is>
          <t>POR</t>
        </is>
      </c>
      <c r="B12002" s="30" t="inlineStr">
        <is>
          <t>Porto Real</t>
        </is>
      </c>
      <c r="C12002" s="30" t="n">
        <v>86541777</v>
      </c>
      <c r="D12002" s="30">
        <f>"13247991000234"</f>
        <v/>
      </c>
      <c r="E12002" s="30" t="inlineStr">
        <is>
          <t>KETLOG TRANSPORTE DE CARGAS LTDA</t>
        </is>
      </c>
      <c r="F12002" s="30" t="inlineStr">
        <is>
          <t>2017</t>
        </is>
      </c>
      <c r="G12002" s="40" t="n">
        <v>0</v>
      </c>
    </row>
    <row r="12003" ht="12" customHeight="1">
      <c r="A12003" s="30" t="inlineStr">
        <is>
          <t>POR</t>
        </is>
      </c>
      <c r="B12003" s="30" t="inlineStr">
        <is>
          <t>Porto Real</t>
        </is>
      </c>
      <c r="C12003" s="30" t="n">
        <v>86541777</v>
      </c>
      <c r="D12003" s="30">
        <f>"13247991000234"</f>
        <v/>
      </c>
      <c r="E12003" s="30" t="inlineStr">
        <is>
          <t>KETLOG TRANSPORTE DE CARGAS LTDA</t>
        </is>
      </c>
      <c r="F12003" s="30" t="inlineStr">
        <is>
          <t>2018</t>
        </is>
      </c>
      <c r="G12003" s="40" t="n">
        <v>973521.4399999999</v>
      </c>
    </row>
    <row r="12004" ht="12" customHeight="1">
      <c r="A12004" s="30" t="inlineStr">
        <is>
          <t>POR</t>
        </is>
      </c>
      <c r="B12004" s="30" t="inlineStr">
        <is>
          <t>Porto Real</t>
        </is>
      </c>
      <c r="C12004" s="30" t="n">
        <v>86541777</v>
      </c>
      <c r="D12004" s="30">
        <f>"13247991000234"</f>
        <v/>
      </c>
      <c r="E12004" s="30" t="inlineStr">
        <is>
          <t>KETLOG TRANSPORTE DE CARGAS LTDA</t>
        </is>
      </c>
      <c r="F12004" s="30" t="inlineStr">
        <is>
          <t>2019</t>
        </is>
      </c>
      <c r="G12004" s="40" t="n">
        <v>1720795.96</v>
      </c>
    </row>
    <row r="12005" ht="12" customHeight="1">
      <c r="A12005" s="30" t="inlineStr">
        <is>
          <t>POR</t>
        </is>
      </c>
      <c r="B12005" s="30" t="inlineStr">
        <is>
          <t>Porto Real</t>
        </is>
      </c>
      <c r="C12005" s="30" t="n">
        <v>86541777</v>
      </c>
      <c r="D12005" s="30">
        <f>"13247991000234"</f>
        <v/>
      </c>
      <c r="E12005" s="30" t="inlineStr">
        <is>
          <t>KETLOG TRANSPORTE DE CARGAS LTDA</t>
        </is>
      </c>
      <c r="F12005" s="30" t="inlineStr">
        <is>
          <t>2020</t>
        </is>
      </c>
      <c r="G12005" s="40" t="n">
        <v>354608.05</v>
      </c>
    </row>
    <row r="12006" ht="12" customHeight="1">
      <c r="A12006" s="30" t="inlineStr">
        <is>
          <t>POR</t>
        </is>
      </c>
      <c r="B12006" s="30" t="inlineStr">
        <is>
          <t>Porto Real</t>
        </is>
      </c>
      <c r="C12006" s="30" t="n">
        <v>86541777</v>
      </c>
      <c r="D12006" s="30">
        <f>"13247991000234"</f>
        <v/>
      </c>
      <c r="E12006" s="30" t="inlineStr">
        <is>
          <t>KETLOG TRANSPORTE DE CARGAS LTDA</t>
        </is>
      </c>
      <c r="F12006" s="30" t="inlineStr">
        <is>
          <t>2021</t>
        </is>
      </c>
      <c r="G12006" s="40" t="n">
        <v>447620.75</v>
      </c>
    </row>
    <row r="12007" ht="12" customHeight="1">
      <c r="A12007" s="30" t="inlineStr">
        <is>
          <t>POR</t>
        </is>
      </c>
      <c r="B12007" s="30" t="inlineStr">
        <is>
          <t>Porto Real</t>
        </is>
      </c>
      <c r="C12007" s="30" t="n">
        <v>86541777</v>
      </c>
      <c r="D12007" s="30">
        <f>"13247991000234"</f>
        <v/>
      </c>
      <c r="E12007" s="30" t="inlineStr">
        <is>
          <t>KETLOG TRANSPORTE DE CARGAS LTDA</t>
        </is>
      </c>
      <c r="F12007" s="30" t="inlineStr">
        <is>
          <t>2022</t>
        </is>
      </c>
      <c r="G12007" s="40" t="n">
        <v>0</v>
      </c>
    </row>
    <row r="12008" ht="12" customHeight="1">
      <c r="A12008" s="30" t="inlineStr">
        <is>
          <t>POR</t>
        </is>
      </c>
      <c r="B12008" s="30" t="inlineStr">
        <is>
          <t>Porto Real</t>
        </is>
      </c>
      <c r="C12008" s="30" t="n">
        <v>86541777</v>
      </c>
      <c r="D12008" s="30">
        <f>"13247991000234"</f>
        <v/>
      </c>
      <c r="E12008" s="30" t="inlineStr">
        <is>
          <t>KETLOG TRANSPORTE DE CARGAS LTDA</t>
        </is>
      </c>
      <c r="F12008" s="30" t="inlineStr">
        <is>
          <t>2023</t>
        </is>
      </c>
      <c r="G12008" s="40" t="n">
        <v>153462.96</v>
      </c>
    </row>
    <row r="12009" ht="12" customHeight="1">
      <c r="A12009" s="30" t="inlineStr">
        <is>
          <t>POR</t>
        </is>
      </c>
      <c r="B12009" s="30" t="inlineStr">
        <is>
          <t>Porto Real</t>
        </is>
      </c>
      <c r="C12009" s="30" t="n">
        <v>86542072</v>
      </c>
      <c r="D12009" s="30">
        <f>"08062253000444"</f>
        <v/>
      </c>
      <c r="E12009" s="30" t="inlineStr">
        <is>
          <t>CAMBRIDGE TELECOMUNICACOES LTDA</t>
        </is>
      </c>
      <c r="F12009" s="30" t="inlineStr">
        <is>
          <t>2017</t>
        </is>
      </c>
      <c r="G12009" s="40" t="n">
        <v>4671.67</v>
      </c>
    </row>
    <row r="12010" ht="12" customHeight="1">
      <c r="A12010" s="30" t="inlineStr">
        <is>
          <t>POR</t>
        </is>
      </c>
      <c r="B12010" s="30" t="inlineStr">
        <is>
          <t>Porto Real</t>
        </is>
      </c>
      <c r="C12010" s="30" t="n">
        <v>86542072</v>
      </c>
      <c r="D12010" s="30">
        <f>"08062253000444"</f>
        <v/>
      </c>
      <c r="E12010" s="30" t="inlineStr">
        <is>
          <t>CAMBRIDGE TELECOMUNICACOES LTDA</t>
        </is>
      </c>
      <c r="F12010" s="30" t="inlineStr">
        <is>
          <t>2018</t>
        </is>
      </c>
      <c r="G12010" s="40" t="n">
        <v>1367.49</v>
      </c>
    </row>
    <row r="12011" ht="12" customHeight="1">
      <c r="A12011" s="30" t="inlineStr">
        <is>
          <t>POR</t>
        </is>
      </c>
      <c r="B12011" s="30" t="inlineStr">
        <is>
          <t>Porto Real</t>
        </is>
      </c>
      <c r="C12011" s="30" t="n">
        <v>86542072</v>
      </c>
      <c r="D12011" s="30">
        <f>"08062253000444"</f>
        <v/>
      </c>
      <c r="E12011" s="30" t="inlineStr">
        <is>
          <t>CAMBRIDGE TELECOMUNICACOES LTDA</t>
        </is>
      </c>
      <c r="F12011" s="30" t="inlineStr">
        <is>
          <t>2019</t>
        </is>
      </c>
      <c r="G12011" s="40" t="n">
        <v>162.43</v>
      </c>
    </row>
    <row r="12012" ht="12" customHeight="1">
      <c r="A12012" s="30" t="inlineStr">
        <is>
          <t>POR</t>
        </is>
      </c>
      <c r="B12012" s="30" t="inlineStr">
        <is>
          <t>Porto Real</t>
        </is>
      </c>
      <c r="C12012" s="30" t="n">
        <v>86542072</v>
      </c>
      <c r="D12012" s="30">
        <f>"08062253000444"</f>
        <v/>
      </c>
      <c r="E12012" s="30" t="inlineStr">
        <is>
          <t>CAMBRIDGE TELECOMUNICACOES LTDA</t>
        </is>
      </c>
      <c r="F12012" s="30" t="inlineStr">
        <is>
          <t>2020</t>
        </is>
      </c>
      <c r="G12012" s="40" t="n">
        <v>0</v>
      </c>
    </row>
    <row r="12013" ht="12" customHeight="1">
      <c r="A12013" s="30" t="inlineStr">
        <is>
          <t>POR</t>
        </is>
      </c>
      <c r="B12013" s="30" t="inlineStr">
        <is>
          <t>Porto Real</t>
        </is>
      </c>
      <c r="C12013" s="30" t="n">
        <v>86542072</v>
      </c>
      <c r="D12013" s="30">
        <f>"08062253000444"</f>
        <v/>
      </c>
      <c r="E12013" s="30" t="inlineStr">
        <is>
          <t>CAMBRIDGE TELECOMUNICACOES LTDA</t>
        </is>
      </c>
      <c r="F12013" s="30" t="inlineStr">
        <is>
          <t>2021</t>
        </is>
      </c>
      <c r="G12013" s="40" t="n">
        <v>0</v>
      </c>
    </row>
    <row r="12014" ht="12" customHeight="1">
      <c r="A12014" s="30" t="inlineStr">
        <is>
          <t>POR</t>
        </is>
      </c>
      <c r="B12014" s="30" t="inlineStr">
        <is>
          <t>Porto Real</t>
        </is>
      </c>
      <c r="C12014" s="30" t="n">
        <v>86566877</v>
      </c>
      <c r="D12014" s="30">
        <f>"19223780000167"</f>
        <v/>
      </c>
      <c r="E12014" s="30" t="inlineStr">
        <is>
          <t>LLF MATHIAS VIAS DE TRANSPORTES RODOVI?RIOS EIRELI</t>
        </is>
      </c>
      <c r="F12014" s="30" t="inlineStr">
        <is>
          <t>2017</t>
        </is>
      </c>
      <c r="G12014" s="40" t="n">
        <v>0</v>
      </c>
    </row>
    <row r="12015" ht="12" customHeight="1">
      <c r="A12015" s="30" t="inlineStr">
        <is>
          <t>POR</t>
        </is>
      </c>
      <c r="B12015" s="30" t="inlineStr">
        <is>
          <t>Porto Real</t>
        </is>
      </c>
      <c r="C12015" s="30" t="n">
        <v>86566877</v>
      </c>
      <c r="D12015" s="30">
        <f>"19223780000167"</f>
        <v/>
      </c>
      <c r="E12015" s="30" t="inlineStr">
        <is>
          <t>LLF MATHIAS VIAS DE TRANSPORTES RODOVI?RIOS EIRELI</t>
        </is>
      </c>
      <c r="F12015" s="30" t="inlineStr">
        <is>
          <t>2018</t>
        </is>
      </c>
      <c r="G12015" s="40" t="n">
        <v>55.95</v>
      </c>
    </row>
    <row r="12016" ht="12" customHeight="1">
      <c r="A12016" s="30" t="inlineStr">
        <is>
          <t>POR</t>
        </is>
      </c>
      <c r="B12016" s="30" t="inlineStr">
        <is>
          <t>Porto Real</t>
        </is>
      </c>
      <c r="C12016" s="30" t="n">
        <v>86566877</v>
      </c>
      <c r="D12016" s="30">
        <f>"19223780000167"</f>
        <v/>
      </c>
      <c r="E12016" s="30" t="inlineStr">
        <is>
          <t>LLF MATHIAS VIAS DE TRANSPORTES RODOVI?RIOS EIRELI</t>
        </is>
      </c>
      <c r="F12016" s="30" t="inlineStr">
        <is>
          <t>2019</t>
        </is>
      </c>
      <c r="G12016" s="40" t="n">
        <v>0</v>
      </c>
    </row>
    <row r="12017" ht="12" customHeight="1">
      <c r="A12017" s="30" t="inlineStr">
        <is>
          <t>POR</t>
        </is>
      </c>
      <c r="B12017" s="30" t="inlineStr">
        <is>
          <t>Porto Real</t>
        </is>
      </c>
      <c r="C12017" s="30" t="n">
        <v>86566877</v>
      </c>
      <c r="D12017" s="30">
        <f>"19223780000167"</f>
        <v/>
      </c>
      <c r="E12017" s="30" t="inlineStr">
        <is>
          <t>LLF MATHIAS VIAS DE TRANSPORTES RODOVI?RIOS EIRELI</t>
        </is>
      </c>
      <c r="F12017" s="30" t="inlineStr">
        <is>
          <t>2020</t>
        </is>
      </c>
      <c r="G12017" s="40" t="n">
        <v>0</v>
      </c>
    </row>
    <row r="12018" ht="12" customHeight="1">
      <c r="A12018" s="30" t="inlineStr">
        <is>
          <t>POR</t>
        </is>
      </c>
      <c r="B12018" s="30" t="inlineStr">
        <is>
          <t>Porto Real</t>
        </is>
      </c>
      <c r="C12018" s="30" t="n">
        <v>86568020</v>
      </c>
      <c r="D12018" s="30">
        <f>"02931515000483"</f>
        <v/>
      </c>
      <c r="E12018" s="30" t="inlineStr">
        <is>
          <t>EFTEC BRASIL LTDA</t>
        </is>
      </c>
      <c r="F12018" s="30" t="inlineStr">
        <is>
          <t>2020</t>
        </is>
      </c>
      <c r="G12018" s="40" t="n">
        <v>0</v>
      </c>
    </row>
    <row r="12019" ht="12" customHeight="1">
      <c r="A12019" s="30" t="inlineStr">
        <is>
          <t>POR</t>
        </is>
      </c>
      <c r="B12019" s="30" t="inlineStr">
        <is>
          <t>Porto Real</t>
        </is>
      </c>
      <c r="C12019" s="30" t="n">
        <v>86568020</v>
      </c>
      <c r="D12019" s="30">
        <f>"02931515000483"</f>
        <v/>
      </c>
      <c r="E12019" s="30" t="inlineStr">
        <is>
          <t>EFTEC BRASIL LTDA</t>
        </is>
      </c>
      <c r="F12019" s="30" t="inlineStr">
        <is>
          <t>2021</t>
        </is>
      </c>
      <c r="G12019" s="40" t="n">
        <v>0</v>
      </c>
    </row>
    <row r="12020" ht="12" customHeight="1">
      <c r="A12020" s="30" t="inlineStr">
        <is>
          <t>POR</t>
        </is>
      </c>
      <c r="B12020" s="30" t="inlineStr">
        <is>
          <t>Porto Real</t>
        </is>
      </c>
      <c r="C12020" s="30" t="n">
        <v>86568020</v>
      </c>
      <c r="D12020" s="30">
        <f>"02931515000483"</f>
        <v/>
      </c>
      <c r="E12020" s="30" t="inlineStr">
        <is>
          <t>EFTEC BRASIL LTDA</t>
        </is>
      </c>
      <c r="F12020" s="30" t="inlineStr">
        <is>
          <t>2022</t>
        </is>
      </c>
      <c r="G12020" s="40" t="n">
        <v>0</v>
      </c>
    </row>
    <row r="12021" ht="12" customHeight="1">
      <c r="A12021" s="30" t="inlineStr">
        <is>
          <t>POR</t>
        </is>
      </c>
      <c r="B12021" s="30" t="inlineStr">
        <is>
          <t>Porto Real</t>
        </is>
      </c>
      <c r="C12021" s="30" t="n">
        <v>86568020</v>
      </c>
      <c r="D12021" s="30">
        <f>"02931515000483"</f>
        <v/>
      </c>
      <c r="E12021" s="30" t="inlineStr">
        <is>
          <t>EFTEC BRASIL LTDA</t>
        </is>
      </c>
      <c r="F12021" s="30" t="inlineStr">
        <is>
          <t>2023</t>
        </is>
      </c>
      <c r="G12021" s="40" t="n">
        <v>0</v>
      </c>
    </row>
    <row r="12022" ht="12" customHeight="1">
      <c r="A12022" s="30" t="inlineStr">
        <is>
          <t>POR</t>
        </is>
      </c>
      <c r="B12022" s="30" t="inlineStr">
        <is>
          <t>Porto Real</t>
        </is>
      </c>
      <c r="C12022" s="30" t="n">
        <v>86570734</v>
      </c>
      <c r="D12022" s="30">
        <f>"96178405000860"</f>
        <v/>
      </c>
      <c r="E12022" s="30" t="inlineStr">
        <is>
          <t>SANKYU LOGISTICS DESPACHOS ADUANEIROS LTDA</t>
        </is>
      </c>
      <c r="F12022" s="30" t="inlineStr">
        <is>
          <t>2017</t>
        </is>
      </c>
      <c r="G12022" s="40" t="n">
        <v>956.62</v>
      </c>
    </row>
    <row r="12023" ht="12" customHeight="1">
      <c r="A12023" s="30" t="inlineStr">
        <is>
          <t>POR</t>
        </is>
      </c>
      <c r="B12023" s="30" t="inlineStr">
        <is>
          <t>Porto Real</t>
        </is>
      </c>
      <c r="C12023" s="30" t="n">
        <v>86570734</v>
      </c>
      <c r="D12023" s="30">
        <f>"96178405000860"</f>
        <v/>
      </c>
      <c r="E12023" s="30" t="inlineStr">
        <is>
          <t>SANKYU LOGISTICS DESPACHOS ADUANEIROS LTDA</t>
        </is>
      </c>
      <c r="F12023" s="30" t="inlineStr">
        <is>
          <t>2018</t>
        </is>
      </c>
      <c r="G12023" s="40" t="n">
        <v>0</v>
      </c>
    </row>
    <row r="12024" ht="12" customHeight="1">
      <c r="A12024" s="30" t="inlineStr">
        <is>
          <t>POR</t>
        </is>
      </c>
      <c r="B12024" s="30" t="inlineStr">
        <is>
          <t>Porto Real</t>
        </is>
      </c>
      <c r="C12024" s="30" t="n">
        <v>86570734</v>
      </c>
      <c r="D12024" s="30">
        <f>"96178405000860"</f>
        <v/>
      </c>
      <c r="E12024" s="30" t="inlineStr">
        <is>
          <t>SANKYU LOGISTICS DESPACHOS ADUANEIROS LTDA</t>
        </is>
      </c>
      <c r="F12024" s="30" t="inlineStr">
        <is>
          <t>2019</t>
        </is>
      </c>
      <c r="G12024" s="40" t="n">
        <v>0</v>
      </c>
    </row>
    <row r="12025" ht="12" customHeight="1">
      <c r="A12025" s="30" t="inlineStr">
        <is>
          <t>POR</t>
        </is>
      </c>
      <c r="B12025" s="30" t="inlineStr">
        <is>
          <t>Porto Real</t>
        </is>
      </c>
      <c r="C12025" s="30" t="n">
        <v>86583704</v>
      </c>
      <c r="D12025" s="30">
        <f>"19224751000110"</f>
        <v/>
      </c>
      <c r="E12025" s="30" t="inlineStr">
        <is>
          <t>TNC CONSTRUTORA EIRELI</t>
        </is>
      </c>
      <c r="F12025" s="30" t="inlineStr">
        <is>
          <t>2017</t>
        </is>
      </c>
      <c r="G12025" s="40" t="n">
        <v>0</v>
      </c>
    </row>
    <row r="12026" ht="12" customHeight="1">
      <c r="A12026" s="30" t="inlineStr">
        <is>
          <t>POR</t>
        </is>
      </c>
      <c r="B12026" s="30" t="inlineStr">
        <is>
          <t>Porto Real</t>
        </is>
      </c>
      <c r="C12026" s="30" t="n">
        <v>86583704</v>
      </c>
      <c r="D12026" s="30">
        <f>"19224751000110"</f>
        <v/>
      </c>
      <c r="E12026" s="30" t="inlineStr">
        <is>
          <t>TNC CONSTRUTORA EIRELI</t>
        </is>
      </c>
      <c r="F12026" s="30" t="inlineStr">
        <is>
          <t>2018</t>
        </is>
      </c>
      <c r="G12026" s="40" t="n">
        <v>0</v>
      </c>
    </row>
    <row r="12027" ht="12" customHeight="1">
      <c r="A12027" s="30" t="inlineStr">
        <is>
          <t>POR</t>
        </is>
      </c>
      <c r="B12027" s="30" t="inlineStr">
        <is>
          <t>Porto Real</t>
        </is>
      </c>
      <c r="C12027" s="30" t="n">
        <v>86583704</v>
      </c>
      <c r="D12027" s="30">
        <f>"19224751000110"</f>
        <v/>
      </c>
      <c r="E12027" s="30" t="inlineStr">
        <is>
          <t>TNC CONSTRUTORA EIRELI</t>
        </is>
      </c>
      <c r="F12027" s="30" t="inlineStr">
        <is>
          <t>2019</t>
        </is>
      </c>
      <c r="G12027" s="40" t="n">
        <v>0</v>
      </c>
    </row>
    <row r="12028" ht="12" customHeight="1">
      <c r="A12028" s="30" t="inlineStr">
        <is>
          <t>POR</t>
        </is>
      </c>
      <c r="B12028" s="30" t="inlineStr">
        <is>
          <t>Porto Real</t>
        </is>
      </c>
      <c r="C12028" s="30" t="n">
        <v>86583704</v>
      </c>
      <c r="D12028" s="30">
        <f>"19224751000110"</f>
        <v/>
      </c>
      <c r="E12028" s="30" t="inlineStr">
        <is>
          <t>TNC CONSTRUTORA EIRELI</t>
        </is>
      </c>
      <c r="F12028" s="30" t="inlineStr">
        <is>
          <t>2020</t>
        </is>
      </c>
      <c r="G12028" s="40" t="n">
        <v>0</v>
      </c>
    </row>
    <row r="12029" ht="12" customHeight="1">
      <c r="A12029" s="30" t="inlineStr">
        <is>
          <t>POR</t>
        </is>
      </c>
      <c r="B12029" s="30" t="inlineStr">
        <is>
          <t>Porto Real</t>
        </is>
      </c>
      <c r="C12029" s="30" t="n">
        <v>86583704</v>
      </c>
      <c r="D12029" s="30">
        <f>"19224751000110"</f>
        <v/>
      </c>
      <c r="E12029" s="30" t="inlineStr">
        <is>
          <t>TNC CONSTRUTORA EIRELI</t>
        </is>
      </c>
      <c r="F12029" s="30" t="inlineStr">
        <is>
          <t>2021</t>
        </is>
      </c>
      <c r="G12029" s="40" t="n">
        <v>0</v>
      </c>
    </row>
    <row r="12030" ht="12" customHeight="1">
      <c r="A12030" s="30" t="inlineStr">
        <is>
          <t>POR</t>
        </is>
      </c>
      <c r="B12030" s="30" t="inlineStr">
        <is>
          <t>Porto Real</t>
        </is>
      </c>
      <c r="C12030" s="30" t="n">
        <v>86583704</v>
      </c>
      <c r="D12030" s="30">
        <f>"19224751000110"</f>
        <v/>
      </c>
      <c r="E12030" s="30" t="inlineStr">
        <is>
          <t>TNC CONSTRUTORA EIRELI</t>
        </is>
      </c>
      <c r="F12030" s="30" t="inlineStr">
        <is>
          <t>2022</t>
        </is>
      </c>
      <c r="G12030" s="40" t="n">
        <v>0</v>
      </c>
    </row>
    <row r="12031" ht="12" customHeight="1">
      <c r="A12031" s="30" t="inlineStr">
        <is>
          <t>POR</t>
        </is>
      </c>
      <c r="B12031" s="30" t="inlineStr">
        <is>
          <t>Porto Real</t>
        </is>
      </c>
      <c r="C12031" s="30" t="n">
        <v>86583704</v>
      </c>
      <c r="D12031" s="30">
        <f>"19224751000110"</f>
        <v/>
      </c>
      <c r="E12031" s="30" t="inlineStr">
        <is>
          <t>TNC CONSTRUTORA EIRELI</t>
        </is>
      </c>
      <c r="F12031" s="30" t="inlineStr">
        <is>
          <t>2023</t>
        </is>
      </c>
      <c r="G12031" s="40" t="n">
        <v>0</v>
      </c>
    </row>
    <row r="12032" ht="12" customHeight="1">
      <c r="A12032" s="30" t="inlineStr">
        <is>
          <t>POR</t>
        </is>
      </c>
      <c r="B12032" s="30" t="inlineStr">
        <is>
          <t>Porto Real</t>
        </is>
      </c>
      <c r="C12032" s="30" t="n">
        <v>86589710</v>
      </c>
      <c r="D12032" s="30">
        <f>"12116971000857"</f>
        <v/>
      </c>
      <c r="E12032" s="30" t="inlineStr">
        <is>
          <t>TIMBRO COMERCIO EXTERIOR LTDA</t>
        </is>
      </c>
      <c r="F12032" s="30" t="inlineStr">
        <is>
          <t>2017</t>
        </is>
      </c>
      <c r="G12032" s="40" t="n">
        <v>0</v>
      </c>
    </row>
    <row r="12033" ht="12" customHeight="1">
      <c r="A12033" s="30" t="inlineStr">
        <is>
          <t>POR</t>
        </is>
      </c>
      <c r="B12033" s="30" t="inlineStr">
        <is>
          <t>Porto Real</t>
        </is>
      </c>
      <c r="C12033" s="30" t="n">
        <v>86589710</v>
      </c>
      <c r="D12033" s="30">
        <f>"12116971000857"</f>
        <v/>
      </c>
      <c r="E12033" s="30" t="inlineStr">
        <is>
          <t>TIMBRO COMERCIO EXTERIOR LTDA</t>
        </is>
      </c>
      <c r="F12033" s="30" t="inlineStr">
        <is>
          <t>2018</t>
        </is>
      </c>
      <c r="G12033" s="40" t="n">
        <v>383798.16</v>
      </c>
    </row>
    <row r="12034" ht="12" customHeight="1">
      <c r="A12034" s="30" t="inlineStr">
        <is>
          <t>POR</t>
        </is>
      </c>
      <c r="B12034" s="30" t="inlineStr">
        <is>
          <t>Porto Real</t>
        </is>
      </c>
      <c r="C12034" s="30" t="n">
        <v>86589710</v>
      </c>
      <c r="D12034" s="30">
        <f>"12116971000857"</f>
        <v/>
      </c>
      <c r="E12034" s="30" t="inlineStr">
        <is>
          <t>TIMBRO COMERCIO EXTERIOR LTDA</t>
        </is>
      </c>
      <c r="F12034" s="30" t="inlineStr">
        <is>
          <t>2019</t>
        </is>
      </c>
      <c r="G12034" s="40" t="n">
        <v>0</v>
      </c>
    </row>
    <row r="12035" ht="12" customHeight="1">
      <c r="A12035" s="30" t="inlineStr">
        <is>
          <t>POR</t>
        </is>
      </c>
      <c r="B12035" s="30" t="inlineStr">
        <is>
          <t>Porto Real</t>
        </is>
      </c>
      <c r="C12035" s="30" t="n">
        <v>86589710</v>
      </c>
      <c r="D12035" s="30">
        <f>"12116971000857"</f>
        <v/>
      </c>
      <c r="E12035" s="30" t="inlineStr">
        <is>
          <t>TIMBRO COMERCIO EXTERIOR LTDA</t>
        </is>
      </c>
      <c r="F12035" s="30" t="inlineStr">
        <is>
          <t>2020</t>
        </is>
      </c>
      <c r="G12035" s="40" t="n">
        <v>0</v>
      </c>
    </row>
    <row r="12036" ht="12" customHeight="1">
      <c r="A12036" s="30" t="inlineStr">
        <is>
          <t>POR</t>
        </is>
      </c>
      <c r="B12036" s="30" t="inlineStr">
        <is>
          <t>Porto Real</t>
        </is>
      </c>
      <c r="C12036" s="30" t="n">
        <v>86589710</v>
      </c>
      <c r="D12036" s="30">
        <f>"12116971000857"</f>
        <v/>
      </c>
      <c r="E12036" s="30" t="inlineStr">
        <is>
          <t>TIMBRO COMERCIO EXTERIOR LTDA</t>
        </is>
      </c>
      <c r="F12036" s="30" t="inlineStr">
        <is>
          <t>2021</t>
        </is>
      </c>
      <c r="G12036" s="40" t="n">
        <v>0</v>
      </c>
    </row>
    <row r="12037" ht="12" customHeight="1">
      <c r="A12037" s="30" t="inlineStr">
        <is>
          <t>POR</t>
        </is>
      </c>
      <c r="B12037" s="30" t="inlineStr">
        <is>
          <t>Porto Real</t>
        </is>
      </c>
      <c r="C12037" s="30" t="n">
        <v>86589710</v>
      </c>
      <c r="D12037" s="30">
        <f>"12116971000857"</f>
        <v/>
      </c>
      <c r="E12037" s="30" t="inlineStr">
        <is>
          <t>TIMBRO COMERCIO EXTERIOR LTDA</t>
        </is>
      </c>
      <c r="F12037" s="30" t="inlineStr">
        <is>
          <t>2022</t>
        </is>
      </c>
      <c r="G12037" s="40" t="n">
        <v>0</v>
      </c>
    </row>
    <row r="12038" ht="12" customHeight="1">
      <c r="A12038" s="30" t="inlineStr">
        <is>
          <t>POR</t>
        </is>
      </c>
      <c r="B12038" s="30" t="inlineStr">
        <is>
          <t>Porto Real</t>
        </is>
      </c>
      <c r="C12038" s="30" t="n">
        <v>86589710</v>
      </c>
      <c r="D12038" s="30">
        <f>"12116971000857"</f>
        <v/>
      </c>
      <c r="E12038" s="30" t="inlineStr">
        <is>
          <t>TIMBRO COMERCIO EXTERIOR LTDA</t>
        </is>
      </c>
      <c r="F12038" s="30" t="inlineStr">
        <is>
          <t>2023</t>
        </is>
      </c>
      <c r="G12038" s="40" t="n">
        <v>0</v>
      </c>
    </row>
    <row r="12039" ht="12" customHeight="1">
      <c r="A12039" s="30" t="inlineStr">
        <is>
          <t>POR</t>
        </is>
      </c>
      <c r="B12039" s="30" t="inlineStr">
        <is>
          <t>Porto Real</t>
        </is>
      </c>
      <c r="C12039" s="30" t="n">
        <v>86604060</v>
      </c>
      <c r="D12039" s="30">
        <f>"89086144000973"</f>
        <v/>
      </c>
      <c r="E12039" s="30" t="inlineStr">
        <is>
          <t>RANDON S A IMPLEMENTOS E PARTICIPACOES</t>
        </is>
      </c>
      <c r="F12039" s="30" t="inlineStr">
        <is>
          <t>2017</t>
        </is>
      </c>
      <c r="G12039" s="40" t="n">
        <v>0</v>
      </c>
    </row>
    <row r="12040" ht="12" customHeight="1">
      <c r="A12040" s="30" t="inlineStr">
        <is>
          <t>POR</t>
        </is>
      </c>
      <c r="B12040" s="30" t="inlineStr">
        <is>
          <t>Porto Real</t>
        </is>
      </c>
      <c r="C12040" s="30" t="n">
        <v>86604060</v>
      </c>
      <c r="D12040" s="30">
        <f>"89086144000973"</f>
        <v/>
      </c>
      <c r="E12040" s="30" t="inlineStr">
        <is>
          <t>RANDON S A IMPLEMENTOS E PARTICIPACOES</t>
        </is>
      </c>
      <c r="F12040" s="30" t="inlineStr">
        <is>
          <t>2018</t>
        </is>
      </c>
      <c r="G12040" s="40" t="n">
        <v>0</v>
      </c>
    </row>
    <row r="12041" ht="12" customHeight="1">
      <c r="A12041" s="30" t="inlineStr">
        <is>
          <t>POR</t>
        </is>
      </c>
      <c r="B12041" s="30" t="inlineStr">
        <is>
          <t>Porto Real</t>
        </is>
      </c>
      <c r="C12041" s="30" t="n">
        <v>86604060</v>
      </c>
      <c r="D12041" s="30">
        <f>"89086144000973"</f>
        <v/>
      </c>
      <c r="E12041" s="30" t="inlineStr">
        <is>
          <t>RANDON S A IMPLEMENTOS E PARTICIPACOES</t>
        </is>
      </c>
      <c r="F12041" s="30" t="inlineStr">
        <is>
          <t>2019</t>
        </is>
      </c>
      <c r="G12041" s="40" t="n">
        <v>0</v>
      </c>
    </row>
    <row r="12042" ht="12" customHeight="1">
      <c r="A12042" s="30" t="inlineStr">
        <is>
          <t>POR</t>
        </is>
      </c>
      <c r="B12042" s="30" t="inlineStr">
        <is>
          <t>Porto Real</t>
        </is>
      </c>
      <c r="C12042" s="30" t="n">
        <v>86604060</v>
      </c>
      <c r="D12042" s="30">
        <f>"89086144000973"</f>
        <v/>
      </c>
      <c r="E12042" s="30" t="inlineStr">
        <is>
          <t>RANDON S A IMPLEMENTOS E PARTICIPACOES</t>
        </is>
      </c>
      <c r="F12042" s="30" t="inlineStr">
        <is>
          <t>2020</t>
        </is>
      </c>
      <c r="G12042" s="40" t="n">
        <v>85676.06</v>
      </c>
    </row>
    <row r="12043" ht="12" customHeight="1">
      <c r="A12043" s="30" t="inlineStr">
        <is>
          <t>POR</t>
        </is>
      </c>
      <c r="B12043" s="30" t="inlineStr">
        <is>
          <t>Porto Real</t>
        </is>
      </c>
      <c r="C12043" s="30" t="n">
        <v>86604060</v>
      </c>
      <c r="D12043" s="30">
        <f>"89086144000973"</f>
        <v/>
      </c>
      <c r="E12043" s="30" t="inlineStr">
        <is>
          <t>RANDON S A IMPLEMENTOS E PARTICIPACOES</t>
        </is>
      </c>
      <c r="F12043" s="30" t="inlineStr">
        <is>
          <t>2021</t>
        </is>
      </c>
      <c r="G12043" s="40" t="n">
        <v>1363381.49</v>
      </c>
    </row>
    <row r="12044" ht="12" customHeight="1">
      <c r="A12044" s="30" t="inlineStr">
        <is>
          <t>POR</t>
        </is>
      </c>
      <c r="B12044" s="30" t="inlineStr">
        <is>
          <t>Porto Real</t>
        </is>
      </c>
      <c r="C12044" s="30" t="n">
        <v>86604060</v>
      </c>
      <c r="D12044" s="30">
        <f>"89086144000973"</f>
        <v/>
      </c>
      <c r="E12044" s="30" t="inlineStr">
        <is>
          <t>RANDON S A IMPLEMENTOS E PARTICIPACOES</t>
        </is>
      </c>
      <c r="F12044" s="30" t="inlineStr">
        <is>
          <t>2022</t>
        </is>
      </c>
      <c r="G12044" s="40" t="n">
        <v>0</v>
      </c>
    </row>
    <row r="12045" ht="12" customHeight="1">
      <c r="A12045" s="30" t="inlineStr">
        <is>
          <t>POR</t>
        </is>
      </c>
      <c r="B12045" s="30" t="inlineStr">
        <is>
          <t>Porto Real</t>
        </is>
      </c>
      <c r="C12045" s="30" t="n">
        <v>86604060</v>
      </c>
      <c r="D12045" s="30">
        <f>"89086144000973"</f>
        <v/>
      </c>
      <c r="E12045" s="30" t="inlineStr">
        <is>
          <t>RANDON S A IMPLEMENTOS E PARTICIPACOES</t>
        </is>
      </c>
      <c r="F12045" s="30" t="inlineStr">
        <is>
          <t>2023</t>
        </is>
      </c>
      <c r="G12045" s="40" t="n">
        <v>0</v>
      </c>
    </row>
    <row r="12046" ht="12" customHeight="1">
      <c r="A12046" s="30" t="inlineStr">
        <is>
          <t>POR</t>
        </is>
      </c>
      <c r="B12046" s="30" t="inlineStr">
        <is>
          <t>Porto Real</t>
        </is>
      </c>
      <c r="C12046" s="30" t="n">
        <v>86614707</v>
      </c>
      <c r="D12046" s="30">
        <f>"17814074000407"</f>
        <v/>
      </c>
      <c r="E12046" s="30" t="inlineStr">
        <is>
          <t>NORTES TRANSPORTE E COMERCIO E SERVICOS LTDA</t>
        </is>
      </c>
      <c r="F12046" s="30" t="inlineStr">
        <is>
          <t>2017</t>
        </is>
      </c>
      <c r="G12046" s="40" t="n">
        <v>48.74</v>
      </c>
    </row>
    <row r="12047" ht="12" customHeight="1">
      <c r="A12047" s="30" t="inlineStr">
        <is>
          <t>POR</t>
        </is>
      </c>
      <c r="B12047" s="30" t="inlineStr">
        <is>
          <t>Porto Real</t>
        </is>
      </c>
      <c r="C12047" s="30" t="n">
        <v>86614707</v>
      </c>
      <c r="D12047" s="30">
        <f>"17814074000407"</f>
        <v/>
      </c>
      <c r="E12047" s="30" t="inlineStr">
        <is>
          <t>NORTES TRANSPORTE E COMERCIO E SERVICOS LTDA</t>
        </is>
      </c>
      <c r="F12047" s="30" t="inlineStr">
        <is>
          <t>2018</t>
        </is>
      </c>
      <c r="G12047" s="40" t="n">
        <v>0</v>
      </c>
    </row>
    <row r="12048" ht="12" customHeight="1">
      <c r="A12048" s="30" t="inlineStr">
        <is>
          <t>POR</t>
        </is>
      </c>
      <c r="B12048" s="30" t="inlineStr">
        <is>
          <t>Porto Real</t>
        </is>
      </c>
      <c r="C12048" s="30" t="n">
        <v>86614707</v>
      </c>
      <c r="D12048" s="30">
        <f>"17814074000407"</f>
        <v/>
      </c>
      <c r="E12048" s="30" t="inlineStr">
        <is>
          <t>NORTES TRANSPORTE E COMERCIO E SERVICOS LTDA</t>
        </is>
      </c>
      <c r="F12048" s="30" t="inlineStr">
        <is>
          <t>2019</t>
        </is>
      </c>
      <c r="G12048" s="40" t="n">
        <v>0</v>
      </c>
    </row>
    <row r="12049" ht="12" customHeight="1">
      <c r="A12049" s="30" t="inlineStr">
        <is>
          <t>POR</t>
        </is>
      </c>
      <c r="B12049" s="30" t="inlineStr">
        <is>
          <t>Porto Real</t>
        </is>
      </c>
      <c r="C12049" s="30" t="n">
        <v>86635577</v>
      </c>
      <c r="D12049" s="30">
        <f>"82270711001627"</f>
        <v/>
      </c>
      <c r="E12049" s="30" t="inlineStr">
        <is>
          <t>CARGOLIFT LOGISTICA S/A</t>
        </is>
      </c>
      <c r="F12049" s="30" t="inlineStr">
        <is>
          <t>2017</t>
        </is>
      </c>
      <c r="G12049" s="40" t="n">
        <v>1040600.28</v>
      </c>
    </row>
    <row r="12050" ht="12" customHeight="1">
      <c r="A12050" s="30" t="inlineStr">
        <is>
          <t>POR</t>
        </is>
      </c>
      <c r="B12050" s="30" t="inlineStr">
        <is>
          <t>Porto Real</t>
        </is>
      </c>
      <c r="C12050" s="30" t="n">
        <v>86635577</v>
      </c>
      <c r="D12050" s="30">
        <f>"82270711001627"</f>
        <v/>
      </c>
      <c r="E12050" s="30" t="inlineStr">
        <is>
          <t>CARGOLIFT LOGISTICA S/A</t>
        </is>
      </c>
      <c r="F12050" s="30" t="inlineStr">
        <is>
          <t>2018</t>
        </is>
      </c>
      <c r="G12050" s="40" t="n">
        <v>1707256.53</v>
      </c>
    </row>
    <row r="12051" ht="12" customHeight="1">
      <c r="A12051" s="30" t="inlineStr">
        <is>
          <t>POR</t>
        </is>
      </c>
      <c r="B12051" s="30" t="inlineStr">
        <is>
          <t>Porto Real</t>
        </is>
      </c>
      <c r="C12051" s="30" t="n">
        <v>86635577</v>
      </c>
      <c r="D12051" s="30">
        <f>"82270711001627"</f>
        <v/>
      </c>
      <c r="E12051" s="30" t="inlineStr">
        <is>
          <t>CARGOLIFT LOGISTICA S/A</t>
        </is>
      </c>
      <c r="F12051" s="30" t="inlineStr">
        <is>
          <t>2019</t>
        </is>
      </c>
      <c r="G12051" s="40" t="n">
        <v>1471270.16</v>
      </c>
    </row>
    <row r="12052" ht="12" customHeight="1">
      <c r="A12052" s="30" t="inlineStr">
        <is>
          <t>POR</t>
        </is>
      </c>
      <c r="B12052" s="30" t="inlineStr">
        <is>
          <t>Porto Real</t>
        </is>
      </c>
      <c r="C12052" s="30" t="n">
        <v>86635577</v>
      </c>
      <c r="D12052" s="30">
        <f>"82270711001627"</f>
        <v/>
      </c>
      <c r="E12052" s="30" t="inlineStr">
        <is>
          <t>CARGOLIFT LOGISTICA S/A</t>
        </is>
      </c>
      <c r="F12052" s="30" t="inlineStr">
        <is>
          <t>2020</t>
        </is>
      </c>
      <c r="G12052" s="40" t="n">
        <v>577360.01</v>
      </c>
    </row>
    <row r="12053" ht="12" customHeight="1">
      <c r="A12053" s="30" t="inlineStr">
        <is>
          <t>POR</t>
        </is>
      </c>
      <c r="B12053" s="30" t="inlineStr">
        <is>
          <t>Porto Real</t>
        </is>
      </c>
      <c r="C12053" s="30" t="n">
        <v>86635577</v>
      </c>
      <c r="D12053" s="30">
        <f>"82270711001627"</f>
        <v/>
      </c>
      <c r="E12053" s="30" t="inlineStr">
        <is>
          <t>CARGOLIFT LOGISTICA S/A</t>
        </is>
      </c>
      <c r="F12053" s="30" t="inlineStr">
        <is>
          <t>2021</t>
        </is>
      </c>
      <c r="G12053" s="40" t="n">
        <v>0</v>
      </c>
    </row>
    <row r="12054" ht="12" customHeight="1">
      <c r="A12054" s="30" t="inlineStr">
        <is>
          <t>POR</t>
        </is>
      </c>
      <c r="B12054" s="30" t="inlineStr">
        <is>
          <t>Porto Real</t>
        </is>
      </c>
      <c r="C12054" s="30" t="n">
        <v>86635577</v>
      </c>
      <c r="D12054" s="30">
        <f>"82270711001627"</f>
        <v/>
      </c>
      <c r="E12054" s="30" t="inlineStr">
        <is>
          <t>CARGOLIFT LOGISTICA S/A</t>
        </is>
      </c>
      <c r="F12054" s="30" t="inlineStr">
        <is>
          <t>2022</t>
        </is>
      </c>
      <c r="G12054" s="40" t="n">
        <v>0</v>
      </c>
    </row>
    <row r="12055" ht="12" customHeight="1">
      <c r="A12055" s="30" t="inlineStr">
        <is>
          <t>POR</t>
        </is>
      </c>
      <c r="B12055" s="30" t="inlineStr">
        <is>
          <t>Porto Real</t>
        </is>
      </c>
      <c r="C12055" s="30" t="n">
        <v>86639750</v>
      </c>
      <c r="D12055" s="30">
        <f>"19737004000185"</f>
        <v/>
      </c>
      <c r="E12055" s="30" t="inlineStr">
        <is>
          <t>NEW CARGO TRANSPORTE E LOGISTICA LTDA ME</t>
        </is>
      </c>
      <c r="F12055" s="30" t="inlineStr">
        <is>
          <t>2019</t>
        </is>
      </c>
      <c r="G12055" s="40" t="n">
        <v>0</v>
      </c>
    </row>
    <row r="12056" ht="12" customHeight="1">
      <c r="A12056" s="30" t="inlineStr">
        <is>
          <t>POR</t>
        </is>
      </c>
      <c r="B12056" s="30" t="inlineStr">
        <is>
          <t>Porto Real</t>
        </is>
      </c>
      <c r="C12056" s="30" t="n">
        <v>86639750</v>
      </c>
      <c r="D12056" s="30">
        <f>"19737004000185"</f>
        <v/>
      </c>
      <c r="E12056" s="30" t="inlineStr">
        <is>
          <t>NEW CARGO TRANSPORTE E LOGISTICA LTDA ME</t>
        </is>
      </c>
      <c r="F12056" s="30" t="inlineStr">
        <is>
          <t>2020</t>
        </is>
      </c>
      <c r="G12056" s="40" t="n">
        <v>0</v>
      </c>
    </row>
    <row r="12057" ht="12" customHeight="1">
      <c r="A12057" s="30" t="inlineStr">
        <is>
          <t>POR</t>
        </is>
      </c>
      <c r="B12057" s="30" t="inlineStr">
        <is>
          <t>Porto Real</t>
        </is>
      </c>
      <c r="C12057" s="30" t="n">
        <v>86639750</v>
      </c>
      <c r="D12057" s="30">
        <f>"19737004000185"</f>
        <v/>
      </c>
      <c r="E12057" s="30" t="inlineStr">
        <is>
          <t>NEW CARGO TRANSPORTE E LOGISTICA LTDA ME</t>
        </is>
      </c>
      <c r="F12057" s="30" t="inlineStr">
        <is>
          <t>2021</t>
        </is>
      </c>
      <c r="G12057" s="40" t="n">
        <v>169493.06</v>
      </c>
    </row>
    <row r="12058" ht="12" customHeight="1">
      <c r="A12058" s="30" t="inlineStr">
        <is>
          <t>POR</t>
        </is>
      </c>
      <c r="B12058" s="30" t="inlineStr">
        <is>
          <t>Porto Real</t>
        </is>
      </c>
      <c r="C12058" s="30" t="n">
        <v>86639750</v>
      </c>
      <c r="D12058" s="30">
        <f>"19737004000185"</f>
        <v/>
      </c>
      <c r="E12058" s="30" t="inlineStr">
        <is>
          <t>NEW CARGO TRANSPORTE E LOGISTICA LTDA ME</t>
        </is>
      </c>
      <c r="F12058" s="30" t="inlineStr">
        <is>
          <t>2022</t>
        </is>
      </c>
      <c r="G12058" s="40" t="n">
        <v>583008.0699999999</v>
      </c>
    </row>
    <row r="12059" ht="12" customHeight="1">
      <c r="A12059" s="30" t="inlineStr">
        <is>
          <t>POR</t>
        </is>
      </c>
      <c r="B12059" s="30" t="inlineStr">
        <is>
          <t>Porto Real</t>
        </is>
      </c>
      <c r="C12059" s="30" t="n">
        <v>86639750</v>
      </c>
      <c r="D12059" s="30">
        <f>"19737004000185"</f>
        <v/>
      </c>
      <c r="E12059" s="30" t="inlineStr">
        <is>
          <t>NEW CARGO TRANSPORTE E LOGISTICA LTDA ME</t>
        </is>
      </c>
      <c r="F12059" s="30" t="inlineStr">
        <is>
          <t>2023</t>
        </is>
      </c>
      <c r="G12059" s="40" t="n">
        <v>832585.3199999999</v>
      </c>
    </row>
    <row r="12060" ht="12" customHeight="1">
      <c r="A12060" s="30" t="inlineStr">
        <is>
          <t>POR</t>
        </is>
      </c>
      <c r="B12060" s="30" t="inlineStr">
        <is>
          <t>Porto Real</t>
        </is>
      </c>
      <c r="C12060" s="30" t="n">
        <v>86659069</v>
      </c>
      <c r="D12060" s="30">
        <f>"06235812000607"</f>
        <v/>
      </c>
      <c r="E12060" s="30" t="inlineStr">
        <is>
          <t>CESLOG - CESARI LOGISTICA LTDA</t>
        </is>
      </c>
      <c r="F12060" s="30" t="inlineStr">
        <is>
          <t>2017</t>
        </is>
      </c>
      <c r="G12060" s="40" t="n">
        <v>4696.65</v>
      </c>
    </row>
    <row r="12061" ht="12" customHeight="1">
      <c r="A12061" s="30" t="inlineStr">
        <is>
          <t>POR</t>
        </is>
      </c>
      <c r="B12061" s="30" t="inlineStr">
        <is>
          <t>Porto Real</t>
        </is>
      </c>
      <c r="C12061" s="30" t="n">
        <v>86659069</v>
      </c>
      <c r="D12061" s="30">
        <f>"06235812000607"</f>
        <v/>
      </c>
      <c r="E12061" s="30" t="inlineStr">
        <is>
          <t>CESLOG - CESARI LOGISTICA LTDA</t>
        </is>
      </c>
      <c r="F12061" s="30" t="inlineStr">
        <is>
          <t>2018</t>
        </is>
      </c>
      <c r="G12061" s="40" t="n">
        <v>1578.96</v>
      </c>
    </row>
    <row r="12062" ht="12" customHeight="1">
      <c r="A12062" s="30" t="inlineStr">
        <is>
          <t>POR</t>
        </is>
      </c>
      <c r="B12062" s="30" t="inlineStr">
        <is>
          <t>Porto Real</t>
        </is>
      </c>
      <c r="C12062" s="30" t="n">
        <v>86659069</v>
      </c>
      <c r="D12062" s="30">
        <f>"06235812000607"</f>
        <v/>
      </c>
      <c r="E12062" s="30" t="inlineStr">
        <is>
          <t>CESLOG - CESARI LOGISTICA LTDA</t>
        </is>
      </c>
      <c r="F12062" s="30" t="inlineStr">
        <is>
          <t>2019</t>
        </is>
      </c>
      <c r="G12062" s="40" t="n">
        <v>1698.06</v>
      </c>
    </row>
    <row r="12063" ht="12" customHeight="1">
      <c r="A12063" s="30" t="inlineStr">
        <is>
          <t>POR</t>
        </is>
      </c>
      <c r="B12063" s="30" t="inlineStr">
        <is>
          <t>Porto Real</t>
        </is>
      </c>
      <c r="C12063" s="30" t="n">
        <v>86659069</v>
      </c>
      <c r="D12063" s="30">
        <f>"06235812000607"</f>
        <v/>
      </c>
      <c r="E12063" s="30" t="inlineStr">
        <is>
          <t>CESLOG - CESARI LOGISTICA LTDA</t>
        </is>
      </c>
      <c r="F12063" s="30" t="inlineStr">
        <is>
          <t>2020</t>
        </is>
      </c>
      <c r="G12063" s="40" t="n">
        <v>3917.74</v>
      </c>
    </row>
    <row r="12064" ht="12" customHeight="1">
      <c r="A12064" s="30" t="inlineStr">
        <is>
          <t>POR</t>
        </is>
      </c>
      <c r="B12064" s="30" t="inlineStr">
        <is>
          <t>Porto Real</t>
        </is>
      </c>
      <c r="C12064" s="30" t="n">
        <v>86659069</v>
      </c>
      <c r="D12064" s="30">
        <f>"06235812000607"</f>
        <v/>
      </c>
      <c r="E12064" s="30" t="inlineStr">
        <is>
          <t>CESLOG - CESARI LOGISTICA LTDA</t>
        </is>
      </c>
      <c r="F12064" s="30" t="inlineStr">
        <is>
          <t>2021</t>
        </is>
      </c>
      <c r="G12064" s="40" t="n">
        <v>2455.63</v>
      </c>
    </row>
    <row r="12065" ht="12" customHeight="1">
      <c r="A12065" s="30" t="inlineStr">
        <is>
          <t>POR</t>
        </is>
      </c>
      <c r="B12065" s="30" t="inlineStr">
        <is>
          <t>Porto Real</t>
        </is>
      </c>
      <c r="C12065" s="30" t="n">
        <v>86659069</v>
      </c>
      <c r="D12065" s="30">
        <f>"06235812000607"</f>
        <v/>
      </c>
      <c r="E12065" s="30" t="inlineStr">
        <is>
          <t>CESLOG - CESARI LOGISTICA LTDA</t>
        </is>
      </c>
      <c r="F12065" s="30" t="inlineStr">
        <is>
          <t>2022</t>
        </is>
      </c>
      <c r="G12065" s="40" t="n">
        <v>0</v>
      </c>
    </row>
    <row r="12066" ht="12" customHeight="1">
      <c r="A12066" s="30" t="inlineStr">
        <is>
          <t>POR</t>
        </is>
      </c>
      <c r="B12066" s="30" t="inlineStr">
        <is>
          <t>Porto Real</t>
        </is>
      </c>
      <c r="C12066" s="30" t="n">
        <v>86659069</v>
      </c>
      <c r="D12066" s="30">
        <f>"06235812000607"</f>
        <v/>
      </c>
      <c r="E12066" s="30" t="inlineStr">
        <is>
          <t>CESLOG - CESARI LOGISTICA LTDA</t>
        </is>
      </c>
      <c r="F12066" s="30" t="inlineStr">
        <is>
          <t>2023</t>
        </is>
      </c>
      <c r="G12066" s="40" t="n">
        <v>0</v>
      </c>
    </row>
    <row r="12067" ht="12" customHeight="1">
      <c r="A12067" s="30" t="inlineStr">
        <is>
          <t>POR</t>
        </is>
      </c>
      <c r="B12067" s="30" t="inlineStr">
        <is>
          <t>Porto Real</t>
        </is>
      </c>
      <c r="C12067" s="30" t="n">
        <v>86678020</v>
      </c>
      <c r="D12067" s="30">
        <f>"02743895000694"</f>
        <v/>
      </c>
      <c r="E12067" s="30" t="inlineStr">
        <is>
          <t>WEST AIR CARGO LTDA</t>
        </is>
      </c>
      <c r="F12067" s="30" t="inlineStr">
        <is>
          <t>2020</t>
        </is>
      </c>
      <c r="G12067" s="40" t="n">
        <v>0</v>
      </c>
    </row>
    <row r="12068" ht="12" customHeight="1">
      <c r="A12068" s="30" t="inlineStr">
        <is>
          <t>POR</t>
        </is>
      </c>
      <c r="B12068" s="30" t="inlineStr">
        <is>
          <t>Porto Real</t>
        </is>
      </c>
      <c r="C12068" s="30" t="n">
        <v>86678020</v>
      </c>
      <c r="D12068" s="30">
        <f>"02743895000694"</f>
        <v/>
      </c>
      <c r="E12068" s="30" t="inlineStr">
        <is>
          <t>WEST AIR CARGO LTDA</t>
        </is>
      </c>
      <c r="F12068" s="30" t="inlineStr">
        <is>
          <t>2021</t>
        </is>
      </c>
      <c r="G12068" s="40" t="n">
        <v>0</v>
      </c>
    </row>
    <row r="12069" ht="12" customHeight="1">
      <c r="A12069" s="30" t="inlineStr">
        <is>
          <t>POR</t>
        </is>
      </c>
      <c r="B12069" s="30" t="inlineStr">
        <is>
          <t>Porto Real</t>
        </is>
      </c>
      <c r="C12069" s="30" t="n">
        <v>86678020</v>
      </c>
      <c r="D12069" s="30">
        <f>"02743895000694"</f>
        <v/>
      </c>
      <c r="E12069" s="30" t="inlineStr">
        <is>
          <t>WEST AIR CARGO LTDA</t>
        </is>
      </c>
      <c r="F12069" s="30" t="inlineStr">
        <is>
          <t>2022</t>
        </is>
      </c>
      <c r="G12069" s="40" t="n">
        <v>4078.63</v>
      </c>
    </row>
    <row r="12070" ht="12" customHeight="1">
      <c r="A12070" s="30" t="inlineStr">
        <is>
          <t>POR</t>
        </is>
      </c>
      <c r="B12070" s="30" t="inlineStr">
        <is>
          <t>Porto Real</t>
        </is>
      </c>
      <c r="C12070" s="30" t="n">
        <v>86678020</v>
      </c>
      <c r="D12070" s="30">
        <f>"02743895000694"</f>
        <v/>
      </c>
      <c r="E12070" s="30" t="inlineStr">
        <is>
          <t>WEST AIR CARGO LTDA</t>
        </is>
      </c>
      <c r="F12070" s="30" t="inlineStr">
        <is>
          <t>2023</t>
        </is>
      </c>
      <c r="G12070" s="40" t="n">
        <v>0</v>
      </c>
    </row>
    <row r="12071" ht="12" customHeight="1">
      <c r="A12071" s="30" t="inlineStr">
        <is>
          <t>POR</t>
        </is>
      </c>
      <c r="B12071" s="30" t="inlineStr">
        <is>
          <t>Porto Real</t>
        </is>
      </c>
      <c r="C12071" s="30" t="n">
        <v>86681919</v>
      </c>
      <c r="D12071" s="30">
        <f>"92327410000321"</f>
        <v/>
      </c>
      <c r="E12071" s="30" t="inlineStr">
        <is>
          <t>KLL EQUIPAMENTOS PARA TRANSPORTE S/A</t>
        </is>
      </c>
      <c r="F12071" s="30" t="inlineStr">
        <is>
          <t>2017</t>
        </is>
      </c>
      <c r="G12071" s="40" t="n">
        <v>1566237.29</v>
      </c>
    </row>
    <row r="12072" ht="12" customHeight="1">
      <c r="A12072" s="30" t="inlineStr">
        <is>
          <t>POR</t>
        </is>
      </c>
      <c r="B12072" s="30" t="inlineStr">
        <is>
          <t>Porto Real</t>
        </is>
      </c>
      <c r="C12072" s="30" t="n">
        <v>86681919</v>
      </c>
      <c r="D12072" s="30">
        <f>"92327410000321"</f>
        <v/>
      </c>
      <c r="E12072" s="30" t="inlineStr">
        <is>
          <t>KLL EQUIPAMENTOS PARA TRANSPORTE S/A</t>
        </is>
      </c>
      <c r="F12072" s="30" t="inlineStr">
        <is>
          <t>2018</t>
        </is>
      </c>
      <c r="G12072" s="40" t="n">
        <v>1088535.63</v>
      </c>
    </row>
    <row r="12073" ht="12" customHeight="1">
      <c r="A12073" s="30" t="inlineStr">
        <is>
          <t>POR</t>
        </is>
      </c>
      <c r="B12073" s="30" t="inlineStr">
        <is>
          <t>Porto Real</t>
        </is>
      </c>
      <c r="C12073" s="30" t="n">
        <v>86681919</v>
      </c>
      <c r="D12073" s="30">
        <f>"92327410000321"</f>
        <v/>
      </c>
      <c r="E12073" s="30" t="inlineStr">
        <is>
          <t>KLL EQUIPAMENTOS PARA TRANSPORTE S/A</t>
        </is>
      </c>
      <c r="F12073" s="30" t="inlineStr">
        <is>
          <t>2019</t>
        </is>
      </c>
      <c r="G12073" s="40" t="n">
        <v>4638653.61</v>
      </c>
    </row>
    <row r="12074" ht="12" customHeight="1">
      <c r="A12074" s="30" t="inlineStr">
        <is>
          <t>POR</t>
        </is>
      </c>
      <c r="B12074" s="30" t="inlineStr">
        <is>
          <t>Porto Real</t>
        </is>
      </c>
      <c r="C12074" s="30" t="n">
        <v>86681919</v>
      </c>
      <c r="D12074" s="30">
        <f>"92327410000321"</f>
        <v/>
      </c>
      <c r="E12074" s="30" t="inlineStr">
        <is>
          <t>KLL EQUIPAMENTOS PARA TRANSPORTE S/A</t>
        </is>
      </c>
      <c r="F12074" s="30" t="inlineStr">
        <is>
          <t>2020</t>
        </is>
      </c>
      <c r="G12074" s="40" t="n">
        <v>1112347.18</v>
      </c>
    </row>
    <row r="12075" ht="12" customHeight="1">
      <c r="A12075" s="30" t="inlineStr">
        <is>
          <t>POR</t>
        </is>
      </c>
      <c r="B12075" s="30" t="inlineStr">
        <is>
          <t>Porto Real</t>
        </is>
      </c>
      <c r="C12075" s="30" t="n">
        <v>86681919</v>
      </c>
      <c r="D12075" s="30">
        <f>"92327410000321"</f>
        <v/>
      </c>
      <c r="E12075" s="30" t="inlineStr">
        <is>
          <t>KLL EQUIPAMENTOS PARA TRANSPORTE S/A</t>
        </is>
      </c>
      <c r="F12075" s="30" t="inlineStr">
        <is>
          <t>2021</t>
        </is>
      </c>
      <c r="G12075" s="40" t="n">
        <v>1295417.84</v>
      </c>
    </row>
    <row r="12076" ht="12" customHeight="1">
      <c r="A12076" s="30" t="inlineStr">
        <is>
          <t>POR</t>
        </is>
      </c>
      <c r="B12076" s="30" t="inlineStr">
        <is>
          <t>Porto Real</t>
        </is>
      </c>
      <c r="C12076" s="30" t="n">
        <v>86681919</v>
      </c>
      <c r="D12076" s="30">
        <f>"92327410000321"</f>
        <v/>
      </c>
      <c r="E12076" s="30" t="inlineStr">
        <is>
          <t>KLL EQUIPAMENTOS PARA TRANSPORTE S/A</t>
        </is>
      </c>
      <c r="F12076" s="30" t="inlineStr">
        <is>
          <t>2022</t>
        </is>
      </c>
      <c r="G12076" s="40" t="n">
        <v>218229.11</v>
      </c>
    </row>
    <row r="12077" ht="12" customHeight="1">
      <c r="A12077" s="30" t="inlineStr">
        <is>
          <t>POR</t>
        </is>
      </c>
      <c r="B12077" s="30" t="inlineStr">
        <is>
          <t>Porto Real</t>
        </is>
      </c>
      <c r="C12077" s="30" t="n">
        <v>86681919</v>
      </c>
      <c r="D12077" s="30">
        <f>"92327410000321"</f>
        <v/>
      </c>
      <c r="E12077" s="30" t="inlineStr">
        <is>
          <t>KLL EQUIPAMENTOS PARA TRANSPORTE S/A</t>
        </is>
      </c>
      <c r="F12077" s="30" t="inlineStr">
        <is>
          <t>2023</t>
        </is>
      </c>
      <c r="G12077" s="40" t="n">
        <v>0</v>
      </c>
    </row>
    <row r="12078" ht="12" customHeight="1">
      <c r="A12078" s="30" t="inlineStr">
        <is>
          <t>POR</t>
        </is>
      </c>
      <c r="B12078" s="30" t="inlineStr">
        <is>
          <t>Porto Real</t>
        </is>
      </c>
      <c r="C12078" s="30" t="n">
        <v>86682060</v>
      </c>
      <c r="D12078" s="30">
        <f>"07956015000339"</f>
        <v/>
      </c>
      <c r="E12078" s="30" t="inlineStr">
        <is>
          <t>MARLOG BRASIL LOGISTICA E ARMAZENAGEM LTDA</t>
        </is>
      </c>
      <c r="F12078" s="30" t="inlineStr">
        <is>
          <t>2019</t>
        </is>
      </c>
      <c r="G12078" s="40" t="n">
        <v>0</v>
      </c>
    </row>
    <row r="12079" ht="12" customHeight="1">
      <c r="A12079" s="30" t="inlineStr">
        <is>
          <t>POR</t>
        </is>
      </c>
      <c r="B12079" s="30" t="inlineStr">
        <is>
          <t>Porto Real</t>
        </is>
      </c>
      <c r="C12079" s="30" t="n">
        <v>86682060</v>
      </c>
      <c r="D12079" s="30">
        <f>"07956015000339"</f>
        <v/>
      </c>
      <c r="E12079" s="30" t="inlineStr">
        <is>
          <t>MARLOG BRASIL LOGISTICA E ARMAZENAGEM LTDA</t>
        </is>
      </c>
      <c r="F12079" s="30" t="inlineStr">
        <is>
          <t>2020</t>
        </is>
      </c>
      <c r="G12079" s="40" t="n">
        <v>0</v>
      </c>
    </row>
    <row r="12080" ht="12" customHeight="1">
      <c r="A12080" s="30" t="inlineStr">
        <is>
          <t>POR</t>
        </is>
      </c>
      <c r="B12080" s="30" t="inlineStr">
        <is>
          <t>Porto Real</t>
        </is>
      </c>
      <c r="C12080" s="30" t="n">
        <v>86682060</v>
      </c>
      <c r="D12080" s="30">
        <f>"07956015000339"</f>
        <v/>
      </c>
      <c r="E12080" s="30" t="inlineStr">
        <is>
          <t>MARLOG BRASIL LOGISTICA E ARMAZENAGEM LTDA</t>
        </is>
      </c>
      <c r="F12080" s="30" t="inlineStr">
        <is>
          <t>2021</t>
        </is>
      </c>
      <c r="G12080" s="40" t="n">
        <v>8699.33</v>
      </c>
    </row>
    <row r="12081" ht="12" customHeight="1">
      <c r="A12081" s="30" t="inlineStr">
        <is>
          <t>POR</t>
        </is>
      </c>
      <c r="B12081" s="30" t="inlineStr">
        <is>
          <t>Porto Real</t>
        </is>
      </c>
      <c r="C12081" s="30" t="n">
        <v>86682060</v>
      </c>
      <c r="D12081" s="30">
        <f>"07956015000339"</f>
        <v/>
      </c>
      <c r="E12081" s="30" t="inlineStr">
        <is>
          <t>MARLOG BRASIL LOGISTICA E ARMAZENAGEM LTDA</t>
        </is>
      </c>
      <c r="F12081" s="30" t="inlineStr">
        <is>
          <t>2022</t>
        </is>
      </c>
      <c r="G12081" s="40" t="n">
        <v>9937.059999999999</v>
      </c>
    </row>
    <row r="12082" ht="12" customHeight="1">
      <c r="A12082" s="30" t="inlineStr">
        <is>
          <t>POR</t>
        </is>
      </c>
      <c r="B12082" s="30" t="inlineStr">
        <is>
          <t>Porto Real</t>
        </is>
      </c>
      <c r="C12082" s="30" t="n">
        <v>86682060</v>
      </c>
      <c r="D12082" s="30">
        <f>"07956015000339"</f>
        <v/>
      </c>
      <c r="E12082" s="30" t="inlineStr">
        <is>
          <t>MARLOG BRASIL LOGISTICA E ARMAZENAGEM LTDA</t>
        </is>
      </c>
      <c r="F12082" s="30" t="inlineStr">
        <is>
          <t>2023</t>
        </is>
      </c>
      <c r="G12082" s="40" t="n">
        <v>0</v>
      </c>
    </row>
    <row r="12083" ht="12" customHeight="1">
      <c r="A12083" s="30" t="inlineStr">
        <is>
          <t>POR</t>
        </is>
      </c>
      <c r="B12083" s="30" t="inlineStr">
        <is>
          <t>Porto Real</t>
        </is>
      </c>
      <c r="C12083" s="30" t="n">
        <v>86682303</v>
      </c>
      <c r="D12083" s="30">
        <f>"20094487000126"</f>
        <v/>
      </c>
      <c r="E12083" s="30" t="inlineStr">
        <is>
          <t>M APARECIDA OLIVEIRA TRANSPORTES E LOGISTICA ME</t>
        </is>
      </c>
      <c r="F12083" s="30" t="inlineStr">
        <is>
          <t>2017</t>
        </is>
      </c>
      <c r="G12083" s="40" t="n">
        <v>2064768.6</v>
      </c>
    </row>
    <row r="12084" ht="12" customHeight="1">
      <c r="A12084" s="30" t="inlineStr">
        <is>
          <t>POR</t>
        </is>
      </c>
      <c r="B12084" s="30" t="inlineStr">
        <is>
          <t>Porto Real</t>
        </is>
      </c>
      <c r="C12084" s="30" t="n">
        <v>86682303</v>
      </c>
      <c r="D12084" s="30">
        <f>"20094487000126"</f>
        <v/>
      </c>
      <c r="E12084" s="30" t="inlineStr">
        <is>
          <t>M APARECIDA OLIVEIRA TRANSPORTES E LOGISTICA ME</t>
        </is>
      </c>
      <c r="F12084" s="30" t="inlineStr">
        <is>
          <t>2018</t>
        </is>
      </c>
      <c r="G12084" s="40" t="n">
        <v>3930485.08</v>
      </c>
    </row>
    <row r="12085" ht="12" customHeight="1">
      <c r="A12085" s="30" t="inlineStr">
        <is>
          <t>POR</t>
        </is>
      </c>
      <c r="B12085" s="30" t="inlineStr">
        <is>
          <t>Porto Real</t>
        </is>
      </c>
      <c r="C12085" s="30" t="n">
        <v>86682303</v>
      </c>
      <c r="D12085" s="30">
        <f>"20094487000126"</f>
        <v/>
      </c>
      <c r="E12085" s="30" t="inlineStr">
        <is>
          <t>M APARECIDA OLIVEIRA TRANSPORTES E LOGISTICA ME</t>
        </is>
      </c>
      <c r="F12085" s="30" t="inlineStr">
        <is>
          <t>2019</t>
        </is>
      </c>
      <c r="G12085" s="40" t="n">
        <v>6616643.19</v>
      </c>
    </row>
    <row r="12086" ht="12" customHeight="1">
      <c r="A12086" s="30" t="inlineStr">
        <is>
          <t>POR</t>
        </is>
      </c>
      <c r="B12086" s="30" t="inlineStr">
        <is>
          <t>Porto Real</t>
        </is>
      </c>
      <c r="C12086" s="30" t="n">
        <v>86682303</v>
      </c>
      <c r="D12086" s="30">
        <f>"20094487000126"</f>
        <v/>
      </c>
      <c r="E12086" s="30" t="inlineStr">
        <is>
          <t>M APARECIDA OLIVEIRA TRANSPORTES E LOGISTICA ME</t>
        </is>
      </c>
      <c r="F12086" s="30" t="inlineStr">
        <is>
          <t>2020</t>
        </is>
      </c>
      <c r="G12086" s="40" t="n">
        <v>564175.16</v>
      </c>
    </row>
    <row r="12087" ht="12" customHeight="1">
      <c r="A12087" s="30" t="inlineStr">
        <is>
          <t>POR</t>
        </is>
      </c>
      <c r="B12087" s="30" t="inlineStr">
        <is>
          <t>Porto Real</t>
        </is>
      </c>
      <c r="C12087" s="30" t="n">
        <v>86682303</v>
      </c>
      <c r="D12087" s="30">
        <f>"20094487000126"</f>
        <v/>
      </c>
      <c r="E12087" s="30" t="inlineStr">
        <is>
          <t>M APARECIDA OLIVEIRA TRANSPORTES E LOGISTICA ME</t>
        </is>
      </c>
      <c r="F12087" s="30" t="inlineStr">
        <is>
          <t>2021</t>
        </is>
      </c>
      <c r="G12087" s="40" t="n">
        <v>0</v>
      </c>
    </row>
    <row r="12088" ht="12" customHeight="1">
      <c r="A12088" s="30" t="inlineStr">
        <is>
          <t>POR</t>
        </is>
      </c>
      <c r="B12088" s="30" t="inlineStr">
        <is>
          <t>Porto Real</t>
        </is>
      </c>
      <c r="C12088" s="30" t="n">
        <v>86682303</v>
      </c>
      <c r="D12088" s="30">
        <f>"20094487000126"</f>
        <v/>
      </c>
      <c r="E12088" s="30" t="inlineStr">
        <is>
          <t>M APARECIDA OLIVEIRA TRANSPORTES E LOGISTICA ME</t>
        </is>
      </c>
      <c r="F12088" s="30" t="inlineStr">
        <is>
          <t>2022</t>
        </is>
      </c>
      <c r="G12088" s="40" t="n">
        <v>0</v>
      </c>
    </row>
    <row r="12089" ht="12" customHeight="1">
      <c r="A12089" s="30" t="inlineStr">
        <is>
          <t>POR</t>
        </is>
      </c>
      <c r="B12089" s="30" t="inlineStr">
        <is>
          <t>Porto Real</t>
        </is>
      </c>
      <c r="C12089" s="30" t="n">
        <v>86686783</v>
      </c>
      <c r="D12089" s="30">
        <f>"19275618000516"</f>
        <v/>
      </c>
      <c r="E12089" s="30" t="inlineStr">
        <is>
          <t>INOVA LOGISTICA INTEGRADA LTDA</t>
        </is>
      </c>
      <c r="F12089" s="30" t="inlineStr">
        <is>
          <t>2019</t>
        </is>
      </c>
      <c r="G12089" s="40" t="n">
        <v>0</v>
      </c>
    </row>
    <row r="12090" ht="12" customHeight="1">
      <c r="A12090" s="30" t="inlineStr">
        <is>
          <t>POR</t>
        </is>
      </c>
      <c r="B12090" s="30" t="inlineStr">
        <is>
          <t>Porto Real</t>
        </is>
      </c>
      <c r="C12090" s="30" t="n">
        <v>86686783</v>
      </c>
      <c r="D12090" s="30">
        <f>"19275618000516"</f>
        <v/>
      </c>
      <c r="E12090" s="30" t="inlineStr">
        <is>
          <t>INOVA LOGISTICA INTEGRADA LTDA</t>
        </is>
      </c>
      <c r="F12090" s="30" t="inlineStr">
        <is>
          <t>2020</t>
        </is>
      </c>
      <c r="G12090" s="40" t="n">
        <v>0</v>
      </c>
    </row>
    <row r="12091" ht="12" customHeight="1">
      <c r="A12091" s="30" t="inlineStr">
        <is>
          <t>POR</t>
        </is>
      </c>
      <c r="B12091" s="30" t="inlineStr">
        <is>
          <t>Porto Real</t>
        </is>
      </c>
      <c r="C12091" s="30" t="n">
        <v>86686783</v>
      </c>
      <c r="D12091" s="30">
        <f>"19275618000516"</f>
        <v/>
      </c>
      <c r="E12091" s="30" t="inlineStr">
        <is>
          <t>INOVA LOGISTICA INTEGRADA LTDA</t>
        </is>
      </c>
      <c r="F12091" s="30" t="inlineStr">
        <is>
          <t>2021</t>
        </is>
      </c>
      <c r="G12091" s="40" t="n">
        <v>332.12</v>
      </c>
    </row>
    <row r="12092" ht="12" customHeight="1">
      <c r="A12092" s="30" t="inlineStr">
        <is>
          <t>POR</t>
        </is>
      </c>
      <c r="B12092" s="30" t="inlineStr">
        <is>
          <t>Porto Real</t>
        </is>
      </c>
      <c r="C12092" s="30" t="n">
        <v>86686783</v>
      </c>
      <c r="D12092" s="30">
        <f>"19275618000516"</f>
        <v/>
      </c>
      <c r="E12092" s="30" t="inlineStr">
        <is>
          <t>INOVA LOGISTICA INTEGRADA LTDA</t>
        </is>
      </c>
      <c r="F12092" s="30" t="inlineStr">
        <is>
          <t>2022</t>
        </is>
      </c>
      <c r="G12092" s="40" t="n">
        <v>102.43</v>
      </c>
    </row>
    <row r="12093" ht="12" customHeight="1">
      <c r="A12093" s="30" t="inlineStr">
        <is>
          <t>POR</t>
        </is>
      </c>
      <c r="B12093" s="30" t="inlineStr">
        <is>
          <t>Porto Real</t>
        </is>
      </c>
      <c r="C12093" s="30" t="n">
        <v>86686783</v>
      </c>
      <c r="D12093" s="30">
        <f>"19275618000516"</f>
        <v/>
      </c>
      <c r="E12093" s="30" t="inlineStr">
        <is>
          <t>INOVA LOGISTICA INTEGRADA LTDA</t>
        </is>
      </c>
      <c r="F12093" s="30" t="inlineStr">
        <is>
          <t>2023</t>
        </is>
      </c>
      <c r="G12093" s="40" t="n">
        <v>0</v>
      </c>
    </row>
    <row r="12094" ht="12" customHeight="1">
      <c r="A12094" s="30" t="inlineStr">
        <is>
          <t>POR</t>
        </is>
      </c>
      <c r="B12094" s="30" t="inlineStr">
        <is>
          <t>Porto Real</t>
        </is>
      </c>
      <c r="C12094" s="30" t="n">
        <v>86755823</v>
      </c>
      <c r="D12094" s="30">
        <f>"00193687000803"</f>
        <v/>
      </c>
      <c r="E12094" s="30" t="inlineStr">
        <is>
          <t>TROCA TRANSPORTES EIRELI</t>
        </is>
      </c>
      <c r="F12094" s="30" t="inlineStr">
        <is>
          <t>2017</t>
        </is>
      </c>
      <c r="G12094" s="40" t="n">
        <v>0</v>
      </c>
    </row>
    <row r="12095" ht="12" customHeight="1">
      <c r="A12095" s="30" t="inlineStr">
        <is>
          <t>POR</t>
        </is>
      </c>
      <c r="B12095" s="30" t="inlineStr">
        <is>
          <t>Porto Real</t>
        </is>
      </c>
      <c r="C12095" s="30" t="n">
        <v>86755823</v>
      </c>
      <c r="D12095" s="30">
        <f>"00193687000803"</f>
        <v/>
      </c>
      <c r="E12095" s="30" t="inlineStr">
        <is>
          <t>TROCA TRANSPORTES EIRELI</t>
        </is>
      </c>
      <c r="F12095" s="30" t="inlineStr">
        <is>
          <t>2018</t>
        </is>
      </c>
      <c r="G12095" s="40" t="n">
        <v>259.19</v>
      </c>
    </row>
    <row r="12096" ht="12" customHeight="1">
      <c r="A12096" s="30" t="inlineStr">
        <is>
          <t>POR</t>
        </is>
      </c>
      <c r="B12096" s="30" t="inlineStr">
        <is>
          <t>Porto Real</t>
        </is>
      </c>
      <c r="C12096" s="30" t="n">
        <v>86755823</v>
      </c>
      <c r="D12096" s="30">
        <f>"00193687000803"</f>
        <v/>
      </c>
      <c r="E12096" s="30" t="inlineStr">
        <is>
          <t>TROCA TRANSPORTES EIRELI</t>
        </is>
      </c>
      <c r="F12096" s="30" t="inlineStr">
        <is>
          <t>2019</t>
        </is>
      </c>
      <c r="G12096" s="40" t="n">
        <v>0</v>
      </c>
    </row>
    <row r="12097" ht="12" customHeight="1">
      <c r="A12097" s="30" t="inlineStr">
        <is>
          <t>POR</t>
        </is>
      </c>
      <c r="B12097" s="30" t="inlineStr">
        <is>
          <t>Porto Real</t>
        </is>
      </c>
      <c r="C12097" s="30" t="n">
        <v>86755823</v>
      </c>
      <c r="D12097" s="30">
        <f>"00193687000803"</f>
        <v/>
      </c>
      <c r="E12097" s="30" t="inlineStr">
        <is>
          <t>TROCA TRANSPORTES EIRELI</t>
        </is>
      </c>
      <c r="F12097" s="30" t="inlineStr">
        <is>
          <t>2020</t>
        </is>
      </c>
      <c r="G12097" s="40" t="n">
        <v>0</v>
      </c>
    </row>
    <row r="12098" ht="12" customHeight="1">
      <c r="A12098" s="30" t="inlineStr">
        <is>
          <t>POR</t>
        </is>
      </c>
      <c r="B12098" s="30" t="inlineStr">
        <is>
          <t>Porto Real</t>
        </is>
      </c>
      <c r="C12098" s="30" t="n">
        <v>86755823</v>
      </c>
      <c r="D12098" s="30">
        <f>"00193687000803"</f>
        <v/>
      </c>
      <c r="E12098" s="30" t="inlineStr">
        <is>
          <t>TROCA TRANSPORTES EIRELI</t>
        </is>
      </c>
      <c r="F12098" s="30" t="inlineStr">
        <is>
          <t>2021</t>
        </is>
      </c>
      <c r="G12098" s="40" t="n">
        <v>0</v>
      </c>
    </row>
    <row r="12099" ht="12" customHeight="1">
      <c r="A12099" s="30" t="inlineStr">
        <is>
          <t>POR</t>
        </is>
      </c>
      <c r="B12099" s="30" t="inlineStr">
        <is>
          <t>Porto Real</t>
        </is>
      </c>
      <c r="C12099" s="30" t="n">
        <v>86755823</v>
      </c>
      <c r="D12099" s="30">
        <f>"00193687000803"</f>
        <v/>
      </c>
      <c r="E12099" s="30" t="inlineStr">
        <is>
          <t>TROCA TRANSPORTES EIRELI</t>
        </is>
      </c>
      <c r="F12099" s="30" t="inlineStr">
        <is>
          <t>2022</t>
        </is>
      </c>
      <c r="G12099" s="40" t="n">
        <v>89.76000000000001</v>
      </c>
    </row>
    <row r="12100" ht="12" customHeight="1">
      <c r="A12100" s="30" t="inlineStr">
        <is>
          <t>POR</t>
        </is>
      </c>
      <c r="B12100" s="30" t="inlineStr">
        <is>
          <t>Porto Real</t>
        </is>
      </c>
      <c r="C12100" s="30" t="n">
        <v>86755823</v>
      </c>
      <c r="D12100" s="30">
        <f>"00193687000803"</f>
        <v/>
      </c>
      <c r="E12100" s="30" t="inlineStr">
        <is>
          <t>TROCA TRANSPORTES EIRELI</t>
        </is>
      </c>
      <c r="F12100" s="30" t="inlineStr">
        <is>
          <t>2023</t>
        </is>
      </c>
      <c r="G12100" s="40" t="n">
        <v>395</v>
      </c>
    </row>
    <row r="12101" ht="12" customHeight="1">
      <c r="A12101" s="30" t="inlineStr">
        <is>
          <t>POR</t>
        </is>
      </c>
      <c r="B12101" s="30" t="inlineStr">
        <is>
          <t>Porto Real</t>
        </is>
      </c>
      <c r="C12101" s="30" t="n">
        <v>86762544</v>
      </c>
      <c r="D12101" s="30">
        <f>"05612165000219"</f>
        <v/>
      </c>
      <c r="E12101" s="30" t="inlineStr">
        <is>
          <t>AUTO PEÇAS NASIGER EIRELI</t>
        </is>
      </c>
      <c r="F12101" s="30" t="inlineStr">
        <is>
          <t>2017</t>
        </is>
      </c>
      <c r="G12101" s="40" t="n">
        <v>3755550.84</v>
      </c>
    </row>
    <row r="12102" ht="12" customHeight="1">
      <c r="A12102" s="30" t="inlineStr">
        <is>
          <t>POR</t>
        </is>
      </c>
      <c r="B12102" s="30" t="inlineStr">
        <is>
          <t>Porto Real</t>
        </is>
      </c>
      <c r="C12102" s="30" t="n">
        <v>86762544</v>
      </c>
      <c r="D12102" s="30">
        <f>"05612165000219"</f>
        <v/>
      </c>
      <c r="E12102" s="30" t="inlineStr">
        <is>
          <t>AUTO PEÇAS NASIGER EIRELI</t>
        </is>
      </c>
      <c r="F12102" s="30" t="inlineStr">
        <is>
          <t>2018</t>
        </is>
      </c>
      <c r="G12102" s="40" t="n">
        <v>3292177.11</v>
      </c>
    </row>
    <row r="12103" ht="12" customHeight="1">
      <c r="A12103" s="30" t="inlineStr">
        <is>
          <t>POR</t>
        </is>
      </c>
      <c r="B12103" s="30" t="inlineStr">
        <is>
          <t>Porto Real</t>
        </is>
      </c>
      <c r="C12103" s="30" t="n">
        <v>86762544</v>
      </c>
      <c r="D12103" s="30">
        <f>"05612165000219"</f>
        <v/>
      </c>
      <c r="E12103" s="30" t="inlineStr">
        <is>
          <t>AUTO PEÇAS NASIGER EIRELI</t>
        </is>
      </c>
      <c r="F12103" s="30" t="inlineStr">
        <is>
          <t>2019</t>
        </is>
      </c>
      <c r="G12103" s="40" t="n">
        <v>1089093.71</v>
      </c>
    </row>
    <row r="12104" ht="12" customHeight="1">
      <c r="A12104" s="30" t="inlineStr">
        <is>
          <t>POR</t>
        </is>
      </c>
      <c r="B12104" s="30" t="inlineStr">
        <is>
          <t>Porto Real</t>
        </is>
      </c>
      <c r="C12104" s="30" t="n">
        <v>86762544</v>
      </c>
      <c r="D12104" s="30">
        <f>"05612165000219"</f>
        <v/>
      </c>
      <c r="E12104" s="30" t="inlineStr">
        <is>
          <t>AUTO PEÇAS NASIGER EIRELI</t>
        </is>
      </c>
      <c r="F12104" s="30" t="inlineStr">
        <is>
          <t>2020</t>
        </is>
      </c>
      <c r="G12104" s="40" t="n">
        <v>702069.72</v>
      </c>
    </row>
    <row r="12105" ht="12" customHeight="1">
      <c r="A12105" s="30" t="inlineStr">
        <is>
          <t>POR</t>
        </is>
      </c>
      <c r="B12105" s="30" t="inlineStr">
        <is>
          <t>Porto Real</t>
        </is>
      </c>
      <c r="C12105" s="30" t="n">
        <v>86762544</v>
      </c>
      <c r="D12105" s="30">
        <f>"05612165000219"</f>
        <v/>
      </c>
      <c r="E12105" s="30" t="inlineStr">
        <is>
          <t>AUTO PEÇAS NASIGER EIRELI</t>
        </is>
      </c>
      <c r="F12105" s="30" t="inlineStr">
        <is>
          <t>2021</t>
        </is>
      </c>
      <c r="G12105" s="40" t="n">
        <v>822748.85</v>
      </c>
    </row>
    <row r="12106" ht="12" customHeight="1">
      <c r="A12106" s="30" t="inlineStr">
        <is>
          <t>POR</t>
        </is>
      </c>
      <c r="B12106" s="30" t="inlineStr">
        <is>
          <t>Porto Real</t>
        </is>
      </c>
      <c r="C12106" s="30" t="n">
        <v>86762544</v>
      </c>
      <c r="D12106" s="30">
        <f>"05612165000219"</f>
        <v/>
      </c>
      <c r="E12106" s="30" t="inlineStr">
        <is>
          <t>AUTO PEÇAS NASIGER EIRELI</t>
        </is>
      </c>
      <c r="F12106" s="30" t="inlineStr">
        <is>
          <t>2022</t>
        </is>
      </c>
      <c r="G12106" s="40" t="n">
        <v>1172494.76</v>
      </c>
    </row>
    <row r="12107" ht="12" customHeight="1">
      <c r="A12107" s="30" t="inlineStr">
        <is>
          <t>POR</t>
        </is>
      </c>
      <c r="B12107" s="30" t="inlineStr">
        <is>
          <t>Porto Real</t>
        </is>
      </c>
      <c r="C12107" s="30" t="n">
        <v>86762544</v>
      </c>
      <c r="D12107" s="30">
        <f>"05612165000219"</f>
        <v/>
      </c>
      <c r="E12107" s="30" t="inlineStr">
        <is>
          <t>AUTO PEÇAS NASIGER EIRELI</t>
        </is>
      </c>
      <c r="F12107" s="30" t="inlineStr">
        <is>
          <t>2023</t>
        </is>
      </c>
      <c r="G12107" s="40" t="n">
        <v>1157132.89</v>
      </c>
    </row>
    <row r="12108" ht="12" customHeight="1">
      <c r="A12108" s="30" t="inlineStr">
        <is>
          <t>POR</t>
        </is>
      </c>
      <c r="B12108" s="30" t="inlineStr">
        <is>
          <t>Porto Real</t>
        </is>
      </c>
      <c r="C12108" s="30" t="n">
        <v>86789477</v>
      </c>
      <c r="D12108" s="30">
        <f>"04887927001541"</f>
        <v/>
      </c>
      <c r="E12108" s="30" t="inlineStr">
        <is>
          <t>ANDREANI LOGISTICA LTDA</t>
        </is>
      </c>
      <c r="F12108" s="30" t="inlineStr">
        <is>
          <t>2018</t>
        </is>
      </c>
      <c r="G12108" s="40" t="n">
        <v>0</v>
      </c>
    </row>
    <row r="12109" ht="12" customHeight="1">
      <c r="A12109" s="30" t="inlineStr">
        <is>
          <t>POR</t>
        </is>
      </c>
      <c r="B12109" s="30" t="inlineStr">
        <is>
          <t>Porto Real</t>
        </is>
      </c>
      <c r="C12109" s="30" t="n">
        <v>86789477</v>
      </c>
      <c r="D12109" s="30">
        <f>"04887927001541"</f>
        <v/>
      </c>
      <c r="E12109" s="30" t="inlineStr">
        <is>
          <t>ANDREANI LOGISTICA LTDA</t>
        </is>
      </c>
      <c r="F12109" s="30" t="inlineStr">
        <is>
          <t>2019</t>
        </is>
      </c>
      <c r="G12109" s="40" t="n">
        <v>0</v>
      </c>
    </row>
    <row r="12110" ht="12" customHeight="1">
      <c r="A12110" s="30" t="inlineStr">
        <is>
          <t>POR</t>
        </is>
      </c>
      <c r="B12110" s="30" t="inlineStr">
        <is>
          <t>Porto Real</t>
        </is>
      </c>
      <c r="C12110" s="30" t="n">
        <v>86789477</v>
      </c>
      <c r="D12110" s="30">
        <f>"04887927001541"</f>
        <v/>
      </c>
      <c r="E12110" s="30" t="inlineStr">
        <is>
          <t>ANDREANI LOGISTICA LTDA</t>
        </is>
      </c>
      <c r="F12110" s="30" t="inlineStr">
        <is>
          <t>2020</t>
        </is>
      </c>
      <c r="G12110" s="40" t="n">
        <v>152.02</v>
      </c>
    </row>
    <row r="12111" ht="12" customHeight="1">
      <c r="A12111" s="30" t="inlineStr">
        <is>
          <t>POR</t>
        </is>
      </c>
      <c r="B12111" s="30" t="inlineStr">
        <is>
          <t>Porto Real</t>
        </is>
      </c>
      <c r="C12111" s="30" t="n">
        <v>86789477</v>
      </c>
      <c r="D12111" s="30">
        <f>"04887927001541"</f>
        <v/>
      </c>
      <c r="E12111" s="30" t="inlineStr">
        <is>
          <t>ANDREANI LOGISTICA LTDA</t>
        </is>
      </c>
      <c r="F12111" s="30" t="inlineStr">
        <is>
          <t>2021</t>
        </is>
      </c>
      <c r="G12111" s="40" t="n">
        <v>0</v>
      </c>
    </row>
    <row r="12112" ht="12" customHeight="1">
      <c r="A12112" s="30" t="inlineStr">
        <is>
          <t>POR</t>
        </is>
      </c>
      <c r="B12112" s="30" t="inlineStr">
        <is>
          <t>Porto Real</t>
        </is>
      </c>
      <c r="C12112" s="30" t="n">
        <v>86789477</v>
      </c>
      <c r="D12112" s="30">
        <f>"04887927001541"</f>
        <v/>
      </c>
      <c r="E12112" s="30" t="inlineStr">
        <is>
          <t>ANDREANI LOGISTICA LTDA</t>
        </is>
      </c>
      <c r="F12112" s="30" t="inlineStr">
        <is>
          <t>2022</t>
        </is>
      </c>
      <c r="G12112" s="40" t="n">
        <v>0</v>
      </c>
    </row>
    <row r="12113" ht="12" customHeight="1">
      <c r="A12113" s="30" t="inlineStr">
        <is>
          <t>POR</t>
        </is>
      </c>
      <c r="B12113" s="30" t="inlineStr">
        <is>
          <t>Porto Real</t>
        </is>
      </c>
      <c r="C12113" s="30" t="n">
        <v>86789736</v>
      </c>
      <c r="D12113" s="30">
        <f>"39207915000108"</f>
        <v/>
      </c>
      <c r="E12113" s="30" t="inlineStr">
        <is>
          <t>REAL SUL LOCAÇÃO E TRANSPORTES EIRELI</t>
        </is>
      </c>
      <c r="F12113" s="30" t="inlineStr">
        <is>
          <t>2018</t>
        </is>
      </c>
      <c r="G12113" s="40" t="n">
        <v>0</v>
      </c>
    </row>
    <row r="12114" ht="12" customHeight="1">
      <c r="A12114" s="30" t="inlineStr">
        <is>
          <t>POR</t>
        </is>
      </c>
      <c r="B12114" s="30" t="inlineStr">
        <is>
          <t>Porto Real</t>
        </is>
      </c>
      <c r="C12114" s="30" t="n">
        <v>86789736</v>
      </c>
      <c r="D12114" s="30">
        <f>"39207915000108"</f>
        <v/>
      </c>
      <c r="E12114" s="30" t="inlineStr">
        <is>
          <t>REAL SUL LOCAÇÃO E TRANSPORTES EIRELI</t>
        </is>
      </c>
      <c r="F12114" s="30" t="inlineStr">
        <is>
          <t>2019</t>
        </is>
      </c>
      <c r="G12114" s="40" t="n">
        <v>0</v>
      </c>
    </row>
    <row r="12115" ht="12" customHeight="1">
      <c r="A12115" s="30" t="inlineStr">
        <is>
          <t>POR</t>
        </is>
      </c>
      <c r="B12115" s="30" t="inlineStr">
        <is>
          <t>Porto Real</t>
        </is>
      </c>
      <c r="C12115" s="30" t="n">
        <v>86789736</v>
      </c>
      <c r="D12115" s="30">
        <f>"39207915000108"</f>
        <v/>
      </c>
      <c r="E12115" s="30" t="inlineStr">
        <is>
          <t>REAL SUL LOCAÇÃO E TRANSPORTES EIRELI</t>
        </is>
      </c>
      <c r="F12115" s="30" t="inlineStr">
        <is>
          <t>2020</t>
        </is>
      </c>
      <c r="G12115" s="40" t="n">
        <v>0</v>
      </c>
    </row>
    <row r="12116" ht="12" customHeight="1">
      <c r="A12116" s="30" t="inlineStr">
        <is>
          <t>POR</t>
        </is>
      </c>
      <c r="B12116" s="30" t="inlineStr">
        <is>
          <t>Porto Real</t>
        </is>
      </c>
      <c r="C12116" s="30" t="n">
        <v>86789736</v>
      </c>
      <c r="D12116" s="30">
        <f>"39207915000108"</f>
        <v/>
      </c>
      <c r="E12116" s="30" t="inlineStr">
        <is>
          <t>REAL SUL LOCAÇÃO E TRANSPORTES EIRELI</t>
        </is>
      </c>
      <c r="F12116" s="30" t="inlineStr">
        <is>
          <t>2021</t>
        </is>
      </c>
      <c r="G12116" s="40" t="n">
        <v>0</v>
      </c>
    </row>
    <row r="12117" ht="12" customHeight="1">
      <c r="A12117" s="30" t="inlineStr">
        <is>
          <t>POR</t>
        </is>
      </c>
      <c r="B12117" s="30" t="inlineStr">
        <is>
          <t>Porto Real</t>
        </is>
      </c>
      <c r="C12117" s="30" t="n">
        <v>86789736</v>
      </c>
      <c r="D12117" s="30">
        <f>"39207915000108"</f>
        <v/>
      </c>
      <c r="E12117" s="30" t="inlineStr">
        <is>
          <t>REAL SUL LOCAÇÃO E TRANSPORTES EIRELI</t>
        </is>
      </c>
      <c r="F12117" s="30" t="inlineStr">
        <is>
          <t>2022</t>
        </is>
      </c>
      <c r="G12117" s="40" t="n">
        <v>0</v>
      </c>
    </row>
    <row r="12118" ht="12" customHeight="1">
      <c r="A12118" s="30" t="inlineStr">
        <is>
          <t>POR</t>
        </is>
      </c>
      <c r="B12118" s="30" t="inlineStr">
        <is>
          <t>Porto Real</t>
        </is>
      </c>
      <c r="C12118" s="30" t="n">
        <v>86791706</v>
      </c>
      <c r="D12118" s="30">
        <f>"14049467000300"</f>
        <v/>
      </c>
      <c r="E12118" s="30" t="inlineStr">
        <is>
          <t>LACTALIS DO BRASIL COMERCIO IMPORTACAO E EXPORTACAO DE LATICINIOS LTDA</t>
        </is>
      </c>
      <c r="F12118" s="30" t="inlineStr">
        <is>
          <t>2017</t>
        </is>
      </c>
      <c r="G12118" s="40" t="n">
        <v>291117.47</v>
      </c>
    </row>
    <row r="12119" ht="12" customHeight="1">
      <c r="A12119" s="30" t="inlineStr">
        <is>
          <t>POR</t>
        </is>
      </c>
      <c r="B12119" s="30" t="inlineStr">
        <is>
          <t>Porto Real</t>
        </is>
      </c>
      <c r="C12119" s="30" t="n">
        <v>86791706</v>
      </c>
      <c r="D12119" s="30">
        <f>"14049467000300"</f>
        <v/>
      </c>
      <c r="E12119" s="30" t="inlineStr">
        <is>
          <t>LACTALIS DO BRASIL COMERCIO IMPORTACAO E EXPORTACAO DE LATICINIOS LTDA</t>
        </is>
      </c>
      <c r="F12119" s="30" t="inlineStr">
        <is>
          <t>2018</t>
        </is>
      </c>
      <c r="G12119" s="40" t="n">
        <v>473118.1</v>
      </c>
    </row>
    <row r="12120" ht="12" customHeight="1">
      <c r="A12120" s="30" t="inlineStr">
        <is>
          <t>POR</t>
        </is>
      </c>
      <c r="B12120" s="30" t="inlineStr">
        <is>
          <t>Porto Real</t>
        </is>
      </c>
      <c r="C12120" s="30" t="n">
        <v>86791706</v>
      </c>
      <c r="D12120" s="30">
        <f>"14049467000300"</f>
        <v/>
      </c>
      <c r="E12120" s="30" t="inlineStr">
        <is>
          <t>LACTALIS DO BRASIL COMERCIO IMPORTACAO E EXPORTACAO DE LATICINIOS LTDA</t>
        </is>
      </c>
      <c r="F12120" s="30" t="inlineStr">
        <is>
          <t>2019</t>
        </is>
      </c>
      <c r="G12120" s="40" t="n">
        <v>690289.13</v>
      </c>
    </row>
    <row r="12121" ht="12" customHeight="1">
      <c r="A12121" s="30" t="inlineStr">
        <is>
          <t>POR</t>
        </is>
      </c>
      <c r="B12121" s="30" t="inlineStr">
        <is>
          <t>Porto Real</t>
        </is>
      </c>
      <c r="C12121" s="30" t="n">
        <v>86791706</v>
      </c>
      <c r="D12121" s="30">
        <f>"14049467000300"</f>
        <v/>
      </c>
      <c r="E12121" s="30" t="inlineStr">
        <is>
          <t>LACTALIS DO BRASIL COMERCIO IMPORTACAO E EXPORTACAO DE LATICINIOS LTDA</t>
        </is>
      </c>
      <c r="F12121" s="30" t="inlineStr">
        <is>
          <t>2020</t>
        </is>
      </c>
      <c r="G12121" s="40" t="n">
        <v>1033253.16</v>
      </c>
    </row>
    <row r="12122" ht="12" customHeight="1">
      <c r="A12122" s="30" t="inlineStr">
        <is>
          <t>POR</t>
        </is>
      </c>
      <c r="B12122" s="30" t="inlineStr">
        <is>
          <t>Porto Real</t>
        </is>
      </c>
      <c r="C12122" s="30" t="n">
        <v>86791706</v>
      </c>
      <c r="D12122" s="30">
        <f>"14049467000300"</f>
        <v/>
      </c>
      <c r="E12122" s="30" t="inlineStr">
        <is>
          <t>LACTALIS DO BRASIL COMERCIO IMPORTACAO E EXPORTACAO DE LATICINIOS LTDA</t>
        </is>
      </c>
      <c r="F12122" s="30" t="inlineStr">
        <is>
          <t>2021</t>
        </is>
      </c>
      <c r="G12122" s="40" t="n">
        <v>1396058.67</v>
      </c>
    </row>
    <row r="12123" ht="12" customHeight="1">
      <c r="A12123" s="30" t="inlineStr">
        <is>
          <t>POR</t>
        </is>
      </c>
      <c r="B12123" s="30" t="inlineStr">
        <is>
          <t>Porto Real</t>
        </is>
      </c>
      <c r="C12123" s="30" t="n">
        <v>86791706</v>
      </c>
      <c r="D12123" s="30">
        <f>"14049467000300"</f>
        <v/>
      </c>
      <c r="E12123" s="30" t="inlineStr">
        <is>
          <t>LACTALIS DO BRASIL COMERCIO IMPORTACAO E EXPORTACAO DE LATICINIOS LTDA</t>
        </is>
      </c>
      <c r="F12123" s="30" t="inlineStr">
        <is>
          <t>2022</t>
        </is>
      </c>
      <c r="G12123" s="40" t="n">
        <v>1977524.66</v>
      </c>
    </row>
    <row r="12124" ht="12" customHeight="1">
      <c r="A12124" s="30" t="inlineStr">
        <is>
          <t>POR</t>
        </is>
      </c>
      <c r="B12124" s="30" t="inlineStr">
        <is>
          <t>Porto Real</t>
        </is>
      </c>
      <c r="C12124" s="30" t="n">
        <v>86791706</v>
      </c>
      <c r="D12124" s="30">
        <f>"14049467000300"</f>
        <v/>
      </c>
      <c r="E12124" s="30" t="inlineStr">
        <is>
          <t>LACTALIS DO BRASIL COMERCIO IMPORTACAO E EXPORTACAO DE LATICINIOS LTDA</t>
        </is>
      </c>
      <c r="F12124" s="30" t="inlineStr">
        <is>
          <t>2023</t>
        </is>
      </c>
      <c r="G12124" s="40" t="n">
        <v>1936486.33</v>
      </c>
    </row>
    <row r="12125" ht="12" customHeight="1">
      <c r="A12125" s="30" t="inlineStr">
        <is>
          <t>POR</t>
        </is>
      </c>
      <c r="B12125" s="30" t="inlineStr">
        <is>
          <t>Porto Real</t>
        </is>
      </c>
      <c r="C12125" s="30" t="n">
        <v>86810999</v>
      </c>
      <c r="D12125" s="30">
        <f>"03867580005095"</f>
        <v/>
      </c>
      <c r="E12125" s="30" t="inlineStr">
        <is>
          <t>PRONTO EXPRESS LOGISTICA SA</t>
        </is>
      </c>
      <c r="F12125" s="30" t="inlineStr">
        <is>
          <t>2017</t>
        </is>
      </c>
      <c r="G12125" s="40" t="n">
        <v>12.17</v>
      </c>
    </row>
    <row r="12126" ht="12" customHeight="1">
      <c r="A12126" s="30" t="inlineStr">
        <is>
          <t>POR</t>
        </is>
      </c>
      <c r="B12126" s="30" t="inlineStr">
        <is>
          <t>Porto Real</t>
        </is>
      </c>
      <c r="C12126" s="30" t="n">
        <v>86810999</v>
      </c>
      <c r="D12126" s="30">
        <f>"03867580005095"</f>
        <v/>
      </c>
      <c r="E12126" s="30" t="inlineStr">
        <is>
          <t>PRONTO EXPRESS LOGISTICA SA</t>
        </is>
      </c>
      <c r="F12126" s="30" t="inlineStr">
        <is>
          <t>2018</t>
        </is>
      </c>
      <c r="G12126" s="40" t="n">
        <v>0</v>
      </c>
    </row>
    <row r="12127" ht="12" customHeight="1">
      <c r="A12127" s="30" t="inlineStr">
        <is>
          <t>POR</t>
        </is>
      </c>
      <c r="B12127" s="30" t="inlineStr">
        <is>
          <t>Porto Real</t>
        </is>
      </c>
      <c r="C12127" s="30" t="n">
        <v>86810999</v>
      </c>
      <c r="D12127" s="30">
        <f>"03867580005095"</f>
        <v/>
      </c>
      <c r="E12127" s="30" t="inlineStr">
        <is>
          <t>PRONTO EXPRESS LOGISTICA SA</t>
        </is>
      </c>
      <c r="F12127" s="30" t="inlineStr">
        <is>
          <t>2019</t>
        </is>
      </c>
      <c r="G12127" s="40" t="n">
        <v>0</v>
      </c>
    </row>
    <row r="12128" ht="12" customHeight="1">
      <c r="A12128" s="30" t="inlineStr">
        <is>
          <t>POR</t>
        </is>
      </c>
      <c r="B12128" s="30" t="inlineStr">
        <is>
          <t>Porto Real</t>
        </is>
      </c>
      <c r="C12128" s="30" t="n">
        <v>86824701</v>
      </c>
      <c r="D12128" s="30">
        <f>"01359916000529"</f>
        <v/>
      </c>
      <c r="E12128" s="30" t="inlineStr">
        <is>
          <t>CHEMETALL DO BRASIL LTDA</t>
        </is>
      </c>
      <c r="F12128" s="30" t="inlineStr">
        <is>
          <t>2017</t>
        </is>
      </c>
      <c r="G12128" s="40" t="n">
        <v>0</v>
      </c>
    </row>
    <row r="12129" ht="12" customHeight="1">
      <c r="A12129" s="30" t="inlineStr">
        <is>
          <t>POR</t>
        </is>
      </c>
      <c r="B12129" s="30" t="inlineStr">
        <is>
          <t>Porto Real</t>
        </is>
      </c>
      <c r="C12129" s="30" t="n">
        <v>86824701</v>
      </c>
      <c r="D12129" s="30">
        <f>"01359916000529"</f>
        <v/>
      </c>
      <c r="E12129" s="30" t="inlineStr">
        <is>
          <t>CHEMETALL DO BRASIL LTDA</t>
        </is>
      </c>
      <c r="F12129" s="30" t="inlineStr">
        <is>
          <t>2018</t>
        </is>
      </c>
      <c r="G12129" s="40" t="n">
        <v>0</v>
      </c>
    </row>
    <row r="12130" ht="12" customHeight="1">
      <c r="A12130" s="30" t="inlineStr">
        <is>
          <t>POR</t>
        </is>
      </c>
      <c r="B12130" s="30" t="inlineStr">
        <is>
          <t>Porto Real</t>
        </is>
      </c>
      <c r="C12130" s="30" t="n">
        <v>86824701</v>
      </c>
      <c r="D12130" s="30">
        <f>"01359916000529"</f>
        <v/>
      </c>
      <c r="E12130" s="30" t="inlineStr">
        <is>
          <t>CHEMETALL DO BRASIL LTDA</t>
        </is>
      </c>
      <c r="F12130" s="30" t="inlineStr">
        <is>
          <t>2019</t>
        </is>
      </c>
      <c r="G12130" s="40" t="n">
        <v>0</v>
      </c>
    </row>
    <row r="12131" ht="12" customHeight="1">
      <c r="A12131" s="30" t="inlineStr">
        <is>
          <t>POR</t>
        </is>
      </c>
      <c r="B12131" s="30" t="inlineStr">
        <is>
          <t>Porto Real</t>
        </is>
      </c>
      <c r="C12131" s="30" t="n">
        <v>86828383</v>
      </c>
      <c r="D12131" s="30">
        <f>"00497373002082"</f>
        <v/>
      </c>
      <c r="E12131" s="30" t="inlineStr">
        <is>
          <t>SKY SERVICOS DE BANDA LARGA LTDA.</t>
        </is>
      </c>
      <c r="F12131" s="30" t="inlineStr">
        <is>
          <t>2017</t>
        </is>
      </c>
      <c r="G12131" s="40" t="n">
        <v>0</v>
      </c>
    </row>
    <row r="12132" ht="12" customHeight="1">
      <c r="A12132" s="30" t="inlineStr">
        <is>
          <t>POR</t>
        </is>
      </c>
      <c r="B12132" s="30" t="inlineStr">
        <is>
          <t>Porto Real</t>
        </is>
      </c>
      <c r="C12132" s="30" t="n">
        <v>86828383</v>
      </c>
      <c r="D12132" s="30">
        <f>"00497373002082"</f>
        <v/>
      </c>
      <c r="E12132" s="30" t="inlineStr">
        <is>
          <t>SKY SERVICOS DE BANDA LARGA LTDA.</t>
        </is>
      </c>
      <c r="F12132" s="30" t="inlineStr">
        <is>
          <t>2018</t>
        </is>
      </c>
      <c r="G12132" s="40" t="n">
        <v>30.95</v>
      </c>
    </row>
    <row r="12133" ht="12" customHeight="1">
      <c r="A12133" s="30" t="inlineStr">
        <is>
          <t>POR</t>
        </is>
      </c>
      <c r="B12133" s="30" t="inlineStr">
        <is>
          <t>Porto Real</t>
        </is>
      </c>
      <c r="C12133" s="30" t="n">
        <v>86828383</v>
      </c>
      <c r="D12133" s="30">
        <f>"00497373002082"</f>
        <v/>
      </c>
      <c r="E12133" s="30" t="inlineStr">
        <is>
          <t>SKY SERVICOS DE BANDA LARGA LTDA.</t>
        </is>
      </c>
      <c r="F12133" s="30" t="inlineStr">
        <is>
          <t>2019</t>
        </is>
      </c>
      <c r="G12133" s="40" t="n">
        <v>74.59999999999999</v>
      </c>
    </row>
    <row r="12134" ht="12" customHeight="1">
      <c r="A12134" s="30" t="inlineStr">
        <is>
          <t>POR</t>
        </is>
      </c>
      <c r="B12134" s="30" t="inlineStr">
        <is>
          <t>Porto Real</t>
        </is>
      </c>
      <c r="C12134" s="30" t="n">
        <v>86828383</v>
      </c>
      <c r="D12134" s="30">
        <f>"00497373002082"</f>
        <v/>
      </c>
      <c r="E12134" s="30" t="inlineStr">
        <is>
          <t>SKY SERVICOS DE BANDA LARGA LTDA.</t>
        </is>
      </c>
      <c r="F12134" s="30" t="inlineStr">
        <is>
          <t>2020</t>
        </is>
      </c>
      <c r="G12134" s="40" t="n">
        <v>0</v>
      </c>
    </row>
    <row r="12135" ht="12" customHeight="1">
      <c r="A12135" s="30" t="inlineStr">
        <is>
          <t>POR</t>
        </is>
      </c>
      <c r="B12135" s="30" t="inlineStr">
        <is>
          <t>Porto Real</t>
        </is>
      </c>
      <c r="C12135" s="30" t="n">
        <v>86828383</v>
      </c>
      <c r="D12135" s="30">
        <f>"00497373002082"</f>
        <v/>
      </c>
      <c r="E12135" s="30" t="inlineStr">
        <is>
          <t>SKY SERVICOS DE BANDA LARGA LTDA.</t>
        </is>
      </c>
      <c r="F12135" s="30" t="inlineStr">
        <is>
          <t>2021</t>
        </is>
      </c>
      <c r="G12135" s="40" t="n">
        <v>1.33</v>
      </c>
    </row>
    <row r="12136" ht="12" customHeight="1">
      <c r="A12136" s="30" t="inlineStr">
        <is>
          <t>POR</t>
        </is>
      </c>
      <c r="B12136" s="30" t="inlineStr">
        <is>
          <t>Porto Real</t>
        </is>
      </c>
      <c r="C12136" s="30" t="n">
        <v>86828383</v>
      </c>
      <c r="D12136" s="30">
        <f>"00497373002082"</f>
        <v/>
      </c>
      <c r="E12136" s="30" t="inlineStr">
        <is>
          <t>SKY SERVICOS DE BANDA LARGA LTDA.</t>
        </is>
      </c>
      <c r="F12136" s="30" t="inlineStr">
        <is>
          <t>2022</t>
        </is>
      </c>
      <c r="G12136" s="40" t="n">
        <v>0</v>
      </c>
    </row>
    <row r="12137" ht="12" customHeight="1">
      <c r="A12137" s="30" t="inlineStr">
        <is>
          <t>POR</t>
        </is>
      </c>
      <c r="B12137" s="30" t="inlineStr">
        <is>
          <t>Porto Real</t>
        </is>
      </c>
      <c r="C12137" s="30" t="n">
        <v>86828383</v>
      </c>
      <c r="D12137" s="30">
        <f>"00497373002082"</f>
        <v/>
      </c>
      <c r="E12137" s="30" t="inlineStr">
        <is>
          <t>SKY SERVICOS DE BANDA LARGA LTDA.</t>
        </is>
      </c>
      <c r="F12137" s="30" t="inlineStr">
        <is>
          <t>2023</t>
        </is>
      </c>
      <c r="G12137" s="40" t="n">
        <v>0</v>
      </c>
    </row>
    <row r="12138" ht="12" customHeight="1">
      <c r="A12138" s="30" t="inlineStr">
        <is>
          <t>POR</t>
        </is>
      </c>
      <c r="B12138" s="30" t="inlineStr">
        <is>
          <t>Porto Real</t>
        </is>
      </c>
      <c r="C12138" s="30" t="n">
        <v>86831295</v>
      </c>
      <c r="D12138" s="30">
        <f>"03509101000180"</f>
        <v/>
      </c>
      <c r="E12138" s="30" t="inlineStr">
        <is>
          <t>BRASIPAN SERVIÇOS E LOGÍSTICA EIRELI</t>
        </is>
      </c>
      <c r="F12138" s="30" t="inlineStr">
        <is>
          <t>2020</t>
        </is>
      </c>
      <c r="G12138" s="40" t="n">
        <v>0</v>
      </c>
    </row>
    <row r="12139" ht="12" customHeight="1">
      <c r="A12139" s="30" t="inlineStr">
        <is>
          <t>POR</t>
        </is>
      </c>
      <c r="B12139" s="30" t="inlineStr">
        <is>
          <t>Porto Real</t>
        </is>
      </c>
      <c r="C12139" s="30" t="n">
        <v>86831295</v>
      </c>
      <c r="D12139" s="30">
        <f>"03509101000180"</f>
        <v/>
      </c>
      <c r="E12139" s="30" t="inlineStr">
        <is>
          <t>BRASIPAN SERVIÇOS E LOGÍSTICA EIRELI</t>
        </is>
      </c>
      <c r="F12139" s="30" t="inlineStr">
        <is>
          <t>2021</t>
        </is>
      </c>
      <c r="G12139" s="40" t="n">
        <v>0</v>
      </c>
    </row>
    <row r="12140" ht="12" customHeight="1">
      <c r="A12140" s="30" t="inlineStr">
        <is>
          <t>POR</t>
        </is>
      </c>
      <c r="B12140" s="30" t="inlineStr">
        <is>
          <t>Porto Real</t>
        </is>
      </c>
      <c r="C12140" s="30" t="n">
        <v>86831295</v>
      </c>
      <c r="D12140" s="30">
        <f>"03509101000180"</f>
        <v/>
      </c>
      <c r="E12140" s="30" t="inlineStr">
        <is>
          <t>BRASIPAN SERVIÇOS E LOGÍSTICA EIRELI</t>
        </is>
      </c>
      <c r="F12140" s="30" t="inlineStr">
        <is>
          <t>2022</t>
        </is>
      </c>
      <c r="G12140" s="40" t="n">
        <v>20542.28</v>
      </c>
    </row>
    <row r="12141" ht="12" customHeight="1">
      <c r="A12141" s="30" t="inlineStr">
        <is>
          <t>POR</t>
        </is>
      </c>
      <c r="B12141" s="30" t="inlineStr">
        <is>
          <t>Porto Real</t>
        </is>
      </c>
      <c r="C12141" s="30" t="n">
        <v>86831295</v>
      </c>
      <c r="D12141" s="30">
        <f>"03509101000180"</f>
        <v/>
      </c>
      <c r="E12141" s="30" t="inlineStr">
        <is>
          <t>BRASIPAN SERVIÇOS E LOGÍSTICA EIRELI</t>
        </is>
      </c>
      <c r="F12141" s="30" t="inlineStr">
        <is>
          <t>2023</t>
        </is>
      </c>
      <c r="G12141" s="40" t="n">
        <v>0</v>
      </c>
    </row>
    <row r="12142" ht="12" customHeight="1">
      <c r="A12142" s="30" t="inlineStr">
        <is>
          <t>POR</t>
        </is>
      </c>
      <c r="B12142" s="30" t="inlineStr">
        <is>
          <t>Porto Real</t>
        </is>
      </c>
      <c r="C12142" s="30" t="n">
        <v>86832194</v>
      </c>
      <c r="D12142" s="30">
        <f>"16884492000599"</f>
        <v/>
      </c>
      <c r="E12142" s="30" t="inlineStr">
        <is>
          <t>TDM TRANSPORTES LTDA</t>
        </is>
      </c>
      <c r="F12142" s="30" t="inlineStr">
        <is>
          <t>2018</t>
        </is>
      </c>
      <c r="G12142" s="40" t="n">
        <v>0</v>
      </c>
    </row>
    <row r="12143" ht="12" customHeight="1">
      <c r="A12143" s="30" t="inlineStr">
        <is>
          <t>POR</t>
        </is>
      </c>
      <c r="B12143" s="30" t="inlineStr">
        <is>
          <t>Porto Real</t>
        </is>
      </c>
      <c r="C12143" s="30" t="n">
        <v>86832194</v>
      </c>
      <c r="D12143" s="30">
        <f>"16884492000599"</f>
        <v/>
      </c>
      <c r="E12143" s="30" t="inlineStr">
        <is>
          <t>TDM TRANSPORTES LTDA</t>
        </is>
      </c>
      <c r="F12143" s="30" t="inlineStr">
        <is>
          <t>2019</t>
        </is>
      </c>
      <c r="G12143" s="40" t="n">
        <v>0</v>
      </c>
    </row>
    <row r="12144" ht="12" customHeight="1">
      <c r="A12144" s="30" t="inlineStr">
        <is>
          <t>POR</t>
        </is>
      </c>
      <c r="B12144" s="30" t="inlineStr">
        <is>
          <t>Porto Real</t>
        </is>
      </c>
      <c r="C12144" s="30" t="n">
        <v>86832194</v>
      </c>
      <c r="D12144" s="30">
        <f>"16884492000599"</f>
        <v/>
      </c>
      <c r="E12144" s="30" t="inlineStr">
        <is>
          <t>TDM TRANSPORTES LTDA</t>
        </is>
      </c>
      <c r="F12144" s="30" t="inlineStr">
        <is>
          <t>2020</t>
        </is>
      </c>
      <c r="G12144" s="40" t="n">
        <v>296851.25</v>
      </c>
    </row>
    <row r="12145" ht="12" customHeight="1">
      <c r="A12145" s="30" t="inlineStr">
        <is>
          <t>POR</t>
        </is>
      </c>
      <c r="B12145" s="30" t="inlineStr">
        <is>
          <t>Porto Real</t>
        </is>
      </c>
      <c r="C12145" s="30" t="n">
        <v>86832194</v>
      </c>
      <c r="D12145" s="30">
        <f>"16884492000599"</f>
        <v/>
      </c>
      <c r="E12145" s="30" t="inlineStr">
        <is>
          <t>TDM TRANSPORTES LTDA</t>
        </is>
      </c>
      <c r="F12145" s="30" t="inlineStr">
        <is>
          <t>2021</t>
        </is>
      </c>
      <c r="G12145" s="40" t="n">
        <v>956099.78</v>
      </c>
    </row>
    <row r="12146" ht="12" customHeight="1">
      <c r="A12146" s="30" t="inlineStr">
        <is>
          <t>POR</t>
        </is>
      </c>
      <c r="B12146" s="30" t="inlineStr">
        <is>
          <t>Porto Real</t>
        </is>
      </c>
      <c r="C12146" s="30" t="n">
        <v>86832194</v>
      </c>
      <c r="D12146" s="30">
        <f>"16884492000599"</f>
        <v/>
      </c>
      <c r="E12146" s="30" t="inlineStr">
        <is>
          <t>TDM TRANSPORTES LTDA</t>
        </is>
      </c>
      <c r="F12146" s="30" t="inlineStr">
        <is>
          <t>2022</t>
        </is>
      </c>
      <c r="G12146" s="40" t="n">
        <v>1009992.72</v>
      </c>
    </row>
    <row r="12147" ht="12" customHeight="1">
      <c r="A12147" s="30" t="inlineStr">
        <is>
          <t>POR</t>
        </is>
      </c>
      <c r="B12147" s="30" t="inlineStr">
        <is>
          <t>Porto Real</t>
        </is>
      </c>
      <c r="C12147" s="30" t="n">
        <v>86832194</v>
      </c>
      <c r="D12147" s="30">
        <f>"16884492000599"</f>
        <v/>
      </c>
      <c r="E12147" s="30" t="inlineStr">
        <is>
          <t>TDM TRANSPORTES LTDA</t>
        </is>
      </c>
      <c r="F12147" s="30" t="inlineStr">
        <is>
          <t>2023</t>
        </is>
      </c>
      <c r="G12147" s="40" t="n">
        <v>27221.25</v>
      </c>
    </row>
    <row r="12148" ht="12" customHeight="1">
      <c r="A12148" s="30" t="inlineStr">
        <is>
          <t>POR</t>
        </is>
      </c>
      <c r="B12148" s="30" t="inlineStr">
        <is>
          <t>Porto Real</t>
        </is>
      </c>
      <c r="C12148" s="30" t="n">
        <v>86833905</v>
      </c>
      <c r="D12148" s="30">
        <f>"04968037000169"</f>
        <v/>
      </c>
      <c r="E12148" s="30" t="inlineStr">
        <is>
          <t>DACUNHA NORDESTE TRANSPORTES LTDA</t>
        </is>
      </c>
      <c r="F12148" s="30" t="inlineStr">
        <is>
          <t>2017</t>
        </is>
      </c>
      <c r="G12148" s="40" t="n">
        <v>5005019.33</v>
      </c>
    </row>
    <row r="12149" ht="12" customHeight="1">
      <c r="A12149" s="30" t="inlineStr">
        <is>
          <t>POR</t>
        </is>
      </c>
      <c r="B12149" s="30" t="inlineStr">
        <is>
          <t>Porto Real</t>
        </is>
      </c>
      <c r="C12149" s="30" t="n">
        <v>86833905</v>
      </c>
      <c r="D12149" s="30">
        <f>"04968037000169"</f>
        <v/>
      </c>
      <c r="E12149" s="30" t="inlineStr">
        <is>
          <t>DACUNHA NORDESTE TRANSPORTES LTDA</t>
        </is>
      </c>
      <c r="F12149" s="30" t="inlineStr">
        <is>
          <t>2018</t>
        </is>
      </c>
      <c r="G12149" s="40" t="n">
        <v>3657360.11</v>
      </c>
    </row>
    <row r="12150" ht="12" customHeight="1">
      <c r="A12150" s="30" t="inlineStr">
        <is>
          <t>POR</t>
        </is>
      </c>
      <c r="B12150" s="30" t="inlineStr">
        <is>
          <t>Porto Real</t>
        </is>
      </c>
      <c r="C12150" s="30" t="n">
        <v>86833905</v>
      </c>
      <c r="D12150" s="30">
        <f>"04968037000169"</f>
        <v/>
      </c>
      <c r="E12150" s="30" t="inlineStr">
        <is>
          <t>DACUNHA NORDESTE TRANSPORTES LTDA</t>
        </is>
      </c>
      <c r="F12150" s="30" t="inlineStr">
        <is>
          <t>2019</t>
        </is>
      </c>
      <c r="G12150" s="40" t="n">
        <v>2540939.55</v>
      </c>
    </row>
    <row r="12151" ht="12" customHeight="1">
      <c r="A12151" s="30" t="inlineStr">
        <is>
          <t>POR</t>
        </is>
      </c>
      <c r="B12151" s="30" t="inlineStr">
        <is>
          <t>Porto Real</t>
        </is>
      </c>
      <c r="C12151" s="30" t="n">
        <v>86833905</v>
      </c>
      <c r="D12151" s="30">
        <f>"04968037000169"</f>
        <v/>
      </c>
      <c r="E12151" s="30" t="inlineStr">
        <is>
          <t>DACUNHA NORDESTE TRANSPORTES LTDA</t>
        </is>
      </c>
      <c r="F12151" s="30" t="inlineStr">
        <is>
          <t>2020</t>
        </is>
      </c>
      <c r="G12151" s="40" t="n">
        <v>1739487.81</v>
      </c>
    </row>
    <row r="12152" ht="12" customHeight="1">
      <c r="A12152" s="30" t="inlineStr">
        <is>
          <t>POR</t>
        </is>
      </c>
      <c r="B12152" s="30" t="inlineStr">
        <is>
          <t>Porto Real</t>
        </is>
      </c>
      <c r="C12152" s="30" t="n">
        <v>86833905</v>
      </c>
      <c r="D12152" s="30">
        <f>"04968037000169"</f>
        <v/>
      </c>
      <c r="E12152" s="30" t="inlineStr">
        <is>
          <t>DACUNHA NORDESTE TRANSPORTES LTDA</t>
        </is>
      </c>
      <c r="F12152" s="30" t="inlineStr">
        <is>
          <t>2021</t>
        </is>
      </c>
      <c r="G12152" s="40" t="n">
        <v>812369.75</v>
      </c>
    </row>
    <row r="12153" ht="12" customHeight="1">
      <c r="A12153" s="30" t="inlineStr">
        <is>
          <t>POR</t>
        </is>
      </c>
      <c r="B12153" s="30" t="inlineStr">
        <is>
          <t>Porto Real</t>
        </is>
      </c>
      <c r="C12153" s="30" t="n">
        <v>86833905</v>
      </c>
      <c r="D12153" s="30">
        <f>"04968037000169"</f>
        <v/>
      </c>
      <c r="E12153" s="30" t="inlineStr">
        <is>
          <t>DACUNHA NORDESTE TRANSPORTES LTDA</t>
        </is>
      </c>
      <c r="F12153" s="30" t="inlineStr">
        <is>
          <t>2022</t>
        </is>
      </c>
      <c r="G12153" s="40" t="n">
        <v>676264.02</v>
      </c>
    </row>
    <row r="12154" ht="12" customHeight="1">
      <c r="A12154" s="30" t="inlineStr">
        <is>
          <t>POR</t>
        </is>
      </c>
      <c r="B12154" s="30" t="inlineStr">
        <is>
          <t>Porto Real</t>
        </is>
      </c>
      <c r="C12154" s="30" t="n">
        <v>86833905</v>
      </c>
      <c r="D12154" s="30">
        <f>"04968037000169"</f>
        <v/>
      </c>
      <c r="E12154" s="30" t="inlineStr">
        <is>
          <t>DACUNHA NORDESTE TRANSPORTES LTDA</t>
        </is>
      </c>
      <c r="F12154" s="30" t="inlineStr">
        <is>
          <t>2023</t>
        </is>
      </c>
      <c r="G12154" s="40" t="n">
        <v>994664.96</v>
      </c>
    </row>
    <row r="12155" ht="12" customHeight="1">
      <c r="A12155" s="30" t="inlineStr">
        <is>
          <t>POR</t>
        </is>
      </c>
      <c r="B12155" s="30" t="inlineStr">
        <is>
          <t>Porto Real</t>
        </is>
      </c>
      <c r="C12155" s="30" t="n">
        <v>86850036</v>
      </c>
      <c r="D12155" s="30">
        <f>"21616620000120"</f>
        <v/>
      </c>
      <c r="E12155" s="30" t="inlineStr">
        <is>
          <t>SANTOS E DUTRA MERCEARIA LTDA ME</t>
        </is>
      </c>
      <c r="F12155" s="30" t="inlineStr">
        <is>
          <t>2018</t>
        </is>
      </c>
      <c r="G12155" s="40" t="n">
        <v>0</v>
      </c>
    </row>
    <row r="12156" ht="12" customHeight="1">
      <c r="A12156" s="30" t="inlineStr">
        <is>
          <t>POR</t>
        </is>
      </c>
      <c r="B12156" s="30" t="inlineStr">
        <is>
          <t>Porto Real</t>
        </is>
      </c>
      <c r="C12156" s="30" t="n">
        <v>86850036</v>
      </c>
      <c r="D12156" s="30">
        <f>"21616620000120"</f>
        <v/>
      </c>
      <c r="E12156" s="30" t="inlineStr">
        <is>
          <t>SANTOS E DUTRA MERCEARIA LTDA ME</t>
        </is>
      </c>
      <c r="F12156" s="30" t="inlineStr">
        <is>
          <t>2019</t>
        </is>
      </c>
      <c r="G12156" s="40" t="n">
        <v>0</v>
      </c>
    </row>
    <row r="12157" ht="12" customHeight="1">
      <c r="A12157" s="30" t="inlineStr">
        <is>
          <t>POR</t>
        </is>
      </c>
      <c r="B12157" s="30" t="inlineStr">
        <is>
          <t>Porto Real</t>
        </is>
      </c>
      <c r="C12157" s="30" t="n">
        <v>86850036</v>
      </c>
      <c r="D12157" s="30">
        <f>"21616620000120"</f>
        <v/>
      </c>
      <c r="E12157" s="30" t="inlineStr">
        <is>
          <t>SANTOS E DUTRA MERCEARIA LTDA ME</t>
        </is>
      </c>
      <c r="F12157" s="30" t="inlineStr">
        <is>
          <t>2020</t>
        </is>
      </c>
      <c r="G12157" s="40" t="n">
        <v>0</v>
      </c>
    </row>
    <row r="12158" ht="12" customHeight="1">
      <c r="A12158" s="30" t="inlineStr">
        <is>
          <t>POR</t>
        </is>
      </c>
      <c r="B12158" s="30" t="inlineStr">
        <is>
          <t>Porto Real</t>
        </is>
      </c>
      <c r="C12158" s="30" t="n">
        <v>86850036</v>
      </c>
      <c r="D12158" s="30">
        <f>"21616620000120"</f>
        <v/>
      </c>
      <c r="E12158" s="30" t="inlineStr">
        <is>
          <t>SANTOS E DUTRA MERCEARIA LTDA ME</t>
        </is>
      </c>
      <c r="F12158" s="30" t="inlineStr">
        <is>
          <t>2021</t>
        </is>
      </c>
      <c r="G12158" s="40" t="n">
        <v>0</v>
      </c>
    </row>
    <row r="12159" ht="12" customHeight="1">
      <c r="A12159" s="30" t="inlineStr">
        <is>
          <t>POR</t>
        </is>
      </c>
      <c r="B12159" s="30" t="inlineStr">
        <is>
          <t>Porto Real</t>
        </is>
      </c>
      <c r="C12159" s="30" t="n">
        <v>86850036</v>
      </c>
      <c r="D12159" s="30">
        <f>"21616620000120"</f>
        <v/>
      </c>
      <c r="E12159" s="30" t="inlineStr">
        <is>
          <t>SANTOS E DUTRA MERCEARIA LTDA ME</t>
        </is>
      </c>
      <c r="F12159" s="30" t="inlineStr">
        <is>
          <t>2022</t>
        </is>
      </c>
      <c r="G12159" s="40" t="n">
        <v>0</v>
      </c>
    </row>
    <row r="12160" ht="12" customHeight="1">
      <c r="A12160" s="30" t="inlineStr">
        <is>
          <t>POR</t>
        </is>
      </c>
      <c r="B12160" s="30" t="inlineStr">
        <is>
          <t>Porto Real</t>
        </is>
      </c>
      <c r="C12160" s="30" t="n">
        <v>86854406</v>
      </c>
      <c r="D12160" s="30">
        <f>"03357962000352"</f>
        <v/>
      </c>
      <c r="E12160" s="30" t="inlineStr">
        <is>
          <t>AXON TRANSPORTES S A</t>
        </is>
      </c>
      <c r="F12160" s="30" t="inlineStr">
        <is>
          <t>2020</t>
        </is>
      </c>
      <c r="G12160" s="40" t="n">
        <v>0</v>
      </c>
    </row>
    <row r="12161" ht="12" customHeight="1">
      <c r="A12161" s="30" t="inlineStr">
        <is>
          <t>POR</t>
        </is>
      </c>
      <c r="B12161" s="30" t="inlineStr">
        <is>
          <t>Porto Real</t>
        </is>
      </c>
      <c r="C12161" s="30" t="n">
        <v>86854406</v>
      </c>
      <c r="D12161" s="30">
        <f>"03357962000352"</f>
        <v/>
      </c>
      <c r="E12161" s="30" t="inlineStr">
        <is>
          <t>AXON TRANSPORTES S A</t>
        </is>
      </c>
      <c r="F12161" s="30" t="inlineStr">
        <is>
          <t>2021</t>
        </is>
      </c>
      <c r="G12161" s="40" t="n">
        <v>0</v>
      </c>
    </row>
    <row r="12162" ht="12" customHeight="1">
      <c r="A12162" s="30" t="inlineStr">
        <is>
          <t>POR</t>
        </is>
      </c>
      <c r="B12162" s="30" t="inlineStr">
        <is>
          <t>Porto Real</t>
        </is>
      </c>
      <c r="C12162" s="30" t="n">
        <v>86854406</v>
      </c>
      <c r="D12162" s="30">
        <f>"03357962000352"</f>
        <v/>
      </c>
      <c r="E12162" s="30" t="inlineStr">
        <is>
          <t>AXON TRANSPORTES S A</t>
        </is>
      </c>
      <c r="F12162" s="30" t="inlineStr">
        <is>
          <t>2022</t>
        </is>
      </c>
      <c r="G12162" s="40" t="n">
        <v>9918.379999999999</v>
      </c>
    </row>
    <row r="12163" ht="12" customHeight="1">
      <c r="A12163" s="30" t="inlineStr">
        <is>
          <t>POR</t>
        </is>
      </c>
      <c r="B12163" s="30" t="inlineStr">
        <is>
          <t>Porto Real</t>
        </is>
      </c>
      <c r="C12163" s="30" t="n">
        <v>86854406</v>
      </c>
      <c r="D12163" s="30">
        <f>"03357962000352"</f>
        <v/>
      </c>
      <c r="E12163" s="30" t="inlineStr">
        <is>
          <t>AXON TRANSPORTES S A</t>
        </is>
      </c>
      <c r="F12163" s="30" t="inlineStr">
        <is>
          <t>2023</t>
        </is>
      </c>
      <c r="G12163" s="40" t="n">
        <v>0</v>
      </c>
    </row>
    <row r="12164" ht="12" customHeight="1">
      <c r="A12164" s="30" t="inlineStr">
        <is>
          <t>POR</t>
        </is>
      </c>
      <c r="B12164" s="30" t="inlineStr">
        <is>
          <t>Porto Real</t>
        </is>
      </c>
      <c r="C12164" s="30" t="n">
        <v>86858363</v>
      </c>
      <c r="D12164" s="30">
        <f>"10418979000257"</f>
        <v/>
      </c>
      <c r="E12164" s="30" t="inlineStr">
        <is>
          <t>I-WAP TRANSPORTE LTDA - EPP</t>
        </is>
      </c>
      <c r="F12164" s="30" t="inlineStr">
        <is>
          <t>2017</t>
        </is>
      </c>
      <c r="G12164" s="40" t="n">
        <v>0</v>
      </c>
    </row>
    <row r="12165" ht="12" customHeight="1">
      <c r="A12165" s="30" t="inlineStr">
        <is>
          <t>POR</t>
        </is>
      </c>
      <c r="B12165" s="30" t="inlineStr">
        <is>
          <t>Porto Real</t>
        </is>
      </c>
      <c r="C12165" s="30" t="n">
        <v>86858363</v>
      </c>
      <c r="D12165" s="30">
        <f>"10418979000257"</f>
        <v/>
      </c>
      <c r="E12165" s="30" t="inlineStr">
        <is>
          <t>I-WAP TRANSPORTE LTDA - EPP</t>
        </is>
      </c>
      <c r="F12165" s="30" t="inlineStr">
        <is>
          <t>2018</t>
        </is>
      </c>
      <c r="G12165" s="40" t="n">
        <v>438.91</v>
      </c>
    </row>
    <row r="12166" ht="12" customHeight="1">
      <c r="A12166" s="30" t="inlineStr">
        <is>
          <t>POR</t>
        </is>
      </c>
      <c r="B12166" s="30" t="inlineStr">
        <is>
          <t>Porto Real</t>
        </is>
      </c>
      <c r="C12166" s="30" t="n">
        <v>86858363</v>
      </c>
      <c r="D12166" s="30">
        <f>"10418979000257"</f>
        <v/>
      </c>
      <c r="E12166" s="30" t="inlineStr">
        <is>
          <t>I-WAP TRANSPORTE LTDA - EPP</t>
        </is>
      </c>
      <c r="F12166" s="30" t="inlineStr">
        <is>
          <t>2019</t>
        </is>
      </c>
      <c r="G12166" s="40" t="n">
        <v>0</v>
      </c>
    </row>
    <row r="12167" ht="12" customHeight="1">
      <c r="A12167" s="30" t="inlineStr">
        <is>
          <t>POR</t>
        </is>
      </c>
      <c r="B12167" s="30" t="inlineStr">
        <is>
          <t>Porto Real</t>
        </is>
      </c>
      <c r="C12167" s="30" t="n">
        <v>86858363</v>
      </c>
      <c r="D12167" s="30">
        <f>"10418979000257"</f>
        <v/>
      </c>
      <c r="E12167" s="30" t="inlineStr">
        <is>
          <t>I-WAP TRANSPORTE LTDA - EPP</t>
        </is>
      </c>
      <c r="F12167" s="30" t="inlineStr">
        <is>
          <t>2020</t>
        </is>
      </c>
      <c r="G12167" s="40" t="n">
        <v>0</v>
      </c>
    </row>
    <row r="12168" ht="12" customHeight="1">
      <c r="A12168" s="30" t="inlineStr">
        <is>
          <t>POR</t>
        </is>
      </c>
      <c r="B12168" s="30" t="inlineStr">
        <is>
          <t>Porto Real</t>
        </is>
      </c>
      <c r="C12168" s="30" t="n">
        <v>86864541</v>
      </c>
      <c r="D12168" s="30">
        <f>"03550974000560"</f>
        <v/>
      </c>
      <c r="E12168" s="30" t="inlineStr">
        <is>
          <t>SANTA MARIA COMERCIO E RECICLAGEM DE RESIDUOS INDUSTRIAIS LTDA</t>
        </is>
      </c>
      <c r="F12168" s="30" t="inlineStr">
        <is>
          <t>2017</t>
        </is>
      </c>
      <c r="G12168" s="40" t="n">
        <v>0</v>
      </c>
    </row>
    <row r="12169" ht="12" customHeight="1">
      <c r="A12169" s="30" t="inlineStr">
        <is>
          <t>POR</t>
        </is>
      </c>
      <c r="B12169" s="30" t="inlineStr">
        <is>
          <t>Porto Real</t>
        </is>
      </c>
      <c r="C12169" s="30" t="n">
        <v>86864541</v>
      </c>
      <c r="D12169" s="30">
        <f>"03550974000560"</f>
        <v/>
      </c>
      <c r="E12169" s="30" t="inlineStr">
        <is>
          <t>SANTA MARIA COMERCIO E RECICLAGEM DE RESIDUOS INDUSTRIAIS LTDA</t>
        </is>
      </c>
      <c r="F12169" s="30" t="inlineStr">
        <is>
          <t>2018</t>
        </is>
      </c>
      <c r="G12169" s="40" t="n">
        <v>0</v>
      </c>
    </row>
    <row r="12170" ht="12" customHeight="1">
      <c r="A12170" s="30" t="inlineStr">
        <is>
          <t>POR</t>
        </is>
      </c>
      <c r="B12170" s="30" t="inlineStr">
        <is>
          <t>Porto Real</t>
        </is>
      </c>
      <c r="C12170" s="30" t="n">
        <v>86864541</v>
      </c>
      <c r="D12170" s="30">
        <f>"03550974000560"</f>
        <v/>
      </c>
      <c r="E12170" s="30" t="inlineStr">
        <is>
          <t>SANTA MARIA COMERCIO E RECICLAGEM DE RESIDUOS INDUSTRIAIS LTDA</t>
        </is>
      </c>
      <c r="F12170" s="30" t="inlineStr">
        <is>
          <t>2019</t>
        </is>
      </c>
      <c r="G12170" s="40" t="n">
        <v>0</v>
      </c>
    </row>
    <row r="12171" ht="12" customHeight="1">
      <c r="A12171" s="30" t="inlineStr">
        <is>
          <t>POR</t>
        </is>
      </c>
      <c r="B12171" s="30" t="inlineStr">
        <is>
          <t>Porto Real</t>
        </is>
      </c>
      <c r="C12171" s="30" t="n">
        <v>86864541</v>
      </c>
      <c r="D12171" s="30">
        <f>"03550974000560"</f>
        <v/>
      </c>
      <c r="E12171" s="30" t="inlineStr">
        <is>
          <t>SANTA MARIA COMERCIO E RECICLAGEM DE RESIDUOS INDUSTRIAIS LTDA</t>
        </is>
      </c>
      <c r="F12171" s="30" t="inlineStr">
        <is>
          <t>2020</t>
        </is>
      </c>
      <c r="G12171" s="40" t="n">
        <v>0</v>
      </c>
    </row>
    <row r="12172" ht="12" customHeight="1">
      <c r="A12172" s="30" t="inlineStr">
        <is>
          <t>POR</t>
        </is>
      </c>
      <c r="B12172" s="30" t="inlineStr">
        <is>
          <t>Porto Real</t>
        </is>
      </c>
      <c r="C12172" s="30" t="n">
        <v>86864541</v>
      </c>
      <c r="D12172" s="30">
        <f>"03550974000560"</f>
        <v/>
      </c>
      <c r="E12172" s="30" t="inlineStr">
        <is>
          <t>SANTA MARIA COMERCIO E RECICLAGEM DE RESIDUOS INDUSTRIAIS LTDA</t>
        </is>
      </c>
      <c r="F12172" s="30" t="inlineStr">
        <is>
          <t>2021</t>
        </is>
      </c>
      <c r="G12172" s="40" t="n">
        <v>0</v>
      </c>
    </row>
    <row r="12173" ht="12" customHeight="1">
      <c r="A12173" s="30" t="inlineStr">
        <is>
          <t>POR</t>
        </is>
      </c>
      <c r="B12173" s="30" t="inlineStr">
        <is>
          <t>Porto Real</t>
        </is>
      </c>
      <c r="C12173" s="30" t="n">
        <v>86864541</v>
      </c>
      <c r="D12173" s="30">
        <f>"03550974000560"</f>
        <v/>
      </c>
      <c r="E12173" s="30" t="inlineStr">
        <is>
          <t>SANTA MARIA COMERCIO E RECICLAGEM DE RESIDUOS INDUSTRIAIS LTDA</t>
        </is>
      </c>
      <c r="F12173" s="30" t="inlineStr">
        <is>
          <t>2022</t>
        </is>
      </c>
      <c r="G12173" s="40" t="n">
        <v>187069.34</v>
      </c>
    </row>
    <row r="12174" ht="12" customHeight="1">
      <c r="A12174" s="30" t="inlineStr">
        <is>
          <t>POR</t>
        </is>
      </c>
      <c r="B12174" s="30" t="inlineStr">
        <is>
          <t>Porto Real</t>
        </is>
      </c>
      <c r="C12174" s="30" t="n">
        <v>86864541</v>
      </c>
      <c r="D12174" s="30">
        <f>"03550974000560"</f>
        <v/>
      </c>
      <c r="E12174" s="30" t="inlineStr">
        <is>
          <t>SANTA MARIA COMERCIO E RECICLAGEM DE RESIDUOS INDUSTRIAIS LTDA</t>
        </is>
      </c>
      <c r="F12174" s="30" t="inlineStr">
        <is>
          <t>2023</t>
        </is>
      </c>
      <c r="G12174" s="40" t="n">
        <v>0</v>
      </c>
    </row>
    <row r="12175" ht="12" customHeight="1">
      <c r="A12175" s="30" t="inlineStr">
        <is>
          <t>POR</t>
        </is>
      </c>
      <c r="B12175" s="30" t="inlineStr">
        <is>
          <t>Porto Real</t>
        </is>
      </c>
      <c r="C12175" s="30" t="n">
        <v>86869942</v>
      </c>
      <c r="D12175" s="30">
        <f>"21781793000101"</f>
        <v/>
      </c>
      <c r="E12175" s="30" t="inlineStr">
        <is>
          <t>TANIA MARIA DELFINO RESTAURANTE ME</t>
        </is>
      </c>
      <c r="F12175" s="30" t="inlineStr">
        <is>
          <t>2018</t>
        </is>
      </c>
      <c r="G12175" s="40" t="n">
        <v>0</v>
      </c>
    </row>
    <row r="12176" ht="12" customHeight="1">
      <c r="A12176" s="30" t="inlineStr">
        <is>
          <t>POR</t>
        </is>
      </c>
      <c r="B12176" s="30" t="inlineStr">
        <is>
          <t>Porto Real</t>
        </is>
      </c>
      <c r="C12176" s="30" t="n">
        <v>86869942</v>
      </c>
      <c r="D12176" s="30">
        <f>"21781793000101"</f>
        <v/>
      </c>
      <c r="E12176" s="30" t="inlineStr">
        <is>
          <t>TANIA MARIA DELFINO RESTAURANTE ME</t>
        </is>
      </c>
      <c r="F12176" s="30" t="inlineStr">
        <is>
          <t>2019</t>
        </is>
      </c>
      <c r="G12176" s="40" t="n">
        <v>0</v>
      </c>
    </row>
    <row r="12177" ht="12" customHeight="1">
      <c r="A12177" s="30" t="inlineStr">
        <is>
          <t>POR</t>
        </is>
      </c>
      <c r="B12177" s="30" t="inlineStr">
        <is>
          <t>Porto Real</t>
        </is>
      </c>
      <c r="C12177" s="30" t="n">
        <v>86869942</v>
      </c>
      <c r="D12177" s="30">
        <f>"21781793000101"</f>
        <v/>
      </c>
      <c r="E12177" s="30" t="inlineStr">
        <is>
          <t>TANIA MARIA DELFINO RESTAURANTE ME</t>
        </is>
      </c>
      <c r="F12177" s="30" t="inlineStr">
        <is>
          <t>2020</t>
        </is>
      </c>
      <c r="G12177" s="40" t="n">
        <v>0</v>
      </c>
    </row>
    <row r="12178" ht="12" customHeight="1">
      <c r="A12178" s="30" t="inlineStr">
        <is>
          <t>POR</t>
        </is>
      </c>
      <c r="B12178" s="30" t="inlineStr">
        <is>
          <t>Porto Real</t>
        </is>
      </c>
      <c r="C12178" s="30" t="n">
        <v>86869942</v>
      </c>
      <c r="D12178" s="30">
        <f>"21781793000101"</f>
        <v/>
      </c>
      <c r="E12178" s="30" t="inlineStr">
        <is>
          <t>TANIA MARIA DELFINO RESTAURANTE ME</t>
        </is>
      </c>
      <c r="F12178" s="30" t="inlineStr">
        <is>
          <t>2021</t>
        </is>
      </c>
      <c r="G12178" s="40" t="n">
        <v>0</v>
      </c>
    </row>
    <row r="12179" ht="12" customHeight="1">
      <c r="A12179" s="30" t="inlineStr">
        <is>
          <t>POR</t>
        </is>
      </c>
      <c r="B12179" s="30" t="inlineStr">
        <is>
          <t>Porto Real</t>
        </is>
      </c>
      <c r="C12179" s="30" t="n">
        <v>86869942</v>
      </c>
      <c r="D12179" s="30">
        <f>"21781793000101"</f>
        <v/>
      </c>
      <c r="E12179" s="30" t="inlineStr">
        <is>
          <t>TANIA MARIA DELFINO RESTAURANTE ME</t>
        </is>
      </c>
      <c r="F12179" s="30" t="inlineStr">
        <is>
          <t>2022</t>
        </is>
      </c>
      <c r="G12179" s="40" t="n">
        <v>0</v>
      </c>
    </row>
    <row r="12180" ht="12" customHeight="1">
      <c r="A12180" s="30" t="inlineStr">
        <is>
          <t>POR</t>
        </is>
      </c>
      <c r="B12180" s="30" t="inlineStr">
        <is>
          <t>Porto Real</t>
        </is>
      </c>
      <c r="C12180" s="30" t="n">
        <v>86877503</v>
      </c>
      <c r="D12180" s="30">
        <f>"11020954000425"</f>
        <v/>
      </c>
      <c r="E12180" s="30" t="inlineStr">
        <is>
          <t>BRAVO LOG TRANSPORTES LTDA</t>
        </is>
      </c>
      <c r="F12180" s="30" t="inlineStr">
        <is>
          <t>2020</t>
        </is>
      </c>
      <c r="G12180" s="40" t="n">
        <v>0</v>
      </c>
    </row>
    <row r="12181" ht="12" customHeight="1">
      <c r="A12181" s="30" t="inlineStr">
        <is>
          <t>POR</t>
        </is>
      </c>
      <c r="B12181" s="30" t="inlineStr">
        <is>
          <t>Porto Real</t>
        </is>
      </c>
      <c r="C12181" s="30" t="n">
        <v>86877503</v>
      </c>
      <c r="D12181" s="30">
        <f>"11020954000425"</f>
        <v/>
      </c>
      <c r="E12181" s="30" t="inlineStr">
        <is>
          <t>BRAVO LOG TRANSPORTES LTDA</t>
        </is>
      </c>
      <c r="F12181" s="30" t="inlineStr">
        <is>
          <t>2021</t>
        </is>
      </c>
      <c r="G12181" s="40" t="n">
        <v>0</v>
      </c>
    </row>
    <row r="12182" ht="12" customHeight="1">
      <c r="A12182" s="30" t="inlineStr">
        <is>
          <t>POR</t>
        </is>
      </c>
      <c r="B12182" s="30" t="inlineStr">
        <is>
          <t>Porto Real</t>
        </is>
      </c>
      <c r="C12182" s="30" t="n">
        <v>86877503</v>
      </c>
      <c r="D12182" s="30">
        <f>"11020954000425"</f>
        <v/>
      </c>
      <c r="E12182" s="30" t="inlineStr">
        <is>
          <t>BRAVO LOG TRANSPORTES LTDA</t>
        </is>
      </c>
      <c r="F12182" s="30" t="inlineStr">
        <is>
          <t>2022</t>
        </is>
      </c>
      <c r="G12182" s="40" t="n">
        <v>1442.16</v>
      </c>
    </row>
    <row r="12183" ht="12" customHeight="1">
      <c r="A12183" s="30" t="inlineStr">
        <is>
          <t>POR</t>
        </is>
      </c>
      <c r="B12183" s="30" t="inlineStr">
        <is>
          <t>Porto Real</t>
        </is>
      </c>
      <c r="C12183" s="30" t="n">
        <v>86877503</v>
      </c>
      <c r="D12183" s="30">
        <f>"11020954000425"</f>
        <v/>
      </c>
      <c r="E12183" s="30" t="inlineStr">
        <is>
          <t>BRAVO LOG TRANSPORTES LTDA</t>
        </is>
      </c>
      <c r="F12183" s="30" t="inlineStr">
        <is>
          <t>2023</t>
        </is>
      </c>
      <c r="G12183" s="40" t="n">
        <v>2002.6</v>
      </c>
    </row>
    <row r="12184" ht="12" customHeight="1">
      <c r="A12184" s="30" t="inlineStr">
        <is>
          <t>POR</t>
        </is>
      </c>
      <c r="B12184" s="30" t="inlineStr">
        <is>
          <t>Porto Real</t>
        </is>
      </c>
      <c r="C12184" s="30" t="n">
        <v>86879344</v>
      </c>
      <c r="D12184" s="30">
        <f>"05886614003666"</f>
        <v/>
      </c>
      <c r="E12184" s="30" t="inlineStr">
        <is>
          <t>DIRECT EXPRESS LOGISTICA INTEGRADA S/A</t>
        </is>
      </c>
      <c r="F12184" s="30" t="inlineStr">
        <is>
          <t>2017</t>
        </is>
      </c>
      <c r="G12184" s="40" t="n">
        <v>114.02</v>
      </c>
    </row>
    <row r="12185" ht="12" customHeight="1">
      <c r="A12185" s="30" t="inlineStr">
        <is>
          <t>POR</t>
        </is>
      </c>
      <c r="B12185" s="30" t="inlineStr">
        <is>
          <t>Porto Real</t>
        </is>
      </c>
      <c r="C12185" s="30" t="n">
        <v>86879344</v>
      </c>
      <c r="D12185" s="30">
        <f>"05886614003666"</f>
        <v/>
      </c>
      <c r="E12185" s="30" t="inlineStr">
        <is>
          <t>DIRECT EXPRESS LOGISTICA INTEGRADA S/A</t>
        </is>
      </c>
      <c r="F12185" s="30" t="inlineStr">
        <is>
          <t>2018</t>
        </is>
      </c>
      <c r="G12185" s="40" t="n">
        <v>0</v>
      </c>
    </row>
    <row r="12186" ht="12" customHeight="1">
      <c r="A12186" s="30" t="inlineStr">
        <is>
          <t>POR</t>
        </is>
      </c>
      <c r="B12186" s="30" t="inlineStr">
        <is>
          <t>Porto Real</t>
        </is>
      </c>
      <c r="C12186" s="30" t="n">
        <v>86879344</v>
      </c>
      <c r="D12186" s="30">
        <f>"05886614003666"</f>
        <v/>
      </c>
      <c r="E12186" s="30" t="inlineStr">
        <is>
          <t>DIRECT EXPRESS LOGISTICA INTEGRADA S/A</t>
        </is>
      </c>
      <c r="F12186" s="30" t="inlineStr">
        <is>
          <t>2019</t>
        </is>
      </c>
      <c r="G12186" s="40" t="n">
        <v>0</v>
      </c>
    </row>
    <row r="12187" ht="12" customHeight="1">
      <c r="A12187" s="30" t="inlineStr">
        <is>
          <t>POR</t>
        </is>
      </c>
      <c r="B12187" s="30" t="inlineStr">
        <is>
          <t>Porto Real</t>
        </is>
      </c>
      <c r="C12187" s="30" t="n">
        <v>86882566</v>
      </c>
      <c r="D12187" s="30">
        <f>"08680888001134"</f>
        <v/>
      </c>
      <c r="E12187" s="30" t="inlineStr">
        <is>
          <t>MSC MEDITERRANEAN LOGISTICA LTDA</t>
        </is>
      </c>
      <c r="F12187" s="30" t="inlineStr">
        <is>
          <t>2017</t>
        </is>
      </c>
      <c r="G12187" s="40" t="n">
        <v>222479.76</v>
      </c>
    </row>
    <row r="12188" ht="12" customHeight="1">
      <c r="A12188" s="30" t="inlineStr">
        <is>
          <t>POR</t>
        </is>
      </c>
      <c r="B12188" s="30" t="inlineStr">
        <is>
          <t>Porto Real</t>
        </is>
      </c>
      <c r="C12188" s="30" t="n">
        <v>86882566</v>
      </c>
      <c r="D12188" s="30">
        <f>"08680888001134"</f>
        <v/>
      </c>
      <c r="E12188" s="30" t="inlineStr">
        <is>
          <t>MSC MEDITERRANEAN LOGISTICA LTDA</t>
        </is>
      </c>
      <c r="F12188" s="30" t="inlineStr">
        <is>
          <t>2018</t>
        </is>
      </c>
      <c r="G12188" s="40" t="n">
        <v>513870.97</v>
      </c>
    </row>
    <row r="12189" ht="12" customHeight="1">
      <c r="A12189" s="30" t="inlineStr">
        <is>
          <t>POR</t>
        </is>
      </c>
      <c r="B12189" s="30" t="inlineStr">
        <is>
          <t>Porto Real</t>
        </is>
      </c>
      <c r="C12189" s="30" t="n">
        <v>86882566</v>
      </c>
      <c r="D12189" s="30">
        <f>"08680888001134"</f>
        <v/>
      </c>
      <c r="E12189" s="30" t="inlineStr">
        <is>
          <t>MSC MEDITERRANEAN LOGISTICA LTDA</t>
        </is>
      </c>
      <c r="F12189" s="30" t="inlineStr">
        <is>
          <t>2019</t>
        </is>
      </c>
      <c r="G12189" s="40" t="n">
        <v>441930.31</v>
      </c>
    </row>
    <row r="12190" ht="12" customHeight="1">
      <c r="A12190" s="30" t="inlineStr">
        <is>
          <t>POR</t>
        </is>
      </c>
      <c r="B12190" s="30" t="inlineStr">
        <is>
          <t>Porto Real</t>
        </is>
      </c>
      <c r="C12190" s="30" t="n">
        <v>86882566</v>
      </c>
      <c r="D12190" s="30">
        <f>"08680888001134"</f>
        <v/>
      </c>
      <c r="E12190" s="30" t="inlineStr">
        <is>
          <t>MSC MEDITERRANEAN LOGISTICA LTDA</t>
        </is>
      </c>
      <c r="F12190" s="30" t="inlineStr">
        <is>
          <t>2020</t>
        </is>
      </c>
      <c r="G12190" s="40" t="n">
        <v>31314</v>
      </c>
    </row>
    <row r="12191" ht="12" customHeight="1">
      <c r="A12191" s="30" t="inlineStr">
        <is>
          <t>POR</t>
        </is>
      </c>
      <c r="B12191" s="30" t="inlineStr">
        <is>
          <t>Porto Real</t>
        </is>
      </c>
      <c r="C12191" s="30" t="n">
        <v>86882566</v>
      </c>
      <c r="D12191" s="30">
        <f>"08680888001134"</f>
        <v/>
      </c>
      <c r="E12191" s="30" t="inlineStr">
        <is>
          <t>MSC MEDITERRANEAN LOGISTICA LTDA</t>
        </is>
      </c>
      <c r="F12191" s="30" t="inlineStr">
        <is>
          <t>2021</t>
        </is>
      </c>
      <c r="G12191" s="40" t="n">
        <v>10860</v>
      </c>
    </row>
    <row r="12192" ht="12" customHeight="1">
      <c r="A12192" s="30" t="inlineStr">
        <is>
          <t>POR</t>
        </is>
      </c>
      <c r="B12192" s="30" t="inlineStr">
        <is>
          <t>Porto Real</t>
        </is>
      </c>
      <c r="C12192" s="30" t="n">
        <v>86882566</v>
      </c>
      <c r="D12192" s="30">
        <f>"08680888001134"</f>
        <v/>
      </c>
      <c r="E12192" s="30" t="inlineStr">
        <is>
          <t>MSC MEDITERRANEAN LOGISTICA LTDA</t>
        </is>
      </c>
      <c r="F12192" s="30" t="inlineStr">
        <is>
          <t>2022</t>
        </is>
      </c>
      <c r="G12192" s="40" t="n">
        <v>0</v>
      </c>
    </row>
    <row r="12193" ht="12" customHeight="1">
      <c r="A12193" s="30" t="inlineStr">
        <is>
          <t>POR</t>
        </is>
      </c>
      <c r="B12193" s="30" t="inlineStr">
        <is>
          <t>Porto Real</t>
        </is>
      </c>
      <c r="C12193" s="30" t="n">
        <v>86882566</v>
      </c>
      <c r="D12193" s="30">
        <f>"08680888001134"</f>
        <v/>
      </c>
      <c r="E12193" s="30" t="inlineStr">
        <is>
          <t>MSC MEDITERRANEAN LOGISTICA LTDA</t>
        </is>
      </c>
      <c r="F12193" s="30" t="inlineStr">
        <is>
          <t>2023</t>
        </is>
      </c>
      <c r="G12193" s="40" t="n">
        <v>0</v>
      </c>
    </row>
    <row r="12194" ht="12" customHeight="1">
      <c r="A12194" s="30" t="inlineStr">
        <is>
          <t>POR</t>
        </is>
      </c>
      <c r="B12194" s="30" t="inlineStr">
        <is>
          <t>Porto Real</t>
        </is>
      </c>
      <c r="C12194" s="30" t="n">
        <v>86900009</v>
      </c>
      <c r="D12194" s="30">
        <f>"13819517000159"</f>
        <v/>
      </c>
      <c r="E12194" s="30" t="inlineStr">
        <is>
          <t>BR SERVICOS DE FRETAMENTO LTDA - ME</t>
        </is>
      </c>
      <c r="F12194" s="30" t="inlineStr">
        <is>
          <t>2017</t>
        </is>
      </c>
      <c r="G12194" s="40" t="n">
        <v>0</v>
      </c>
    </row>
    <row r="12195" ht="12" customHeight="1">
      <c r="A12195" s="30" t="inlineStr">
        <is>
          <t>POR</t>
        </is>
      </c>
      <c r="B12195" s="30" t="inlineStr">
        <is>
          <t>Porto Real</t>
        </is>
      </c>
      <c r="C12195" s="30" t="n">
        <v>86900009</v>
      </c>
      <c r="D12195" s="30">
        <f>"13819517000159"</f>
        <v/>
      </c>
      <c r="E12195" s="30" t="inlineStr">
        <is>
          <t>BR SERVICOS DE FRETAMENTO LTDA - ME</t>
        </is>
      </c>
      <c r="F12195" s="30" t="inlineStr">
        <is>
          <t>2018</t>
        </is>
      </c>
      <c r="G12195" s="40" t="n">
        <v>0</v>
      </c>
    </row>
    <row r="12196" ht="12" customHeight="1">
      <c r="A12196" s="30" t="inlineStr">
        <is>
          <t>POR</t>
        </is>
      </c>
      <c r="B12196" s="30" t="inlineStr">
        <is>
          <t>Porto Real</t>
        </is>
      </c>
      <c r="C12196" s="30" t="n">
        <v>86900009</v>
      </c>
      <c r="D12196" s="30">
        <f>"13819517000159"</f>
        <v/>
      </c>
      <c r="E12196" s="30" t="inlineStr">
        <is>
          <t>BR SERVICOS DE FRETAMENTO LTDA - ME</t>
        </is>
      </c>
      <c r="F12196" s="30" t="inlineStr">
        <is>
          <t>2019</t>
        </is>
      </c>
      <c r="G12196" s="40" t="n">
        <v>0</v>
      </c>
    </row>
    <row r="12197" ht="12" customHeight="1">
      <c r="A12197" s="30" t="inlineStr">
        <is>
          <t>POR</t>
        </is>
      </c>
      <c r="B12197" s="30" t="inlineStr">
        <is>
          <t>Porto Real</t>
        </is>
      </c>
      <c r="C12197" s="30" t="n">
        <v>86900009</v>
      </c>
      <c r="D12197" s="30">
        <f>"13819517000159"</f>
        <v/>
      </c>
      <c r="E12197" s="30" t="inlineStr">
        <is>
          <t>BR SERVICOS DE FRETAMENTO LTDA - ME</t>
        </is>
      </c>
      <c r="F12197" s="30" t="inlineStr">
        <is>
          <t>2020</t>
        </is>
      </c>
      <c r="G12197" s="40" t="n">
        <v>0</v>
      </c>
    </row>
    <row r="12198" ht="12" customHeight="1">
      <c r="A12198" s="30" t="inlineStr">
        <is>
          <t>POR</t>
        </is>
      </c>
      <c r="B12198" s="30" t="inlineStr">
        <is>
          <t>Porto Real</t>
        </is>
      </c>
      <c r="C12198" s="30" t="n">
        <v>86900009</v>
      </c>
      <c r="D12198" s="30">
        <f>"13819517000159"</f>
        <v/>
      </c>
      <c r="E12198" s="30" t="inlineStr">
        <is>
          <t>BR SERVICOS DE FRETAMENTO LTDA - ME</t>
        </is>
      </c>
      <c r="F12198" s="30" t="inlineStr">
        <is>
          <t>2021</t>
        </is>
      </c>
      <c r="G12198" s="40" t="n">
        <v>0</v>
      </c>
    </row>
    <row r="12199" ht="12" customHeight="1">
      <c r="A12199" s="30" t="inlineStr">
        <is>
          <t>POR</t>
        </is>
      </c>
      <c r="B12199" s="30" t="inlineStr">
        <is>
          <t>Porto Real</t>
        </is>
      </c>
      <c r="C12199" s="30" t="n">
        <v>86906562</v>
      </c>
      <c r="D12199" s="30">
        <f>"22108301000176"</f>
        <v/>
      </c>
      <c r="E12199" s="30" t="inlineStr">
        <is>
          <t>GUINDASTÃO LOGÍSTICA LTDA.</t>
        </is>
      </c>
      <c r="F12199" s="30" t="inlineStr">
        <is>
          <t>2021</t>
        </is>
      </c>
      <c r="G12199" s="40" t="n">
        <v>0</v>
      </c>
    </row>
    <row r="12200" ht="12" customHeight="1">
      <c r="A12200" s="30" t="inlineStr">
        <is>
          <t>POR</t>
        </is>
      </c>
      <c r="B12200" s="30" t="inlineStr">
        <is>
          <t>Porto Real</t>
        </is>
      </c>
      <c r="C12200" s="30" t="n">
        <v>86906562</v>
      </c>
      <c r="D12200" s="30">
        <f>"22108301000176"</f>
        <v/>
      </c>
      <c r="E12200" s="30" t="inlineStr">
        <is>
          <t>GUINDASTÃO LOGÍSTICA LTDA.</t>
        </is>
      </c>
      <c r="F12200" s="30" t="inlineStr">
        <is>
          <t>2022</t>
        </is>
      </c>
      <c r="G12200" s="40" t="n">
        <v>0</v>
      </c>
    </row>
    <row r="12201" ht="12" customHeight="1">
      <c r="A12201" s="30" t="inlineStr">
        <is>
          <t>POR</t>
        </is>
      </c>
      <c r="B12201" s="30" t="inlineStr">
        <is>
          <t>Porto Real</t>
        </is>
      </c>
      <c r="C12201" s="30" t="n">
        <v>86906562</v>
      </c>
      <c r="D12201" s="30">
        <f>"22108301000176"</f>
        <v/>
      </c>
      <c r="E12201" s="30" t="inlineStr">
        <is>
          <t>GUINDASTÃO LOGÍSTICA LTDA.</t>
        </is>
      </c>
      <c r="F12201" s="30" t="inlineStr">
        <is>
          <t>2023</t>
        </is>
      </c>
      <c r="G12201" s="40" t="n">
        <v>80496.37</v>
      </c>
    </row>
    <row r="12202" ht="12" customHeight="1">
      <c r="A12202" s="30" t="inlineStr">
        <is>
          <t>POR</t>
        </is>
      </c>
      <c r="B12202" s="30" t="inlineStr">
        <is>
          <t>Porto Real</t>
        </is>
      </c>
      <c r="C12202" s="30" t="n">
        <v>86913410</v>
      </c>
      <c r="D12202" s="30">
        <f>"49025695001470"</f>
        <v/>
      </c>
      <c r="E12202" s="30" t="inlineStr">
        <is>
          <t>JD COCENZO &amp; CIA LTDA</t>
        </is>
      </c>
      <c r="F12202" s="30" t="inlineStr">
        <is>
          <t>2017</t>
        </is>
      </c>
      <c r="G12202" s="40" t="n">
        <v>0</v>
      </c>
    </row>
    <row r="12203" ht="12" customHeight="1">
      <c r="A12203" s="30" t="inlineStr">
        <is>
          <t>POR</t>
        </is>
      </c>
      <c r="B12203" s="30" t="inlineStr">
        <is>
          <t>Porto Real</t>
        </is>
      </c>
      <c r="C12203" s="30" t="n">
        <v>86913410</v>
      </c>
      <c r="D12203" s="30">
        <f>"49025695001470"</f>
        <v/>
      </c>
      <c r="E12203" s="30" t="inlineStr">
        <is>
          <t>JD COCENZO &amp; CIA LTDA</t>
        </is>
      </c>
      <c r="F12203" s="30" t="inlineStr">
        <is>
          <t>2018</t>
        </is>
      </c>
      <c r="G12203" s="40" t="n">
        <v>139004.24</v>
      </c>
    </row>
    <row r="12204" ht="12" customHeight="1">
      <c r="A12204" s="30" t="inlineStr">
        <is>
          <t>POR</t>
        </is>
      </c>
      <c r="B12204" s="30" t="inlineStr">
        <is>
          <t>Porto Real</t>
        </is>
      </c>
      <c r="C12204" s="30" t="n">
        <v>86913410</v>
      </c>
      <c r="D12204" s="30">
        <f>"49025695001470"</f>
        <v/>
      </c>
      <c r="E12204" s="30" t="inlineStr">
        <is>
          <t>JD COCENZO &amp; CIA LTDA</t>
        </is>
      </c>
      <c r="F12204" s="30" t="inlineStr">
        <is>
          <t>2019</t>
        </is>
      </c>
      <c r="G12204" s="40" t="n">
        <v>45645.06</v>
      </c>
    </row>
    <row r="12205" ht="12" customHeight="1">
      <c r="A12205" s="30" t="inlineStr">
        <is>
          <t>POR</t>
        </is>
      </c>
      <c r="B12205" s="30" t="inlineStr">
        <is>
          <t>Porto Real</t>
        </is>
      </c>
      <c r="C12205" s="30" t="n">
        <v>86913410</v>
      </c>
      <c r="D12205" s="30">
        <f>"49025695001470"</f>
        <v/>
      </c>
      <c r="E12205" s="30" t="inlineStr">
        <is>
          <t>JD COCENZO &amp; CIA LTDA</t>
        </is>
      </c>
      <c r="F12205" s="30" t="inlineStr">
        <is>
          <t>2020</t>
        </is>
      </c>
      <c r="G12205" s="40" t="n">
        <v>0</v>
      </c>
    </row>
    <row r="12206" ht="12" customHeight="1">
      <c r="A12206" s="30" t="inlineStr">
        <is>
          <t>POR</t>
        </is>
      </c>
      <c r="B12206" s="30" t="inlineStr">
        <is>
          <t>Porto Real</t>
        </is>
      </c>
      <c r="C12206" s="30" t="n">
        <v>86913410</v>
      </c>
      <c r="D12206" s="30">
        <f>"49025695001470"</f>
        <v/>
      </c>
      <c r="E12206" s="30" t="inlineStr">
        <is>
          <t>JD COCENZO &amp; CIA LTDA</t>
        </is>
      </c>
      <c r="F12206" s="30" t="inlineStr">
        <is>
          <t>2021</t>
        </is>
      </c>
      <c r="G12206" s="40" t="n">
        <v>29941.93</v>
      </c>
    </row>
    <row r="12207" ht="12" customHeight="1">
      <c r="A12207" s="30" t="inlineStr">
        <is>
          <t>POR</t>
        </is>
      </c>
      <c r="B12207" s="30" t="inlineStr">
        <is>
          <t>Porto Real</t>
        </is>
      </c>
      <c r="C12207" s="30" t="n">
        <v>86913410</v>
      </c>
      <c r="D12207" s="30">
        <f>"49025695001470"</f>
        <v/>
      </c>
      <c r="E12207" s="30" t="inlineStr">
        <is>
          <t>JD COCENZO &amp; CIA LTDA</t>
        </is>
      </c>
      <c r="F12207" s="30" t="inlineStr">
        <is>
          <t>2022</t>
        </is>
      </c>
      <c r="G12207" s="40" t="n">
        <v>0</v>
      </c>
    </row>
    <row r="12208" ht="12" customHeight="1">
      <c r="A12208" s="30" t="inlineStr">
        <is>
          <t>POR</t>
        </is>
      </c>
      <c r="B12208" s="30" t="inlineStr">
        <is>
          <t>Porto Real</t>
        </is>
      </c>
      <c r="C12208" s="30" t="n">
        <v>86913410</v>
      </c>
      <c r="D12208" s="30">
        <f>"49025695001470"</f>
        <v/>
      </c>
      <c r="E12208" s="30" t="inlineStr">
        <is>
          <t>JD COCENZO &amp; CIA LTDA</t>
        </is>
      </c>
      <c r="F12208" s="30" t="inlineStr">
        <is>
          <t>2023</t>
        </is>
      </c>
      <c r="G12208" s="40" t="n">
        <v>0</v>
      </c>
    </row>
    <row r="12209" ht="12" customHeight="1">
      <c r="A12209" s="30" t="inlineStr">
        <is>
          <t>POR</t>
        </is>
      </c>
      <c r="B12209" s="30" t="inlineStr">
        <is>
          <t>Porto Real</t>
        </is>
      </c>
      <c r="C12209" s="30" t="n">
        <v>86915162</v>
      </c>
      <c r="D12209" s="30">
        <f>"02465242000348"</f>
        <v/>
      </c>
      <c r="E12209" s="30" t="inlineStr">
        <is>
          <t>N S A BM TRANSPORTE E LOGISTICA LTDA EPP</t>
        </is>
      </c>
      <c r="F12209" s="30" t="inlineStr">
        <is>
          <t>2017</t>
        </is>
      </c>
      <c r="G12209" s="40" t="n">
        <v>7311.3</v>
      </c>
    </row>
    <row r="12210" ht="12" customHeight="1">
      <c r="A12210" s="30" t="inlineStr">
        <is>
          <t>POR</t>
        </is>
      </c>
      <c r="B12210" s="30" t="inlineStr">
        <is>
          <t>Porto Real</t>
        </is>
      </c>
      <c r="C12210" s="30" t="n">
        <v>86915162</v>
      </c>
      <c r="D12210" s="30">
        <f>"02465242000348"</f>
        <v/>
      </c>
      <c r="E12210" s="30" t="inlineStr">
        <is>
          <t>N S A BM TRANSPORTE E LOGISTICA LTDA EPP</t>
        </is>
      </c>
      <c r="F12210" s="30" t="inlineStr">
        <is>
          <t>2018</t>
        </is>
      </c>
      <c r="G12210" s="40" t="n">
        <v>85175.47</v>
      </c>
    </row>
    <row r="12211" ht="12" customHeight="1">
      <c r="A12211" s="30" t="inlineStr">
        <is>
          <t>POR</t>
        </is>
      </c>
      <c r="B12211" s="30" t="inlineStr">
        <is>
          <t>Porto Real</t>
        </is>
      </c>
      <c r="C12211" s="30" t="n">
        <v>86915162</v>
      </c>
      <c r="D12211" s="30">
        <f>"02465242000348"</f>
        <v/>
      </c>
      <c r="E12211" s="30" t="inlineStr">
        <is>
          <t>N S A BM TRANSPORTE E LOGISTICA LTDA EPP</t>
        </is>
      </c>
      <c r="F12211" s="30" t="inlineStr">
        <is>
          <t>2019</t>
        </is>
      </c>
      <c r="G12211" s="40" t="n">
        <v>37772.84</v>
      </c>
    </row>
    <row r="12212" ht="12" customHeight="1">
      <c r="A12212" s="30" t="inlineStr">
        <is>
          <t>POR</t>
        </is>
      </c>
      <c r="B12212" s="30" t="inlineStr">
        <is>
          <t>Porto Real</t>
        </is>
      </c>
      <c r="C12212" s="30" t="n">
        <v>86915162</v>
      </c>
      <c r="D12212" s="30">
        <f>"02465242000348"</f>
        <v/>
      </c>
      <c r="E12212" s="30" t="inlineStr">
        <is>
          <t>N S A BM TRANSPORTE E LOGISTICA LTDA EPP</t>
        </is>
      </c>
      <c r="F12212" s="30" t="inlineStr">
        <is>
          <t>2020</t>
        </is>
      </c>
      <c r="G12212" s="40" t="n">
        <v>1.14</v>
      </c>
    </row>
    <row r="12213" ht="12" customHeight="1">
      <c r="A12213" s="30" t="inlineStr">
        <is>
          <t>POR</t>
        </is>
      </c>
      <c r="B12213" s="30" t="inlineStr">
        <is>
          <t>Porto Real</t>
        </is>
      </c>
      <c r="C12213" s="30" t="n">
        <v>86915162</v>
      </c>
      <c r="D12213" s="30">
        <f>"02465242000348"</f>
        <v/>
      </c>
      <c r="E12213" s="30" t="inlineStr">
        <is>
          <t>N S A BM TRANSPORTE E LOGISTICA LTDA EPP</t>
        </is>
      </c>
      <c r="F12213" s="30" t="inlineStr">
        <is>
          <t>2021</t>
        </is>
      </c>
      <c r="G12213" s="40" t="n">
        <v>0</v>
      </c>
    </row>
    <row r="12214" ht="12" customHeight="1">
      <c r="A12214" s="30" t="inlineStr">
        <is>
          <t>POR</t>
        </is>
      </c>
      <c r="B12214" s="30" t="inlineStr">
        <is>
          <t>Porto Real</t>
        </is>
      </c>
      <c r="C12214" s="30" t="n">
        <v>86915162</v>
      </c>
      <c r="D12214" s="30">
        <f>"02465242000348"</f>
        <v/>
      </c>
      <c r="E12214" s="30" t="inlineStr">
        <is>
          <t>N S A BM TRANSPORTE E LOGISTICA LTDA EPP</t>
        </is>
      </c>
      <c r="F12214" s="30" t="inlineStr">
        <is>
          <t>2022</t>
        </is>
      </c>
      <c r="G12214" s="40" t="n">
        <v>0</v>
      </c>
    </row>
    <row r="12215" ht="12" customHeight="1">
      <c r="A12215" s="30" t="inlineStr">
        <is>
          <t>POR</t>
        </is>
      </c>
      <c r="B12215" s="30" t="inlineStr">
        <is>
          <t>Porto Real</t>
        </is>
      </c>
      <c r="C12215" s="30" t="n">
        <v>86939479</v>
      </c>
      <c r="D12215" s="30">
        <f>"46515946000515"</f>
        <v/>
      </c>
      <c r="E12215" s="30" t="inlineStr">
        <is>
          <t>NOVORUMO TRANSPORTES LTDA</t>
        </is>
      </c>
      <c r="F12215" s="30" t="inlineStr">
        <is>
          <t>2017</t>
        </is>
      </c>
      <c r="G12215" s="40" t="n">
        <v>26433.2</v>
      </c>
    </row>
    <row r="12216" ht="12" customHeight="1">
      <c r="A12216" s="30" t="inlineStr">
        <is>
          <t>POR</t>
        </is>
      </c>
      <c r="B12216" s="30" t="inlineStr">
        <is>
          <t>Porto Real</t>
        </is>
      </c>
      <c r="C12216" s="30" t="n">
        <v>86939479</v>
      </c>
      <c r="D12216" s="30">
        <f>"46515946000515"</f>
        <v/>
      </c>
      <c r="E12216" s="30" t="inlineStr">
        <is>
          <t>NOVORUMO TRANSPORTES LTDA</t>
        </is>
      </c>
      <c r="F12216" s="30" t="inlineStr">
        <is>
          <t>2018</t>
        </is>
      </c>
      <c r="G12216" s="40" t="n">
        <v>0</v>
      </c>
    </row>
    <row r="12217" ht="12" customHeight="1">
      <c r="A12217" s="30" t="inlineStr">
        <is>
          <t>POR</t>
        </is>
      </c>
      <c r="B12217" s="30" t="inlineStr">
        <is>
          <t>Porto Real</t>
        </is>
      </c>
      <c r="C12217" s="30" t="n">
        <v>86939479</v>
      </c>
      <c r="D12217" s="30">
        <f>"46515946000515"</f>
        <v/>
      </c>
      <c r="E12217" s="30" t="inlineStr">
        <is>
          <t>NOVORUMO TRANSPORTES LTDA</t>
        </is>
      </c>
      <c r="F12217" s="30" t="inlineStr">
        <is>
          <t>2019</t>
        </is>
      </c>
      <c r="G12217" s="40" t="n">
        <v>6467.69</v>
      </c>
    </row>
    <row r="12218" ht="12" customHeight="1">
      <c r="A12218" s="30" t="inlineStr">
        <is>
          <t>POR</t>
        </is>
      </c>
      <c r="B12218" s="30" t="inlineStr">
        <is>
          <t>Porto Real</t>
        </is>
      </c>
      <c r="C12218" s="30" t="n">
        <v>86939479</v>
      </c>
      <c r="D12218" s="30">
        <f>"46515946000515"</f>
        <v/>
      </c>
      <c r="E12218" s="30" t="inlineStr">
        <is>
          <t>NOVORUMO TRANSPORTES LTDA</t>
        </is>
      </c>
      <c r="F12218" s="30" t="inlineStr">
        <is>
          <t>2020</t>
        </is>
      </c>
      <c r="G12218" s="40" t="n">
        <v>185.45</v>
      </c>
    </row>
    <row r="12219" ht="12" customHeight="1">
      <c r="A12219" s="30" t="inlineStr">
        <is>
          <t>POR</t>
        </is>
      </c>
      <c r="B12219" s="30" t="inlineStr">
        <is>
          <t>Porto Real</t>
        </is>
      </c>
      <c r="C12219" s="30" t="n">
        <v>86939479</v>
      </c>
      <c r="D12219" s="30">
        <f>"46515946000515"</f>
        <v/>
      </c>
      <c r="E12219" s="30" t="inlineStr">
        <is>
          <t>NOVORUMO TRANSPORTES LTDA</t>
        </is>
      </c>
      <c r="F12219" s="30" t="inlineStr">
        <is>
          <t>2021</t>
        </is>
      </c>
      <c r="G12219" s="40" t="n">
        <v>13756.59</v>
      </c>
    </row>
    <row r="12220" ht="12" customHeight="1">
      <c r="A12220" s="30" t="inlineStr">
        <is>
          <t>POR</t>
        </is>
      </c>
      <c r="B12220" s="30" t="inlineStr">
        <is>
          <t>Porto Real</t>
        </is>
      </c>
      <c r="C12220" s="30" t="n">
        <v>86939479</v>
      </c>
      <c r="D12220" s="30">
        <f>"46515946000515"</f>
        <v/>
      </c>
      <c r="E12220" s="30" t="inlineStr">
        <is>
          <t>NOVORUMO TRANSPORTES LTDA</t>
        </is>
      </c>
      <c r="F12220" s="30" t="inlineStr">
        <is>
          <t>2022</t>
        </is>
      </c>
      <c r="G12220" s="40" t="n">
        <v>996.09</v>
      </c>
    </row>
    <row r="12221" ht="12" customHeight="1">
      <c r="A12221" s="30" t="inlineStr">
        <is>
          <t>POR</t>
        </is>
      </c>
      <c r="B12221" s="30" t="inlineStr">
        <is>
          <t>Porto Real</t>
        </is>
      </c>
      <c r="C12221" s="30" t="n">
        <v>86939479</v>
      </c>
      <c r="D12221" s="30">
        <f>"46515946000515"</f>
        <v/>
      </c>
      <c r="E12221" s="30" t="inlineStr">
        <is>
          <t>NOVORUMO TRANSPORTES LTDA</t>
        </is>
      </c>
      <c r="F12221" s="30" t="inlineStr">
        <is>
          <t>2023</t>
        </is>
      </c>
      <c r="G12221" s="40" t="n">
        <v>0</v>
      </c>
    </row>
    <row r="12222" ht="12" customHeight="1">
      <c r="A12222" s="30" t="inlineStr">
        <is>
          <t>POR</t>
        </is>
      </c>
      <c r="B12222" s="30" t="inlineStr">
        <is>
          <t>Porto Real</t>
        </is>
      </c>
      <c r="C12222" s="30" t="n">
        <v>86939541</v>
      </c>
      <c r="D12222" s="30">
        <f>"61036141000582"</f>
        <v/>
      </c>
      <c r="E12222" s="30" t="inlineStr">
        <is>
          <t>ISRINGHAUSEN INDUSTRIAL LTDA</t>
        </is>
      </c>
      <c r="F12222" s="30" t="inlineStr">
        <is>
          <t>2017</t>
        </is>
      </c>
      <c r="G12222" s="40" t="n">
        <v>0</v>
      </c>
    </row>
    <row r="12223" ht="12" customHeight="1">
      <c r="A12223" s="30" t="inlineStr">
        <is>
          <t>POR</t>
        </is>
      </c>
      <c r="B12223" s="30" t="inlineStr">
        <is>
          <t>Porto Real</t>
        </is>
      </c>
      <c r="C12223" s="30" t="n">
        <v>86939541</v>
      </c>
      <c r="D12223" s="30">
        <f>"61036141000582"</f>
        <v/>
      </c>
      <c r="E12223" s="30" t="inlineStr">
        <is>
          <t>ISRINGHAUSEN INDUSTRIAL LTDA</t>
        </is>
      </c>
      <c r="F12223" s="30" t="inlineStr">
        <is>
          <t>2018</t>
        </is>
      </c>
      <c r="G12223" s="40" t="n">
        <v>0</v>
      </c>
    </row>
    <row r="12224" ht="12" customHeight="1">
      <c r="A12224" s="30" t="inlineStr">
        <is>
          <t>POR</t>
        </is>
      </c>
      <c r="B12224" s="30" t="inlineStr">
        <is>
          <t>Porto Real</t>
        </is>
      </c>
      <c r="C12224" s="30" t="n">
        <v>86939541</v>
      </c>
      <c r="D12224" s="30">
        <f>"61036141000582"</f>
        <v/>
      </c>
      <c r="E12224" s="30" t="inlineStr">
        <is>
          <t>ISRINGHAUSEN INDUSTRIAL LTDA</t>
        </is>
      </c>
      <c r="F12224" s="30" t="inlineStr">
        <is>
          <t>2019</t>
        </is>
      </c>
      <c r="G12224" s="40" t="n">
        <v>0</v>
      </c>
    </row>
    <row r="12225" ht="12" customHeight="1">
      <c r="A12225" s="30" t="inlineStr">
        <is>
          <t>POR</t>
        </is>
      </c>
      <c r="B12225" s="30" t="inlineStr">
        <is>
          <t>Porto Real</t>
        </is>
      </c>
      <c r="C12225" s="30" t="n">
        <v>86939541</v>
      </c>
      <c r="D12225" s="30">
        <f>"61036141000582"</f>
        <v/>
      </c>
      <c r="E12225" s="30" t="inlineStr">
        <is>
          <t>ISRINGHAUSEN INDUSTRIAL LTDA</t>
        </is>
      </c>
      <c r="F12225" s="30" t="inlineStr">
        <is>
          <t>2020</t>
        </is>
      </c>
      <c r="G12225" s="40" t="n">
        <v>0</v>
      </c>
    </row>
    <row r="12226" ht="12" customHeight="1">
      <c r="A12226" s="30" t="inlineStr">
        <is>
          <t>POR</t>
        </is>
      </c>
      <c r="B12226" s="30" t="inlineStr">
        <is>
          <t>Porto Real</t>
        </is>
      </c>
      <c r="C12226" s="30" t="n">
        <v>86939541</v>
      </c>
      <c r="D12226" s="30">
        <f>"61036141000582"</f>
        <v/>
      </c>
      <c r="E12226" s="30" t="inlineStr">
        <is>
          <t>ISRINGHAUSEN INDUSTRIAL LTDA</t>
        </is>
      </c>
      <c r="F12226" s="30" t="inlineStr">
        <is>
          <t>2021</t>
        </is>
      </c>
      <c r="G12226" s="40" t="n">
        <v>0</v>
      </c>
    </row>
    <row r="12227" ht="12" customHeight="1">
      <c r="A12227" s="30" t="inlineStr">
        <is>
          <t>POR</t>
        </is>
      </c>
      <c r="B12227" s="30" t="inlineStr">
        <is>
          <t>Porto Real</t>
        </is>
      </c>
      <c r="C12227" s="30" t="n">
        <v>86939541</v>
      </c>
      <c r="D12227" s="30">
        <f>"61036141000582"</f>
        <v/>
      </c>
      <c r="E12227" s="30" t="inlineStr">
        <is>
          <t>ISRINGHAUSEN INDUSTRIAL LTDA</t>
        </is>
      </c>
      <c r="F12227" s="30" t="inlineStr">
        <is>
          <t>2022</t>
        </is>
      </c>
      <c r="G12227" s="40" t="n">
        <v>0</v>
      </c>
    </row>
    <row r="12228" ht="12" customHeight="1">
      <c r="A12228" s="30" t="inlineStr">
        <is>
          <t>POR</t>
        </is>
      </c>
      <c r="B12228" s="30" t="inlineStr">
        <is>
          <t>Porto Real</t>
        </is>
      </c>
      <c r="C12228" s="30" t="n">
        <v>86949423</v>
      </c>
      <c r="D12228" s="30">
        <f>"02964147001956"</f>
        <v/>
      </c>
      <c r="E12228" s="30" t="inlineStr">
        <is>
          <t>PACIFICO LOG LOGISTICA E TRANSPORTES EIRELI</t>
        </is>
      </c>
      <c r="F12228" s="30" t="inlineStr">
        <is>
          <t>2017</t>
        </is>
      </c>
      <c r="G12228" s="40" t="n">
        <v>0</v>
      </c>
    </row>
    <row r="12229" ht="12" customHeight="1">
      <c r="A12229" s="30" t="inlineStr">
        <is>
          <t>POR</t>
        </is>
      </c>
      <c r="B12229" s="30" t="inlineStr">
        <is>
          <t>Porto Real</t>
        </is>
      </c>
      <c r="C12229" s="30" t="n">
        <v>86949423</v>
      </c>
      <c r="D12229" s="30">
        <f>"02964147001956"</f>
        <v/>
      </c>
      <c r="E12229" s="30" t="inlineStr">
        <is>
          <t>PACIFICO LOG LOGISTICA E TRANSPORTES EIRELI</t>
        </is>
      </c>
      <c r="F12229" s="30" t="inlineStr">
        <is>
          <t>2018</t>
        </is>
      </c>
      <c r="G12229" s="40" t="n">
        <v>243.39</v>
      </c>
    </row>
    <row r="12230" ht="12" customHeight="1">
      <c r="A12230" s="30" t="inlineStr">
        <is>
          <t>POR</t>
        </is>
      </c>
      <c r="B12230" s="30" t="inlineStr">
        <is>
          <t>Porto Real</t>
        </is>
      </c>
      <c r="C12230" s="30" t="n">
        <v>86949423</v>
      </c>
      <c r="D12230" s="30">
        <f>"02964147001956"</f>
        <v/>
      </c>
      <c r="E12230" s="30" t="inlineStr">
        <is>
          <t>PACIFICO LOG LOGISTICA E TRANSPORTES EIRELI</t>
        </is>
      </c>
      <c r="F12230" s="30" t="inlineStr">
        <is>
          <t>2019</t>
        </is>
      </c>
      <c r="G12230" s="40" t="n">
        <v>0</v>
      </c>
    </row>
    <row r="12231" ht="12" customHeight="1">
      <c r="A12231" s="30" t="inlineStr">
        <is>
          <t>POR</t>
        </is>
      </c>
      <c r="B12231" s="30" t="inlineStr">
        <is>
          <t>Porto Real</t>
        </is>
      </c>
      <c r="C12231" s="30" t="n">
        <v>86949423</v>
      </c>
      <c r="D12231" s="30">
        <f>"02964147001956"</f>
        <v/>
      </c>
      <c r="E12231" s="30" t="inlineStr">
        <is>
          <t>PACIFICO LOG LOGISTICA E TRANSPORTES EIRELI</t>
        </is>
      </c>
      <c r="F12231" s="30" t="inlineStr">
        <is>
          <t>2020</t>
        </is>
      </c>
      <c r="G12231" s="40" t="n">
        <v>0</v>
      </c>
    </row>
    <row r="12232" ht="12" customHeight="1">
      <c r="A12232" s="30" t="inlineStr">
        <is>
          <t>POR</t>
        </is>
      </c>
      <c r="B12232" s="30" t="inlineStr">
        <is>
          <t>Porto Real</t>
        </is>
      </c>
      <c r="C12232" s="30" t="n">
        <v>86965623</v>
      </c>
      <c r="D12232" s="30">
        <f>"01464557000227"</f>
        <v/>
      </c>
      <c r="E12232" s="30" t="inlineStr">
        <is>
          <t>LIKA &amp; FILHOS TRANSPORTES LTDA - EPP</t>
        </is>
      </c>
      <c r="F12232" s="30" t="inlineStr">
        <is>
          <t>2017</t>
        </is>
      </c>
      <c r="G12232" s="40" t="n">
        <v>0</v>
      </c>
    </row>
    <row r="12233" ht="12" customHeight="1">
      <c r="A12233" s="30" t="inlineStr">
        <is>
          <t>POR</t>
        </is>
      </c>
      <c r="B12233" s="30" t="inlineStr">
        <is>
          <t>Porto Real</t>
        </is>
      </c>
      <c r="C12233" s="30" t="n">
        <v>86965623</v>
      </c>
      <c r="D12233" s="30">
        <f>"01464557000227"</f>
        <v/>
      </c>
      <c r="E12233" s="30" t="inlineStr">
        <is>
          <t>LIKA &amp; FILHOS TRANSPORTES LTDA - EPP</t>
        </is>
      </c>
      <c r="F12233" s="30" t="inlineStr">
        <is>
          <t>2018</t>
        </is>
      </c>
      <c r="G12233" s="40" t="n">
        <v>0</v>
      </c>
    </row>
    <row r="12234" ht="12" customHeight="1">
      <c r="A12234" s="30" t="inlineStr">
        <is>
          <t>POR</t>
        </is>
      </c>
      <c r="B12234" s="30" t="inlineStr">
        <is>
          <t>Porto Real</t>
        </is>
      </c>
      <c r="C12234" s="30" t="n">
        <v>86965623</v>
      </c>
      <c r="D12234" s="30">
        <f>"01464557000227"</f>
        <v/>
      </c>
      <c r="E12234" s="30" t="inlineStr">
        <is>
          <t>LIKA &amp; FILHOS TRANSPORTES LTDA - EPP</t>
        </is>
      </c>
      <c r="F12234" s="30" t="inlineStr">
        <is>
          <t>2019</t>
        </is>
      </c>
      <c r="G12234" s="40" t="n">
        <v>0</v>
      </c>
    </row>
    <row r="12235" ht="12" customHeight="1">
      <c r="A12235" s="30" t="inlineStr">
        <is>
          <t>POR</t>
        </is>
      </c>
      <c r="B12235" s="30" t="inlineStr">
        <is>
          <t>Porto Real</t>
        </is>
      </c>
      <c r="C12235" s="30" t="n">
        <v>86969963</v>
      </c>
      <c r="D12235" s="30">
        <f>"22864378000176"</f>
        <v/>
      </c>
      <c r="E12235" s="30" t="inlineStr">
        <is>
          <t>J F A DE PORTO REAL MATERIAL DE CONSTRUCAO LTDA ME</t>
        </is>
      </c>
      <c r="F12235" s="30" t="inlineStr">
        <is>
          <t>2019</t>
        </is>
      </c>
      <c r="G12235" s="40" t="n">
        <v>0</v>
      </c>
    </row>
    <row r="12236" ht="12" customHeight="1">
      <c r="A12236" s="30" t="inlineStr">
        <is>
          <t>POR</t>
        </is>
      </c>
      <c r="B12236" s="30" t="inlineStr">
        <is>
          <t>Porto Real</t>
        </is>
      </c>
      <c r="C12236" s="30" t="n">
        <v>86969963</v>
      </c>
      <c r="D12236" s="30">
        <f>"22864378000176"</f>
        <v/>
      </c>
      <c r="E12236" s="30" t="inlineStr">
        <is>
          <t>J F A DE PORTO REAL MATERIAL DE CONSTRUCAO LTDA ME</t>
        </is>
      </c>
      <c r="F12236" s="30" t="inlineStr">
        <is>
          <t>2020</t>
        </is>
      </c>
      <c r="G12236" s="40" t="n">
        <v>0</v>
      </c>
    </row>
    <row r="12237" ht="12" customHeight="1">
      <c r="A12237" s="30" t="inlineStr">
        <is>
          <t>POR</t>
        </is>
      </c>
      <c r="B12237" s="30" t="inlineStr">
        <is>
          <t>Porto Real</t>
        </is>
      </c>
      <c r="C12237" s="30" t="n">
        <v>86969963</v>
      </c>
      <c r="D12237" s="30">
        <f>"22864378000176"</f>
        <v/>
      </c>
      <c r="E12237" s="30" t="inlineStr">
        <is>
          <t>J F A DE PORTO REAL MATERIAL DE CONSTRUCAO LTDA ME</t>
        </is>
      </c>
      <c r="F12237" s="30" t="inlineStr">
        <is>
          <t>2021</t>
        </is>
      </c>
      <c r="G12237" s="40" t="n">
        <v>0</v>
      </c>
    </row>
    <row r="12238" ht="12" customHeight="1">
      <c r="A12238" s="30" t="inlineStr">
        <is>
          <t>POR</t>
        </is>
      </c>
      <c r="B12238" s="30" t="inlineStr">
        <is>
          <t>Porto Real</t>
        </is>
      </c>
      <c r="C12238" s="30" t="n">
        <v>86969963</v>
      </c>
      <c r="D12238" s="30">
        <f>"22864378000176"</f>
        <v/>
      </c>
      <c r="E12238" s="30" t="inlineStr">
        <is>
          <t>J F A DE PORTO REAL MATERIAL DE CONSTRUCAO LTDA ME</t>
        </is>
      </c>
      <c r="F12238" s="30" t="inlineStr">
        <is>
          <t>2022</t>
        </is>
      </c>
      <c r="G12238" s="40" t="n">
        <v>0</v>
      </c>
    </row>
    <row r="12239" ht="12" customHeight="1">
      <c r="A12239" s="30" t="inlineStr">
        <is>
          <t>POR</t>
        </is>
      </c>
      <c r="B12239" s="30" t="inlineStr">
        <is>
          <t>Porto Real</t>
        </is>
      </c>
      <c r="C12239" s="30" t="n">
        <v>86969963</v>
      </c>
      <c r="D12239" s="30">
        <f>"22864378000176"</f>
        <v/>
      </c>
      <c r="E12239" s="30" t="inlineStr">
        <is>
          <t>J F A DE PORTO REAL MATERIAL DE CONSTRUCAO LTDA ME</t>
        </is>
      </c>
      <c r="F12239" s="30" t="inlineStr">
        <is>
          <t>2023</t>
        </is>
      </c>
      <c r="G12239" s="40" t="n">
        <v>0</v>
      </c>
    </row>
    <row r="12240" ht="12" customHeight="1">
      <c r="A12240" s="30" t="inlineStr">
        <is>
          <t>POR</t>
        </is>
      </c>
      <c r="B12240" s="30" t="inlineStr">
        <is>
          <t>Porto Real</t>
        </is>
      </c>
      <c r="C12240" s="30" t="n">
        <v>86990415</v>
      </c>
      <c r="D12240" s="30">
        <f>"67405936001730"</f>
        <v/>
      </c>
      <c r="E12240" s="30" t="inlineStr">
        <is>
          <t>PEUGEOT CITROEN DO BRASIL AUTOMOVEIS LTDA</t>
        </is>
      </c>
      <c r="F12240" s="30" t="inlineStr">
        <is>
          <t>2017</t>
        </is>
      </c>
      <c r="G12240" s="40" t="n">
        <v>0</v>
      </c>
    </row>
    <row r="12241" ht="12" customHeight="1">
      <c r="A12241" s="30" t="inlineStr">
        <is>
          <t>POR</t>
        </is>
      </c>
      <c r="B12241" s="30" t="inlineStr">
        <is>
          <t>Porto Real</t>
        </is>
      </c>
      <c r="C12241" s="30" t="n">
        <v>86990415</v>
      </c>
      <c r="D12241" s="30">
        <f>"67405936001730"</f>
        <v/>
      </c>
      <c r="E12241" s="30" t="inlineStr">
        <is>
          <t>PEUGEOT CITROEN DO BRASIL AUTOMOVEIS LTDA</t>
        </is>
      </c>
      <c r="F12241" s="30" t="inlineStr">
        <is>
          <t>2018</t>
        </is>
      </c>
      <c r="G12241" s="40" t="n">
        <v>0</v>
      </c>
    </row>
    <row r="12242" ht="12" customHeight="1">
      <c r="A12242" s="30" t="inlineStr">
        <is>
          <t>POR</t>
        </is>
      </c>
      <c r="B12242" s="30" t="inlineStr">
        <is>
          <t>Porto Real</t>
        </is>
      </c>
      <c r="C12242" s="30" t="n">
        <v>86990415</v>
      </c>
      <c r="D12242" s="30">
        <f>"67405936001730"</f>
        <v/>
      </c>
      <c r="E12242" s="30" t="inlineStr">
        <is>
          <t>PEUGEOT CITROEN DO BRASIL AUTOMOVEIS LTDA</t>
        </is>
      </c>
      <c r="F12242" s="30" t="inlineStr">
        <is>
          <t>2019</t>
        </is>
      </c>
      <c r="G12242" s="40" t="n">
        <v>0</v>
      </c>
    </row>
    <row r="12243" ht="12" customHeight="1">
      <c r="A12243" s="30" t="inlineStr">
        <is>
          <t>POR</t>
        </is>
      </c>
      <c r="B12243" s="30" t="inlineStr">
        <is>
          <t>Porto Real</t>
        </is>
      </c>
      <c r="C12243" s="30" t="n">
        <v>86990415</v>
      </c>
      <c r="D12243" s="30">
        <f>"67405936001730"</f>
        <v/>
      </c>
      <c r="E12243" s="30" t="inlineStr">
        <is>
          <t>PEUGEOT CITROEN DO BRASIL AUTOMOVEIS LTDA</t>
        </is>
      </c>
      <c r="F12243" s="30" t="inlineStr">
        <is>
          <t>2020</t>
        </is>
      </c>
      <c r="G12243" s="40" t="n">
        <v>0</v>
      </c>
    </row>
    <row r="12244" ht="12" customHeight="1">
      <c r="A12244" s="30" t="inlineStr">
        <is>
          <t>POR</t>
        </is>
      </c>
      <c r="B12244" s="30" t="inlineStr">
        <is>
          <t>Porto Real</t>
        </is>
      </c>
      <c r="C12244" s="30" t="n">
        <v>86990415</v>
      </c>
      <c r="D12244" s="30">
        <f>"67405936001730"</f>
        <v/>
      </c>
      <c r="E12244" s="30" t="inlineStr">
        <is>
          <t>PEUGEOT CITROEN DO BRASIL AUTOMOVEIS LTDA</t>
        </is>
      </c>
      <c r="F12244" s="30" t="inlineStr">
        <is>
          <t>2021</t>
        </is>
      </c>
      <c r="G12244" s="40" t="n">
        <v>0</v>
      </c>
    </row>
    <row r="12245" ht="12" customHeight="1">
      <c r="A12245" s="30" t="inlineStr">
        <is>
          <t>POR</t>
        </is>
      </c>
      <c r="B12245" s="30" t="inlineStr">
        <is>
          <t>Porto Real</t>
        </is>
      </c>
      <c r="C12245" s="30" t="n">
        <v>86990415</v>
      </c>
      <c r="D12245" s="30">
        <f>"67405936001730"</f>
        <v/>
      </c>
      <c r="E12245" s="30" t="inlineStr">
        <is>
          <t>PEUGEOT CITROEN DO BRASIL AUTOMOVEIS LTDA</t>
        </is>
      </c>
      <c r="F12245" s="30" t="inlineStr">
        <is>
          <t>2022</t>
        </is>
      </c>
      <c r="G12245" s="40" t="n">
        <v>0</v>
      </c>
    </row>
    <row r="12246" ht="12" customHeight="1">
      <c r="A12246" s="30" t="inlineStr">
        <is>
          <t>POR</t>
        </is>
      </c>
      <c r="B12246" s="30" t="inlineStr">
        <is>
          <t>Porto Real</t>
        </is>
      </c>
      <c r="C12246" s="30" t="n">
        <v>86990415</v>
      </c>
      <c r="D12246" s="30">
        <f>"67405936001730"</f>
        <v/>
      </c>
      <c r="E12246" s="30" t="inlineStr">
        <is>
          <t>PEUGEOT CITROEN DO BRASIL AUTOMOVEIS LTDA</t>
        </is>
      </c>
      <c r="F12246" s="30" t="inlineStr">
        <is>
          <t>2023</t>
        </is>
      </c>
      <c r="G12246" s="40" t="n">
        <v>0</v>
      </c>
    </row>
    <row r="12247" ht="12" customHeight="1">
      <c r="A12247" s="30" t="inlineStr">
        <is>
          <t>POR</t>
        </is>
      </c>
      <c r="B12247" s="30" t="inlineStr">
        <is>
          <t>Porto Real</t>
        </is>
      </c>
      <c r="C12247" s="30" t="n">
        <v>86994178</v>
      </c>
      <c r="D12247" s="30">
        <f>"53237962003140"</f>
        <v/>
      </c>
      <c r="E12247" s="30" t="inlineStr">
        <is>
          <t>EMPRESA DE TRANSPORTES PAJUCARA LTDA</t>
        </is>
      </c>
      <c r="F12247" s="30" t="inlineStr">
        <is>
          <t>2017</t>
        </is>
      </c>
      <c r="G12247" s="40" t="n">
        <v>1008.42</v>
      </c>
    </row>
    <row r="12248" ht="12" customHeight="1">
      <c r="A12248" s="30" t="inlineStr">
        <is>
          <t>POR</t>
        </is>
      </c>
      <c r="B12248" s="30" t="inlineStr">
        <is>
          <t>Porto Real</t>
        </is>
      </c>
      <c r="C12248" s="30" t="n">
        <v>86994178</v>
      </c>
      <c r="D12248" s="30">
        <f>"53237962003140"</f>
        <v/>
      </c>
      <c r="E12248" s="30" t="inlineStr">
        <is>
          <t>EMPRESA DE TRANSPORTES PAJUCARA LTDA</t>
        </is>
      </c>
      <c r="F12248" s="30" t="inlineStr">
        <is>
          <t>2018</t>
        </is>
      </c>
      <c r="G12248" s="40" t="n">
        <v>760598.97</v>
      </c>
    </row>
    <row r="12249" ht="12" customHeight="1">
      <c r="A12249" s="30" t="inlineStr">
        <is>
          <t>POR</t>
        </is>
      </c>
      <c r="B12249" s="30" t="inlineStr">
        <is>
          <t>Porto Real</t>
        </is>
      </c>
      <c r="C12249" s="30" t="n">
        <v>86994178</v>
      </c>
      <c r="D12249" s="30">
        <f>"53237962003140"</f>
        <v/>
      </c>
      <c r="E12249" s="30" t="inlineStr">
        <is>
          <t>EMPRESA DE TRANSPORTES PAJUCARA LTDA</t>
        </is>
      </c>
      <c r="F12249" s="30" t="inlineStr">
        <is>
          <t>2019</t>
        </is>
      </c>
      <c r="G12249" s="40" t="n">
        <v>1129498.6</v>
      </c>
    </row>
    <row r="12250" ht="12" customHeight="1">
      <c r="A12250" s="30" t="inlineStr">
        <is>
          <t>POR</t>
        </is>
      </c>
      <c r="B12250" s="30" t="inlineStr">
        <is>
          <t>Porto Real</t>
        </is>
      </c>
      <c r="C12250" s="30" t="n">
        <v>86994178</v>
      </c>
      <c r="D12250" s="30">
        <f>"53237962003140"</f>
        <v/>
      </c>
      <c r="E12250" s="30" t="inlineStr">
        <is>
          <t>EMPRESA DE TRANSPORTES PAJUCARA LTDA</t>
        </is>
      </c>
      <c r="F12250" s="30" t="inlineStr">
        <is>
          <t>2020</t>
        </is>
      </c>
      <c r="G12250" s="40" t="n">
        <v>825290.71</v>
      </c>
    </row>
    <row r="12251" ht="12" customHeight="1">
      <c r="A12251" s="30" t="inlineStr">
        <is>
          <t>POR</t>
        </is>
      </c>
      <c r="B12251" s="30" t="inlineStr">
        <is>
          <t>Porto Real</t>
        </is>
      </c>
      <c r="C12251" s="30" t="n">
        <v>86994178</v>
      </c>
      <c r="D12251" s="30">
        <f>"53237962003140"</f>
        <v/>
      </c>
      <c r="E12251" s="30" t="inlineStr">
        <is>
          <t>EMPRESA DE TRANSPORTES PAJUCARA LTDA</t>
        </is>
      </c>
      <c r="F12251" s="30" t="inlineStr">
        <is>
          <t>2021</t>
        </is>
      </c>
      <c r="G12251" s="40" t="n">
        <v>1896516.27</v>
      </c>
    </row>
    <row r="12252" ht="12" customHeight="1">
      <c r="A12252" s="30" t="inlineStr">
        <is>
          <t>POR</t>
        </is>
      </c>
      <c r="B12252" s="30" t="inlineStr">
        <is>
          <t>Porto Real</t>
        </is>
      </c>
      <c r="C12252" s="30" t="n">
        <v>86994178</v>
      </c>
      <c r="D12252" s="30">
        <f>"53237962003140"</f>
        <v/>
      </c>
      <c r="E12252" s="30" t="inlineStr">
        <is>
          <t>EMPRESA DE TRANSPORTES PAJUCARA LTDA</t>
        </is>
      </c>
      <c r="F12252" s="30" t="inlineStr">
        <is>
          <t>2022</t>
        </is>
      </c>
      <c r="G12252" s="40" t="n">
        <v>1013149.85</v>
      </c>
    </row>
    <row r="12253" ht="12" customHeight="1">
      <c r="A12253" s="30" t="inlineStr">
        <is>
          <t>POR</t>
        </is>
      </c>
      <c r="B12253" s="30" t="inlineStr">
        <is>
          <t>Porto Real</t>
        </is>
      </c>
      <c r="C12253" s="30" t="n">
        <v>86994178</v>
      </c>
      <c r="D12253" s="30">
        <f>"53237962003140"</f>
        <v/>
      </c>
      <c r="E12253" s="30" t="inlineStr">
        <is>
          <t>EMPRESA DE TRANSPORTES PAJUCARA LTDA</t>
        </is>
      </c>
      <c r="F12253" s="30" t="inlineStr">
        <is>
          <t>2023</t>
        </is>
      </c>
      <c r="G12253" s="40" t="n">
        <v>2572169.46</v>
      </c>
    </row>
    <row r="12254" ht="12" customHeight="1">
      <c r="A12254" s="30" t="inlineStr">
        <is>
          <t>POR</t>
        </is>
      </c>
      <c r="B12254" s="30" t="inlineStr">
        <is>
          <t>Porto Real</t>
        </is>
      </c>
      <c r="C12254" s="30" t="n">
        <v>86997177</v>
      </c>
      <c r="D12254" s="30">
        <f>"23126330000123"</f>
        <v/>
      </c>
      <c r="E12254" s="30" t="inlineStr">
        <is>
          <t>TRANSFUTURO LOGISTICA LTDA</t>
        </is>
      </c>
      <c r="F12254" s="30" t="inlineStr">
        <is>
          <t>2019</t>
        </is>
      </c>
      <c r="G12254" s="40" t="n">
        <v>0</v>
      </c>
    </row>
    <row r="12255" ht="12" customHeight="1">
      <c r="A12255" s="30" t="inlineStr">
        <is>
          <t>POR</t>
        </is>
      </c>
      <c r="B12255" s="30" t="inlineStr">
        <is>
          <t>Porto Real</t>
        </is>
      </c>
      <c r="C12255" s="30" t="n">
        <v>86997177</v>
      </c>
      <c r="D12255" s="30">
        <f>"23126330000123"</f>
        <v/>
      </c>
      <c r="E12255" s="30" t="inlineStr">
        <is>
          <t>TRANSFUTURO LOGISTICA LTDA</t>
        </is>
      </c>
      <c r="F12255" s="30" t="inlineStr">
        <is>
          <t>2020</t>
        </is>
      </c>
      <c r="G12255" s="40" t="n">
        <v>0</v>
      </c>
    </row>
    <row r="12256" ht="12" customHeight="1">
      <c r="A12256" s="30" t="inlineStr">
        <is>
          <t>POR</t>
        </is>
      </c>
      <c r="B12256" s="30" t="inlineStr">
        <is>
          <t>Porto Real</t>
        </is>
      </c>
      <c r="C12256" s="30" t="n">
        <v>86997177</v>
      </c>
      <c r="D12256" s="30">
        <f>"23126330000123"</f>
        <v/>
      </c>
      <c r="E12256" s="30" t="inlineStr">
        <is>
          <t>TRANSFUTURO LOGISTICA LTDA</t>
        </is>
      </c>
      <c r="F12256" s="30" t="inlineStr">
        <is>
          <t>2021</t>
        </is>
      </c>
      <c r="G12256" s="40" t="n">
        <v>229224.92</v>
      </c>
    </row>
    <row r="12257" ht="12" customHeight="1">
      <c r="A12257" s="30" t="inlineStr">
        <is>
          <t>POR</t>
        </is>
      </c>
      <c r="B12257" s="30" t="inlineStr">
        <is>
          <t>Porto Real</t>
        </is>
      </c>
      <c r="C12257" s="30" t="n">
        <v>86997177</v>
      </c>
      <c r="D12257" s="30">
        <f>"23126330000123"</f>
        <v/>
      </c>
      <c r="E12257" s="30" t="inlineStr">
        <is>
          <t>TRANSFUTURO LOGISTICA LTDA</t>
        </is>
      </c>
      <c r="F12257" s="30" t="inlineStr">
        <is>
          <t>2022</t>
        </is>
      </c>
      <c r="G12257" s="40" t="n">
        <v>1105663.49</v>
      </c>
    </row>
    <row r="12258" ht="12" customHeight="1">
      <c r="A12258" s="30" t="inlineStr">
        <is>
          <t>POR</t>
        </is>
      </c>
      <c r="B12258" s="30" t="inlineStr">
        <is>
          <t>Porto Real</t>
        </is>
      </c>
      <c r="C12258" s="30" t="n">
        <v>86997177</v>
      </c>
      <c r="D12258" s="30">
        <f>"23126330000123"</f>
        <v/>
      </c>
      <c r="E12258" s="30" t="inlineStr">
        <is>
          <t>TRANSFUTURO LOGISTICA LTDA</t>
        </is>
      </c>
      <c r="F12258" s="30" t="inlineStr">
        <is>
          <t>2023</t>
        </is>
      </c>
      <c r="G12258" s="40" t="n">
        <v>0</v>
      </c>
    </row>
    <row r="12259" ht="12" customHeight="1">
      <c r="A12259" s="30" t="inlineStr">
        <is>
          <t>POR</t>
        </is>
      </c>
      <c r="B12259" s="30" t="inlineStr">
        <is>
          <t>Porto Real</t>
        </is>
      </c>
      <c r="C12259" s="30" t="n">
        <v>86999412</v>
      </c>
      <c r="D12259" s="30">
        <f>"01487509000254"</f>
        <v/>
      </c>
      <c r="E12259" s="30" t="inlineStr">
        <is>
          <t>TRANSPORTES MUNHOZ &amp; MUNHOZ LTDA - EPP</t>
        </is>
      </c>
      <c r="F12259" s="30" t="inlineStr">
        <is>
          <t>2017</t>
        </is>
      </c>
      <c r="G12259" s="40" t="n">
        <v>0</v>
      </c>
    </row>
    <row r="12260" ht="12" customHeight="1">
      <c r="A12260" s="30" t="inlineStr">
        <is>
          <t>POR</t>
        </is>
      </c>
      <c r="B12260" s="30" t="inlineStr">
        <is>
          <t>Porto Real</t>
        </is>
      </c>
      <c r="C12260" s="30" t="n">
        <v>86999412</v>
      </c>
      <c r="D12260" s="30">
        <f>"01487509000254"</f>
        <v/>
      </c>
      <c r="E12260" s="30" t="inlineStr">
        <is>
          <t>TRANSPORTES MUNHOZ &amp; MUNHOZ LTDA - EPP</t>
        </is>
      </c>
      <c r="F12260" s="30" t="inlineStr">
        <is>
          <t>2018</t>
        </is>
      </c>
      <c r="G12260" s="40" t="n">
        <v>0</v>
      </c>
    </row>
    <row r="12261" ht="12" customHeight="1">
      <c r="A12261" s="30" t="inlineStr">
        <is>
          <t>POR</t>
        </is>
      </c>
      <c r="B12261" s="30" t="inlineStr">
        <is>
          <t>Porto Real</t>
        </is>
      </c>
      <c r="C12261" s="30" t="n">
        <v>86999412</v>
      </c>
      <c r="D12261" s="30">
        <f>"01487509000254"</f>
        <v/>
      </c>
      <c r="E12261" s="30" t="inlineStr">
        <is>
          <t>TRANSPORTES MUNHOZ &amp; MUNHOZ LTDA - EPP</t>
        </is>
      </c>
      <c r="F12261" s="30" t="inlineStr">
        <is>
          <t>2019</t>
        </is>
      </c>
      <c r="G12261" s="40" t="n">
        <v>0</v>
      </c>
    </row>
    <row r="12262" ht="12" customHeight="1">
      <c r="A12262" s="30" t="inlineStr">
        <is>
          <t>POR</t>
        </is>
      </c>
      <c r="B12262" s="30" t="inlineStr">
        <is>
          <t>Porto Real</t>
        </is>
      </c>
      <c r="C12262" s="30" t="n">
        <v>86999412</v>
      </c>
      <c r="D12262" s="30">
        <f>"01487509000254"</f>
        <v/>
      </c>
      <c r="E12262" s="30" t="inlineStr">
        <is>
          <t>TRANSPORTES MUNHOZ &amp; MUNHOZ LTDA - EPP</t>
        </is>
      </c>
      <c r="F12262" s="30" t="inlineStr">
        <is>
          <t>2020</t>
        </is>
      </c>
      <c r="G12262" s="40" t="n">
        <v>0</v>
      </c>
    </row>
    <row r="12263" ht="12" customHeight="1">
      <c r="A12263" s="30" t="inlineStr">
        <is>
          <t>POR</t>
        </is>
      </c>
      <c r="B12263" s="30" t="inlineStr">
        <is>
          <t>Porto Real</t>
        </is>
      </c>
      <c r="C12263" s="30" t="n">
        <v>86999447</v>
      </c>
      <c r="D12263" s="30">
        <f>"22499482000109"</f>
        <v/>
      </c>
      <c r="E12263" s="30" t="inlineStr">
        <is>
          <t>DOUGLAS SANTOS SILVA TRANSPORTES EIRELI - ME</t>
        </is>
      </c>
      <c r="F12263" s="30" t="inlineStr">
        <is>
          <t>2017</t>
        </is>
      </c>
      <c r="G12263" s="40" t="n">
        <v>0</v>
      </c>
    </row>
    <row r="12264" ht="12" customHeight="1">
      <c r="A12264" s="30" t="inlineStr">
        <is>
          <t>POR</t>
        </is>
      </c>
      <c r="B12264" s="30" t="inlineStr">
        <is>
          <t>Porto Real</t>
        </is>
      </c>
      <c r="C12264" s="30" t="n">
        <v>86999447</v>
      </c>
      <c r="D12264" s="30">
        <f>"22499482000109"</f>
        <v/>
      </c>
      <c r="E12264" s="30" t="inlineStr">
        <is>
          <t>DOUGLAS SANTOS SILVA TRANSPORTES EIRELI - ME</t>
        </is>
      </c>
      <c r="F12264" s="30" t="inlineStr">
        <is>
          <t>2018</t>
        </is>
      </c>
      <c r="G12264" s="40" t="n">
        <v>0</v>
      </c>
    </row>
    <row r="12265" ht="12" customHeight="1">
      <c r="A12265" s="30" t="inlineStr">
        <is>
          <t>POR</t>
        </is>
      </c>
      <c r="B12265" s="30" t="inlineStr">
        <is>
          <t>Porto Real</t>
        </is>
      </c>
      <c r="C12265" s="30" t="n">
        <v>86999447</v>
      </c>
      <c r="D12265" s="30">
        <f>"22499482000109"</f>
        <v/>
      </c>
      <c r="E12265" s="30" t="inlineStr">
        <is>
          <t>DOUGLAS SANTOS SILVA TRANSPORTES EIRELI - ME</t>
        </is>
      </c>
      <c r="F12265" s="30" t="inlineStr">
        <is>
          <t>2019</t>
        </is>
      </c>
      <c r="G12265" s="40" t="n">
        <v>0</v>
      </c>
    </row>
    <row r="12266" ht="12" customHeight="1">
      <c r="A12266" s="30" t="inlineStr">
        <is>
          <t>POR</t>
        </is>
      </c>
      <c r="B12266" s="30" t="inlineStr">
        <is>
          <t>Porto Real</t>
        </is>
      </c>
      <c r="C12266" s="30" t="n">
        <v>86999447</v>
      </c>
      <c r="D12266" s="30">
        <f>"22499482000109"</f>
        <v/>
      </c>
      <c r="E12266" s="30" t="inlineStr">
        <is>
          <t>DOUGLAS SANTOS SILVA TRANSPORTES EIRELI - ME</t>
        </is>
      </c>
      <c r="F12266" s="30" t="inlineStr">
        <is>
          <t>2020</t>
        </is>
      </c>
      <c r="G12266" s="40" t="n">
        <v>0</v>
      </c>
    </row>
    <row r="12267" ht="12" customHeight="1">
      <c r="A12267" s="30" t="inlineStr">
        <is>
          <t>POR</t>
        </is>
      </c>
      <c r="B12267" s="30" t="inlineStr">
        <is>
          <t>Porto Real</t>
        </is>
      </c>
      <c r="C12267" s="30" t="n">
        <v>86999455</v>
      </c>
      <c r="D12267" s="30">
        <f>"07827837000239"</f>
        <v/>
      </c>
      <c r="E12267" s="30" t="inlineStr">
        <is>
          <t>DUCOR DEI TRANSPORTES RODOVIARIO LTDA - ME</t>
        </is>
      </c>
      <c r="F12267" s="30" t="inlineStr">
        <is>
          <t>2017</t>
        </is>
      </c>
      <c r="G12267" s="40" t="n">
        <v>0</v>
      </c>
    </row>
    <row r="12268" ht="12" customHeight="1">
      <c r="A12268" s="30" t="inlineStr">
        <is>
          <t>POR</t>
        </is>
      </c>
      <c r="B12268" s="30" t="inlineStr">
        <is>
          <t>Porto Real</t>
        </is>
      </c>
      <c r="C12268" s="30" t="n">
        <v>86999455</v>
      </c>
      <c r="D12268" s="30">
        <f>"07827837000239"</f>
        <v/>
      </c>
      <c r="E12268" s="30" t="inlineStr">
        <is>
          <t>DUCOR DEI TRANSPORTES RODOVIARIO LTDA - ME</t>
        </is>
      </c>
      <c r="F12268" s="30" t="inlineStr">
        <is>
          <t>2018</t>
        </is>
      </c>
      <c r="G12268" s="40" t="n">
        <v>0</v>
      </c>
    </row>
    <row r="12269" ht="12" customHeight="1">
      <c r="A12269" s="30" t="inlineStr">
        <is>
          <t>POR</t>
        </is>
      </c>
      <c r="B12269" s="30" t="inlineStr">
        <is>
          <t>Porto Real</t>
        </is>
      </c>
      <c r="C12269" s="30" t="n">
        <v>86999455</v>
      </c>
      <c r="D12269" s="30">
        <f>"07827837000239"</f>
        <v/>
      </c>
      <c r="E12269" s="30" t="inlineStr">
        <is>
          <t>DUCOR DEI TRANSPORTES RODOVIARIO LTDA - ME</t>
        </is>
      </c>
      <c r="F12269" s="30" t="inlineStr">
        <is>
          <t>2019</t>
        </is>
      </c>
      <c r="G12269" s="40" t="n">
        <v>0</v>
      </c>
    </row>
    <row r="12270" ht="12" customHeight="1">
      <c r="A12270" s="30" t="inlineStr">
        <is>
          <t>POR</t>
        </is>
      </c>
      <c r="B12270" s="30" t="inlineStr">
        <is>
          <t>Porto Real</t>
        </is>
      </c>
      <c r="C12270" s="30" t="n">
        <v>86999455</v>
      </c>
      <c r="D12270" s="30">
        <f>"07827837000239"</f>
        <v/>
      </c>
      <c r="E12270" s="30" t="inlineStr">
        <is>
          <t>DUCOR DEI TRANSPORTES RODOVIARIO LTDA - ME</t>
        </is>
      </c>
      <c r="F12270" s="30" t="inlineStr">
        <is>
          <t>2020</t>
        </is>
      </c>
      <c r="G12270" s="40" t="n">
        <v>0</v>
      </c>
    </row>
    <row r="12271" ht="12" customHeight="1">
      <c r="A12271" s="30" t="inlineStr">
        <is>
          <t>POR</t>
        </is>
      </c>
      <c r="B12271" s="30" t="inlineStr">
        <is>
          <t>Porto Real</t>
        </is>
      </c>
      <c r="C12271" s="30" t="n">
        <v>86999463</v>
      </c>
      <c r="D12271" s="30">
        <f>"02730875000255"</f>
        <v/>
      </c>
      <c r="E12271" s="30" t="inlineStr">
        <is>
          <t>TRANSGUIMA LTDA - EPP</t>
        </is>
      </c>
      <c r="F12271" s="30" t="inlineStr">
        <is>
          <t>2017</t>
        </is>
      </c>
      <c r="G12271" s="40" t="n">
        <v>0</v>
      </c>
    </row>
    <row r="12272" ht="12" customHeight="1">
      <c r="A12272" s="30" t="inlineStr">
        <is>
          <t>POR</t>
        </is>
      </c>
      <c r="B12272" s="30" t="inlineStr">
        <is>
          <t>Porto Real</t>
        </is>
      </c>
      <c r="C12272" s="30" t="n">
        <v>86999463</v>
      </c>
      <c r="D12272" s="30">
        <f>"02730875000255"</f>
        <v/>
      </c>
      <c r="E12272" s="30" t="inlineStr">
        <is>
          <t>TRANSGUIMA LTDA - EPP</t>
        </is>
      </c>
      <c r="F12272" s="30" t="inlineStr">
        <is>
          <t>2018</t>
        </is>
      </c>
      <c r="G12272" s="40" t="n">
        <v>0</v>
      </c>
    </row>
    <row r="12273" ht="12" customHeight="1">
      <c r="A12273" s="30" t="inlineStr">
        <is>
          <t>POR</t>
        </is>
      </c>
      <c r="B12273" s="30" t="inlineStr">
        <is>
          <t>Porto Real</t>
        </is>
      </c>
      <c r="C12273" s="30" t="n">
        <v>86999463</v>
      </c>
      <c r="D12273" s="30">
        <f>"02730875000255"</f>
        <v/>
      </c>
      <c r="E12273" s="30" t="inlineStr">
        <is>
          <t>TRANSGUIMA LTDA - EPP</t>
        </is>
      </c>
      <c r="F12273" s="30" t="inlineStr">
        <is>
          <t>2019</t>
        </is>
      </c>
      <c r="G12273" s="40" t="n">
        <v>0</v>
      </c>
    </row>
    <row r="12274" ht="12" customHeight="1">
      <c r="A12274" s="30" t="inlineStr">
        <is>
          <t>POR</t>
        </is>
      </c>
      <c r="B12274" s="30" t="inlineStr">
        <is>
          <t>Porto Real</t>
        </is>
      </c>
      <c r="C12274" s="30" t="n">
        <v>86999463</v>
      </c>
      <c r="D12274" s="30">
        <f>"02730875000255"</f>
        <v/>
      </c>
      <c r="E12274" s="30" t="inlineStr">
        <is>
          <t>TRANSGUIMA LTDA - EPP</t>
        </is>
      </c>
      <c r="F12274" s="30" t="inlineStr">
        <is>
          <t>2020</t>
        </is>
      </c>
      <c r="G12274" s="40" t="n">
        <v>0</v>
      </c>
    </row>
    <row r="12275" ht="12" customHeight="1">
      <c r="A12275" s="30" t="inlineStr">
        <is>
          <t>POR</t>
        </is>
      </c>
      <c r="B12275" s="30" t="inlineStr">
        <is>
          <t>Porto Real</t>
        </is>
      </c>
      <c r="C12275" s="30" t="n">
        <v>86999552</v>
      </c>
      <c r="D12275" s="30">
        <f>"01424847000247"</f>
        <v/>
      </c>
      <c r="E12275" s="30" t="inlineStr">
        <is>
          <t>ROTIVOIAC TRANSPORTES LTDA - EPP</t>
        </is>
      </c>
      <c r="F12275" s="30" t="inlineStr">
        <is>
          <t>2017</t>
        </is>
      </c>
      <c r="G12275" s="40" t="n">
        <v>0</v>
      </c>
    </row>
    <row r="12276" ht="12" customHeight="1">
      <c r="A12276" s="30" t="inlineStr">
        <is>
          <t>POR</t>
        </is>
      </c>
      <c r="B12276" s="30" t="inlineStr">
        <is>
          <t>Porto Real</t>
        </is>
      </c>
      <c r="C12276" s="30" t="n">
        <v>86999552</v>
      </c>
      <c r="D12276" s="30">
        <f>"01424847000247"</f>
        <v/>
      </c>
      <c r="E12276" s="30" t="inlineStr">
        <is>
          <t>ROTIVOIAC TRANSPORTES LTDA - EPP</t>
        </is>
      </c>
      <c r="F12276" s="30" t="inlineStr">
        <is>
          <t>2018</t>
        </is>
      </c>
      <c r="G12276" s="40" t="n">
        <v>0</v>
      </c>
    </row>
    <row r="12277" ht="12" customHeight="1">
      <c r="A12277" s="30" t="inlineStr">
        <is>
          <t>POR</t>
        </is>
      </c>
      <c r="B12277" s="30" t="inlineStr">
        <is>
          <t>Porto Real</t>
        </is>
      </c>
      <c r="C12277" s="30" t="n">
        <v>86999552</v>
      </c>
      <c r="D12277" s="30">
        <f>"01424847000247"</f>
        <v/>
      </c>
      <c r="E12277" s="30" t="inlineStr">
        <is>
          <t>ROTIVOIAC TRANSPORTES LTDA - EPP</t>
        </is>
      </c>
      <c r="F12277" s="30" t="inlineStr">
        <is>
          <t>2019</t>
        </is>
      </c>
      <c r="G12277" s="40" t="n">
        <v>0</v>
      </c>
    </row>
    <row r="12278" ht="12" customHeight="1">
      <c r="A12278" s="30" t="inlineStr">
        <is>
          <t>POR</t>
        </is>
      </c>
      <c r="B12278" s="30" t="inlineStr">
        <is>
          <t>Porto Real</t>
        </is>
      </c>
      <c r="C12278" s="30" t="n">
        <v>86999552</v>
      </c>
      <c r="D12278" s="30">
        <f>"01424847000247"</f>
        <v/>
      </c>
      <c r="E12278" s="30" t="inlineStr">
        <is>
          <t>ROTIVOIAC TRANSPORTES LTDA - EPP</t>
        </is>
      </c>
      <c r="F12278" s="30" t="inlineStr">
        <is>
          <t>2020</t>
        </is>
      </c>
      <c r="G12278" s="40" t="n">
        <v>0</v>
      </c>
    </row>
    <row r="12279" ht="12" customHeight="1">
      <c r="A12279" s="30" t="inlineStr">
        <is>
          <t>POR</t>
        </is>
      </c>
      <c r="B12279" s="30" t="inlineStr">
        <is>
          <t>Porto Real</t>
        </is>
      </c>
      <c r="C12279" s="30" t="n">
        <v>86999617</v>
      </c>
      <c r="D12279" s="30">
        <f>"21418273000201"</f>
        <v/>
      </c>
      <c r="E12279" s="30" t="inlineStr">
        <is>
          <t>NOSSA SENHORA DO CARMO TRANSPORTES EIRELI</t>
        </is>
      </c>
      <c r="F12279" s="30" t="inlineStr">
        <is>
          <t>2017</t>
        </is>
      </c>
      <c r="G12279" s="40" t="n">
        <v>0</v>
      </c>
    </row>
    <row r="12280" ht="12" customHeight="1">
      <c r="A12280" s="30" t="inlineStr">
        <is>
          <t>POR</t>
        </is>
      </c>
      <c r="B12280" s="30" t="inlineStr">
        <is>
          <t>Porto Real</t>
        </is>
      </c>
      <c r="C12280" s="30" t="n">
        <v>86999617</v>
      </c>
      <c r="D12280" s="30">
        <f>"21418273000201"</f>
        <v/>
      </c>
      <c r="E12280" s="30" t="inlineStr">
        <is>
          <t>NOSSA SENHORA DO CARMO TRANSPORTES EIRELI</t>
        </is>
      </c>
      <c r="F12280" s="30" t="inlineStr">
        <is>
          <t>2018</t>
        </is>
      </c>
      <c r="G12280" s="40" t="n">
        <v>0</v>
      </c>
    </row>
    <row r="12281" ht="12" customHeight="1">
      <c r="A12281" s="30" t="inlineStr">
        <is>
          <t>POR</t>
        </is>
      </c>
      <c r="B12281" s="30" t="inlineStr">
        <is>
          <t>Porto Real</t>
        </is>
      </c>
      <c r="C12281" s="30" t="n">
        <v>86999617</v>
      </c>
      <c r="D12281" s="30">
        <f>"21418273000201"</f>
        <v/>
      </c>
      <c r="E12281" s="30" t="inlineStr">
        <is>
          <t>NOSSA SENHORA DO CARMO TRANSPORTES EIRELI</t>
        </is>
      </c>
      <c r="F12281" s="30" t="inlineStr">
        <is>
          <t>2019</t>
        </is>
      </c>
      <c r="G12281" s="40" t="n">
        <v>0</v>
      </c>
    </row>
    <row r="12282" ht="12" customHeight="1">
      <c r="A12282" s="30" t="inlineStr">
        <is>
          <t>POR</t>
        </is>
      </c>
      <c r="B12282" s="30" t="inlineStr">
        <is>
          <t>Porto Real</t>
        </is>
      </c>
      <c r="C12282" s="30" t="n">
        <v>86999617</v>
      </c>
      <c r="D12282" s="30">
        <f>"21418273000201"</f>
        <v/>
      </c>
      <c r="E12282" s="30" t="inlineStr">
        <is>
          <t>NOSSA SENHORA DO CARMO TRANSPORTES EIRELI</t>
        </is>
      </c>
      <c r="F12282" s="30" t="inlineStr">
        <is>
          <t>2020</t>
        </is>
      </c>
      <c r="G12282" s="40" t="n">
        <v>0</v>
      </c>
    </row>
    <row r="12283" ht="12" customHeight="1">
      <c r="A12283" s="30" t="inlineStr">
        <is>
          <t>POR</t>
        </is>
      </c>
      <c r="B12283" s="30" t="inlineStr">
        <is>
          <t>Porto Real</t>
        </is>
      </c>
      <c r="C12283" s="30" t="n">
        <v>86999617</v>
      </c>
      <c r="D12283" s="30">
        <f>"21418273000201"</f>
        <v/>
      </c>
      <c r="E12283" s="30" t="inlineStr">
        <is>
          <t>NOSSA SENHORA DO CARMO TRANSPORTES EIRELI</t>
        </is>
      </c>
      <c r="F12283" s="30" t="inlineStr">
        <is>
          <t>2021</t>
        </is>
      </c>
      <c r="G12283" s="40" t="n">
        <v>0</v>
      </c>
    </row>
    <row r="12284" ht="12" customHeight="1">
      <c r="A12284" s="30" t="inlineStr">
        <is>
          <t>POR</t>
        </is>
      </c>
      <c r="B12284" s="30" t="inlineStr">
        <is>
          <t>Porto Real</t>
        </is>
      </c>
      <c r="C12284" s="30" t="n">
        <v>86999617</v>
      </c>
      <c r="D12284" s="30">
        <f>"21418273000201"</f>
        <v/>
      </c>
      <c r="E12284" s="30" t="inlineStr">
        <is>
          <t>NOSSA SENHORA DO CARMO TRANSPORTES EIRELI</t>
        </is>
      </c>
      <c r="F12284" s="30" t="inlineStr">
        <is>
          <t>2022</t>
        </is>
      </c>
      <c r="G12284" s="40" t="n">
        <v>0</v>
      </c>
    </row>
    <row r="12285" ht="12" customHeight="1">
      <c r="A12285" s="30" t="inlineStr">
        <is>
          <t>POR</t>
        </is>
      </c>
      <c r="B12285" s="30" t="inlineStr">
        <is>
          <t>Porto Real</t>
        </is>
      </c>
      <c r="C12285" s="30" t="n">
        <v>86999617</v>
      </c>
      <c r="D12285" s="30">
        <f>"21418273000201"</f>
        <v/>
      </c>
      <c r="E12285" s="30" t="inlineStr">
        <is>
          <t>NOSSA SENHORA DO CARMO TRANSPORTES EIRELI</t>
        </is>
      </c>
      <c r="F12285" s="30" t="inlineStr">
        <is>
          <t>2023</t>
        </is>
      </c>
      <c r="G12285" s="40" t="n">
        <v>0</v>
      </c>
    </row>
    <row r="12286" ht="12" customHeight="1">
      <c r="A12286" s="30" t="inlineStr">
        <is>
          <t>POR</t>
        </is>
      </c>
      <c r="B12286" s="30" t="inlineStr">
        <is>
          <t>Porto Real</t>
        </is>
      </c>
      <c r="C12286" s="30" t="n">
        <v>87001687</v>
      </c>
      <c r="D12286" s="30">
        <f>"05114551000280"</f>
        <v/>
      </c>
      <c r="E12286" s="30" t="inlineStr">
        <is>
          <t>LUIZ TAKAO YAMASAKI TRANSPORTES - EPP</t>
        </is>
      </c>
      <c r="F12286" s="30" t="inlineStr">
        <is>
          <t>2017</t>
        </is>
      </c>
      <c r="G12286" s="40" t="n">
        <v>0</v>
      </c>
    </row>
    <row r="12287" ht="12" customHeight="1">
      <c r="A12287" s="30" t="inlineStr">
        <is>
          <t>POR</t>
        </is>
      </c>
      <c r="B12287" s="30" t="inlineStr">
        <is>
          <t>Porto Real</t>
        </is>
      </c>
      <c r="C12287" s="30" t="n">
        <v>87001687</v>
      </c>
      <c r="D12287" s="30">
        <f>"05114551000280"</f>
        <v/>
      </c>
      <c r="E12287" s="30" t="inlineStr">
        <is>
          <t>LUIZ TAKAO YAMASAKI TRANSPORTES - EPP</t>
        </is>
      </c>
      <c r="F12287" s="30" t="inlineStr">
        <is>
          <t>2018</t>
        </is>
      </c>
      <c r="G12287" s="40" t="n">
        <v>0</v>
      </c>
    </row>
    <row r="12288" ht="12" customHeight="1">
      <c r="A12288" s="30" t="inlineStr">
        <is>
          <t>POR</t>
        </is>
      </c>
      <c r="B12288" s="30" t="inlineStr">
        <is>
          <t>Porto Real</t>
        </is>
      </c>
      <c r="C12288" s="30" t="n">
        <v>87001687</v>
      </c>
      <c r="D12288" s="30">
        <f>"05114551000280"</f>
        <v/>
      </c>
      <c r="E12288" s="30" t="inlineStr">
        <is>
          <t>LUIZ TAKAO YAMASAKI TRANSPORTES - EPP</t>
        </is>
      </c>
      <c r="F12288" s="30" t="inlineStr">
        <is>
          <t>2019</t>
        </is>
      </c>
      <c r="G12288" s="40" t="n">
        <v>0</v>
      </c>
    </row>
    <row r="12289" ht="12" customHeight="1">
      <c r="A12289" s="30" t="inlineStr">
        <is>
          <t>POR</t>
        </is>
      </c>
      <c r="B12289" s="30" t="inlineStr">
        <is>
          <t>Porto Real</t>
        </is>
      </c>
      <c r="C12289" s="30" t="n">
        <v>87001687</v>
      </c>
      <c r="D12289" s="30">
        <f>"05114551000280"</f>
        <v/>
      </c>
      <c r="E12289" s="30" t="inlineStr">
        <is>
          <t>LUIZ TAKAO YAMASAKI TRANSPORTES - EPP</t>
        </is>
      </c>
      <c r="F12289" s="30" t="inlineStr">
        <is>
          <t>2020</t>
        </is>
      </c>
      <c r="G12289" s="40" t="n">
        <v>0</v>
      </c>
    </row>
    <row r="12290" ht="12" customHeight="1">
      <c r="A12290" s="30" t="inlineStr">
        <is>
          <t>POR</t>
        </is>
      </c>
      <c r="B12290" s="30" t="inlineStr">
        <is>
          <t>Porto Real</t>
        </is>
      </c>
      <c r="C12290" s="30" t="n">
        <v>87001695</v>
      </c>
      <c r="D12290" s="30">
        <f>"02261648000228"</f>
        <v/>
      </c>
      <c r="E12290" s="30" t="inlineStr">
        <is>
          <t>ADILSON ROBERTO BENTO TRANSPORTES - EPP</t>
        </is>
      </c>
      <c r="F12290" s="30" t="inlineStr">
        <is>
          <t>2017</t>
        </is>
      </c>
      <c r="G12290" s="40" t="n">
        <v>0</v>
      </c>
    </row>
    <row r="12291" ht="12" customHeight="1">
      <c r="A12291" s="30" t="inlineStr">
        <is>
          <t>POR</t>
        </is>
      </c>
      <c r="B12291" s="30" t="inlineStr">
        <is>
          <t>Porto Real</t>
        </is>
      </c>
      <c r="C12291" s="30" t="n">
        <v>87001695</v>
      </c>
      <c r="D12291" s="30">
        <f>"02261648000228"</f>
        <v/>
      </c>
      <c r="E12291" s="30" t="inlineStr">
        <is>
          <t>ADILSON ROBERTO BENTO TRANSPORTES - EPP</t>
        </is>
      </c>
      <c r="F12291" s="30" t="inlineStr">
        <is>
          <t>2018</t>
        </is>
      </c>
      <c r="G12291" s="40" t="n">
        <v>0</v>
      </c>
    </row>
    <row r="12292" ht="12" customHeight="1">
      <c r="A12292" s="30" t="inlineStr">
        <is>
          <t>POR</t>
        </is>
      </c>
      <c r="B12292" s="30" t="inlineStr">
        <is>
          <t>Porto Real</t>
        </is>
      </c>
      <c r="C12292" s="30" t="n">
        <v>87001695</v>
      </c>
      <c r="D12292" s="30">
        <f>"02261648000228"</f>
        <v/>
      </c>
      <c r="E12292" s="30" t="inlineStr">
        <is>
          <t>ADILSON ROBERTO BENTO TRANSPORTES - EPP</t>
        </is>
      </c>
      <c r="F12292" s="30" t="inlineStr">
        <is>
          <t>2019</t>
        </is>
      </c>
      <c r="G12292" s="40" t="n">
        <v>0</v>
      </c>
    </row>
    <row r="12293" ht="12" customHeight="1">
      <c r="A12293" s="30" t="inlineStr">
        <is>
          <t>POR</t>
        </is>
      </c>
      <c r="B12293" s="30" t="inlineStr">
        <is>
          <t>Porto Real</t>
        </is>
      </c>
      <c r="C12293" s="30" t="n">
        <v>87001695</v>
      </c>
      <c r="D12293" s="30">
        <f>"02261648000228"</f>
        <v/>
      </c>
      <c r="E12293" s="30" t="inlineStr">
        <is>
          <t>ADILSON ROBERTO BENTO TRANSPORTES - EPP</t>
        </is>
      </c>
      <c r="F12293" s="30" t="inlineStr">
        <is>
          <t>2020</t>
        </is>
      </c>
      <c r="G12293" s="40" t="n">
        <v>0</v>
      </c>
    </row>
    <row r="12294" ht="12" customHeight="1">
      <c r="A12294" s="30" t="inlineStr">
        <is>
          <t>POR</t>
        </is>
      </c>
      <c r="B12294" s="30" t="inlineStr">
        <is>
          <t>Porto Real</t>
        </is>
      </c>
      <c r="C12294" s="30" t="n">
        <v>87001709</v>
      </c>
      <c r="D12294" s="30">
        <f>"03043192000292"</f>
        <v/>
      </c>
      <c r="E12294" s="30" t="inlineStr">
        <is>
          <t>TRANS CREPALDI TRANSPORTES RODOVIARIO LTDA - ME</t>
        </is>
      </c>
      <c r="F12294" s="30" t="inlineStr">
        <is>
          <t>2017</t>
        </is>
      </c>
      <c r="G12294" s="40" t="n">
        <v>0</v>
      </c>
    </row>
    <row r="12295" ht="12" customHeight="1">
      <c r="A12295" s="30" t="inlineStr">
        <is>
          <t>POR</t>
        </is>
      </c>
      <c r="B12295" s="30" t="inlineStr">
        <is>
          <t>Porto Real</t>
        </is>
      </c>
      <c r="C12295" s="30" t="n">
        <v>87001709</v>
      </c>
      <c r="D12295" s="30">
        <f>"03043192000292"</f>
        <v/>
      </c>
      <c r="E12295" s="30" t="inlineStr">
        <is>
          <t>TRANS CREPALDI TRANSPORTES RODOVIARIO LTDA - ME</t>
        </is>
      </c>
      <c r="F12295" s="30" t="inlineStr">
        <is>
          <t>2018</t>
        </is>
      </c>
      <c r="G12295" s="40" t="n">
        <v>0</v>
      </c>
    </row>
    <row r="12296" ht="12" customHeight="1">
      <c r="A12296" s="30" t="inlineStr">
        <is>
          <t>POR</t>
        </is>
      </c>
      <c r="B12296" s="30" t="inlineStr">
        <is>
          <t>Porto Real</t>
        </is>
      </c>
      <c r="C12296" s="30" t="n">
        <v>87001709</v>
      </c>
      <c r="D12296" s="30">
        <f>"03043192000292"</f>
        <v/>
      </c>
      <c r="E12296" s="30" t="inlineStr">
        <is>
          <t>TRANS CREPALDI TRANSPORTES RODOVIARIO LTDA - ME</t>
        </is>
      </c>
      <c r="F12296" s="30" t="inlineStr">
        <is>
          <t>2019</t>
        </is>
      </c>
      <c r="G12296" s="40" t="n">
        <v>0</v>
      </c>
    </row>
    <row r="12297" ht="12" customHeight="1">
      <c r="A12297" s="30" t="inlineStr">
        <is>
          <t>POR</t>
        </is>
      </c>
      <c r="B12297" s="30" t="inlineStr">
        <is>
          <t>Porto Real</t>
        </is>
      </c>
      <c r="C12297" s="30" t="n">
        <v>87001709</v>
      </c>
      <c r="D12297" s="30">
        <f>"03043192000292"</f>
        <v/>
      </c>
      <c r="E12297" s="30" t="inlineStr">
        <is>
          <t>TRANS CREPALDI TRANSPORTES RODOVIARIO LTDA - ME</t>
        </is>
      </c>
      <c r="F12297" s="30" t="inlineStr">
        <is>
          <t>2020</t>
        </is>
      </c>
      <c r="G12297" s="40" t="n">
        <v>0</v>
      </c>
    </row>
    <row r="12298" ht="12" customHeight="1">
      <c r="A12298" s="30" t="inlineStr">
        <is>
          <t>POR</t>
        </is>
      </c>
      <c r="B12298" s="30" t="inlineStr">
        <is>
          <t>Porto Real</t>
        </is>
      </c>
      <c r="C12298" s="30" t="n">
        <v>87012409</v>
      </c>
      <c r="D12298" s="30">
        <f>"09913147001038"</f>
        <v/>
      </c>
      <c r="E12298" s="30" t="inlineStr">
        <is>
          <t>FL LOGISTICA BRASIL LTDA</t>
        </is>
      </c>
      <c r="F12298" s="30" t="inlineStr">
        <is>
          <t>2017</t>
        </is>
      </c>
      <c r="G12298" s="40" t="n">
        <v>15073.15</v>
      </c>
    </row>
    <row r="12299" ht="12" customHeight="1">
      <c r="A12299" s="30" t="inlineStr">
        <is>
          <t>POR</t>
        </is>
      </c>
      <c r="B12299" s="30" t="inlineStr">
        <is>
          <t>Porto Real</t>
        </is>
      </c>
      <c r="C12299" s="30" t="n">
        <v>87012409</v>
      </c>
      <c r="D12299" s="30">
        <f>"09913147001038"</f>
        <v/>
      </c>
      <c r="E12299" s="30" t="inlineStr">
        <is>
          <t>FL LOGISTICA BRASIL LTDA</t>
        </is>
      </c>
      <c r="F12299" s="30" t="inlineStr">
        <is>
          <t>2018</t>
        </is>
      </c>
      <c r="G12299" s="40" t="n">
        <v>481833.38</v>
      </c>
    </row>
    <row r="12300" ht="12" customHeight="1">
      <c r="A12300" s="30" t="inlineStr">
        <is>
          <t>POR</t>
        </is>
      </c>
      <c r="B12300" s="30" t="inlineStr">
        <is>
          <t>Porto Real</t>
        </is>
      </c>
      <c r="C12300" s="30" t="n">
        <v>87012409</v>
      </c>
      <c r="D12300" s="30">
        <f>"09913147001038"</f>
        <v/>
      </c>
      <c r="E12300" s="30" t="inlineStr">
        <is>
          <t>FL LOGISTICA BRASIL LTDA</t>
        </is>
      </c>
      <c r="F12300" s="30" t="inlineStr">
        <is>
          <t>2019</t>
        </is>
      </c>
      <c r="G12300" s="40" t="n">
        <v>1273127.13</v>
      </c>
    </row>
    <row r="12301" ht="12" customHeight="1">
      <c r="A12301" s="30" t="inlineStr">
        <is>
          <t>POR</t>
        </is>
      </c>
      <c r="B12301" s="30" t="inlineStr">
        <is>
          <t>Porto Real</t>
        </is>
      </c>
      <c r="C12301" s="30" t="n">
        <v>87012409</v>
      </c>
      <c r="D12301" s="30">
        <f>"09913147001038"</f>
        <v/>
      </c>
      <c r="E12301" s="30" t="inlineStr">
        <is>
          <t>FL LOGISTICA BRASIL LTDA</t>
        </is>
      </c>
      <c r="F12301" s="30" t="inlineStr">
        <is>
          <t>2020</t>
        </is>
      </c>
      <c r="G12301" s="40" t="n">
        <v>0</v>
      </c>
    </row>
    <row r="12302" ht="12" customHeight="1">
      <c r="A12302" s="30" t="inlineStr">
        <is>
          <t>POR</t>
        </is>
      </c>
      <c r="B12302" s="30" t="inlineStr">
        <is>
          <t>Porto Real</t>
        </is>
      </c>
      <c r="C12302" s="30" t="n">
        <v>87012409</v>
      </c>
      <c r="D12302" s="30">
        <f>"09913147001038"</f>
        <v/>
      </c>
      <c r="E12302" s="30" t="inlineStr">
        <is>
          <t>FL LOGISTICA BRASIL LTDA</t>
        </is>
      </c>
      <c r="F12302" s="30" t="inlineStr">
        <is>
          <t>2021</t>
        </is>
      </c>
      <c r="G12302" s="40" t="n">
        <v>0</v>
      </c>
    </row>
    <row r="12303" ht="12" customHeight="1">
      <c r="A12303" s="30" t="inlineStr">
        <is>
          <t>POR</t>
        </is>
      </c>
      <c r="B12303" s="30" t="inlineStr">
        <is>
          <t>Porto Real</t>
        </is>
      </c>
      <c r="C12303" s="30" t="n">
        <v>87012409</v>
      </c>
      <c r="D12303" s="30">
        <f>"09913147001038"</f>
        <v/>
      </c>
      <c r="E12303" s="30" t="inlineStr">
        <is>
          <t>FL LOGISTICA BRASIL LTDA</t>
        </is>
      </c>
      <c r="F12303" s="30" t="inlineStr">
        <is>
          <t>2022</t>
        </is>
      </c>
      <c r="G12303" s="40" t="n">
        <v>0</v>
      </c>
    </row>
    <row r="12304" ht="12" customHeight="1">
      <c r="A12304" s="30" t="inlineStr">
        <is>
          <t>POR</t>
        </is>
      </c>
      <c r="B12304" s="30" t="inlineStr">
        <is>
          <t>Porto Real</t>
        </is>
      </c>
      <c r="C12304" s="30" t="n">
        <v>87012409</v>
      </c>
      <c r="D12304" s="30">
        <f>"09913147001038"</f>
        <v/>
      </c>
      <c r="E12304" s="30" t="inlineStr">
        <is>
          <t>FL LOGISTICA BRASIL LTDA</t>
        </is>
      </c>
      <c r="F12304" s="30" t="inlineStr">
        <is>
          <t>2023</t>
        </is>
      </c>
      <c r="G12304" s="40" t="n">
        <v>0</v>
      </c>
    </row>
    <row r="12305" ht="12" customHeight="1">
      <c r="A12305" s="30" t="inlineStr">
        <is>
          <t>POR</t>
        </is>
      </c>
      <c r="B12305" s="30" t="inlineStr">
        <is>
          <t>Porto Real</t>
        </is>
      </c>
      <c r="C12305" s="30" t="n">
        <v>87012930</v>
      </c>
      <c r="D12305" s="30">
        <f>"00608044000280"</f>
        <v/>
      </c>
      <c r="E12305" s="30" t="inlineStr">
        <is>
          <t>TREIS TRANSPORTES RODOVIARIOS LTDA - EPP</t>
        </is>
      </c>
      <c r="F12305" s="30" t="inlineStr">
        <is>
          <t>2017</t>
        </is>
      </c>
      <c r="G12305" s="40" t="n">
        <v>0</v>
      </c>
    </row>
    <row r="12306" ht="12" customHeight="1">
      <c r="A12306" s="30" t="inlineStr">
        <is>
          <t>POR</t>
        </is>
      </c>
      <c r="B12306" s="30" t="inlineStr">
        <is>
          <t>Porto Real</t>
        </is>
      </c>
      <c r="C12306" s="30" t="n">
        <v>87012930</v>
      </c>
      <c r="D12306" s="30">
        <f>"00608044000280"</f>
        <v/>
      </c>
      <c r="E12306" s="30" t="inlineStr">
        <is>
          <t>TREIS TRANSPORTES RODOVIARIOS LTDA - EPP</t>
        </is>
      </c>
      <c r="F12306" s="30" t="inlineStr">
        <is>
          <t>2018</t>
        </is>
      </c>
      <c r="G12306" s="40" t="n">
        <v>0</v>
      </c>
    </row>
    <row r="12307" ht="12" customHeight="1">
      <c r="A12307" s="30" t="inlineStr">
        <is>
          <t>POR</t>
        </is>
      </c>
      <c r="B12307" s="30" t="inlineStr">
        <is>
          <t>Porto Real</t>
        </is>
      </c>
      <c r="C12307" s="30" t="n">
        <v>87012930</v>
      </c>
      <c r="D12307" s="30">
        <f>"00608044000280"</f>
        <v/>
      </c>
      <c r="E12307" s="30" t="inlineStr">
        <is>
          <t>TREIS TRANSPORTES RODOVIARIOS LTDA - EPP</t>
        </is>
      </c>
      <c r="F12307" s="30" t="inlineStr">
        <is>
          <t>2019</t>
        </is>
      </c>
      <c r="G12307" s="40" t="n">
        <v>0</v>
      </c>
    </row>
    <row r="12308" ht="12" customHeight="1">
      <c r="A12308" s="30" t="inlineStr">
        <is>
          <t>POR</t>
        </is>
      </c>
      <c r="B12308" s="30" t="inlineStr">
        <is>
          <t>Porto Real</t>
        </is>
      </c>
      <c r="C12308" s="30" t="n">
        <v>87012930</v>
      </c>
      <c r="D12308" s="30">
        <f>"00608044000280"</f>
        <v/>
      </c>
      <c r="E12308" s="30" t="inlineStr">
        <is>
          <t>TREIS TRANSPORTES RODOVIARIOS LTDA - EPP</t>
        </is>
      </c>
      <c r="F12308" s="30" t="inlineStr">
        <is>
          <t>2020</t>
        </is>
      </c>
      <c r="G12308" s="40" t="n">
        <v>0</v>
      </c>
    </row>
    <row r="12309" ht="12" customHeight="1">
      <c r="A12309" s="30" t="inlineStr">
        <is>
          <t>POR</t>
        </is>
      </c>
      <c r="B12309" s="30" t="inlineStr">
        <is>
          <t>Porto Real</t>
        </is>
      </c>
      <c r="C12309" s="30" t="n">
        <v>87013812</v>
      </c>
      <c r="D12309" s="30">
        <f>"14205893000388"</f>
        <v/>
      </c>
      <c r="E12309" s="30" t="inlineStr">
        <is>
          <t>TRANSBEP LOGISTICA LTDA</t>
        </is>
      </c>
      <c r="F12309" s="30" t="inlineStr">
        <is>
          <t>2017</t>
        </is>
      </c>
      <c r="G12309" s="40" t="n">
        <v>0</v>
      </c>
    </row>
    <row r="12310" ht="12" customHeight="1">
      <c r="A12310" s="30" t="inlineStr">
        <is>
          <t>POR</t>
        </is>
      </c>
      <c r="B12310" s="30" t="inlineStr">
        <is>
          <t>Porto Real</t>
        </is>
      </c>
      <c r="C12310" s="30" t="n">
        <v>87013812</v>
      </c>
      <c r="D12310" s="30">
        <f>"14205893000388"</f>
        <v/>
      </c>
      <c r="E12310" s="30" t="inlineStr">
        <is>
          <t>TRANSBEP LOGISTICA LTDA</t>
        </is>
      </c>
      <c r="F12310" s="30" t="inlineStr">
        <is>
          <t>2018</t>
        </is>
      </c>
      <c r="G12310" s="40" t="n">
        <v>0</v>
      </c>
    </row>
    <row r="12311" ht="12" customHeight="1">
      <c r="A12311" s="30" t="inlineStr">
        <is>
          <t>POR</t>
        </is>
      </c>
      <c r="B12311" s="30" t="inlineStr">
        <is>
          <t>Porto Real</t>
        </is>
      </c>
      <c r="C12311" s="30" t="n">
        <v>87013812</v>
      </c>
      <c r="D12311" s="30">
        <f>"14205893000388"</f>
        <v/>
      </c>
      <c r="E12311" s="30" t="inlineStr">
        <is>
          <t>TRANSBEP LOGISTICA LTDA</t>
        </is>
      </c>
      <c r="F12311" s="30" t="inlineStr">
        <is>
          <t>2019</t>
        </is>
      </c>
      <c r="G12311" s="40" t="n">
        <v>0</v>
      </c>
    </row>
    <row r="12312" ht="12" customHeight="1">
      <c r="A12312" s="30" t="inlineStr">
        <is>
          <t>POR</t>
        </is>
      </c>
      <c r="B12312" s="30" t="inlineStr">
        <is>
          <t>Porto Real</t>
        </is>
      </c>
      <c r="C12312" s="30" t="n">
        <v>87013952</v>
      </c>
      <c r="D12312" s="30">
        <f>"05886614003585"</f>
        <v/>
      </c>
      <c r="E12312" s="30" t="inlineStr">
        <is>
          <t>DIRECT EXPRESS LOGISTICA INTEGRADA S/A</t>
        </is>
      </c>
      <c r="F12312" s="30" t="inlineStr">
        <is>
          <t>2017</t>
        </is>
      </c>
      <c r="G12312" s="40" t="n">
        <v>2000.28</v>
      </c>
    </row>
    <row r="12313" ht="12" customHeight="1">
      <c r="A12313" s="30" t="inlineStr">
        <is>
          <t>POR</t>
        </is>
      </c>
      <c r="B12313" s="30" t="inlineStr">
        <is>
          <t>Porto Real</t>
        </is>
      </c>
      <c r="C12313" s="30" t="n">
        <v>87013952</v>
      </c>
      <c r="D12313" s="30">
        <f>"05886614003585"</f>
        <v/>
      </c>
      <c r="E12313" s="30" t="inlineStr">
        <is>
          <t>DIRECT EXPRESS LOGISTICA INTEGRADA S/A</t>
        </is>
      </c>
      <c r="F12313" s="30" t="inlineStr">
        <is>
          <t>2018</t>
        </is>
      </c>
      <c r="G12313" s="40" t="n">
        <v>0</v>
      </c>
    </row>
    <row r="12314" ht="12" customHeight="1">
      <c r="A12314" s="30" t="inlineStr">
        <is>
          <t>POR</t>
        </is>
      </c>
      <c r="B12314" s="30" t="inlineStr">
        <is>
          <t>Porto Real</t>
        </is>
      </c>
      <c r="C12314" s="30" t="n">
        <v>87013952</v>
      </c>
      <c r="D12314" s="30">
        <f>"05886614003585"</f>
        <v/>
      </c>
      <c r="E12314" s="30" t="inlineStr">
        <is>
          <t>DIRECT EXPRESS LOGISTICA INTEGRADA S/A</t>
        </is>
      </c>
      <c r="F12314" s="30" t="inlineStr">
        <is>
          <t>2019</t>
        </is>
      </c>
      <c r="G12314" s="40" t="n">
        <v>0</v>
      </c>
    </row>
    <row r="12315" ht="12" customHeight="1">
      <c r="A12315" s="30" t="inlineStr">
        <is>
          <t>POR</t>
        </is>
      </c>
      <c r="B12315" s="30" t="inlineStr">
        <is>
          <t>Porto Real</t>
        </is>
      </c>
      <c r="C12315" s="30" t="n">
        <v>87014169</v>
      </c>
      <c r="D12315" s="30">
        <f>"01743404000804"</f>
        <v/>
      </c>
      <c r="E12315" s="30" t="inlineStr">
        <is>
          <t>FAVORITA TRANSPORTES LTDA</t>
        </is>
      </c>
      <c r="F12315" s="30" t="inlineStr">
        <is>
          <t>2017</t>
        </is>
      </c>
      <c r="G12315" s="40" t="n">
        <v>0</v>
      </c>
    </row>
    <row r="12316" ht="12" customHeight="1">
      <c r="A12316" s="30" t="inlineStr">
        <is>
          <t>POR</t>
        </is>
      </c>
      <c r="B12316" s="30" t="inlineStr">
        <is>
          <t>Porto Real</t>
        </is>
      </c>
      <c r="C12316" s="30" t="n">
        <v>87014169</v>
      </c>
      <c r="D12316" s="30">
        <f>"01743404000804"</f>
        <v/>
      </c>
      <c r="E12316" s="30" t="inlineStr">
        <is>
          <t>FAVORITA TRANSPORTES LTDA</t>
        </is>
      </c>
      <c r="F12316" s="30" t="inlineStr">
        <is>
          <t>2018</t>
        </is>
      </c>
      <c r="G12316" s="40" t="n">
        <v>555056.98</v>
      </c>
    </row>
    <row r="12317" ht="12" customHeight="1">
      <c r="A12317" s="30" t="inlineStr">
        <is>
          <t>POR</t>
        </is>
      </c>
      <c r="B12317" s="30" t="inlineStr">
        <is>
          <t>Porto Real</t>
        </is>
      </c>
      <c r="C12317" s="30" t="n">
        <v>87014169</v>
      </c>
      <c r="D12317" s="30">
        <f>"01743404000804"</f>
        <v/>
      </c>
      <c r="E12317" s="30" t="inlineStr">
        <is>
          <t>FAVORITA TRANSPORTES LTDA</t>
        </is>
      </c>
      <c r="F12317" s="30" t="inlineStr">
        <is>
          <t>2019</t>
        </is>
      </c>
      <c r="G12317" s="40" t="n">
        <v>594729.6</v>
      </c>
    </row>
    <row r="12318" ht="12" customHeight="1">
      <c r="A12318" s="30" t="inlineStr">
        <is>
          <t>POR</t>
        </is>
      </c>
      <c r="B12318" s="30" t="inlineStr">
        <is>
          <t>Porto Real</t>
        </is>
      </c>
      <c r="C12318" s="30" t="n">
        <v>87014169</v>
      </c>
      <c r="D12318" s="30">
        <f>"01743404000804"</f>
        <v/>
      </c>
      <c r="E12318" s="30" t="inlineStr">
        <is>
          <t>FAVORITA TRANSPORTES LTDA</t>
        </is>
      </c>
      <c r="F12318" s="30" t="inlineStr">
        <is>
          <t>2020</t>
        </is>
      </c>
      <c r="G12318" s="40" t="n">
        <v>304074.79</v>
      </c>
    </row>
    <row r="12319" ht="12" customHeight="1">
      <c r="A12319" s="30" t="inlineStr">
        <is>
          <t>POR</t>
        </is>
      </c>
      <c r="B12319" s="30" t="inlineStr">
        <is>
          <t>Porto Real</t>
        </is>
      </c>
      <c r="C12319" s="30" t="n">
        <v>87014169</v>
      </c>
      <c r="D12319" s="30">
        <f>"01743404000804"</f>
        <v/>
      </c>
      <c r="E12319" s="30" t="inlineStr">
        <is>
          <t>FAVORITA TRANSPORTES LTDA</t>
        </is>
      </c>
      <c r="F12319" s="30" t="inlineStr">
        <is>
          <t>2021</t>
        </is>
      </c>
      <c r="G12319" s="40" t="n">
        <v>298544.27</v>
      </c>
    </row>
    <row r="12320" ht="12" customHeight="1">
      <c r="A12320" s="30" t="inlineStr">
        <is>
          <t>POR</t>
        </is>
      </c>
      <c r="B12320" s="30" t="inlineStr">
        <is>
          <t>Porto Real</t>
        </is>
      </c>
      <c r="C12320" s="30" t="n">
        <v>87014169</v>
      </c>
      <c r="D12320" s="30">
        <f>"01743404000804"</f>
        <v/>
      </c>
      <c r="E12320" s="30" t="inlineStr">
        <is>
          <t>FAVORITA TRANSPORTES LTDA</t>
        </is>
      </c>
      <c r="F12320" s="30" t="inlineStr">
        <is>
          <t>2022</t>
        </is>
      </c>
      <c r="G12320" s="40" t="n">
        <v>520700.63</v>
      </c>
    </row>
    <row r="12321" ht="12" customHeight="1">
      <c r="A12321" s="30" t="inlineStr">
        <is>
          <t>POR</t>
        </is>
      </c>
      <c r="B12321" s="30" t="inlineStr">
        <is>
          <t>Porto Real</t>
        </is>
      </c>
      <c r="C12321" s="30" t="n">
        <v>87014169</v>
      </c>
      <c r="D12321" s="30">
        <f>"01743404000804"</f>
        <v/>
      </c>
      <c r="E12321" s="30" t="inlineStr">
        <is>
          <t>FAVORITA TRANSPORTES LTDA</t>
        </is>
      </c>
      <c r="F12321" s="30" t="inlineStr">
        <is>
          <t>2023</t>
        </is>
      </c>
      <c r="G12321" s="40" t="n">
        <v>809879.36</v>
      </c>
    </row>
    <row r="12322" ht="12" customHeight="1">
      <c r="A12322" s="30" t="inlineStr">
        <is>
          <t>POR</t>
        </is>
      </c>
      <c r="B12322" s="30" t="inlineStr">
        <is>
          <t>Porto Real</t>
        </is>
      </c>
      <c r="C12322" s="30" t="n">
        <v>87023460</v>
      </c>
      <c r="D12322" s="30">
        <f>"03469066000385"</f>
        <v/>
      </c>
      <c r="E12322" s="30" t="inlineStr">
        <is>
          <t>TELECARGO ENCOMENDAS EXPRESSAS LTDA</t>
        </is>
      </c>
      <c r="F12322" s="30" t="inlineStr">
        <is>
          <t>2017</t>
        </is>
      </c>
      <c r="G12322" s="40" t="n">
        <v>0</v>
      </c>
    </row>
    <row r="12323" ht="12" customHeight="1">
      <c r="A12323" s="30" t="inlineStr">
        <is>
          <t>POR</t>
        </is>
      </c>
      <c r="B12323" s="30" t="inlineStr">
        <is>
          <t>Porto Real</t>
        </is>
      </c>
      <c r="C12323" s="30" t="n">
        <v>87023460</v>
      </c>
      <c r="D12323" s="30">
        <f>"03469066000385"</f>
        <v/>
      </c>
      <c r="E12323" s="30" t="inlineStr">
        <is>
          <t>TELECARGO ENCOMENDAS EXPRESSAS LTDA</t>
        </is>
      </c>
      <c r="F12323" s="30" t="inlineStr">
        <is>
          <t>2018</t>
        </is>
      </c>
      <c r="G12323" s="40" t="n">
        <v>0</v>
      </c>
    </row>
    <row r="12324" ht="12" customHeight="1">
      <c r="A12324" s="30" t="inlineStr">
        <is>
          <t>POR</t>
        </is>
      </c>
      <c r="B12324" s="30" t="inlineStr">
        <is>
          <t>Porto Real</t>
        </is>
      </c>
      <c r="C12324" s="30" t="n">
        <v>87023460</v>
      </c>
      <c r="D12324" s="30">
        <f>"03469066000385"</f>
        <v/>
      </c>
      <c r="E12324" s="30" t="inlineStr">
        <is>
          <t>TELECARGO ENCOMENDAS EXPRESSAS LTDA</t>
        </is>
      </c>
      <c r="F12324" s="30" t="inlineStr">
        <is>
          <t>2019</t>
        </is>
      </c>
      <c r="G12324" s="40" t="n">
        <v>495983.57</v>
      </c>
    </row>
    <row r="12325" ht="12" customHeight="1">
      <c r="A12325" s="30" t="inlineStr">
        <is>
          <t>POR</t>
        </is>
      </c>
      <c r="B12325" s="30" t="inlineStr">
        <is>
          <t>Porto Real</t>
        </is>
      </c>
      <c r="C12325" s="30" t="n">
        <v>87023460</v>
      </c>
      <c r="D12325" s="30">
        <f>"03469066000385"</f>
        <v/>
      </c>
      <c r="E12325" s="30" t="inlineStr">
        <is>
          <t>TELECARGO ENCOMENDAS EXPRESSAS LTDA</t>
        </is>
      </c>
      <c r="F12325" s="30" t="inlineStr">
        <is>
          <t>2020</t>
        </is>
      </c>
      <c r="G12325" s="40" t="n">
        <v>1126315.6</v>
      </c>
    </row>
    <row r="12326" ht="12" customHeight="1">
      <c r="A12326" s="30" t="inlineStr">
        <is>
          <t>POR</t>
        </is>
      </c>
      <c r="B12326" s="30" t="inlineStr">
        <is>
          <t>Porto Real</t>
        </is>
      </c>
      <c r="C12326" s="30" t="n">
        <v>87023460</v>
      </c>
      <c r="D12326" s="30">
        <f>"03469066000385"</f>
        <v/>
      </c>
      <c r="E12326" s="30" t="inlineStr">
        <is>
          <t>TELECARGO ENCOMENDAS EXPRESSAS LTDA</t>
        </is>
      </c>
      <c r="F12326" s="30" t="inlineStr">
        <is>
          <t>2021</t>
        </is>
      </c>
      <c r="G12326" s="40" t="n">
        <v>292424.22</v>
      </c>
    </row>
    <row r="12327" ht="12" customHeight="1">
      <c r="A12327" s="30" t="inlineStr">
        <is>
          <t>POR</t>
        </is>
      </c>
      <c r="B12327" s="30" t="inlineStr">
        <is>
          <t>Porto Real</t>
        </is>
      </c>
      <c r="C12327" s="30" t="n">
        <v>87023460</v>
      </c>
      <c r="D12327" s="30">
        <f>"03469066000385"</f>
        <v/>
      </c>
      <c r="E12327" s="30" t="inlineStr">
        <is>
          <t>TELECARGO ENCOMENDAS EXPRESSAS LTDA</t>
        </is>
      </c>
      <c r="F12327" s="30" t="inlineStr">
        <is>
          <t>2022</t>
        </is>
      </c>
      <c r="G12327" s="40" t="n">
        <v>0</v>
      </c>
    </row>
    <row r="12328" ht="12" customHeight="1">
      <c r="A12328" s="30" t="inlineStr">
        <is>
          <t>POR</t>
        </is>
      </c>
      <c r="B12328" s="30" t="inlineStr">
        <is>
          <t>Porto Real</t>
        </is>
      </c>
      <c r="C12328" s="30" t="n">
        <v>87023460</v>
      </c>
      <c r="D12328" s="30">
        <f>"03469066000385"</f>
        <v/>
      </c>
      <c r="E12328" s="30" t="inlineStr">
        <is>
          <t>TELECARGO ENCOMENDAS EXPRESSAS LTDA</t>
        </is>
      </c>
      <c r="F12328" s="30" t="inlineStr">
        <is>
          <t>2023</t>
        </is>
      </c>
      <c r="G12328" s="40" t="n">
        <v>0</v>
      </c>
    </row>
    <row r="12329" ht="12" customHeight="1">
      <c r="A12329" s="30" t="inlineStr">
        <is>
          <t>POR</t>
        </is>
      </c>
      <c r="B12329" s="30" t="inlineStr">
        <is>
          <t>Porto Real</t>
        </is>
      </c>
      <c r="C12329" s="30" t="n">
        <v>87030946</v>
      </c>
      <c r="D12329" s="30">
        <f>"91830836004085"</f>
        <v/>
      </c>
      <c r="E12329" s="30" t="inlineStr">
        <is>
          <t>OLFAR S/A - ALIMENTO E ENERGIA</t>
        </is>
      </c>
      <c r="F12329" s="30" t="inlineStr">
        <is>
          <t>2017</t>
        </is>
      </c>
      <c r="G12329" s="40" t="n">
        <v>0</v>
      </c>
    </row>
    <row r="12330" ht="12" customHeight="1">
      <c r="A12330" s="30" t="inlineStr">
        <is>
          <t>POR</t>
        </is>
      </c>
      <c r="B12330" s="30" t="inlineStr">
        <is>
          <t>Porto Real</t>
        </is>
      </c>
      <c r="C12330" s="30" t="n">
        <v>87030946</v>
      </c>
      <c r="D12330" s="30">
        <f>"91830836004085"</f>
        <v/>
      </c>
      <c r="E12330" s="30" t="inlineStr">
        <is>
          <t>OLFAR S/A - ALIMENTO E ENERGIA</t>
        </is>
      </c>
      <c r="F12330" s="30" t="inlineStr">
        <is>
          <t>2018</t>
        </is>
      </c>
      <c r="G12330" s="40" t="n">
        <v>17717194.82</v>
      </c>
    </row>
    <row r="12331" ht="12" customHeight="1">
      <c r="A12331" s="30" t="inlineStr">
        <is>
          <t>POR</t>
        </is>
      </c>
      <c r="B12331" s="30" t="inlineStr">
        <is>
          <t>Porto Real</t>
        </is>
      </c>
      <c r="C12331" s="30" t="n">
        <v>87030946</v>
      </c>
      <c r="D12331" s="30">
        <f>"91830836004085"</f>
        <v/>
      </c>
      <c r="E12331" s="30" t="inlineStr">
        <is>
          <t>OLFAR S/A - ALIMENTO E ENERGIA</t>
        </is>
      </c>
      <c r="F12331" s="30" t="inlineStr">
        <is>
          <t>2019</t>
        </is>
      </c>
      <c r="G12331" s="40" t="n">
        <v>9820714.17</v>
      </c>
    </row>
    <row r="12332" ht="12" customHeight="1">
      <c r="A12332" s="30" t="inlineStr">
        <is>
          <t>POR</t>
        </is>
      </c>
      <c r="B12332" s="30" t="inlineStr">
        <is>
          <t>Porto Real</t>
        </is>
      </c>
      <c r="C12332" s="30" t="n">
        <v>87030946</v>
      </c>
      <c r="D12332" s="30">
        <f>"91830836004085"</f>
        <v/>
      </c>
      <c r="E12332" s="30" t="inlineStr">
        <is>
          <t>OLFAR S/A - ALIMENTO E ENERGIA</t>
        </is>
      </c>
      <c r="F12332" s="30" t="inlineStr">
        <is>
          <t>2020</t>
        </is>
      </c>
      <c r="G12332" s="40" t="n">
        <v>37012042.5</v>
      </c>
    </row>
    <row r="12333" ht="12" customHeight="1">
      <c r="A12333" s="30" t="inlineStr">
        <is>
          <t>POR</t>
        </is>
      </c>
      <c r="B12333" s="30" t="inlineStr">
        <is>
          <t>Porto Real</t>
        </is>
      </c>
      <c r="C12333" s="30" t="n">
        <v>87030946</v>
      </c>
      <c r="D12333" s="30">
        <f>"91830836004085"</f>
        <v/>
      </c>
      <c r="E12333" s="30" t="inlineStr">
        <is>
          <t>OLFAR S/A - ALIMENTO E ENERGIA</t>
        </is>
      </c>
      <c r="F12333" s="30" t="inlineStr">
        <is>
          <t>2021</t>
        </is>
      </c>
      <c r="G12333" s="40" t="n">
        <v>0</v>
      </c>
    </row>
    <row r="12334" ht="12" customHeight="1">
      <c r="A12334" s="30" t="inlineStr">
        <is>
          <t>POR</t>
        </is>
      </c>
      <c r="B12334" s="30" t="inlineStr">
        <is>
          <t>Porto Real</t>
        </is>
      </c>
      <c r="C12334" s="30" t="n">
        <v>87030946</v>
      </c>
      <c r="D12334" s="30">
        <f>"91830836004085"</f>
        <v/>
      </c>
      <c r="E12334" s="30" t="inlineStr">
        <is>
          <t>OLFAR S/A - ALIMENTO E ENERGIA</t>
        </is>
      </c>
      <c r="F12334" s="30" t="inlineStr">
        <is>
          <t>2022</t>
        </is>
      </c>
      <c r="G12334" s="40" t="n">
        <v>0</v>
      </c>
    </row>
    <row r="12335" ht="12" customHeight="1">
      <c r="A12335" s="30" t="inlineStr">
        <is>
          <t>POR</t>
        </is>
      </c>
      <c r="B12335" s="30" t="inlineStr">
        <is>
          <t>Porto Real</t>
        </is>
      </c>
      <c r="C12335" s="30" t="n">
        <v>87030946</v>
      </c>
      <c r="D12335" s="30">
        <f>"91830836004085"</f>
        <v/>
      </c>
      <c r="E12335" s="30" t="inlineStr">
        <is>
          <t>OLFAR S/A - ALIMENTO E ENERGIA</t>
        </is>
      </c>
      <c r="F12335" s="30" t="inlineStr">
        <is>
          <t>2023</t>
        </is>
      </c>
      <c r="G12335" s="40" t="n">
        <v>104876551.41</v>
      </c>
    </row>
    <row r="12336" ht="12" customHeight="1">
      <c r="A12336" s="30" t="inlineStr">
        <is>
          <t>POR</t>
        </is>
      </c>
      <c r="B12336" s="30" t="inlineStr">
        <is>
          <t>Porto Real</t>
        </is>
      </c>
      <c r="C12336" s="30" t="n">
        <v>87042308</v>
      </c>
      <c r="D12336" s="30">
        <f>"23547963000105"</f>
        <v/>
      </c>
      <c r="E12336" s="30" t="inlineStr">
        <is>
          <t>PORT CONSTRUTORA LTDA</t>
        </is>
      </c>
      <c r="F12336" s="30" t="inlineStr">
        <is>
          <t>2019</t>
        </is>
      </c>
      <c r="G12336" s="40" t="n">
        <v>0</v>
      </c>
    </row>
    <row r="12337" ht="12" customHeight="1">
      <c r="A12337" s="30" t="inlineStr">
        <is>
          <t>POR</t>
        </is>
      </c>
      <c r="B12337" s="30" t="inlineStr">
        <is>
          <t>Porto Real</t>
        </is>
      </c>
      <c r="C12337" s="30" t="n">
        <v>87042308</v>
      </c>
      <c r="D12337" s="30">
        <f>"23547963000105"</f>
        <v/>
      </c>
      <c r="E12337" s="30" t="inlineStr">
        <is>
          <t>PORT CONSTRUTORA LTDA</t>
        </is>
      </c>
      <c r="F12337" s="30" t="inlineStr">
        <is>
          <t>2020</t>
        </is>
      </c>
      <c r="G12337" s="40" t="n">
        <v>0</v>
      </c>
    </row>
    <row r="12338" ht="12" customHeight="1">
      <c r="A12338" s="30" t="inlineStr">
        <is>
          <t>POR</t>
        </is>
      </c>
      <c r="B12338" s="30" t="inlineStr">
        <is>
          <t>Porto Real</t>
        </is>
      </c>
      <c r="C12338" s="30" t="n">
        <v>87042308</v>
      </c>
      <c r="D12338" s="30">
        <f>"23547963000105"</f>
        <v/>
      </c>
      <c r="E12338" s="30" t="inlineStr">
        <is>
          <t>PORT CONSTRUTORA LTDA</t>
        </is>
      </c>
      <c r="F12338" s="30" t="inlineStr">
        <is>
          <t>2021</t>
        </is>
      </c>
      <c r="G12338" s="40" t="n">
        <v>0</v>
      </c>
    </row>
    <row r="12339" ht="12" customHeight="1">
      <c r="A12339" s="30" t="inlineStr">
        <is>
          <t>POR</t>
        </is>
      </c>
      <c r="B12339" s="30" t="inlineStr">
        <is>
          <t>Porto Real</t>
        </is>
      </c>
      <c r="C12339" s="30" t="n">
        <v>87042308</v>
      </c>
      <c r="D12339" s="30">
        <f>"23547963000105"</f>
        <v/>
      </c>
      <c r="E12339" s="30" t="inlineStr">
        <is>
          <t>PORT CONSTRUTORA LTDA</t>
        </is>
      </c>
      <c r="F12339" s="30" t="inlineStr">
        <is>
          <t>2022</t>
        </is>
      </c>
      <c r="G12339" s="40" t="n">
        <v>0</v>
      </c>
    </row>
    <row r="12340" ht="12" customHeight="1">
      <c r="A12340" s="30" t="inlineStr">
        <is>
          <t>POR</t>
        </is>
      </c>
      <c r="B12340" s="30" t="inlineStr">
        <is>
          <t>Porto Real</t>
        </is>
      </c>
      <c r="C12340" s="30" t="n">
        <v>87042308</v>
      </c>
      <c r="D12340" s="30">
        <f>"23547963000105"</f>
        <v/>
      </c>
      <c r="E12340" s="30" t="inlineStr">
        <is>
          <t>PORT CONSTRUTORA LTDA</t>
        </is>
      </c>
      <c r="F12340" s="30" t="inlineStr">
        <is>
          <t>2023</t>
        </is>
      </c>
      <c r="G12340" s="40" t="n">
        <v>0</v>
      </c>
    </row>
    <row r="12341" ht="12" customHeight="1">
      <c r="A12341" s="30" t="inlineStr">
        <is>
          <t>POR</t>
        </is>
      </c>
      <c r="B12341" s="30" t="inlineStr">
        <is>
          <t>Porto Real</t>
        </is>
      </c>
      <c r="C12341" s="30" t="n">
        <v>87059910</v>
      </c>
      <c r="D12341" s="30">
        <f>"23749250000124"</f>
        <v/>
      </c>
      <c r="E12341" s="30" t="inlineStr">
        <is>
          <t>SUELLEN CARRIJO DE ALMEIDA COMERCIO DE GLP</t>
        </is>
      </c>
      <c r="F12341" s="30" t="inlineStr">
        <is>
          <t>2017</t>
        </is>
      </c>
      <c r="G12341" s="40" t="n">
        <v>142717.74</v>
      </c>
    </row>
    <row r="12342" ht="12" customHeight="1">
      <c r="A12342" s="30" t="inlineStr">
        <is>
          <t>POR</t>
        </is>
      </c>
      <c r="B12342" s="30" t="inlineStr">
        <is>
          <t>Porto Real</t>
        </is>
      </c>
      <c r="C12342" s="30" t="n">
        <v>87059910</v>
      </c>
      <c r="D12342" s="30">
        <f>"23749250000124"</f>
        <v/>
      </c>
      <c r="E12342" s="30" t="inlineStr">
        <is>
          <t>SUELLEN CARRIJO DE ALMEIDA COMERCIO DE GLP</t>
        </is>
      </c>
      <c r="F12342" s="30" t="inlineStr">
        <is>
          <t>2018</t>
        </is>
      </c>
      <c r="G12342" s="40" t="n">
        <v>168020.12</v>
      </c>
    </row>
    <row r="12343" ht="12" customHeight="1">
      <c r="A12343" s="30" t="inlineStr">
        <is>
          <t>POR</t>
        </is>
      </c>
      <c r="B12343" s="30" t="inlineStr">
        <is>
          <t>Porto Real</t>
        </is>
      </c>
      <c r="C12343" s="30" t="n">
        <v>87059910</v>
      </c>
      <c r="D12343" s="30">
        <f>"23749250000124"</f>
        <v/>
      </c>
      <c r="E12343" s="30" t="inlineStr">
        <is>
          <t>SUELLEN CARRIJO DE ALMEIDA COMERCIO DE GLP</t>
        </is>
      </c>
      <c r="F12343" s="30" t="inlineStr">
        <is>
          <t>2019</t>
        </is>
      </c>
      <c r="G12343" s="40" t="n">
        <v>0</v>
      </c>
    </row>
    <row r="12344" ht="12" customHeight="1">
      <c r="A12344" s="30" t="inlineStr">
        <is>
          <t>POR</t>
        </is>
      </c>
      <c r="B12344" s="30" t="inlineStr">
        <is>
          <t>Porto Real</t>
        </is>
      </c>
      <c r="C12344" s="30" t="n">
        <v>87059910</v>
      </c>
      <c r="D12344" s="30">
        <f>"23749250000124"</f>
        <v/>
      </c>
      <c r="E12344" s="30" t="inlineStr">
        <is>
          <t>SUELLEN CARRIJO DE ALMEIDA COMERCIO DE GLP</t>
        </is>
      </c>
      <c r="F12344" s="30" t="inlineStr">
        <is>
          <t>2020</t>
        </is>
      </c>
      <c r="G12344" s="40" t="n">
        <v>0</v>
      </c>
    </row>
    <row r="12345" ht="12" customHeight="1">
      <c r="A12345" s="30" t="inlineStr">
        <is>
          <t>POR</t>
        </is>
      </c>
      <c r="B12345" s="30" t="inlineStr">
        <is>
          <t>Porto Real</t>
        </is>
      </c>
      <c r="C12345" s="30" t="n">
        <v>87059910</v>
      </c>
      <c r="D12345" s="30">
        <f>"23749250000124"</f>
        <v/>
      </c>
      <c r="E12345" s="30" t="inlineStr">
        <is>
          <t>SUELLEN CARRIJO DE ALMEIDA COMERCIO DE GLP</t>
        </is>
      </c>
      <c r="F12345" s="30" t="inlineStr">
        <is>
          <t>2021</t>
        </is>
      </c>
      <c r="G12345" s="40" t="n">
        <v>0</v>
      </c>
    </row>
    <row r="12346" ht="12" customHeight="1">
      <c r="A12346" s="30" t="inlineStr">
        <is>
          <t>POR</t>
        </is>
      </c>
      <c r="B12346" s="30" t="inlineStr">
        <is>
          <t>Porto Real</t>
        </is>
      </c>
      <c r="C12346" s="30" t="n">
        <v>87059910</v>
      </c>
      <c r="D12346" s="30">
        <f>"23749250000124"</f>
        <v/>
      </c>
      <c r="E12346" s="30" t="inlineStr">
        <is>
          <t>SUELLEN CARRIJO DE ALMEIDA COMERCIO DE GLP</t>
        </is>
      </c>
      <c r="F12346" s="30" t="inlineStr">
        <is>
          <t>2022</t>
        </is>
      </c>
      <c r="G12346" s="40" t="n">
        <v>0</v>
      </c>
    </row>
    <row r="12347" ht="12" customHeight="1">
      <c r="A12347" s="30" t="inlineStr">
        <is>
          <t>POR</t>
        </is>
      </c>
      <c r="B12347" s="30" t="inlineStr">
        <is>
          <t>Porto Real</t>
        </is>
      </c>
      <c r="C12347" s="30" t="n">
        <v>87063771</v>
      </c>
      <c r="D12347" s="30">
        <f>"01489122000580"</f>
        <v/>
      </c>
      <c r="E12347" s="30" t="inlineStr">
        <is>
          <t>TJ4 TRANSPORTES LTDA</t>
        </is>
      </c>
      <c r="F12347" s="30" t="inlineStr">
        <is>
          <t>2021</t>
        </is>
      </c>
      <c r="G12347" s="40" t="n">
        <v>0</v>
      </c>
    </row>
    <row r="12348" ht="12" customHeight="1">
      <c r="A12348" s="30" t="inlineStr">
        <is>
          <t>POR</t>
        </is>
      </c>
      <c r="B12348" s="30" t="inlineStr">
        <is>
          <t>Porto Real</t>
        </is>
      </c>
      <c r="C12348" s="30" t="n">
        <v>87063771</v>
      </c>
      <c r="D12348" s="30">
        <f>"01489122000580"</f>
        <v/>
      </c>
      <c r="E12348" s="30" t="inlineStr">
        <is>
          <t>TJ4 TRANSPORTES LTDA</t>
        </is>
      </c>
      <c r="F12348" s="30" t="inlineStr">
        <is>
          <t>2022</t>
        </is>
      </c>
      <c r="G12348" s="40" t="n">
        <v>0</v>
      </c>
    </row>
    <row r="12349" ht="12" customHeight="1">
      <c r="A12349" s="30" t="inlineStr">
        <is>
          <t>POR</t>
        </is>
      </c>
      <c r="B12349" s="30" t="inlineStr">
        <is>
          <t>Porto Real</t>
        </is>
      </c>
      <c r="C12349" s="30" t="n">
        <v>87063771</v>
      </c>
      <c r="D12349" s="30">
        <f>"01489122000580"</f>
        <v/>
      </c>
      <c r="E12349" s="30" t="inlineStr">
        <is>
          <t>TJ4 TRANSPORTES LTDA</t>
        </is>
      </c>
      <c r="F12349" s="30" t="inlineStr">
        <is>
          <t>2023</t>
        </is>
      </c>
      <c r="G12349" s="40" t="n">
        <v>463.48</v>
      </c>
    </row>
    <row r="12350" ht="12" customHeight="1">
      <c r="A12350" s="30" t="inlineStr">
        <is>
          <t>POR</t>
        </is>
      </c>
      <c r="B12350" s="30" t="inlineStr">
        <is>
          <t>Porto Real</t>
        </is>
      </c>
      <c r="C12350" s="30" t="n">
        <v>87067378</v>
      </c>
      <c r="D12350" s="30">
        <f>"00789764000299"</f>
        <v/>
      </c>
      <c r="E12350" s="30" t="inlineStr">
        <is>
          <t>PASQUALINI TRANSPORTES LTDA - EPP</t>
        </is>
      </c>
      <c r="F12350" s="30" t="inlineStr">
        <is>
          <t>2017</t>
        </is>
      </c>
      <c r="G12350" s="40" t="n">
        <v>0</v>
      </c>
    </row>
    <row r="12351" ht="12" customHeight="1">
      <c r="A12351" s="30" t="inlineStr">
        <is>
          <t>POR</t>
        </is>
      </c>
      <c r="B12351" s="30" t="inlineStr">
        <is>
          <t>Porto Real</t>
        </is>
      </c>
      <c r="C12351" s="30" t="n">
        <v>87067378</v>
      </c>
      <c r="D12351" s="30">
        <f>"00789764000299"</f>
        <v/>
      </c>
      <c r="E12351" s="30" t="inlineStr">
        <is>
          <t>PASQUALINI TRANSPORTES LTDA - EPP</t>
        </is>
      </c>
      <c r="F12351" s="30" t="inlineStr">
        <is>
          <t>2018</t>
        </is>
      </c>
      <c r="G12351" s="40" t="n">
        <v>0</v>
      </c>
    </row>
    <row r="12352" ht="12" customHeight="1">
      <c r="A12352" s="30" t="inlineStr">
        <is>
          <t>POR</t>
        </is>
      </c>
      <c r="B12352" s="30" t="inlineStr">
        <is>
          <t>Porto Real</t>
        </is>
      </c>
      <c r="C12352" s="30" t="n">
        <v>87067378</v>
      </c>
      <c r="D12352" s="30">
        <f>"00789764000299"</f>
        <v/>
      </c>
      <c r="E12352" s="30" t="inlineStr">
        <is>
          <t>PASQUALINI TRANSPORTES LTDA - EPP</t>
        </is>
      </c>
      <c r="F12352" s="30" t="inlineStr">
        <is>
          <t>2019</t>
        </is>
      </c>
      <c r="G12352" s="40" t="n">
        <v>0</v>
      </c>
    </row>
    <row r="12353" ht="12" customHeight="1">
      <c r="A12353" s="30" t="inlineStr">
        <is>
          <t>POR</t>
        </is>
      </c>
      <c r="B12353" s="30" t="inlineStr">
        <is>
          <t>Porto Real</t>
        </is>
      </c>
      <c r="C12353" s="30" t="n">
        <v>87067378</v>
      </c>
      <c r="D12353" s="30">
        <f>"00789764000299"</f>
        <v/>
      </c>
      <c r="E12353" s="30" t="inlineStr">
        <is>
          <t>PASQUALINI TRANSPORTES LTDA - EPP</t>
        </is>
      </c>
      <c r="F12353" s="30" t="inlineStr">
        <is>
          <t>2020</t>
        </is>
      </c>
      <c r="G12353" s="40" t="n">
        <v>0</v>
      </c>
    </row>
    <row r="12354" ht="12" customHeight="1">
      <c r="A12354" s="30" t="inlineStr">
        <is>
          <t>POR</t>
        </is>
      </c>
      <c r="B12354" s="30" t="inlineStr">
        <is>
          <t>Porto Real</t>
        </is>
      </c>
      <c r="C12354" s="30" t="n">
        <v>87069567</v>
      </c>
      <c r="D12354" s="30">
        <f>"00687130000225"</f>
        <v/>
      </c>
      <c r="E12354" s="30" t="inlineStr">
        <is>
          <t>TRANSCARMO TRANSPORTES LTDA - EPP</t>
        </is>
      </c>
      <c r="F12354" s="30" t="inlineStr">
        <is>
          <t>2017</t>
        </is>
      </c>
      <c r="G12354" s="40" t="n">
        <v>0</v>
      </c>
    </row>
    <row r="12355" ht="12" customHeight="1">
      <c r="A12355" s="30" t="inlineStr">
        <is>
          <t>POR</t>
        </is>
      </c>
      <c r="B12355" s="30" t="inlineStr">
        <is>
          <t>Porto Real</t>
        </is>
      </c>
      <c r="C12355" s="30" t="n">
        <v>87069567</v>
      </c>
      <c r="D12355" s="30">
        <f>"00687130000225"</f>
        <v/>
      </c>
      <c r="E12355" s="30" t="inlineStr">
        <is>
          <t>TRANSCARMO TRANSPORTES LTDA - EPP</t>
        </is>
      </c>
      <c r="F12355" s="30" t="inlineStr">
        <is>
          <t>2018</t>
        </is>
      </c>
      <c r="G12355" s="40" t="n">
        <v>0</v>
      </c>
    </row>
    <row r="12356" ht="12" customHeight="1">
      <c r="A12356" s="30" t="inlineStr">
        <is>
          <t>POR</t>
        </is>
      </c>
      <c r="B12356" s="30" t="inlineStr">
        <is>
          <t>Porto Real</t>
        </is>
      </c>
      <c r="C12356" s="30" t="n">
        <v>87069567</v>
      </c>
      <c r="D12356" s="30">
        <f>"00687130000225"</f>
        <v/>
      </c>
      <c r="E12356" s="30" t="inlineStr">
        <is>
          <t>TRANSCARMO TRANSPORTES LTDA - EPP</t>
        </is>
      </c>
      <c r="F12356" s="30" t="inlineStr">
        <is>
          <t>2019</t>
        </is>
      </c>
      <c r="G12356" s="40" t="n">
        <v>0</v>
      </c>
    </row>
    <row r="12357" ht="12" customHeight="1">
      <c r="A12357" s="30" t="inlineStr">
        <is>
          <t>POR</t>
        </is>
      </c>
      <c r="B12357" s="30" t="inlineStr">
        <is>
          <t>Porto Real</t>
        </is>
      </c>
      <c r="C12357" s="30" t="n">
        <v>87069567</v>
      </c>
      <c r="D12357" s="30">
        <f>"00687130000225"</f>
        <v/>
      </c>
      <c r="E12357" s="30" t="inlineStr">
        <is>
          <t>TRANSCARMO TRANSPORTES LTDA - EPP</t>
        </is>
      </c>
      <c r="F12357" s="30" t="inlineStr">
        <is>
          <t>2020</t>
        </is>
      </c>
      <c r="G12357" s="40" t="n">
        <v>0</v>
      </c>
    </row>
    <row r="12358" ht="12" customHeight="1">
      <c r="A12358" s="30" t="inlineStr">
        <is>
          <t>POR</t>
        </is>
      </c>
      <c r="B12358" s="30" t="inlineStr">
        <is>
          <t>Porto Real</t>
        </is>
      </c>
      <c r="C12358" s="30" t="n">
        <v>87069583</v>
      </c>
      <c r="D12358" s="30">
        <f>"56287527000284"</f>
        <v/>
      </c>
      <c r="E12358" s="30" t="inlineStr">
        <is>
          <t>TRANSQUINCAS TRANSPORTES RODOVIARIO LTDA - EPP</t>
        </is>
      </c>
      <c r="F12358" s="30" t="inlineStr">
        <is>
          <t>2017</t>
        </is>
      </c>
      <c r="G12358" s="40" t="n">
        <v>0</v>
      </c>
    </row>
    <row r="12359" ht="12" customHeight="1">
      <c r="A12359" s="30" t="inlineStr">
        <is>
          <t>POR</t>
        </is>
      </c>
      <c r="B12359" s="30" t="inlineStr">
        <is>
          <t>Porto Real</t>
        </is>
      </c>
      <c r="C12359" s="30" t="n">
        <v>87069583</v>
      </c>
      <c r="D12359" s="30">
        <f>"56287527000284"</f>
        <v/>
      </c>
      <c r="E12359" s="30" t="inlineStr">
        <is>
          <t>TRANSQUINCAS TRANSPORTES RODOVIARIO LTDA - EPP</t>
        </is>
      </c>
      <c r="F12359" s="30" t="inlineStr">
        <is>
          <t>2018</t>
        </is>
      </c>
      <c r="G12359" s="40" t="n">
        <v>0</v>
      </c>
    </row>
    <row r="12360" ht="12" customHeight="1">
      <c r="A12360" s="30" t="inlineStr">
        <is>
          <t>POR</t>
        </is>
      </c>
      <c r="B12360" s="30" t="inlineStr">
        <is>
          <t>Porto Real</t>
        </is>
      </c>
      <c r="C12360" s="30" t="n">
        <v>87069583</v>
      </c>
      <c r="D12360" s="30">
        <f>"56287527000284"</f>
        <v/>
      </c>
      <c r="E12360" s="30" t="inlineStr">
        <is>
          <t>TRANSQUINCAS TRANSPORTES RODOVIARIO LTDA - EPP</t>
        </is>
      </c>
      <c r="F12360" s="30" t="inlineStr">
        <is>
          <t>2019</t>
        </is>
      </c>
      <c r="G12360" s="40" t="n">
        <v>0</v>
      </c>
    </row>
    <row r="12361" ht="12" customHeight="1">
      <c r="A12361" s="30" t="inlineStr">
        <is>
          <t>POR</t>
        </is>
      </c>
      <c r="B12361" s="30" t="inlineStr">
        <is>
          <t>Porto Real</t>
        </is>
      </c>
      <c r="C12361" s="30" t="n">
        <v>87069583</v>
      </c>
      <c r="D12361" s="30">
        <f>"56287527000284"</f>
        <v/>
      </c>
      <c r="E12361" s="30" t="inlineStr">
        <is>
          <t>TRANSQUINCAS TRANSPORTES RODOVIARIO LTDA - EPP</t>
        </is>
      </c>
      <c r="F12361" s="30" t="inlineStr">
        <is>
          <t>2020</t>
        </is>
      </c>
      <c r="G12361" s="40" t="n">
        <v>0</v>
      </c>
    </row>
    <row r="12362" ht="12" customHeight="1">
      <c r="A12362" s="30" t="inlineStr">
        <is>
          <t>POR</t>
        </is>
      </c>
      <c r="B12362" s="30" t="inlineStr">
        <is>
          <t>Porto Real</t>
        </is>
      </c>
      <c r="C12362" s="30" t="n">
        <v>87077187</v>
      </c>
      <c r="D12362" s="30">
        <f>"01599101002056"</f>
        <v/>
      </c>
      <c r="E12362" s="30" t="inlineStr">
        <is>
          <t>SEQUOIA LOGISTICA E TRANSPORTES S.A.</t>
        </is>
      </c>
      <c r="F12362" s="30" t="inlineStr">
        <is>
          <t>2020</t>
        </is>
      </c>
      <c r="G12362" s="40" t="n">
        <v>0</v>
      </c>
    </row>
    <row r="12363" ht="12" customHeight="1">
      <c r="A12363" s="30" t="inlineStr">
        <is>
          <t>POR</t>
        </is>
      </c>
      <c r="B12363" s="30" t="inlineStr">
        <is>
          <t>Porto Real</t>
        </is>
      </c>
      <c r="C12363" s="30" t="n">
        <v>87077187</v>
      </c>
      <c r="D12363" s="30">
        <f>"01599101002056"</f>
        <v/>
      </c>
      <c r="E12363" s="30" t="inlineStr">
        <is>
          <t>SEQUOIA LOGISTICA E TRANSPORTES S.A.</t>
        </is>
      </c>
      <c r="F12363" s="30" t="inlineStr">
        <is>
          <t>2021</t>
        </is>
      </c>
      <c r="G12363" s="40" t="n">
        <v>0</v>
      </c>
    </row>
    <row r="12364" ht="12" customHeight="1">
      <c r="A12364" s="30" t="inlineStr">
        <is>
          <t>POR</t>
        </is>
      </c>
      <c r="B12364" s="30" t="inlineStr">
        <is>
          <t>Porto Real</t>
        </is>
      </c>
      <c r="C12364" s="30" t="n">
        <v>87077187</v>
      </c>
      <c r="D12364" s="30">
        <f>"01599101002056"</f>
        <v/>
      </c>
      <c r="E12364" s="30" t="inlineStr">
        <is>
          <t>SEQUOIA LOGISTICA E TRANSPORTES S.A.</t>
        </is>
      </c>
      <c r="F12364" s="30" t="inlineStr">
        <is>
          <t>2022</t>
        </is>
      </c>
      <c r="G12364" s="40" t="n">
        <v>1692.2</v>
      </c>
    </row>
    <row r="12365" ht="12" customHeight="1">
      <c r="A12365" s="30" t="inlineStr">
        <is>
          <t>POR</t>
        </is>
      </c>
      <c r="B12365" s="30" t="inlineStr">
        <is>
          <t>Porto Real</t>
        </is>
      </c>
      <c r="C12365" s="30" t="n">
        <v>87077187</v>
      </c>
      <c r="D12365" s="30">
        <f>"01599101002056"</f>
        <v/>
      </c>
      <c r="E12365" s="30" t="inlineStr">
        <is>
          <t>SEQUOIA LOGISTICA E TRANSPORTES S.A.</t>
        </is>
      </c>
      <c r="F12365" s="30" t="inlineStr">
        <is>
          <t>2023</t>
        </is>
      </c>
      <c r="G12365" s="40" t="n">
        <v>970.59</v>
      </c>
    </row>
    <row r="12366" ht="12" customHeight="1">
      <c r="A12366" s="30" t="inlineStr">
        <is>
          <t>POR</t>
        </is>
      </c>
      <c r="B12366" s="30" t="inlineStr">
        <is>
          <t>Porto Real</t>
        </is>
      </c>
      <c r="C12366" s="30" t="n">
        <v>87094570</v>
      </c>
      <c r="D12366" s="30">
        <f>"92023043000615"</f>
        <v/>
      </c>
      <c r="E12366" s="30" t="inlineStr">
        <is>
          <t>EXPRESSO VALE REAL LTDA</t>
        </is>
      </c>
      <c r="F12366" s="30" t="inlineStr">
        <is>
          <t>2017</t>
        </is>
      </c>
      <c r="G12366" s="40" t="n">
        <v>509.09</v>
      </c>
    </row>
    <row r="12367" ht="12" customHeight="1">
      <c r="A12367" s="30" t="inlineStr">
        <is>
          <t>POR</t>
        </is>
      </c>
      <c r="B12367" s="30" t="inlineStr">
        <is>
          <t>Porto Real</t>
        </is>
      </c>
      <c r="C12367" s="30" t="n">
        <v>87094570</v>
      </c>
      <c r="D12367" s="30">
        <f>"92023043000615"</f>
        <v/>
      </c>
      <c r="E12367" s="30" t="inlineStr">
        <is>
          <t>EXPRESSO VALE REAL LTDA</t>
        </is>
      </c>
      <c r="F12367" s="30" t="inlineStr">
        <is>
          <t>2018</t>
        </is>
      </c>
      <c r="G12367" s="40" t="n">
        <v>0</v>
      </c>
    </row>
    <row r="12368" ht="12" customHeight="1">
      <c r="A12368" s="30" t="inlineStr">
        <is>
          <t>POR</t>
        </is>
      </c>
      <c r="B12368" s="30" t="inlineStr">
        <is>
          <t>Porto Real</t>
        </is>
      </c>
      <c r="C12368" s="30" t="n">
        <v>87094570</v>
      </c>
      <c r="D12368" s="30">
        <f>"92023043000615"</f>
        <v/>
      </c>
      <c r="E12368" s="30" t="inlineStr">
        <is>
          <t>EXPRESSO VALE REAL LTDA</t>
        </is>
      </c>
      <c r="F12368" s="30" t="inlineStr">
        <is>
          <t>2019</t>
        </is>
      </c>
      <c r="G12368" s="40" t="n">
        <v>0</v>
      </c>
    </row>
    <row r="12369" ht="12" customHeight="1">
      <c r="A12369" s="30" t="inlineStr">
        <is>
          <t>POR</t>
        </is>
      </c>
      <c r="B12369" s="30" t="inlineStr">
        <is>
          <t>Porto Real</t>
        </is>
      </c>
      <c r="C12369" s="30" t="n">
        <v>87094570</v>
      </c>
      <c r="D12369" s="30">
        <f>"92023043000615"</f>
        <v/>
      </c>
      <c r="E12369" s="30" t="inlineStr">
        <is>
          <t>EXPRESSO VALE REAL LTDA</t>
        </is>
      </c>
      <c r="F12369" s="30" t="inlineStr">
        <is>
          <t>2020</t>
        </is>
      </c>
      <c r="G12369" s="40" t="n">
        <v>0</v>
      </c>
    </row>
    <row r="12370" ht="12" customHeight="1">
      <c r="A12370" s="30" t="inlineStr">
        <is>
          <t>POR</t>
        </is>
      </c>
      <c r="B12370" s="30" t="inlineStr">
        <is>
          <t>Porto Real</t>
        </is>
      </c>
      <c r="C12370" s="30" t="n">
        <v>87094570</v>
      </c>
      <c r="D12370" s="30">
        <f>"92023043000615"</f>
        <v/>
      </c>
      <c r="E12370" s="30" t="inlineStr">
        <is>
          <t>EXPRESSO VALE REAL LTDA</t>
        </is>
      </c>
      <c r="F12370" s="30" t="inlineStr">
        <is>
          <t>2021</t>
        </is>
      </c>
      <c r="G12370" s="40" t="n">
        <v>7111.93</v>
      </c>
    </row>
    <row r="12371" ht="12" customHeight="1">
      <c r="A12371" s="30" t="inlineStr">
        <is>
          <t>POR</t>
        </is>
      </c>
      <c r="B12371" s="30" t="inlineStr">
        <is>
          <t>Porto Real</t>
        </is>
      </c>
      <c r="C12371" s="30" t="n">
        <v>87094570</v>
      </c>
      <c r="D12371" s="30">
        <f>"92023043000615"</f>
        <v/>
      </c>
      <c r="E12371" s="30" t="inlineStr">
        <is>
          <t>EXPRESSO VALE REAL LTDA</t>
        </is>
      </c>
      <c r="F12371" s="30" t="inlineStr">
        <is>
          <t>2022</t>
        </is>
      </c>
      <c r="G12371" s="40" t="n">
        <v>0</v>
      </c>
    </row>
    <row r="12372" ht="12" customHeight="1">
      <c r="A12372" s="30" t="inlineStr">
        <is>
          <t>POR</t>
        </is>
      </c>
      <c r="B12372" s="30" t="inlineStr">
        <is>
          <t>Porto Real</t>
        </is>
      </c>
      <c r="C12372" s="30" t="n">
        <v>87094570</v>
      </c>
      <c r="D12372" s="30">
        <f>"92023043000615"</f>
        <v/>
      </c>
      <c r="E12372" s="30" t="inlineStr">
        <is>
          <t>EXPRESSO VALE REAL LTDA</t>
        </is>
      </c>
      <c r="F12372" s="30" t="inlineStr">
        <is>
          <t>2023</t>
        </is>
      </c>
      <c r="G12372" s="40" t="n">
        <v>0</v>
      </c>
    </row>
    <row r="12373" ht="12" customHeight="1">
      <c r="A12373" s="30" t="inlineStr">
        <is>
          <t>POR</t>
        </is>
      </c>
      <c r="B12373" s="30" t="inlineStr">
        <is>
          <t>Porto Real</t>
        </is>
      </c>
      <c r="C12373" s="30" t="n">
        <v>87102998</v>
      </c>
      <c r="D12373" s="30">
        <f>"24191016000197"</f>
        <v/>
      </c>
      <c r="E12373" s="30" t="inlineStr">
        <is>
          <t>TW LOGISTICA E TRANSPORTES LTDA ME</t>
        </is>
      </c>
      <c r="F12373" s="30" t="inlineStr">
        <is>
          <t>2018</t>
        </is>
      </c>
      <c r="G12373" s="40" t="n">
        <v>0</v>
      </c>
    </row>
    <row r="12374" ht="12" customHeight="1">
      <c r="A12374" s="30" t="inlineStr">
        <is>
          <t>POR</t>
        </is>
      </c>
      <c r="B12374" s="30" t="inlineStr">
        <is>
          <t>Porto Real</t>
        </is>
      </c>
      <c r="C12374" s="30" t="n">
        <v>87102998</v>
      </c>
      <c r="D12374" s="30">
        <f>"24191016000197"</f>
        <v/>
      </c>
      <c r="E12374" s="30" t="inlineStr">
        <is>
          <t>TW LOGISTICA E TRANSPORTES LTDA ME</t>
        </is>
      </c>
      <c r="F12374" s="30" t="inlineStr">
        <is>
          <t>2019</t>
        </is>
      </c>
      <c r="G12374" s="40" t="n">
        <v>0</v>
      </c>
    </row>
    <row r="12375" ht="12" customHeight="1">
      <c r="A12375" s="30" t="inlineStr">
        <is>
          <t>POR</t>
        </is>
      </c>
      <c r="B12375" s="30" t="inlineStr">
        <is>
          <t>Porto Real</t>
        </is>
      </c>
      <c r="C12375" s="30" t="n">
        <v>87102998</v>
      </c>
      <c r="D12375" s="30">
        <f>"24191016000197"</f>
        <v/>
      </c>
      <c r="E12375" s="30" t="inlineStr">
        <is>
          <t>TW LOGISTICA E TRANSPORTES LTDA ME</t>
        </is>
      </c>
      <c r="F12375" s="30" t="inlineStr">
        <is>
          <t>2020</t>
        </is>
      </c>
      <c r="G12375" s="40" t="n">
        <v>6615387.44</v>
      </c>
    </row>
    <row r="12376" ht="12" customHeight="1">
      <c r="A12376" s="30" t="inlineStr">
        <is>
          <t>POR</t>
        </is>
      </c>
      <c r="B12376" s="30" t="inlineStr">
        <is>
          <t>Porto Real</t>
        </is>
      </c>
      <c r="C12376" s="30" t="n">
        <v>87102998</v>
      </c>
      <c r="D12376" s="30">
        <f>"24191016000197"</f>
        <v/>
      </c>
      <c r="E12376" s="30" t="inlineStr">
        <is>
          <t>TW LOGISTICA E TRANSPORTES LTDA ME</t>
        </is>
      </c>
      <c r="F12376" s="30" t="inlineStr">
        <is>
          <t>2021</t>
        </is>
      </c>
      <c r="G12376" s="40" t="n">
        <v>9438351.689999999</v>
      </c>
    </row>
    <row r="12377" ht="12" customHeight="1">
      <c r="A12377" s="30" t="inlineStr">
        <is>
          <t>POR</t>
        </is>
      </c>
      <c r="B12377" s="30" t="inlineStr">
        <is>
          <t>Porto Real</t>
        </is>
      </c>
      <c r="C12377" s="30" t="n">
        <v>87102998</v>
      </c>
      <c r="D12377" s="30">
        <f>"24191016000197"</f>
        <v/>
      </c>
      <c r="E12377" s="30" t="inlineStr">
        <is>
          <t>TW LOGISTICA E TRANSPORTES LTDA ME</t>
        </is>
      </c>
      <c r="F12377" s="30" t="inlineStr">
        <is>
          <t>2022</t>
        </is>
      </c>
      <c r="G12377" s="40" t="n">
        <v>7048584.45</v>
      </c>
    </row>
    <row r="12378" ht="12" customHeight="1">
      <c r="A12378" s="30" t="inlineStr">
        <is>
          <t>POR</t>
        </is>
      </c>
      <c r="B12378" s="30" t="inlineStr">
        <is>
          <t>Porto Real</t>
        </is>
      </c>
      <c r="C12378" s="30" t="n">
        <v>87102998</v>
      </c>
      <c r="D12378" s="30">
        <f>"24191016000197"</f>
        <v/>
      </c>
      <c r="E12378" s="30" t="inlineStr">
        <is>
          <t>TW LOGISTICA E TRANSPORTES LTDA ME</t>
        </is>
      </c>
      <c r="F12378" s="30" t="inlineStr">
        <is>
          <t>2023</t>
        </is>
      </c>
      <c r="G12378" s="40" t="n">
        <v>0</v>
      </c>
    </row>
    <row r="12379" ht="12" customHeight="1">
      <c r="A12379" s="30" t="inlineStr">
        <is>
          <t>POR</t>
        </is>
      </c>
      <c r="B12379" s="30" t="inlineStr">
        <is>
          <t>Porto Real</t>
        </is>
      </c>
      <c r="C12379" s="30" t="n">
        <v>87105938</v>
      </c>
      <c r="D12379" s="30">
        <f>"17619009000773"</f>
        <v/>
      </c>
      <c r="E12379" s="30" t="inlineStr">
        <is>
          <t>VENKON EXPRESS TRANSPORTES EIRELI EPP</t>
        </is>
      </c>
      <c r="F12379" s="30" t="inlineStr">
        <is>
          <t>2018</t>
        </is>
      </c>
      <c r="G12379" s="40" t="n">
        <v>0</v>
      </c>
    </row>
    <row r="12380" ht="12" customHeight="1">
      <c r="A12380" s="30" t="inlineStr">
        <is>
          <t>POR</t>
        </is>
      </c>
      <c r="B12380" s="30" t="inlineStr">
        <is>
          <t>Porto Real</t>
        </is>
      </c>
      <c r="C12380" s="30" t="n">
        <v>87105938</v>
      </c>
      <c r="D12380" s="30">
        <f>"17619009000773"</f>
        <v/>
      </c>
      <c r="E12380" s="30" t="inlineStr">
        <is>
          <t>VENKON EXPRESS TRANSPORTES EIRELI EPP</t>
        </is>
      </c>
      <c r="F12380" s="30" t="inlineStr">
        <is>
          <t>2019</t>
        </is>
      </c>
      <c r="G12380" s="40" t="n">
        <v>0</v>
      </c>
    </row>
    <row r="12381" ht="12" customHeight="1">
      <c r="A12381" s="30" t="inlineStr">
        <is>
          <t>POR</t>
        </is>
      </c>
      <c r="B12381" s="30" t="inlineStr">
        <is>
          <t>Porto Real</t>
        </is>
      </c>
      <c r="C12381" s="30" t="n">
        <v>87105938</v>
      </c>
      <c r="D12381" s="30">
        <f>"17619009000773"</f>
        <v/>
      </c>
      <c r="E12381" s="30" t="inlineStr">
        <is>
          <t>VENKON EXPRESS TRANSPORTES EIRELI EPP</t>
        </is>
      </c>
      <c r="F12381" s="30" t="inlineStr">
        <is>
          <t>2020</t>
        </is>
      </c>
      <c r="G12381" s="40" t="n">
        <v>3972.03</v>
      </c>
    </row>
    <row r="12382" ht="12" customHeight="1">
      <c r="A12382" s="30" t="inlineStr">
        <is>
          <t>POR</t>
        </is>
      </c>
      <c r="B12382" s="30" t="inlineStr">
        <is>
          <t>Porto Real</t>
        </is>
      </c>
      <c r="C12382" s="30" t="n">
        <v>87105938</v>
      </c>
      <c r="D12382" s="30">
        <f>"17619009000773"</f>
        <v/>
      </c>
      <c r="E12382" s="30" t="inlineStr">
        <is>
          <t>VENKON EXPRESS TRANSPORTES EIRELI EPP</t>
        </is>
      </c>
      <c r="F12382" s="30" t="inlineStr">
        <is>
          <t>2021</t>
        </is>
      </c>
      <c r="G12382" s="40" t="n">
        <v>4840.69</v>
      </c>
    </row>
    <row r="12383" ht="12" customHeight="1">
      <c r="A12383" s="30" t="inlineStr">
        <is>
          <t>POR</t>
        </is>
      </c>
      <c r="B12383" s="30" t="inlineStr">
        <is>
          <t>Porto Real</t>
        </is>
      </c>
      <c r="C12383" s="30" t="n">
        <v>87105938</v>
      </c>
      <c r="D12383" s="30">
        <f>"17619009000773"</f>
        <v/>
      </c>
      <c r="E12383" s="30" t="inlineStr">
        <is>
          <t>VENKON EXPRESS TRANSPORTES EIRELI EPP</t>
        </is>
      </c>
      <c r="F12383" s="30" t="inlineStr">
        <is>
          <t>2022</t>
        </is>
      </c>
      <c r="G12383" s="40" t="n">
        <v>0</v>
      </c>
    </row>
    <row r="12384" ht="12" customHeight="1">
      <c r="A12384" s="30" t="inlineStr">
        <is>
          <t>POR</t>
        </is>
      </c>
      <c r="B12384" s="30" t="inlineStr">
        <is>
          <t>Porto Real</t>
        </is>
      </c>
      <c r="C12384" s="30" t="n">
        <v>87105938</v>
      </c>
      <c r="D12384" s="30">
        <f>"17619009000773"</f>
        <v/>
      </c>
      <c r="E12384" s="30" t="inlineStr">
        <is>
          <t>VENKON EXPRESS TRANSPORTES EIRELI EPP</t>
        </is>
      </c>
      <c r="F12384" s="30" t="inlineStr">
        <is>
          <t>2023</t>
        </is>
      </c>
      <c r="G12384" s="40" t="n">
        <v>0</v>
      </c>
    </row>
    <row r="12385" ht="12" customHeight="1">
      <c r="A12385" s="30" t="inlineStr">
        <is>
          <t>POR</t>
        </is>
      </c>
      <c r="B12385" s="30" t="inlineStr">
        <is>
          <t>Porto Real</t>
        </is>
      </c>
      <c r="C12385" s="30" t="n">
        <v>87116760</v>
      </c>
      <c r="D12385" s="30">
        <f>"01125797002089"</f>
        <v/>
      </c>
      <c r="E12385" s="30" t="inlineStr">
        <is>
          <t>ATIVA DISTRIBUICAO E LOGISTICA LTDA</t>
        </is>
      </c>
      <c r="F12385" s="30" t="inlineStr">
        <is>
          <t>2017</t>
        </is>
      </c>
      <c r="G12385" s="40" t="n">
        <v>0</v>
      </c>
    </row>
    <row r="12386" ht="12" customHeight="1">
      <c r="A12386" s="30" t="inlineStr">
        <is>
          <t>POR</t>
        </is>
      </c>
      <c r="B12386" s="30" t="inlineStr">
        <is>
          <t>Porto Real</t>
        </is>
      </c>
      <c r="C12386" s="30" t="n">
        <v>87116760</v>
      </c>
      <c r="D12386" s="30">
        <f>"01125797002089"</f>
        <v/>
      </c>
      <c r="E12386" s="30" t="inlineStr">
        <is>
          <t>ATIVA DISTRIBUICAO E LOGISTICA LTDA</t>
        </is>
      </c>
      <c r="F12386" s="30" t="inlineStr">
        <is>
          <t>2018</t>
        </is>
      </c>
      <c r="G12386" s="40" t="n">
        <v>0</v>
      </c>
    </row>
    <row r="12387" ht="12" customHeight="1">
      <c r="A12387" s="30" t="inlineStr">
        <is>
          <t>POR</t>
        </is>
      </c>
      <c r="B12387" s="30" t="inlineStr">
        <is>
          <t>Porto Real</t>
        </is>
      </c>
      <c r="C12387" s="30" t="n">
        <v>87116760</v>
      </c>
      <c r="D12387" s="30">
        <f>"01125797002089"</f>
        <v/>
      </c>
      <c r="E12387" s="30" t="inlineStr">
        <is>
          <t>ATIVA DISTRIBUICAO E LOGISTICA LTDA</t>
        </is>
      </c>
      <c r="F12387" s="30" t="inlineStr">
        <is>
          <t>2019</t>
        </is>
      </c>
      <c r="G12387" s="40" t="n">
        <v>1074.92</v>
      </c>
    </row>
    <row r="12388" ht="12" customHeight="1">
      <c r="A12388" s="30" t="inlineStr">
        <is>
          <t>POR</t>
        </is>
      </c>
      <c r="B12388" s="30" t="inlineStr">
        <is>
          <t>Porto Real</t>
        </is>
      </c>
      <c r="C12388" s="30" t="n">
        <v>87116760</v>
      </c>
      <c r="D12388" s="30">
        <f>"01125797002089"</f>
        <v/>
      </c>
      <c r="E12388" s="30" t="inlineStr">
        <is>
          <t>ATIVA DISTRIBUICAO E LOGISTICA LTDA</t>
        </is>
      </c>
      <c r="F12388" s="30" t="inlineStr">
        <is>
          <t>2020</t>
        </is>
      </c>
      <c r="G12388" s="40" t="n">
        <v>398.5</v>
      </c>
    </row>
    <row r="12389" ht="12" customHeight="1">
      <c r="A12389" s="30" t="inlineStr">
        <is>
          <t>POR</t>
        </is>
      </c>
      <c r="B12389" s="30" t="inlineStr">
        <is>
          <t>Porto Real</t>
        </is>
      </c>
      <c r="C12389" s="30" t="n">
        <v>87116760</v>
      </c>
      <c r="D12389" s="30">
        <f>"01125797002089"</f>
        <v/>
      </c>
      <c r="E12389" s="30" t="inlineStr">
        <is>
          <t>ATIVA DISTRIBUICAO E LOGISTICA LTDA</t>
        </is>
      </c>
      <c r="F12389" s="30" t="inlineStr">
        <is>
          <t>2021</t>
        </is>
      </c>
      <c r="G12389" s="40" t="n">
        <v>307.55</v>
      </c>
    </row>
    <row r="12390" ht="12" customHeight="1">
      <c r="A12390" s="30" t="inlineStr">
        <is>
          <t>POR</t>
        </is>
      </c>
      <c r="B12390" s="30" t="inlineStr">
        <is>
          <t>Porto Real</t>
        </is>
      </c>
      <c r="C12390" s="30" t="n">
        <v>87116760</v>
      </c>
      <c r="D12390" s="30">
        <f>"01125797002089"</f>
        <v/>
      </c>
      <c r="E12390" s="30" t="inlineStr">
        <is>
          <t>ATIVA DISTRIBUICAO E LOGISTICA LTDA</t>
        </is>
      </c>
      <c r="F12390" s="30" t="inlineStr">
        <is>
          <t>2022</t>
        </is>
      </c>
      <c r="G12390" s="40" t="n">
        <v>605.72</v>
      </c>
    </row>
    <row r="12391" ht="12" customHeight="1">
      <c r="A12391" s="30" t="inlineStr">
        <is>
          <t>POR</t>
        </is>
      </c>
      <c r="B12391" s="30" t="inlineStr">
        <is>
          <t>Porto Real</t>
        </is>
      </c>
      <c r="C12391" s="30" t="n">
        <v>87116760</v>
      </c>
      <c r="D12391" s="30">
        <f>"01125797002089"</f>
        <v/>
      </c>
      <c r="E12391" s="30" t="inlineStr">
        <is>
          <t>ATIVA DISTRIBUICAO E LOGISTICA LTDA</t>
        </is>
      </c>
      <c r="F12391" s="30" t="inlineStr">
        <is>
          <t>2023</t>
        </is>
      </c>
      <c r="G12391" s="40" t="n">
        <v>1290.4</v>
      </c>
    </row>
    <row r="12392" ht="12" customHeight="1">
      <c r="A12392" s="30" t="inlineStr">
        <is>
          <t>POR</t>
        </is>
      </c>
      <c r="B12392" s="30" t="inlineStr">
        <is>
          <t>Porto Real</t>
        </is>
      </c>
      <c r="C12392" s="30" t="n">
        <v>87132919</v>
      </c>
      <c r="D12392" s="30">
        <f>"11132060000184"</f>
        <v/>
      </c>
      <c r="E12392" s="30" t="inlineStr">
        <is>
          <t>JJAPA TRANSPORTES E LOGISTICA EIRELI</t>
        </is>
      </c>
      <c r="F12392" s="30" t="inlineStr">
        <is>
          <t>2019</t>
        </is>
      </c>
      <c r="G12392" s="40" t="n">
        <v>0</v>
      </c>
    </row>
    <row r="12393" ht="12" customHeight="1">
      <c r="A12393" s="30" t="inlineStr">
        <is>
          <t>POR</t>
        </is>
      </c>
      <c r="B12393" s="30" t="inlineStr">
        <is>
          <t>Porto Real</t>
        </is>
      </c>
      <c r="C12393" s="30" t="n">
        <v>87132919</v>
      </c>
      <c r="D12393" s="30">
        <f>"11132060000184"</f>
        <v/>
      </c>
      <c r="E12393" s="30" t="inlineStr">
        <is>
          <t>JJAPA TRANSPORTES E LOGISTICA EIRELI</t>
        </is>
      </c>
      <c r="F12393" s="30" t="inlineStr">
        <is>
          <t>2020</t>
        </is>
      </c>
      <c r="G12393" s="40" t="n">
        <v>0</v>
      </c>
    </row>
    <row r="12394" ht="12" customHeight="1">
      <c r="A12394" s="30" t="inlineStr">
        <is>
          <t>POR</t>
        </is>
      </c>
      <c r="B12394" s="30" t="inlineStr">
        <is>
          <t>Porto Real</t>
        </is>
      </c>
      <c r="C12394" s="30" t="n">
        <v>87132919</v>
      </c>
      <c r="D12394" s="30">
        <f>"11132060000184"</f>
        <v/>
      </c>
      <c r="E12394" s="30" t="inlineStr">
        <is>
          <t>JJAPA TRANSPORTES E LOGISTICA EIRELI</t>
        </is>
      </c>
      <c r="F12394" s="30" t="inlineStr">
        <is>
          <t>2021</t>
        </is>
      </c>
      <c r="G12394" s="40" t="n">
        <v>1441.55</v>
      </c>
    </row>
    <row r="12395" ht="12" customHeight="1">
      <c r="A12395" s="30" t="inlineStr">
        <is>
          <t>POR</t>
        </is>
      </c>
      <c r="B12395" s="30" t="inlineStr">
        <is>
          <t>Porto Real</t>
        </is>
      </c>
      <c r="C12395" s="30" t="n">
        <v>87132919</v>
      </c>
      <c r="D12395" s="30">
        <f>"11132060000184"</f>
        <v/>
      </c>
      <c r="E12395" s="30" t="inlineStr">
        <is>
          <t>JJAPA TRANSPORTES E LOGISTICA EIRELI</t>
        </is>
      </c>
      <c r="F12395" s="30" t="inlineStr">
        <is>
          <t>2022</t>
        </is>
      </c>
      <c r="G12395" s="40" t="n">
        <v>0</v>
      </c>
    </row>
    <row r="12396" ht="12" customHeight="1">
      <c r="A12396" s="30" t="inlineStr">
        <is>
          <t>POR</t>
        </is>
      </c>
      <c r="B12396" s="30" t="inlineStr">
        <is>
          <t>Porto Real</t>
        </is>
      </c>
      <c r="C12396" s="30" t="n">
        <v>87132919</v>
      </c>
      <c r="D12396" s="30">
        <f>"11132060000184"</f>
        <v/>
      </c>
      <c r="E12396" s="30" t="inlineStr">
        <is>
          <t>JJAPA TRANSPORTES E LOGISTICA EIRELI</t>
        </is>
      </c>
      <c r="F12396" s="30" t="inlineStr">
        <is>
          <t>2023</t>
        </is>
      </c>
      <c r="G12396" s="40" t="n">
        <v>0</v>
      </c>
    </row>
    <row r="12397" ht="12" customHeight="1">
      <c r="A12397" s="30" t="inlineStr">
        <is>
          <t>POR</t>
        </is>
      </c>
      <c r="B12397" s="30" t="inlineStr">
        <is>
          <t>Porto Real</t>
        </is>
      </c>
      <c r="C12397" s="30" t="n">
        <v>87134369</v>
      </c>
      <c r="D12397" s="30">
        <f>"07381852001359"</f>
        <v/>
      </c>
      <c r="E12397" s="30" t="inlineStr">
        <is>
          <t>JPS FARMA LIMITADA</t>
        </is>
      </c>
      <c r="F12397" s="30" t="inlineStr">
        <is>
          <t>2017</t>
        </is>
      </c>
      <c r="G12397" s="40" t="n">
        <v>986224.03</v>
      </c>
    </row>
    <row r="12398" ht="12" customHeight="1">
      <c r="A12398" s="30" t="inlineStr">
        <is>
          <t>POR</t>
        </is>
      </c>
      <c r="B12398" s="30" t="inlineStr">
        <is>
          <t>Porto Real</t>
        </is>
      </c>
      <c r="C12398" s="30" t="n">
        <v>87134369</v>
      </c>
      <c r="D12398" s="30">
        <f>"07381852001359"</f>
        <v/>
      </c>
      <c r="E12398" s="30" t="inlineStr">
        <is>
          <t>JPS FARMA LIMITADA</t>
        </is>
      </c>
      <c r="F12398" s="30" t="inlineStr">
        <is>
          <t>2018</t>
        </is>
      </c>
      <c r="G12398" s="40" t="n">
        <v>938379.29</v>
      </c>
    </row>
    <row r="12399" ht="12" customHeight="1">
      <c r="A12399" s="30" t="inlineStr">
        <is>
          <t>POR</t>
        </is>
      </c>
      <c r="B12399" s="30" t="inlineStr">
        <is>
          <t>Porto Real</t>
        </is>
      </c>
      <c r="C12399" s="30" t="n">
        <v>87134369</v>
      </c>
      <c r="D12399" s="30">
        <f>"07381852001359"</f>
        <v/>
      </c>
      <c r="E12399" s="30" t="inlineStr">
        <is>
          <t>JPS FARMA LIMITADA</t>
        </is>
      </c>
      <c r="F12399" s="30" t="inlineStr">
        <is>
          <t>2019</t>
        </is>
      </c>
      <c r="G12399" s="40" t="n">
        <v>1063786.81</v>
      </c>
    </row>
    <row r="12400" ht="12" customHeight="1">
      <c r="A12400" s="30" t="inlineStr">
        <is>
          <t>POR</t>
        </is>
      </c>
      <c r="B12400" s="30" t="inlineStr">
        <is>
          <t>Porto Real</t>
        </is>
      </c>
      <c r="C12400" s="30" t="n">
        <v>87134369</v>
      </c>
      <c r="D12400" s="30">
        <f>"07381852001359"</f>
        <v/>
      </c>
      <c r="E12400" s="30" t="inlineStr">
        <is>
          <t>JPS FARMA LIMITADA</t>
        </is>
      </c>
      <c r="F12400" s="30" t="inlineStr">
        <is>
          <t>2020</t>
        </is>
      </c>
      <c r="G12400" s="40" t="n">
        <v>1147443.81</v>
      </c>
    </row>
    <row r="12401" ht="12" customHeight="1">
      <c r="A12401" s="30" t="inlineStr">
        <is>
          <t>POR</t>
        </is>
      </c>
      <c r="B12401" s="30" t="inlineStr">
        <is>
          <t>Porto Real</t>
        </is>
      </c>
      <c r="C12401" s="30" t="n">
        <v>87134369</v>
      </c>
      <c r="D12401" s="30">
        <f>"07381852001359"</f>
        <v/>
      </c>
      <c r="E12401" s="30" t="inlineStr">
        <is>
          <t>JPS FARMA LIMITADA</t>
        </is>
      </c>
      <c r="F12401" s="30" t="inlineStr">
        <is>
          <t>2021</t>
        </is>
      </c>
      <c r="G12401" s="40" t="n">
        <v>885401.74</v>
      </c>
    </row>
    <row r="12402" ht="12" customHeight="1">
      <c r="A12402" s="30" t="inlineStr">
        <is>
          <t>POR</t>
        </is>
      </c>
      <c r="B12402" s="30" t="inlineStr">
        <is>
          <t>Porto Real</t>
        </is>
      </c>
      <c r="C12402" s="30" t="n">
        <v>87134369</v>
      </c>
      <c r="D12402" s="30">
        <f>"07381852001359"</f>
        <v/>
      </c>
      <c r="E12402" s="30" t="inlineStr">
        <is>
          <t>JPS FARMA LIMITADA</t>
        </is>
      </c>
      <c r="F12402" s="30" t="inlineStr">
        <is>
          <t>2022</t>
        </is>
      </c>
      <c r="G12402" s="40" t="n">
        <v>916031.84</v>
      </c>
    </row>
    <row r="12403" ht="12" customHeight="1">
      <c r="A12403" s="30" t="inlineStr">
        <is>
          <t>POR</t>
        </is>
      </c>
      <c r="B12403" s="30" t="inlineStr">
        <is>
          <t>Porto Real</t>
        </is>
      </c>
      <c r="C12403" s="30" t="n">
        <v>87134369</v>
      </c>
      <c r="D12403" s="30">
        <f>"07381852001359"</f>
        <v/>
      </c>
      <c r="E12403" s="30" t="inlineStr">
        <is>
          <t>JPS FARMA LIMITADA</t>
        </is>
      </c>
      <c r="F12403" s="30" t="inlineStr">
        <is>
          <t>2023</t>
        </is>
      </c>
      <c r="G12403" s="40" t="n">
        <v>1198730.27</v>
      </c>
    </row>
    <row r="12404" ht="12" customHeight="1">
      <c r="A12404" s="30" t="inlineStr">
        <is>
          <t>POR</t>
        </is>
      </c>
      <c r="B12404" s="30" t="inlineStr">
        <is>
          <t>Porto Real</t>
        </is>
      </c>
      <c r="C12404" s="30" t="n">
        <v>87135357</v>
      </c>
      <c r="D12404" s="30">
        <f>"60319985000225"</f>
        <v/>
      </c>
      <c r="E12404" s="30" t="inlineStr">
        <is>
          <t>JOMED TRANSPORTE E LOGISTICA EIRELI</t>
        </is>
      </c>
      <c r="F12404" s="30" t="inlineStr">
        <is>
          <t>2017</t>
        </is>
      </c>
      <c r="G12404" s="40" t="n">
        <v>0</v>
      </c>
    </row>
    <row r="12405" ht="12" customHeight="1">
      <c r="A12405" s="30" t="inlineStr">
        <is>
          <t>POR</t>
        </is>
      </c>
      <c r="B12405" s="30" t="inlineStr">
        <is>
          <t>Porto Real</t>
        </is>
      </c>
      <c r="C12405" s="30" t="n">
        <v>87135357</v>
      </c>
      <c r="D12405" s="30">
        <f>"60319985000225"</f>
        <v/>
      </c>
      <c r="E12405" s="30" t="inlineStr">
        <is>
          <t>JOMED TRANSPORTE E LOGISTICA EIRELI</t>
        </is>
      </c>
      <c r="F12405" s="30" t="inlineStr">
        <is>
          <t>2018</t>
        </is>
      </c>
      <c r="G12405" s="40" t="n">
        <v>0</v>
      </c>
    </row>
    <row r="12406" ht="12" customHeight="1">
      <c r="A12406" s="30" t="inlineStr">
        <is>
          <t>POR</t>
        </is>
      </c>
      <c r="B12406" s="30" t="inlineStr">
        <is>
          <t>Porto Real</t>
        </is>
      </c>
      <c r="C12406" s="30" t="n">
        <v>87135357</v>
      </c>
      <c r="D12406" s="30">
        <f>"60319985000225"</f>
        <v/>
      </c>
      <c r="E12406" s="30" t="inlineStr">
        <is>
          <t>JOMED TRANSPORTE E LOGISTICA EIRELI</t>
        </is>
      </c>
      <c r="F12406" s="30" t="inlineStr">
        <is>
          <t>2019</t>
        </is>
      </c>
      <c r="G12406" s="40" t="n">
        <v>1</v>
      </c>
    </row>
    <row r="12407" ht="12" customHeight="1">
      <c r="A12407" s="30" t="inlineStr">
        <is>
          <t>POR</t>
        </is>
      </c>
      <c r="B12407" s="30" t="inlineStr">
        <is>
          <t>Porto Real</t>
        </is>
      </c>
      <c r="C12407" s="30" t="n">
        <v>87135357</v>
      </c>
      <c r="D12407" s="30">
        <f>"60319985000225"</f>
        <v/>
      </c>
      <c r="E12407" s="30" t="inlineStr">
        <is>
          <t>JOMED TRANSPORTE E LOGISTICA EIRELI</t>
        </is>
      </c>
      <c r="F12407" s="30" t="inlineStr">
        <is>
          <t>2020</t>
        </is>
      </c>
      <c r="G12407" s="40" t="n">
        <v>50664.75</v>
      </c>
    </row>
    <row r="12408" ht="12" customHeight="1">
      <c r="A12408" s="30" t="inlineStr">
        <is>
          <t>POR</t>
        </is>
      </c>
      <c r="B12408" s="30" t="inlineStr">
        <is>
          <t>Porto Real</t>
        </is>
      </c>
      <c r="C12408" s="30" t="n">
        <v>87135357</v>
      </c>
      <c r="D12408" s="30">
        <f>"60319985000225"</f>
        <v/>
      </c>
      <c r="E12408" s="30" t="inlineStr">
        <is>
          <t>JOMED TRANSPORTE E LOGISTICA EIRELI</t>
        </is>
      </c>
      <c r="F12408" s="30" t="inlineStr">
        <is>
          <t>2021</t>
        </is>
      </c>
      <c r="G12408" s="40" t="n">
        <v>0</v>
      </c>
    </row>
    <row r="12409" ht="12" customHeight="1">
      <c r="A12409" s="30" t="inlineStr">
        <is>
          <t>POR</t>
        </is>
      </c>
      <c r="B12409" s="30" t="inlineStr">
        <is>
          <t>Porto Real</t>
        </is>
      </c>
      <c r="C12409" s="30" t="n">
        <v>87135357</v>
      </c>
      <c r="D12409" s="30">
        <f>"60319985000225"</f>
        <v/>
      </c>
      <c r="E12409" s="30" t="inlineStr">
        <is>
          <t>JOMED TRANSPORTE E LOGISTICA EIRELI</t>
        </is>
      </c>
      <c r="F12409" s="30" t="inlineStr">
        <is>
          <t>2022</t>
        </is>
      </c>
      <c r="G12409" s="40" t="n">
        <v>0</v>
      </c>
    </row>
    <row r="12410" ht="12" customHeight="1">
      <c r="A12410" s="30" t="inlineStr">
        <is>
          <t>POR</t>
        </is>
      </c>
      <c r="B12410" s="30" t="inlineStr">
        <is>
          <t>Porto Real</t>
        </is>
      </c>
      <c r="C12410" s="30" t="n">
        <v>87141691</v>
      </c>
      <c r="D12410" s="30">
        <f>"00367894001558"</f>
        <v/>
      </c>
      <c r="E12410" s="30" t="inlineStr">
        <is>
          <t>TRANSPORTADORA REAL 94 LTDA EPP</t>
        </is>
      </c>
      <c r="F12410" s="30" t="inlineStr">
        <is>
          <t>2017</t>
        </is>
      </c>
      <c r="G12410" s="40" t="n">
        <v>795.6799999999999</v>
      </c>
    </row>
    <row r="12411" ht="12" customHeight="1">
      <c r="A12411" s="30" t="inlineStr">
        <is>
          <t>POR</t>
        </is>
      </c>
      <c r="B12411" s="30" t="inlineStr">
        <is>
          <t>Porto Real</t>
        </is>
      </c>
      <c r="C12411" s="30" t="n">
        <v>87141691</v>
      </c>
      <c r="D12411" s="30">
        <f>"00367894001558"</f>
        <v/>
      </c>
      <c r="E12411" s="30" t="inlineStr">
        <is>
          <t>TRANSPORTADORA REAL 94 LTDA EPP</t>
        </is>
      </c>
      <c r="F12411" s="30" t="inlineStr">
        <is>
          <t>2018</t>
        </is>
      </c>
      <c r="G12411" s="40" t="n">
        <v>0</v>
      </c>
    </row>
    <row r="12412" ht="12" customHeight="1">
      <c r="A12412" s="30" t="inlineStr">
        <is>
          <t>POR</t>
        </is>
      </c>
      <c r="B12412" s="30" t="inlineStr">
        <is>
          <t>Porto Real</t>
        </is>
      </c>
      <c r="C12412" s="30" t="n">
        <v>87141691</v>
      </c>
      <c r="D12412" s="30">
        <f>"00367894001558"</f>
        <v/>
      </c>
      <c r="E12412" s="30" t="inlineStr">
        <is>
          <t>TRANSPORTADORA REAL 94 LTDA EPP</t>
        </is>
      </c>
      <c r="F12412" s="30" t="inlineStr">
        <is>
          <t>2019</t>
        </is>
      </c>
      <c r="G12412" s="40" t="n">
        <v>0</v>
      </c>
    </row>
    <row r="12413" ht="12" customHeight="1">
      <c r="A12413" s="30" t="inlineStr">
        <is>
          <t>POR</t>
        </is>
      </c>
      <c r="B12413" s="30" t="inlineStr">
        <is>
          <t>Porto Real</t>
        </is>
      </c>
      <c r="C12413" s="30" t="n">
        <v>87156109</v>
      </c>
      <c r="D12413" s="30">
        <f>"03204114000222"</f>
        <v/>
      </c>
      <c r="E12413" s="30" t="inlineStr">
        <is>
          <t>TRANS-TAVARES TRANSPORTES RODOVIARIO LTDA - EPP</t>
        </is>
      </c>
      <c r="F12413" s="30" t="inlineStr">
        <is>
          <t>2017</t>
        </is>
      </c>
      <c r="G12413" s="40" t="n">
        <v>0</v>
      </c>
    </row>
    <row r="12414" ht="12" customHeight="1">
      <c r="A12414" s="30" t="inlineStr">
        <is>
          <t>POR</t>
        </is>
      </c>
      <c r="B12414" s="30" t="inlineStr">
        <is>
          <t>Porto Real</t>
        </is>
      </c>
      <c r="C12414" s="30" t="n">
        <v>87156109</v>
      </c>
      <c r="D12414" s="30">
        <f>"03204114000222"</f>
        <v/>
      </c>
      <c r="E12414" s="30" t="inlineStr">
        <is>
          <t>TRANS-TAVARES TRANSPORTES RODOVIARIO LTDA - EPP</t>
        </is>
      </c>
      <c r="F12414" s="30" t="inlineStr">
        <is>
          <t>2018</t>
        </is>
      </c>
      <c r="G12414" s="40" t="n">
        <v>0</v>
      </c>
    </row>
    <row r="12415" ht="12" customHeight="1">
      <c r="A12415" s="30" t="inlineStr">
        <is>
          <t>POR</t>
        </is>
      </c>
      <c r="B12415" s="30" t="inlineStr">
        <is>
          <t>Porto Real</t>
        </is>
      </c>
      <c r="C12415" s="30" t="n">
        <v>87156109</v>
      </c>
      <c r="D12415" s="30">
        <f>"03204114000222"</f>
        <v/>
      </c>
      <c r="E12415" s="30" t="inlineStr">
        <is>
          <t>TRANS-TAVARES TRANSPORTES RODOVIARIO LTDA - EPP</t>
        </is>
      </c>
      <c r="F12415" s="30" t="inlineStr">
        <is>
          <t>2019</t>
        </is>
      </c>
      <c r="G12415" s="40" t="n">
        <v>0</v>
      </c>
    </row>
    <row r="12416" ht="12" customHeight="1">
      <c r="A12416" s="30" t="inlineStr">
        <is>
          <t>POR</t>
        </is>
      </c>
      <c r="B12416" s="30" t="inlineStr">
        <is>
          <t>Porto Real</t>
        </is>
      </c>
      <c r="C12416" s="30" t="n">
        <v>87156109</v>
      </c>
      <c r="D12416" s="30">
        <f>"03204114000222"</f>
        <v/>
      </c>
      <c r="E12416" s="30" t="inlineStr">
        <is>
          <t>TRANS-TAVARES TRANSPORTES RODOVIARIO LTDA - EPP</t>
        </is>
      </c>
      <c r="F12416" s="30" t="inlineStr">
        <is>
          <t>2020</t>
        </is>
      </c>
      <c r="G12416" s="40" t="n">
        <v>0</v>
      </c>
    </row>
    <row r="12417" ht="12" customHeight="1">
      <c r="A12417" s="30" t="inlineStr">
        <is>
          <t>POR</t>
        </is>
      </c>
      <c r="B12417" s="30" t="inlineStr">
        <is>
          <t>Porto Real</t>
        </is>
      </c>
      <c r="C12417" s="30" t="n">
        <v>87158543</v>
      </c>
      <c r="D12417" s="30">
        <f>"24966233000101"</f>
        <v/>
      </c>
      <c r="E12417" s="30" t="inlineStr">
        <is>
          <t>TARGETS TRANSPORTES EIRELI</t>
        </is>
      </c>
      <c r="F12417" s="30" t="inlineStr">
        <is>
          <t>2019</t>
        </is>
      </c>
      <c r="G12417" s="40" t="n">
        <v>0</v>
      </c>
    </row>
    <row r="12418" ht="12" customHeight="1">
      <c r="A12418" s="30" t="inlineStr">
        <is>
          <t>POR</t>
        </is>
      </c>
      <c r="B12418" s="30" t="inlineStr">
        <is>
          <t>Porto Real</t>
        </is>
      </c>
      <c r="C12418" s="30" t="n">
        <v>87158543</v>
      </c>
      <c r="D12418" s="30">
        <f>"24966233000101"</f>
        <v/>
      </c>
      <c r="E12418" s="30" t="inlineStr">
        <is>
          <t>TARGETS TRANSPORTES EIRELI</t>
        </is>
      </c>
      <c r="F12418" s="30" t="inlineStr">
        <is>
          <t>2020</t>
        </is>
      </c>
      <c r="G12418" s="40" t="n">
        <v>0</v>
      </c>
    </row>
    <row r="12419" ht="12" customHeight="1">
      <c r="A12419" s="30" t="inlineStr">
        <is>
          <t>POR</t>
        </is>
      </c>
      <c r="B12419" s="30" t="inlineStr">
        <is>
          <t>Porto Real</t>
        </is>
      </c>
      <c r="C12419" s="30" t="n">
        <v>87158543</v>
      </c>
      <c r="D12419" s="30">
        <f>"24966233000101"</f>
        <v/>
      </c>
      <c r="E12419" s="30" t="inlineStr">
        <is>
          <t>TARGETS TRANSPORTES EIRELI</t>
        </is>
      </c>
      <c r="F12419" s="30" t="inlineStr">
        <is>
          <t>2021</t>
        </is>
      </c>
      <c r="G12419" s="40" t="n">
        <v>183539.33</v>
      </c>
    </row>
    <row r="12420" ht="12" customHeight="1">
      <c r="A12420" s="30" t="inlineStr">
        <is>
          <t>POR</t>
        </is>
      </c>
      <c r="B12420" s="30" t="inlineStr">
        <is>
          <t>Porto Real</t>
        </is>
      </c>
      <c r="C12420" s="30" t="n">
        <v>87158543</v>
      </c>
      <c r="D12420" s="30">
        <f>"24966233000101"</f>
        <v/>
      </c>
      <c r="E12420" s="30" t="inlineStr">
        <is>
          <t>TARGETS TRANSPORTES EIRELI</t>
        </is>
      </c>
      <c r="F12420" s="30" t="inlineStr">
        <is>
          <t>2022</t>
        </is>
      </c>
      <c r="G12420" s="40" t="n">
        <v>753338.9399999999</v>
      </c>
    </row>
    <row r="12421" ht="12" customHeight="1">
      <c r="A12421" s="30" t="inlineStr">
        <is>
          <t>POR</t>
        </is>
      </c>
      <c r="B12421" s="30" t="inlineStr">
        <is>
          <t>Porto Real</t>
        </is>
      </c>
      <c r="C12421" s="30" t="n">
        <v>87158543</v>
      </c>
      <c r="D12421" s="30">
        <f>"24966233000101"</f>
        <v/>
      </c>
      <c r="E12421" s="30" t="inlineStr">
        <is>
          <t>TARGETS TRANSPORTES EIRELI</t>
        </is>
      </c>
      <c r="F12421" s="30" t="inlineStr">
        <is>
          <t>2023</t>
        </is>
      </c>
      <c r="G12421" s="40" t="n">
        <v>664491.96</v>
      </c>
    </row>
    <row r="12422" ht="12" customHeight="1">
      <c r="A12422" s="30" t="inlineStr">
        <is>
          <t>POR</t>
        </is>
      </c>
      <c r="B12422" s="30" t="inlineStr">
        <is>
          <t>Porto Real</t>
        </is>
      </c>
      <c r="C12422" s="30" t="n">
        <v>87160084</v>
      </c>
      <c r="D12422" s="30">
        <f>"24980727000140"</f>
        <v/>
      </c>
      <c r="E12422" s="30" t="inlineStr">
        <is>
          <t>GRACA AUXILIADORA BARBOSA GONCALVES</t>
        </is>
      </c>
      <c r="F12422" s="30" t="inlineStr">
        <is>
          <t>2017</t>
        </is>
      </c>
      <c r="G12422" s="40" t="n">
        <v>0</v>
      </c>
    </row>
    <row r="12423" ht="12" customHeight="1">
      <c r="A12423" s="30" t="inlineStr">
        <is>
          <t>POR</t>
        </is>
      </c>
      <c r="B12423" s="30" t="inlineStr">
        <is>
          <t>Porto Real</t>
        </is>
      </c>
      <c r="C12423" s="30" t="n">
        <v>87160084</v>
      </c>
      <c r="D12423" s="30">
        <f>"24980727000140"</f>
        <v/>
      </c>
      <c r="E12423" s="30" t="inlineStr">
        <is>
          <t>GRACA AUXILIADORA BARBOSA GONCALVES</t>
        </is>
      </c>
      <c r="F12423" s="30" t="inlineStr">
        <is>
          <t>2018</t>
        </is>
      </c>
      <c r="G12423" s="40" t="n">
        <v>0</v>
      </c>
    </row>
    <row r="12424" ht="12" customHeight="1">
      <c r="A12424" s="30" t="inlineStr">
        <is>
          <t>POR</t>
        </is>
      </c>
      <c r="B12424" s="30" t="inlineStr">
        <is>
          <t>Porto Real</t>
        </is>
      </c>
      <c r="C12424" s="30" t="n">
        <v>87160084</v>
      </c>
      <c r="D12424" s="30">
        <f>"24980727000140"</f>
        <v/>
      </c>
      <c r="E12424" s="30" t="inlineStr">
        <is>
          <t>GRACA AUXILIADORA BARBOSA GONCALVES</t>
        </is>
      </c>
      <c r="F12424" s="30" t="inlineStr">
        <is>
          <t>2019</t>
        </is>
      </c>
      <c r="G12424" s="40" t="n">
        <v>0</v>
      </c>
    </row>
    <row r="12425" ht="12" customHeight="1">
      <c r="A12425" s="30" t="inlineStr">
        <is>
          <t>POR</t>
        </is>
      </c>
      <c r="B12425" s="30" t="inlineStr">
        <is>
          <t>Porto Real</t>
        </is>
      </c>
      <c r="C12425" s="30" t="n">
        <v>87160084</v>
      </c>
      <c r="D12425" s="30">
        <f>"24980727000140"</f>
        <v/>
      </c>
      <c r="E12425" s="30" t="inlineStr">
        <is>
          <t>GRACA AUXILIADORA BARBOSA GONCALVES</t>
        </is>
      </c>
      <c r="F12425" s="30" t="inlineStr">
        <is>
          <t>2020</t>
        </is>
      </c>
      <c r="G12425" s="40" t="n">
        <v>0</v>
      </c>
    </row>
    <row r="12426" ht="12" customHeight="1">
      <c r="A12426" s="30" t="inlineStr">
        <is>
          <t>POR</t>
        </is>
      </c>
      <c r="B12426" s="30" t="inlineStr">
        <is>
          <t>Porto Real</t>
        </is>
      </c>
      <c r="C12426" s="30" t="n">
        <v>87160084</v>
      </c>
      <c r="D12426" s="30">
        <f>"24980727000140"</f>
        <v/>
      </c>
      <c r="E12426" s="30" t="inlineStr">
        <is>
          <t>GRACA AUXILIADORA BARBOSA GONCALVES</t>
        </is>
      </c>
      <c r="F12426" s="30" t="inlineStr">
        <is>
          <t>2021</t>
        </is>
      </c>
      <c r="G12426" s="40" t="n">
        <v>0</v>
      </c>
    </row>
    <row r="12427" ht="12" customHeight="1">
      <c r="A12427" s="30" t="inlineStr">
        <is>
          <t>POR</t>
        </is>
      </c>
      <c r="B12427" s="30" t="inlineStr">
        <is>
          <t>Porto Real</t>
        </is>
      </c>
      <c r="C12427" s="30" t="n">
        <v>87164306</v>
      </c>
      <c r="D12427" s="30">
        <f>"24153233000516"</f>
        <v/>
      </c>
      <c r="E12427" s="30" t="inlineStr">
        <is>
          <t>PLASTIC OMNIUM AUTOMOTIVE DO BRASIL INDUSTRIA E COMERCIO DE PECA</t>
        </is>
      </c>
      <c r="F12427" s="30" t="inlineStr">
        <is>
          <t>2017</t>
        </is>
      </c>
      <c r="G12427" s="40" t="n">
        <v>0</v>
      </c>
    </row>
    <row r="12428" ht="12" customHeight="1">
      <c r="A12428" s="30" t="inlineStr">
        <is>
          <t>POR</t>
        </is>
      </c>
      <c r="B12428" s="30" t="inlineStr">
        <is>
          <t>Porto Real</t>
        </is>
      </c>
      <c r="C12428" s="30" t="n">
        <v>87164306</v>
      </c>
      <c r="D12428" s="30">
        <f>"24153233000516"</f>
        <v/>
      </c>
      <c r="E12428" s="30" t="inlineStr">
        <is>
          <t>PLASTIC OMNIUM AUTOMOTIVE DO BRASIL INDUSTRIA E COMERCIO DE PECA</t>
        </is>
      </c>
      <c r="F12428" s="30" t="inlineStr">
        <is>
          <t>2018</t>
        </is>
      </c>
      <c r="G12428" s="40" t="n">
        <v>0</v>
      </c>
    </row>
    <row r="12429" ht="12" customHeight="1">
      <c r="A12429" s="30" t="inlineStr">
        <is>
          <t>POR</t>
        </is>
      </c>
      <c r="B12429" s="30" t="inlineStr">
        <is>
          <t>Porto Real</t>
        </is>
      </c>
      <c r="C12429" s="30" t="n">
        <v>87164306</v>
      </c>
      <c r="D12429" s="30">
        <f>"24153233000516"</f>
        <v/>
      </c>
      <c r="E12429" s="30" t="inlineStr">
        <is>
          <t>PLASTIC OMNIUM AUTOMOTIVE DO BRASIL INDUSTRIA E COMERCIO DE PECA</t>
        </is>
      </c>
      <c r="F12429" s="30" t="inlineStr">
        <is>
          <t>2019</t>
        </is>
      </c>
      <c r="G12429" s="40" t="n">
        <v>0</v>
      </c>
    </row>
    <row r="12430" ht="12" customHeight="1">
      <c r="A12430" s="30" t="inlineStr">
        <is>
          <t>POR</t>
        </is>
      </c>
      <c r="B12430" s="30" t="inlineStr">
        <is>
          <t>Porto Real</t>
        </is>
      </c>
      <c r="C12430" s="30" t="n">
        <v>87172856</v>
      </c>
      <c r="D12430" s="30">
        <f>"02709439000628"</f>
        <v/>
      </c>
      <c r="E12430" s="30" t="inlineStr">
        <is>
          <t>BNLOG TRANSPORTES E LOGISTICA LTDA</t>
        </is>
      </c>
      <c r="F12430" s="30" t="inlineStr">
        <is>
          <t>2017</t>
        </is>
      </c>
      <c r="G12430" s="40" t="n">
        <v>0</v>
      </c>
    </row>
    <row r="12431" ht="12" customHeight="1">
      <c r="A12431" s="30" t="inlineStr">
        <is>
          <t>POR</t>
        </is>
      </c>
      <c r="B12431" s="30" t="inlineStr">
        <is>
          <t>Porto Real</t>
        </is>
      </c>
      <c r="C12431" s="30" t="n">
        <v>87172856</v>
      </c>
      <c r="D12431" s="30">
        <f>"02709439000628"</f>
        <v/>
      </c>
      <c r="E12431" s="30" t="inlineStr">
        <is>
          <t>BNLOG TRANSPORTES E LOGISTICA LTDA</t>
        </is>
      </c>
      <c r="F12431" s="30" t="inlineStr">
        <is>
          <t>2018</t>
        </is>
      </c>
      <c r="G12431" s="40" t="n">
        <v>3963192.31</v>
      </c>
    </row>
    <row r="12432" ht="12" customHeight="1">
      <c r="A12432" s="30" t="inlineStr">
        <is>
          <t>POR</t>
        </is>
      </c>
      <c r="B12432" s="30" t="inlineStr">
        <is>
          <t>Porto Real</t>
        </is>
      </c>
      <c r="C12432" s="30" t="n">
        <v>87172856</v>
      </c>
      <c r="D12432" s="30">
        <f>"02709439000628"</f>
        <v/>
      </c>
      <c r="E12432" s="30" t="inlineStr">
        <is>
          <t>BNLOG TRANSPORTES E LOGISTICA LTDA</t>
        </is>
      </c>
      <c r="F12432" s="30" t="inlineStr">
        <is>
          <t>2019</t>
        </is>
      </c>
      <c r="G12432" s="40" t="n">
        <v>4086885.8</v>
      </c>
    </row>
    <row r="12433" ht="12" customHeight="1">
      <c r="A12433" s="30" t="inlineStr">
        <is>
          <t>POR</t>
        </is>
      </c>
      <c r="B12433" s="30" t="inlineStr">
        <is>
          <t>Porto Real</t>
        </is>
      </c>
      <c r="C12433" s="30" t="n">
        <v>87172856</v>
      </c>
      <c r="D12433" s="30">
        <f>"02709439000628"</f>
        <v/>
      </c>
      <c r="E12433" s="30" t="inlineStr">
        <is>
          <t>BNLOG TRANSPORTES E LOGISTICA LTDA</t>
        </is>
      </c>
      <c r="F12433" s="30" t="inlineStr">
        <is>
          <t>2020</t>
        </is>
      </c>
      <c r="G12433" s="40" t="n">
        <v>1074064</v>
      </c>
    </row>
    <row r="12434" ht="12" customHeight="1">
      <c r="A12434" s="30" t="inlineStr">
        <is>
          <t>POR</t>
        </is>
      </c>
      <c r="B12434" s="30" t="inlineStr">
        <is>
          <t>Porto Real</t>
        </is>
      </c>
      <c r="C12434" s="30" t="n">
        <v>87172856</v>
      </c>
      <c r="D12434" s="30">
        <f>"02709439000628"</f>
        <v/>
      </c>
      <c r="E12434" s="30" t="inlineStr">
        <is>
          <t>BNLOG TRANSPORTES E LOGISTICA LTDA</t>
        </is>
      </c>
      <c r="F12434" s="30" t="inlineStr">
        <is>
          <t>2021</t>
        </is>
      </c>
      <c r="G12434" s="40" t="n">
        <v>0</v>
      </c>
    </row>
    <row r="12435" ht="12" customHeight="1">
      <c r="A12435" s="30" t="inlineStr">
        <is>
          <t>POR</t>
        </is>
      </c>
      <c r="B12435" s="30" t="inlineStr">
        <is>
          <t>Porto Real</t>
        </is>
      </c>
      <c r="C12435" s="30" t="n">
        <v>87172856</v>
      </c>
      <c r="D12435" s="30">
        <f>"02709439000628"</f>
        <v/>
      </c>
      <c r="E12435" s="30" t="inlineStr">
        <is>
          <t>BNLOG TRANSPORTES E LOGISTICA LTDA</t>
        </is>
      </c>
      <c r="F12435" s="30" t="inlineStr">
        <is>
          <t>2022</t>
        </is>
      </c>
      <c r="G12435" s="40" t="n">
        <v>0</v>
      </c>
    </row>
    <row r="12436" ht="12" customHeight="1">
      <c r="A12436" s="30" t="inlineStr">
        <is>
          <t>POR</t>
        </is>
      </c>
      <c r="B12436" s="30" t="inlineStr">
        <is>
          <t>Porto Real</t>
        </is>
      </c>
      <c r="C12436" s="30" t="n">
        <v>87173631</v>
      </c>
      <c r="D12436" s="30">
        <f>"02099296000256"</f>
        <v/>
      </c>
      <c r="E12436" s="30" t="inlineStr">
        <is>
          <t>MECSTEEL - INDUSTRIA MECANICA LTA - EPP</t>
        </is>
      </c>
      <c r="F12436" s="30" t="inlineStr">
        <is>
          <t>2017</t>
        </is>
      </c>
      <c r="G12436" s="40" t="n">
        <v>0</v>
      </c>
    </row>
    <row r="12437" ht="12" customHeight="1">
      <c r="A12437" s="30" t="inlineStr">
        <is>
          <t>POR</t>
        </is>
      </c>
      <c r="B12437" s="30" t="inlineStr">
        <is>
          <t>Porto Real</t>
        </is>
      </c>
      <c r="C12437" s="30" t="n">
        <v>87173631</v>
      </c>
      <c r="D12437" s="30">
        <f>"02099296000256"</f>
        <v/>
      </c>
      <c r="E12437" s="30" t="inlineStr">
        <is>
          <t>MECSTEEL - INDUSTRIA MECANICA LTA - EPP</t>
        </is>
      </c>
      <c r="F12437" s="30" t="inlineStr">
        <is>
          <t>2018</t>
        </is>
      </c>
      <c r="G12437" s="40" t="n">
        <v>0</v>
      </c>
    </row>
    <row r="12438" ht="12" customHeight="1">
      <c r="A12438" s="30" t="inlineStr">
        <is>
          <t>POR</t>
        </is>
      </c>
      <c r="B12438" s="30" t="inlineStr">
        <is>
          <t>Porto Real</t>
        </is>
      </c>
      <c r="C12438" s="30" t="n">
        <v>87173631</v>
      </c>
      <c r="D12438" s="30">
        <f>"02099296000256"</f>
        <v/>
      </c>
      <c r="E12438" s="30" t="inlineStr">
        <is>
          <t>MECSTEEL - INDUSTRIA MECANICA LTA - EPP</t>
        </is>
      </c>
      <c r="F12438" s="30" t="inlineStr">
        <is>
          <t>2019</t>
        </is>
      </c>
      <c r="G12438" s="40" t="n">
        <v>0</v>
      </c>
    </row>
    <row r="12439" ht="12" customHeight="1">
      <c r="A12439" s="30" t="inlineStr">
        <is>
          <t>POR</t>
        </is>
      </c>
      <c r="B12439" s="30" t="inlineStr">
        <is>
          <t>Porto Real</t>
        </is>
      </c>
      <c r="C12439" s="30" t="n">
        <v>87173631</v>
      </c>
      <c r="D12439" s="30">
        <f>"02099296000256"</f>
        <v/>
      </c>
      <c r="E12439" s="30" t="inlineStr">
        <is>
          <t>MECSTEEL - INDUSTRIA MECANICA LTA - EPP</t>
        </is>
      </c>
      <c r="F12439" s="30" t="inlineStr">
        <is>
          <t>2020</t>
        </is>
      </c>
      <c r="G12439" s="40" t="n">
        <v>105363</v>
      </c>
    </row>
    <row r="12440" ht="12" customHeight="1">
      <c r="A12440" s="30" t="inlineStr">
        <is>
          <t>POR</t>
        </is>
      </c>
      <c r="B12440" s="30" t="inlineStr">
        <is>
          <t>Porto Real</t>
        </is>
      </c>
      <c r="C12440" s="30" t="n">
        <v>87173631</v>
      </c>
      <c r="D12440" s="30">
        <f>"02099296000256"</f>
        <v/>
      </c>
      <c r="E12440" s="30" t="inlineStr">
        <is>
          <t>MECSTEEL - INDUSTRIA MECANICA LTA - EPP</t>
        </is>
      </c>
      <c r="F12440" s="30" t="inlineStr">
        <is>
          <t>2021</t>
        </is>
      </c>
      <c r="G12440" s="40" t="n">
        <v>859054.24</v>
      </c>
    </row>
    <row r="12441" ht="12" customHeight="1">
      <c r="A12441" s="30" t="inlineStr">
        <is>
          <t>POR</t>
        </is>
      </c>
      <c r="B12441" s="30" t="inlineStr">
        <is>
          <t>Porto Real</t>
        </is>
      </c>
      <c r="C12441" s="30" t="n">
        <v>87173631</v>
      </c>
      <c r="D12441" s="30">
        <f>"02099296000256"</f>
        <v/>
      </c>
      <c r="E12441" s="30" t="inlineStr">
        <is>
          <t>MECSTEEL - INDUSTRIA MECANICA LTA - EPP</t>
        </is>
      </c>
      <c r="F12441" s="30" t="inlineStr">
        <is>
          <t>2022</t>
        </is>
      </c>
      <c r="G12441" s="40" t="n">
        <v>3563402.29</v>
      </c>
    </row>
    <row r="12442" ht="12" customHeight="1">
      <c r="A12442" s="30" t="inlineStr">
        <is>
          <t>POR</t>
        </is>
      </c>
      <c r="B12442" s="30" t="inlineStr">
        <is>
          <t>Porto Real</t>
        </is>
      </c>
      <c r="C12442" s="30" t="n">
        <v>87173631</v>
      </c>
      <c r="D12442" s="30">
        <f>"02099296000256"</f>
        <v/>
      </c>
      <c r="E12442" s="30" t="inlineStr">
        <is>
          <t>MECSTEEL - INDUSTRIA MECANICA LTA - EPP</t>
        </is>
      </c>
      <c r="F12442" s="30" t="inlineStr">
        <is>
          <t>2023</t>
        </is>
      </c>
      <c r="G12442" s="40" t="n">
        <v>2813539.77</v>
      </c>
    </row>
    <row r="12443" ht="12" customHeight="1">
      <c r="A12443" s="30" t="inlineStr">
        <is>
          <t>POR</t>
        </is>
      </c>
      <c r="B12443" s="30" t="inlineStr">
        <is>
          <t>Porto Real</t>
        </is>
      </c>
      <c r="C12443" s="30" t="n">
        <v>87198120</v>
      </c>
      <c r="D12443" s="30">
        <f>"23349580000475"</f>
        <v/>
      </c>
      <c r="E12443" s="30" t="inlineStr">
        <is>
          <t>LOTUS LOGISTICA INTEGRADA LTDA</t>
        </is>
      </c>
      <c r="F12443" s="30" t="inlineStr">
        <is>
          <t>2017</t>
        </is>
      </c>
      <c r="G12443" s="40" t="n">
        <v>93.29000000000001</v>
      </c>
    </row>
    <row r="12444" ht="12" customHeight="1">
      <c r="A12444" s="30" t="inlineStr">
        <is>
          <t>POR</t>
        </is>
      </c>
      <c r="B12444" s="30" t="inlineStr">
        <is>
          <t>Porto Real</t>
        </is>
      </c>
      <c r="C12444" s="30" t="n">
        <v>87198120</v>
      </c>
      <c r="D12444" s="30">
        <f>"23349580000475"</f>
        <v/>
      </c>
      <c r="E12444" s="30" t="inlineStr">
        <is>
          <t>LOTUS LOGISTICA INTEGRADA LTDA</t>
        </is>
      </c>
      <c r="F12444" s="30" t="inlineStr">
        <is>
          <t>2018</t>
        </is>
      </c>
      <c r="G12444" s="40" t="n">
        <v>295.88</v>
      </c>
    </row>
    <row r="12445" ht="12" customHeight="1">
      <c r="A12445" s="30" t="inlineStr">
        <is>
          <t>POR</t>
        </is>
      </c>
      <c r="B12445" s="30" t="inlineStr">
        <is>
          <t>Porto Real</t>
        </is>
      </c>
      <c r="C12445" s="30" t="n">
        <v>87198120</v>
      </c>
      <c r="D12445" s="30">
        <f>"23349580000475"</f>
        <v/>
      </c>
      <c r="E12445" s="30" t="inlineStr">
        <is>
          <t>LOTUS LOGISTICA INTEGRADA LTDA</t>
        </is>
      </c>
      <c r="F12445" s="30" t="inlineStr">
        <is>
          <t>2019</t>
        </is>
      </c>
      <c r="G12445" s="40" t="n">
        <v>0</v>
      </c>
    </row>
    <row r="12446" ht="12" customHeight="1">
      <c r="A12446" s="30" t="inlineStr">
        <is>
          <t>POR</t>
        </is>
      </c>
      <c r="B12446" s="30" t="inlineStr">
        <is>
          <t>Porto Real</t>
        </is>
      </c>
      <c r="C12446" s="30" t="n">
        <v>87198120</v>
      </c>
      <c r="D12446" s="30">
        <f>"23349580000475"</f>
        <v/>
      </c>
      <c r="E12446" s="30" t="inlineStr">
        <is>
          <t>LOTUS LOGISTICA INTEGRADA LTDA</t>
        </is>
      </c>
      <c r="F12446" s="30" t="inlineStr">
        <is>
          <t>2020</t>
        </is>
      </c>
      <c r="G12446" s="40" t="n">
        <v>0</v>
      </c>
    </row>
    <row r="12447" ht="12" customHeight="1">
      <c r="A12447" s="30" t="inlineStr">
        <is>
          <t>POR</t>
        </is>
      </c>
      <c r="B12447" s="30" t="inlineStr">
        <is>
          <t>Porto Real</t>
        </is>
      </c>
      <c r="C12447" s="30" t="n">
        <v>87213641</v>
      </c>
      <c r="D12447" s="30">
        <f>"74443623000418"</f>
        <v/>
      </c>
      <c r="E12447" s="30" t="inlineStr">
        <is>
          <t>OSAKA TRANSPORTES LTDA</t>
        </is>
      </c>
      <c r="F12447" s="30" t="inlineStr">
        <is>
          <t>2020</t>
        </is>
      </c>
      <c r="G12447" s="40" t="n">
        <v>0</v>
      </c>
    </row>
    <row r="12448" ht="12" customHeight="1">
      <c r="A12448" s="30" t="inlineStr">
        <is>
          <t>POR</t>
        </is>
      </c>
      <c r="B12448" s="30" t="inlineStr">
        <is>
          <t>Porto Real</t>
        </is>
      </c>
      <c r="C12448" s="30" t="n">
        <v>87213641</v>
      </c>
      <c r="D12448" s="30">
        <f>"74443623000418"</f>
        <v/>
      </c>
      <c r="E12448" s="30" t="inlineStr">
        <is>
          <t>OSAKA TRANSPORTES LTDA</t>
        </is>
      </c>
      <c r="F12448" s="30" t="inlineStr">
        <is>
          <t>2021</t>
        </is>
      </c>
      <c r="G12448" s="40" t="n">
        <v>0</v>
      </c>
    </row>
    <row r="12449" ht="12" customHeight="1">
      <c r="A12449" s="30" t="inlineStr">
        <is>
          <t>POR</t>
        </is>
      </c>
      <c r="B12449" s="30" t="inlineStr">
        <is>
          <t>Porto Real</t>
        </is>
      </c>
      <c r="C12449" s="30" t="n">
        <v>87213641</v>
      </c>
      <c r="D12449" s="30">
        <f>"74443623000418"</f>
        <v/>
      </c>
      <c r="E12449" s="30" t="inlineStr">
        <is>
          <t>OSAKA TRANSPORTES LTDA</t>
        </is>
      </c>
      <c r="F12449" s="30" t="inlineStr">
        <is>
          <t>2022</t>
        </is>
      </c>
      <c r="G12449" s="40" t="n">
        <v>1000</v>
      </c>
    </row>
    <row r="12450" ht="12" customHeight="1">
      <c r="A12450" s="30" t="inlineStr">
        <is>
          <t>POR</t>
        </is>
      </c>
      <c r="B12450" s="30" t="inlineStr">
        <is>
          <t>Porto Real</t>
        </is>
      </c>
      <c r="C12450" s="30" t="n">
        <v>87213641</v>
      </c>
      <c r="D12450" s="30">
        <f>"74443623000418"</f>
        <v/>
      </c>
      <c r="E12450" s="30" t="inlineStr">
        <is>
          <t>OSAKA TRANSPORTES LTDA</t>
        </is>
      </c>
      <c r="F12450" s="30" t="inlineStr">
        <is>
          <t>2023</t>
        </is>
      </c>
      <c r="G12450" s="40" t="n">
        <v>300</v>
      </c>
    </row>
    <row r="12451" ht="12" customHeight="1">
      <c r="A12451" s="30" t="inlineStr">
        <is>
          <t>POR</t>
        </is>
      </c>
      <c r="B12451" s="30" t="inlineStr">
        <is>
          <t>Porto Real</t>
        </is>
      </c>
      <c r="C12451" s="30" t="n">
        <v>87220761</v>
      </c>
      <c r="D12451" s="30">
        <f>"08762025000304"</f>
        <v/>
      </c>
      <c r="E12451" s="30" t="inlineStr">
        <is>
          <t>NEXTEER INDUSTRIA E COMERCIO DE SISTEMAS AUTOMOTIVOS LTDA</t>
        </is>
      </c>
      <c r="F12451" s="30" t="inlineStr">
        <is>
          <t>2017</t>
        </is>
      </c>
      <c r="G12451" s="40" t="n">
        <v>74783033.75</v>
      </c>
    </row>
    <row r="12452" ht="12" customHeight="1">
      <c r="A12452" s="30" t="inlineStr">
        <is>
          <t>POR</t>
        </is>
      </c>
      <c r="B12452" s="30" t="inlineStr">
        <is>
          <t>Porto Real</t>
        </is>
      </c>
      <c r="C12452" s="30" t="n">
        <v>87220761</v>
      </c>
      <c r="D12452" s="30">
        <f>"08762025000304"</f>
        <v/>
      </c>
      <c r="E12452" s="30" t="inlineStr">
        <is>
          <t>NEXTEER INDUSTRIA E COMERCIO DE SISTEMAS AUTOMOTIVOS LTDA</t>
        </is>
      </c>
      <c r="F12452" s="30" t="inlineStr">
        <is>
          <t>2018</t>
        </is>
      </c>
      <c r="G12452" s="40" t="n">
        <v>72458798.3</v>
      </c>
    </row>
    <row r="12453" ht="12" customHeight="1">
      <c r="A12453" s="30" t="inlineStr">
        <is>
          <t>POR</t>
        </is>
      </c>
      <c r="B12453" s="30" t="inlineStr">
        <is>
          <t>Porto Real</t>
        </is>
      </c>
      <c r="C12453" s="30" t="n">
        <v>87220761</v>
      </c>
      <c r="D12453" s="30">
        <f>"08762025000304"</f>
        <v/>
      </c>
      <c r="E12453" s="30" t="inlineStr">
        <is>
          <t>NEXTEER INDUSTRIA E COMERCIO DE SISTEMAS AUTOMOTIVOS LTDA</t>
        </is>
      </c>
      <c r="F12453" s="30" t="inlineStr">
        <is>
          <t>2019</t>
        </is>
      </c>
      <c r="G12453" s="40" t="n">
        <v>55572553.23</v>
      </c>
    </row>
    <row r="12454" ht="12" customHeight="1">
      <c r="A12454" s="30" t="inlineStr">
        <is>
          <t>POR</t>
        </is>
      </c>
      <c r="B12454" s="30" t="inlineStr">
        <is>
          <t>Porto Real</t>
        </is>
      </c>
      <c r="C12454" s="30" t="n">
        <v>87220761</v>
      </c>
      <c r="D12454" s="30">
        <f>"08762025000304"</f>
        <v/>
      </c>
      <c r="E12454" s="30" t="inlineStr">
        <is>
          <t>NEXTEER INDUSTRIA E COMERCIO DE SISTEMAS AUTOMOTIVOS LTDA</t>
        </is>
      </c>
      <c r="F12454" s="30" t="inlineStr">
        <is>
          <t>2020</t>
        </is>
      </c>
      <c r="G12454" s="40" t="n">
        <v>61358007.74</v>
      </c>
    </row>
    <row r="12455" ht="12" customHeight="1">
      <c r="A12455" s="30" t="inlineStr">
        <is>
          <t>POR</t>
        </is>
      </c>
      <c r="B12455" s="30" t="inlineStr">
        <is>
          <t>Porto Real</t>
        </is>
      </c>
      <c r="C12455" s="30" t="n">
        <v>87220761</v>
      </c>
      <c r="D12455" s="30">
        <f>"08762025000304"</f>
        <v/>
      </c>
      <c r="E12455" s="30" t="inlineStr">
        <is>
          <t>NEXTEER INDUSTRIA E COMERCIO DE SISTEMAS AUTOMOTIVOS LTDA</t>
        </is>
      </c>
      <c r="F12455" s="30" t="inlineStr">
        <is>
          <t>2021</t>
        </is>
      </c>
      <c r="G12455" s="40" t="n">
        <v>108377676.85</v>
      </c>
    </row>
    <row r="12456" ht="12" customHeight="1">
      <c r="A12456" s="30" t="inlineStr">
        <is>
          <t>POR</t>
        </is>
      </c>
      <c r="B12456" s="30" t="inlineStr">
        <is>
          <t>Porto Real</t>
        </is>
      </c>
      <c r="C12456" s="30" t="n">
        <v>87220761</v>
      </c>
      <c r="D12456" s="30">
        <f>"08762025000304"</f>
        <v/>
      </c>
      <c r="E12456" s="30" t="inlineStr">
        <is>
          <t>NEXTEER INDUSTRIA E COMERCIO DE SISTEMAS AUTOMOTIVOS LTDA</t>
        </is>
      </c>
      <c r="F12456" s="30" t="inlineStr">
        <is>
          <t>2022</t>
        </is>
      </c>
      <c r="G12456" s="40" t="n">
        <v>134349843.84</v>
      </c>
    </row>
    <row r="12457" ht="12" customHeight="1">
      <c r="A12457" s="30" t="inlineStr">
        <is>
          <t>POR</t>
        </is>
      </c>
      <c r="B12457" s="30" t="inlineStr">
        <is>
          <t>Porto Real</t>
        </is>
      </c>
      <c r="C12457" s="30" t="n">
        <v>87220761</v>
      </c>
      <c r="D12457" s="30">
        <f>"08762025000304"</f>
        <v/>
      </c>
      <c r="E12457" s="30" t="inlineStr">
        <is>
          <t>NEXTEER INDUSTRIA E COMERCIO DE SISTEMAS AUTOMOTIVOS LTDA</t>
        </is>
      </c>
      <c r="F12457" s="30" t="inlineStr">
        <is>
          <t>2023</t>
        </is>
      </c>
      <c r="G12457" s="40" t="n">
        <v>133935576.25</v>
      </c>
    </row>
    <row r="12458" ht="12" customHeight="1">
      <c r="A12458" s="30" t="inlineStr">
        <is>
          <t>POR</t>
        </is>
      </c>
      <c r="B12458" s="30" t="inlineStr">
        <is>
          <t>Porto Real</t>
        </is>
      </c>
      <c r="C12458" s="30" t="n">
        <v>87231607</v>
      </c>
      <c r="D12458" s="30">
        <f>"23429671000763"</f>
        <v/>
      </c>
      <c r="E12458" s="30" t="inlineStr">
        <is>
          <t>3PL BRASIL LOGISTICA S A</t>
        </is>
      </c>
      <c r="F12458" s="30" t="inlineStr">
        <is>
          <t>2017</t>
        </is>
      </c>
      <c r="G12458" s="40" t="n">
        <v>0</v>
      </c>
    </row>
    <row r="12459" ht="12" customHeight="1">
      <c r="A12459" s="30" t="inlineStr">
        <is>
          <t>POR</t>
        </is>
      </c>
      <c r="B12459" s="30" t="inlineStr">
        <is>
          <t>Porto Real</t>
        </is>
      </c>
      <c r="C12459" s="30" t="n">
        <v>87231607</v>
      </c>
      <c r="D12459" s="30">
        <f>"23429671000763"</f>
        <v/>
      </c>
      <c r="E12459" s="30" t="inlineStr">
        <is>
          <t>3PL BRASIL LOGISTICA S A</t>
        </is>
      </c>
      <c r="F12459" s="30" t="inlineStr">
        <is>
          <t>2018</t>
        </is>
      </c>
      <c r="G12459" s="40" t="n">
        <v>5122.33</v>
      </c>
    </row>
    <row r="12460" ht="12" customHeight="1">
      <c r="A12460" s="30" t="inlineStr">
        <is>
          <t>POR</t>
        </is>
      </c>
      <c r="B12460" s="30" t="inlineStr">
        <is>
          <t>Porto Real</t>
        </is>
      </c>
      <c r="C12460" s="30" t="n">
        <v>87231607</v>
      </c>
      <c r="D12460" s="30">
        <f>"23429671000763"</f>
        <v/>
      </c>
      <c r="E12460" s="30" t="inlineStr">
        <is>
          <t>3PL BRASIL LOGISTICA S A</t>
        </is>
      </c>
      <c r="F12460" s="30" t="inlineStr">
        <is>
          <t>2019</t>
        </is>
      </c>
      <c r="G12460" s="40" t="n">
        <v>0</v>
      </c>
    </row>
    <row r="12461" ht="12" customHeight="1">
      <c r="A12461" s="30" t="inlineStr">
        <is>
          <t>POR</t>
        </is>
      </c>
      <c r="B12461" s="30" t="inlineStr">
        <is>
          <t>Porto Real</t>
        </is>
      </c>
      <c r="C12461" s="30" t="n">
        <v>87231607</v>
      </c>
      <c r="D12461" s="30">
        <f>"23429671000763"</f>
        <v/>
      </c>
      <c r="E12461" s="30" t="inlineStr">
        <is>
          <t>3PL BRASIL LOGISTICA S A</t>
        </is>
      </c>
      <c r="F12461" s="30" t="inlineStr">
        <is>
          <t>2020</t>
        </is>
      </c>
      <c r="G12461" s="40" t="n">
        <v>0</v>
      </c>
    </row>
    <row r="12462" ht="12" customHeight="1">
      <c r="A12462" s="30" t="inlineStr">
        <is>
          <t>POR</t>
        </is>
      </c>
      <c r="B12462" s="30" t="inlineStr">
        <is>
          <t>Porto Real</t>
        </is>
      </c>
      <c r="C12462" s="30" t="n">
        <v>87242323</v>
      </c>
      <c r="D12462" s="30">
        <f>"09487999001000"</f>
        <v/>
      </c>
      <c r="E12462" s="30" t="inlineStr">
        <is>
          <t>CAED LOGISTICA E TRANSPORTES LTDA</t>
        </is>
      </c>
      <c r="F12462" s="30" t="inlineStr">
        <is>
          <t>2021</t>
        </is>
      </c>
      <c r="G12462" s="40" t="n">
        <v>0</v>
      </c>
    </row>
    <row r="12463" ht="12" customHeight="1">
      <c r="A12463" s="30" t="inlineStr">
        <is>
          <t>POR</t>
        </is>
      </c>
      <c r="B12463" s="30" t="inlineStr">
        <is>
          <t>Porto Real</t>
        </is>
      </c>
      <c r="C12463" s="30" t="n">
        <v>87242323</v>
      </c>
      <c r="D12463" s="30">
        <f>"09487999001000"</f>
        <v/>
      </c>
      <c r="E12463" s="30" t="inlineStr">
        <is>
          <t>CAED LOGISTICA E TRANSPORTES LTDA</t>
        </is>
      </c>
      <c r="F12463" s="30" t="inlineStr">
        <is>
          <t>2022</t>
        </is>
      </c>
      <c r="G12463" s="40" t="n">
        <v>0</v>
      </c>
    </row>
    <row r="12464" ht="12" customHeight="1">
      <c r="A12464" s="30" t="inlineStr">
        <is>
          <t>POR</t>
        </is>
      </c>
      <c r="B12464" s="30" t="inlineStr">
        <is>
          <t>Porto Real</t>
        </is>
      </c>
      <c r="C12464" s="30" t="n">
        <v>87242323</v>
      </c>
      <c r="D12464" s="30">
        <f>"09487999001000"</f>
        <v/>
      </c>
      <c r="E12464" s="30" t="inlineStr">
        <is>
          <t>CAED LOGISTICA E TRANSPORTES LTDA</t>
        </is>
      </c>
      <c r="F12464" s="30" t="inlineStr">
        <is>
          <t>2023</t>
        </is>
      </c>
      <c r="G12464" s="40" t="n">
        <v>8906.25</v>
      </c>
    </row>
    <row r="12465" ht="12" customHeight="1">
      <c r="A12465" s="30" t="inlineStr">
        <is>
          <t>POR</t>
        </is>
      </c>
      <c r="B12465" s="30" t="inlineStr">
        <is>
          <t>Porto Real</t>
        </is>
      </c>
      <c r="C12465" s="30" t="n">
        <v>87248992</v>
      </c>
      <c r="D12465" s="30">
        <f>"11423942000280"</f>
        <v/>
      </c>
      <c r="E12465" s="30" t="inlineStr">
        <is>
          <t>TTJB TRANSPORTES E LOGISTICA EIRELI</t>
        </is>
      </c>
      <c r="F12465" s="30" t="inlineStr">
        <is>
          <t>2017</t>
        </is>
      </c>
      <c r="G12465" s="40" t="n">
        <v>310239.53</v>
      </c>
    </row>
    <row r="12466" ht="12" customHeight="1">
      <c r="A12466" s="30" t="inlineStr">
        <is>
          <t>POR</t>
        </is>
      </c>
      <c r="B12466" s="30" t="inlineStr">
        <is>
          <t>Porto Real</t>
        </is>
      </c>
      <c r="C12466" s="30" t="n">
        <v>87248992</v>
      </c>
      <c r="D12466" s="30">
        <f>"11423942000280"</f>
        <v/>
      </c>
      <c r="E12466" s="30" t="inlineStr">
        <is>
          <t>TTJB TRANSPORTES E LOGISTICA EIRELI</t>
        </is>
      </c>
      <c r="F12466" s="30" t="inlineStr">
        <is>
          <t>2018</t>
        </is>
      </c>
      <c r="G12466" s="40" t="n">
        <v>568702.96</v>
      </c>
    </row>
    <row r="12467" ht="12" customHeight="1">
      <c r="A12467" s="30" t="inlineStr">
        <is>
          <t>POR</t>
        </is>
      </c>
      <c r="B12467" s="30" t="inlineStr">
        <is>
          <t>Porto Real</t>
        </is>
      </c>
      <c r="C12467" s="30" t="n">
        <v>87248992</v>
      </c>
      <c r="D12467" s="30">
        <f>"11423942000280"</f>
        <v/>
      </c>
      <c r="E12467" s="30" t="inlineStr">
        <is>
          <t>TTJB TRANSPORTES E LOGISTICA EIRELI</t>
        </is>
      </c>
      <c r="F12467" s="30" t="inlineStr">
        <is>
          <t>2019</t>
        </is>
      </c>
      <c r="G12467" s="40" t="n">
        <v>746394.41</v>
      </c>
    </row>
    <row r="12468" ht="12" customHeight="1">
      <c r="A12468" s="30" t="inlineStr">
        <is>
          <t>POR</t>
        </is>
      </c>
      <c r="B12468" s="30" t="inlineStr">
        <is>
          <t>Porto Real</t>
        </is>
      </c>
      <c r="C12468" s="30" t="n">
        <v>87248992</v>
      </c>
      <c r="D12468" s="30">
        <f>"11423942000280"</f>
        <v/>
      </c>
      <c r="E12468" s="30" t="inlineStr">
        <is>
          <t>TTJB TRANSPORTES E LOGISTICA EIRELI</t>
        </is>
      </c>
      <c r="F12468" s="30" t="inlineStr">
        <is>
          <t>2020</t>
        </is>
      </c>
      <c r="G12468" s="40" t="n">
        <v>373779.85</v>
      </c>
    </row>
    <row r="12469" ht="12" customHeight="1">
      <c r="A12469" s="30" t="inlineStr">
        <is>
          <t>POR</t>
        </is>
      </c>
      <c r="B12469" s="30" t="inlineStr">
        <is>
          <t>Porto Real</t>
        </is>
      </c>
      <c r="C12469" s="30" t="n">
        <v>87248992</v>
      </c>
      <c r="D12469" s="30">
        <f>"11423942000280"</f>
        <v/>
      </c>
      <c r="E12469" s="30" t="inlineStr">
        <is>
          <t>TTJB TRANSPORTES E LOGISTICA EIRELI</t>
        </is>
      </c>
      <c r="F12469" s="30" t="inlineStr">
        <is>
          <t>2021</t>
        </is>
      </c>
      <c r="G12469" s="40" t="n">
        <v>0</v>
      </c>
    </row>
    <row r="12470" ht="12" customHeight="1">
      <c r="A12470" s="30" t="inlineStr">
        <is>
          <t>POR</t>
        </is>
      </c>
      <c r="B12470" s="30" t="inlineStr">
        <is>
          <t>Porto Real</t>
        </is>
      </c>
      <c r="C12470" s="30" t="n">
        <v>87248992</v>
      </c>
      <c r="D12470" s="30">
        <f>"11423942000280"</f>
        <v/>
      </c>
      <c r="E12470" s="30" t="inlineStr">
        <is>
          <t>TTJB TRANSPORTES E LOGISTICA EIRELI</t>
        </is>
      </c>
      <c r="F12470" s="30" t="inlineStr">
        <is>
          <t>2022</t>
        </is>
      </c>
      <c r="G12470" s="40" t="n">
        <v>0</v>
      </c>
    </row>
    <row r="12471" ht="12" customHeight="1">
      <c r="A12471" s="30" t="inlineStr">
        <is>
          <t>POR</t>
        </is>
      </c>
      <c r="B12471" s="30" t="inlineStr">
        <is>
          <t>Porto Real</t>
        </is>
      </c>
      <c r="C12471" s="30" t="n">
        <v>87248992</v>
      </c>
      <c r="D12471" s="30">
        <f>"11423942000280"</f>
        <v/>
      </c>
      <c r="E12471" s="30" t="inlineStr">
        <is>
          <t>TTJB TRANSPORTES E LOGISTICA EIRELI</t>
        </is>
      </c>
      <c r="F12471" s="30" t="inlineStr">
        <is>
          <t>2023</t>
        </is>
      </c>
      <c r="G12471" s="40" t="n">
        <v>487.88</v>
      </c>
    </row>
    <row r="12472" ht="12" customHeight="1">
      <c r="A12472" s="30" t="inlineStr">
        <is>
          <t>POR</t>
        </is>
      </c>
      <c r="B12472" s="30" t="inlineStr">
        <is>
          <t>Porto Real</t>
        </is>
      </c>
      <c r="C12472" s="30" t="n">
        <v>87249417</v>
      </c>
      <c r="D12472" s="30">
        <f>"94001641000961"</f>
        <v/>
      </c>
      <c r="E12472" s="30" t="inlineStr">
        <is>
          <t>BRINGER DO BRASIL AGENCIAMENTO DE CARGAS NACIONAIS E INTERNACIONAIS LTDA EPP</t>
        </is>
      </c>
      <c r="F12472" s="30" t="inlineStr">
        <is>
          <t>2017</t>
        </is>
      </c>
      <c r="G12472" s="40" t="n">
        <v>1300.37</v>
      </c>
    </row>
    <row r="12473" ht="12" customHeight="1">
      <c r="A12473" s="30" t="inlineStr">
        <is>
          <t>POR</t>
        </is>
      </c>
      <c r="B12473" s="30" t="inlineStr">
        <is>
          <t>Porto Real</t>
        </is>
      </c>
      <c r="C12473" s="30" t="n">
        <v>87249417</v>
      </c>
      <c r="D12473" s="30">
        <f>"94001641000961"</f>
        <v/>
      </c>
      <c r="E12473" s="30" t="inlineStr">
        <is>
          <t>BRINGER DO BRASIL AGENCIAMENTO DE CARGAS NACIONAIS E INTERNACIONAIS LTDA EPP</t>
        </is>
      </c>
      <c r="F12473" s="30" t="inlineStr">
        <is>
          <t>2018</t>
        </is>
      </c>
      <c r="G12473" s="40" t="n">
        <v>0</v>
      </c>
    </row>
    <row r="12474" ht="12" customHeight="1">
      <c r="A12474" s="30" t="inlineStr">
        <is>
          <t>POR</t>
        </is>
      </c>
      <c r="B12474" s="30" t="inlineStr">
        <is>
          <t>Porto Real</t>
        </is>
      </c>
      <c r="C12474" s="30" t="n">
        <v>87249417</v>
      </c>
      <c r="D12474" s="30">
        <f>"94001641000961"</f>
        <v/>
      </c>
      <c r="E12474" s="30" t="inlineStr">
        <is>
          <t>BRINGER DO BRASIL AGENCIAMENTO DE CARGAS NACIONAIS E INTERNACIONAIS LTDA EPP</t>
        </is>
      </c>
      <c r="F12474" s="30" t="inlineStr">
        <is>
          <t>2019</t>
        </is>
      </c>
      <c r="G12474" s="40" t="n">
        <v>4160.14</v>
      </c>
    </row>
    <row r="12475" ht="12" customHeight="1">
      <c r="A12475" s="30" t="inlineStr">
        <is>
          <t>POR</t>
        </is>
      </c>
      <c r="B12475" s="30" t="inlineStr">
        <is>
          <t>Porto Real</t>
        </is>
      </c>
      <c r="C12475" s="30" t="n">
        <v>87249417</v>
      </c>
      <c r="D12475" s="30">
        <f>"94001641000961"</f>
        <v/>
      </c>
      <c r="E12475" s="30" t="inlineStr">
        <is>
          <t>BRINGER DO BRASIL AGENCIAMENTO DE CARGAS NACIONAIS E INTERNACIONAIS LTDA EPP</t>
        </is>
      </c>
      <c r="F12475" s="30" t="inlineStr">
        <is>
          <t>2020</t>
        </is>
      </c>
      <c r="G12475" s="40" t="n">
        <v>965.38</v>
      </c>
    </row>
    <row r="12476" ht="12" customHeight="1">
      <c r="A12476" s="30" t="inlineStr">
        <is>
          <t>POR</t>
        </is>
      </c>
      <c r="B12476" s="30" t="inlineStr">
        <is>
          <t>Porto Real</t>
        </is>
      </c>
      <c r="C12476" s="30" t="n">
        <v>87249417</v>
      </c>
      <c r="D12476" s="30">
        <f>"94001641000961"</f>
        <v/>
      </c>
      <c r="E12476" s="30" t="inlineStr">
        <is>
          <t>BRINGER DO BRASIL AGENCIAMENTO DE CARGAS NACIONAIS E INTERNACIONAIS LTDA EPP</t>
        </is>
      </c>
      <c r="F12476" s="30" t="inlineStr">
        <is>
          <t>2021</t>
        </is>
      </c>
      <c r="G12476" s="40" t="n">
        <v>1051.72</v>
      </c>
    </row>
    <row r="12477" ht="12" customHeight="1">
      <c r="A12477" s="30" t="inlineStr">
        <is>
          <t>POR</t>
        </is>
      </c>
      <c r="B12477" s="30" t="inlineStr">
        <is>
          <t>Porto Real</t>
        </is>
      </c>
      <c r="C12477" s="30" t="n">
        <v>87249417</v>
      </c>
      <c r="D12477" s="30">
        <f>"94001641000961"</f>
        <v/>
      </c>
      <c r="E12477" s="30" t="inlineStr">
        <is>
          <t>BRINGER DO BRASIL AGENCIAMENTO DE CARGAS NACIONAIS E INTERNACIONAIS LTDA EPP</t>
        </is>
      </c>
      <c r="F12477" s="30" t="inlineStr">
        <is>
          <t>2022</t>
        </is>
      </c>
      <c r="G12477" s="40" t="n">
        <v>0</v>
      </c>
    </row>
    <row r="12478" ht="12" customHeight="1">
      <c r="A12478" s="30" t="inlineStr">
        <is>
          <t>POR</t>
        </is>
      </c>
      <c r="B12478" s="30" t="inlineStr">
        <is>
          <t>Porto Real</t>
        </is>
      </c>
      <c r="C12478" s="30" t="n">
        <v>87249417</v>
      </c>
      <c r="D12478" s="30">
        <f>"94001641000961"</f>
        <v/>
      </c>
      <c r="E12478" s="30" t="inlineStr">
        <is>
          <t>BRINGER DO BRASIL AGENCIAMENTO DE CARGAS NACIONAIS E INTERNACIONAIS LTDA EPP</t>
        </is>
      </c>
      <c r="F12478" s="30" t="inlineStr">
        <is>
          <t>2023</t>
        </is>
      </c>
      <c r="G12478" s="40" t="n">
        <v>0</v>
      </c>
    </row>
    <row r="12479" ht="12" customHeight="1">
      <c r="A12479" s="30" t="inlineStr">
        <is>
          <t>POR</t>
        </is>
      </c>
      <c r="B12479" s="30" t="inlineStr">
        <is>
          <t>Porto Real</t>
        </is>
      </c>
      <c r="C12479" s="30" t="n">
        <v>87254348</v>
      </c>
      <c r="D12479" s="30">
        <f>"26529504000197"</f>
        <v/>
      </c>
      <c r="E12479" s="30" t="inlineStr">
        <is>
          <t>H7 TOOLS FERRAMENTAS E ACESSORIOS LTDA</t>
        </is>
      </c>
      <c r="F12479" s="30" t="inlineStr">
        <is>
          <t>2019</t>
        </is>
      </c>
      <c r="G12479" s="40" t="n">
        <v>0</v>
      </c>
    </row>
    <row r="12480" ht="12" customHeight="1">
      <c r="A12480" s="30" t="inlineStr">
        <is>
          <t>POR</t>
        </is>
      </c>
      <c r="B12480" s="30" t="inlineStr">
        <is>
          <t>Porto Real</t>
        </is>
      </c>
      <c r="C12480" s="30" t="n">
        <v>87254348</v>
      </c>
      <c r="D12480" s="30">
        <f>"26529504000197"</f>
        <v/>
      </c>
      <c r="E12480" s="30" t="inlineStr">
        <is>
          <t>H7 TOOLS FERRAMENTAS E ACESSORIOS LTDA</t>
        </is>
      </c>
      <c r="F12480" s="30" t="inlineStr">
        <is>
          <t>2020</t>
        </is>
      </c>
      <c r="G12480" s="40" t="n">
        <v>0</v>
      </c>
    </row>
    <row r="12481" ht="12" customHeight="1">
      <c r="A12481" s="30" t="inlineStr">
        <is>
          <t>POR</t>
        </is>
      </c>
      <c r="B12481" s="30" t="inlineStr">
        <is>
          <t>Porto Real</t>
        </is>
      </c>
      <c r="C12481" s="30" t="n">
        <v>87254348</v>
      </c>
      <c r="D12481" s="30">
        <f>"26529504000197"</f>
        <v/>
      </c>
      <c r="E12481" s="30" t="inlineStr">
        <is>
          <t>H7 TOOLS FERRAMENTAS E ACESSORIOS LTDA</t>
        </is>
      </c>
      <c r="F12481" s="30" t="inlineStr">
        <is>
          <t>2021</t>
        </is>
      </c>
      <c r="G12481" s="40" t="n">
        <v>0</v>
      </c>
    </row>
    <row r="12482" ht="12" customHeight="1">
      <c r="A12482" s="30" t="inlineStr">
        <is>
          <t>POR</t>
        </is>
      </c>
      <c r="B12482" s="30" t="inlineStr">
        <is>
          <t>Porto Real</t>
        </is>
      </c>
      <c r="C12482" s="30" t="n">
        <v>87254348</v>
      </c>
      <c r="D12482" s="30">
        <f>"26529504000197"</f>
        <v/>
      </c>
      <c r="E12482" s="30" t="inlineStr">
        <is>
          <t>H7 TOOLS FERRAMENTAS E ACESSORIOS LTDA</t>
        </is>
      </c>
      <c r="F12482" s="30" t="inlineStr">
        <is>
          <t>2022</t>
        </is>
      </c>
      <c r="G12482" s="40" t="n">
        <v>1444212.76</v>
      </c>
    </row>
    <row r="12483" ht="12" customHeight="1">
      <c r="A12483" s="30" t="inlineStr">
        <is>
          <t>POR</t>
        </is>
      </c>
      <c r="B12483" s="30" t="inlineStr">
        <is>
          <t>Porto Real</t>
        </is>
      </c>
      <c r="C12483" s="30" t="n">
        <v>87254348</v>
      </c>
      <c r="D12483" s="30">
        <f>"26529504000197"</f>
        <v/>
      </c>
      <c r="E12483" s="30" t="inlineStr">
        <is>
          <t>H7 TOOLS FERRAMENTAS E ACESSORIOS LTDA</t>
        </is>
      </c>
      <c r="F12483" s="30" t="inlineStr">
        <is>
          <t>2023</t>
        </is>
      </c>
      <c r="G12483" s="40" t="n">
        <v>298727.87</v>
      </c>
    </row>
    <row r="12484" ht="12" customHeight="1">
      <c r="A12484" s="30" t="inlineStr">
        <is>
          <t>POR</t>
        </is>
      </c>
      <c r="B12484" s="30" t="inlineStr">
        <is>
          <t>Porto Real</t>
        </is>
      </c>
      <c r="C12484" s="30" t="n">
        <v>87270580</v>
      </c>
      <c r="D12484" s="30">
        <f>"09504931000282"</f>
        <v/>
      </c>
      <c r="E12484" s="30" t="inlineStr">
        <is>
          <t>QUIMEX LOGISTICA E TRANSPORTE LTDA EPP</t>
        </is>
      </c>
      <c r="F12484" s="30" t="inlineStr">
        <is>
          <t>2017</t>
        </is>
      </c>
      <c r="G12484" s="40" t="n">
        <v>0</v>
      </c>
    </row>
    <row r="12485" ht="12" customHeight="1">
      <c r="A12485" s="30" t="inlineStr">
        <is>
          <t>POR</t>
        </is>
      </c>
      <c r="B12485" s="30" t="inlineStr">
        <is>
          <t>Porto Real</t>
        </is>
      </c>
      <c r="C12485" s="30" t="n">
        <v>87270580</v>
      </c>
      <c r="D12485" s="30">
        <f>"09504931000282"</f>
        <v/>
      </c>
      <c r="E12485" s="30" t="inlineStr">
        <is>
          <t>QUIMEX LOGISTICA E TRANSPORTE LTDA EPP</t>
        </is>
      </c>
      <c r="F12485" s="30" t="inlineStr">
        <is>
          <t>2018</t>
        </is>
      </c>
      <c r="G12485" s="40" t="n">
        <v>0</v>
      </c>
    </row>
    <row r="12486" ht="12" customHeight="1">
      <c r="A12486" s="30" t="inlineStr">
        <is>
          <t>POR</t>
        </is>
      </c>
      <c r="B12486" s="30" t="inlineStr">
        <is>
          <t>Porto Real</t>
        </is>
      </c>
      <c r="C12486" s="30" t="n">
        <v>87270580</v>
      </c>
      <c r="D12486" s="30">
        <f>"09504931000282"</f>
        <v/>
      </c>
      <c r="E12486" s="30" t="inlineStr">
        <is>
          <t>QUIMEX LOGISTICA E TRANSPORTE LTDA EPP</t>
        </is>
      </c>
      <c r="F12486" s="30" t="inlineStr">
        <is>
          <t>2019</t>
        </is>
      </c>
      <c r="G12486" s="40" t="n">
        <v>0</v>
      </c>
    </row>
    <row r="12487" ht="12" customHeight="1">
      <c r="A12487" s="30" t="inlineStr">
        <is>
          <t>POR</t>
        </is>
      </c>
      <c r="B12487" s="30" t="inlineStr">
        <is>
          <t>Porto Real</t>
        </is>
      </c>
      <c r="C12487" s="30" t="n">
        <v>87270580</v>
      </c>
      <c r="D12487" s="30">
        <f>"09504931000282"</f>
        <v/>
      </c>
      <c r="E12487" s="30" t="inlineStr">
        <is>
          <t>QUIMEX LOGISTICA E TRANSPORTE LTDA EPP</t>
        </is>
      </c>
      <c r="F12487" s="30" t="inlineStr">
        <is>
          <t>2020</t>
        </is>
      </c>
      <c r="G12487" s="40" t="n">
        <v>0</v>
      </c>
    </row>
    <row r="12488" ht="12" customHeight="1">
      <c r="A12488" s="30" t="inlineStr">
        <is>
          <t>POR</t>
        </is>
      </c>
      <c r="B12488" s="30" t="inlineStr">
        <is>
          <t>Porto Real</t>
        </is>
      </c>
      <c r="C12488" s="30" t="n">
        <v>87302504</v>
      </c>
      <c r="D12488" s="30">
        <f>"26894228000166"</f>
        <v/>
      </c>
      <c r="E12488" s="30" t="inlineStr">
        <is>
          <t>BBN TRANSPORTES RODOVIARIOS LTDA</t>
        </is>
      </c>
      <c r="F12488" s="30" t="inlineStr">
        <is>
          <t>2017</t>
        </is>
      </c>
      <c r="G12488" s="40" t="n">
        <v>0</v>
      </c>
    </row>
    <row r="12489" ht="12" customHeight="1">
      <c r="A12489" s="30" t="inlineStr">
        <is>
          <t>POR</t>
        </is>
      </c>
      <c r="B12489" s="30" t="inlineStr">
        <is>
          <t>Porto Real</t>
        </is>
      </c>
      <c r="C12489" s="30" t="n">
        <v>87302504</v>
      </c>
      <c r="D12489" s="30">
        <f>"26894228000166"</f>
        <v/>
      </c>
      <c r="E12489" s="30" t="inlineStr">
        <is>
          <t>BBN TRANSPORTES RODOVIARIOS LTDA</t>
        </is>
      </c>
      <c r="F12489" s="30" t="inlineStr">
        <is>
          <t>2018</t>
        </is>
      </c>
      <c r="G12489" s="40" t="n">
        <v>0</v>
      </c>
    </row>
    <row r="12490" ht="12" customHeight="1">
      <c r="A12490" s="30" t="inlineStr">
        <is>
          <t>POR</t>
        </is>
      </c>
      <c r="B12490" s="30" t="inlineStr">
        <is>
          <t>Porto Real</t>
        </is>
      </c>
      <c r="C12490" s="30" t="n">
        <v>87302504</v>
      </c>
      <c r="D12490" s="30">
        <f>"26894228000166"</f>
        <v/>
      </c>
      <c r="E12490" s="30" t="inlineStr">
        <is>
          <t>BBN TRANSPORTES RODOVIARIOS LTDA</t>
        </is>
      </c>
      <c r="F12490" s="30" t="inlineStr">
        <is>
          <t>2019</t>
        </is>
      </c>
      <c r="G12490" s="40" t="n">
        <v>7400</v>
      </c>
    </row>
    <row r="12491" ht="12" customHeight="1">
      <c r="A12491" s="30" t="inlineStr">
        <is>
          <t>POR</t>
        </is>
      </c>
      <c r="B12491" s="30" t="inlineStr">
        <is>
          <t>Porto Real</t>
        </is>
      </c>
      <c r="C12491" s="30" t="n">
        <v>87302504</v>
      </c>
      <c r="D12491" s="30">
        <f>"26894228000166"</f>
        <v/>
      </c>
      <c r="E12491" s="30" t="inlineStr">
        <is>
          <t>BBN TRANSPORTES RODOVIARIOS LTDA</t>
        </is>
      </c>
      <c r="F12491" s="30" t="inlineStr">
        <is>
          <t>2020</t>
        </is>
      </c>
      <c r="G12491" s="40" t="n">
        <v>0</v>
      </c>
    </row>
    <row r="12492" ht="12" customHeight="1">
      <c r="A12492" s="30" t="inlineStr">
        <is>
          <t>POR</t>
        </is>
      </c>
      <c r="B12492" s="30" t="inlineStr">
        <is>
          <t>Porto Real</t>
        </is>
      </c>
      <c r="C12492" s="30" t="n">
        <v>87302504</v>
      </c>
      <c r="D12492" s="30">
        <f>"26894228000166"</f>
        <v/>
      </c>
      <c r="E12492" s="30" t="inlineStr">
        <is>
          <t>BBN TRANSPORTES RODOVIARIOS LTDA</t>
        </is>
      </c>
      <c r="F12492" s="30" t="inlineStr">
        <is>
          <t>2021</t>
        </is>
      </c>
      <c r="G12492" s="40" t="n">
        <v>2250</v>
      </c>
    </row>
    <row r="12493" ht="12" customHeight="1">
      <c r="A12493" s="30" t="inlineStr">
        <is>
          <t>POR</t>
        </is>
      </c>
      <c r="B12493" s="30" t="inlineStr">
        <is>
          <t>Porto Real</t>
        </is>
      </c>
      <c r="C12493" s="30" t="n">
        <v>87302504</v>
      </c>
      <c r="D12493" s="30">
        <f>"26894228000166"</f>
        <v/>
      </c>
      <c r="E12493" s="30" t="inlineStr">
        <is>
          <t>BBN TRANSPORTES RODOVIARIOS LTDA</t>
        </is>
      </c>
      <c r="F12493" s="30" t="inlineStr">
        <is>
          <t>2022</t>
        </is>
      </c>
      <c r="G12493" s="40" t="n">
        <v>2200</v>
      </c>
    </row>
    <row r="12494" ht="12" customHeight="1">
      <c r="A12494" s="30" t="inlineStr">
        <is>
          <t>POR</t>
        </is>
      </c>
      <c r="B12494" s="30" t="inlineStr">
        <is>
          <t>Porto Real</t>
        </is>
      </c>
      <c r="C12494" s="30" t="n">
        <v>87302504</v>
      </c>
      <c r="D12494" s="30">
        <f>"26894228000166"</f>
        <v/>
      </c>
      <c r="E12494" s="30" t="inlineStr">
        <is>
          <t>BBN TRANSPORTES RODOVIARIOS LTDA</t>
        </is>
      </c>
      <c r="F12494" s="30" t="inlineStr">
        <is>
          <t>2023</t>
        </is>
      </c>
      <c r="G12494" s="40" t="n">
        <v>3287.3</v>
      </c>
    </row>
    <row r="12495" ht="12" customHeight="1">
      <c r="A12495" s="30" t="inlineStr">
        <is>
          <t>POR</t>
        </is>
      </c>
      <c r="B12495" s="30" t="inlineStr">
        <is>
          <t>Porto Real</t>
        </is>
      </c>
      <c r="C12495" s="30" t="n">
        <v>87303411</v>
      </c>
      <c r="D12495" s="30">
        <f>"26982666000186"</f>
        <v/>
      </c>
      <c r="E12495" s="30" t="inlineStr">
        <is>
          <t>REALL FLEX LONGEVIDADE E SAUDE LTDA</t>
        </is>
      </c>
      <c r="F12495" s="30" t="inlineStr">
        <is>
          <t>2017</t>
        </is>
      </c>
      <c r="G12495" s="40" t="n">
        <v>0</v>
      </c>
    </row>
    <row r="12496" ht="12" customHeight="1">
      <c r="A12496" s="30" t="inlineStr">
        <is>
          <t>POR</t>
        </is>
      </c>
      <c r="B12496" s="30" t="inlineStr">
        <is>
          <t>Porto Real</t>
        </is>
      </c>
      <c r="C12496" s="30" t="n">
        <v>87303411</v>
      </c>
      <c r="D12496" s="30">
        <f>"26982666000186"</f>
        <v/>
      </c>
      <c r="E12496" s="30" t="inlineStr">
        <is>
          <t>REALL FLEX LONGEVIDADE E SAUDE LTDA</t>
        </is>
      </c>
      <c r="F12496" s="30" t="inlineStr">
        <is>
          <t>2018</t>
        </is>
      </c>
      <c r="G12496" s="40" t="n">
        <v>0</v>
      </c>
    </row>
    <row r="12497" ht="12" customHeight="1">
      <c r="A12497" s="30" t="inlineStr">
        <is>
          <t>POR</t>
        </is>
      </c>
      <c r="B12497" s="30" t="inlineStr">
        <is>
          <t>Porto Real</t>
        </is>
      </c>
      <c r="C12497" s="30" t="n">
        <v>87303411</v>
      </c>
      <c r="D12497" s="30">
        <f>"26982666000186"</f>
        <v/>
      </c>
      <c r="E12497" s="30" t="inlineStr">
        <is>
          <t>REALL FLEX LONGEVIDADE E SAUDE LTDA</t>
        </is>
      </c>
      <c r="F12497" s="30" t="inlineStr">
        <is>
          <t>2019</t>
        </is>
      </c>
      <c r="G12497" s="40" t="n">
        <v>0</v>
      </c>
    </row>
    <row r="12498" ht="12" customHeight="1">
      <c r="A12498" s="30" t="inlineStr">
        <is>
          <t>POR</t>
        </is>
      </c>
      <c r="B12498" s="30" t="inlineStr">
        <is>
          <t>Porto Real</t>
        </is>
      </c>
      <c r="C12498" s="30" t="n">
        <v>87303411</v>
      </c>
      <c r="D12498" s="30">
        <f>"26982666000186"</f>
        <v/>
      </c>
      <c r="E12498" s="30" t="inlineStr">
        <is>
          <t>REALL FLEX LONGEVIDADE E SAUDE LTDA</t>
        </is>
      </c>
      <c r="F12498" s="30" t="inlineStr">
        <is>
          <t>2020</t>
        </is>
      </c>
      <c r="G12498" s="40" t="n">
        <v>0</v>
      </c>
    </row>
    <row r="12499" ht="12" customHeight="1">
      <c r="A12499" s="30" t="inlineStr">
        <is>
          <t>POR</t>
        </is>
      </c>
      <c r="B12499" s="30" t="inlineStr">
        <is>
          <t>Porto Real</t>
        </is>
      </c>
      <c r="C12499" s="30" t="n">
        <v>87303411</v>
      </c>
      <c r="D12499" s="30">
        <f>"26982666000186"</f>
        <v/>
      </c>
      <c r="E12499" s="30" t="inlineStr">
        <is>
          <t>REALL FLEX LONGEVIDADE E SAUDE LTDA</t>
        </is>
      </c>
      <c r="F12499" s="30" t="inlineStr">
        <is>
          <t>2021</t>
        </is>
      </c>
      <c r="G12499" s="40" t="n">
        <v>0</v>
      </c>
    </row>
    <row r="12500" ht="12" customHeight="1">
      <c r="A12500" s="30" t="inlineStr">
        <is>
          <t>POR</t>
        </is>
      </c>
      <c r="B12500" s="30" t="inlineStr">
        <is>
          <t>Porto Real</t>
        </is>
      </c>
      <c r="C12500" s="30" t="n">
        <v>87321878</v>
      </c>
      <c r="D12500" s="30">
        <f>"12898982001727"</f>
        <v/>
      </c>
      <c r="E12500" s="30" t="inlineStr">
        <is>
          <t>RITMO LOGISTICA S.A.</t>
        </is>
      </c>
      <c r="F12500" s="30" t="inlineStr">
        <is>
          <t>2017</t>
        </is>
      </c>
      <c r="G12500" s="40" t="n">
        <v>875275.35</v>
      </c>
    </row>
    <row r="12501" ht="12" customHeight="1">
      <c r="A12501" s="30" t="inlineStr">
        <is>
          <t>POR</t>
        </is>
      </c>
      <c r="B12501" s="30" t="inlineStr">
        <is>
          <t>Porto Real</t>
        </is>
      </c>
      <c r="C12501" s="30" t="n">
        <v>87321878</v>
      </c>
      <c r="D12501" s="30">
        <f>"12898982001727"</f>
        <v/>
      </c>
      <c r="E12501" s="30" t="inlineStr">
        <is>
          <t>RITMO LOGISTICA S.A.</t>
        </is>
      </c>
      <c r="F12501" s="30" t="inlineStr">
        <is>
          <t>2018</t>
        </is>
      </c>
      <c r="G12501" s="40" t="n">
        <v>341414.72</v>
      </c>
    </row>
    <row r="12502" ht="12" customHeight="1">
      <c r="A12502" s="30" t="inlineStr">
        <is>
          <t>POR</t>
        </is>
      </c>
      <c r="B12502" s="30" t="inlineStr">
        <is>
          <t>Porto Real</t>
        </is>
      </c>
      <c r="C12502" s="30" t="n">
        <v>87321878</v>
      </c>
      <c r="D12502" s="30">
        <f>"12898982001727"</f>
        <v/>
      </c>
      <c r="E12502" s="30" t="inlineStr">
        <is>
          <t>RITMO LOGISTICA S.A.</t>
        </is>
      </c>
      <c r="F12502" s="30" t="inlineStr">
        <is>
          <t>2019</t>
        </is>
      </c>
      <c r="G12502" s="40" t="n">
        <v>816050.59</v>
      </c>
    </row>
    <row r="12503" ht="12" customHeight="1">
      <c r="A12503" s="30" t="inlineStr">
        <is>
          <t>POR</t>
        </is>
      </c>
      <c r="B12503" s="30" t="inlineStr">
        <is>
          <t>Porto Real</t>
        </is>
      </c>
      <c r="C12503" s="30" t="n">
        <v>87321878</v>
      </c>
      <c r="D12503" s="30">
        <f>"12898982001727"</f>
        <v/>
      </c>
      <c r="E12503" s="30" t="inlineStr">
        <is>
          <t>RITMO LOGISTICA S.A.</t>
        </is>
      </c>
      <c r="F12503" s="30" t="inlineStr">
        <is>
          <t>2020</t>
        </is>
      </c>
      <c r="G12503" s="40" t="n">
        <v>1118597.02</v>
      </c>
    </row>
    <row r="12504" ht="12" customHeight="1">
      <c r="A12504" s="30" t="inlineStr">
        <is>
          <t>POR</t>
        </is>
      </c>
      <c r="B12504" s="30" t="inlineStr">
        <is>
          <t>Porto Real</t>
        </is>
      </c>
      <c r="C12504" s="30" t="n">
        <v>87321878</v>
      </c>
      <c r="D12504" s="30">
        <f>"12898982001727"</f>
        <v/>
      </c>
      <c r="E12504" s="30" t="inlineStr">
        <is>
          <t>RITMO LOGISTICA S.A.</t>
        </is>
      </c>
      <c r="F12504" s="30" t="inlineStr">
        <is>
          <t>2021</t>
        </is>
      </c>
      <c r="G12504" s="40" t="n">
        <v>1161709.78</v>
      </c>
    </row>
    <row r="12505" ht="12" customHeight="1">
      <c r="A12505" s="30" t="inlineStr">
        <is>
          <t>POR</t>
        </is>
      </c>
      <c r="B12505" s="30" t="inlineStr">
        <is>
          <t>Porto Real</t>
        </is>
      </c>
      <c r="C12505" s="30" t="n">
        <v>87321878</v>
      </c>
      <c r="D12505" s="30">
        <f>"12898982001727"</f>
        <v/>
      </c>
      <c r="E12505" s="30" t="inlineStr">
        <is>
          <t>RITMO LOGISTICA S.A.</t>
        </is>
      </c>
      <c r="F12505" s="30" t="inlineStr">
        <is>
          <t>2022</t>
        </is>
      </c>
      <c r="G12505" s="40" t="n">
        <v>2368242.37</v>
      </c>
    </row>
    <row r="12506" ht="12" customHeight="1">
      <c r="A12506" s="30" t="inlineStr">
        <is>
          <t>POR</t>
        </is>
      </c>
      <c r="B12506" s="30" t="inlineStr">
        <is>
          <t>Porto Real</t>
        </is>
      </c>
      <c r="C12506" s="30" t="n">
        <v>87321878</v>
      </c>
      <c r="D12506" s="30">
        <f>"12898982001727"</f>
        <v/>
      </c>
      <c r="E12506" s="30" t="inlineStr">
        <is>
          <t>RITMO LOGISTICA S.A.</t>
        </is>
      </c>
      <c r="F12506" s="30" t="inlineStr">
        <is>
          <t>2023</t>
        </is>
      </c>
      <c r="G12506" s="40" t="n">
        <v>2088377.29</v>
      </c>
    </row>
    <row r="12507" ht="12" customHeight="1">
      <c r="A12507" s="30" t="inlineStr">
        <is>
          <t>POR</t>
        </is>
      </c>
      <c r="B12507" s="30" t="inlineStr">
        <is>
          <t>Porto Real</t>
        </is>
      </c>
      <c r="C12507" s="30" t="n">
        <v>87325415</v>
      </c>
      <c r="D12507" s="30">
        <f>"27276756000114"</f>
        <v/>
      </c>
      <c r="E12507" s="30" t="inlineStr">
        <is>
          <t>QUALITRANS LOGISTICA LTDA EPP</t>
        </is>
      </c>
      <c r="F12507" s="30" t="inlineStr">
        <is>
          <t>2019</t>
        </is>
      </c>
      <c r="G12507" s="40" t="n">
        <v>0</v>
      </c>
    </row>
    <row r="12508" ht="12" customHeight="1">
      <c r="A12508" s="30" t="inlineStr">
        <is>
          <t>POR</t>
        </is>
      </c>
      <c r="B12508" s="30" t="inlineStr">
        <is>
          <t>Porto Real</t>
        </is>
      </c>
      <c r="C12508" s="30" t="n">
        <v>87325415</v>
      </c>
      <c r="D12508" s="30">
        <f>"27276756000114"</f>
        <v/>
      </c>
      <c r="E12508" s="30" t="inlineStr">
        <is>
          <t>QUALITRANS LOGISTICA LTDA EPP</t>
        </is>
      </c>
      <c r="F12508" s="30" t="inlineStr">
        <is>
          <t>2020</t>
        </is>
      </c>
      <c r="G12508" s="40" t="n">
        <v>0</v>
      </c>
    </row>
    <row r="12509" ht="12" customHeight="1">
      <c r="A12509" s="30" t="inlineStr">
        <is>
          <t>POR</t>
        </is>
      </c>
      <c r="B12509" s="30" t="inlineStr">
        <is>
          <t>Porto Real</t>
        </is>
      </c>
      <c r="C12509" s="30" t="n">
        <v>87325415</v>
      </c>
      <c r="D12509" s="30">
        <f>"27276756000114"</f>
        <v/>
      </c>
      <c r="E12509" s="30" t="inlineStr">
        <is>
          <t>QUALITRANS LOGISTICA LTDA EPP</t>
        </is>
      </c>
      <c r="F12509" s="30" t="inlineStr">
        <is>
          <t>2021</t>
        </is>
      </c>
      <c r="G12509" s="40" t="n">
        <v>6093</v>
      </c>
    </row>
    <row r="12510" ht="12" customHeight="1">
      <c r="A12510" s="30" t="inlineStr">
        <is>
          <t>POR</t>
        </is>
      </c>
      <c r="B12510" s="30" t="inlineStr">
        <is>
          <t>Porto Real</t>
        </is>
      </c>
      <c r="C12510" s="30" t="n">
        <v>87325415</v>
      </c>
      <c r="D12510" s="30">
        <f>"27276756000114"</f>
        <v/>
      </c>
      <c r="E12510" s="30" t="inlineStr">
        <is>
          <t>QUALITRANS LOGISTICA LTDA EPP</t>
        </is>
      </c>
      <c r="F12510" s="30" t="inlineStr">
        <is>
          <t>2022</t>
        </is>
      </c>
      <c r="G12510" s="40" t="n">
        <v>0</v>
      </c>
    </row>
    <row r="12511" ht="12" customHeight="1">
      <c r="A12511" s="30" t="inlineStr">
        <is>
          <t>POR</t>
        </is>
      </c>
      <c r="B12511" s="30" t="inlineStr">
        <is>
          <t>Porto Real</t>
        </is>
      </c>
      <c r="C12511" s="30" t="n">
        <v>87325415</v>
      </c>
      <c r="D12511" s="30">
        <f>"27276756000114"</f>
        <v/>
      </c>
      <c r="E12511" s="30" t="inlineStr">
        <is>
          <t>QUALITRANS LOGISTICA LTDA EPP</t>
        </is>
      </c>
      <c r="F12511" s="30" t="inlineStr">
        <is>
          <t>2023</t>
        </is>
      </c>
      <c r="G12511" s="40" t="n">
        <v>0</v>
      </c>
    </row>
    <row r="12512" ht="12" customHeight="1">
      <c r="A12512" s="30" t="inlineStr">
        <is>
          <t>POR</t>
        </is>
      </c>
      <c r="B12512" s="30" t="inlineStr">
        <is>
          <t>Porto Real</t>
        </is>
      </c>
      <c r="C12512" s="30" t="n">
        <v>87326543</v>
      </c>
      <c r="D12512" s="30">
        <f>"13214075000117"</f>
        <v/>
      </c>
      <c r="E12512" s="30" t="inlineStr">
        <is>
          <t>PROLOG TRANSPORTES E LOGISTICA LTDA ME</t>
        </is>
      </c>
      <c r="F12512" s="30" t="inlineStr">
        <is>
          <t>2021</t>
        </is>
      </c>
      <c r="G12512" s="40" t="n">
        <v>0</v>
      </c>
    </row>
    <row r="12513" ht="12" customHeight="1">
      <c r="A12513" s="30" t="inlineStr">
        <is>
          <t>POR</t>
        </is>
      </c>
      <c r="B12513" s="30" t="inlineStr">
        <is>
          <t>Porto Real</t>
        </is>
      </c>
      <c r="C12513" s="30" t="n">
        <v>87326543</v>
      </c>
      <c r="D12513" s="30">
        <f>"13214075000117"</f>
        <v/>
      </c>
      <c r="E12513" s="30" t="inlineStr">
        <is>
          <t>PROLOG TRANSPORTES E LOGISTICA LTDA ME</t>
        </is>
      </c>
      <c r="F12513" s="30" t="inlineStr">
        <is>
          <t>2022</t>
        </is>
      </c>
      <c r="G12513" s="40" t="n">
        <v>0</v>
      </c>
    </row>
    <row r="12514" ht="12" customHeight="1">
      <c r="A12514" s="30" t="inlineStr">
        <is>
          <t>POR</t>
        </is>
      </c>
      <c r="B12514" s="30" t="inlineStr">
        <is>
          <t>Porto Real</t>
        </is>
      </c>
      <c r="C12514" s="30" t="n">
        <v>87326543</v>
      </c>
      <c r="D12514" s="30">
        <f>"13214075000117"</f>
        <v/>
      </c>
      <c r="E12514" s="30" t="inlineStr">
        <is>
          <t>PROLOG TRANSPORTES E LOGISTICA LTDA ME</t>
        </is>
      </c>
      <c r="F12514" s="30" t="inlineStr">
        <is>
          <t>2023</t>
        </is>
      </c>
      <c r="G12514" s="40" t="n">
        <v>75</v>
      </c>
    </row>
    <row r="12515" ht="12" customHeight="1">
      <c r="A12515" s="30" t="inlineStr">
        <is>
          <t>POR</t>
        </is>
      </c>
      <c r="B12515" s="30" t="inlineStr">
        <is>
          <t>Porto Real</t>
        </is>
      </c>
      <c r="C12515" s="30" t="n">
        <v>87335950</v>
      </c>
      <c r="D12515" s="30">
        <f>"08686200000151"</f>
        <v/>
      </c>
      <c r="E12515" s="30" t="inlineStr">
        <is>
          <t>ASTM TRANSPORTES E LOCACAO DE VEICULOS LTDA</t>
        </is>
      </c>
      <c r="F12515" s="30" t="inlineStr">
        <is>
          <t>2020</t>
        </is>
      </c>
      <c r="G12515" s="40" t="n">
        <v>0</v>
      </c>
    </row>
    <row r="12516" ht="12" customHeight="1">
      <c r="A12516" s="30" t="inlineStr">
        <is>
          <t>POR</t>
        </is>
      </c>
      <c r="B12516" s="30" t="inlineStr">
        <is>
          <t>Porto Real</t>
        </is>
      </c>
      <c r="C12516" s="30" t="n">
        <v>87335950</v>
      </c>
      <c r="D12516" s="30">
        <f>"08686200000151"</f>
        <v/>
      </c>
      <c r="E12516" s="30" t="inlineStr">
        <is>
          <t>ASTM TRANSPORTES E LOCACAO DE VEICULOS LTDA</t>
        </is>
      </c>
      <c r="F12516" s="30" t="inlineStr">
        <is>
          <t>2021</t>
        </is>
      </c>
      <c r="G12516" s="40" t="n">
        <v>0</v>
      </c>
    </row>
    <row r="12517" ht="12" customHeight="1">
      <c r="A12517" s="30" t="inlineStr">
        <is>
          <t>POR</t>
        </is>
      </c>
      <c r="B12517" s="30" t="inlineStr">
        <is>
          <t>Porto Real</t>
        </is>
      </c>
      <c r="C12517" s="30" t="n">
        <v>87335950</v>
      </c>
      <c r="D12517" s="30">
        <f>"08686200000151"</f>
        <v/>
      </c>
      <c r="E12517" s="30" t="inlineStr">
        <is>
          <t>ASTM TRANSPORTES E LOCACAO DE VEICULOS LTDA</t>
        </is>
      </c>
      <c r="F12517" s="30" t="inlineStr">
        <is>
          <t>2022</t>
        </is>
      </c>
      <c r="G12517" s="40" t="n">
        <v>0.13</v>
      </c>
    </row>
    <row r="12518" ht="12" customHeight="1">
      <c r="A12518" s="30" t="inlineStr">
        <is>
          <t>POR</t>
        </is>
      </c>
      <c r="B12518" s="30" t="inlineStr">
        <is>
          <t>Porto Real</t>
        </is>
      </c>
      <c r="C12518" s="30" t="n">
        <v>87335950</v>
      </c>
      <c r="D12518" s="30">
        <f>"08686200000151"</f>
        <v/>
      </c>
      <c r="E12518" s="30" t="inlineStr">
        <is>
          <t>ASTM TRANSPORTES E LOCACAO DE VEICULOS LTDA</t>
        </is>
      </c>
      <c r="F12518" s="30" t="inlineStr">
        <is>
          <t>2023</t>
        </is>
      </c>
      <c r="G12518" s="40" t="n">
        <v>0</v>
      </c>
    </row>
    <row r="12519" ht="12" customHeight="1">
      <c r="A12519" s="30" t="inlineStr">
        <is>
          <t>POR</t>
        </is>
      </c>
      <c r="B12519" s="30" t="inlineStr">
        <is>
          <t>Porto Real</t>
        </is>
      </c>
      <c r="C12519" s="30" t="n">
        <v>87342310</v>
      </c>
      <c r="D12519" s="30">
        <f>"27499456000102"</f>
        <v/>
      </c>
      <c r="E12519" s="30" t="inlineStr">
        <is>
          <t>LLF TRANSPORTE E LOGISTICA EIRELI</t>
        </is>
      </c>
      <c r="F12519" s="30" t="inlineStr">
        <is>
          <t>2021</t>
        </is>
      </c>
      <c r="G12519" s="40" t="n">
        <v>0</v>
      </c>
    </row>
    <row r="12520" ht="12" customHeight="1">
      <c r="A12520" s="30" t="inlineStr">
        <is>
          <t>POR</t>
        </is>
      </c>
      <c r="B12520" s="30" t="inlineStr">
        <is>
          <t>Porto Real</t>
        </is>
      </c>
      <c r="C12520" s="30" t="n">
        <v>87342310</v>
      </c>
      <c r="D12520" s="30">
        <f>"27499456000102"</f>
        <v/>
      </c>
      <c r="E12520" s="30" t="inlineStr">
        <is>
          <t>LLF TRANSPORTE E LOGISTICA EIRELI</t>
        </is>
      </c>
      <c r="F12520" s="30" t="inlineStr">
        <is>
          <t>2022</t>
        </is>
      </c>
      <c r="G12520" s="40" t="n">
        <v>0</v>
      </c>
    </row>
    <row r="12521" ht="12" customHeight="1">
      <c r="A12521" s="30" t="inlineStr">
        <is>
          <t>POR</t>
        </is>
      </c>
      <c r="B12521" s="30" t="inlineStr">
        <is>
          <t>Porto Real</t>
        </is>
      </c>
      <c r="C12521" s="30" t="n">
        <v>87342310</v>
      </c>
      <c r="D12521" s="30">
        <f>"27499456000102"</f>
        <v/>
      </c>
      <c r="E12521" s="30" t="inlineStr">
        <is>
          <t>LLF TRANSPORTE E LOGISTICA EIRELI</t>
        </is>
      </c>
      <c r="F12521" s="30" t="inlineStr">
        <is>
          <t>2023</t>
        </is>
      </c>
      <c r="G12521" s="40" t="n">
        <v>5504.82</v>
      </c>
    </row>
    <row r="12522" ht="12" customHeight="1">
      <c r="A12522" s="30" t="inlineStr">
        <is>
          <t>POR</t>
        </is>
      </c>
      <c r="B12522" s="30" t="inlineStr">
        <is>
          <t>Porto Real</t>
        </is>
      </c>
      <c r="C12522" s="30" t="n">
        <v>87346862</v>
      </c>
      <c r="D12522" s="30">
        <f>"27389429000179"</f>
        <v/>
      </c>
      <c r="E12522" s="30" t="inlineStr">
        <is>
          <t>MERCEARIA ANJO GABRIEL LTDA ME</t>
        </is>
      </c>
      <c r="F12522" s="30" t="inlineStr">
        <is>
          <t>2019</t>
        </is>
      </c>
      <c r="G12522" s="40" t="n">
        <v>0</v>
      </c>
    </row>
    <row r="12523" ht="12" customHeight="1">
      <c r="A12523" s="30" t="inlineStr">
        <is>
          <t>POR</t>
        </is>
      </c>
      <c r="B12523" s="30" t="inlineStr">
        <is>
          <t>Porto Real</t>
        </is>
      </c>
      <c r="C12523" s="30" t="n">
        <v>87346862</v>
      </c>
      <c r="D12523" s="30">
        <f>"27389429000179"</f>
        <v/>
      </c>
      <c r="E12523" s="30" t="inlineStr">
        <is>
          <t>MERCEARIA ANJO GABRIEL LTDA ME</t>
        </is>
      </c>
      <c r="F12523" s="30" t="inlineStr">
        <is>
          <t>2020</t>
        </is>
      </c>
      <c r="G12523" s="40" t="n">
        <v>0</v>
      </c>
    </row>
    <row r="12524" ht="12" customHeight="1">
      <c r="A12524" s="30" t="inlineStr">
        <is>
          <t>POR</t>
        </is>
      </c>
      <c r="B12524" s="30" t="inlineStr">
        <is>
          <t>Porto Real</t>
        </is>
      </c>
      <c r="C12524" s="30" t="n">
        <v>87346862</v>
      </c>
      <c r="D12524" s="30">
        <f>"27389429000179"</f>
        <v/>
      </c>
      <c r="E12524" s="30" t="inlineStr">
        <is>
          <t>MERCEARIA ANJO GABRIEL LTDA ME</t>
        </is>
      </c>
      <c r="F12524" s="30" t="inlineStr">
        <is>
          <t>2021</t>
        </is>
      </c>
      <c r="G12524" s="40" t="n">
        <v>734179.51</v>
      </c>
    </row>
    <row r="12525" ht="12" customHeight="1">
      <c r="A12525" s="30" t="inlineStr">
        <is>
          <t>POR</t>
        </is>
      </c>
      <c r="B12525" s="30" t="inlineStr">
        <is>
          <t>Porto Real</t>
        </is>
      </c>
      <c r="C12525" s="30" t="n">
        <v>87346862</v>
      </c>
      <c r="D12525" s="30">
        <f>"27389429000179"</f>
        <v/>
      </c>
      <c r="E12525" s="30" t="inlineStr">
        <is>
          <t>MERCEARIA ANJO GABRIEL LTDA ME</t>
        </is>
      </c>
      <c r="F12525" s="30" t="inlineStr">
        <is>
          <t>2022</t>
        </is>
      </c>
      <c r="G12525" s="40" t="n">
        <v>2020983.91</v>
      </c>
    </row>
    <row r="12526" ht="12" customHeight="1">
      <c r="A12526" s="30" t="inlineStr">
        <is>
          <t>POR</t>
        </is>
      </c>
      <c r="B12526" s="30" t="inlineStr">
        <is>
          <t>Porto Real</t>
        </is>
      </c>
      <c r="C12526" s="30" t="n">
        <v>87346862</v>
      </c>
      <c r="D12526" s="30">
        <f>"27389429000179"</f>
        <v/>
      </c>
      <c r="E12526" s="30" t="inlineStr">
        <is>
          <t>MERCEARIA ANJO GABRIEL LTDA ME</t>
        </is>
      </c>
      <c r="F12526" s="30" t="inlineStr">
        <is>
          <t>2023</t>
        </is>
      </c>
      <c r="G12526" s="40" t="n">
        <v>2524494.51</v>
      </c>
    </row>
    <row r="12527" ht="12" customHeight="1">
      <c r="A12527" s="30" t="inlineStr">
        <is>
          <t>POR</t>
        </is>
      </c>
      <c r="B12527" s="30" t="inlineStr">
        <is>
          <t>Porto Real</t>
        </is>
      </c>
      <c r="C12527" s="30" t="n">
        <v>87347583</v>
      </c>
      <c r="D12527" s="30">
        <f>"00532022000283"</f>
        <v/>
      </c>
      <c r="E12527" s="30" t="inlineStr">
        <is>
          <t>KRAFTPACK EMBALAGENS LTDA</t>
        </is>
      </c>
      <c r="F12527" s="30" t="inlineStr">
        <is>
          <t>2017</t>
        </is>
      </c>
      <c r="G12527" s="40" t="n">
        <v>0</v>
      </c>
    </row>
    <row r="12528" ht="12" customHeight="1">
      <c r="A12528" s="30" t="inlineStr">
        <is>
          <t>POR</t>
        </is>
      </c>
      <c r="B12528" s="30" t="inlineStr">
        <is>
          <t>Porto Real</t>
        </is>
      </c>
      <c r="C12528" s="30" t="n">
        <v>87347583</v>
      </c>
      <c r="D12528" s="30">
        <f>"00532022000283"</f>
        <v/>
      </c>
      <c r="E12528" s="30" t="inlineStr">
        <is>
          <t>KRAFTPACK EMBALAGENS LTDA</t>
        </is>
      </c>
      <c r="F12528" s="30" t="inlineStr">
        <is>
          <t>2018</t>
        </is>
      </c>
      <c r="G12528" s="40" t="n">
        <v>0</v>
      </c>
    </row>
    <row r="12529" ht="12" customHeight="1">
      <c r="A12529" s="30" t="inlineStr">
        <is>
          <t>POR</t>
        </is>
      </c>
      <c r="B12529" s="30" t="inlineStr">
        <is>
          <t>Porto Real</t>
        </is>
      </c>
      <c r="C12529" s="30" t="n">
        <v>87347583</v>
      </c>
      <c r="D12529" s="30">
        <f>"00532022000283"</f>
        <v/>
      </c>
      <c r="E12529" s="30" t="inlineStr">
        <is>
          <t>KRAFTPACK EMBALAGENS LTDA</t>
        </is>
      </c>
      <c r="F12529" s="30" t="inlineStr">
        <is>
          <t>2019</t>
        </is>
      </c>
      <c r="G12529" s="40" t="n">
        <v>0</v>
      </c>
    </row>
    <row r="12530" ht="12" customHeight="1">
      <c r="A12530" s="30" t="inlineStr">
        <is>
          <t>POR</t>
        </is>
      </c>
      <c r="B12530" s="30" t="inlineStr">
        <is>
          <t>Porto Real</t>
        </is>
      </c>
      <c r="C12530" s="30" t="n">
        <v>87347583</v>
      </c>
      <c r="D12530" s="30">
        <f>"00532022000283"</f>
        <v/>
      </c>
      <c r="E12530" s="30" t="inlineStr">
        <is>
          <t>KRAFTPACK EMBALAGENS LTDA</t>
        </is>
      </c>
      <c r="F12530" s="30" t="inlineStr">
        <is>
          <t>2020</t>
        </is>
      </c>
      <c r="G12530" s="40" t="n">
        <v>0</v>
      </c>
    </row>
    <row r="12531" ht="12" customHeight="1">
      <c r="A12531" s="30" t="inlineStr">
        <is>
          <t>POR</t>
        </is>
      </c>
      <c r="B12531" s="30" t="inlineStr">
        <is>
          <t>Porto Real</t>
        </is>
      </c>
      <c r="C12531" s="30" t="n">
        <v>87347583</v>
      </c>
      <c r="D12531" s="30">
        <f>"00532022000283"</f>
        <v/>
      </c>
      <c r="E12531" s="30" t="inlineStr">
        <is>
          <t>KRAFTPACK EMBALAGENS LTDA</t>
        </is>
      </c>
      <c r="F12531" s="30" t="inlineStr">
        <is>
          <t>2021</t>
        </is>
      </c>
      <c r="G12531" s="40" t="n">
        <v>0</v>
      </c>
    </row>
    <row r="12532" ht="12" customHeight="1">
      <c r="A12532" s="30" t="inlineStr">
        <is>
          <t>POR</t>
        </is>
      </c>
      <c r="B12532" s="30" t="inlineStr">
        <is>
          <t>Porto Real</t>
        </is>
      </c>
      <c r="C12532" s="30" t="n">
        <v>87347583</v>
      </c>
      <c r="D12532" s="30">
        <f>"00532022000283"</f>
        <v/>
      </c>
      <c r="E12532" s="30" t="inlineStr">
        <is>
          <t>KRAFTPACK EMBALAGENS LTDA</t>
        </is>
      </c>
      <c r="F12532" s="30" t="inlineStr">
        <is>
          <t>2022</t>
        </is>
      </c>
      <c r="G12532" s="40" t="n">
        <v>0</v>
      </c>
    </row>
    <row r="12533" ht="12" customHeight="1">
      <c r="A12533" s="30" t="inlineStr">
        <is>
          <t>POR</t>
        </is>
      </c>
      <c r="B12533" s="30" t="inlineStr">
        <is>
          <t>Porto Real</t>
        </is>
      </c>
      <c r="C12533" s="30" t="n">
        <v>87347583</v>
      </c>
      <c r="D12533" s="30">
        <f>"00532022000283"</f>
        <v/>
      </c>
      <c r="E12533" s="30" t="inlineStr">
        <is>
          <t>KRAFTPACK EMBALAGENS LTDA</t>
        </is>
      </c>
      <c r="F12533" s="30" t="inlineStr">
        <is>
          <t>2023</t>
        </is>
      </c>
      <c r="G12533" s="40" t="n">
        <v>0</v>
      </c>
    </row>
    <row r="12534" ht="12" customHeight="1">
      <c r="A12534" s="30" t="inlineStr">
        <is>
          <t>POR</t>
        </is>
      </c>
      <c r="B12534" s="30" t="inlineStr">
        <is>
          <t>Porto Real</t>
        </is>
      </c>
      <c r="C12534" s="30" t="n">
        <v>87351688</v>
      </c>
      <c r="D12534" s="30">
        <f>"27621139000109"</f>
        <v/>
      </c>
      <c r="E12534" s="30" t="inlineStr">
        <is>
          <t>KAERU INDUSTRIA E COMERCIO DE PECAS USINADAS LTDA</t>
        </is>
      </c>
      <c r="F12534" s="30" t="inlineStr">
        <is>
          <t>2017</t>
        </is>
      </c>
      <c r="G12534" s="40" t="n">
        <v>8966842.51</v>
      </c>
    </row>
    <row r="12535" ht="12" customHeight="1">
      <c r="A12535" s="30" t="inlineStr">
        <is>
          <t>POR</t>
        </is>
      </c>
      <c r="B12535" s="30" t="inlineStr">
        <is>
          <t>Porto Real</t>
        </is>
      </c>
      <c r="C12535" s="30" t="n">
        <v>87351688</v>
      </c>
      <c r="D12535" s="30">
        <f>"27621139000109"</f>
        <v/>
      </c>
      <c r="E12535" s="30" t="inlineStr">
        <is>
          <t>KAERU INDUSTRIA E COMERCIO DE PECAS USINADAS LTDA</t>
        </is>
      </c>
      <c r="F12535" s="30" t="inlineStr">
        <is>
          <t>2018</t>
        </is>
      </c>
      <c r="G12535" s="40" t="n">
        <v>9729316.17</v>
      </c>
    </row>
    <row r="12536" ht="12" customHeight="1">
      <c r="A12536" s="30" t="inlineStr">
        <is>
          <t>POR</t>
        </is>
      </c>
      <c r="B12536" s="30" t="inlineStr">
        <is>
          <t>Porto Real</t>
        </is>
      </c>
      <c r="C12536" s="30" t="n">
        <v>87351688</v>
      </c>
      <c r="D12536" s="30">
        <f>"27621139000109"</f>
        <v/>
      </c>
      <c r="E12536" s="30" t="inlineStr">
        <is>
          <t>KAERU INDUSTRIA E COMERCIO DE PECAS USINADAS LTDA</t>
        </is>
      </c>
      <c r="F12536" s="30" t="inlineStr">
        <is>
          <t>2019</t>
        </is>
      </c>
      <c r="G12536" s="40" t="n">
        <v>7269628.96</v>
      </c>
    </row>
    <row r="12537" ht="12" customHeight="1">
      <c r="A12537" s="30" t="inlineStr">
        <is>
          <t>POR</t>
        </is>
      </c>
      <c r="B12537" s="30" t="inlineStr">
        <is>
          <t>Porto Real</t>
        </is>
      </c>
      <c r="C12537" s="30" t="n">
        <v>87351688</v>
      </c>
      <c r="D12537" s="30">
        <f>"27621139000109"</f>
        <v/>
      </c>
      <c r="E12537" s="30" t="inlineStr">
        <is>
          <t>KAERU INDUSTRIA E COMERCIO DE PECAS USINADAS LTDA</t>
        </is>
      </c>
      <c r="F12537" s="30" t="inlineStr">
        <is>
          <t>2020</t>
        </is>
      </c>
      <c r="G12537" s="40" t="n">
        <v>5613838.85</v>
      </c>
    </row>
    <row r="12538" ht="12" customHeight="1">
      <c r="A12538" s="30" t="inlineStr">
        <is>
          <t>POR</t>
        </is>
      </c>
      <c r="B12538" s="30" t="inlineStr">
        <is>
          <t>Porto Real</t>
        </is>
      </c>
      <c r="C12538" s="30" t="n">
        <v>87351688</v>
      </c>
      <c r="D12538" s="30">
        <f>"27621139000109"</f>
        <v/>
      </c>
      <c r="E12538" s="30" t="inlineStr">
        <is>
          <t>KAERU INDUSTRIA E COMERCIO DE PECAS USINADAS LTDA</t>
        </is>
      </c>
      <c r="F12538" s="30" t="inlineStr">
        <is>
          <t>2021</t>
        </is>
      </c>
      <c r="G12538" s="40" t="n">
        <v>9268573.699999999</v>
      </c>
    </row>
    <row r="12539" ht="12" customHeight="1">
      <c r="A12539" s="30" t="inlineStr">
        <is>
          <t>POR</t>
        </is>
      </c>
      <c r="B12539" s="30" t="inlineStr">
        <is>
          <t>Porto Real</t>
        </is>
      </c>
      <c r="C12539" s="30" t="n">
        <v>87351688</v>
      </c>
      <c r="D12539" s="30">
        <f>"27621139000109"</f>
        <v/>
      </c>
      <c r="E12539" s="30" t="inlineStr">
        <is>
          <t>KAERU INDUSTRIA E COMERCIO DE PECAS USINADAS LTDA</t>
        </is>
      </c>
      <c r="F12539" s="30" t="inlineStr">
        <is>
          <t>2022</t>
        </is>
      </c>
      <c r="G12539" s="40" t="n">
        <v>7516153.61</v>
      </c>
    </row>
    <row r="12540" ht="12" customHeight="1">
      <c r="A12540" s="30" t="inlineStr">
        <is>
          <t>POR</t>
        </is>
      </c>
      <c r="B12540" s="30" t="inlineStr">
        <is>
          <t>Porto Real</t>
        </is>
      </c>
      <c r="C12540" s="30" t="n">
        <v>87351688</v>
      </c>
      <c r="D12540" s="30">
        <f>"27621139000109"</f>
        <v/>
      </c>
      <c r="E12540" s="30" t="inlineStr">
        <is>
          <t>KAERU INDUSTRIA E COMERCIO DE PECAS USINADAS LTDA</t>
        </is>
      </c>
      <c r="F12540" s="30" t="inlineStr">
        <is>
          <t>2023</t>
        </is>
      </c>
      <c r="G12540" s="40" t="n">
        <v>0</v>
      </c>
    </row>
    <row r="12541" ht="12" customHeight="1">
      <c r="A12541" s="30" t="inlineStr">
        <is>
          <t>POR</t>
        </is>
      </c>
      <c r="B12541" s="30" t="inlineStr">
        <is>
          <t>Porto Real</t>
        </is>
      </c>
      <c r="C12541" s="30" t="n">
        <v>87354628</v>
      </c>
      <c r="D12541" s="30">
        <f>"05529929000479"</f>
        <v/>
      </c>
      <c r="E12541" s="30" t="inlineStr">
        <is>
          <t>AEROFLEX CARGO E LOGISTICA EIRELI - ME</t>
        </is>
      </c>
      <c r="F12541" s="30" t="inlineStr">
        <is>
          <t>2018</t>
        </is>
      </c>
      <c r="G12541" s="40" t="n">
        <v>0</v>
      </c>
    </row>
    <row r="12542" ht="12" customHeight="1">
      <c r="A12542" s="30" t="inlineStr">
        <is>
          <t>POR</t>
        </is>
      </c>
      <c r="B12542" s="30" t="inlineStr">
        <is>
          <t>Porto Real</t>
        </is>
      </c>
      <c r="C12542" s="30" t="n">
        <v>87354628</v>
      </c>
      <c r="D12542" s="30">
        <f>"05529929000479"</f>
        <v/>
      </c>
      <c r="E12542" s="30" t="inlineStr">
        <is>
          <t>AEROFLEX CARGO E LOGISTICA EIRELI - ME</t>
        </is>
      </c>
      <c r="F12542" s="30" t="inlineStr">
        <is>
          <t>2019</t>
        </is>
      </c>
      <c r="G12542" s="40" t="n">
        <v>0</v>
      </c>
    </row>
    <row r="12543" ht="12" customHeight="1">
      <c r="A12543" s="30" t="inlineStr">
        <is>
          <t>POR</t>
        </is>
      </c>
      <c r="B12543" s="30" t="inlineStr">
        <is>
          <t>Porto Real</t>
        </is>
      </c>
      <c r="C12543" s="30" t="n">
        <v>87354628</v>
      </c>
      <c r="D12543" s="30">
        <f>"05529929000479"</f>
        <v/>
      </c>
      <c r="E12543" s="30" t="inlineStr">
        <is>
          <t>AEROFLEX CARGO E LOGISTICA EIRELI - ME</t>
        </is>
      </c>
      <c r="F12543" s="30" t="inlineStr">
        <is>
          <t>2020</t>
        </is>
      </c>
      <c r="G12543" s="40" t="n">
        <v>1671.76</v>
      </c>
    </row>
    <row r="12544" ht="12" customHeight="1">
      <c r="A12544" s="30" t="inlineStr">
        <is>
          <t>POR</t>
        </is>
      </c>
      <c r="B12544" s="30" t="inlineStr">
        <is>
          <t>Porto Real</t>
        </is>
      </c>
      <c r="C12544" s="30" t="n">
        <v>87354628</v>
      </c>
      <c r="D12544" s="30">
        <f>"05529929000479"</f>
        <v/>
      </c>
      <c r="E12544" s="30" t="inlineStr">
        <is>
          <t>AEROFLEX CARGO E LOGISTICA EIRELI - ME</t>
        </is>
      </c>
      <c r="F12544" s="30" t="inlineStr">
        <is>
          <t>2021</t>
        </is>
      </c>
      <c r="G12544" s="40" t="n">
        <v>0</v>
      </c>
    </row>
    <row r="12545" ht="12" customHeight="1">
      <c r="A12545" s="30" t="inlineStr">
        <is>
          <t>POR</t>
        </is>
      </c>
      <c r="B12545" s="30" t="inlineStr">
        <is>
          <t>Porto Real</t>
        </is>
      </c>
      <c r="C12545" s="30" t="n">
        <v>87354628</v>
      </c>
      <c r="D12545" s="30">
        <f>"05529929000479"</f>
        <v/>
      </c>
      <c r="E12545" s="30" t="inlineStr">
        <is>
          <t>AEROFLEX CARGO E LOGISTICA EIRELI - ME</t>
        </is>
      </c>
      <c r="F12545" s="30" t="inlineStr">
        <is>
          <t>2022</t>
        </is>
      </c>
      <c r="G12545" s="40" t="n">
        <v>0</v>
      </c>
    </row>
    <row r="12546" ht="12" customHeight="1">
      <c r="A12546" s="30" t="inlineStr">
        <is>
          <t>POR</t>
        </is>
      </c>
      <c r="B12546" s="30" t="inlineStr">
        <is>
          <t>Porto Real</t>
        </is>
      </c>
      <c r="C12546" s="30" t="n">
        <v>87354741</v>
      </c>
      <c r="D12546" s="30">
        <f>"89823918003755"</f>
        <v/>
      </c>
      <c r="E12546" s="30" t="inlineStr">
        <is>
          <t>TRANSPORTES TRANSLOVATO LTDA</t>
        </is>
      </c>
      <c r="F12546" s="30" t="inlineStr">
        <is>
          <t>2018</t>
        </is>
      </c>
      <c r="G12546" s="40" t="n">
        <v>0</v>
      </c>
    </row>
    <row r="12547" ht="12" customHeight="1">
      <c r="A12547" s="30" t="inlineStr">
        <is>
          <t>POR</t>
        </is>
      </c>
      <c r="B12547" s="30" t="inlineStr">
        <is>
          <t>Porto Real</t>
        </is>
      </c>
      <c r="C12547" s="30" t="n">
        <v>87354741</v>
      </c>
      <c r="D12547" s="30">
        <f>"89823918003755"</f>
        <v/>
      </c>
      <c r="E12547" s="30" t="inlineStr">
        <is>
          <t>TRANSPORTES TRANSLOVATO LTDA</t>
        </is>
      </c>
      <c r="F12547" s="30" t="inlineStr">
        <is>
          <t>2019</t>
        </is>
      </c>
      <c r="G12547" s="40" t="n">
        <v>0</v>
      </c>
    </row>
    <row r="12548" ht="12" customHeight="1">
      <c r="A12548" s="30" t="inlineStr">
        <is>
          <t>POR</t>
        </is>
      </c>
      <c r="B12548" s="30" t="inlineStr">
        <is>
          <t>Porto Real</t>
        </is>
      </c>
      <c r="C12548" s="30" t="n">
        <v>87354741</v>
      </c>
      <c r="D12548" s="30">
        <f>"89823918003755"</f>
        <v/>
      </c>
      <c r="E12548" s="30" t="inlineStr">
        <is>
          <t>TRANSPORTES TRANSLOVATO LTDA</t>
        </is>
      </c>
      <c r="F12548" s="30" t="inlineStr">
        <is>
          <t>2020</t>
        </is>
      </c>
      <c r="G12548" s="40" t="n">
        <v>69.34</v>
      </c>
    </row>
    <row r="12549" ht="12" customHeight="1">
      <c r="A12549" s="30" t="inlineStr">
        <is>
          <t>POR</t>
        </is>
      </c>
      <c r="B12549" s="30" t="inlineStr">
        <is>
          <t>Porto Real</t>
        </is>
      </c>
      <c r="C12549" s="30" t="n">
        <v>87354741</v>
      </c>
      <c r="D12549" s="30">
        <f>"89823918003755"</f>
        <v/>
      </c>
      <c r="E12549" s="30" t="inlineStr">
        <is>
          <t>TRANSPORTES TRANSLOVATO LTDA</t>
        </is>
      </c>
      <c r="F12549" s="30" t="inlineStr">
        <is>
          <t>2021</t>
        </is>
      </c>
      <c r="G12549" s="40" t="n">
        <v>0</v>
      </c>
    </row>
    <row r="12550" ht="12" customHeight="1">
      <c r="A12550" s="30" t="inlineStr">
        <is>
          <t>POR</t>
        </is>
      </c>
      <c r="B12550" s="30" t="inlineStr">
        <is>
          <t>Porto Real</t>
        </is>
      </c>
      <c r="C12550" s="30" t="n">
        <v>87354741</v>
      </c>
      <c r="D12550" s="30">
        <f>"89823918003755"</f>
        <v/>
      </c>
      <c r="E12550" s="30" t="inlineStr">
        <is>
          <t>TRANSPORTES TRANSLOVATO LTDA</t>
        </is>
      </c>
      <c r="F12550" s="30" t="inlineStr">
        <is>
          <t>2022</t>
        </is>
      </c>
      <c r="G12550" s="40" t="n">
        <v>668.42</v>
      </c>
    </row>
    <row r="12551" ht="12" customHeight="1">
      <c r="A12551" s="30" t="inlineStr">
        <is>
          <t>POR</t>
        </is>
      </c>
      <c r="B12551" s="30" t="inlineStr">
        <is>
          <t>Porto Real</t>
        </is>
      </c>
      <c r="C12551" s="30" t="n">
        <v>87354741</v>
      </c>
      <c r="D12551" s="30">
        <f>"89823918003755"</f>
        <v/>
      </c>
      <c r="E12551" s="30" t="inlineStr">
        <is>
          <t>TRANSPORTES TRANSLOVATO LTDA</t>
        </is>
      </c>
      <c r="F12551" s="30" t="inlineStr">
        <is>
          <t>2023</t>
        </is>
      </c>
      <c r="G12551" s="40" t="n">
        <v>362.72</v>
      </c>
    </row>
    <row r="12552" ht="12" customHeight="1">
      <c r="A12552" s="30" t="inlineStr">
        <is>
          <t>POR</t>
        </is>
      </c>
      <c r="B12552" s="30" t="inlineStr">
        <is>
          <t>Porto Real</t>
        </is>
      </c>
      <c r="C12552" s="30" t="n">
        <v>87363660</v>
      </c>
      <c r="D12552" s="30">
        <f>"27717731000109"</f>
        <v/>
      </c>
      <c r="E12552" s="30" t="inlineStr">
        <is>
          <t>GOMES E SOUZA COMERCIO E PRESTACAO DE SERVICOS LTDA ME</t>
        </is>
      </c>
      <c r="F12552" s="30" t="inlineStr">
        <is>
          <t>2017</t>
        </is>
      </c>
      <c r="G12552" s="40" t="n">
        <v>0</v>
      </c>
    </row>
    <row r="12553" ht="12" customHeight="1">
      <c r="A12553" s="30" t="inlineStr">
        <is>
          <t>POR</t>
        </is>
      </c>
      <c r="B12553" s="30" t="inlineStr">
        <is>
          <t>Porto Real</t>
        </is>
      </c>
      <c r="C12553" s="30" t="n">
        <v>87363660</v>
      </c>
      <c r="D12553" s="30">
        <f>"27717731000109"</f>
        <v/>
      </c>
      <c r="E12553" s="30" t="inlineStr">
        <is>
          <t>GOMES E SOUZA COMERCIO E PRESTACAO DE SERVICOS LTDA ME</t>
        </is>
      </c>
      <c r="F12553" s="30" t="inlineStr">
        <is>
          <t>2018</t>
        </is>
      </c>
      <c r="G12553" s="40" t="n">
        <v>0</v>
      </c>
    </row>
    <row r="12554" ht="12" customHeight="1">
      <c r="A12554" s="30" t="inlineStr">
        <is>
          <t>POR</t>
        </is>
      </c>
      <c r="B12554" s="30" t="inlineStr">
        <is>
          <t>Porto Real</t>
        </is>
      </c>
      <c r="C12554" s="30" t="n">
        <v>87363660</v>
      </c>
      <c r="D12554" s="30">
        <f>"27717731000109"</f>
        <v/>
      </c>
      <c r="E12554" s="30" t="inlineStr">
        <is>
          <t>GOMES E SOUZA COMERCIO E PRESTACAO DE SERVICOS LTDA ME</t>
        </is>
      </c>
      <c r="F12554" s="30" t="inlineStr">
        <is>
          <t>2019</t>
        </is>
      </c>
      <c r="G12554" s="40" t="n">
        <v>0</v>
      </c>
    </row>
    <row r="12555" ht="12" customHeight="1">
      <c r="A12555" s="30" t="inlineStr">
        <is>
          <t>POR</t>
        </is>
      </c>
      <c r="B12555" s="30" t="inlineStr">
        <is>
          <t>Porto Real</t>
        </is>
      </c>
      <c r="C12555" s="30" t="n">
        <v>87366774</v>
      </c>
      <c r="D12555" s="30">
        <f>"18233211001373"</f>
        <v/>
      </c>
      <c r="E12555" s="30" t="inlineStr">
        <is>
          <t>FL BRASIL HOLDING LOGISTICA E TRANSPORTE LTDA</t>
        </is>
      </c>
      <c r="F12555" s="30" t="inlineStr">
        <is>
          <t>2017</t>
        </is>
      </c>
      <c r="G12555" s="40" t="n">
        <v>0</v>
      </c>
    </row>
    <row r="12556" ht="12" customHeight="1">
      <c r="A12556" s="30" t="inlineStr">
        <is>
          <t>POR</t>
        </is>
      </c>
      <c r="B12556" s="30" t="inlineStr">
        <is>
          <t>Porto Real</t>
        </is>
      </c>
      <c r="C12556" s="30" t="n">
        <v>87366774</v>
      </c>
      <c r="D12556" s="30">
        <f>"18233211001373"</f>
        <v/>
      </c>
      <c r="E12556" s="30" t="inlineStr">
        <is>
          <t>FL BRASIL HOLDING LOGISTICA E TRANSPORTE LTDA</t>
        </is>
      </c>
      <c r="F12556" s="30" t="inlineStr">
        <is>
          <t>2018</t>
        </is>
      </c>
      <c r="G12556" s="40" t="n">
        <v>3321.96</v>
      </c>
    </row>
    <row r="12557" ht="12" customHeight="1">
      <c r="A12557" s="30" t="inlineStr">
        <is>
          <t>POR</t>
        </is>
      </c>
      <c r="B12557" s="30" t="inlineStr">
        <is>
          <t>Porto Real</t>
        </is>
      </c>
      <c r="C12557" s="30" t="n">
        <v>87366774</v>
      </c>
      <c r="D12557" s="30">
        <f>"18233211001373"</f>
        <v/>
      </c>
      <c r="E12557" s="30" t="inlineStr">
        <is>
          <t>FL BRASIL HOLDING LOGISTICA E TRANSPORTE LTDA</t>
        </is>
      </c>
      <c r="F12557" s="30" t="inlineStr">
        <is>
          <t>2019</t>
        </is>
      </c>
      <c r="G12557" s="40" t="n">
        <v>1697.28</v>
      </c>
    </row>
    <row r="12558" ht="12" customHeight="1">
      <c r="A12558" s="30" t="inlineStr">
        <is>
          <t>POR</t>
        </is>
      </c>
      <c r="B12558" s="30" t="inlineStr">
        <is>
          <t>Porto Real</t>
        </is>
      </c>
      <c r="C12558" s="30" t="n">
        <v>87366774</v>
      </c>
      <c r="D12558" s="30">
        <f>"18233211001373"</f>
        <v/>
      </c>
      <c r="E12558" s="30" t="inlineStr">
        <is>
          <t>FL BRASIL HOLDING LOGISTICA E TRANSPORTE LTDA</t>
        </is>
      </c>
      <c r="F12558" s="30" t="inlineStr">
        <is>
          <t>2020</t>
        </is>
      </c>
      <c r="G12558" s="40" t="n">
        <v>5553.85</v>
      </c>
    </row>
    <row r="12559" ht="12" customHeight="1">
      <c r="A12559" s="30" t="inlineStr">
        <is>
          <t>POR</t>
        </is>
      </c>
      <c r="B12559" s="30" t="inlineStr">
        <is>
          <t>Porto Real</t>
        </is>
      </c>
      <c r="C12559" s="30" t="n">
        <v>87366774</v>
      </c>
      <c r="D12559" s="30">
        <f>"18233211001373"</f>
        <v/>
      </c>
      <c r="E12559" s="30" t="inlineStr">
        <is>
          <t>FL BRASIL HOLDING LOGISTICA E TRANSPORTE LTDA</t>
        </is>
      </c>
      <c r="F12559" s="30" t="inlineStr">
        <is>
          <t>2021</t>
        </is>
      </c>
      <c r="G12559" s="40" t="n">
        <v>7397.64</v>
      </c>
    </row>
    <row r="12560" ht="12" customHeight="1">
      <c r="A12560" s="30" t="inlineStr">
        <is>
          <t>POR</t>
        </is>
      </c>
      <c r="B12560" s="30" t="inlineStr">
        <is>
          <t>Porto Real</t>
        </is>
      </c>
      <c r="C12560" s="30" t="n">
        <v>87366774</v>
      </c>
      <c r="D12560" s="30">
        <f>"18233211001373"</f>
        <v/>
      </c>
      <c r="E12560" s="30" t="inlineStr">
        <is>
          <t>FL BRASIL HOLDING LOGISTICA E TRANSPORTE LTDA</t>
        </is>
      </c>
      <c r="F12560" s="30" t="inlineStr">
        <is>
          <t>2022</t>
        </is>
      </c>
      <c r="G12560" s="40" t="n">
        <v>13231.25</v>
      </c>
    </row>
    <row r="12561" ht="12" customHeight="1">
      <c r="A12561" s="30" t="inlineStr">
        <is>
          <t>POR</t>
        </is>
      </c>
      <c r="B12561" s="30" t="inlineStr">
        <is>
          <t>Porto Real</t>
        </is>
      </c>
      <c r="C12561" s="30" t="n">
        <v>87366774</v>
      </c>
      <c r="D12561" s="30">
        <f>"18233211001373"</f>
        <v/>
      </c>
      <c r="E12561" s="30" t="inlineStr">
        <is>
          <t>FL BRASIL HOLDING LOGISTICA E TRANSPORTE LTDA</t>
        </is>
      </c>
      <c r="F12561" s="30" t="inlineStr">
        <is>
          <t>2023</t>
        </is>
      </c>
      <c r="G12561" s="40" t="n">
        <v>6293.45</v>
      </c>
    </row>
    <row r="12562" ht="12" customHeight="1">
      <c r="A12562" s="30" t="inlineStr">
        <is>
          <t>POR</t>
        </is>
      </c>
      <c r="B12562" s="30" t="inlineStr">
        <is>
          <t>Porto Real</t>
        </is>
      </c>
      <c r="C12562" s="30" t="n">
        <v>87371530</v>
      </c>
      <c r="D12562" s="30">
        <f>"23506129000414"</f>
        <v/>
      </c>
      <c r="E12562" s="30" t="inlineStr">
        <is>
          <t>MODULO TRANSPORTE E LOGISTICA LTDA ME</t>
        </is>
      </c>
      <c r="F12562" s="30" t="inlineStr">
        <is>
          <t>2018</t>
        </is>
      </c>
      <c r="G12562" s="40" t="n">
        <v>0</v>
      </c>
    </row>
    <row r="12563" ht="12" customHeight="1">
      <c r="A12563" s="30" t="inlineStr">
        <is>
          <t>POR</t>
        </is>
      </c>
      <c r="B12563" s="30" t="inlineStr">
        <is>
          <t>Porto Real</t>
        </is>
      </c>
      <c r="C12563" s="30" t="n">
        <v>87371530</v>
      </c>
      <c r="D12563" s="30">
        <f>"23506129000414"</f>
        <v/>
      </c>
      <c r="E12563" s="30" t="inlineStr">
        <is>
          <t>MODULO TRANSPORTE E LOGISTICA LTDA ME</t>
        </is>
      </c>
      <c r="F12563" s="30" t="inlineStr">
        <is>
          <t>2019</t>
        </is>
      </c>
      <c r="G12563" s="40" t="n">
        <v>0</v>
      </c>
    </row>
    <row r="12564" ht="12" customHeight="1">
      <c r="A12564" s="30" t="inlineStr">
        <is>
          <t>POR</t>
        </is>
      </c>
      <c r="B12564" s="30" t="inlineStr">
        <is>
          <t>Porto Real</t>
        </is>
      </c>
      <c r="C12564" s="30" t="n">
        <v>87371530</v>
      </c>
      <c r="D12564" s="30">
        <f>"23506129000414"</f>
        <v/>
      </c>
      <c r="E12564" s="30" t="inlineStr">
        <is>
          <t>MODULO TRANSPORTE E LOGISTICA LTDA ME</t>
        </is>
      </c>
      <c r="F12564" s="30" t="inlineStr">
        <is>
          <t>2020</t>
        </is>
      </c>
      <c r="G12564" s="40" t="n">
        <v>245.03</v>
      </c>
    </row>
    <row r="12565" ht="12" customHeight="1">
      <c r="A12565" s="30" t="inlineStr">
        <is>
          <t>POR</t>
        </is>
      </c>
      <c r="B12565" s="30" t="inlineStr">
        <is>
          <t>Porto Real</t>
        </is>
      </c>
      <c r="C12565" s="30" t="n">
        <v>87371530</v>
      </c>
      <c r="D12565" s="30">
        <f>"23506129000414"</f>
        <v/>
      </c>
      <c r="E12565" s="30" t="inlineStr">
        <is>
          <t>MODULO TRANSPORTE E LOGISTICA LTDA ME</t>
        </is>
      </c>
      <c r="F12565" s="30" t="inlineStr">
        <is>
          <t>2021</t>
        </is>
      </c>
      <c r="G12565" s="40" t="n">
        <v>0</v>
      </c>
    </row>
    <row r="12566" ht="12" customHeight="1">
      <c r="A12566" s="30" t="inlineStr">
        <is>
          <t>POR</t>
        </is>
      </c>
      <c r="B12566" s="30" t="inlineStr">
        <is>
          <t>Porto Real</t>
        </is>
      </c>
      <c r="C12566" s="30" t="n">
        <v>87371530</v>
      </c>
      <c r="D12566" s="30">
        <f>"23506129000414"</f>
        <v/>
      </c>
      <c r="E12566" s="30" t="inlineStr">
        <is>
          <t>MODULO TRANSPORTE E LOGISTICA LTDA ME</t>
        </is>
      </c>
      <c r="F12566" s="30" t="inlineStr">
        <is>
          <t>2022</t>
        </is>
      </c>
      <c r="G12566" s="40" t="n">
        <v>0</v>
      </c>
    </row>
    <row r="12567" ht="12" customHeight="1">
      <c r="A12567" s="30" t="inlineStr">
        <is>
          <t>POR</t>
        </is>
      </c>
      <c r="B12567" s="30" t="inlineStr">
        <is>
          <t>Porto Real</t>
        </is>
      </c>
      <c r="C12567" s="30" t="n">
        <v>87378586</v>
      </c>
      <c r="D12567" s="30">
        <f>"05460736000247"</f>
        <v/>
      </c>
      <c r="E12567" s="30" t="inlineStr">
        <is>
          <t>NET FACIL SISTEMAS ELETRONICOS LTDA - ME</t>
        </is>
      </c>
      <c r="F12567" s="30" t="inlineStr">
        <is>
          <t>2020</t>
        </is>
      </c>
      <c r="G12567" s="40" t="n">
        <v>0</v>
      </c>
    </row>
    <row r="12568" ht="12" customHeight="1">
      <c r="A12568" s="30" t="inlineStr">
        <is>
          <t>POR</t>
        </is>
      </c>
      <c r="B12568" s="30" t="inlineStr">
        <is>
          <t>Porto Real</t>
        </is>
      </c>
      <c r="C12568" s="30" t="n">
        <v>87378586</v>
      </c>
      <c r="D12568" s="30">
        <f>"05460736000247"</f>
        <v/>
      </c>
      <c r="E12568" s="30" t="inlineStr">
        <is>
          <t>NET FACIL SISTEMAS ELETRONICOS LTDA - ME</t>
        </is>
      </c>
      <c r="F12568" s="30" t="inlineStr">
        <is>
          <t>2021</t>
        </is>
      </c>
      <c r="G12568" s="40" t="n">
        <v>0</v>
      </c>
    </row>
    <row r="12569" ht="12" customHeight="1">
      <c r="A12569" s="30" t="inlineStr">
        <is>
          <t>POR</t>
        </is>
      </c>
      <c r="B12569" s="30" t="inlineStr">
        <is>
          <t>Porto Real</t>
        </is>
      </c>
      <c r="C12569" s="30" t="n">
        <v>87378586</v>
      </c>
      <c r="D12569" s="30">
        <f>"05460736000247"</f>
        <v/>
      </c>
      <c r="E12569" s="30" t="inlineStr">
        <is>
          <t>NET FACIL SISTEMAS ELETRONICOS LTDA - ME</t>
        </is>
      </c>
      <c r="F12569" s="30" t="inlineStr">
        <is>
          <t>2022</t>
        </is>
      </c>
      <c r="G12569" s="40" t="n">
        <v>0</v>
      </c>
    </row>
    <row r="12570" ht="12" customHeight="1">
      <c r="A12570" s="30" t="inlineStr">
        <is>
          <t>POR</t>
        </is>
      </c>
      <c r="B12570" s="30" t="inlineStr">
        <is>
          <t>Porto Real</t>
        </is>
      </c>
      <c r="C12570" s="30" t="n">
        <v>87378586</v>
      </c>
      <c r="D12570" s="30">
        <f>"05460736000247"</f>
        <v/>
      </c>
      <c r="E12570" s="30" t="inlineStr">
        <is>
          <t>NET FACIL SISTEMAS ELETRONICOS LTDA - ME</t>
        </is>
      </c>
      <c r="F12570" s="30" t="inlineStr">
        <is>
          <t>2023</t>
        </is>
      </c>
      <c r="G12570" s="40" t="n">
        <v>0</v>
      </c>
    </row>
    <row r="12571" ht="12" customHeight="1">
      <c r="A12571" s="30" t="inlineStr">
        <is>
          <t>POR</t>
        </is>
      </c>
      <c r="B12571" s="30" t="inlineStr">
        <is>
          <t>Porto Real</t>
        </is>
      </c>
      <c r="C12571" s="30" t="n">
        <v>87387143</v>
      </c>
      <c r="D12571" s="30">
        <f>"05342379000646"</f>
        <v/>
      </c>
      <c r="E12571" s="30" t="inlineStr">
        <is>
          <t>KM CARGO MULTIMODAL E LOGISTICA LTDA</t>
        </is>
      </c>
      <c r="F12571" s="30" t="inlineStr">
        <is>
          <t>2020</t>
        </is>
      </c>
      <c r="G12571" s="40" t="n">
        <v>0</v>
      </c>
    </row>
    <row r="12572" ht="12" customHeight="1">
      <c r="A12572" s="30" t="inlineStr">
        <is>
          <t>POR</t>
        </is>
      </c>
      <c r="B12572" s="30" t="inlineStr">
        <is>
          <t>Porto Real</t>
        </is>
      </c>
      <c r="C12572" s="30" t="n">
        <v>87387143</v>
      </c>
      <c r="D12572" s="30">
        <f>"05342379000646"</f>
        <v/>
      </c>
      <c r="E12572" s="30" t="inlineStr">
        <is>
          <t>KM CARGO MULTIMODAL E LOGISTICA LTDA</t>
        </is>
      </c>
      <c r="F12572" s="30" t="inlineStr">
        <is>
          <t>2021</t>
        </is>
      </c>
      <c r="G12572" s="40" t="n">
        <v>0</v>
      </c>
    </row>
    <row r="12573" ht="12" customHeight="1">
      <c r="A12573" s="30" t="inlineStr">
        <is>
          <t>POR</t>
        </is>
      </c>
      <c r="B12573" s="30" t="inlineStr">
        <is>
          <t>Porto Real</t>
        </is>
      </c>
      <c r="C12573" s="30" t="n">
        <v>87387143</v>
      </c>
      <c r="D12573" s="30">
        <f>"05342379000646"</f>
        <v/>
      </c>
      <c r="E12573" s="30" t="inlineStr">
        <is>
          <t>KM CARGO MULTIMODAL E LOGISTICA LTDA</t>
        </is>
      </c>
      <c r="F12573" s="30" t="inlineStr">
        <is>
          <t>2022</t>
        </is>
      </c>
      <c r="G12573" s="40" t="n">
        <v>735.53</v>
      </c>
    </row>
    <row r="12574" ht="12" customHeight="1">
      <c r="A12574" s="30" t="inlineStr">
        <is>
          <t>POR</t>
        </is>
      </c>
      <c r="B12574" s="30" t="inlineStr">
        <is>
          <t>Porto Real</t>
        </is>
      </c>
      <c r="C12574" s="30" t="n">
        <v>87387143</v>
      </c>
      <c r="D12574" s="30">
        <f>"05342379000646"</f>
        <v/>
      </c>
      <c r="E12574" s="30" t="inlineStr">
        <is>
          <t>KM CARGO MULTIMODAL E LOGISTICA LTDA</t>
        </is>
      </c>
      <c r="F12574" s="30" t="inlineStr">
        <is>
          <t>2023</t>
        </is>
      </c>
      <c r="G12574" s="40" t="n">
        <v>4337.49</v>
      </c>
    </row>
    <row r="12575" ht="12" customHeight="1">
      <c r="A12575" s="30" t="inlineStr">
        <is>
          <t>POR</t>
        </is>
      </c>
      <c r="B12575" s="30" t="inlineStr">
        <is>
          <t>Porto Real</t>
        </is>
      </c>
      <c r="C12575" s="30" t="n">
        <v>87391469</v>
      </c>
      <c r="D12575" s="30">
        <f>"28081130000115"</f>
        <v/>
      </c>
      <c r="E12575" s="30" t="inlineStr">
        <is>
          <t>FELISA METAIS EIRELI</t>
        </is>
      </c>
      <c r="F12575" s="30" t="inlineStr">
        <is>
          <t>2017</t>
        </is>
      </c>
      <c r="G12575" s="40" t="n">
        <v>0</v>
      </c>
    </row>
    <row r="12576" ht="12" customHeight="1">
      <c r="A12576" s="30" t="inlineStr">
        <is>
          <t>POR</t>
        </is>
      </c>
      <c r="B12576" s="30" t="inlineStr">
        <is>
          <t>Porto Real</t>
        </is>
      </c>
      <c r="C12576" s="30" t="n">
        <v>87391469</v>
      </c>
      <c r="D12576" s="30">
        <f>"28081130000115"</f>
        <v/>
      </c>
      <c r="E12576" s="30" t="inlineStr">
        <is>
          <t>FELISA METAIS EIRELI</t>
        </is>
      </c>
      <c r="F12576" s="30" t="inlineStr">
        <is>
          <t>2018</t>
        </is>
      </c>
      <c r="G12576" s="40" t="n">
        <v>2580706.45</v>
      </c>
    </row>
    <row r="12577" ht="12" customHeight="1">
      <c r="A12577" s="30" t="inlineStr">
        <is>
          <t>POR</t>
        </is>
      </c>
      <c r="B12577" s="30" t="inlineStr">
        <is>
          <t>Porto Real</t>
        </is>
      </c>
      <c r="C12577" s="30" t="n">
        <v>87391469</v>
      </c>
      <c r="D12577" s="30">
        <f>"28081130000115"</f>
        <v/>
      </c>
      <c r="E12577" s="30" t="inlineStr">
        <is>
          <t>FELISA METAIS EIRELI</t>
        </is>
      </c>
      <c r="F12577" s="30" t="inlineStr">
        <is>
          <t>2019</t>
        </is>
      </c>
      <c r="G12577" s="40" t="n">
        <v>0</v>
      </c>
    </row>
    <row r="12578" ht="12" customHeight="1">
      <c r="A12578" s="30" t="inlineStr">
        <is>
          <t>POR</t>
        </is>
      </c>
      <c r="B12578" s="30" t="inlineStr">
        <is>
          <t>Porto Real</t>
        </is>
      </c>
      <c r="C12578" s="30" t="n">
        <v>87391469</v>
      </c>
      <c r="D12578" s="30">
        <f>"28081130000115"</f>
        <v/>
      </c>
      <c r="E12578" s="30" t="inlineStr">
        <is>
          <t>FELISA METAIS EIRELI</t>
        </is>
      </c>
      <c r="F12578" s="30" t="inlineStr">
        <is>
          <t>2020</t>
        </is>
      </c>
      <c r="G12578" s="40" t="n">
        <v>1086649.52</v>
      </c>
    </row>
    <row r="12579" ht="12" customHeight="1">
      <c r="A12579" s="30" t="inlineStr">
        <is>
          <t>POR</t>
        </is>
      </c>
      <c r="B12579" s="30" t="inlineStr">
        <is>
          <t>Porto Real</t>
        </is>
      </c>
      <c r="C12579" s="30" t="n">
        <v>87391469</v>
      </c>
      <c r="D12579" s="30">
        <f>"28081130000115"</f>
        <v/>
      </c>
      <c r="E12579" s="30" t="inlineStr">
        <is>
          <t>FELISA METAIS EIRELI</t>
        </is>
      </c>
      <c r="F12579" s="30" t="inlineStr">
        <is>
          <t>2021</t>
        </is>
      </c>
      <c r="G12579" s="40" t="n">
        <v>2049340.43</v>
      </c>
    </row>
    <row r="12580" ht="12" customHeight="1">
      <c r="A12580" s="30" t="inlineStr">
        <is>
          <t>POR</t>
        </is>
      </c>
      <c r="B12580" s="30" t="inlineStr">
        <is>
          <t>Porto Real</t>
        </is>
      </c>
      <c r="C12580" s="30" t="n">
        <v>87391469</v>
      </c>
      <c r="D12580" s="30">
        <f>"28081130000115"</f>
        <v/>
      </c>
      <c r="E12580" s="30" t="inlineStr">
        <is>
          <t>FELISA METAIS EIRELI</t>
        </is>
      </c>
      <c r="F12580" s="30" t="inlineStr">
        <is>
          <t>2022</t>
        </is>
      </c>
      <c r="G12580" s="40" t="n">
        <v>0</v>
      </c>
    </row>
    <row r="12581" ht="12" customHeight="1">
      <c r="A12581" s="30" t="inlineStr">
        <is>
          <t>POR</t>
        </is>
      </c>
      <c r="B12581" s="30" t="inlineStr">
        <is>
          <t>Porto Real</t>
        </is>
      </c>
      <c r="C12581" s="30" t="n">
        <v>87391469</v>
      </c>
      <c r="D12581" s="30">
        <f>"28081130000115"</f>
        <v/>
      </c>
      <c r="E12581" s="30" t="inlineStr">
        <is>
          <t>FELISA METAIS EIRELI</t>
        </is>
      </c>
      <c r="F12581" s="30" t="inlineStr">
        <is>
          <t>2023</t>
        </is>
      </c>
      <c r="G12581" s="40" t="n">
        <v>0</v>
      </c>
    </row>
    <row r="12582" ht="12" customHeight="1">
      <c r="A12582" s="30" t="inlineStr">
        <is>
          <t>POR</t>
        </is>
      </c>
      <c r="B12582" s="30" t="inlineStr">
        <is>
          <t>Porto Real</t>
        </is>
      </c>
      <c r="C12582" s="30" t="n">
        <v>87393038</v>
      </c>
      <c r="D12582" s="30">
        <f>"28072149000103"</f>
        <v/>
      </c>
      <c r="E12582" s="30" t="inlineStr">
        <is>
          <t>TOP FLEX COMERCIO E SERVICOS EIRELI EPP</t>
        </is>
      </c>
      <c r="F12582" s="30" t="inlineStr">
        <is>
          <t>2020</t>
        </is>
      </c>
      <c r="G12582" s="40" t="n">
        <v>0</v>
      </c>
    </row>
    <row r="12583" ht="12" customHeight="1">
      <c r="A12583" s="30" t="inlineStr">
        <is>
          <t>POR</t>
        </is>
      </c>
      <c r="B12583" s="30" t="inlineStr">
        <is>
          <t>Porto Real</t>
        </is>
      </c>
      <c r="C12583" s="30" t="n">
        <v>87393038</v>
      </c>
      <c r="D12583" s="30">
        <f>"28072149000103"</f>
        <v/>
      </c>
      <c r="E12583" s="30" t="inlineStr">
        <is>
          <t>TOP FLEX COMERCIO E SERVICOS EIRELI EPP</t>
        </is>
      </c>
      <c r="F12583" s="30" t="inlineStr">
        <is>
          <t>2021</t>
        </is>
      </c>
      <c r="G12583" s="40" t="n">
        <v>0</v>
      </c>
    </row>
    <row r="12584" ht="12" customHeight="1">
      <c r="A12584" s="30" t="inlineStr">
        <is>
          <t>POR</t>
        </is>
      </c>
      <c r="B12584" s="30" t="inlineStr">
        <is>
          <t>Porto Real</t>
        </is>
      </c>
      <c r="C12584" s="30" t="n">
        <v>87393038</v>
      </c>
      <c r="D12584" s="30">
        <f>"28072149000103"</f>
        <v/>
      </c>
      <c r="E12584" s="30" t="inlineStr">
        <is>
          <t>TOP FLEX COMERCIO E SERVICOS EIRELI EPP</t>
        </is>
      </c>
      <c r="F12584" s="30" t="inlineStr">
        <is>
          <t>2022</t>
        </is>
      </c>
      <c r="G12584" s="40" t="n">
        <v>1535184.1</v>
      </c>
    </row>
    <row r="12585" ht="12" customHeight="1">
      <c r="A12585" s="30" t="inlineStr">
        <is>
          <t>POR</t>
        </is>
      </c>
      <c r="B12585" s="30" t="inlineStr">
        <is>
          <t>Porto Real</t>
        </is>
      </c>
      <c r="C12585" s="30" t="n">
        <v>87393038</v>
      </c>
      <c r="D12585" s="30">
        <f>"28072149000103"</f>
        <v/>
      </c>
      <c r="E12585" s="30" t="inlineStr">
        <is>
          <t>TOP FLEX COMERCIO E SERVICOS EIRELI EPP</t>
        </is>
      </c>
      <c r="F12585" s="30" t="inlineStr">
        <is>
          <t>2023</t>
        </is>
      </c>
      <c r="G12585" s="40" t="n">
        <v>0</v>
      </c>
    </row>
    <row r="12586" ht="12" customHeight="1">
      <c r="A12586" s="30" t="inlineStr">
        <is>
          <t>POR</t>
        </is>
      </c>
      <c r="B12586" s="30" t="inlineStr">
        <is>
          <t>Porto Real</t>
        </is>
      </c>
      <c r="C12586" s="30" t="n">
        <v>87403246</v>
      </c>
      <c r="D12586" s="30">
        <f>"32492373003996"</f>
        <v/>
      </c>
      <c r="E12586" s="30" t="inlineStr">
        <is>
          <t>TRANSPORTE EXCELSIOR LTDA</t>
        </is>
      </c>
      <c r="F12586" s="30" t="inlineStr">
        <is>
          <t>2017</t>
        </is>
      </c>
      <c r="G12586" s="40" t="n">
        <v>9355926.18</v>
      </c>
    </row>
    <row r="12587" ht="12" customHeight="1">
      <c r="A12587" s="30" t="inlineStr">
        <is>
          <t>POR</t>
        </is>
      </c>
      <c r="B12587" s="30" t="inlineStr">
        <is>
          <t>Porto Real</t>
        </is>
      </c>
      <c r="C12587" s="30" t="n">
        <v>87403246</v>
      </c>
      <c r="D12587" s="30">
        <f>"32492373003996"</f>
        <v/>
      </c>
      <c r="E12587" s="30" t="inlineStr">
        <is>
          <t>TRANSPORTE EXCELSIOR LTDA</t>
        </is>
      </c>
      <c r="F12587" s="30" t="inlineStr">
        <is>
          <t>2018</t>
        </is>
      </c>
      <c r="G12587" s="40" t="n">
        <v>33509680.74</v>
      </c>
    </row>
    <row r="12588" ht="12" customHeight="1">
      <c r="A12588" s="30" t="inlineStr">
        <is>
          <t>POR</t>
        </is>
      </c>
      <c r="B12588" s="30" t="inlineStr">
        <is>
          <t>Porto Real</t>
        </is>
      </c>
      <c r="C12588" s="30" t="n">
        <v>87403246</v>
      </c>
      <c r="D12588" s="30">
        <f>"32492373003996"</f>
        <v/>
      </c>
      <c r="E12588" s="30" t="inlineStr">
        <is>
          <t>TRANSPORTE EXCELSIOR LTDA</t>
        </is>
      </c>
      <c r="F12588" s="30" t="inlineStr">
        <is>
          <t>2019</t>
        </is>
      </c>
      <c r="G12588" s="40" t="n">
        <v>33219954.98</v>
      </c>
    </row>
    <row r="12589" ht="12" customHeight="1">
      <c r="A12589" s="30" t="inlineStr">
        <is>
          <t>POR</t>
        </is>
      </c>
      <c r="B12589" s="30" t="inlineStr">
        <is>
          <t>Porto Real</t>
        </is>
      </c>
      <c r="C12589" s="30" t="n">
        <v>87403246</v>
      </c>
      <c r="D12589" s="30">
        <f>"32492373003996"</f>
        <v/>
      </c>
      <c r="E12589" s="30" t="inlineStr">
        <is>
          <t>TRANSPORTE EXCELSIOR LTDA</t>
        </is>
      </c>
      <c r="F12589" s="30" t="inlineStr">
        <is>
          <t>2020</t>
        </is>
      </c>
      <c r="G12589" s="40" t="n">
        <v>17870721.04</v>
      </c>
    </row>
    <row r="12590" ht="12" customHeight="1">
      <c r="A12590" s="30" t="inlineStr">
        <is>
          <t>POR</t>
        </is>
      </c>
      <c r="B12590" s="30" t="inlineStr">
        <is>
          <t>Porto Real</t>
        </is>
      </c>
      <c r="C12590" s="30" t="n">
        <v>87403246</v>
      </c>
      <c r="D12590" s="30">
        <f>"32492373003996"</f>
        <v/>
      </c>
      <c r="E12590" s="30" t="inlineStr">
        <is>
          <t>TRANSPORTE EXCELSIOR LTDA</t>
        </is>
      </c>
      <c r="F12590" s="30" t="inlineStr">
        <is>
          <t>2021</t>
        </is>
      </c>
      <c r="G12590" s="40" t="n">
        <v>16823268.97</v>
      </c>
    </row>
    <row r="12591" ht="12" customHeight="1">
      <c r="A12591" s="30" t="inlineStr">
        <is>
          <t>POR</t>
        </is>
      </c>
      <c r="B12591" s="30" t="inlineStr">
        <is>
          <t>Porto Real</t>
        </is>
      </c>
      <c r="C12591" s="30" t="n">
        <v>87403246</v>
      </c>
      <c r="D12591" s="30">
        <f>"32492373003996"</f>
        <v/>
      </c>
      <c r="E12591" s="30" t="inlineStr">
        <is>
          <t>TRANSPORTE EXCELSIOR LTDA</t>
        </is>
      </c>
      <c r="F12591" s="30" t="inlineStr">
        <is>
          <t>2022</t>
        </is>
      </c>
      <c r="G12591" s="40" t="n">
        <v>12279255.45</v>
      </c>
    </row>
    <row r="12592" ht="12" customHeight="1">
      <c r="A12592" s="30" t="inlineStr">
        <is>
          <t>POR</t>
        </is>
      </c>
      <c r="B12592" s="30" t="inlineStr">
        <is>
          <t>Porto Real</t>
        </is>
      </c>
      <c r="C12592" s="30" t="n">
        <v>87403246</v>
      </c>
      <c r="D12592" s="30">
        <f>"32492373003996"</f>
        <v/>
      </c>
      <c r="E12592" s="30" t="inlineStr">
        <is>
          <t>TRANSPORTE EXCELSIOR LTDA</t>
        </is>
      </c>
      <c r="F12592" s="30" t="inlineStr">
        <is>
          <t>2023</t>
        </is>
      </c>
      <c r="G12592" s="40" t="n">
        <v>17388844.67</v>
      </c>
    </row>
    <row r="12593" ht="12" customHeight="1">
      <c r="A12593" s="30" t="inlineStr">
        <is>
          <t>POR</t>
        </is>
      </c>
      <c r="B12593" s="30" t="inlineStr">
        <is>
          <t>Porto Real</t>
        </is>
      </c>
      <c r="C12593" s="30" t="n">
        <v>87426912</v>
      </c>
      <c r="D12593" s="30">
        <f>"07381852002240"</f>
        <v/>
      </c>
      <c r="E12593" s="30" t="inlineStr">
        <is>
          <t>JPS FARMA LIMITADA</t>
        </is>
      </c>
      <c r="F12593" s="30" t="inlineStr">
        <is>
          <t>2017</t>
        </is>
      </c>
      <c r="G12593" s="40" t="n">
        <v>0</v>
      </c>
    </row>
    <row r="12594" ht="12" customHeight="1">
      <c r="A12594" s="30" t="inlineStr">
        <is>
          <t>POR</t>
        </is>
      </c>
      <c r="B12594" s="30" t="inlineStr">
        <is>
          <t>Porto Real</t>
        </is>
      </c>
      <c r="C12594" s="30" t="n">
        <v>87426912</v>
      </c>
      <c r="D12594" s="30">
        <f>"07381852002240"</f>
        <v/>
      </c>
      <c r="E12594" s="30" t="inlineStr">
        <is>
          <t>JPS FARMA LIMITADA</t>
        </is>
      </c>
      <c r="F12594" s="30" t="inlineStr">
        <is>
          <t>2018</t>
        </is>
      </c>
      <c r="G12594" s="40" t="n">
        <v>925498.12</v>
      </c>
    </row>
    <row r="12595" ht="12" customHeight="1">
      <c r="A12595" s="30" t="inlineStr">
        <is>
          <t>POR</t>
        </is>
      </c>
      <c r="B12595" s="30" t="inlineStr">
        <is>
          <t>Porto Real</t>
        </is>
      </c>
      <c r="C12595" s="30" t="n">
        <v>87426912</v>
      </c>
      <c r="D12595" s="30">
        <f>"07381852002240"</f>
        <v/>
      </c>
      <c r="E12595" s="30" t="inlineStr">
        <is>
          <t>JPS FARMA LIMITADA</t>
        </is>
      </c>
      <c r="F12595" s="30" t="inlineStr">
        <is>
          <t>2019</t>
        </is>
      </c>
      <c r="G12595" s="40" t="n">
        <v>1073476.57</v>
      </c>
    </row>
    <row r="12596" ht="12" customHeight="1">
      <c r="A12596" s="30" t="inlineStr">
        <is>
          <t>POR</t>
        </is>
      </c>
      <c r="B12596" s="30" t="inlineStr">
        <is>
          <t>Porto Real</t>
        </is>
      </c>
      <c r="C12596" s="30" t="n">
        <v>87426912</v>
      </c>
      <c r="D12596" s="30">
        <f>"07381852002240"</f>
        <v/>
      </c>
      <c r="E12596" s="30" t="inlineStr">
        <is>
          <t>JPS FARMA LIMITADA</t>
        </is>
      </c>
      <c r="F12596" s="30" t="inlineStr">
        <is>
          <t>2020</t>
        </is>
      </c>
      <c r="G12596" s="40" t="n">
        <v>1010868.79</v>
      </c>
    </row>
    <row r="12597" ht="12" customHeight="1">
      <c r="A12597" s="30" t="inlineStr">
        <is>
          <t>POR</t>
        </is>
      </c>
      <c r="B12597" s="30" t="inlineStr">
        <is>
          <t>Porto Real</t>
        </is>
      </c>
      <c r="C12597" s="30" t="n">
        <v>87426912</v>
      </c>
      <c r="D12597" s="30">
        <f>"07381852002240"</f>
        <v/>
      </c>
      <c r="E12597" s="30" t="inlineStr">
        <is>
          <t>JPS FARMA LIMITADA</t>
        </is>
      </c>
      <c r="F12597" s="30" t="inlineStr">
        <is>
          <t>2021</t>
        </is>
      </c>
      <c r="G12597" s="40" t="n">
        <v>701325.8199999999</v>
      </c>
    </row>
    <row r="12598" ht="12" customHeight="1">
      <c r="A12598" s="30" t="inlineStr">
        <is>
          <t>POR</t>
        </is>
      </c>
      <c r="B12598" s="30" t="inlineStr">
        <is>
          <t>Porto Real</t>
        </is>
      </c>
      <c r="C12598" s="30" t="n">
        <v>87426912</v>
      </c>
      <c r="D12598" s="30">
        <f>"07381852002240"</f>
        <v/>
      </c>
      <c r="E12598" s="30" t="inlineStr">
        <is>
          <t>JPS FARMA LIMITADA</t>
        </is>
      </c>
      <c r="F12598" s="30" t="inlineStr">
        <is>
          <t>2022</t>
        </is>
      </c>
      <c r="G12598" s="40" t="n">
        <v>889448.1</v>
      </c>
    </row>
    <row r="12599" ht="12" customHeight="1">
      <c r="A12599" s="30" t="inlineStr">
        <is>
          <t>POR</t>
        </is>
      </c>
      <c r="B12599" s="30" t="inlineStr">
        <is>
          <t>Porto Real</t>
        </is>
      </c>
      <c r="C12599" s="30" t="n">
        <v>87426912</v>
      </c>
      <c r="D12599" s="30">
        <f>"07381852002240"</f>
        <v/>
      </c>
      <c r="E12599" s="30" t="inlineStr">
        <is>
          <t>JPS FARMA LIMITADA</t>
        </is>
      </c>
      <c r="F12599" s="30" t="inlineStr">
        <is>
          <t>2023</t>
        </is>
      </c>
      <c r="G12599" s="40" t="n">
        <v>1045389.54</v>
      </c>
    </row>
    <row r="12600" ht="12" customHeight="1">
      <c r="A12600" s="30" t="inlineStr">
        <is>
          <t>POR</t>
        </is>
      </c>
      <c r="B12600" s="30" t="inlineStr">
        <is>
          <t>Porto Real</t>
        </is>
      </c>
      <c r="C12600" s="30" t="n">
        <v>87444490</v>
      </c>
      <c r="D12600" s="30">
        <f>"28772948000184"</f>
        <v/>
      </c>
      <c r="E12600" s="30" t="inlineStr">
        <is>
          <t>FERNANDO F DE VASCONCELLOS COMÉRCIO ATACADISTA DE PRODUTOS DE HIGIENE E LIMPEZA</t>
        </is>
      </c>
      <c r="F12600" s="30" t="inlineStr">
        <is>
          <t>2021</t>
        </is>
      </c>
      <c r="G12600" s="40" t="n">
        <v>0</v>
      </c>
    </row>
    <row r="12601" ht="12" customHeight="1">
      <c r="A12601" s="30" t="inlineStr">
        <is>
          <t>POR</t>
        </is>
      </c>
      <c r="B12601" s="30" t="inlineStr">
        <is>
          <t>Porto Real</t>
        </is>
      </c>
      <c r="C12601" s="30" t="n">
        <v>87444490</v>
      </c>
      <c r="D12601" s="30">
        <f>"28772948000184"</f>
        <v/>
      </c>
      <c r="E12601" s="30" t="inlineStr">
        <is>
          <t>FERNANDO F DE VASCONCELLOS COMÉRCIO ATACADISTA DE PRODUTOS DE HIGIENE E LIMPEZA</t>
        </is>
      </c>
      <c r="F12601" s="30" t="inlineStr">
        <is>
          <t>2022</t>
        </is>
      </c>
      <c r="G12601" s="40" t="n">
        <v>0</v>
      </c>
    </row>
    <row r="12602" ht="12" customHeight="1">
      <c r="A12602" s="30" t="inlineStr">
        <is>
          <t>POR</t>
        </is>
      </c>
      <c r="B12602" s="30" t="inlineStr">
        <is>
          <t>Porto Real</t>
        </is>
      </c>
      <c r="C12602" s="30" t="n">
        <v>87444490</v>
      </c>
      <c r="D12602" s="30">
        <f>"28772948000184"</f>
        <v/>
      </c>
      <c r="E12602" s="30" t="inlineStr">
        <is>
          <t>FERNANDO F DE VASCONCELLOS COMÉRCIO ATACADISTA DE PRODUTOS DE HIGIENE E LIMPEZA</t>
        </is>
      </c>
      <c r="F12602" s="30" t="inlineStr">
        <is>
          <t>2023</t>
        </is>
      </c>
      <c r="G12602" s="40" t="n">
        <v>0</v>
      </c>
    </row>
    <row r="12603" ht="12" customHeight="1">
      <c r="A12603" s="30" t="inlineStr">
        <is>
          <t>POR</t>
        </is>
      </c>
      <c r="B12603" s="30" t="inlineStr">
        <is>
          <t>Porto Real</t>
        </is>
      </c>
      <c r="C12603" s="30" t="n">
        <v>87456218</v>
      </c>
      <c r="D12603" s="30">
        <f>"01178298002211"</f>
        <v/>
      </c>
      <c r="E12603" s="30" t="inlineStr">
        <is>
          <t>FAURECIA AUTOMOTIVE DO BRASIL LTDA</t>
        </is>
      </c>
      <c r="F12603" s="30" t="inlineStr">
        <is>
          <t>2017</t>
        </is>
      </c>
      <c r="G12603" s="40" t="n">
        <v>0</v>
      </c>
    </row>
    <row r="12604" ht="12" customHeight="1">
      <c r="A12604" s="30" t="inlineStr">
        <is>
          <t>POR</t>
        </is>
      </c>
      <c r="B12604" s="30" t="inlineStr">
        <is>
          <t>Porto Real</t>
        </is>
      </c>
      <c r="C12604" s="30" t="n">
        <v>87456218</v>
      </c>
      <c r="D12604" s="30">
        <f>"01178298002211"</f>
        <v/>
      </c>
      <c r="E12604" s="30" t="inlineStr">
        <is>
          <t>FAURECIA AUTOMOTIVE DO BRASIL LTDA</t>
        </is>
      </c>
      <c r="F12604" s="30" t="inlineStr">
        <is>
          <t>2018</t>
        </is>
      </c>
      <c r="G12604" s="40" t="n">
        <v>17675418.5</v>
      </c>
    </row>
    <row r="12605" ht="12" customHeight="1">
      <c r="A12605" s="30" t="inlineStr">
        <is>
          <t>POR</t>
        </is>
      </c>
      <c r="B12605" s="30" t="inlineStr">
        <is>
          <t>Porto Real</t>
        </is>
      </c>
      <c r="C12605" s="30" t="n">
        <v>87456218</v>
      </c>
      <c r="D12605" s="30">
        <f>"01178298002211"</f>
        <v/>
      </c>
      <c r="E12605" s="30" t="inlineStr">
        <is>
          <t>FAURECIA AUTOMOTIVE DO BRASIL LTDA</t>
        </is>
      </c>
      <c r="F12605" s="30" t="inlineStr">
        <is>
          <t>2019</t>
        </is>
      </c>
      <c r="G12605" s="40" t="n">
        <v>9167758.59</v>
      </c>
    </row>
    <row r="12606" ht="12" customHeight="1">
      <c r="A12606" s="30" t="inlineStr">
        <is>
          <t>POR</t>
        </is>
      </c>
      <c r="B12606" s="30" t="inlineStr">
        <is>
          <t>Porto Real</t>
        </is>
      </c>
      <c r="C12606" s="30" t="n">
        <v>87456218</v>
      </c>
      <c r="D12606" s="30">
        <f>"01178298002211"</f>
        <v/>
      </c>
      <c r="E12606" s="30" t="inlineStr">
        <is>
          <t>FAURECIA AUTOMOTIVE DO BRASIL LTDA</t>
        </is>
      </c>
      <c r="F12606" s="30" t="inlineStr">
        <is>
          <t>2020</t>
        </is>
      </c>
      <c r="G12606" s="40" t="n">
        <v>4649947.72</v>
      </c>
    </row>
    <row r="12607" ht="12" customHeight="1">
      <c r="A12607" s="30" t="inlineStr">
        <is>
          <t>POR</t>
        </is>
      </c>
      <c r="B12607" s="30" t="inlineStr">
        <is>
          <t>Porto Real</t>
        </is>
      </c>
      <c r="C12607" s="30" t="n">
        <v>87456218</v>
      </c>
      <c r="D12607" s="30">
        <f>"01178298002211"</f>
        <v/>
      </c>
      <c r="E12607" s="30" t="inlineStr">
        <is>
          <t>FAURECIA AUTOMOTIVE DO BRASIL LTDA</t>
        </is>
      </c>
      <c r="F12607" s="30" t="inlineStr">
        <is>
          <t>2021</t>
        </is>
      </c>
      <c r="G12607" s="40" t="n">
        <v>5500116.82</v>
      </c>
    </row>
    <row r="12608" ht="12" customHeight="1">
      <c r="A12608" s="30" t="inlineStr">
        <is>
          <t>POR</t>
        </is>
      </c>
      <c r="B12608" s="30" t="inlineStr">
        <is>
          <t>Porto Real</t>
        </is>
      </c>
      <c r="C12608" s="30" t="n">
        <v>87456218</v>
      </c>
      <c r="D12608" s="30">
        <f>"01178298002211"</f>
        <v/>
      </c>
      <c r="E12608" s="30" t="inlineStr">
        <is>
          <t>FAURECIA AUTOMOTIVE DO BRASIL LTDA</t>
        </is>
      </c>
      <c r="F12608" s="30" t="inlineStr">
        <is>
          <t>2022</t>
        </is>
      </c>
      <c r="G12608" s="40" t="n">
        <v>11228289.53</v>
      </c>
    </row>
    <row r="12609" ht="12" customHeight="1">
      <c r="A12609" s="30" t="inlineStr">
        <is>
          <t>POR</t>
        </is>
      </c>
      <c r="B12609" s="30" t="inlineStr">
        <is>
          <t>Porto Real</t>
        </is>
      </c>
      <c r="C12609" s="30" t="n">
        <v>87456218</v>
      </c>
      <c r="D12609" s="30">
        <f>"01178298002211"</f>
        <v/>
      </c>
      <c r="E12609" s="30" t="inlineStr">
        <is>
          <t>FAURECIA AUTOMOTIVE DO BRASIL LTDA</t>
        </is>
      </c>
      <c r="F12609" s="30" t="inlineStr">
        <is>
          <t>2023</t>
        </is>
      </c>
      <c r="G12609" s="40" t="n">
        <v>12090190.5</v>
      </c>
    </row>
    <row r="12610" ht="12" customHeight="1">
      <c r="A12610" s="30" t="inlineStr">
        <is>
          <t>POR</t>
        </is>
      </c>
      <c r="B12610" s="30" t="inlineStr">
        <is>
          <t>Porto Real</t>
        </is>
      </c>
      <c r="C12610" s="30" t="n">
        <v>87463737</v>
      </c>
      <c r="D12610" s="30">
        <f>"07973198000481"</f>
        <v/>
      </c>
      <c r="E12610" s="30" t="inlineStr">
        <is>
          <t>EUROLAF VEICULOS ESPECIAIS LTDA</t>
        </is>
      </c>
      <c r="F12610" s="30" t="inlineStr">
        <is>
          <t>2017</t>
        </is>
      </c>
      <c r="G12610" s="40" t="n">
        <v>0</v>
      </c>
    </row>
    <row r="12611" ht="12" customHeight="1">
      <c r="A12611" s="30" t="inlineStr">
        <is>
          <t>POR</t>
        </is>
      </c>
      <c r="B12611" s="30" t="inlineStr">
        <is>
          <t>Porto Real</t>
        </is>
      </c>
      <c r="C12611" s="30" t="n">
        <v>87463737</v>
      </c>
      <c r="D12611" s="30">
        <f>"07973198000481"</f>
        <v/>
      </c>
      <c r="E12611" s="30" t="inlineStr">
        <is>
          <t>EUROLAF VEICULOS ESPECIAIS LTDA</t>
        </is>
      </c>
      <c r="F12611" s="30" t="inlineStr">
        <is>
          <t>2018</t>
        </is>
      </c>
      <c r="G12611" s="40" t="n">
        <v>3281230.67</v>
      </c>
    </row>
    <row r="12612" ht="12" customHeight="1">
      <c r="A12612" s="30" t="inlineStr">
        <is>
          <t>POR</t>
        </is>
      </c>
      <c r="B12612" s="30" t="inlineStr">
        <is>
          <t>Porto Real</t>
        </is>
      </c>
      <c r="C12612" s="30" t="n">
        <v>87463737</v>
      </c>
      <c r="D12612" s="30">
        <f>"07973198000481"</f>
        <v/>
      </c>
      <c r="E12612" s="30" t="inlineStr">
        <is>
          <t>EUROLAF VEICULOS ESPECIAIS LTDA</t>
        </is>
      </c>
      <c r="F12612" s="30" t="inlineStr">
        <is>
          <t>2019</t>
        </is>
      </c>
      <c r="G12612" s="40" t="n">
        <v>8193885.93</v>
      </c>
    </row>
    <row r="12613" ht="12" customHeight="1">
      <c r="A12613" s="30" t="inlineStr">
        <is>
          <t>POR</t>
        </is>
      </c>
      <c r="B12613" s="30" t="inlineStr">
        <is>
          <t>Porto Real</t>
        </is>
      </c>
      <c r="C12613" s="30" t="n">
        <v>87463737</v>
      </c>
      <c r="D12613" s="30">
        <f>"07973198000481"</f>
        <v/>
      </c>
      <c r="E12613" s="30" t="inlineStr">
        <is>
          <t>EUROLAF VEICULOS ESPECIAIS LTDA</t>
        </is>
      </c>
      <c r="F12613" s="30" t="inlineStr">
        <is>
          <t>2020</t>
        </is>
      </c>
      <c r="G12613" s="40" t="n">
        <v>0</v>
      </c>
    </row>
    <row r="12614" ht="12" customHeight="1">
      <c r="A12614" s="30" t="inlineStr">
        <is>
          <t>POR</t>
        </is>
      </c>
      <c r="B12614" s="30" t="inlineStr">
        <is>
          <t>Porto Real</t>
        </is>
      </c>
      <c r="C12614" s="30" t="n">
        <v>87463737</v>
      </c>
      <c r="D12614" s="30">
        <f>"07973198000481"</f>
        <v/>
      </c>
      <c r="E12614" s="30" t="inlineStr">
        <is>
          <t>EUROLAF VEICULOS ESPECIAIS LTDA</t>
        </is>
      </c>
      <c r="F12614" s="30" t="inlineStr">
        <is>
          <t>2021</t>
        </is>
      </c>
      <c r="G12614" s="40" t="n">
        <v>0</v>
      </c>
    </row>
    <row r="12615" ht="12" customHeight="1">
      <c r="A12615" s="30" t="inlineStr">
        <is>
          <t>POR</t>
        </is>
      </c>
      <c r="B12615" s="30" t="inlineStr">
        <is>
          <t>Porto Real</t>
        </is>
      </c>
      <c r="C12615" s="30" t="n">
        <v>87463737</v>
      </c>
      <c r="D12615" s="30">
        <f>"07973198000481"</f>
        <v/>
      </c>
      <c r="E12615" s="30" t="inlineStr">
        <is>
          <t>EUROLAF VEICULOS ESPECIAIS LTDA</t>
        </is>
      </c>
      <c r="F12615" s="30" t="inlineStr">
        <is>
          <t>2022</t>
        </is>
      </c>
      <c r="G12615" s="40" t="n">
        <v>0</v>
      </c>
    </row>
    <row r="12616" ht="12" customHeight="1">
      <c r="A12616" s="30" t="inlineStr">
        <is>
          <t>POR</t>
        </is>
      </c>
      <c r="B12616" s="30" t="inlineStr">
        <is>
          <t>Porto Real</t>
        </is>
      </c>
      <c r="C12616" s="30" t="n">
        <v>87467708</v>
      </c>
      <c r="D12616" s="30">
        <f>"13786475000288"</f>
        <v/>
      </c>
      <c r="E12616" s="30" t="inlineStr">
        <is>
          <t>TRANS ARISTEU TRANSPORTES RODOVIARIOS LTDA - EPP</t>
        </is>
      </c>
      <c r="F12616" s="30" t="inlineStr">
        <is>
          <t>2017</t>
        </is>
      </c>
      <c r="G12616" s="40" t="n">
        <v>0</v>
      </c>
    </row>
    <row r="12617" ht="12" customHeight="1">
      <c r="A12617" s="30" t="inlineStr">
        <is>
          <t>POR</t>
        </is>
      </c>
      <c r="B12617" s="30" t="inlineStr">
        <is>
          <t>Porto Real</t>
        </is>
      </c>
      <c r="C12617" s="30" t="n">
        <v>87467708</v>
      </c>
      <c r="D12617" s="30">
        <f>"13786475000288"</f>
        <v/>
      </c>
      <c r="E12617" s="30" t="inlineStr">
        <is>
          <t>TRANS ARISTEU TRANSPORTES RODOVIARIOS LTDA - EPP</t>
        </is>
      </c>
      <c r="F12617" s="30" t="inlineStr">
        <is>
          <t>2018</t>
        </is>
      </c>
      <c r="G12617" s="40" t="n">
        <v>0</v>
      </c>
    </row>
    <row r="12618" ht="12" customHeight="1">
      <c r="A12618" s="30" t="inlineStr">
        <is>
          <t>POR</t>
        </is>
      </c>
      <c r="B12618" s="30" t="inlineStr">
        <is>
          <t>Porto Real</t>
        </is>
      </c>
      <c r="C12618" s="30" t="n">
        <v>87467708</v>
      </c>
      <c r="D12618" s="30">
        <f>"13786475000288"</f>
        <v/>
      </c>
      <c r="E12618" s="30" t="inlineStr">
        <is>
          <t>TRANS ARISTEU TRANSPORTES RODOVIARIOS LTDA - EPP</t>
        </is>
      </c>
      <c r="F12618" s="30" t="inlineStr">
        <is>
          <t>2019</t>
        </is>
      </c>
      <c r="G12618" s="40" t="n">
        <v>0</v>
      </c>
    </row>
    <row r="12619" ht="12" customHeight="1">
      <c r="A12619" s="30" t="inlineStr">
        <is>
          <t>POR</t>
        </is>
      </c>
      <c r="B12619" s="30" t="inlineStr">
        <is>
          <t>Porto Real</t>
        </is>
      </c>
      <c r="C12619" s="30" t="n">
        <v>87467708</v>
      </c>
      <c r="D12619" s="30">
        <f>"13786475000288"</f>
        <v/>
      </c>
      <c r="E12619" s="30" t="inlineStr">
        <is>
          <t>TRANS ARISTEU TRANSPORTES RODOVIARIOS LTDA - EPP</t>
        </is>
      </c>
      <c r="F12619" s="30" t="inlineStr">
        <is>
          <t>2020</t>
        </is>
      </c>
      <c r="G12619" s="40" t="n">
        <v>0</v>
      </c>
    </row>
    <row r="12620" ht="12" customHeight="1">
      <c r="A12620" s="30" t="inlineStr">
        <is>
          <t>POR</t>
        </is>
      </c>
      <c r="B12620" s="30" t="inlineStr">
        <is>
          <t>Porto Real</t>
        </is>
      </c>
      <c r="C12620" s="30" t="n">
        <v>87467708</v>
      </c>
      <c r="D12620" s="30">
        <f>"13786475000288"</f>
        <v/>
      </c>
      <c r="E12620" s="30" t="inlineStr">
        <is>
          <t>TRANS ARISTEU TRANSPORTES RODOVIARIOS LTDA - EPP</t>
        </is>
      </c>
      <c r="F12620" s="30" t="inlineStr">
        <is>
          <t>2021</t>
        </is>
      </c>
      <c r="G12620" s="40" t="n">
        <v>0</v>
      </c>
    </row>
    <row r="12621" ht="12" customHeight="1">
      <c r="A12621" s="30" t="inlineStr">
        <is>
          <t>POR</t>
        </is>
      </c>
      <c r="B12621" s="30" t="inlineStr">
        <is>
          <t>Porto Real</t>
        </is>
      </c>
      <c r="C12621" s="30" t="n">
        <v>87467708</v>
      </c>
      <c r="D12621" s="30">
        <f>"13786475000288"</f>
        <v/>
      </c>
      <c r="E12621" s="30" t="inlineStr">
        <is>
          <t>TRANS ARISTEU TRANSPORTES RODOVIARIOS LTDA - EPP</t>
        </is>
      </c>
      <c r="F12621" s="30" t="inlineStr">
        <is>
          <t>2022</t>
        </is>
      </c>
      <c r="G12621" s="40" t="n">
        <v>0</v>
      </c>
    </row>
    <row r="12622" ht="12" customHeight="1">
      <c r="A12622" s="30" t="inlineStr">
        <is>
          <t>POR</t>
        </is>
      </c>
      <c r="B12622" s="30" t="inlineStr">
        <is>
          <t>Porto Real</t>
        </is>
      </c>
      <c r="C12622" s="30" t="n">
        <v>87467708</v>
      </c>
      <c r="D12622" s="30">
        <f>"13786475000288"</f>
        <v/>
      </c>
      <c r="E12622" s="30" t="inlineStr">
        <is>
          <t>TRANS ARISTEU TRANSPORTES RODOVIARIOS LTDA - EPP</t>
        </is>
      </c>
      <c r="F12622" s="30" t="inlineStr">
        <is>
          <t>2023</t>
        </is>
      </c>
      <c r="G12622" s="40" t="n">
        <v>0</v>
      </c>
    </row>
    <row r="12623" ht="12" customHeight="1">
      <c r="A12623" s="30" t="inlineStr">
        <is>
          <t>POR</t>
        </is>
      </c>
      <c r="B12623" s="30" t="inlineStr">
        <is>
          <t>Porto Real</t>
        </is>
      </c>
      <c r="C12623" s="30" t="n">
        <v>87469662</v>
      </c>
      <c r="D12623" s="30">
        <f>"28660569000100"</f>
        <v/>
      </c>
      <c r="E12623" s="30" t="inlineStr">
        <is>
          <t>T2W LOGISTICA E TRANSPORTES LTDA ME</t>
        </is>
      </c>
      <c r="F12623" s="30" t="inlineStr">
        <is>
          <t>2017</t>
        </is>
      </c>
      <c r="G12623" s="40" t="n">
        <v>0</v>
      </c>
    </row>
    <row r="12624" ht="12" customHeight="1">
      <c r="A12624" s="30" t="inlineStr">
        <is>
          <t>POR</t>
        </is>
      </c>
      <c r="B12624" s="30" t="inlineStr">
        <is>
          <t>Porto Real</t>
        </is>
      </c>
      <c r="C12624" s="30" t="n">
        <v>87469662</v>
      </c>
      <c r="D12624" s="30">
        <f>"28660569000100"</f>
        <v/>
      </c>
      <c r="E12624" s="30" t="inlineStr">
        <is>
          <t>T2W LOGISTICA E TRANSPORTES LTDA ME</t>
        </is>
      </c>
      <c r="F12624" s="30" t="inlineStr">
        <is>
          <t>2018</t>
        </is>
      </c>
      <c r="G12624" s="40" t="n">
        <v>0</v>
      </c>
    </row>
    <row r="12625" ht="12" customHeight="1">
      <c r="A12625" s="30" t="inlineStr">
        <is>
          <t>POR</t>
        </is>
      </c>
      <c r="B12625" s="30" t="inlineStr">
        <is>
          <t>Porto Real</t>
        </is>
      </c>
      <c r="C12625" s="30" t="n">
        <v>87469662</v>
      </c>
      <c r="D12625" s="30">
        <f>"28660569000100"</f>
        <v/>
      </c>
      <c r="E12625" s="30" t="inlineStr">
        <is>
          <t>T2W LOGISTICA E TRANSPORTES LTDA ME</t>
        </is>
      </c>
      <c r="F12625" s="30" t="inlineStr">
        <is>
          <t>2019</t>
        </is>
      </c>
      <c r="G12625" s="40" t="n">
        <v>4291608.51</v>
      </c>
    </row>
    <row r="12626" ht="12" customHeight="1">
      <c r="A12626" s="30" t="inlineStr">
        <is>
          <t>POR</t>
        </is>
      </c>
      <c r="B12626" s="30" t="inlineStr">
        <is>
          <t>Porto Real</t>
        </is>
      </c>
      <c r="C12626" s="30" t="n">
        <v>87469662</v>
      </c>
      <c r="D12626" s="30">
        <f>"28660569000100"</f>
        <v/>
      </c>
      <c r="E12626" s="30" t="inlineStr">
        <is>
          <t>T2W LOGISTICA E TRANSPORTES LTDA ME</t>
        </is>
      </c>
      <c r="F12626" s="30" t="inlineStr">
        <is>
          <t>2020</t>
        </is>
      </c>
      <c r="G12626" s="40" t="n">
        <v>18469.5</v>
      </c>
    </row>
    <row r="12627" ht="12" customHeight="1">
      <c r="A12627" s="30" t="inlineStr">
        <is>
          <t>POR</t>
        </is>
      </c>
      <c r="B12627" s="30" t="inlineStr">
        <is>
          <t>Porto Real</t>
        </is>
      </c>
      <c r="C12627" s="30" t="n">
        <v>87469662</v>
      </c>
      <c r="D12627" s="30">
        <f>"28660569000100"</f>
        <v/>
      </c>
      <c r="E12627" s="30" t="inlineStr">
        <is>
          <t>T2W LOGISTICA E TRANSPORTES LTDA ME</t>
        </is>
      </c>
      <c r="F12627" s="30" t="inlineStr">
        <is>
          <t>2021</t>
        </is>
      </c>
      <c r="G12627" s="40" t="n">
        <v>0</v>
      </c>
    </row>
    <row r="12628" ht="12" customHeight="1">
      <c r="A12628" s="30" t="inlineStr">
        <is>
          <t>POR</t>
        </is>
      </c>
      <c r="B12628" s="30" t="inlineStr">
        <is>
          <t>Porto Real</t>
        </is>
      </c>
      <c r="C12628" s="30" t="n">
        <v>87469662</v>
      </c>
      <c r="D12628" s="30">
        <f>"28660569000100"</f>
        <v/>
      </c>
      <c r="E12628" s="30" t="inlineStr">
        <is>
          <t>T2W LOGISTICA E TRANSPORTES LTDA ME</t>
        </is>
      </c>
      <c r="F12628" s="30" t="inlineStr">
        <is>
          <t>2022</t>
        </is>
      </c>
      <c r="G12628" s="40" t="n">
        <v>0</v>
      </c>
    </row>
    <row r="12629" ht="12" customHeight="1">
      <c r="A12629" s="30" t="inlineStr">
        <is>
          <t>POR</t>
        </is>
      </c>
      <c r="B12629" s="30" t="inlineStr">
        <is>
          <t>Porto Real</t>
        </is>
      </c>
      <c r="C12629" s="30" t="n">
        <v>87469662</v>
      </c>
      <c r="D12629" s="30">
        <f>"28660569000100"</f>
        <v/>
      </c>
      <c r="E12629" s="30" t="inlineStr">
        <is>
          <t>T2W LOGISTICA E TRANSPORTES LTDA ME</t>
        </is>
      </c>
      <c r="F12629" s="30" t="inlineStr">
        <is>
          <t>2023</t>
        </is>
      </c>
      <c r="G12629" s="40" t="n">
        <v>0</v>
      </c>
    </row>
    <row r="12630" ht="12" customHeight="1">
      <c r="A12630" s="30" t="inlineStr">
        <is>
          <t>POR</t>
        </is>
      </c>
      <c r="B12630" s="30" t="inlineStr">
        <is>
          <t>Porto Real</t>
        </is>
      </c>
      <c r="C12630" s="30" t="n">
        <v>92002420</v>
      </c>
      <c r="D12630" s="30">
        <f>"00497373000110"</f>
        <v/>
      </c>
      <c r="E12630" s="30" t="inlineStr">
        <is>
          <t>SKY SERVICOS DE BANDA LARGA LTDA.</t>
        </is>
      </c>
      <c r="F12630" s="30" t="inlineStr">
        <is>
          <t>2017</t>
        </is>
      </c>
      <c r="G12630" s="40" t="n">
        <v>519499.55</v>
      </c>
    </row>
    <row r="12631" ht="12" customHeight="1">
      <c r="A12631" s="30" t="inlineStr">
        <is>
          <t>POR</t>
        </is>
      </c>
      <c r="B12631" s="30" t="inlineStr">
        <is>
          <t>Porto Real</t>
        </is>
      </c>
      <c r="C12631" s="30" t="n">
        <v>92002420</v>
      </c>
      <c r="D12631" s="30">
        <f>"00497373000110"</f>
        <v/>
      </c>
      <c r="E12631" s="30" t="inlineStr">
        <is>
          <t>SKY SERVICOS DE BANDA LARGA LTDA.</t>
        </is>
      </c>
      <c r="F12631" s="30" t="inlineStr">
        <is>
          <t>2018</t>
        </is>
      </c>
      <c r="G12631" s="40" t="n">
        <v>626450.6800000001</v>
      </c>
    </row>
    <row r="12632" ht="12" customHeight="1">
      <c r="A12632" s="30" t="inlineStr">
        <is>
          <t>POR</t>
        </is>
      </c>
      <c r="B12632" s="30" t="inlineStr">
        <is>
          <t>Porto Real</t>
        </is>
      </c>
      <c r="C12632" s="30" t="n">
        <v>92002420</v>
      </c>
      <c r="D12632" s="30">
        <f>"00497373000110"</f>
        <v/>
      </c>
      <c r="E12632" s="30" t="inlineStr">
        <is>
          <t>SKY SERVICOS DE BANDA LARGA LTDA.</t>
        </is>
      </c>
      <c r="F12632" s="30" t="inlineStr">
        <is>
          <t>2019</t>
        </is>
      </c>
      <c r="G12632" s="40" t="n">
        <v>571982.33</v>
      </c>
    </row>
    <row r="12633" ht="12" customHeight="1">
      <c r="A12633" s="30" t="inlineStr">
        <is>
          <t>POR</t>
        </is>
      </c>
      <c r="B12633" s="30" t="inlineStr">
        <is>
          <t>Porto Real</t>
        </is>
      </c>
      <c r="C12633" s="30" t="n">
        <v>92002420</v>
      </c>
      <c r="D12633" s="30">
        <f>"00497373000110"</f>
        <v/>
      </c>
      <c r="E12633" s="30" t="inlineStr">
        <is>
          <t>SKY SERVICOS DE BANDA LARGA LTDA.</t>
        </is>
      </c>
      <c r="F12633" s="30" t="inlineStr">
        <is>
          <t>2020</t>
        </is>
      </c>
      <c r="G12633" s="40" t="n">
        <v>514792.55</v>
      </c>
    </row>
    <row r="12634" ht="12" customHeight="1">
      <c r="A12634" s="30" t="inlineStr">
        <is>
          <t>POR</t>
        </is>
      </c>
      <c r="B12634" s="30" t="inlineStr">
        <is>
          <t>Porto Real</t>
        </is>
      </c>
      <c r="C12634" s="30" t="n">
        <v>92002420</v>
      </c>
      <c r="D12634" s="30">
        <f>"00497373000110"</f>
        <v/>
      </c>
      <c r="E12634" s="30" t="inlineStr">
        <is>
          <t>SKY SERVICOS DE BANDA LARGA LTDA.</t>
        </is>
      </c>
      <c r="F12634" s="30" t="inlineStr">
        <is>
          <t>2021</t>
        </is>
      </c>
      <c r="G12634" s="40" t="n">
        <v>447808.89</v>
      </c>
    </row>
    <row r="12635" ht="12" customHeight="1">
      <c r="A12635" s="30" t="inlineStr">
        <is>
          <t>POR</t>
        </is>
      </c>
      <c r="B12635" s="30" t="inlineStr">
        <is>
          <t>Porto Real</t>
        </is>
      </c>
      <c r="C12635" s="30" t="n">
        <v>92002420</v>
      </c>
      <c r="D12635" s="30">
        <f>"00497373000110"</f>
        <v/>
      </c>
      <c r="E12635" s="30" t="inlineStr">
        <is>
          <t>SKY SERVICOS DE BANDA LARGA LTDA.</t>
        </is>
      </c>
      <c r="F12635" s="30" t="inlineStr">
        <is>
          <t>2022</t>
        </is>
      </c>
      <c r="G12635" s="40" t="n">
        <v>394337.27</v>
      </c>
    </row>
    <row r="12636" ht="12" customHeight="1">
      <c r="A12636" s="30" t="inlineStr">
        <is>
          <t>POR</t>
        </is>
      </c>
      <c r="B12636" s="30" t="inlineStr">
        <is>
          <t>Porto Real</t>
        </is>
      </c>
      <c r="C12636" s="30" t="n">
        <v>92002420</v>
      </c>
      <c r="D12636" s="30">
        <f>"00497373000110"</f>
        <v/>
      </c>
      <c r="E12636" s="30" t="inlineStr">
        <is>
          <t>SKY SERVICOS DE BANDA LARGA LTDA.</t>
        </is>
      </c>
      <c r="F12636" s="30" t="inlineStr">
        <is>
          <t>2023</t>
        </is>
      </c>
      <c r="G12636" s="40" t="n">
        <v>340356.17</v>
      </c>
    </row>
    <row r="12637" ht="12" customHeight="1">
      <c r="A12637" s="30" t="inlineStr">
        <is>
          <t>POR</t>
        </is>
      </c>
      <c r="B12637" s="30" t="inlineStr">
        <is>
          <t>Porto Real</t>
        </is>
      </c>
      <c r="C12637" s="30" t="n">
        <v>92006654</v>
      </c>
      <c r="D12637" s="30">
        <f>"72820822000120"</f>
        <v/>
      </c>
      <c r="E12637" s="30" t="inlineStr">
        <is>
          <t>SKY BRASIL SERVICOS LTDA</t>
        </is>
      </c>
      <c r="F12637" s="30" t="inlineStr">
        <is>
          <t>2017</t>
        </is>
      </c>
      <c r="G12637" s="40" t="n">
        <v>45020.03</v>
      </c>
    </row>
    <row r="12638" ht="12" customHeight="1">
      <c r="A12638" s="30" t="inlineStr">
        <is>
          <t>POR</t>
        </is>
      </c>
      <c r="B12638" s="30" t="inlineStr">
        <is>
          <t>Porto Real</t>
        </is>
      </c>
      <c r="C12638" s="30" t="n">
        <v>92006654</v>
      </c>
      <c r="D12638" s="30">
        <f>"72820822000120"</f>
        <v/>
      </c>
      <c r="E12638" s="30" t="inlineStr">
        <is>
          <t>SKY BRASIL SERVICOS LTDA</t>
        </is>
      </c>
      <c r="F12638" s="30" t="inlineStr">
        <is>
          <t>2018</t>
        </is>
      </c>
      <c r="G12638" s="40" t="n">
        <v>0</v>
      </c>
    </row>
    <row r="12639" ht="12" customHeight="1">
      <c r="A12639" s="30" t="inlineStr">
        <is>
          <t>POR</t>
        </is>
      </c>
      <c r="B12639" s="30" t="inlineStr">
        <is>
          <t>Porto Real</t>
        </is>
      </c>
      <c r="C12639" s="30" t="n">
        <v>92006654</v>
      </c>
      <c r="D12639" s="30">
        <f>"72820822000120"</f>
        <v/>
      </c>
      <c r="E12639" s="30" t="inlineStr">
        <is>
          <t>SKY BRASIL SERVICOS LTDA</t>
        </is>
      </c>
      <c r="F12639" s="30" t="inlineStr">
        <is>
          <t>2019</t>
        </is>
      </c>
      <c r="G12639" s="40" t="n">
        <v>0</v>
      </c>
    </row>
    <row r="12640" ht="12" customHeight="1">
      <c r="A12640" s="30" t="inlineStr">
        <is>
          <t>POR</t>
        </is>
      </c>
      <c r="B12640" s="30" t="inlineStr">
        <is>
          <t>Porto Real</t>
        </is>
      </c>
      <c r="C12640" s="30" t="n">
        <v>92035956</v>
      </c>
      <c r="D12640" s="30">
        <f>"05206385000404"</f>
        <v/>
      </c>
      <c r="E12640" s="30" t="inlineStr">
        <is>
          <t>HUGHES TELECOMUNICACOES DO BRASIL LTDA.</t>
        </is>
      </c>
      <c r="F12640" s="30" t="inlineStr">
        <is>
          <t>2017</t>
        </is>
      </c>
      <c r="G12640" s="40" t="n">
        <v>11613.22</v>
      </c>
    </row>
    <row r="12641" ht="12" customHeight="1">
      <c r="A12641" s="30" t="inlineStr">
        <is>
          <t>POR</t>
        </is>
      </c>
      <c r="B12641" s="30" t="inlineStr">
        <is>
          <t>Porto Real</t>
        </is>
      </c>
      <c r="C12641" s="30" t="n">
        <v>92035956</v>
      </c>
      <c r="D12641" s="30">
        <f>"05206385000404"</f>
        <v/>
      </c>
      <c r="E12641" s="30" t="inlineStr">
        <is>
          <t>HUGHES TELECOMUNICACOES DO BRASIL LTDA.</t>
        </is>
      </c>
      <c r="F12641" s="30" t="inlineStr">
        <is>
          <t>2018</t>
        </is>
      </c>
      <c r="G12641" s="40" t="n">
        <v>12700.17</v>
      </c>
    </row>
    <row r="12642" ht="12" customHeight="1">
      <c r="A12642" s="30" t="inlineStr">
        <is>
          <t>POR</t>
        </is>
      </c>
      <c r="B12642" s="30" t="inlineStr">
        <is>
          <t>Porto Real</t>
        </is>
      </c>
      <c r="C12642" s="30" t="n">
        <v>92035956</v>
      </c>
      <c r="D12642" s="30">
        <f>"05206385000404"</f>
        <v/>
      </c>
      <c r="E12642" s="30" t="inlineStr">
        <is>
          <t>HUGHES TELECOMUNICACOES DO BRASIL LTDA.</t>
        </is>
      </c>
      <c r="F12642" s="30" t="inlineStr">
        <is>
          <t>2019</t>
        </is>
      </c>
      <c r="G12642" s="40" t="n">
        <v>12810.26</v>
      </c>
    </row>
    <row r="12643" ht="12" customHeight="1">
      <c r="A12643" s="30" t="inlineStr">
        <is>
          <t>POR</t>
        </is>
      </c>
      <c r="B12643" s="30" t="inlineStr">
        <is>
          <t>Porto Real</t>
        </is>
      </c>
      <c r="C12643" s="30" t="n">
        <v>92035956</v>
      </c>
      <c r="D12643" s="30">
        <f>"05206385000404"</f>
        <v/>
      </c>
      <c r="E12643" s="30" t="inlineStr">
        <is>
          <t>HUGHES TELECOMUNICACOES DO BRASIL LTDA.</t>
        </is>
      </c>
      <c r="F12643" s="30" t="inlineStr">
        <is>
          <t>2020</t>
        </is>
      </c>
      <c r="G12643" s="40" t="n">
        <v>9230.879999999999</v>
      </c>
    </row>
    <row r="12644" ht="12" customHeight="1">
      <c r="A12644" s="30" t="inlineStr">
        <is>
          <t>POR</t>
        </is>
      </c>
      <c r="B12644" s="30" t="inlineStr">
        <is>
          <t>Porto Real</t>
        </is>
      </c>
      <c r="C12644" s="30" t="n">
        <v>92035956</v>
      </c>
      <c r="D12644" s="30">
        <f>"05206385000404"</f>
        <v/>
      </c>
      <c r="E12644" s="30" t="inlineStr">
        <is>
          <t>HUGHES TELECOMUNICACOES DO BRASIL LTDA.</t>
        </is>
      </c>
      <c r="F12644" s="30" t="inlineStr">
        <is>
          <t>2021</t>
        </is>
      </c>
      <c r="G12644" s="40" t="n">
        <v>0</v>
      </c>
    </row>
    <row r="12645" ht="12" customHeight="1">
      <c r="A12645" s="30" t="inlineStr">
        <is>
          <t>POR</t>
        </is>
      </c>
      <c r="B12645" s="30" t="inlineStr">
        <is>
          <t>Porto Real</t>
        </is>
      </c>
      <c r="C12645" s="30" t="n">
        <v>92035956</v>
      </c>
      <c r="D12645" s="30">
        <f>"05206385000404"</f>
        <v/>
      </c>
      <c r="E12645" s="30" t="inlineStr">
        <is>
          <t>HUGHES TELECOMUNICACOES DO BRASIL LTDA.</t>
        </is>
      </c>
      <c r="F12645" s="30" t="inlineStr">
        <is>
          <t>2022</t>
        </is>
      </c>
      <c r="G12645" s="40" t="n">
        <v>0</v>
      </c>
    </row>
    <row r="12646" ht="12" customHeight="1">
      <c r="A12646" s="30" t="inlineStr">
        <is>
          <t>POR</t>
        </is>
      </c>
      <c r="B12646" s="30" t="inlineStr">
        <is>
          <t>Porto Real</t>
        </is>
      </c>
      <c r="C12646" s="30" t="n">
        <v>99199997</v>
      </c>
      <c r="D12646" s="30">
        <f>"42498675000152"</f>
        <v/>
      </c>
      <c r="E12646" s="30" t="inlineStr">
        <is>
          <t>RF 9999 SUPERINTENDENCIA ESTADUAL CADASTRO E INF ECON FISCAIS</t>
        </is>
      </c>
      <c r="F12646" s="30" t="inlineStr">
        <is>
          <t>2017</t>
        </is>
      </c>
      <c r="G12646" s="40" t="n">
        <v>623699.59</v>
      </c>
    </row>
    <row r="12647" ht="12" customHeight="1">
      <c r="A12647" s="30" t="inlineStr">
        <is>
          <t>POR</t>
        </is>
      </c>
      <c r="B12647" s="30" t="inlineStr">
        <is>
          <t>Porto Real</t>
        </is>
      </c>
      <c r="C12647" s="30" t="n">
        <v>99199997</v>
      </c>
      <c r="D12647" s="30">
        <f>"42498675000152"</f>
        <v/>
      </c>
      <c r="E12647" s="30" t="inlineStr">
        <is>
          <t>RF 9999 SUPERINTENDENCIA ESTADUAL CADASTRO E INF ECON FISCAIS</t>
        </is>
      </c>
      <c r="F12647" s="30" t="inlineStr">
        <is>
          <t>2018</t>
        </is>
      </c>
      <c r="G12647" s="40" t="n">
        <v>2046919.76</v>
      </c>
    </row>
    <row r="12648" ht="12" customHeight="1">
      <c r="A12648" s="30" t="inlineStr">
        <is>
          <t>POR</t>
        </is>
      </c>
      <c r="B12648" s="30" t="inlineStr">
        <is>
          <t>Porto Real</t>
        </is>
      </c>
      <c r="C12648" s="30" t="n">
        <v>99199997</v>
      </c>
      <c r="D12648" s="30">
        <f>"42498675000152"</f>
        <v/>
      </c>
      <c r="E12648" s="30" t="inlineStr">
        <is>
          <t>RF 9999 SUPERINTENDENCIA ESTADUAL CADASTRO E INF ECON FISCAIS</t>
        </is>
      </c>
      <c r="F12648" s="30" t="inlineStr">
        <is>
          <t>2019</t>
        </is>
      </c>
      <c r="G12648" s="40" t="n">
        <v>2119690.81</v>
      </c>
    </row>
    <row r="12649" ht="12" customHeight="1">
      <c r="A12649" s="30" t="inlineStr">
        <is>
          <t>POR</t>
        </is>
      </c>
      <c r="B12649" s="30" t="inlineStr">
        <is>
          <t>Porto Real</t>
        </is>
      </c>
      <c r="C12649" s="30" t="n">
        <v>99199997</v>
      </c>
      <c r="D12649" s="30">
        <f>"42498675000152"</f>
        <v/>
      </c>
      <c r="E12649" s="30" t="inlineStr">
        <is>
          <t>RF 9999 SUPERINTENDENCIA ESTADUAL CADASTRO E INF ECON FISCAIS</t>
        </is>
      </c>
      <c r="F12649" s="30" t="inlineStr">
        <is>
          <t>2020</t>
        </is>
      </c>
      <c r="G12649" s="40" t="n">
        <v>2527277.84</v>
      </c>
    </row>
    <row r="12650" ht="12" customHeight="1">
      <c r="A12650" s="30" t="inlineStr">
        <is>
          <t>POR</t>
        </is>
      </c>
      <c r="B12650" s="30" t="inlineStr">
        <is>
          <t>Porto Real</t>
        </is>
      </c>
      <c r="C12650" s="30" t="n">
        <v>99199997</v>
      </c>
      <c r="D12650" s="30">
        <f>"42498675000152"</f>
        <v/>
      </c>
      <c r="E12650" s="30" t="inlineStr">
        <is>
          <t>RF 9999 SUPERINTENDENCIA ESTADUAL CADASTRO E INF ECON FISCAIS</t>
        </is>
      </c>
      <c r="F12650" s="30" t="inlineStr">
        <is>
          <t>2021</t>
        </is>
      </c>
      <c r="G12650" s="40" t="n">
        <v>2631273.07</v>
      </c>
    </row>
    <row r="12651" ht="12" customHeight="1">
      <c r="A12651" s="30" t="inlineStr">
        <is>
          <t>POR</t>
        </is>
      </c>
      <c r="B12651" s="30" t="inlineStr">
        <is>
          <t>Porto Real</t>
        </is>
      </c>
      <c r="C12651" s="30" t="n">
        <v>99199997</v>
      </c>
      <c r="D12651" s="30">
        <f>"42498675000152"</f>
        <v/>
      </c>
      <c r="E12651" s="30" t="inlineStr">
        <is>
          <t>RF 9999 SUPERINTENDENCIA ESTADUAL CADASTRO E INF ECON FISCAIS</t>
        </is>
      </c>
      <c r="F12651" s="30" t="inlineStr">
        <is>
          <t>2022</t>
        </is>
      </c>
      <c r="G12651" s="40" t="n">
        <v>3889569.06</v>
      </c>
    </row>
    <row r="12652" ht="12" customHeight="1">
      <c r="A12652" s="30" t="inlineStr">
        <is>
          <t>POR</t>
        </is>
      </c>
      <c r="B12652" s="30" t="inlineStr">
        <is>
          <t>Porto Real</t>
        </is>
      </c>
      <c r="C12652" s="30" t="n">
        <v>99199997</v>
      </c>
      <c r="D12652" s="30">
        <f>"42498675000152"</f>
        <v/>
      </c>
      <c r="E12652" s="30" t="inlineStr">
        <is>
          <t>RF 9999 SUPERINTENDENCIA ESTADUAL CADASTRO E INF ECON FISCAIS</t>
        </is>
      </c>
      <c r="F12652" s="30" t="inlineStr">
        <is>
          <t>2023</t>
        </is>
      </c>
      <c r="G12652" s="40" t="n">
        <v>4473459.3</v>
      </c>
    </row>
    <row r="12653" ht="12" customHeight="1">
      <c r="D12653" s="8">
        <f>SUBTOTAL(103,Tabela1[CPF_CNPJ])</f>
        <v/>
      </c>
      <c r="F12653" s="1" t="n"/>
      <c r="G12653" s="41">
        <f>SUBTOTAL(109,Tabela1[VALOR])</f>
        <v/>
      </c>
    </row>
  </sheetData>
  <pageMargins left="0.3937007874015748" right="0" top="0.3937007874015748" bottom="0.1968503937007874" header="0.1968503937007874" footer="0"/>
  <pageSetup orientation="portrait" paperSize="9" scale="62"/>
  <headerFooter>
    <oddHeader>&amp;C&amp;"Arial,Normal"&amp;8 &amp;P / &amp;N</oddHeader>
    <oddFooter/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382"/>
  <sheetViews>
    <sheetView zoomScaleNormal="100" workbookViewId="0">
      <pane xSplit="2" ySplit="6" topLeftCell="C2359" activePane="bottomRight" state="frozen"/>
      <selection pane="topRight" activeCell="C1" sqref="C1"/>
      <selection pane="bottomLeft" activeCell="A7" sqref="A7"/>
      <selection pane="bottomRight" activeCell="A7" sqref="A7:L2381"/>
    </sheetView>
  </sheetViews>
  <sheetFormatPr baseColWidth="8" defaultRowHeight="12" customHeight="1"/>
  <cols>
    <col width="9.7109375" customWidth="1" style="1" min="1" max="2"/>
    <col width="15.7109375" customWidth="1" style="1" min="3" max="3"/>
    <col width="15.7109375" customWidth="1" style="5" min="4" max="4"/>
    <col width="51.7109375" customWidth="1" style="1" min="5" max="5"/>
    <col width="15.7109375" customWidth="1" style="42" min="6" max="12"/>
    <col width="9.140625" customWidth="1" style="1" min="13" max="175"/>
    <col width="9.140625" customWidth="1" style="1" min="176" max="16384"/>
  </cols>
  <sheetData>
    <row r="1" ht="15" customFormat="1" customHeight="1" s="16">
      <c r="A1" s="33" t="inlineStr">
        <is>
          <t>ANÁLISE DO VALOR ADICIONADO POR MUNICÍPIO</t>
        </is>
      </c>
      <c r="B1" s="33" t="n"/>
      <c r="C1" s="33" t="n"/>
      <c r="D1" s="33" t="n"/>
      <c r="E1" s="33" t="n"/>
      <c r="F1" s="33" t="n"/>
      <c r="G1" s="33" t="n"/>
    </row>
    <row r="2" ht="15" customFormat="1" customHeight="1" s="10">
      <c r="A2" s="34" t="inlineStr">
        <is>
          <t>Relatório - Município / Contribuinte / Evolução Exercício</t>
        </is>
      </c>
      <c r="B2" s="34" t="n"/>
      <c r="C2" s="34" t="n"/>
      <c r="D2" s="34" t="n"/>
      <c r="E2" s="34" t="n"/>
      <c r="F2" s="34" t="n"/>
      <c r="G2" s="34" t="n"/>
    </row>
    <row r="3" ht="15" customHeight="1">
      <c r="A3" s="17" t="n"/>
      <c r="B3" s="15" t="n"/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</row>
    <row r="4" ht="15" customHeight="1">
      <c r="A4" s="17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 ht="15" customHeight="1">
      <c r="A5" s="17" t="n"/>
      <c r="B5" s="15" t="n"/>
      <c r="C5" s="15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</row>
    <row r="6" ht="24" customFormat="1" customHeight="1" s="3">
      <c r="A6" s="18" t="inlineStr">
        <is>
          <t>SigMun</t>
        </is>
      </c>
      <c r="B6" s="6" t="inlineStr">
        <is>
          <t>MUNICIPIO</t>
        </is>
      </c>
      <c r="C6" s="7" t="inlineStr">
        <is>
          <t>InscEst</t>
        </is>
      </c>
      <c r="D6" s="7" t="inlineStr">
        <is>
          <t>CPF_CNPJ</t>
        </is>
      </c>
      <c r="E6" s="4" t="inlineStr">
        <is>
          <t>RazSoc</t>
        </is>
      </c>
      <c r="F6" s="19" t="inlineStr">
        <is>
          <t>2017</t>
        </is>
      </c>
      <c r="G6" s="19" t="inlineStr">
        <is>
          <t>2018</t>
        </is>
      </c>
      <c r="H6" s="19" t="inlineStr">
        <is>
          <t>2019</t>
        </is>
      </c>
      <c r="I6" s="19" t="inlineStr">
        <is>
          <t>2020</t>
        </is>
      </c>
      <c r="J6" s="19" t="inlineStr">
        <is>
          <t>2021</t>
        </is>
      </c>
      <c r="K6" s="19" t="inlineStr">
        <is>
          <t>2022</t>
        </is>
      </c>
      <c r="L6" s="20" t="inlineStr">
        <is>
          <t>2023</t>
        </is>
      </c>
    </row>
    <row r="7" ht="12" customHeight="1">
      <c r="A7" s="30" t="inlineStr">
        <is>
          <t>ARE</t>
        </is>
      </c>
      <c r="B7" s="30" t="inlineStr">
        <is>
          <t>Areal</t>
        </is>
      </c>
      <c r="C7" s="30" t="n">
        <v>11025641</v>
      </c>
      <c r="D7" s="30">
        <f>"22883593001196"</f>
        <v/>
      </c>
      <c r="E7" s="30" t="inlineStr">
        <is>
          <t>EFFICAX TRANSPORTES LTDA</t>
        </is>
      </c>
      <c r="F7" s="40" t="n">
        <v>0</v>
      </c>
      <c r="G7" s="40" t="n">
        <v>2051.21</v>
      </c>
      <c r="H7" s="40" t="n">
        <v>0</v>
      </c>
      <c r="I7" s="40" t="n">
        <v>0</v>
      </c>
      <c r="J7" s="40" t="n">
        <v>0</v>
      </c>
      <c r="K7" s="40" t="n">
        <v>0</v>
      </c>
      <c r="L7" s="40" t="n">
        <v>0</v>
      </c>
    </row>
    <row r="8" ht="12" customHeight="1">
      <c r="A8" s="30" t="inlineStr">
        <is>
          <t>ARE</t>
        </is>
      </c>
      <c r="B8" s="30" t="inlineStr">
        <is>
          <t>Areal</t>
        </is>
      </c>
      <c r="C8" s="30" t="n">
        <v>11052517</v>
      </c>
      <c r="D8" s="30">
        <f>"29457434000105"</f>
        <v/>
      </c>
      <c r="E8" s="30" t="inlineStr">
        <is>
          <t>ZR AUTOMOVEIS EIRELI ME</t>
        </is>
      </c>
      <c r="F8" s="40" t="n">
        <v>0</v>
      </c>
      <c r="G8" s="40" t="n">
        <v>109072.18</v>
      </c>
      <c r="H8" s="40" t="n">
        <v>8961.709999999999</v>
      </c>
      <c r="I8" s="40" t="n">
        <v>0</v>
      </c>
      <c r="J8" s="40" t="n">
        <v>0</v>
      </c>
      <c r="K8" s="40" t="n">
        <v>0</v>
      </c>
      <c r="L8" s="40" t="n">
        <v>0</v>
      </c>
    </row>
    <row r="9" ht="12" customHeight="1">
      <c r="A9" s="30" t="inlineStr">
        <is>
          <t>ARE</t>
        </is>
      </c>
      <c r="B9" s="30" t="inlineStr">
        <is>
          <t>Areal</t>
        </is>
      </c>
      <c r="C9" s="30" t="n">
        <v>11080553</v>
      </c>
      <c r="D9" s="30">
        <f>"74570986749"</f>
        <v/>
      </c>
      <c r="E9" s="30" t="inlineStr">
        <is>
          <t>TERESA DA GAMA PASSOS</t>
        </is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75763.42</v>
      </c>
      <c r="L9" s="40" t="n">
        <v>0</v>
      </c>
    </row>
    <row r="10" ht="12" customHeight="1">
      <c r="A10" s="30" t="inlineStr">
        <is>
          <t>ARE</t>
        </is>
      </c>
      <c r="B10" s="30" t="inlineStr">
        <is>
          <t>Areal</t>
        </is>
      </c>
      <c r="C10" s="30" t="n">
        <v>11117562</v>
      </c>
      <c r="D10" s="30">
        <f>"14268258701"</f>
        <v/>
      </c>
      <c r="E10" s="30" t="inlineStr">
        <is>
          <t>JESSICA DA SILVA CARVALHO</t>
        </is>
      </c>
      <c r="F10" s="40" t="n">
        <v>0</v>
      </c>
      <c r="G10" s="40" t="n">
        <v>0</v>
      </c>
      <c r="H10" s="40" t="n">
        <v>0</v>
      </c>
      <c r="I10" s="40" t="n">
        <v>4198</v>
      </c>
      <c r="J10" s="40" t="n">
        <v>0</v>
      </c>
      <c r="K10" s="40" t="n">
        <v>0</v>
      </c>
      <c r="L10" s="40" t="n">
        <v>0</v>
      </c>
    </row>
    <row r="11" ht="12" customHeight="1">
      <c r="A11" s="30" t="inlineStr">
        <is>
          <t>ARE</t>
        </is>
      </c>
      <c r="B11" s="30" t="inlineStr">
        <is>
          <t>Areal</t>
        </is>
      </c>
      <c r="C11" s="30" t="n">
        <v>11123961</v>
      </c>
      <c r="D11" s="30">
        <f>"00233065003879"</f>
        <v/>
      </c>
      <c r="E11" s="30" t="inlineStr">
        <is>
          <t>UNIDOCK"S ASSESSORIA E LOGISTICA DE MATERIAIS LTDA</t>
        </is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3689.52</v>
      </c>
      <c r="K11" s="40" t="n">
        <v>21206.36</v>
      </c>
      <c r="L11" s="40" t="n">
        <v>7374.62</v>
      </c>
    </row>
    <row r="12" ht="12" customHeight="1">
      <c r="A12" s="30" t="inlineStr">
        <is>
          <t>ARE</t>
        </is>
      </c>
      <c r="B12" s="30" t="inlineStr">
        <is>
          <t>Areal</t>
        </is>
      </c>
      <c r="C12" s="30" t="n">
        <v>11132219</v>
      </c>
      <c r="D12" s="30">
        <f>"30308329000185"</f>
        <v/>
      </c>
      <c r="E12" s="30" t="inlineStr">
        <is>
          <t>TLOG RJ TRANSPORTADORA DE CARGAS LTDA</t>
        </is>
      </c>
      <c r="F12" s="40" t="n">
        <v>0</v>
      </c>
      <c r="G12" s="40" t="n">
        <v>0</v>
      </c>
      <c r="H12" s="40" t="n">
        <v>0</v>
      </c>
      <c r="I12" s="40" t="n">
        <v>2490.34</v>
      </c>
      <c r="J12" s="40" t="n">
        <v>0</v>
      </c>
      <c r="K12" s="40" t="n">
        <v>0</v>
      </c>
      <c r="L12" s="40" t="n">
        <v>0</v>
      </c>
    </row>
    <row r="13" ht="12" customHeight="1">
      <c r="A13" s="30" t="inlineStr">
        <is>
          <t>ARE</t>
        </is>
      </c>
      <c r="B13" s="30" t="inlineStr">
        <is>
          <t>Areal</t>
        </is>
      </c>
      <c r="C13" s="30" t="n">
        <v>11136397</v>
      </c>
      <c r="D13" s="30">
        <f>"15055734752"</f>
        <v/>
      </c>
      <c r="E13" s="30" t="inlineStr">
        <is>
          <t>JENIFER SOARES MEDEIROS</t>
        </is>
      </c>
      <c r="F13" s="40" t="n">
        <v>0</v>
      </c>
      <c r="G13" s="40" t="n">
        <v>0</v>
      </c>
      <c r="H13" s="40" t="n">
        <v>0</v>
      </c>
      <c r="I13" s="40" t="n">
        <v>21434.34</v>
      </c>
      <c r="J13" s="40" t="n">
        <v>0</v>
      </c>
      <c r="K13" s="40" t="n">
        <v>0</v>
      </c>
      <c r="L13" s="40" t="n">
        <v>0</v>
      </c>
    </row>
    <row r="14" ht="12" customHeight="1">
      <c r="A14" s="30" t="inlineStr">
        <is>
          <t>ARE</t>
        </is>
      </c>
      <c r="B14" s="30" t="inlineStr">
        <is>
          <t>Areal</t>
        </is>
      </c>
      <c r="C14" s="30" t="n">
        <v>11175791</v>
      </c>
      <c r="D14" s="30">
        <f>"29106584000166"</f>
        <v/>
      </c>
      <c r="E14" s="30" t="inlineStr">
        <is>
          <t>DO SEU LAR COMERCIO VAREJISTA EIRELI ME</t>
        </is>
      </c>
      <c r="F14" s="40" t="n">
        <v>0</v>
      </c>
      <c r="G14" s="40" t="n">
        <v>0</v>
      </c>
      <c r="H14" s="40" t="n">
        <v>0</v>
      </c>
      <c r="I14" s="40" t="n">
        <v>85269.64</v>
      </c>
      <c r="J14" s="40" t="n">
        <v>0</v>
      </c>
      <c r="K14" s="40" t="n">
        <v>380544.43</v>
      </c>
      <c r="L14" s="40" t="n">
        <v>0</v>
      </c>
    </row>
    <row r="15" ht="12" customHeight="1">
      <c r="A15" s="30" t="inlineStr">
        <is>
          <t>ARE</t>
        </is>
      </c>
      <c r="B15" s="30" t="inlineStr">
        <is>
          <t>Areal</t>
        </is>
      </c>
      <c r="C15" s="30" t="n">
        <v>11179991</v>
      </c>
      <c r="D15" s="30">
        <f>"14780646766"</f>
        <v/>
      </c>
      <c r="E15" s="30" t="inlineStr">
        <is>
          <t>SAULO DA SILVA RAMOS MOREIRA</t>
        </is>
      </c>
      <c r="F15" s="40" t="n">
        <v>0</v>
      </c>
      <c r="G15" s="40" t="n">
        <v>3800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</row>
    <row r="16" ht="12" customHeight="1">
      <c r="A16" s="30" t="inlineStr">
        <is>
          <t>ARE</t>
        </is>
      </c>
      <c r="B16" s="30" t="inlineStr">
        <is>
          <t>Areal</t>
        </is>
      </c>
      <c r="C16" s="30" t="n">
        <v>11211615</v>
      </c>
      <c r="D16" s="30">
        <f>"54631793791"</f>
        <v/>
      </c>
      <c r="E16" s="30" t="inlineStr">
        <is>
          <t>MAURICIO CARDOSO AROUCA</t>
        </is>
      </c>
      <c r="F16" s="40" t="n">
        <v>0</v>
      </c>
      <c r="G16" s="40" t="n">
        <v>0</v>
      </c>
      <c r="H16" s="40" t="n">
        <v>0</v>
      </c>
      <c r="I16" s="40" t="n">
        <v>0</v>
      </c>
      <c r="J16" s="40" t="n">
        <v>0</v>
      </c>
      <c r="K16" s="40" t="n">
        <v>0</v>
      </c>
      <c r="L16" s="40" t="n">
        <v>0</v>
      </c>
    </row>
    <row r="17" ht="12" customHeight="1">
      <c r="A17" s="30" t="inlineStr">
        <is>
          <t>ARE</t>
        </is>
      </c>
      <c r="B17" s="30" t="inlineStr">
        <is>
          <t>Areal</t>
        </is>
      </c>
      <c r="C17" s="30" t="n">
        <v>11226043</v>
      </c>
      <c r="D17" s="30">
        <f>"31318831000130"</f>
        <v/>
      </c>
      <c r="E17" s="30" t="inlineStr">
        <is>
          <t>R.S.COMÉRCIO DE GAS LTDA</t>
        </is>
      </c>
      <c r="F17" s="40" t="n">
        <v>0</v>
      </c>
      <c r="G17" s="40" t="n">
        <v>0</v>
      </c>
      <c r="H17" s="40" t="n">
        <v>0</v>
      </c>
      <c r="I17" s="40" t="n">
        <v>0</v>
      </c>
      <c r="J17" s="40" t="n">
        <v>0</v>
      </c>
      <c r="K17" s="40" t="n">
        <v>0</v>
      </c>
      <c r="L17" s="40" t="n">
        <v>0</v>
      </c>
    </row>
    <row r="18" ht="12" customHeight="1">
      <c r="A18" s="30" t="inlineStr">
        <is>
          <t>ARE</t>
        </is>
      </c>
      <c r="B18" s="30" t="inlineStr">
        <is>
          <t>Areal</t>
        </is>
      </c>
      <c r="C18" s="30" t="n">
        <v>11227392</v>
      </c>
      <c r="D18" s="30">
        <f>"21160941000324"</f>
        <v/>
      </c>
      <c r="E18" s="30" t="inlineStr">
        <is>
          <t>ARC TRANSPORTE &amp; LOGISTICA DO TRANSPORTE - EIRELI</t>
        </is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0" t="n">
        <v>454.56</v>
      </c>
      <c r="L18" s="40" t="n">
        <v>0</v>
      </c>
    </row>
    <row r="19" ht="12" customHeight="1">
      <c r="A19" s="30" t="inlineStr">
        <is>
          <t>ARE</t>
        </is>
      </c>
      <c r="B19" s="30" t="inlineStr">
        <is>
          <t>Areal</t>
        </is>
      </c>
      <c r="C19" s="30" t="n">
        <v>11233945</v>
      </c>
      <c r="D19" s="30">
        <f>"00941293000454"</f>
        <v/>
      </c>
      <c r="E19" s="30" t="inlineStr">
        <is>
          <t>SAO JOAQUIM TRANSPORTES LTDA</t>
        </is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0" t="n">
        <v>0</v>
      </c>
      <c r="L19" s="40" t="n">
        <v>2159.38</v>
      </c>
    </row>
    <row r="20" ht="12" customHeight="1">
      <c r="A20" s="30" t="inlineStr">
        <is>
          <t>ARE</t>
        </is>
      </c>
      <c r="B20" s="30" t="inlineStr">
        <is>
          <t>Areal</t>
        </is>
      </c>
      <c r="C20" s="30" t="n">
        <v>11256589</v>
      </c>
      <c r="D20" s="30">
        <f>"54336600791"</f>
        <v/>
      </c>
      <c r="E20" s="30" t="inlineStr">
        <is>
          <t>MAX SALLES</t>
        </is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0" t="n">
        <v>0</v>
      </c>
      <c r="L20" s="40" t="n">
        <v>0</v>
      </c>
    </row>
    <row r="21" ht="12" customHeight="1">
      <c r="A21" s="30" t="inlineStr">
        <is>
          <t>ARE</t>
        </is>
      </c>
      <c r="B21" s="30" t="inlineStr">
        <is>
          <t>Areal</t>
        </is>
      </c>
      <c r="C21" s="30" t="n">
        <v>11270557</v>
      </c>
      <c r="D21" s="30">
        <f>"30566256000121"</f>
        <v/>
      </c>
      <c r="E21" s="30" t="inlineStr">
        <is>
          <t>AUTO POSTO DFR LTDA</t>
        </is>
      </c>
      <c r="F21" s="40" t="n">
        <v>0</v>
      </c>
      <c r="G21" s="40" t="n">
        <v>0</v>
      </c>
      <c r="H21" s="40" t="n">
        <v>887917.99</v>
      </c>
      <c r="I21" s="40" t="n">
        <v>805767.01</v>
      </c>
      <c r="J21" s="40" t="n">
        <v>815676.6899999999</v>
      </c>
      <c r="K21" s="40" t="n">
        <v>1172896.87</v>
      </c>
      <c r="L21" s="40" t="n">
        <v>1392752</v>
      </c>
    </row>
    <row r="22" ht="12" customHeight="1">
      <c r="A22" s="30" t="inlineStr">
        <is>
          <t>ARE</t>
        </is>
      </c>
      <c r="B22" s="30" t="inlineStr">
        <is>
          <t>Areal</t>
        </is>
      </c>
      <c r="C22" s="30" t="n">
        <v>11278892</v>
      </c>
      <c r="D22" s="30">
        <f>"05112286000544"</f>
        <v/>
      </c>
      <c r="E22" s="30" t="inlineStr">
        <is>
          <t>BINHO TRANSPORTES E LOGISTICA EIRELI</t>
        </is>
      </c>
      <c r="F22" s="40" t="n">
        <v>0</v>
      </c>
      <c r="G22" s="40" t="n">
        <v>0</v>
      </c>
      <c r="H22" s="40" t="n">
        <v>36421.33</v>
      </c>
      <c r="I22" s="40" t="n">
        <v>22381.75</v>
      </c>
      <c r="J22" s="40" t="n">
        <v>0</v>
      </c>
      <c r="K22" s="40" t="n">
        <v>0</v>
      </c>
      <c r="L22" s="40" t="n">
        <v>0</v>
      </c>
    </row>
    <row r="23" ht="12" customHeight="1">
      <c r="A23" s="30" t="inlineStr">
        <is>
          <t>ARE</t>
        </is>
      </c>
      <c r="B23" s="30" t="inlineStr">
        <is>
          <t>Areal</t>
        </is>
      </c>
      <c r="C23" s="30" t="n">
        <v>11284671</v>
      </c>
      <c r="D23" s="30">
        <f>"77799526734"</f>
        <v/>
      </c>
      <c r="E23" s="30" t="inlineStr">
        <is>
          <t>ADILSON PAULO ALVES DA COSTA</t>
        </is>
      </c>
      <c r="F23" s="40" t="n">
        <v>0</v>
      </c>
      <c r="G23" s="40" t="n">
        <v>0</v>
      </c>
      <c r="H23" s="40" t="n">
        <v>2250</v>
      </c>
      <c r="I23" s="40" t="n">
        <v>0</v>
      </c>
      <c r="J23" s="40" t="n">
        <v>9813.5</v>
      </c>
      <c r="K23" s="40" t="n">
        <v>0</v>
      </c>
      <c r="L23" s="40" t="n">
        <v>17245</v>
      </c>
    </row>
    <row r="24" ht="12" customHeight="1">
      <c r="A24" s="30" t="inlineStr">
        <is>
          <t>ARE</t>
        </is>
      </c>
      <c r="B24" s="30" t="inlineStr">
        <is>
          <t>Areal</t>
        </is>
      </c>
      <c r="C24" s="30" t="n">
        <v>11286810</v>
      </c>
      <c r="D24" s="30">
        <f>"28570101000117"</f>
        <v/>
      </c>
      <c r="E24" s="30" t="inlineStr">
        <is>
          <t>BUBLIM ACESSORIOS EIRELI</t>
        </is>
      </c>
      <c r="F24" s="40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110933.75</v>
      </c>
      <c r="L24" s="40" t="n">
        <v>0</v>
      </c>
    </row>
    <row r="25" ht="12" customHeight="1">
      <c r="A25" s="30" t="inlineStr">
        <is>
          <t>ARE</t>
        </is>
      </c>
      <c r="B25" s="30" t="inlineStr">
        <is>
          <t>Areal</t>
        </is>
      </c>
      <c r="C25" s="30" t="n">
        <v>11298109</v>
      </c>
      <c r="D25" s="30">
        <f>"04178652796"</f>
        <v/>
      </c>
      <c r="E25" s="30" t="inlineStr">
        <is>
          <t>ROBERTA APARECIDA OLIVEIRA RIBEIRO</t>
        </is>
      </c>
      <c r="F25" s="40" t="n">
        <v>0</v>
      </c>
      <c r="G25" s="40" t="n">
        <v>0</v>
      </c>
      <c r="H25" s="40" t="n">
        <v>0</v>
      </c>
      <c r="I25" s="40" t="n">
        <v>14519</v>
      </c>
      <c r="J25" s="40" t="n">
        <v>0</v>
      </c>
      <c r="K25" s="40" t="n">
        <v>0</v>
      </c>
      <c r="L25" s="40" t="n">
        <v>0</v>
      </c>
    </row>
    <row r="26" ht="12" customHeight="1">
      <c r="A26" s="30" t="inlineStr">
        <is>
          <t>ARE</t>
        </is>
      </c>
      <c r="B26" s="30" t="inlineStr">
        <is>
          <t>Areal</t>
        </is>
      </c>
      <c r="C26" s="30" t="n">
        <v>11302165</v>
      </c>
      <c r="D26" s="30">
        <f>"71471324753"</f>
        <v/>
      </c>
      <c r="E26" s="30" t="inlineStr">
        <is>
          <t>LUIZ RONALDO ESTEVES DE ABREU</t>
        </is>
      </c>
      <c r="F26" s="40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</row>
    <row r="27" ht="12" customHeight="1">
      <c r="A27" s="30" t="inlineStr">
        <is>
          <t>ARE</t>
        </is>
      </c>
      <c r="B27" s="30" t="inlineStr">
        <is>
          <t>Areal</t>
        </is>
      </c>
      <c r="C27" s="30" t="n">
        <v>11306870</v>
      </c>
      <c r="D27" s="30">
        <f>"26607430000321"</f>
        <v/>
      </c>
      <c r="E27" s="30" t="inlineStr">
        <is>
          <t>EXPRESSO JA LTDA</t>
        </is>
      </c>
      <c r="F27" s="40" t="n">
        <v>0</v>
      </c>
      <c r="G27" s="40" t="n">
        <v>0</v>
      </c>
      <c r="H27" s="40" t="n">
        <v>0</v>
      </c>
      <c r="I27" s="40" t="n">
        <v>0</v>
      </c>
      <c r="J27" s="40" t="n">
        <v>36.5</v>
      </c>
      <c r="K27" s="40" t="n">
        <v>0</v>
      </c>
      <c r="L27" s="40" t="n">
        <v>0</v>
      </c>
    </row>
    <row r="28" ht="12" customHeight="1">
      <c r="A28" s="30" t="inlineStr">
        <is>
          <t>ARE</t>
        </is>
      </c>
      <c r="B28" s="30" t="inlineStr">
        <is>
          <t>Areal</t>
        </is>
      </c>
      <c r="C28" s="30" t="n">
        <v>11317030</v>
      </c>
      <c r="D28" s="30">
        <f>"32201646000123"</f>
        <v/>
      </c>
      <c r="E28" s="30" t="inlineStr">
        <is>
          <t>SIM ADMINISTRA??O E SERVI?OS DE GEST?O DE DOCUMENTOS LTDA</t>
        </is>
      </c>
      <c r="F28" s="40" t="n">
        <v>0</v>
      </c>
      <c r="G28" s="40" t="n">
        <v>0</v>
      </c>
      <c r="H28" s="40" t="n">
        <v>0</v>
      </c>
      <c r="I28" s="40" t="n">
        <v>0</v>
      </c>
      <c r="J28" s="40" t="n">
        <v>0</v>
      </c>
      <c r="K28" s="40" t="n">
        <v>0</v>
      </c>
      <c r="L28" s="40" t="n">
        <v>0</v>
      </c>
    </row>
    <row r="29" ht="12" customHeight="1">
      <c r="A29" s="30" t="inlineStr">
        <is>
          <t>ARE</t>
        </is>
      </c>
      <c r="B29" s="30" t="inlineStr">
        <is>
          <t>Areal</t>
        </is>
      </c>
      <c r="C29" s="30" t="n">
        <v>11366660</v>
      </c>
      <c r="D29" s="30">
        <f>"05530576001075"</f>
        <v/>
      </c>
      <c r="E29" s="30" t="inlineStr">
        <is>
          <t>LOGFAR LOGISTICA LTDA</t>
        </is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4611.73</v>
      </c>
      <c r="L29" s="40" t="n">
        <v>73791.83</v>
      </c>
    </row>
    <row r="30" ht="12" customHeight="1">
      <c r="A30" s="30" t="inlineStr">
        <is>
          <t>ARE</t>
        </is>
      </c>
      <c r="B30" s="30" t="inlineStr">
        <is>
          <t>Areal</t>
        </is>
      </c>
      <c r="C30" s="30" t="n">
        <v>11386431</v>
      </c>
      <c r="D30" s="30">
        <f>"29080308000338"</f>
        <v/>
      </c>
      <c r="E30" s="30" t="inlineStr">
        <is>
          <t>R&amp;D CARGO TRANSPORTES LTDA</t>
        </is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662.23</v>
      </c>
      <c r="L30" s="40" t="n">
        <v>0</v>
      </c>
    </row>
    <row r="31" ht="12" customHeight="1">
      <c r="A31" s="30" t="inlineStr">
        <is>
          <t>ARE</t>
        </is>
      </c>
      <c r="B31" s="30" t="inlineStr">
        <is>
          <t>Areal</t>
        </is>
      </c>
      <c r="C31" s="30" t="n">
        <v>11461484</v>
      </c>
      <c r="D31" s="30">
        <f>"11679511742"</f>
        <v/>
      </c>
      <c r="E31" s="30" t="inlineStr">
        <is>
          <t>VALTAIR AMORIM FERNANDES</t>
        </is>
      </c>
      <c r="F31" s="40" t="n">
        <v>0</v>
      </c>
      <c r="G31" s="40" t="n">
        <v>0</v>
      </c>
      <c r="H31" s="40" t="n">
        <v>1847.82</v>
      </c>
      <c r="I31" s="40" t="n">
        <v>1847.82</v>
      </c>
      <c r="J31" s="40" t="n">
        <v>15761.8</v>
      </c>
      <c r="K31" s="40" t="n">
        <v>0</v>
      </c>
      <c r="L31" s="40" t="n">
        <v>0</v>
      </c>
    </row>
    <row r="32" ht="12" customHeight="1">
      <c r="A32" s="30" t="inlineStr">
        <is>
          <t>ARE</t>
        </is>
      </c>
      <c r="B32" s="30" t="inlineStr">
        <is>
          <t>Areal</t>
        </is>
      </c>
      <c r="C32" s="30" t="n">
        <v>11517943</v>
      </c>
      <c r="D32" s="30">
        <f>"03789519715"</f>
        <v/>
      </c>
      <c r="E32" s="30" t="inlineStr">
        <is>
          <t>ZACHAROULA LAGOS SIMOES</t>
        </is>
      </c>
      <c r="F32" s="40" t="n">
        <v>0</v>
      </c>
      <c r="G32" s="40" t="n">
        <v>0</v>
      </c>
      <c r="H32" s="40" t="n">
        <v>0</v>
      </c>
      <c r="I32" s="40" t="n">
        <v>1920</v>
      </c>
      <c r="J32" s="40" t="n">
        <v>2790</v>
      </c>
      <c r="K32" s="40" t="n">
        <v>525</v>
      </c>
      <c r="L32" s="40" t="n">
        <v>0</v>
      </c>
    </row>
    <row r="33" ht="12" customHeight="1">
      <c r="A33" s="30" t="inlineStr">
        <is>
          <t>ARE</t>
        </is>
      </c>
      <c r="B33" s="30" t="inlineStr">
        <is>
          <t>Areal</t>
        </is>
      </c>
      <c r="C33" s="30" t="n">
        <v>11545220</v>
      </c>
      <c r="D33" s="30">
        <f>"02089969003393"</f>
        <v/>
      </c>
      <c r="E33" s="30" t="inlineStr">
        <is>
          <t>LATICINIOS BELA VISTA LTDA</t>
        </is>
      </c>
      <c r="F33" s="40" t="n">
        <v>0</v>
      </c>
      <c r="G33" s="40" t="n">
        <v>0</v>
      </c>
      <c r="H33" s="40" t="n">
        <v>1150.63</v>
      </c>
      <c r="I33" s="40" t="n">
        <v>52978.13</v>
      </c>
      <c r="J33" s="40" t="n">
        <v>38433.26</v>
      </c>
      <c r="K33" s="40" t="n">
        <v>0</v>
      </c>
      <c r="L33" s="40" t="n">
        <v>0</v>
      </c>
    </row>
    <row r="34" ht="12" customHeight="1">
      <c r="A34" s="30" t="inlineStr">
        <is>
          <t>ARE</t>
        </is>
      </c>
      <c r="B34" s="30" t="inlineStr">
        <is>
          <t>Areal</t>
        </is>
      </c>
      <c r="C34" s="30" t="n">
        <v>11549276</v>
      </c>
      <c r="D34" s="30">
        <f>"34891172000114"</f>
        <v/>
      </c>
      <c r="E34" s="30" t="inlineStr">
        <is>
          <t>MAVEN COMÉRCIO ATACADISTA EM GERAL, CONSTRUTORA, SERVIÇOS E SOLUÇÕES ADMINISTRATIVAS EIRELI</t>
        </is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</row>
    <row r="35" ht="12" customHeight="1">
      <c r="A35" s="30" t="inlineStr">
        <is>
          <t>ARE</t>
        </is>
      </c>
      <c r="B35" s="30" t="inlineStr">
        <is>
          <t>Areal</t>
        </is>
      </c>
      <c r="C35" s="30" t="n">
        <v>11632610</v>
      </c>
      <c r="D35" s="30">
        <f>"11165614000140"</f>
        <v/>
      </c>
      <c r="E35" s="30" t="inlineStr">
        <is>
          <t>STEFANELLY MODAS LTDA ME</t>
        </is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</row>
    <row r="36" ht="12" customHeight="1">
      <c r="A36" s="30" t="inlineStr">
        <is>
          <t>ARE</t>
        </is>
      </c>
      <c r="B36" s="30" t="inlineStr">
        <is>
          <t>Areal</t>
        </is>
      </c>
      <c r="C36" s="30" t="n">
        <v>11639623</v>
      </c>
      <c r="D36" s="30">
        <f>"35839942000142"</f>
        <v/>
      </c>
      <c r="E36" s="30" t="inlineStr">
        <is>
          <t>TMA SUDESTE TRANSPORTE E LOG?STICA LTDA</t>
        </is>
      </c>
      <c r="F36" s="40" t="n">
        <v>0</v>
      </c>
      <c r="G36" s="40" t="n">
        <v>0</v>
      </c>
      <c r="H36" s="40" t="n">
        <v>0</v>
      </c>
      <c r="I36" s="40" t="n">
        <v>633.26</v>
      </c>
      <c r="J36" s="40" t="n">
        <v>746.49</v>
      </c>
      <c r="K36" s="40" t="n">
        <v>0</v>
      </c>
      <c r="L36" s="40" t="n">
        <v>0</v>
      </c>
    </row>
    <row r="37" ht="12" customHeight="1">
      <c r="A37" s="30" t="inlineStr">
        <is>
          <t>ARE</t>
        </is>
      </c>
      <c r="B37" s="30" t="inlineStr">
        <is>
          <t>Areal</t>
        </is>
      </c>
      <c r="C37" s="30" t="n">
        <v>11669689</v>
      </c>
      <c r="D37" s="30">
        <f>"33050071024502"</f>
        <v/>
      </c>
      <c r="E37" s="30" t="inlineStr">
        <is>
          <t>AMPLA ENERGIA E SERVICOS S.A.</t>
        </is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</row>
    <row r="38" ht="12" customHeight="1">
      <c r="A38" s="30" t="inlineStr">
        <is>
          <t>ARE</t>
        </is>
      </c>
      <c r="B38" s="30" t="inlineStr">
        <is>
          <t>Areal</t>
        </is>
      </c>
      <c r="C38" s="30" t="n">
        <v>11682510</v>
      </c>
      <c r="D38" s="30">
        <f>"00088358160763"</f>
        <v/>
      </c>
      <c r="E38" s="30" t="inlineStr">
        <is>
          <t>PAULO JOSE ALVES DA COSTA</t>
        </is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</row>
    <row r="39" ht="12" customHeight="1">
      <c r="A39" s="30" t="inlineStr">
        <is>
          <t>ARE</t>
        </is>
      </c>
      <c r="B39" s="30" t="inlineStr">
        <is>
          <t>Areal</t>
        </is>
      </c>
      <c r="C39" s="30" t="n">
        <v>11699375</v>
      </c>
      <c r="D39" s="30">
        <f>"20121850002107"</f>
        <v/>
      </c>
      <c r="E39" s="30" t="inlineStr">
        <is>
          <t>MERCADO ENVIOS SERVICOS DE LOGISTICA LTDA</t>
        </is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122073.85</v>
      </c>
      <c r="L39" s="40" t="n">
        <v>0</v>
      </c>
    </row>
    <row r="40" ht="12" customHeight="1">
      <c r="A40" s="30" t="inlineStr">
        <is>
          <t>ARE</t>
        </is>
      </c>
      <c r="B40" s="30" t="inlineStr">
        <is>
          <t>Areal</t>
        </is>
      </c>
      <c r="C40" s="30" t="n">
        <v>11712908</v>
      </c>
      <c r="D40" s="30">
        <f>"36012579000150"</f>
        <v/>
      </c>
      <c r="E40" s="30" t="inlineStr">
        <is>
          <t>COZANI RJ INFRAESTRUTURA E REDES DE TELECOMUNICA??ES S.A</t>
        </is>
      </c>
      <c r="F40" s="40" t="n">
        <v>0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133514.36</v>
      </c>
      <c r="L40" s="40" t="n">
        <v>0</v>
      </c>
    </row>
    <row r="41" ht="12" customHeight="1">
      <c r="A41" s="30" t="inlineStr">
        <is>
          <t>ARE</t>
        </is>
      </c>
      <c r="B41" s="30" t="inlineStr">
        <is>
          <t>Areal</t>
        </is>
      </c>
      <c r="C41" s="30" t="n">
        <v>11719376</v>
      </c>
      <c r="D41" s="30">
        <f>"37299947000155"</f>
        <v/>
      </c>
      <c r="E41" s="30" t="inlineStr">
        <is>
          <t>RAROS DE MINAS COM?RCIO DE PRODUTOS ALIMENT?CIOS LTDA</t>
        </is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203397.01</v>
      </c>
    </row>
    <row r="42" ht="12" customHeight="1">
      <c r="A42" s="30" t="inlineStr">
        <is>
          <t>ARE</t>
        </is>
      </c>
      <c r="B42" s="30" t="inlineStr">
        <is>
          <t>Areal</t>
        </is>
      </c>
      <c r="C42" s="30" t="n">
        <v>11743501</v>
      </c>
      <c r="D42" s="30">
        <f>"18247063001770"</f>
        <v/>
      </c>
      <c r="E42" s="30" t="inlineStr">
        <is>
          <t>DOMINALOG EXPRESS LOGISTICA INTEGRADA LTDA</t>
        </is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123.73</v>
      </c>
    </row>
    <row r="43" ht="12" customHeight="1">
      <c r="A43" s="30" t="inlineStr">
        <is>
          <t>ARE</t>
        </is>
      </c>
      <c r="B43" s="30" t="inlineStr">
        <is>
          <t>Areal</t>
        </is>
      </c>
      <c r="C43" s="30" t="n">
        <v>11774504</v>
      </c>
      <c r="D43" s="30">
        <f>"00972696001351"</f>
        <v/>
      </c>
      <c r="E43" s="30" t="inlineStr">
        <is>
          <t>V.M.RAMOS &amp; CIA LTDA</t>
        </is>
      </c>
      <c r="F43" s="40" t="n">
        <v>0</v>
      </c>
      <c r="G43" s="40" t="n">
        <v>0</v>
      </c>
      <c r="H43" s="40" t="n">
        <v>0</v>
      </c>
      <c r="I43" s="40" t="n">
        <v>5000.61</v>
      </c>
      <c r="J43" s="40" t="n">
        <v>15781.29</v>
      </c>
      <c r="K43" s="40" t="n">
        <v>12983.63</v>
      </c>
      <c r="L43" s="40" t="n">
        <v>5582.37</v>
      </c>
    </row>
    <row r="44" ht="12" customHeight="1">
      <c r="A44" s="30" t="inlineStr">
        <is>
          <t>ARE</t>
        </is>
      </c>
      <c r="B44" s="30" t="inlineStr">
        <is>
          <t>Areal</t>
        </is>
      </c>
      <c r="C44" s="30" t="n">
        <v>11774997</v>
      </c>
      <c r="D44" s="30">
        <f>"37982963000148"</f>
        <v/>
      </c>
      <c r="E44" s="30" t="inlineStr">
        <is>
          <t>EKO PLASTO RECICLAGEM LTDA</t>
        </is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</row>
    <row r="45" ht="12" customHeight="1">
      <c r="A45" s="30" t="inlineStr">
        <is>
          <t>ARE</t>
        </is>
      </c>
      <c r="B45" s="30" t="inlineStr">
        <is>
          <t>Areal</t>
        </is>
      </c>
      <c r="C45" s="30" t="n">
        <v>11810381</v>
      </c>
      <c r="D45" s="30">
        <f>"05206385004400"</f>
        <v/>
      </c>
      <c r="E45" s="30" t="inlineStr">
        <is>
          <t>HUGHES TELECOMUNICACOES DO BRASIL LTDA</t>
        </is>
      </c>
      <c r="F45" s="40" t="n">
        <v>0</v>
      </c>
      <c r="G45" s="40" t="n">
        <v>0</v>
      </c>
      <c r="H45" s="40" t="n">
        <v>0</v>
      </c>
      <c r="I45" s="40" t="n">
        <v>24950.27</v>
      </c>
      <c r="J45" s="40" t="n">
        <v>92404.7</v>
      </c>
      <c r="K45" s="40" t="n">
        <v>44408.78</v>
      </c>
      <c r="L45" s="40" t="n">
        <v>23963.89</v>
      </c>
    </row>
    <row r="46" ht="12" customHeight="1">
      <c r="A46" s="30" t="inlineStr">
        <is>
          <t>ARE</t>
        </is>
      </c>
      <c r="B46" s="30" t="inlineStr">
        <is>
          <t>Areal</t>
        </is>
      </c>
      <c r="C46" s="30" t="n">
        <v>11813801</v>
      </c>
      <c r="D46" s="30">
        <f>"08848231003772"</f>
        <v/>
      </c>
      <c r="E46" s="30" t="inlineStr">
        <is>
          <t>ATUAL CARGAS TRANSPORTES LTDA</t>
        </is>
      </c>
      <c r="F46" s="40" t="n">
        <v>0</v>
      </c>
      <c r="G46" s="40" t="n">
        <v>0</v>
      </c>
      <c r="H46" s="40" t="n">
        <v>0</v>
      </c>
      <c r="I46" s="40" t="n">
        <v>0</v>
      </c>
      <c r="J46" s="40" t="n">
        <v>0</v>
      </c>
      <c r="K46" s="40" t="n">
        <v>190.16</v>
      </c>
      <c r="L46" s="40" t="n">
        <v>262.67</v>
      </c>
    </row>
    <row r="47" ht="12" customHeight="1">
      <c r="A47" s="30" t="inlineStr">
        <is>
          <t>ARE</t>
        </is>
      </c>
      <c r="B47" s="30" t="inlineStr">
        <is>
          <t>Areal</t>
        </is>
      </c>
      <c r="C47" s="30" t="n">
        <v>11814077</v>
      </c>
      <c r="D47" s="30">
        <f>"38346448000134"</f>
        <v/>
      </c>
      <c r="E47" s="30" t="inlineStr">
        <is>
          <t>STN COMERCIO DE MATERIAL ELETRICO LTDA</t>
        </is>
      </c>
      <c r="F47" s="40" t="n">
        <v>0</v>
      </c>
      <c r="G47" s="40" t="n">
        <v>0</v>
      </c>
      <c r="H47" s="40" t="n">
        <v>0</v>
      </c>
      <c r="I47" s="40" t="n">
        <v>207979.33</v>
      </c>
      <c r="J47" s="40" t="n">
        <v>7492585.71</v>
      </c>
      <c r="K47" s="40" t="n">
        <v>43600.31</v>
      </c>
      <c r="L47" s="40" t="n">
        <v>292630.17</v>
      </c>
    </row>
    <row r="48" ht="12" customHeight="1">
      <c r="A48" s="30" t="inlineStr">
        <is>
          <t>ARE</t>
        </is>
      </c>
      <c r="B48" s="30" t="inlineStr">
        <is>
          <t>Areal</t>
        </is>
      </c>
      <c r="C48" s="30" t="n">
        <v>11823033</v>
      </c>
      <c r="D48" s="30">
        <f>"37185266000166"</f>
        <v/>
      </c>
      <c r="E48" s="30" t="inlineStr">
        <is>
          <t>JONAVA RJ INFRAESTRUTURA E REDES DE TELECOMUNICACOES S.A.</t>
        </is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189.23</v>
      </c>
      <c r="L48" s="40" t="n">
        <v>0</v>
      </c>
    </row>
    <row r="49" ht="12" customHeight="1">
      <c r="A49" s="30" t="inlineStr">
        <is>
          <t>ARE</t>
        </is>
      </c>
      <c r="B49" s="30" t="inlineStr">
        <is>
          <t>Areal</t>
        </is>
      </c>
      <c r="C49" s="30" t="n">
        <v>11853137</v>
      </c>
      <c r="D49" s="30">
        <f>"48740351014972"</f>
        <v/>
      </c>
      <c r="E49" s="30" t="inlineStr">
        <is>
          <t>BRASPRESS TRANSPORTES URGENTES LTDA</t>
        </is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34.17</v>
      </c>
      <c r="L49" s="40" t="n">
        <v>28.78</v>
      </c>
    </row>
    <row r="50" ht="12" customHeight="1">
      <c r="A50" s="30" t="inlineStr">
        <is>
          <t>ARE</t>
        </is>
      </c>
      <c r="B50" s="30" t="inlineStr">
        <is>
          <t>Areal</t>
        </is>
      </c>
      <c r="C50" s="30" t="n">
        <v>11894909</v>
      </c>
      <c r="D50" s="30">
        <f>"19507906000206"</f>
        <v/>
      </c>
      <c r="E50" s="30" t="inlineStr">
        <is>
          <t>AUTO TRUCK PNEUS, PECAS, ACESSORIOS E SERVICOS LTDA</t>
        </is>
      </c>
      <c r="F50" s="40" t="n">
        <v>0</v>
      </c>
      <c r="G50" s="40" t="n">
        <v>0</v>
      </c>
      <c r="H50" s="40" t="n">
        <v>0</v>
      </c>
      <c r="I50" s="40" t="n">
        <v>0</v>
      </c>
      <c r="J50" s="40" t="n">
        <v>0</v>
      </c>
      <c r="K50" s="40" t="n">
        <v>0</v>
      </c>
      <c r="L50" s="40" t="n">
        <v>0</v>
      </c>
    </row>
    <row r="51" ht="12" customHeight="1">
      <c r="A51" s="30" t="inlineStr">
        <is>
          <t>ARE</t>
        </is>
      </c>
      <c r="B51" s="30" t="inlineStr">
        <is>
          <t>Areal</t>
        </is>
      </c>
      <c r="C51" s="30" t="n">
        <v>11920985</v>
      </c>
      <c r="D51" s="30">
        <f>"82110818002841"</f>
        <v/>
      </c>
      <c r="E51" s="30" t="inlineStr">
        <is>
          <t>ALFA TRANSPORTES LTDA</t>
        </is>
      </c>
      <c r="F51" s="40" t="n">
        <v>0</v>
      </c>
      <c r="G51" s="40" t="n">
        <v>0</v>
      </c>
      <c r="H51" s="40" t="n">
        <v>0</v>
      </c>
      <c r="I51" s="40" t="n">
        <v>0</v>
      </c>
      <c r="J51" s="40" t="n">
        <v>1446.06</v>
      </c>
      <c r="K51" s="40" t="n">
        <v>3683.32</v>
      </c>
      <c r="L51" s="40" t="n">
        <v>0</v>
      </c>
    </row>
    <row r="52" ht="12" customHeight="1">
      <c r="A52" s="30" t="inlineStr">
        <is>
          <t>ARE</t>
        </is>
      </c>
      <c r="B52" s="30" t="inlineStr">
        <is>
          <t>Areal</t>
        </is>
      </c>
      <c r="C52" s="30" t="n">
        <v>11933424</v>
      </c>
      <c r="D52" s="30">
        <f>"40172797000129"</f>
        <v/>
      </c>
      <c r="E52" s="30" t="inlineStr">
        <is>
          <t>LESTE GROUP TELECOMUNICA??ES DO BRASIL LTDA</t>
        </is>
      </c>
      <c r="F52" s="40" t="n">
        <v>0</v>
      </c>
      <c r="G52" s="40" t="n">
        <v>0</v>
      </c>
      <c r="H52" s="40" t="n">
        <v>0</v>
      </c>
      <c r="I52" s="40" t="n">
        <v>0</v>
      </c>
      <c r="J52" s="40" t="n">
        <v>0</v>
      </c>
      <c r="K52" s="40" t="n">
        <v>0</v>
      </c>
      <c r="L52" s="40" t="n">
        <v>46.76</v>
      </c>
    </row>
    <row r="53" ht="12" customHeight="1">
      <c r="A53" s="30" t="inlineStr">
        <is>
          <t>ARE</t>
        </is>
      </c>
      <c r="B53" s="30" t="inlineStr">
        <is>
          <t>Areal</t>
        </is>
      </c>
      <c r="C53" s="30" t="n">
        <v>11972977</v>
      </c>
      <c r="D53" s="30">
        <f>"01125797002593"</f>
        <v/>
      </c>
      <c r="E53" s="30" t="inlineStr">
        <is>
          <t>ATIVA DISTRIBUICAO E LOGISTICA LTDA</t>
        </is>
      </c>
      <c r="F53" s="40" t="n">
        <v>0</v>
      </c>
      <c r="G53" s="40" t="n">
        <v>0</v>
      </c>
      <c r="H53" s="40" t="n">
        <v>0</v>
      </c>
      <c r="I53" s="40" t="n">
        <v>0</v>
      </c>
      <c r="J53" s="40" t="n">
        <v>71872.89</v>
      </c>
      <c r="K53" s="40" t="n">
        <v>95980.22</v>
      </c>
      <c r="L53" s="40" t="n">
        <v>160412.74</v>
      </c>
    </row>
    <row r="54" ht="12" customHeight="1">
      <c r="A54" s="30" t="inlineStr">
        <is>
          <t>ARE</t>
        </is>
      </c>
      <c r="B54" s="30" t="inlineStr">
        <is>
          <t>Areal</t>
        </is>
      </c>
      <c r="C54" s="30" t="n">
        <v>11981011</v>
      </c>
      <c r="D54" s="30">
        <f>"37188703000790"</f>
        <v/>
      </c>
      <c r="E54" s="30" t="inlineStr">
        <is>
          <t>T &amp; M TRANSPORTE DE CARGAS LTDA</t>
        </is>
      </c>
      <c r="F54" s="40" t="n">
        <v>0</v>
      </c>
      <c r="G54" s="40" t="n">
        <v>0</v>
      </c>
      <c r="H54" s="40" t="n">
        <v>0</v>
      </c>
      <c r="I54" s="40" t="n">
        <v>0</v>
      </c>
      <c r="J54" s="40" t="n">
        <v>0</v>
      </c>
      <c r="K54" s="40" t="n">
        <v>10</v>
      </c>
      <c r="L54" s="40" t="n">
        <v>0</v>
      </c>
    </row>
    <row r="55" ht="12" customHeight="1">
      <c r="A55" s="30" t="inlineStr">
        <is>
          <t>ARE</t>
        </is>
      </c>
      <c r="B55" s="30" t="inlineStr">
        <is>
          <t>Areal</t>
        </is>
      </c>
      <c r="C55" s="30" t="n">
        <v>11985432</v>
      </c>
      <c r="D55" s="30">
        <f>"01172831000103"</f>
        <v/>
      </c>
      <c r="E55" s="30" t="inlineStr">
        <is>
          <t>EMPREITEIRA MARCIO JUNIOR LTDA</t>
        </is>
      </c>
      <c r="F55" s="40" t="n">
        <v>0</v>
      </c>
      <c r="G55" s="40" t="n">
        <v>0</v>
      </c>
      <c r="H55" s="40" t="n">
        <v>0</v>
      </c>
      <c r="I55" s="40" t="n">
        <v>0</v>
      </c>
      <c r="J55" s="40" t="n">
        <v>0</v>
      </c>
      <c r="K55" s="40" t="n">
        <v>0</v>
      </c>
      <c r="L55" s="40" t="n">
        <v>0</v>
      </c>
    </row>
    <row r="56" ht="12" customHeight="1">
      <c r="A56" s="30" t="inlineStr">
        <is>
          <t>ARE</t>
        </is>
      </c>
      <c r="B56" s="30" t="inlineStr">
        <is>
          <t>Areal</t>
        </is>
      </c>
      <c r="C56" s="30" t="n">
        <v>12085290</v>
      </c>
      <c r="D56" s="30">
        <f>"43244631005985"</f>
        <v/>
      </c>
      <c r="E56" s="30" t="inlineStr">
        <is>
          <t>TRANSPORTADORA AMERICANA LTDA</t>
        </is>
      </c>
      <c r="F56" s="40" t="n">
        <v>0</v>
      </c>
      <c r="G56" s="40" t="n">
        <v>0</v>
      </c>
      <c r="H56" s="40" t="n">
        <v>0</v>
      </c>
      <c r="I56" s="40" t="n">
        <v>0</v>
      </c>
      <c r="J56" s="40" t="n">
        <v>0</v>
      </c>
      <c r="K56" s="40" t="n">
        <v>0</v>
      </c>
      <c r="L56" s="40" t="n">
        <v>6.26</v>
      </c>
    </row>
    <row r="57" ht="12" customHeight="1">
      <c r="A57" s="30" t="inlineStr">
        <is>
          <t>ARE</t>
        </is>
      </c>
      <c r="B57" s="30" t="inlineStr">
        <is>
          <t>Areal</t>
        </is>
      </c>
      <c r="C57" s="30" t="n">
        <v>12087810</v>
      </c>
      <c r="D57" s="30">
        <f>"29453826000511"</f>
        <v/>
      </c>
      <c r="E57" s="30" t="inlineStr">
        <is>
          <t>TRANSPORTE GENEROSO LTDA</t>
        </is>
      </c>
      <c r="F57" s="40" t="n">
        <v>0</v>
      </c>
      <c r="G57" s="40" t="n">
        <v>0</v>
      </c>
      <c r="H57" s="40" t="n">
        <v>0</v>
      </c>
      <c r="I57" s="40" t="n">
        <v>0</v>
      </c>
      <c r="J57" s="40" t="n">
        <v>0</v>
      </c>
      <c r="K57" s="40" t="n">
        <v>0</v>
      </c>
      <c r="L57" s="40" t="n">
        <v>525.42</v>
      </c>
    </row>
    <row r="58" ht="12" customHeight="1">
      <c r="A58" s="30" t="inlineStr">
        <is>
          <t>ARE</t>
        </is>
      </c>
      <c r="B58" s="30" t="inlineStr">
        <is>
          <t>Areal</t>
        </is>
      </c>
      <c r="C58" s="30" t="n">
        <v>12122675</v>
      </c>
      <c r="D58" s="30">
        <f>"42476615000139"</f>
        <v/>
      </c>
      <c r="E58" s="30" t="inlineStr">
        <is>
          <t>JUSAN LOGISTICA E TRANSPORTES LTDA</t>
        </is>
      </c>
      <c r="F58" s="40" t="n">
        <v>0</v>
      </c>
      <c r="G58" s="40" t="n">
        <v>0</v>
      </c>
      <c r="H58" s="40" t="n">
        <v>0</v>
      </c>
      <c r="I58" s="40" t="n">
        <v>0</v>
      </c>
      <c r="J58" s="40" t="n">
        <v>0</v>
      </c>
      <c r="K58" s="40" t="n">
        <v>0</v>
      </c>
      <c r="L58" s="40" t="n">
        <v>41.48</v>
      </c>
    </row>
    <row r="59" ht="12" customHeight="1">
      <c r="A59" s="30" t="inlineStr">
        <is>
          <t>ARE</t>
        </is>
      </c>
      <c r="B59" s="30" t="inlineStr">
        <is>
          <t>Areal</t>
        </is>
      </c>
      <c r="C59" s="30" t="n">
        <v>12143559</v>
      </c>
      <c r="D59" s="30">
        <f>"00043224334649"</f>
        <v/>
      </c>
      <c r="E59" s="30" t="inlineStr">
        <is>
          <t>CARLOS HENRIQUE GOMES COELHO</t>
        </is>
      </c>
      <c r="F59" s="40" t="n">
        <v>0</v>
      </c>
      <c r="G59" s="40" t="n">
        <v>0</v>
      </c>
      <c r="H59" s="40" t="n">
        <v>0</v>
      </c>
      <c r="I59" s="40" t="n">
        <v>0</v>
      </c>
      <c r="J59" s="40" t="n">
        <v>0</v>
      </c>
      <c r="K59" s="40" t="n">
        <v>0</v>
      </c>
      <c r="L59" s="40" t="n">
        <v>0</v>
      </c>
    </row>
    <row r="60" ht="12" customHeight="1">
      <c r="A60" s="30" t="inlineStr">
        <is>
          <t>ARE</t>
        </is>
      </c>
      <c r="B60" s="30" t="inlineStr">
        <is>
          <t>Areal</t>
        </is>
      </c>
      <c r="C60" s="30" t="n">
        <v>12144750</v>
      </c>
      <c r="D60" s="30">
        <f>"42715061000185"</f>
        <v/>
      </c>
      <c r="E60" s="30" t="inlineStr">
        <is>
          <t>IRON LOG TRANSPORTES LTDA</t>
        </is>
      </c>
      <c r="F60" s="40" t="n">
        <v>0</v>
      </c>
      <c r="G60" s="40" t="n">
        <v>0</v>
      </c>
      <c r="H60" s="40" t="n">
        <v>0</v>
      </c>
      <c r="I60" s="40" t="n">
        <v>0</v>
      </c>
      <c r="J60" s="40" t="n">
        <v>6818.18</v>
      </c>
      <c r="K60" s="40" t="n">
        <v>0</v>
      </c>
      <c r="L60" s="40" t="n">
        <v>0</v>
      </c>
    </row>
    <row r="61" ht="12" customHeight="1">
      <c r="A61" s="30" t="inlineStr">
        <is>
          <t>ARE</t>
        </is>
      </c>
      <c r="B61" s="30" t="inlineStr">
        <is>
          <t>Areal</t>
        </is>
      </c>
      <c r="C61" s="30" t="n">
        <v>12181639</v>
      </c>
      <c r="D61" s="30">
        <f>"00027471446587"</f>
        <v/>
      </c>
      <c r="E61" s="30" t="inlineStr">
        <is>
          <t>KATYA BARBOSA DE SOUZA  E ALMEIDA</t>
        </is>
      </c>
      <c r="F61" s="40" t="n">
        <v>0</v>
      </c>
      <c r="G61" s="40" t="n">
        <v>0</v>
      </c>
      <c r="H61" s="40" t="n">
        <v>0</v>
      </c>
      <c r="I61" s="40" t="n">
        <v>0</v>
      </c>
      <c r="J61" s="40" t="n">
        <v>0</v>
      </c>
      <c r="K61" s="40" t="n">
        <v>0</v>
      </c>
      <c r="L61" s="40" t="n">
        <v>0</v>
      </c>
    </row>
    <row r="62" ht="12" customHeight="1">
      <c r="A62" s="30" t="inlineStr">
        <is>
          <t>ARE</t>
        </is>
      </c>
      <c r="B62" s="30" t="inlineStr">
        <is>
          <t>Areal</t>
        </is>
      </c>
      <c r="C62" s="30" t="n">
        <v>12197454</v>
      </c>
      <c r="D62" s="30">
        <f>"23416669000164"</f>
        <v/>
      </c>
      <c r="E62" s="30" t="inlineStr">
        <is>
          <t>BR ING COM EXP E IMP LTDA</t>
        </is>
      </c>
      <c r="F62" s="40" t="n">
        <v>0</v>
      </c>
      <c r="G62" s="40" t="n">
        <v>0</v>
      </c>
      <c r="H62" s="40" t="n">
        <v>0</v>
      </c>
      <c r="I62" s="40" t="n">
        <v>0</v>
      </c>
      <c r="J62" s="40" t="n">
        <v>0</v>
      </c>
      <c r="K62" s="40" t="n">
        <v>0</v>
      </c>
      <c r="L62" s="40" t="n">
        <v>0</v>
      </c>
    </row>
    <row r="63" ht="12" customHeight="1">
      <c r="A63" s="30" t="inlineStr">
        <is>
          <t>ARE</t>
        </is>
      </c>
      <c r="B63" s="30" t="inlineStr">
        <is>
          <t>Areal</t>
        </is>
      </c>
      <c r="C63" s="30" t="n">
        <v>12202482</v>
      </c>
      <c r="D63" s="30">
        <f>"00011061504735"</f>
        <v/>
      </c>
      <c r="E63" s="30" t="inlineStr">
        <is>
          <t>UILIAN DO ESPIRITO SANTO SILVA</t>
        </is>
      </c>
      <c r="F63" s="40" t="n">
        <v>0</v>
      </c>
      <c r="G63" s="40" t="n">
        <v>0</v>
      </c>
      <c r="H63" s="40" t="n">
        <v>0</v>
      </c>
      <c r="I63" s="40" t="n">
        <v>0</v>
      </c>
      <c r="J63" s="40" t="n">
        <v>0</v>
      </c>
      <c r="K63" s="40" t="n">
        <v>0</v>
      </c>
      <c r="L63" s="40" t="n">
        <v>0</v>
      </c>
    </row>
    <row r="64" ht="12" customHeight="1">
      <c r="A64" s="30" t="inlineStr">
        <is>
          <t>ARE</t>
        </is>
      </c>
      <c r="B64" s="30" t="inlineStr">
        <is>
          <t>Areal</t>
        </is>
      </c>
      <c r="C64" s="30" t="n">
        <v>12275595</v>
      </c>
      <c r="D64" s="30">
        <f>"44133274000124"</f>
        <v/>
      </c>
      <c r="E64" s="30" t="inlineStr">
        <is>
          <t>RECOMBACK ENGENHARIA LTDA</t>
        </is>
      </c>
      <c r="F64" s="40" t="n">
        <v>0</v>
      </c>
      <c r="G64" s="40" t="n">
        <v>0</v>
      </c>
      <c r="H64" s="40" t="n">
        <v>0</v>
      </c>
      <c r="I64" s="40" t="n">
        <v>0</v>
      </c>
      <c r="J64" s="40" t="n">
        <v>0</v>
      </c>
      <c r="K64" s="40" t="n">
        <v>0</v>
      </c>
      <c r="L64" s="40" t="n">
        <v>0</v>
      </c>
    </row>
    <row r="65" ht="12" customHeight="1">
      <c r="A65" s="30" t="inlineStr">
        <is>
          <t>ARE</t>
        </is>
      </c>
      <c r="B65" s="30" t="inlineStr">
        <is>
          <t>Areal</t>
        </is>
      </c>
      <c r="C65" s="30" t="n">
        <v>12320132</v>
      </c>
      <c r="D65" s="30">
        <f>"42584754000348"</f>
        <v/>
      </c>
      <c r="E65" s="30" t="inlineStr">
        <is>
          <t>J&amp;T EXPRESS BRAZIL LTDA.</t>
        </is>
      </c>
      <c r="F65" s="40" t="n">
        <v>0</v>
      </c>
      <c r="G65" s="40" t="n">
        <v>0</v>
      </c>
      <c r="H65" s="40" t="n">
        <v>0</v>
      </c>
      <c r="I65" s="40" t="n">
        <v>0</v>
      </c>
      <c r="J65" s="40" t="n">
        <v>0</v>
      </c>
      <c r="K65" s="40" t="n">
        <v>0</v>
      </c>
      <c r="L65" s="40" t="n">
        <v>29.52</v>
      </c>
    </row>
    <row r="66" ht="12" customHeight="1">
      <c r="A66" s="30" t="inlineStr">
        <is>
          <t>ARE</t>
        </is>
      </c>
      <c r="B66" s="30" t="inlineStr">
        <is>
          <t>Areal</t>
        </is>
      </c>
      <c r="C66" s="30" t="n">
        <v>12335784</v>
      </c>
      <c r="D66" s="30">
        <f>"40154884000153"</f>
        <v/>
      </c>
      <c r="E66" s="30" t="inlineStr">
        <is>
          <t>STARLINK BRAZIL SERVICOS DE INTERNET LTDA.</t>
        </is>
      </c>
      <c r="F66" s="40" t="n">
        <v>0</v>
      </c>
      <c r="G66" s="40" t="n">
        <v>0</v>
      </c>
      <c r="H66" s="40" t="n">
        <v>0</v>
      </c>
      <c r="I66" s="40" t="n">
        <v>0</v>
      </c>
      <c r="J66" s="40" t="n">
        <v>0</v>
      </c>
      <c r="K66" s="40" t="n">
        <v>0</v>
      </c>
      <c r="L66" s="40" t="n">
        <v>16910.58</v>
      </c>
    </row>
    <row r="67" ht="12" customHeight="1">
      <c r="A67" s="30" t="inlineStr">
        <is>
          <t>ARE</t>
        </is>
      </c>
      <c r="B67" s="30" t="inlineStr">
        <is>
          <t>Areal</t>
        </is>
      </c>
      <c r="C67" s="30" t="n">
        <v>12362498</v>
      </c>
      <c r="D67" s="30">
        <f>"15032773000470"</f>
        <v/>
      </c>
      <c r="E67" s="30" t="inlineStr">
        <is>
          <t>YESCO ADMINISTRADORA DE BENS S/A.</t>
        </is>
      </c>
      <c r="F67" s="40" t="n">
        <v>0</v>
      </c>
      <c r="G67" s="40" t="n">
        <v>0</v>
      </c>
      <c r="H67" s="40" t="n">
        <v>0</v>
      </c>
      <c r="I67" s="40" t="n">
        <v>0</v>
      </c>
      <c r="J67" s="40" t="n">
        <v>0</v>
      </c>
      <c r="K67" s="40" t="n">
        <v>0</v>
      </c>
      <c r="L67" s="40" t="n">
        <v>168.75</v>
      </c>
    </row>
    <row r="68" ht="12" customHeight="1">
      <c r="A68" s="30" t="inlineStr">
        <is>
          <t>ARE</t>
        </is>
      </c>
      <c r="B68" s="30" t="inlineStr">
        <is>
          <t>Areal</t>
        </is>
      </c>
      <c r="C68" s="30" t="n">
        <v>12469942</v>
      </c>
      <c r="D68" s="30">
        <f>"45450026000170"</f>
        <v/>
      </c>
      <c r="E68" s="30" t="inlineStr">
        <is>
          <t>AZUL 8 AREAL EMPREENDIMENTOS E CONSTRU??ES LTDA</t>
        </is>
      </c>
      <c r="F68" s="40" t="n">
        <v>0</v>
      </c>
      <c r="G68" s="40" t="n">
        <v>0</v>
      </c>
      <c r="H68" s="40" t="n">
        <v>0</v>
      </c>
      <c r="I68" s="40" t="n">
        <v>0</v>
      </c>
      <c r="J68" s="40" t="n">
        <v>0</v>
      </c>
      <c r="K68" s="40" t="n">
        <v>0</v>
      </c>
      <c r="L68" s="40" t="n">
        <v>0</v>
      </c>
    </row>
    <row r="69" ht="12" customHeight="1">
      <c r="A69" s="30" t="inlineStr">
        <is>
          <t>ARE</t>
        </is>
      </c>
      <c r="B69" s="30" t="inlineStr">
        <is>
          <t>Areal</t>
        </is>
      </c>
      <c r="C69" s="30" t="n">
        <v>12570511</v>
      </c>
      <c r="D69" s="30">
        <f>"47463100000118"</f>
        <v/>
      </c>
      <c r="E69" s="30" t="inlineStr">
        <is>
          <t>LM SOARES SERVICOS E EMPREENDIMENTOS IMOBILI?RIOS LTDA</t>
        </is>
      </c>
      <c r="F69" s="40" t="n">
        <v>0</v>
      </c>
      <c r="G69" s="40" t="n">
        <v>0</v>
      </c>
      <c r="H69" s="40" t="n">
        <v>0</v>
      </c>
      <c r="I69" s="40" t="n">
        <v>0</v>
      </c>
      <c r="J69" s="40" t="n">
        <v>0</v>
      </c>
      <c r="K69" s="40" t="n">
        <v>0</v>
      </c>
      <c r="L69" s="40" t="n">
        <v>0</v>
      </c>
    </row>
    <row r="70" ht="12" customHeight="1">
      <c r="A70" s="30" t="inlineStr">
        <is>
          <t>ARE</t>
        </is>
      </c>
      <c r="B70" s="30" t="inlineStr">
        <is>
          <t>Areal</t>
        </is>
      </c>
      <c r="C70" s="30" t="n">
        <v>12594569</v>
      </c>
      <c r="D70" s="30">
        <f>"19451038005330"</f>
        <v/>
      </c>
      <c r="E70" s="30" t="inlineStr">
        <is>
          <t>RODOVIARIO CAMILO DOS SANTOS FILHO LTDA</t>
        </is>
      </c>
      <c r="F70" s="40" t="n">
        <v>0</v>
      </c>
      <c r="G70" s="40" t="n">
        <v>0</v>
      </c>
      <c r="H70" s="40" t="n">
        <v>0</v>
      </c>
      <c r="I70" s="40" t="n">
        <v>0</v>
      </c>
      <c r="J70" s="40" t="n">
        <v>0</v>
      </c>
      <c r="K70" s="40" t="n">
        <v>0</v>
      </c>
      <c r="L70" s="40" t="n">
        <v>5024.54</v>
      </c>
    </row>
    <row r="71" ht="12" customHeight="1">
      <c r="A71" s="30" t="inlineStr">
        <is>
          <t>ARE</t>
        </is>
      </c>
      <c r="B71" s="30" t="inlineStr">
        <is>
          <t>Areal</t>
        </is>
      </c>
      <c r="C71" s="30" t="n">
        <v>12758014</v>
      </c>
      <c r="D71" s="30">
        <f>"49445865000150"</f>
        <v/>
      </c>
      <c r="E71" s="30" t="inlineStr">
        <is>
          <t>MULTI - TEXTIL IND?STRIA E COM?RCIO LTDA</t>
        </is>
      </c>
      <c r="F71" s="40" t="n">
        <v>0</v>
      </c>
      <c r="G71" s="40" t="n">
        <v>0</v>
      </c>
      <c r="H71" s="40" t="n">
        <v>0</v>
      </c>
      <c r="I71" s="40" t="n">
        <v>0</v>
      </c>
      <c r="J71" s="40" t="n">
        <v>0</v>
      </c>
      <c r="K71" s="40" t="n">
        <v>0</v>
      </c>
      <c r="L71" s="40" t="n">
        <v>744478.67</v>
      </c>
    </row>
    <row r="72" ht="12" customHeight="1">
      <c r="A72" s="30" t="inlineStr">
        <is>
          <t>ARE</t>
        </is>
      </c>
      <c r="B72" s="30" t="inlineStr">
        <is>
          <t>Areal</t>
        </is>
      </c>
      <c r="C72" s="30" t="n">
        <v>12805446</v>
      </c>
      <c r="D72" s="30">
        <f>"08969326000214"</f>
        <v/>
      </c>
      <c r="E72" s="30" t="inlineStr">
        <is>
          <t>POLICARPO LOGISTICA E TRANSPORTES LTDA</t>
        </is>
      </c>
      <c r="F72" s="40" t="n">
        <v>0</v>
      </c>
      <c r="G72" s="40" t="n">
        <v>0</v>
      </c>
      <c r="H72" s="40" t="n">
        <v>0</v>
      </c>
      <c r="I72" s="40" t="n">
        <v>0</v>
      </c>
      <c r="J72" s="40" t="n">
        <v>0</v>
      </c>
      <c r="K72" s="40" t="n">
        <v>0</v>
      </c>
      <c r="L72" s="40" t="n">
        <v>1065.93</v>
      </c>
    </row>
    <row r="73" ht="12" customHeight="1">
      <c r="A73" s="30" t="inlineStr">
        <is>
          <t>ARE</t>
        </is>
      </c>
      <c r="B73" s="30" t="inlineStr">
        <is>
          <t>Areal</t>
        </is>
      </c>
      <c r="C73" s="30" t="n">
        <v>14311637</v>
      </c>
      <c r="D73" s="30">
        <f>"53308501000104"</f>
        <v/>
      </c>
      <c r="E73" s="30" t="inlineStr">
        <is>
          <t>AC FIT2 LTDA</t>
        </is>
      </c>
      <c r="F73" s="40" t="n">
        <v>0</v>
      </c>
      <c r="G73" s="40" t="n">
        <v>0</v>
      </c>
      <c r="H73" s="40" t="n">
        <v>0</v>
      </c>
      <c r="I73" s="40" t="n">
        <v>0</v>
      </c>
      <c r="J73" s="40" t="n">
        <v>0</v>
      </c>
      <c r="K73" s="40" t="n">
        <v>0</v>
      </c>
      <c r="L73" s="40" t="n">
        <v>0</v>
      </c>
    </row>
    <row r="74" ht="12" customHeight="1">
      <c r="A74" s="30" t="inlineStr">
        <is>
          <t>ARE</t>
        </is>
      </c>
      <c r="B74" s="30" t="inlineStr">
        <is>
          <t>Areal</t>
        </is>
      </c>
      <c r="C74" s="30" t="n">
        <v>71155587</v>
      </c>
      <c r="D74" s="30">
        <f>"46904379715"</f>
        <v/>
      </c>
      <c r="E74" s="30" t="inlineStr">
        <is>
          <t>JEFFREY COPELAND BRANTLY</t>
        </is>
      </c>
      <c r="F74" s="40" t="n">
        <v>135936.68</v>
      </c>
      <c r="G74" s="40" t="n">
        <v>153109.98</v>
      </c>
      <c r="H74" s="40" t="n">
        <v>238924.9</v>
      </c>
      <c r="I74" s="40" t="n">
        <v>361646.06</v>
      </c>
      <c r="J74" s="40" t="n">
        <v>1361598.14</v>
      </c>
      <c r="K74" s="40" t="n">
        <v>324999.15</v>
      </c>
      <c r="L74" s="40" t="n">
        <v>0</v>
      </c>
    </row>
    <row r="75" ht="12" customHeight="1">
      <c r="A75" s="30" t="inlineStr">
        <is>
          <t>ARE</t>
        </is>
      </c>
      <c r="B75" s="30" t="inlineStr">
        <is>
          <t>Areal</t>
        </is>
      </c>
      <c r="C75" s="30" t="n">
        <v>71155625</v>
      </c>
      <c r="D75" s="30">
        <f>"04453360720"</f>
        <v/>
      </c>
      <c r="E75" s="30" t="inlineStr">
        <is>
          <t>PAULO ROBERTO SARMENTO NICOLAU</t>
        </is>
      </c>
      <c r="F75" s="40" t="n">
        <v>0</v>
      </c>
      <c r="G75" s="40" t="n">
        <v>0</v>
      </c>
      <c r="H75" s="40" t="n">
        <v>0</v>
      </c>
      <c r="I75" s="40" t="n">
        <v>0</v>
      </c>
      <c r="J75" s="40" t="n">
        <v>0</v>
      </c>
      <c r="K75" s="40" t="n">
        <v>0</v>
      </c>
      <c r="L75" s="40" t="n">
        <v>0</v>
      </c>
    </row>
    <row r="76" ht="12" customHeight="1">
      <c r="A76" s="30" t="inlineStr">
        <is>
          <t>ARE</t>
        </is>
      </c>
      <c r="B76" s="30" t="inlineStr">
        <is>
          <t>Areal</t>
        </is>
      </c>
      <c r="C76" s="30" t="n">
        <v>71445690</v>
      </c>
      <c r="D76" s="30">
        <f>"23954620715"</f>
        <v/>
      </c>
      <c r="E76" s="30" t="inlineStr">
        <is>
          <t>MAURICIO SIQUEIRA BRANDI</t>
        </is>
      </c>
      <c r="F76" s="40" t="n">
        <v>0</v>
      </c>
      <c r="G76" s="40" t="n">
        <v>0</v>
      </c>
      <c r="H76" s="40" t="n">
        <v>0</v>
      </c>
      <c r="I76" s="40" t="n">
        <v>0</v>
      </c>
      <c r="J76" s="40" t="n">
        <v>0</v>
      </c>
      <c r="K76" s="40" t="n">
        <v>0</v>
      </c>
      <c r="L76" s="40" t="n">
        <v>0</v>
      </c>
    </row>
    <row r="77" ht="12" customHeight="1">
      <c r="A77" s="30" t="inlineStr">
        <is>
          <t>ARE</t>
        </is>
      </c>
      <c r="B77" s="30" t="inlineStr">
        <is>
          <t>Areal</t>
        </is>
      </c>
      <c r="C77" s="30" t="n">
        <v>71702944</v>
      </c>
      <c r="D77" s="30">
        <f>"02780992700"</f>
        <v/>
      </c>
      <c r="E77" s="30" t="inlineStr">
        <is>
          <t>WILMA FORLEO GATZENMEIER</t>
        </is>
      </c>
      <c r="F77" s="40" t="n">
        <v>0</v>
      </c>
      <c r="G77" s="40" t="n">
        <v>0</v>
      </c>
      <c r="H77" s="40" t="n">
        <v>0</v>
      </c>
      <c r="I77" s="40" t="n">
        <v>0</v>
      </c>
      <c r="J77" s="40" t="n">
        <v>0</v>
      </c>
      <c r="K77" s="40" t="n">
        <v>0</v>
      </c>
      <c r="L77" s="40" t="n">
        <v>0</v>
      </c>
    </row>
    <row r="78" ht="12" customHeight="1">
      <c r="A78" s="30" t="inlineStr">
        <is>
          <t>ARE</t>
        </is>
      </c>
      <c r="B78" s="30" t="inlineStr">
        <is>
          <t>Areal</t>
        </is>
      </c>
      <c r="C78" s="30" t="n">
        <v>71703266</v>
      </c>
      <c r="D78" s="30">
        <f>"00264202791"</f>
        <v/>
      </c>
      <c r="E78" s="30" t="inlineStr">
        <is>
          <t>ANTONIO JOSE DE BRITO</t>
        </is>
      </c>
      <c r="F78" s="40" t="n">
        <v>0</v>
      </c>
      <c r="G78" s="40" t="n">
        <v>0</v>
      </c>
      <c r="H78" s="40" t="n">
        <v>0</v>
      </c>
      <c r="I78" s="40" t="n">
        <v>0</v>
      </c>
      <c r="J78" s="40" t="n">
        <v>0</v>
      </c>
      <c r="K78" s="40" t="n">
        <v>0</v>
      </c>
      <c r="L78" s="40" t="n">
        <v>0</v>
      </c>
    </row>
    <row r="79" ht="12" customHeight="1">
      <c r="A79" s="30" t="inlineStr">
        <is>
          <t>ARE</t>
        </is>
      </c>
      <c r="B79" s="30" t="inlineStr">
        <is>
          <t>Areal</t>
        </is>
      </c>
      <c r="C79" s="30" t="n">
        <v>71703339</v>
      </c>
      <c r="D79" s="30">
        <f>"00800775791"</f>
        <v/>
      </c>
      <c r="E79" s="30" t="inlineStr">
        <is>
          <t>JOSE AUGUSTO VILLELA PEDRAS</t>
        </is>
      </c>
      <c r="F79" s="40" t="n">
        <v>263689.51</v>
      </c>
      <c r="G79" s="40" t="n">
        <v>0</v>
      </c>
      <c r="H79" s="40" t="n">
        <v>0</v>
      </c>
      <c r="I79" s="40" t="n">
        <v>0</v>
      </c>
      <c r="J79" s="40" t="n">
        <v>0</v>
      </c>
      <c r="K79" s="40" t="n">
        <v>0</v>
      </c>
      <c r="L79" s="40" t="n">
        <v>0</v>
      </c>
    </row>
    <row r="80" ht="12" customHeight="1">
      <c r="A80" s="30" t="inlineStr">
        <is>
          <t>ARE</t>
        </is>
      </c>
      <c r="B80" s="30" t="inlineStr">
        <is>
          <t>Areal</t>
        </is>
      </c>
      <c r="C80" s="30" t="n">
        <v>71703355</v>
      </c>
      <c r="D80" s="30">
        <f>"00011687320772"</f>
        <v/>
      </c>
      <c r="E80" s="30" t="inlineStr">
        <is>
          <t>CARLOS EMILIO DE MOURA</t>
        </is>
      </c>
      <c r="F80" s="40" t="n">
        <v>0</v>
      </c>
      <c r="G80" s="40" t="n">
        <v>0</v>
      </c>
      <c r="H80" s="40" t="n">
        <v>0</v>
      </c>
      <c r="I80" s="40" t="n">
        <v>0</v>
      </c>
      <c r="J80" s="40" t="n">
        <v>0</v>
      </c>
      <c r="K80" s="40" t="n">
        <v>0</v>
      </c>
      <c r="L80" s="40" t="n">
        <v>0</v>
      </c>
    </row>
    <row r="81" ht="12" customHeight="1">
      <c r="A81" s="30" t="inlineStr">
        <is>
          <t>ARE</t>
        </is>
      </c>
      <c r="B81" s="30" t="inlineStr">
        <is>
          <t>Areal</t>
        </is>
      </c>
      <c r="C81" s="30" t="n">
        <v>71703444</v>
      </c>
      <c r="D81" s="30">
        <f>"08190216791"</f>
        <v/>
      </c>
      <c r="E81" s="30" t="inlineStr">
        <is>
          <t>JOSE MAURO PEREIRA</t>
        </is>
      </c>
      <c r="F81" s="40" t="n">
        <v>0</v>
      </c>
      <c r="G81" s="40" t="n">
        <v>0</v>
      </c>
      <c r="H81" s="40" t="n">
        <v>0</v>
      </c>
      <c r="I81" s="40" t="n">
        <v>0</v>
      </c>
      <c r="J81" s="40" t="n">
        <v>0</v>
      </c>
      <c r="K81" s="40" t="n">
        <v>0</v>
      </c>
      <c r="L81" s="40" t="n">
        <v>0</v>
      </c>
    </row>
    <row r="82" ht="12" customHeight="1">
      <c r="A82" s="30" t="inlineStr">
        <is>
          <t>ARE</t>
        </is>
      </c>
      <c r="B82" s="30" t="inlineStr">
        <is>
          <t>Areal</t>
        </is>
      </c>
      <c r="C82" s="30" t="n">
        <v>71703509</v>
      </c>
      <c r="D82" s="30">
        <f>"00726028720"</f>
        <v/>
      </c>
      <c r="E82" s="30" t="inlineStr">
        <is>
          <t>SERGIO ALBERTO MONTEIRO DE CARVALHO</t>
        </is>
      </c>
      <c r="F82" s="40" t="n">
        <v>16408.33</v>
      </c>
      <c r="G82" s="40" t="n">
        <v>48499.62</v>
      </c>
      <c r="H82" s="40" t="n">
        <v>0</v>
      </c>
      <c r="I82" s="40" t="n">
        <v>59990.01</v>
      </c>
      <c r="J82" s="40" t="n">
        <v>13527</v>
      </c>
      <c r="K82" s="40" t="n">
        <v>36000</v>
      </c>
      <c r="L82" s="40" t="n">
        <v>0</v>
      </c>
    </row>
    <row r="83" ht="12" customHeight="1">
      <c r="A83" s="30" t="inlineStr">
        <is>
          <t>ARE</t>
        </is>
      </c>
      <c r="B83" s="30" t="inlineStr">
        <is>
          <t>Areal</t>
        </is>
      </c>
      <c r="C83" s="30" t="n">
        <v>71703541</v>
      </c>
      <c r="D83" s="30">
        <f>"01419811720"</f>
        <v/>
      </c>
      <c r="E83" s="30" t="inlineStr">
        <is>
          <t>JOSE AUGUSTO DE ARAUJO MARTINS</t>
        </is>
      </c>
      <c r="F83" s="40" t="n">
        <v>0</v>
      </c>
      <c r="G83" s="40" t="n">
        <v>0</v>
      </c>
      <c r="H83" s="40" t="n">
        <v>0</v>
      </c>
      <c r="I83" s="40" t="n">
        <v>0</v>
      </c>
      <c r="J83" s="40" t="n">
        <v>0</v>
      </c>
      <c r="K83" s="40" t="n">
        <v>0</v>
      </c>
      <c r="L83" s="40" t="n">
        <v>0</v>
      </c>
    </row>
    <row r="84" ht="12" customHeight="1">
      <c r="A84" s="30" t="inlineStr">
        <is>
          <t>ARE</t>
        </is>
      </c>
      <c r="B84" s="30" t="inlineStr">
        <is>
          <t>Areal</t>
        </is>
      </c>
      <c r="C84" s="30" t="n">
        <v>71703630</v>
      </c>
      <c r="D84" s="30">
        <f>"02602156787"</f>
        <v/>
      </c>
      <c r="E84" s="30" t="inlineStr">
        <is>
          <t>MANOEL FIALHO LONDRES</t>
        </is>
      </c>
      <c r="F84" s="40" t="n">
        <v>0</v>
      </c>
      <c r="G84" s="40" t="n">
        <v>0</v>
      </c>
      <c r="H84" s="40" t="n">
        <v>0</v>
      </c>
      <c r="I84" s="40" t="n">
        <v>0</v>
      </c>
      <c r="J84" s="40" t="n">
        <v>0</v>
      </c>
      <c r="K84" s="40" t="n">
        <v>0</v>
      </c>
      <c r="L84" s="40" t="n">
        <v>0</v>
      </c>
    </row>
    <row r="85" ht="12" customHeight="1">
      <c r="A85" s="30" t="inlineStr">
        <is>
          <t>ARE</t>
        </is>
      </c>
      <c r="B85" s="30" t="inlineStr">
        <is>
          <t>Areal</t>
        </is>
      </c>
      <c r="C85" s="30" t="n">
        <v>71703835</v>
      </c>
      <c r="D85" s="30">
        <f>"19262604734"</f>
        <v/>
      </c>
      <c r="E85" s="30" t="inlineStr">
        <is>
          <t>HELENA FIALHO LONDRES</t>
        </is>
      </c>
      <c r="F85" s="40" t="n">
        <v>0</v>
      </c>
      <c r="G85" s="40" t="n">
        <v>0</v>
      </c>
      <c r="H85" s="40" t="n">
        <v>0</v>
      </c>
      <c r="I85" s="40" t="n">
        <v>0</v>
      </c>
      <c r="J85" s="40" t="n">
        <v>0</v>
      </c>
      <c r="K85" s="40" t="n">
        <v>0</v>
      </c>
      <c r="L85" s="40" t="n">
        <v>0</v>
      </c>
    </row>
    <row r="86" ht="12" customHeight="1">
      <c r="A86" s="30" t="inlineStr">
        <is>
          <t>ARE</t>
        </is>
      </c>
      <c r="B86" s="30" t="inlineStr">
        <is>
          <t>Areal</t>
        </is>
      </c>
      <c r="C86" s="30" t="n">
        <v>71704270</v>
      </c>
      <c r="D86" s="30">
        <f>"47674202704"</f>
        <v/>
      </c>
      <c r="E86" s="30" t="inlineStr">
        <is>
          <t>EMILSON RAIMUNDO DE SOUZA</t>
        </is>
      </c>
      <c r="F86" s="40" t="n">
        <v>0</v>
      </c>
      <c r="G86" s="40" t="n">
        <v>111759</v>
      </c>
      <c r="H86" s="40" t="n">
        <v>147800</v>
      </c>
      <c r="I86" s="40" t="n">
        <v>94000</v>
      </c>
      <c r="J86" s="40" t="n">
        <v>180000</v>
      </c>
      <c r="K86" s="40" t="n">
        <v>67572.28999999999</v>
      </c>
      <c r="L86" s="40" t="n">
        <v>136000</v>
      </c>
    </row>
    <row r="87" ht="12" customHeight="1">
      <c r="A87" s="30" t="inlineStr">
        <is>
          <t>ARE</t>
        </is>
      </c>
      <c r="B87" s="30" t="inlineStr">
        <is>
          <t>Areal</t>
        </is>
      </c>
      <c r="C87" s="30" t="n">
        <v>71704289</v>
      </c>
      <c r="D87" s="30">
        <f>"01680268724"</f>
        <v/>
      </c>
      <c r="E87" s="30" t="inlineStr">
        <is>
          <t>HELOISA MARIA V SOARES ALHADEFF</t>
        </is>
      </c>
      <c r="F87" s="40" t="n">
        <v>74299.61</v>
      </c>
      <c r="G87" s="40" t="n">
        <v>44805</v>
      </c>
      <c r="H87" s="40" t="n">
        <v>66215</v>
      </c>
      <c r="I87" s="40" t="n">
        <v>53240</v>
      </c>
      <c r="J87" s="40" t="n">
        <v>88409</v>
      </c>
      <c r="K87" s="40" t="n">
        <v>60020</v>
      </c>
      <c r="L87" s="40" t="n">
        <v>52714</v>
      </c>
    </row>
    <row r="88" ht="12" customHeight="1">
      <c r="A88" s="30" t="inlineStr">
        <is>
          <t>ARE</t>
        </is>
      </c>
      <c r="B88" s="30" t="inlineStr">
        <is>
          <t>Areal</t>
        </is>
      </c>
      <c r="C88" s="30" t="n">
        <v>71802574</v>
      </c>
      <c r="D88" s="30">
        <f>"71317805704"</f>
        <v/>
      </c>
      <c r="E88" s="30" t="inlineStr">
        <is>
          <t>ODETTE DE LIMA SOARES</t>
        </is>
      </c>
      <c r="F88" s="40" t="n">
        <v>0</v>
      </c>
      <c r="G88" s="40" t="n">
        <v>0</v>
      </c>
      <c r="H88" s="40" t="n">
        <v>0</v>
      </c>
      <c r="I88" s="40" t="n">
        <v>0</v>
      </c>
      <c r="J88" s="40" t="n">
        <v>0</v>
      </c>
      <c r="K88" s="40" t="n">
        <v>0</v>
      </c>
      <c r="L88" s="40" t="n">
        <v>0</v>
      </c>
    </row>
    <row r="89" ht="12" customHeight="1">
      <c r="A89" s="30" t="inlineStr">
        <is>
          <t>ARE</t>
        </is>
      </c>
      <c r="B89" s="30" t="inlineStr">
        <is>
          <t>Areal</t>
        </is>
      </c>
      <c r="C89" s="30" t="n">
        <v>71802604</v>
      </c>
      <c r="D89" s="30">
        <f>"06966439797"</f>
        <v/>
      </c>
      <c r="E89" s="30" t="inlineStr">
        <is>
          <t>LUCIANA CARDIM DE CARVALHO</t>
        </is>
      </c>
      <c r="F89" s="40" t="n">
        <v>34855</v>
      </c>
      <c r="G89" s="40" t="n">
        <v>32390</v>
      </c>
      <c r="H89" s="40" t="n">
        <v>29610</v>
      </c>
      <c r="I89" s="40" t="n">
        <v>27538</v>
      </c>
      <c r="J89" s="40" t="n">
        <v>27405</v>
      </c>
      <c r="K89" s="40" t="n">
        <v>26280</v>
      </c>
      <c r="L89" s="40" t="n">
        <v>26280</v>
      </c>
    </row>
    <row r="90" ht="12" customHeight="1">
      <c r="A90" s="30" t="inlineStr">
        <is>
          <t>ARE</t>
        </is>
      </c>
      <c r="B90" s="30" t="inlineStr">
        <is>
          <t>Areal</t>
        </is>
      </c>
      <c r="C90" s="30" t="n">
        <v>71802612</v>
      </c>
      <c r="D90" s="30">
        <f>"10824138791"</f>
        <v/>
      </c>
      <c r="E90" s="30" t="inlineStr">
        <is>
          <t>IVANY LACERDA MONTEIRO RAMOS</t>
        </is>
      </c>
      <c r="F90" s="40" t="n">
        <v>12000</v>
      </c>
      <c r="G90" s="40" t="n">
        <v>0</v>
      </c>
      <c r="H90" s="40" t="n">
        <v>0</v>
      </c>
      <c r="I90" s="40" t="n">
        <v>0</v>
      </c>
      <c r="J90" s="40" t="n">
        <v>0</v>
      </c>
      <c r="K90" s="40" t="n">
        <v>11000</v>
      </c>
      <c r="L90" s="40" t="n">
        <v>0</v>
      </c>
    </row>
    <row r="91" ht="12" customHeight="1">
      <c r="A91" s="30" t="inlineStr">
        <is>
          <t>ARE</t>
        </is>
      </c>
      <c r="B91" s="30" t="inlineStr">
        <is>
          <t>Areal</t>
        </is>
      </c>
      <c r="C91" s="30" t="n">
        <v>71802620</v>
      </c>
      <c r="D91" s="30">
        <f>"60937955868"</f>
        <v/>
      </c>
      <c r="E91" s="30" t="inlineStr">
        <is>
          <t>REGIS DE CASTILHO BARBOSA</t>
        </is>
      </c>
      <c r="F91" s="40" t="n">
        <v>0</v>
      </c>
      <c r="G91" s="40" t="n">
        <v>0</v>
      </c>
      <c r="H91" s="40" t="n">
        <v>0</v>
      </c>
      <c r="I91" s="40" t="n">
        <v>0</v>
      </c>
      <c r="J91" s="40" t="n">
        <v>0</v>
      </c>
      <c r="K91" s="40" t="n">
        <v>0</v>
      </c>
      <c r="L91" s="40" t="n">
        <v>0</v>
      </c>
    </row>
    <row r="92" ht="12" customHeight="1">
      <c r="A92" s="30" t="inlineStr">
        <is>
          <t>ARE</t>
        </is>
      </c>
      <c r="B92" s="30" t="inlineStr">
        <is>
          <t>Areal</t>
        </is>
      </c>
      <c r="C92" s="30" t="n">
        <v>72007085</v>
      </c>
      <c r="D92" s="30">
        <f>"00673626725"</f>
        <v/>
      </c>
      <c r="E92" s="30" t="inlineStr">
        <is>
          <t>LUIZ CARLOS COELHO</t>
        </is>
      </c>
      <c r="F92" s="40" t="n">
        <v>143000</v>
      </c>
      <c r="G92" s="40" t="n">
        <v>140000</v>
      </c>
      <c r="H92" s="40" t="n">
        <v>140000</v>
      </c>
      <c r="I92" s="40" t="n">
        <v>143000</v>
      </c>
      <c r="J92" s="40" t="n">
        <v>120000</v>
      </c>
      <c r="K92" s="40" t="n">
        <v>158000</v>
      </c>
      <c r="L92" s="40" t="n">
        <v>120000</v>
      </c>
    </row>
    <row r="93" ht="12" customHeight="1">
      <c r="A93" s="30" t="inlineStr">
        <is>
          <t>ARE</t>
        </is>
      </c>
      <c r="B93" s="30" t="inlineStr">
        <is>
          <t>Areal</t>
        </is>
      </c>
      <c r="C93" s="30" t="n">
        <v>72046072</v>
      </c>
      <c r="D93" s="30">
        <f>"04914228734"</f>
        <v/>
      </c>
      <c r="E93" s="30" t="inlineStr">
        <is>
          <t>MARIO SERGIO LOMBA GALVAO</t>
        </is>
      </c>
      <c r="F93" s="40" t="n">
        <v>0</v>
      </c>
      <c r="G93" s="40" t="n">
        <v>0</v>
      </c>
      <c r="H93" s="40" t="n">
        <v>0</v>
      </c>
      <c r="I93" s="40" t="n">
        <v>0</v>
      </c>
      <c r="J93" s="40" t="n">
        <v>0</v>
      </c>
      <c r="K93" s="40" t="n">
        <v>0</v>
      </c>
      <c r="L93" s="40" t="n">
        <v>0</v>
      </c>
    </row>
    <row r="94" ht="12" customHeight="1">
      <c r="A94" s="30" t="inlineStr">
        <is>
          <t>ARE</t>
        </is>
      </c>
      <c r="B94" s="30" t="inlineStr">
        <is>
          <t>Areal</t>
        </is>
      </c>
      <c r="C94" s="30" t="n">
        <v>72058593</v>
      </c>
      <c r="D94" s="30">
        <f>"07360181747"</f>
        <v/>
      </c>
      <c r="E94" s="30" t="inlineStr">
        <is>
          <t>SILVIA MAGRANI VIEIRA</t>
        </is>
      </c>
      <c r="F94" s="40" t="n">
        <v>0</v>
      </c>
      <c r="G94" s="40" t="n">
        <v>0</v>
      </c>
      <c r="H94" s="40" t="n">
        <v>0</v>
      </c>
      <c r="I94" s="40" t="n">
        <v>0</v>
      </c>
      <c r="J94" s="40" t="n">
        <v>0</v>
      </c>
      <c r="K94" s="40" t="n">
        <v>0</v>
      </c>
      <c r="L94" s="40" t="n">
        <v>0</v>
      </c>
    </row>
    <row r="95" ht="12" customHeight="1">
      <c r="A95" s="30" t="inlineStr">
        <is>
          <t>ARE</t>
        </is>
      </c>
      <c r="B95" s="30" t="inlineStr">
        <is>
          <t>Areal</t>
        </is>
      </c>
      <c r="C95" s="30" t="n">
        <v>72066030</v>
      </c>
      <c r="D95" s="30">
        <f>"74533975704"</f>
        <v/>
      </c>
      <c r="E95" s="30" t="inlineStr">
        <is>
          <t>EDUARDO WERNERCK BARROSO</t>
        </is>
      </c>
      <c r="F95" s="40" t="n">
        <v>0</v>
      </c>
      <c r="G95" s="40" t="n">
        <v>1</v>
      </c>
      <c r="H95" s="40" t="n">
        <v>120000</v>
      </c>
      <c r="I95" s="40" t="n">
        <v>142000</v>
      </c>
      <c r="J95" s="40" t="n">
        <v>10000</v>
      </c>
      <c r="K95" s="40" t="n">
        <v>10000</v>
      </c>
      <c r="L95" s="40" t="n">
        <v>120000</v>
      </c>
    </row>
    <row r="96" ht="12" customHeight="1">
      <c r="A96" s="30" t="inlineStr">
        <is>
          <t>ARE</t>
        </is>
      </c>
      <c r="B96" s="30" t="inlineStr">
        <is>
          <t>Areal</t>
        </is>
      </c>
      <c r="C96" s="30" t="n">
        <v>72078519</v>
      </c>
      <c r="D96" s="30">
        <f>"00672823772"</f>
        <v/>
      </c>
      <c r="E96" s="30" t="inlineStr">
        <is>
          <t>JOSE LUIZ DE SA CAVALCANTI</t>
        </is>
      </c>
      <c r="F96" s="40" t="n">
        <v>0</v>
      </c>
      <c r="G96" s="40" t="n">
        <v>0</v>
      </c>
      <c r="H96" s="40" t="n">
        <v>0</v>
      </c>
      <c r="I96" s="40" t="n">
        <v>0</v>
      </c>
      <c r="J96" s="40" t="n">
        <v>0</v>
      </c>
      <c r="K96" s="40" t="n">
        <v>0</v>
      </c>
      <c r="L96" s="40" t="n">
        <v>0</v>
      </c>
    </row>
    <row r="97" ht="12" customHeight="1">
      <c r="A97" s="30" t="inlineStr">
        <is>
          <t>ARE</t>
        </is>
      </c>
      <c r="B97" s="30" t="inlineStr">
        <is>
          <t>Areal</t>
        </is>
      </c>
      <c r="C97" s="30" t="n">
        <v>72120981</v>
      </c>
      <c r="D97" s="30">
        <f>"00031899706"</f>
        <v/>
      </c>
      <c r="E97" s="30" t="inlineStr">
        <is>
          <t>RICARDO ANDRE VASCONCELOS RAMOS</t>
        </is>
      </c>
      <c r="F97" s="40" t="n">
        <v>142000</v>
      </c>
      <c r="G97" s="40" t="n">
        <v>141000</v>
      </c>
      <c r="H97" s="40" t="n">
        <v>140000</v>
      </c>
      <c r="I97" s="40" t="n">
        <v>142000</v>
      </c>
      <c r="J97" s="40" t="n">
        <v>120000</v>
      </c>
      <c r="K97" s="40" t="n">
        <v>145000</v>
      </c>
      <c r="L97" s="40" t="n">
        <v>120000</v>
      </c>
    </row>
    <row r="98" ht="12" customHeight="1">
      <c r="A98" s="30" t="inlineStr">
        <is>
          <t>ARE</t>
        </is>
      </c>
      <c r="B98" s="30" t="inlineStr">
        <is>
          <t>Areal</t>
        </is>
      </c>
      <c r="C98" s="30" t="n">
        <v>72150694</v>
      </c>
      <c r="D98" s="30">
        <f>"75998750772"</f>
        <v/>
      </c>
      <c r="E98" s="30" t="inlineStr">
        <is>
          <t>SANDRO ROGERIO SANTOS MACHADO</t>
        </is>
      </c>
      <c r="F98" s="40" t="n">
        <v>0</v>
      </c>
      <c r="G98" s="40" t="n">
        <v>0</v>
      </c>
      <c r="H98" s="40" t="n">
        <v>0</v>
      </c>
      <c r="I98" s="40" t="n">
        <v>0</v>
      </c>
      <c r="J98" s="40" t="n">
        <v>0</v>
      </c>
      <c r="K98" s="40" t="n">
        <v>0</v>
      </c>
      <c r="L98" s="40" t="n">
        <v>0</v>
      </c>
    </row>
    <row r="99" ht="12" customHeight="1">
      <c r="A99" s="30" t="inlineStr">
        <is>
          <t>ARE</t>
        </is>
      </c>
      <c r="B99" s="30" t="inlineStr">
        <is>
          <t>Areal</t>
        </is>
      </c>
      <c r="C99" s="30" t="n">
        <v>72204824</v>
      </c>
      <c r="D99" s="30">
        <f>"54370000734"</f>
        <v/>
      </c>
      <c r="E99" s="30" t="inlineStr">
        <is>
          <t>PAULO CESAR CARVALHO DA SILVA AFONSO</t>
        </is>
      </c>
      <c r="F99" s="40" t="n">
        <v>0</v>
      </c>
      <c r="G99" s="40" t="n">
        <v>0</v>
      </c>
      <c r="H99" s="40" t="n">
        <v>0</v>
      </c>
      <c r="I99" s="40" t="n">
        <v>0</v>
      </c>
      <c r="J99" s="40" t="n">
        <v>0</v>
      </c>
      <c r="K99" s="40" t="n">
        <v>0</v>
      </c>
      <c r="L99" s="40" t="n">
        <v>0</v>
      </c>
    </row>
    <row r="100" ht="12" customHeight="1">
      <c r="A100" s="30" t="inlineStr">
        <is>
          <t>ARE</t>
        </is>
      </c>
      <c r="B100" s="30" t="inlineStr">
        <is>
          <t>Areal</t>
        </is>
      </c>
      <c r="C100" s="30" t="n">
        <v>72316517</v>
      </c>
      <c r="D100" s="30">
        <f>"01679277790"</f>
        <v/>
      </c>
      <c r="E100" s="30" t="inlineStr">
        <is>
          <t>GILBERTO SAYAO DA SILVA</t>
        </is>
      </c>
      <c r="F100" s="40" t="n">
        <v>0</v>
      </c>
      <c r="G100" s="40" t="n">
        <v>0</v>
      </c>
      <c r="H100" s="40" t="n">
        <v>0</v>
      </c>
      <c r="I100" s="40" t="n">
        <v>0</v>
      </c>
      <c r="J100" s="40" t="n">
        <v>0</v>
      </c>
      <c r="K100" s="40" t="n">
        <v>0</v>
      </c>
      <c r="L100" s="40" t="n">
        <v>0</v>
      </c>
    </row>
    <row r="101" ht="12" customHeight="1">
      <c r="A101" s="30" t="inlineStr">
        <is>
          <t>ARE</t>
        </is>
      </c>
      <c r="B101" s="30" t="inlineStr">
        <is>
          <t>Areal</t>
        </is>
      </c>
      <c r="C101" s="30" t="n">
        <v>72351398</v>
      </c>
      <c r="D101" s="30">
        <f>"00211672734"</f>
        <v/>
      </c>
      <c r="E101" s="30" t="inlineStr">
        <is>
          <t>ANTONIO ROBERTO DE DEUS VIEIRA</t>
        </is>
      </c>
      <c r="F101" s="40" t="n">
        <v>0</v>
      </c>
      <c r="G101" s="40" t="n">
        <v>0</v>
      </c>
      <c r="H101" s="40" t="n">
        <v>0</v>
      </c>
      <c r="I101" s="40" t="n">
        <v>0</v>
      </c>
      <c r="J101" s="40" t="n">
        <v>0</v>
      </c>
      <c r="K101" s="40" t="n">
        <v>0</v>
      </c>
      <c r="L101" s="40" t="n">
        <v>0</v>
      </c>
    </row>
    <row r="102" ht="12" customHeight="1">
      <c r="A102" s="30" t="inlineStr">
        <is>
          <t>ARE</t>
        </is>
      </c>
      <c r="B102" s="30" t="inlineStr">
        <is>
          <t>Areal</t>
        </is>
      </c>
      <c r="C102" s="30" t="n">
        <v>72354117</v>
      </c>
      <c r="D102" s="30">
        <f>"87420376700"</f>
        <v/>
      </c>
      <c r="E102" s="30" t="inlineStr">
        <is>
          <t>JORGE MAGRANI PIRES</t>
        </is>
      </c>
      <c r="F102" s="40" t="n">
        <v>94426</v>
      </c>
      <c r="G102" s="40" t="n">
        <v>27169</v>
      </c>
      <c r="H102" s="40" t="n">
        <v>34026</v>
      </c>
      <c r="I102" s="40" t="n">
        <v>24217</v>
      </c>
      <c r="J102" s="40" t="n">
        <v>0</v>
      </c>
      <c r="K102" s="40" t="n">
        <v>0</v>
      </c>
      <c r="L102" s="40" t="n">
        <v>8920</v>
      </c>
    </row>
    <row r="103" ht="12" customHeight="1">
      <c r="A103" s="30" t="inlineStr">
        <is>
          <t>ARE</t>
        </is>
      </c>
      <c r="B103" s="30" t="inlineStr">
        <is>
          <t>Areal</t>
        </is>
      </c>
      <c r="C103" s="30" t="n">
        <v>72364139</v>
      </c>
      <c r="D103" s="30">
        <f>"66418623720"</f>
        <v/>
      </c>
      <c r="E103" s="30" t="inlineStr">
        <is>
          <t>MAURO VEIGA SOARES DE CARVALHO</t>
        </is>
      </c>
      <c r="F103" s="40" t="n">
        <v>0</v>
      </c>
      <c r="G103" s="40" t="n">
        <v>0</v>
      </c>
      <c r="H103" s="40" t="n">
        <v>0</v>
      </c>
      <c r="I103" s="40" t="n">
        <v>0</v>
      </c>
      <c r="J103" s="40" t="n">
        <v>0</v>
      </c>
      <c r="K103" s="40" t="n">
        <v>0</v>
      </c>
      <c r="L103" s="40" t="n">
        <v>0</v>
      </c>
    </row>
    <row r="104" ht="12" customHeight="1">
      <c r="A104" s="30" t="inlineStr">
        <is>
          <t>ARE</t>
        </is>
      </c>
      <c r="B104" s="30" t="inlineStr">
        <is>
          <t>Areal</t>
        </is>
      </c>
      <c r="C104" s="30" t="n">
        <v>72382552</v>
      </c>
      <c r="D104" s="30">
        <f>"08397705708"</f>
        <v/>
      </c>
      <c r="E104" s="30" t="inlineStr">
        <is>
          <t>GILMAR COELHO</t>
        </is>
      </c>
      <c r="F104" s="40" t="n">
        <v>143000</v>
      </c>
      <c r="G104" s="40" t="n">
        <v>141000</v>
      </c>
      <c r="H104" s="40" t="n">
        <v>142000</v>
      </c>
      <c r="I104" s="40" t="n">
        <v>150000</v>
      </c>
      <c r="J104" s="40" t="n">
        <v>125000</v>
      </c>
      <c r="K104" s="40" t="n">
        <v>150000</v>
      </c>
      <c r="L104" s="40" t="n">
        <v>145150</v>
      </c>
    </row>
    <row r="105" ht="12" customHeight="1">
      <c r="A105" s="30" t="inlineStr">
        <is>
          <t>ARE</t>
        </is>
      </c>
      <c r="B105" s="30" t="inlineStr">
        <is>
          <t>Areal</t>
        </is>
      </c>
      <c r="C105" s="30" t="n">
        <v>72397592</v>
      </c>
      <c r="D105" s="30">
        <f>"57502625615"</f>
        <v/>
      </c>
      <c r="E105" s="30" t="inlineStr">
        <is>
          <t>IVAN ADHEMAR DE CARVALHO FILHO</t>
        </is>
      </c>
      <c r="F105" s="40" t="n">
        <v>268528</v>
      </c>
      <c r="G105" s="40" t="n">
        <v>25500</v>
      </c>
      <c r="H105" s="40" t="n">
        <v>0</v>
      </c>
      <c r="I105" s="40" t="n">
        <v>0</v>
      </c>
      <c r="J105" s="40" t="n">
        <v>0</v>
      </c>
      <c r="K105" s="40" t="n">
        <v>0</v>
      </c>
      <c r="L105" s="40" t="n">
        <v>0</v>
      </c>
    </row>
    <row r="106" ht="12" customHeight="1">
      <c r="A106" s="30" t="inlineStr">
        <is>
          <t>ARE</t>
        </is>
      </c>
      <c r="B106" s="30" t="inlineStr">
        <is>
          <t>Areal</t>
        </is>
      </c>
      <c r="C106" s="30" t="n">
        <v>72404300</v>
      </c>
      <c r="D106" s="30">
        <f>"59142995787"</f>
        <v/>
      </c>
      <c r="E106" s="30" t="inlineStr">
        <is>
          <t>JORGE LUIS DA CRUZ</t>
        </is>
      </c>
      <c r="F106" s="40" t="n">
        <v>38027.09</v>
      </c>
      <c r="G106" s="40" t="n">
        <v>94459.89</v>
      </c>
      <c r="H106" s="40" t="n">
        <v>0</v>
      </c>
      <c r="I106" s="40" t="n">
        <v>0</v>
      </c>
      <c r="J106" s="40" t="n">
        <v>0</v>
      </c>
      <c r="K106" s="40" t="n">
        <v>0</v>
      </c>
      <c r="L106" s="40" t="n">
        <v>0</v>
      </c>
    </row>
    <row r="107" ht="12" customHeight="1">
      <c r="A107" s="30" t="inlineStr">
        <is>
          <t>ARE</t>
        </is>
      </c>
      <c r="B107" s="30" t="inlineStr">
        <is>
          <t>Areal</t>
        </is>
      </c>
      <c r="C107" s="30" t="n">
        <v>72429532</v>
      </c>
      <c r="D107" s="30">
        <f>"76681599753"</f>
        <v/>
      </c>
      <c r="E107" s="30" t="inlineStr">
        <is>
          <t>JOSE MAURO DOS SANTOS</t>
        </is>
      </c>
      <c r="F107" s="40" t="n">
        <v>0</v>
      </c>
      <c r="G107" s="40" t="n">
        <v>0</v>
      </c>
      <c r="H107" s="40" t="n">
        <v>0</v>
      </c>
      <c r="I107" s="40" t="n">
        <v>0</v>
      </c>
      <c r="J107" s="40" t="n">
        <v>0</v>
      </c>
      <c r="K107" s="40" t="n">
        <v>0</v>
      </c>
      <c r="L107" s="40" t="n">
        <v>0</v>
      </c>
    </row>
    <row r="108" ht="12" customHeight="1">
      <c r="A108" s="30" t="inlineStr">
        <is>
          <t>ARE</t>
        </is>
      </c>
      <c r="B108" s="30" t="inlineStr">
        <is>
          <t>Areal</t>
        </is>
      </c>
      <c r="C108" s="30" t="n">
        <v>72440153</v>
      </c>
      <c r="D108" s="30">
        <f>"53227883791"</f>
        <v/>
      </c>
      <c r="E108" s="30" t="inlineStr">
        <is>
          <t>LUIZ DE ALENCAR ARARIPE JUNIOR</t>
        </is>
      </c>
      <c r="F108" s="40" t="n">
        <v>620000</v>
      </c>
      <c r="G108" s="40" t="n">
        <v>51520</v>
      </c>
      <c r="H108" s="40" t="n">
        <v>0</v>
      </c>
      <c r="I108" s="40" t="n">
        <v>0</v>
      </c>
      <c r="J108" s="40" t="n">
        <v>0</v>
      </c>
      <c r="K108" s="40" t="n">
        <v>0</v>
      </c>
      <c r="L108" s="40" t="n">
        <v>0</v>
      </c>
    </row>
    <row r="109" ht="12" customHeight="1">
      <c r="A109" s="30" t="inlineStr">
        <is>
          <t>ARE</t>
        </is>
      </c>
      <c r="B109" s="30" t="inlineStr">
        <is>
          <t>Areal</t>
        </is>
      </c>
      <c r="C109" s="30" t="n">
        <v>72441532</v>
      </c>
      <c r="D109" s="30">
        <f>"26933098753"</f>
        <v/>
      </c>
      <c r="E109" s="30" t="inlineStr">
        <is>
          <t>GABRIEL MARTINS VILLELA DE AFFONSECA</t>
        </is>
      </c>
      <c r="F109" s="40" t="n">
        <v>0</v>
      </c>
      <c r="G109" s="40" t="n">
        <v>0</v>
      </c>
      <c r="H109" s="40" t="n">
        <v>0</v>
      </c>
      <c r="I109" s="40" t="n">
        <v>0</v>
      </c>
      <c r="J109" s="40" t="n">
        <v>0</v>
      </c>
      <c r="K109" s="40" t="n">
        <v>0</v>
      </c>
      <c r="L109" s="40" t="n">
        <v>0</v>
      </c>
    </row>
    <row r="110" ht="12" customHeight="1">
      <c r="A110" s="30" t="inlineStr">
        <is>
          <t>ARE</t>
        </is>
      </c>
      <c r="B110" s="30" t="inlineStr">
        <is>
          <t>Areal</t>
        </is>
      </c>
      <c r="C110" s="30" t="n">
        <v>72441605</v>
      </c>
      <c r="D110" s="30">
        <f>"17000330856"</f>
        <v/>
      </c>
      <c r="E110" s="30" t="inlineStr">
        <is>
          <t>REGIS DE CASTILHO BARBOSA FILHO</t>
        </is>
      </c>
      <c r="F110" s="40" t="n">
        <v>62677.08</v>
      </c>
      <c r="G110" s="40" t="n">
        <v>71493</v>
      </c>
      <c r="H110" s="40" t="n">
        <v>0</v>
      </c>
      <c r="I110" s="40" t="n">
        <v>0</v>
      </c>
      <c r="J110" s="40" t="n">
        <v>0</v>
      </c>
      <c r="K110" s="40" t="n">
        <v>284533.34</v>
      </c>
      <c r="L110" s="40" t="n">
        <v>0</v>
      </c>
    </row>
    <row r="111" ht="12" customHeight="1">
      <c r="A111" s="30" t="inlineStr">
        <is>
          <t>ARE</t>
        </is>
      </c>
      <c r="B111" s="30" t="inlineStr">
        <is>
          <t>Areal</t>
        </is>
      </c>
      <c r="C111" s="30" t="n">
        <v>72451279</v>
      </c>
      <c r="D111" s="30">
        <f>"01456895737"</f>
        <v/>
      </c>
      <c r="E111" s="30" t="inlineStr">
        <is>
          <t>MANOEL LUIZ DE SOUZA NETO</t>
        </is>
      </c>
      <c r="F111" s="40" t="n">
        <v>0</v>
      </c>
      <c r="G111" s="40" t="n">
        <v>22854.8</v>
      </c>
      <c r="H111" s="40" t="n">
        <v>0</v>
      </c>
      <c r="I111" s="40" t="n">
        <v>0</v>
      </c>
      <c r="J111" s="40" t="n">
        <v>0</v>
      </c>
      <c r="K111" s="40" t="n">
        <v>71769</v>
      </c>
      <c r="L111" s="40" t="n">
        <v>75644</v>
      </c>
    </row>
    <row r="112" ht="12" customHeight="1">
      <c r="A112" s="30" t="inlineStr">
        <is>
          <t>ARE</t>
        </is>
      </c>
      <c r="B112" s="30" t="inlineStr">
        <is>
          <t>Areal</t>
        </is>
      </c>
      <c r="C112" s="30" t="n">
        <v>72457714</v>
      </c>
      <c r="D112" s="30">
        <f>"08405527770"</f>
        <v/>
      </c>
      <c r="E112" s="30" t="inlineStr">
        <is>
          <t>MARCELO ALVES MONFORT DE MELLO</t>
        </is>
      </c>
      <c r="F112" s="40" t="n">
        <v>0</v>
      </c>
      <c r="G112" s="40" t="n">
        <v>0</v>
      </c>
      <c r="H112" s="40" t="n">
        <v>0</v>
      </c>
      <c r="I112" s="40" t="n">
        <v>0</v>
      </c>
      <c r="J112" s="40" t="n">
        <v>0</v>
      </c>
      <c r="K112" s="40" t="n">
        <v>0</v>
      </c>
      <c r="L112" s="40" t="n">
        <v>0</v>
      </c>
    </row>
    <row r="113" ht="12" customHeight="1">
      <c r="A113" s="30" t="inlineStr">
        <is>
          <t>ARE</t>
        </is>
      </c>
      <c r="B113" s="30" t="inlineStr">
        <is>
          <t>Areal</t>
        </is>
      </c>
      <c r="C113" s="30" t="n">
        <v>72460669</v>
      </c>
      <c r="D113" s="30">
        <f>"00071109773749"</f>
        <v/>
      </c>
      <c r="E113" s="30" t="inlineStr">
        <is>
          <t>SEBASTIANA REGINA DA SILVA</t>
        </is>
      </c>
      <c r="F113" s="40" t="n">
        <v>0</v>
      </c>
      <c r="G113" s="40" t="n">
        <v>0</v>
      </c>
      <c r="H113" s="40" t="n">
        <v>0</v>
      </c>
      <c r="I113" s="40" t="n">
        <v>0</v>
      </c>
      <c r="J113" s="40" t="n">
        <v>0</v>
      </c>
      <c r="K113" s="40" t="n">
        <v>0</v>
      </c>
      <c r="L113" s="40" t="n">
        <v>0</v>
      </c>
    </row>
    <row r="114" ht="12" customHeight="1">
      <c r="A114" s="30" t="inlineStr">
        <is>
          <t>ARE</t>
        </is>
      </c>
      <c r="B114" s="30" t="inlineStr">
        <is>
          <t>Areal</t>
        </is>
      </c>
      <c r="C114" s="30" t="n">
        <v>72474465</v>
      </c>
      <c r="D114" s="30">
        <f>"01491346736"</f>
        <v/>
      </c>
      <c r="E114" s="30" t="inlineStr">
        <is>
          <t>ANA PAULA DE ARAUJO</t>
        </is>
      </c>
      <c r="F114" s="40" t="n">
        <v>143000</v>
      </c>
      <c r="G114" s="40" t="n">
        <v>0</v>
      </c>
      <c r="H114" s="40" t="n">
        <v>0</v>
      </c>
      <c r="I114" s="40" t="n">
        <v>0</v>
      </c>
      <c r="J114" s="40" t="n">
        <v>0</v>
      </c>
      <c r="K114" s="40" t="n">
        <v>0</v>
      </c>
      <c r="L114" s="40" t="n">
        <v>0</v>
      </c>
    </row>
    <row r="115" ht="12" customHeight="1">
      <c r="A115" s="30" t="inlineStr">
        <is>
          <t>ARE</t>
        </is>
      </c>
      <c r="B115" s="30" t="inlineStr">
        <is>
          <t>Areal</t>
        </is>
      </c>
      <c r="C115" s="30" t="n">
        <v>72476484</v>
      </c>
      <c r="D115" s="30">
        <f>"12067889761"</f>
        <v/>
      </c>
      <c r="E115" s="30" t="inlineStr">
        <is>
          <t>THIAGO CANTO NEVES</t>
        </is>
      </c>
      <c r="F115" s="40" t="n">
        <v>17092.6</v>
      </c>
      <c r="G115" s="40" t="n">
        <v>107413.1</v>
      </c>
      <c r="H115" s="40" t="n">
        <v>139578.8</v>
      </c>
      <c r="I115" s="40" t="n">
        <v>0</v>
      </c>
      <c r="J115" s="40" t="n">
        <v>0</v>
      </c>
      <c r="K115" s="40" t="n">
        <v>0</v>
      </c>
      <c r="L115" s="40" t="n">
        <v>0</v>
      </c>
    </row>
    <row r="116" ht="12" customHeight="1">
      <c r="A116" s="30" t="inlineStr">
        <is>
          <t>ARE</t>
        </is>
      </c>
      <c r="B116" s="30" t="inlineStr">
        <is>
          <t>Areal</t>
        </is>
      </c>
      <c r="C116" s="30" t="n">
        <v>72498798</v>
      </c>
      <c r="D116" s="30">
        <f>"01616514701"</f>
        <v/>
      </c>
      <c r="E116" s="30" t="inlineStr">
        <is>
          <t>MAURO HENRIQUE MAGDALENA CORTASIO</t>
        </is>
      </c>
      <c r="F116" s="40" t="n">
        <v>0</v>
      </c>
      <c r="G116" s="40" t="n">
        <v>58150</v>
      </c>
      <c r="H116" s="40" t="n">
        <v>0</v>
      </c>
      <c r="I116" s="40" t="n">
        <v>0</v>
      </c>
      <c r="J116" s="40" t="n">
        <v>17500</v>
      </c>
      <c r="K116" s="40" t="n">
        <v>0</v>
      </c>
      <c r="L116" s="40" t="n">
        <v>0</v>
      </c>
    </row>
    <row r="117" ht="12" customHeight="1">
      <c r="A117" s="30" t="inlineStr">
        <is>
          <t>ARE</t>
        </is>
      </c>
      <c r="B117" s="30" t="inlineStr">
        <is>
          <t>Areal</t>
        </is>
      </c>
      <c r="C117" s="30" t="n">
        <v>72500199</v>
      </c>
      <c r="D117" s="30">
        <f>"11939706793"</f>
        <v/>
      </c>
      <c r="E117" s="30" t="inlineStr">
        <is>
          <t>AUGUSTO VILLELA PEDRAS POLONIA</t>
        </is>
      </c>
      <c r="F117" s="40" t="n">
        <v>0</v>
      </c>
      <c r="G117" s="40" t="n">
        <v>0</v>
      </c>
      <c r="H117" s="40" t="n">
        <v>80700</v>
      </c>
      <c r="I117" s="40" t="n">
        <v>0</v>
      </c>
      <c r="J117" s="40" t="n">
        <v>0</v>
      </c>
      <c r="K117" s="40" t="n">
        <v>0</v>
      </c>
      <c r="L117" s="40" t="n">
        <v>0</v>
      </c>
    </row>
    <row r="118" ht="12" customHeight="1">
      <c r="A118" s="30" t="inlineStr">
        <is>
          <t>ARE</t>
        </is>
      </c>
      <c r="B118" s="30" t="inlineStr">
        <is>
          <t>Areal</t>
        </is>
      </c>
      <c r="C118" s="30" t="n">
        <v>72500202</v>
      </c>
      <c r="D118" s="30">
        <f>"09897443703"</f>
        <v/>
      </c>
      <c r="E118" s="30" t="inlineStr">
        <is>
          <t>MARCOS VILLELA PEDRAS POLONIA</t>
        </is>
      </c>
      <c r="F118" s="40" t="n">
        <v>0</v>
      </c>
      <c r="G118" s="40" t="n">
        <v>72951.7</v>
      </c>
      <c r="H118" s="40" t="n">
        <v>725034.9</v>
      </c>
      <c r="I118" s="40" t="n">
        <v>0</v>
      </c>
      <c r="J118" s="40" t="n">
        <v>0</v>
      </c>
      <c r="K118" s="40" t="n">
        <v>0</v>
      </c>
      <c r="L118" s="40" t="n">
        <v>0</v>
      </c>
    </row>
    <row r="119" ht="12" customHeight="1">
      <c r="A119" s="30" t="inlineStr">
        <is>
          <t>ARE</t>
        </is>
      </c>
      <c r="B119" s="30" t="inlineStr">
        <is>
          <t>Areal</t>
        </is>
      </c>
      <c r="C119" s="30" t="n">
        <v>72500210</v>
      </c>
      <c r="D119" s="30">
        <f>"50440080797"</f>
        <v/>
      </c>
      <c r="E119" s="30" t="inlineStr">
        <is>
          <t>SANDRA VILLELA PEDRAS POLONIA</t>
        </is>
      </c>
      <c r="F119" s="40" t="n">
        <v>0</v>
      </c>
      <c r="G119" s="40" t="n">
        <v>271325.88</v>
      </c>
      <c r="H119" s="40" t="n">
        <v>205647.82</v>
      </c>
      <c r="I119" s="40" t="n">
        <v>52978.13</v>
      </c>
      <c r="J119" s="40" t="n">
        <v>0</v>
      </c>
      <c r="K119" s="40" t="n">
        <v>0</v>
      </c>
      <c r="L119" s="40" t="n">
        <v>0</v>
      </c>
    </row>
    <row r="120" ht="12" customHeight="1">
      <c r="A120" s="30" t="inlineStr">
        <is>
          <t>ARE</t>
        </is>
      </c>
      <c r="B120" s="30" t="inlineStr">
        <is>
          <t>Areal</t>
        </is>
      </c>
      <c r="C120" s="30" t="n">
        <v>72505425</v>
      </c>
      <c r="D120" s="30">
        <f>"58928936772"</f>
        <v/>
      </c>
      <c r="E120" s="30" t="inlineStr">
        <is>
          <t>VALDEMIR LOPES</t>
        </is>
      </c>
      <c r="F120" s="40" t="n">
        <v>0.01</v>
      </c>
      <c r="G120" s="40" t="n">
        <v>0</v>
      </c>
      <c r="H120" s="40" t="n">
        <v>0</v>
      </c>
      <c r="I120" s="40" t="n">
        <v>0</v>
      </c>
      <c r="J120" s="40" t="n">
        <v>0</v>
      </c>
      <c r="K120" s="40" t="n">
        <v>0</v>
      </c>
      <c r="L120" s="40" t="n">
        <v>0</v>
      </c>
    </row>
    <row r="121" ht="12" customHeight="1">
      <c r="A121" s="30" t="inlineStr">
        <is>
          <t>ARE</t>
        </is>
      </c>
      <c r="B121" s="30" t="inlineStr">
        <is>
          <t>Areal</t>
        </is>
      </c>
      <c r="C121" s="30" t="n">
        <v>72524250</v>
      </c>
      <c r="D121" s="30">
        <f>"10492118710"</f>
        <v/>
      </c>
      <c r="E121" s="30" t="inlineStr">
        <is>
          <t>JONAS DE PADUA DOMINGUES</t>
        </is>
      </c>
      <c r="F121" s="40" t="n">
        <v>0</v>
      </c>
      <c r="G121" s="40" t="n">
        <v>10200</v>
      </c>
      <c r="H121" s="40" t="n">
        <v>51680</v>
      </c>
      <c r="I121" s="40" t="n">
        <v>98620</v>
      </c>
      <c r="J121" s="40" t="n">
        <v>162244.8</v>
      </c>
      <c r="K121" s="40" t="n">
        <v>32900</v>
      </c>
      <c r="L121" s="40" t="n">
        <v>0</v>
      </c>
    </row>
    <row r="122" ht="12" customHeight="1">
      <c r="A122" s="30" t="inlineStr">
        <is>
          <t>ARE</t>
        </is>
      </c>
      <c r="B122" s="30" t="inlineStr">
        <is>
          <t>Areal</t>
        </is>
      </c>
      <c r="C122" s="30" t="n">
        <v>75701535</v>
      </c>
      <c r="D122" s="30">
        <f>"29899143000169"</f>
        <v/>
      </c>
      <c r="E122" s="30" t="inlineStr">
        <is>
          <t>VIACAO TREZE DE JUNHO LTDA</t>
        </is>
      </c>
      <c r="F122" s="40" t="n">
        <v>0</v>
      </c>
      <c r="G122" s="40" t="n">
        <v>0</v>
      </c>
      <c r="H122" s="40" t="n">
        <v>0</v>
      </c>
      <c r="I122" s="40" t="n">
        <v>0</v>
      </c>
      <c r="J122" s="40" t="n">
        <v>0</v>
      </c>
      <c r="K122" s="40" t="n">
        <v>800</v>
      </c>
      <c r="L122" s="40" t="n">
        <v>100</v>
      </c>
    </row>
    <row r="123" ht="12" customHeight="1">
      <c r="A123" s="30" t="inlineStr">
        <is>
          <t>ARE</t>
        </is>
      </c>
      <c r="B123" s="30" t="inlineStr">
        <is>
          <t>Areal</t>
        </is>
      </c>
      <c r="C123" s="30" t="n">
        <v>75786220</v>
      </c>
      <c r="D123" s="30">
        <f>"02533755000187"</f>
        <v/>
      </c>
      <c r="E123" s="30" t="inlineStr">
        <is>
          <t>LESTE FLU SERVICOS DE TELECOM LTDA</t>
        </is>
      </c>
      <c r="F123" s="40" t="n">
        <v>0</v>
      </c>
      <c r="G123" s="40" t="n">
        <v>0</v>
      </c>
      <c r="H123" s="40" t="n">
        <v>0</v>
      </c>
      <c r="I123" s="40" t="n">
        <v>0</v>
      </c>
      <c r="J123" s="40" t="n">
        <v>0</v>
      </c>
      <c r="K123" s="40" t="n">
        <v>0</v>
      </c>
      <c r="L123" s="40" t="n">
        <v>324.81</v>
      </c>
    </row>
    <row r="124" ht="12" customHeight="1">
      <c r="A124" s="30" t="inlineStr">
        <is>
          <t>ARE</t>
        </is>
      </c>
      <c r="B124" s="30" t="inlineStr">
        <is>
          <t>Areal</t>
        </is>
      </c>
      <c r="C124" s="30" t="n">
        <v>75794134</v>
      </c>
      <c r="D124" s="30">
        <f>"43244631002455"</f>
        <v/>
      </c>
      <c r="E124" s="30" t="inlineStr">
        <is>
          <t>TRANSPORTADORA AMERICANA LTDA</t>
        </is>
      </c>
      <c r="F124" s="40" t="n">
        <v>223.74</v>
      </c>
      <c r="G124" s="40" t="n">
        <v>78.75</v>
      </c>
      <c r="H124" s="40" t="n">
        <v>145.31</v>
      </c>
      <c r="I124" s="40" t="n">
        <v>451.6</v>
      </c>
      <c r="J124" s="40" t="n">
        <v>118.58</v>
      </c>
      <c r="K124" s="40" t="n">
        <v>54.62</v>
      </c>
      <c r="L124" s="40" t="n">
        <v>0</v>
      </c>
    </row>
    <row r="125" ht="12" customHeight="1">
      <c r="A125" s="30" t="inlineStr">
        <is>
          <t>ARE</t>
        </is>
      </c>
      <c r="B125" s="30" t="inlineStr">
        <is>
          <t>Areal</t>
        </is>
      </c>
      <c r="C125" s="30" t="n">
        <v>75846223</v>
      </c>
      <c r="D125" s="30">
        <f>"02653803000170"</f>
        <v/>
      </c>
      <c r="E125" s="30" t="inlineStr">
        <is>
          <t>SM - RIO TRANSPORTE E LOGÍSTICA EIRELI</t>
        </is>
      </c>
      <c r="F125" s="40" t="n">
        <v>3920.44</v>
      </c>
      <c r="G125" s="40" t="n">
        <v>10833.91</v>
      </c>
      <c r="H125" s="40" t="n">
        <v>0</v>
      </c>
      <c r="I125" s="40" t="n">
        <v>0</v>
      </c>
      <c r="J125" s="40" t="n">
        <v>0</v>
      </c>
      <c r="K125" s="40" t="n">
        <v>0</v>
      </c>
      <c r="L125" s="40" t="n">
        <v>0</v>
      </c>
    </row>
    <row r="126" ht="12" customHeight="1">
      <c r="A126" s="30" t="inlineStr">
        <is>
          <t>ARE</t>
        </is>
      </c>
      <c r="B126" s="30" t="inlineStr">
        <is>
          <t>Areal</t>
        </is>
      </c>
      <c r="C126" s="30" t="n">
        <v>75849567</v>
      </c>
      <c r="D126" s="30">
        <f>"19694199000476"</f>
        <v/>
      </c>
      <c r="E126" s="30" t="inlineStr">
        <is>
          <t>TRANSREFER TRANSPORTE E LOGISTICA LTDA</t>
        </is>
      </c>
      <c r="F126" s="40" t="n">
        <v>51547.47</v>
      </c>
      <c r="G126" s="40" t="n">
        <v>0</v>
      </c>
      <c r="H126" s="40" t="n">
        <v>0</v>
      </c>
      <c r="I126" s="40" t="n">
        <v>0</v>
      </c>
      <c r="J126" s="40" t="n">
        <v>0</v>
      </c>
      <c r="K126" s="40" t="n">
        <v>0</v>
      </c>
      <c r="L126" s="40" t="n">
        <v>0</v>
      </c>
    </row>
    <row r="127" ht="12" customHeight="1">
      <c r="A127" s="30" t="inlineStr">
        <is>
          <t>ARE</t>
        </is>
      </c>
      <c r="B127" s="30" t="inlineStr">
        <is>
          <t>Areal</t>
        </is>
      </c>
      <c r="C127" s="30" t="n">
        <v>75849699</v>
      </c>
      <c r="D127" s="30">
        <f>"58506155000427"</f>
        <v/>
      </c>
      <c r="E127" s="30" t="inlineStr">
        <is>
          <t>MIRA OTM TRANSPORTES LTDA</t>
        </is>
      </c>
      <c r="F127" s="40" t="n">
        <v>0</v>
      </c>
      <c r="G127" s="40" t="n">
        <v>0</v>
      </c>
      <c r="H127" s="40" t="n">
        <v>9310.26</v>
      </c>
      <c r="I127" s="40" t="n">
        <v>0</v>
      </c>
      <c r="J127" s="40" t="n">
        <v>0</v>
      </c>
      <c r="K127" s="40" t="n">
        <v>0</v>
      </c>
      <c r="L127" s="40" t="n">
        <v>0</v>
      </c>
    </row>
    <row r="128" ht="12" customHeight="1">
      <c r="A128" s="30" t="inlineStr">
        <is>
          <t>ARE</t>
        </is>
      </c>
      <c r="B128" s="30" t="inlineStr">
        <is>
          <t>Areal</t>
        </is>
      </c>
      <c r="C128" s="30" t="n">
        <v>76026831</v>
      </c>
      <c r="D128" s="30">
        <f>"60664828007340"</f>
        <v/>
      </c>
      <c r="E128" s="30" t="inlineStr">
        <is>
          <t>EMPRESA DE TRANSPORTES ATLAS LTDA</t>
        </is>
      </c>
      <c r="F128" s="40" t="n">
        <v>33127.59</v>
      </c>
      <c r="G128" s="40" t="n">
        <v>22946.13</v>
      </c>
      <c r="H128" s="40" t="n">
        <v>290.94</v>
      </c>
      <c r="I128" s="40" t="n">
        <v>0</v>
      </c>
      <c r="J128" s="40" t="n">
        <v>0</v>
      </c>
      <c r="K128" s="40" t="n">
        <v>0</v>
      </c>
      <c r="L128" s="40" t="n">
        <v>0</v>
      </c>
    </row>
    <row r="129" ht="12" customHeight="1">
      <c r="A129" s="30" t="inlineStr">
        <is>
          <t>ARE</t>
        </is>
      </c>
      <c r="B129" s="30" t="inlineStr">
        <is>
          <t>Areal</t>
        </is>
      </c>
      <c r="C129" s="30" t="n">
        <v>76085927</v>
      </c>
      <c r="D129" s="30">
        <f>"26341222000323"</f>
        <v/>
      </c>
      <c r="E129" s="30" t="inlineStr">
        <is>
          <t>EXPRESSO M 2000 LTDA</t>
        </is>
      </c>
      <c r="F129" s="40" t="n">
        <v>0</v>
      </c>
      <c r="G129" s="40" t="n">
        <v>0</v>
      </c>
      <c r="H129" s="40" t="n">
        <v>0</v>
      </c>
      <c r="I129" s="40" t="n">
        <v>221.68</v>
      </c>
      <c r="J129" s="40" t="n">
        <v>0</v>
      </c>
      <c r="K129" s="40" t="n">
        <v>0</v>
      </c>
      <c r="L129" s="40" t="n">
        <v>0</v>
      </c>
    </row>
    <row r="130" ht="12" customHeight="1">
      <c r="A130" s="30" t="inlineStr">
        <is>
          <t>ARE</t>
        </is>
      </c>
      <c r="B130" s="30" t="inlineStr">
        <is>
          <t>Areal</t>
        </is>
      </c>
      <c r="C130" s="30" t="n">
        <v>76105502</v>
      </c>
      <c r="D130" s="30">
        <f>"03419953000187"</f>
        <v/>
      </c>
      <c r="E130" s="30" t="inlineStr">
        <is>
          <t>MARFRAN TRANSPORTES E LOGISTICA LTDA ME</t>
        </is>
      </c>
      <c r="F130" s="40" t="n">
        <v>900.6</v>
      </c>
      <c r="G130" s="40" t="n">
        <v>19871.91</v>
      </c>
      <c r="H130" s="40" t="n">
        <v>0</v>
      </c>
      <c r="I130" s="40" t="n">
        <v>0</v>
      </c>
      <c r="J130" s="40" t="n">
        <v>0</v>
      </c>
      <c r="K130" s="40" t="n">
        <v>0</v>
      </c>
      <c r="L130" s="40" t="n">
        <v>0</v>
      </c>
    </row>
    <row r="131" ht="12" customHeight="1">
      <c r="A131" s="30" t="inlineStr">
        <is>
          <t>ARE</t>
        </is>
      </c>
      <c r="B131" s="30" t="inlineStr">
        <is>
          <t>Areal</t>
        </is>
      </c>
      <c r="C131" s="30" t="n">
        <v>77054545</v>
      </c>
      <c r="D131" s="30">
        <f>"03757239000107"</f>
        <v/>
      </c>
      <c r="E131" s="30" t="inlineStr">
        <is>
          <t>SPEED WORK TRANSPORTES EIRELI</t>
        </is>
      </c>
      <c r="F131" s="40" t="n">
        <v>1.3</v>
      </c>
      <c r="G131" s="40" t="n">
        <v>1.3</v>
      </c>
      <c r="H131" s="40" t="n">
        <v>0</v>
      </c>
      <c r="I131" s="40" t="n">
        <v>0</v>
      </c>
      <c r="J131" s="40" t="n">
        <v>0</v>
      </c>
      <c r="K131" s="40" t="n">
        <v>133.04</v>
      </c>
      <c r="L131" s="40" t="n">
        <v>0</v>
      </c>
    </row>
    <row r="132" ht="12" customHeight="1">
      <c r="A132" s="30" t="inlineStr">
        <is>
          <t>ARE</t>
        </is>
      </c>
      <c r="B132" s="30" t="inlineStr">
        <is>
          <t>Areal</t>
        </is>
      </c>
      <c r="C132" s="30" t="n">
        <v>77071431</v>
      </c>
      <c r="D132" s="30">
        <f>"01125797000620"</f>
        <v/>
      </c>
      <c r="E132" s="30" t="inlineStr">
        <is>
          <t>ATIVA DISTRIBUICAO E LOGISTICA LTDA</t>
        </is>
      </c>
      <c r="F132" s="40" t="n">
        <v>46486.15</v>
      </c>
      <c r="G132" s="40" t="n">
        <v>2169.93</v>
      </c>
      <c r="H132" s="40" t="n">
        <v>37580.85</v>
      </c>
      <c r="I132" s="40" t="n">
        <v>105456.63</v>
      </c>
      <c r="J132" s="40" t="n">
        <v>14706.93</v>
      </c>
      <c r="K132" s="40" t="n">
        <v>0</v>
      </c>
      <c r="L132" s="40" t="n">
        <v>0</v>
      </c>
    </row>
    <row r="133" ht="12" customHeight="1">
      <c r="A133" s="30" t="inlineStr">
        <is>
          <t>ARE</t>
        </is>
      </c>
      <c r="B133" s="30" t="inlineStr">
        <is>
          <t>Areal</t>
        </is>
      </c>
      <c r="C133" s="30" t="n">
        <v>77142126</v>
      </c>
      <c r="D133" s="30">
        <f>"04155259000324"</f>
        <v/>
      </c>
      <c r="E133" s="30" t="inlineStr">
        <is>
          <t>TRANSPORTADORA M M A LTDA</t>
        </is>
      </c>
      <c r="F133" s="40" t="n">
        <v>0</v>
      </c>
      <c r="G133" s="40" t="n">
        <v>0</v>
      </c>
      <c r="H133" s="40" t="n">
        <v>0</v>
      </c>
      <c r="I133" s="40" t="n">
        <v>267.94</v>
      </c>
      <c r="J133" s="40" t="n">
        <v>1225.32</v>
      </c>
      <c r="K133" s="40" t="n">
        <v>760.37</v>
      </c>
      <c r="L133" s="40" t="n">
        <v>224.61</v>
      </c>
    </row>
    <row r="134" ht="12" customHeight="1">
      <c r="A134" s="30" t="inlineStr">
        <is>
          <t>ARE</t>
        </is>
      </c>
      <c r="B134" s="30" t="inlineStr">
        <is>
          <t>Areal</t>
        </is>
      </c>
      <c r="C134" s="30" t="n">
        <v>77238182</v>
      </c>
      <c r="D134" s="30">
        <f>"04206050004410"</f>
        <v/>
      </c>
      <c r="E134" s="30" t="inlineStr">
        <is>
          <t>TIM CELULAR S/A</t>
        </is>
      </c>
      <c r="F134" s="40" t="n">
        <v>111619.76</v>
      </c>
      <c r="G134" s="40" t="n">
        <v>94613.39</v>
      </c>
      <c r="H134" s="40" t="n">
        <v>0</v>
      </c>
      <c r="I134" s="40" t="n">
        <v>0</v>
      </c>
      <c r="J134" s="40" t="n">
        <v>0</v>
      </c>
      <c r="K134" s="40" t="n">
        <v>0</v>
      </c>
      <c r="L134" s="40" t="n">
        <v>0</v>
      </c>
    </row>
    <row r="135" ht="12" customHeight="1">
      <c r="A135" s="30" t="inlineStr">
        <is>
          <t>ARE</t>
        </is>
      </c>
      <c r="B135" s="30" t="inlineStr">
        <is>
          <t>Areal</t>
        </is>
      </c>
      <c r="C135" s="30" t="n">
        <v>77290028</v>
      </c>
      <c r="D135" s="30">
        <f>"03341775000461"</f>
        <v/>
      </c>
      <c r="E135" s="30" t="inlineStr">
        <is>
          <t>TRANSPORTES MOBILINE LTDA</t>
        </is>
      </c>
      <c r="F135" s="40" t="n">
        <v>0</v>
      </c>
      <c r="G135" s="40" t="n">
        <v>750</v>
      </c>
      <c r="H135" s="40" t="n">
        <v>89</v>
      </c>
      <c r="I135" s="40" t="n">
        <v>0</v>
      </c>
      <c r="J135" s="40" t="n">
        <v>0</v>
      </c>
      <c r="K135" s="40" t="n">
        <v>0</v>
      </c>
      <c r="L135" s="40" t="n">
        <v>0</v>
      </c>
    </row>
    <row r="136" ht="12" customHeight="1">
      <c r="A136" s="30" t="inlineStr">
        <is>
          <t>ARE</t>
        </is>
      </c>
      <c r="B136" s="30" t="inlineStr">
        <is>
          <t>Areal</t>
        </is>
      </c>
      <c r="C136" s="30" t="n">
        <v>77327070</v>
      </c>
      <c r="D136" s="30">
        <f>"04918341000100"</f>
        <v/>
      </c>
      <c r="E136" s="30" t="inlineStr">
        <is>
          <t>NOVA A3 INDUSTRIA E COMERCIO LTDA</t>
        </is>
      </c>
      <c r="F136" s="40" t="n">
        <v>16540421.07</v>
      </c>
      <c r="G136" s="40" t="n">
        <v>18879565.79</v>
      </c>
      <c r="H136" s="40" t="n">
        <v>19044618.43</v>
      </c>
      <c r="I136" s="40" t="n">
        <v>19921309.33</v>
      </c>
      <c r="J136" s="40" t="n">
        <v>24921212.44</v>
      </c>
      <c r="K136" s="40" t="n">
        <v>24493696.55</v>
      </c>
      <c r="L136" s="40" t="n">
        <v>19647521.73</v>
      </c>
    </row>
    <row r="137" ht="12" customHeight="1">
      <c r="A137" s="30" t="inlineStr">
        <is>
          <t>ARE</t>
        </is>
      </c>
      <c r="B137" s="30" t="inlineStr">
        <is>
          <t>Areal</t>
        </is>
      </c>
      <c r="C137" s="30" t="n">
        <v>77330429</v>
      </c>
      <c r="D137" s="30">
        <f>"04608263000139"</f>
        <v/>
      </c>
      <c r="E137" s="30" t="inlineStr">
        <is>
          <t>CLUBE FAZENDA SANTA MONICA</t>
        </is>
      </c>
      <c r="F137" s="40" t="n">
        <v>0</v>
      </c>
      <c r="G137" s="40" t="n">
        <v>0</v>
      </c>
      <c r="H137" s="40" t="n">
        <v>0</v>
      </c>
      <c r="I137" s="40" t="n">
        <v>0</v>
      </c>
      <c r="J137" s="40" t="n">
        <v>0</v>
      </c>
      <c r="K137" s="40" t="n">
        <v>0</v>
      </c>
      <c r="L137" s="40" t="n">
        <v>8602.700000000001</v>
      </c>
    </row>
    <row r="138" ht="12" customHeight="1">
      <c r="A138" s="30" t="inlineStr">
        <is>
          <t>ARE</t>
        </is>
      </c>
      <c r="B138" s="30" t="inlineStr">
        <is>
          <t>Areal</t>
        </is>
      </c>
      <c r="C138" s="30" t="n">
        <v>77394869</v>
      </c>
      <c r="D138" s="30">
        <f>"05129326000137"</f>
        <v/>
      </c>
      <c r="E138" s="30" t="inlineStr">
        <is>
          <t>REBRAMED COMERCIAL LTDA ME</t>
        </is>
      </c>
      <c r="F138" s="40" t="n">
        <v>0</v>
      </c>
      <c r="G138" s="40" t="n">
        <v>0</v>
      </c>
      <c r="H138" s="40" t="n">
        <v>0</v>
      </c>
      <c r="I138" s="40" t="n">
        <v>0</v>
      </c>
      <c r="J138" s="40" t="n">
        <v>0</v>
      </c>
      <c r="K138" s="40" t="n">
        <v>0</v>
      </c>
      <c r="L138" s="40" t="n">
        <v>0</v>
      </c>
    </row>
    <row r="139" ht="12" customHeight="1">
      <c r="A139" s="30" t="inlineStr">
        <is>
          <t>ARE</t>
        </is>
      </c>
      <c r="B139" s="30" t="inlineStr">
        <is>
          <t>Areal</t>
        </is>
      </c>
      <c r="C139" s="30" t="n">
        <v>77421718</v>
      </c>
      <c r="D139" s="30">
        <f>"01014373000508"</f>
        <v/>
      </c>
      <c r="E139" s="30" t="inlineStr">
        <is>
          <t>AEROSOFT CARGAS AEREAS LTDA</t>
        </is>
      </c>
      <c r="F139" s="40" t="n">
        <v>0</v>
      </c>
      <c r="G139" s="40" t="n">
        <v>0</v>
      </c>
      <c r="H139" s="40" t="n">
        <v>0</v>
      </c>
      <c r="I139" s="40" t="n">
        <v>0</v>
      </c>
      <c r="J139" s="40" t="n">
        <v>0</v>
      </c>
      <c r="K139" s="40" t="n">
        <v>0</v>
      </c>
      <c r="L139" s="40" t="n">
        <v>79.26000000000001</v>
      </c>
    </row>
    <row r="140" ht="12" customHeight="1">
      <c r="A140" s="30" t="inlineStr">
        <is>
          <t>ARE</t>
        </is>
      </c>
      <c r="B140" s="30" t="inlineStr">
        <is>
          <t>Areal</t>
        </is>
      </c>
      <c r="C140" s="30" t="n">
        <v>77452443</v>
      </c>
      <c r="D140" s="30">
        <f>"02558157001487"</f>
        <v/>
      </c>
      <c r="E140" s="30" t="inlineStr">
        <is>
          <t>TELEFONICA BRASIL S.A.</t>
        </is>
      </c>
      <c r="F140" s="40" t="n">
        <v>1032235.75</v>
      </c>
      <c r="G140" s="40" t="n">
        <v>883658.3100000001</v>
      </c>
      <c r="H140" s="40" t="n">
        <v>834898.89</v>
      </c>
      <c r="I140" s="40" t="n">
        <v>780778.96</v>
      </c>
      <c r="J140" s="40" t="n">
        <v>1323040.47</v>
      </c>
      <c r="K140" s="40" t="n">
        <v>1304143.21</v>
      </c>
      <c r="L140" s="40" t="n">
        <v>1908121.28</v>
      </c>
    </row>
    <row r="141" ht="12" customHeight="1">
      <c r="A141" s="30" t="inlineStr">
        <is>
          <t>ARE</t>
        </is>
      </c>
      <c r="B141" s="30" t="inlineStr">
        <is>
          <t>Areal</t>
        </is>
      </c>
      <c r="C141" s="30" t="n">
        <v>77543309</v>
      </c>
      <c r="D141" s="30">
        <f>"05636406000189"</f>
        <v/>
      </c>
      <c r="E141" s="30" t="inlineStr">
        <is>
          <t>AUTO POSTO AREAL LTDA</t>
        </is>
      </c>
      <c r="F141" s="40" t="n">
        <v>51947.1</v>
      </c>
      <c r="G141" s="40" t="n">
        <v>0</v>
      </c>
      <c r="H141" s="40" t="n">
        <v>1019118.52</v>
      </c>
      <c r="I141" s="40" t="n">
        <v>1111537.93</v>
      </c>
      <c r="J141" s="40" t="n">
        <v>1053279.46</v>
      </c>
      <c r="K141" s="40" t="n">
        <v>0</v>
      </c>
      <c r="L141" s="40" t="n">
        <v>2686386.79</v>
      </c>
    </row>
    <row r="142" ht="12" customHeight="1">
      <c r="A142" s="30" t="inlineStr">
        <is>
          <t>ARE</t>
        </is>
      </c>
      <c r="B142" s="30" t="inlineStr">
        <is>
          <t>Areal</t>
        </is>
      </c>
      <c r="C142" s="30" t="n">
        <v>77594949</v>
      </c>
      <c r="D142" s="30">
        <f>"00650831000370"</f>
        <v/>
      </c>
      <c r="E142" s="30" t="inlineStr">
        <is>
          <t>EFITRANS TRANSPORTES LTDA</t>
        </is>
      </c>
      <c r="F142" s="40" t="n">
        <v>9455.780000000001</v>
      </c>
      <c r="G142" s="40" t="n">
        <v>63590.52</v>
      </c>
      <c r="H142" s="40" t="n">
        <v>21654.17</v>
      </c>
      <c r="I142" s="40" t="n">
        <v>0</v>
      </c>
      <c r="J142" s="40" t="n">
        <v>133.99</v>
      </c>
      <c r="K142" s="40" t="n">
        <v>0</v>
      </c>
      <c r="L142" s="40" t="n">
        <v>1294.41</v>
      </c>
    </row>
    <row r="143" ht="12" customHeight="1">
      <c r="A143" s="30" t="inlineStr">
        <is>
          <t>ARE</t>
        </is>
      </c>
      <c r="B143" s="30" t="inlineStr">
        <is>
          <t>Areal</t>
        </is>
      </c>
      <c r="C143" s="30" t="n">
        <v>77613129</v>
      </c>
      <c r="D143" s="30">
        <f>"05514580000230"</f>
        <v/>
      </c>
      <c r="E143" s="30" t="inlineStr">
        <is>
          <t>EXPRESSO MONTCAR 2003 LTDA</t>
        </is>
      </c>
      <c r="F143" s="40" t="n">
        <v>255.87</v>
      </c>
      <c r="G143" s="40" t="n">
        <v>0</v>
      </c>
      <c r="H143" s="40" t="n">
        <v>0</v>
      </c>
      <c r="I143" s="40" t="n">
        <v>0</v>
      </c>
      <c r="J143" s="40" t="n">
        <v>0</v>
      </c>
      <c r="K143" s="40" t="n">
        <v>0</v>
      </c>
      <c r="L143" s="40" t="n">
        <v>0</v>
      </c>
    </row>
    <row r="144" ht="12" customHeight="1">
      <c r="A144" s="30" t="inlineStr">
        <is>
          <t>ARE</t>
        </is>
      </c>
      <c r="B144" s="30" t="inlineStr">
        <is>
          <t>Areal</t>
        </is>
      </c>
      <c r="C144" s="30" t="n">
        <v>77663711</v>
      </c>
      <c r="D144" s="30">
        <f>"05931640000139"</f>
        <v/>
      </c>
      <c r="E144" s="30" t="inlineStr">
        <is>
          <t>TRANSPORTES SOUZA ARAUJO LTDA</t>
        </is>
      </c>
      <c r="F144" s="40" t="n">
        <v>0</v>
      </c>
      <c r="G144" s="40" t="n">
        <v>0</v>
      </c>
      <c r="H144" s="40" t="n">
        <v>0</v>
      </c>
      <c r="I144" s="40" t="n">
        <v>6767.42</v>
      </c>
      <c r="J144" s="40" t="n">
        <v>0</v>
      </c>
      <c r="K144" s="40" t="n">
        <v>0</v>
      </c>
      <c r="L144" s="40" t="n">
        <v>69822.28</v>
      </c>
    </row>
    <row r="145" ht="12" customHeight="1">
      <c r="A145" s="30" t="inlineStr">
        <is>
          <t>ARE</t>
        </is>
      </c>
      <c r="B145" s="30" t="inlineStr">
        <is>
          <t>Areal</t>
        </is>
      </c>
      <c r="C145" s="30" t="n">
        <v>77685022</v>
      </c>
      <c r="D145" s="30">
        <f>"76535764033157"</f>
        <v/>
      </c>
      <c r="E145" s="30" t="inlineStr">
        <is>
          <t>OI SA - EM RECUPERACAO JUDICIAL</t>
        </is>
      </c>
      <c r="F145" s="40" t="n">
        <v>0</v>
      </c>
      <c r="G145" s="40" t="n">
        <v>0</v>
      </c>
      <c r="H145" s="40" t="n">
        <v>0</v>
      </c>
      <c r="I145" s="40" t="n">
        <v>0</v>
      </c>
      <c r="J145" s="40" t="n">
        <v>261424.88</v>
      </c>
      <c r="K145" s="40" t="n">
        <v>779939.29</v>
      </c>
      <c r="L145" s="40" t="n">
        <v>899402.88</v>
      </c>
    </row>
    <row r="146" ht="12" customHeight="1">
      <c r="A146" s="30" t="inlineStr">
        <is>
          <t>ARE</t>
        </is>
      </c>
      <c r="B146" s="30" t="inlineStr">
        <is>
          <t>Areal</t>
        </is>
      </c>
      <c r="C146" s="30" t="n">
        <v>77693459</v>
      </c>
      <c r="D146" s="30">
        <f>"67901140000292"</f>
        <v/>
      </c>
      <c r="E146" s="30" t="inlineStr">
        <is>
          <t>COTRALTI - COOPERATIVA DE TRANSPORTE E LOGISTICA DO ALTO TIETE</t>
        </is>
      </c>
      <c r="F146" s="40" t="n">
        <v>0</v>
      </c>
      <c r="G146" s="40" t="n">
        <v>0</v>
      </c>
      <c r="H146" s="40" t="n">
        <v>0</v>
      </c>
      <c r="I146" s="40" t="n">
        <v>124.6</v>
      </c>
      <c r="J146" s="40" t="n">
        <v>0</v>
      </c>
      <c r="K146" s="40" t="n">
        <v>1248.89</v>
      </c>
      <c r="L146" s="40" t="n">
        <v>14908.22</v>
      </c>
    </row>
    <row r="147" ht="12" customHeight="1">
      <c r="A147" s="30" t="inlineStr">
        <is>
          <t>ARE</t>
        </is>
      </c>
      <c r="B147" s="30" t="inlineStr">
        <is>
          <t>Areal</t>
        </is>
      </c>
      <c r="C147" s="30" t="n">
        <v>77700501</v>
      </c>
      <c r="D147" s="30">
        <f>"71208516017140"</f>
        <v/>
      </c>
      <c r="E147" s="30" t="inlineStr">
        <is>
          <t>ALGAR TELECOM S A</t>
        </is>
      </c>
      <c r="F147" s="40" t="n">
        <v>0</v>
      </c>
      <c r="G147" s="40" t="n">
        <v>189.16</v>
      </c>
      <c r="H147" s="40" t="n">
        <v>9.24</v>
      </c>
      <c r="I147" s="40" t="n">
        <v>12.47</v>
      </c>
      <c r="J147" s="40" t="n">
        <v>1.08</v>
      </c>
      <c r="K147" s="40" t="n">
        <v>14.69</v>
      </c>
      <c r="L147" s="40" t="n">
        <v>0</v>
      </c>
    </row>
    <row r="148" ht="12" customHeight="1">
      <c r="A148" s="30" t="inlineStr">
        <is>
          <t>ARE</t>
        </is>
      </c>
      <c r="B148" s="30" t="inlineStr">
        <is>
          <t>Areal</t>
        </is>
      </c>
      <c r="C148" s="30" t="n">
        <v>77730729</v>
      </c>
      <c r="D148" s="30">
        <f>"48740351000408"</f>
        <v/>
      </c>
      <c r="E148" s="30" t="inlineStr">
        <is>
          <t>BRASPRESS TRANSPORTES URGENTES LTDA</t>
        </is>
      </c>
      <c r="F148" s="40" t="n">
        <v>3625.61</v>
      </c>
      <c r="G148" s="40" t="n">
        <v>2558.86</v>
      </c>
      <c r="H148" s="40" t="n">
        <v>486.14</v>
      </c>
      <c r="I148" s="40" t="n">
        <v>105.51</v>
      </c>
      <c r="J148" s="40" t="n">
        <v>0</v>
      </c>
      <c r="K148" s="40" t="n">
        <v>50450.3</v>
      </c>
      <c r="L148" s="40" t="n">
        <v>281141.96</v>
      </c>
    </row>
    <row r="149" ht="12" customHeight="1">
      <c r="A149" s="30" t="inlineStr">
        <is>
          <t>ARE</t>
        </is>
      </c>
      <c r="B149" s="30" t="inlineStr">
        <is>
          <t>Areal</t>
        </is>
      </c>
      <c r="C149" s="30" t="n">
        <v>77734686</v>
      </c>
      <c r="D149" s="30">
        <f>"48740351003008"</f>
        <v/>
      </c>
      <c r="E149" s="30" t="inlineStr">
        <is>
          <t>BRASPRESS TRANSPORTES URGENTES LTDA</t>
        </is>
      </c>
      <c r="F149" s="40" t="n">
        <v>321.75</v>
      </c>
      <c r="G149" s="40" t="n">
        <v>475.92</v>
      </c>
      <c r="H149" s="40" t="n">
        <v>0</v>
      </c>
      <c r="I149" s="40" t="n">
        <v>0</v>
      </c>
      <c r="J149" s="40" t="n">
        <v>0</v>
      </c>
      <c r="K149" s="40" t="n">
        <v>0</v>
      </c>
      <c r="L149" s="40" t="n">
        <v>0</v>
      </c>
    </row>
    <row r="150" ht="12" customHeight="1">
      <c r="A150" s="30" t="inlineStr">
        <is>
          <t>ARE</t>
        </is>
      </c>
      <c r="B150" s="30" t="inlineStr">
        <is>
          <t>Areal</t>
        </is>
      </c>
      <c r="C150" s="30" t="n">
        <v>77768386</v>
      </c>
      <c r="D150" s="30">
        <f>"67901140000373"</f>
        <v/>
      </c>
      <c r="E150" s="30" t="inlineStr">
        <is>
          <t>COTRALTI - COOPERATIVA DE TRANSPORTE E LOGISTICA DO ALTO TIETE</t>
        </is>
      </c>
      <c r="F150" s="40" t="n">
        <v>132.5</v>
      </c>
      <c r="G150" s="40" t="n">
        <v>0</v>
      </c>
      <c r="H150" s="40" t="n">
        <v>0</v>
      </c>
      <c r="I150" s="40" t="n">
        <v>0</v>
      </c>
      <c r="J150" s="40" t="n">
        <v>0</v>
      </c>
      <c r="K150" s="40" t="n">
        <v>0</v>
      </c>
      <c r="L150" s="40" t="n">
        <v>0</v>
      </c>
    </row>
    <row r="151" ht="12" customHeight="1">
      <c r="A151" s="30" t="inlineStr">
        <is>
          <t>ARE</t>
        </is>
      </c>
      <c r="B151" s="30" t="inlineStr">
        <is>
          <t>Areal</t>
        </is>
      </c>
      <c r="C151" s="30" t="n">
        <v>77771930</v>
      </c>
      <c r="D151" s="30">
        <f>"06701081000133"</f>
        <v/>
      </c>
      <c r="E151" s="30" t="inlineStr">
        <is>
          <t>GOLD MILENIO TRANSPORTES LTDA ME</t>
        </is>
      </c>
      <c r="F151" s="40" t="n">
        <v>0</v>
      </c>
      <c r="G151" s="40" t="n">
        <v>0</v>
      </c>
      <c r="H151" s="40" t="n">
        <v>0</v>
      </c>
      <c r="I151" s="40" t="n">
        <v>0</v>
      </c>
      <c r="J151" s="40" t="n">
        <v>200</v>
      </c>
      <c r="K151" s="40" t="n">
        <v>0</v>
      </c>
      <c r="L151" s="40" t="n">
        <v>0</v>
      </c>
    </row>
    <row r="152" ht="12" customHeight="1">
      <c r="A152" s="30" t="inlineStr">
        <is>
          <t>ARE</t>
        </is>
      </c>
      <c r="B152" s="30" t="inlineStr">
        <is>
          <t>Areal</t>
        </is>
      </c>
      <c r="C152" s="30" t="n">
        <v>77785361</v>
      </c>
      <c r="D152" s="30">
        <f>"00972696000380"</f>
        <v/>
      </c>
      <c r="E152" s="30" t="inlineStr">
        <is>
          <t>V M RAMOS &amp; CIA LTDA</t>
        </is>
      </c>
      <c r="F152" s="40" t="n">
        <v>17252.72</v>
      </c>
      <c r="G152" s="40" t="n">
        <v>3862.88</v>
      </c>
      <c r="H152" s="40" t="n">
        <v>3772.77</v>
      </c>
      <c r="I152" s="40" t="n">
        <v>1456.33</v>
      </c>
      <c r="J152" s="40" t="n">
        <v>0</v>
      </c>
      <c r="K152" s="40" t="n">
        <v>0</v>
      </c>
      <c r="L152" s="40" t="n">
        <v>0</v>
      </c>
    </row>
    <row r="153" ht="12" customHeight="1">
      <c r="A153" s="30" t="inlineStr">
        <is>
          <t>ARE</t>
        </is>
      </c>
      <c r="B153" s="30" t="inlineStr">
        <is>
          <t>Areal</t>
        </is>
      </c>
      <c r="C153" s="30" t="n">
        <v>77812814</v>
      </c>
      <c r="D153" s="30">
        <f>"06371265000182"</f>
        <v/>
      </c>
      <c r="E153" s="30" t="inlineStr">
        <is>
          <t>MP 2019 TRANSPORTES LTDA</t>
        </is>
      </c>
      <c r="F153" s="40" t="n">
        <v>0</v>
      </c>
      <c r="G153" s="40" t="n">
        <v>0</v>
      </c>
      <c r="H153" s="40" t="n">
        <v>0</v>
      </c>
      <c r="I153" s="40" t="n">
        <v>0</v>
      </c>
      <c r="J153" s="40" t="n">
        <v>553.7</v>
      </c>
      <c r="K153" s="40" t="n">
        <v>0</v>
      </c>
      <c r="L153" s="40" t="n">
        <v>0</v>
      </c>
    </row>
    <row r="154" ht="12" customHeight="1">
      <c r="A154" s="30" t="inlineStr">
        <is>
          <t>ARE</t>
        </is>
      </c>
      <c r="B154" s="30" t="inlineStr">
        <is>
          <t>Areal</t>
        </is>
      </c>
      <c r="C154" s="30" t="n">
        <v>77836349</v>
      </c>
      <c r="D154" s="30">
        <f>"03708458000279"</f>
        <v/>
      </c>
      <c r="E154" s="30" t="inlineStr">
        <is>
          <t>REDIVIX TRANSPORTES LTDA</t>
        </is>
      </c>
      <c r="F154" s="40" t="n">
        <v>0</v>
      </c>
      <c r="G154" s="40" t="n">
        <v>0</v>
      </c>
      <c r="H154" s="40" t="n">
        <v>0</v>
      </c>
      <c r="I154" s="40" t="n">
        <v>104.04</v>
      </c>
      <c r="J154" s="40" t="n">
        <v>157.04</v>
      </c>
      <c r="K154" s="40" t="n">
        <v>0</v>
      </c>
      <c r="L154" s="40" t="n">
        <v>0</v>
      </c>
    </row>
    <row r="155" ht="12" customHeight="1">
      <c r="A155" s="30" t="inlineStr">
        <is>
          <t>ARE</t>
        </is>
      </c>
      <c r="B155" s="30" t="inlineStr">
        <is>
          <t>Areal</t>
        </is>
      </c>
      <c r="C155" s="30" t="n">
        <v>77866612</v>
      </c>
      <c r="D155" s="30">
        <f>"07217922000102"</f>
        <v/>
      </c>
      <c r="E155" s="30" t="inlineStr">
        <is>
          <t>COOP TRESUL COOPERATIVA DE PROPRIETARIOS DE VANS DE TRES RIOS E PARAIBA DO SUL</t>
        </is>
      </c>
      <c r="F155" s="40" t="n">
        <v>300</v>
      </c>
      <c r="G155" s="40" t="n">
        <v>120</v>
      </c>
      <c r="H155" s="40" t="n">
        <v>0</v>
      </c>
      <c r="I155" s="40" t="n">
        <v>0</v>
      </c>
      <c r="J155" s="40" t="n">
        <v>0</v>
      </c>
      <c r="K155" s="40" t="n">
        <v>0</v>
      </c>
      <c r="L155" s="40" t="n">
        <v>0</v>
      </c>
    </row>
    <row r="156" ht="12" customHeight="1">
      <c r="A156" s="30" t="inlineStr">
        <is>
          <t>ARE</t>
        </is>
      </c>
      <c r="B156" s="30" t="inlineStr">
        <is>
          <t>Areal</t>
        </is>
      </c>
      <c r="C156" s="30" t="n">
        <v>77876987</v>
      </c>
      <c r="D156" s="30">
        <f>"07211685000164"</f>
        <v/>
      </c>
      <c r="E156" s="30" t="inlineStr">
        <is>
          <t>DISPLAY DISTRIBUIDORA DE PRODUTOS ALIMENTICIOS LTDA ME</t>
        </is>
      </c>
      <c r="F156" s="40" t="n">
        <v>0</v>
      </c>
      <c r="G156" s="40" t="n">
        <v>0</v>
      </c>
      <c r="H156" s="40" t="n">
        <v>0</v>
      </c>
      <c r="I156" s="40" t="n">
        <v>0</v>
      </c>
      <c r="J156" s="40" t="n">
        <v>0</v>
      </c>
      <c r="K156" s="40" t="n">
        <v>0</v>
      </c>
      <c r="L156" s="40" t="n">
        <v>1100281.66</v>
      </c>
    </row>
    <row r="157" ht="12" customHeight="1">
      <c r="A157" s="30" t="inlineStr">
        <is>
          <t>ARE</t>
        </is>
      </c>
      <c r="B157" s="30" t="inlineStr">
        <is>
          <t>Areal</t>
        </is>
      </c>
      <c r="C157" s="30" t="n">
        <v>77908854</v>
      </c>
      <c r="D157" s="30">
        <f>"05017780002573"</f>
        <v/>
      </c>
      <c r="E157" s="30" t="inlineStr">
        <is>
          <t>RIO BRANCO ALIMENTOS SA</t>
        </is>
      </c>
      <c r="F157" s="40" t="n">
        <v>0</v>
      </c>
      <c r="G157" s="40" t="n">
        <v>0</v>
      </c>
      <c r="H157" s="40" t="n">
        <v>0</v>
      </c>
      <c r="I157" s="40" t="n">
        <v>2620.12</v>
      </c>
      <c r="J157" s="40" t="n">
        <v>0</v>
      </c>
      <c r="K157" s="40" t="n">
        <v>55399.62</v>
      </c>
      <c r="L157" s="40" t="n">
        <v>0</v>
      </c>
    </row>
    <row r="158" ht="12" customHeight="1">
      <c r="A158" s="30" t="inlineStr">
        <is>
          <t>ARE</t>
        </is>
      </c>
      <c r="B158" s="30" t="inlineStr">
        <is>
          <t>Areal</t>
        </is>
      </c>
      <c r="C158" s="30" t="n">
        <v>77909028</v>
      </c>
      <c r="D158" s="30">
        <f>"03558055001009"</f>
        <v/>
      </c>
      <c r="E158" s="30" t="inlineStr">
        <is>
          <t>INTERMODAL BRASIL LOGISTICA LTDA</t>
        </is>
      </c>
      <c r="F158" s="40" t="n">
        <v>0</v>
      </c>
      <c r="G158" s="40" t="n">
        <v>0</v>
      </c>
      <c r="H158" s="40" t="n">
        <v>0</v>
      </c>
      <c r="I158" s="40" t="n">
        <v>0</v>
      </c>
      <c r="J158" s="40" t="n">
        <v>0</v>
      </c>
      <c r="K158" s="40" t="n">
        <v>0.26</v>
      </c>
      <c r="L158" s="40" t="n">
        <v>0</v>
      </c>
    </row>
    <row r="159" ht="12" customHeight="1">
      <c r="A159" s="30" t="inlineStr">
        <is>
          <t>ARE</t>
        </is>
      </c>
      <c r="B159" s="30" t="inlineStr">
        <is>
          <t>Areal</t>
        </is>
      </c>
      <c r="C159" s="30" t="n">
        <v>78002840</v>
      </c>
      <c r="D159" s="30">
        <f>"40432544006269"</f>
        <v/>
      </c>
      <c r="E159" s="30" t="inlineStr">
        <is>
          <t>CLARO S/A</t>
        </is>
      </c>
      <c r="F159" s="40" t="n">
        <v>4172708.04</v>
      </c>
      <c r="G159" s="40" t="n">
        <v>3753808.08</v>
      </c>
      <c r="H159" s="40" t="n">
        <v>3542250.55</v>
      </c>
      <c r="I159" s="40" t="n">
        <v>3579521.36</v>
      </c>
      <c r="J159" s="40" t="n">
        <v>2973802.18</v>
      </c>
      <c r="K159" s="40" t="n">
        <v>1835284.36</v>
      </c>
      <c r="L159" s="40" t="n">
        <v>1862344.61</v>
      </c>
    </row>
    <row r="160" ht="12" customHeight="1">
      <c r="A160" s="30" t="inlineStr">
        <is>
          <t>ARE</t>
        </is>
      </c>
      <c r="B160" s="30" t="inlineStr">
        <is>
          <t>Areal</t>
        </is>
      </c>
      <c r="C160" s="30" t="n">
        <v>78015144</v>
      </c>
      <c r="D160" s="30">
        <f>"07694182000197"</f>
        <v/>
      </c>
      <c r="E160" s="30" t="inlineStr">
        <is>
          <t>BAR E RESTAURANTE QUARENTAO LTDA</t>
        </is>
      </c>
      <c r="F160" s="40" t="n">
        <v>0</v>
      </c>
      <c r="G160" s="40" t="n">
        <v>0</v>
      </c>
      <c r="H160" s="40" t="n">
        <v>0</v>
      </c>
      <c r="I160" s="40" t="n">
        <v>0</v>
      </c>
      <c r="J160" s="40" t="n">
        <v>0</v>
      </c>
      <c r="K160" s="40" t="n">
        <v>0</v>
      </c>
      <c r="L160" s="40" t="n">
        <v>0</v>
      </c>
    </row>
    <row r="161" ht="12" customHeight="1">
      <c r="A161" s="30" t="inlineStr">
        <is>
          <t>ARE</t>
        </is>
      </c>
      <c r="B161" s="30" t="inlineStr">
        <is>
          <t>Areal</t>
        </is>
      </c>
      <c r="C161" s="30" t="n">
        <v>78027703</v>
      </c>
      <c r="D161" s="30">
        <f>"07715126000191"</f>
        <v/>
      </c>
      <c r="E161" s="30" t="inlineStr">
        <is>
          <t>YOUX COMERCIO INTERNACIONAL LTDA ME</t>
        </is>
      </c>
      <c r="F161" s="40" t="n">
        <v>0</v>
      </c>
      <c r="G161" s="40" t="n">
        <v>0</v>
      </c>
      <c r="H161" s="40" t="n">
        <v>0</v>
      </c>
      <c r="I161" s="40" t="n">
        <v>0</v>
      </c>
      <c r="J161" s="40" t="n">
        <v>0</v>
      </c>
      <c r="K161" s="40" t="n">
        <v>0</v>
      </c>
      <c r="L161" s="40" t="n">
        <v>0</v>
      </c>
    </row>
    <row r="162" ht="12" customHeight="1">
      <c r="A162" s="30" t="inlineStr">
        <is>
          <t>ARE</t>
        </is>
      </c>
      <c r="B162" s="30" t="inlineStr">
        <is>
          <t>Areal</t>
        </is>
      </c>
      <c r="C162" s="30" t="n">
        <v>78030844</v>
      </c>
      <c r="D162" s="30">
        <f>"07714104000107"</f>
        <v/>
      </c>
      <c r="E162" s="30" t="inlineStr">
        <is>
          <t>VM OPENLINK COMUNICAÇÃO MULTIMIDIA S.A.</t>
        </is>
      </c>
      <c r="F162" s="40" t="n">
        <v>241749.22</v>
      </c>
      <c r="G162" s="40" t="n">
        <v>65483.66</v>
      </c>
      <c r="H162" s="40" t="n">
        <v>394.09</v>
      </c>
      <c r="I162" s="40" t="n">
        <v>5637.43</v>
      </c>
      <c r="J162" s="40" t="n">
        <v>3161.08</v>
      </c>
      <c r="K162" s="40" t="n">
        <v>1528.03</v>
      </c>
      <c r="L162" s="40" t="n">
        <v>636.28</v>
      </c>
    </row>
    <row r="163" ht="12" customHeight="1">
      <c r="A163" s="30" t="inlineStr">
        <is>
          <t>ARE</t>
        </is>
      </c>
      <c r="B163" s="30" t="inlineStr">
        <is>
          <t>Areal</t>
        </is>
      </c>
      <c r="C163" s="30" t="n">
        <v>78069325</v>
      </c>
      <c r="D163" s="30">
        <f>"07322807000190"</f>
        <v/>
      </c>
      <c r="E163" s="30" t="inlineStr">
        <is>
          <t>BIRD GOLDEN COMERCIO DE AVES LTDA</t>
        </is>
      </c>
      <c r="F163" s="40" t="n">
        <v>0</v>
      </c>
      <c r="G163" s="40" t="n">
        <v>0</v>
      </c>
      <c r="H163" s="40" t="n">
        <v>0</v>
      </c>
      <c r="I163" s="40" t="n">
        <v>0</v>
      </c>
      <c r="J163" s="40" t="n">
        <v>0</v>
      </c>
      <c r="K163" s="40" t="n">
        <v>0</v>
      </c>
      <c r="L163" s="40" t="n">
        <v>0</v>
      </c>
    </row>
    <row r="164" ht="12" customHeight="1">
      <c r="A164" s="30" t="inlineStr">
        <is>
          <t>ARE</t>
        </is>
      </c>
      <c r="B164" s="30" t="inlineStr">
        <is>
          <t>Areal</t>
        </is>
      </c>
      <c r="C164" s="30" t="n">
        <v>78107944</v>
      </c>
      <c r="D164" s="30">
        <f>"04425426000229"</f>
        <v/>
      </c>
      <c r="E164" s="30" t="inlineStr">
        <is>
          <t>RADIO E TELEVISAO MODELO PAULISTA</t>
        </is>
      </c>
      <c r="F164" s="40" t="n">
        <v>1863.99</v>
      </c>
      <c r="G164" s="40" t="n">
        <v>1750.56</v>
      </c>
      <c r="H164" s="40" t="n">
        <v>1753.29</v>
      </c>
      <c r="I164" s="40" t="n">
        <v>1965.1</v>
      </c>
      <c r="J164" s="40" t="n">
        <v>2718.98</v>
      </c>
      <c r="K164" s="40" t="n">
        <v>3015.15</v>
      </c>
      <c r="L164" s="40" t="n">
        <v>5062.99</v>
      </c>
    </row>
    <row r="165" ht="12" customHeight="1">
      <c r="A165" s="30" t="inlineStr">
        <is>
          <t>ARE</t>
        </is>
      </c>
      <c r="B165" s="30" t="inlineStr">
        <is>
          <t>Areal</t>
        </is>
      </c>
      <c r="C165" s="30" t="n">
        <v>78145153</v>
      </c>
      <c r="D165" s="30">
        <f>"08004247000198"</f>
        <v/>
      </c>
      <c r="E165" s="30" t="inlineStr">
        <is>
          <t>PENA &amp; MENEGHITTI 2006 TRANSPORTES LTDA EPP</t>
        </is>
      </c>
      <c r="F165" s="40" t="n">
        <v>0</v>
      </c>
      <c r="G165" s="40" t="n">
        <v>0</v>
      </c>
      <c r="H165" s="40" t="n">
        <v>0</v>
      </c>
      <c r="I165" s="40" t="n">
        <v>0</v>
      </c>
      <c r="J165" s="40" t="n">
        <v>25.44</v>
      </c>
      <c r="K165" s="40" t="n">
        <v>0</v>
      </c>
      <c r="L165" s="40" t="n">
        <v>86.13</v>
      </c>
    </row>
    <row r="166" ht="12" customHeight="1">
      <c r="A166" s="30" t="inlineStr">
        <is>
          <t>ARE</t>
        </is>
      </c>
      <c r="B166" s="30" t="inlineStr">
        <is>
          <t>Areal</t>
        </is>
      </c>
      <c r="C166" s="30" t="n">
        <v>78148640</v>
      </c>
      <c r="D166" s="30">
        <f>"07642982000164"</f>
        <v/>
      </c>
      <c r="E166" s="30" t="inlineStr">
        <is>
          <t>QUANTA GERACAO S/A</t>
        </is>
      </c>
      <c r="F166" s="40" t="n">
        <v>11486769.93</v>
      </c>
      <c r="G166" s="40" t="n">
        <v>14212457.11</v>
      </c>
      <c r="H166" s="40" t="n">
        <v>2289663.88</v>
      </c>
      <c r="I166" s="40" t="n">
        <v>79976668.5</v>
      </c>
      <c r="J166" s="40" t="n">
        <v>74636800.20999999</v>
      </c>
      <c r="K166" s="40" t="n">
        <v>68169566.65000001</v>
      </c>
      <c r="L166" s="40" t="n">
        <v>55164379.35</v>
      </c>
    </row>
    <row r="167" ht="12" customHeight="1">
      <c r="A167" s="30" t="inlineStr">
        <is>
          <t>ARE</t>
        </is>
      </c>
      <c r="B167" s="30" t="inlineStr">
        <is>
          <t>Areal</t>
        </is>
      </c>
      <c r="C167" s="30" t="n">
        <v>78156090</v>
      </c>
      <c r="D167" s="30">
        <f>"08239521000108"</f>
        <v/>
      </c>
      <c r="E167" s="30" t="inlineStr">
        <is>
          <t>QUATRO IRMAOS SERVICOS DE TRANSPORTES LTDA EPP</t>
        </is>
      </c>
      <c r="F167" s="40" t="n">
        <v>0</v>
      </c>
      <c r="G167" s="40" t="n">
        <v>0</v>
      </c>
      <c r="H167" s="40" t="n">
        <v>0</v>
      </c>
      <c r="I167" s="40" t="n">
        <v>0</v>
      </c>
      <c r="J167" s="40" t="n">
        <v>0</v>
      </c>
      <c r="K167" s="40" t="n">
        <v>0</v>
      </c>
      <c r="L167" s="40" t="n">
        <v>48.88</v>
      </c>
    </row>
    <row r="168" ht="12" customHeight="1">
      <c r="A168" s="30" t="inlineStr">
        <is>
          <t>ARE</t>
        </is>
      </c>
      <c r="B168" s="30" t="inlineStr">
        <is>
          <t>Areal</t>
        </is>
      </c>
      <c r="C168" s="30" t="n">
        <v>78156872</v>
      </c>
      <c r="D168" s="30">
        <f>"73939449000940"</f>
        <v/>
      </c>
      <c r="E168" s="30" t="inlineStr">
        <is>
          <t>TEX COURIER LTDA EM RECUPERACAO JUDICIAL</t>
        </is>
      </c>
      <c r="F168" s="40" t="n">
        <v>0</v>
      </c>
      <c r="G168" s="40" t="n">
        <v>0</v>
      </c>
      <c r="H168" s="40" t="n">
        <v>0</v>
      </c>
      <c r="I168" s="40" t="n">
        <v>0</v>
      </c>
      <c r="J168" s="40" t="n">
        <v>717.99</v>
      </c>
      <c r="K168" s="40" t="n">
        <v>0</v>
      </c>
      <c r="L168" s="40" t="n">
        <v>0</v>
      </c>
    </row>
    <row r="169" ht="12" customHeight="1">
      <c r="A169" s="30" t="inlineStr">
        <is>
          <t>ARE</t>
        </is>
      </c>
      <c r="B169" s="30" t="inlineStr">
        <is>
          <t>Areal</t>
        </is>
      </c>
      <c r="C169" s="30" t="n">
        <v>78252596</v>
      </c>
      <c r="D169" s="30">
        <f>"01497047000175"</f>
        <v/>
      </c>
      <c r="E169" s="30" t="inlineStr">
        <is>
          <t>PASTELARIA E LANCHES DE AREAL LTDA ME</t>
        </is>
      </c>
      <c r="F169" s="40" t="n">
        <v>0</v>
      </c>
      <c r="G169" s="40" t="n">
        <v>0</v>
      </c>
      <c r="H169" s="40" t="n">
        <v>0</v>
      </c>
      <c r="I169" s="40" t="n">
        <v>0</v>
      </c>
      <c r="J169" s="40" t="n">
        <v>0</v>
      </c>
      <c r="K169" s="40" t="n">
        <v>0</v>
      </c>
      <c r="L169" s="40" t="n">
        <v>0</v>
      </c>
    </row>
    <row r="170" ht="12" customHeight="1">
      <c r="A170" s="30" t="inlineStr">
        <is>
          <t>ARE</t>
        </is>
      </c>
      <c r="B170" s="30" t="inlineStr">
        <is>
          <t>Areal</t>
        </is>
      </c>
      <c r="C170" s="30" t="n">
        <v>78258950</v>
      </c>
      <c r="D170" s="30">
        <f>"08219203000690"</f>
        <v/>
      </c>
      <c r="E170" s="30" t="inlineStr">
        <is>
          <t>DIRECIONAL TRANSPORTE E LOGISTICA S A</t>
        </is>
      </c>
      <c r="F170" s="40" t="n">
        <v>0</v>
      </c>
      <c r="G170" s="40" t="n">
        <v>0</v>
      </c>
      <c r="H170" s="40" t="n">
        <v>0</v>
      </c>
      <c r="I170" s="40" t="n">
        <v>0</v>
      </c>
      <c r="J170" s="40" t="n">
        <v>1569.18</v>
      </c>
      <c r="K170" s="40" t="n">
        <v>0</v>
      </c>
      <c r="L170" s="40" t="n">
        <v>0</v>
      </c>
    </row>
    <row r="171" ht="12" customHeight="1">
      <c r="A171" s="30" t="inlineStr">
        <is>
          <t>ARE</t>
        </is>
      </c>
      <c r="B171" s="30" t="inlineStr">
        <is>
          <t>Areal</t>
        </is>
      </c>
      <c r="C171" s="30" t="n">
        <v>78275650</v>
      </c>
      <c r="D171" s="30">
        <f>"07625852000113"</f>
        <v/>
      </c>
      <c r="E171" s="30" t="inlineStr">
        <is>
          <t>TELEXPERTS TELECOMUNICACOES LTDA</t>
        </is>
      </c>
      <c r="F171" s="40" t="n">
        <v>0</v>
      </c>
      <c r="G171" s="40" t="n">
        <v>0</v>
      </c>
      <c r="H171" s="40" t="n">
        <v>0</v>
      </c>
      <c r="I171" s="40" t="n">
        <v>0</v>
      </c>
      <c r="J171" s="40" t="n">
        <v>1008</v>
      </c>
      <c r="K171" s="40" t="n">
        <v>8249.83</v>
      </c>
      <c r="L171" s="40" t="n">
        <v>7220.35</v>
      </c>
    </row>
    <row r="172" ht="12" customHeight="1">
      <c r="A172" s="30" t="inlineStr">
        <is>
          <t>ARE</t>
        </is>
      </c>
      <c r="B172" s="30" t="inlineStr">
        <is>
          <t>Areal</t>
        </is>
      </c>
      <c r="C172" s="30" t="n">
        <v>78284242</v>
      </c>
      <c r="D172" s="30">
        <f>"93949899000336"</f>
        <v/>
      </c>
      <c r="E172" s="30" t="inlineStr">
        <is>
          <t>VENETOSUL TRANSPORTES LTDA</t>
        </is>
      </c>
      <c r="F172" s="40" t="n">
        <v>0</v>
      </c>
      <c r="G172" s="40" t="n">
        <v>136.82</v>
      </c>
      <c r="H172" s="40" t="n">
        <v>0</v>
      </c>
      <c r="I172" s="40" t="n">
        <v>0</v>
      </c>
      <c r="J172" s="40" t="n">
        <v>0</v>
      </c>
      <c r="K172" s="40" t="n">
        <v>0</v>
      </c>
      <c r="L172" s="40" t="n">
        <v>0</v>
      </c>
    </row>
    <row r="173" ht="12" customHeight="1">
      <c r="A173" s="30" t="inlineStr">
        <is>
          <t>ARE</t>
        </is>
      </c>
      <c r="B173" s="30" t="inlineStr">
        <is>
          <t>Areal</t>
        </is>
      </c>
      <c r="C173" s="30" t="n">
        <v>78290188</v>
      </c>
      <c r="D173" s="30">
        <f>"01009876000242"</f>
        <v/>
      </c>
      <c r="E173" s="30" t="inlineStr">
        <is>
          <t>FALKLAND TECNOLOGIA EM TELECOMUNICACOES S/A</t>
        </is>
      </c>
      <c r="F173" s="40" t="n">
        <v>8303.76</v>
      </c>
      <c r="G173" s="40" t="n">
        <v>8671.26</v>
      </c>
      <c r="H173" s="40" t="n">
        <v>1403.96</v>
      </c>
      <c r="I173" s="40" t="n">
        <v>120.27</v>
      </c>
      <c r="J173" s="40" t="n">
        <v>0</v>
      </c>
      <c r="K173" s="40" t="n">
        <v>0</v>
      </c>
      <c r="L173" s="40" t="n">
        <v>0</v>
      </c>
    </row>
    <row r="174" ht="12" customHeight="1">
      <c r="A174" s="30" t="inlineStr">
        <is>
          <t>ARE</t>
        </is>
      </c>
      <c r="B174" s="30" t="inlineStr">
        <is>
          <t>Areal</t>
        </is>
      </c>
      <c r="C174" s="30" t="n">
        <v>78318554</v>
      </c>
      <c r="D174" s="30">
        <f>"07642982000750"</f>
        <v/>
      </c>
      <c r="E174" s="30" t="inlineStr">
        <is>
          <t>QUANTA GERACAO S/A</t>
        </is>
      </c>
      <c r="F174" s="40" t="n">
        <v>13356548.23</v>
      </c>
      <c r="G174" s="40" t="n">
        <v>12421537.46</v>
      </c>
      <c r="H174" s="40" t="n">
        <v>8778476.560000001</v>
      </c>
      <c r="I174" s="40" t="n">
        <v>10019442.08</v>
      </c>
      <c r="J174" s="40" t="n">
        <v>11111503.85</v>
      </c>
      <c r="K174" s="40" t="n">
        <v>3813038.58</v>
      </c>
      <c r="L174" s="40" t="n">
        <v>0.01</v>
      </c>
    </row>
    <row r="175" ht="12" customHeight="1">
      <c r="A175" s="30" t="inlineStr">
        <is>
          <t>ARE</t>
        </is>
      </c>
      <c r="B175" s="30" t="inlineStr">
        <is>
          <t>Areal</t>
        </is>
      </c>
      <c r="C175" s="30" t="n">
        <v>78344261</v>
      </c>
      <c r="D175" s="30">
        <f>"08165642000233"</f>
        <v/>
      </c>
      <c r="E175" s="30" t="inlineStr">
        <is>
          <t>GAT LOGISTICAS LTDA</t>
        </is>
      </c>
      <c r="F175" s="40" t="n">
        <v>54.74</v>
      </c>
      <c r="G175" s="40" t="n">
        <v>0</v>
      </c>
      <c r="H175" s="40" t="n">
        <v>0</v>
      </c>
      <c r="I175" s="40" t="n">
        <v>0</v>
      </c>
      <c r="J175" s="40" t="n">
        <v>0</v>
      </c>
      <c r="K175" s="40" t="n">
        <v>12.94</v>
      </c>
      <c r="L175" s="40" t="n">
        <v>0</v>
      </c>
    </row>
    <row r="176" ht="12" customHeight="1">
      <c r="A176" s="30" t="inlineStr">
        <is>
          <t>ARE</t>
        </is>
      </c>
      <c r="B176" s="30" t="inlineStr">
        <is>
          <t>Areal</t>
        </is>
      </c>
      <c r="C176" s="30" t="n">
        <v>78349301</v>
      </c>
      <c r="D176" s="30">
        <f>"06979577000416"</f>
        <v/>
      </c>
      <c r="E176" s="30" t="inlineStr">
        <is>
          <t>JC THEDIN TRANSPORTES LTDA</t>
        </is>
      </c>
      <c r="F176" s="40" t="n">
        <v>0</v>
      </c>
      <c r="G176" s="40" t="n">
        <v>0</v>
      </c>
      <c r="H176" s="40" t="n">
        <v>0</v>
      </c>
      <c r="I176" s="40" t="n">
        <v>70</v>
      </c>
      <c r="J176" s="40" t="n">
        <v>0</v>
      </c>
      <c r="K176" s="40" t="n">
        <v>0</v>
      </c>
      <c r="L176" s="40" t="n">
        <v>0</v>
      </c>
    </row>
    <row r="177" ht="12" customHeight="1">
      <c r="A177" s="30" t="inlineStr">
        <is>
          <t>ARE</t>
        </is>
      </c>
      <c r="B177" s="30" t="inlineStr">
        <is>
          <t>Areal</t>
        </is>
      </c>
      <c r="C177" s="30" t="n">
        <v>78361336</v>
      </c>
      <c r="D177" s="30">
        <f>"08860184000414"</f>
        <v/>
      </c>
      <c r="E177" s="30" t="inlineStr">
        <is>
          <t>AGUIA BRANCA ENCOMENDAS</t>
        </is>
      </c>
      <c r="F177" s="40" t="n">
        <v>0</v>
      </c>
      <c r="G177" s="40" t="n">
        <v>0</v>
      </c>
      <c r="H177" s="40" t="n">
        <v>0</v>
      </c>
      <c r="I177" s="40" t="n">
        <v>0</v>
      </c>
      <c r="J177" s="40" t="n">
        <v>0</v>
      </c>
      <c r="K177" s="40" t="n">
        <v>0</v>
      </c>
      <c r="L177" s="40" t="n">
        <v>247</v>
      </c>
    </row>
    <row r="178" ht="12" customHeight="1">
      <c r="A178" s="30" t="inlineStr">
        <is>
          <t>ARE</t>
        </is>
      </c>
      <c r="B178" s="30" t="inlineStr">
        <is>
          <t>Areal</t>
        </is>
      </c>
      <c r="C178" s="30" t="n">
        <v>78373571</v>
      </c>
      <c r="D178" s="30">
        <f>"09059609000100"</f>
        <v/>
      </c>
      <c r="E178" s="30" t="inlineStr">
        <is>
          <t>MM TRANSPORTES LOGISTICA E ARMAZENS LTDA ME</t>
        </is>
      </c>
      <c r="F178" s="40" t="n">
        <v>0</v>
      </c>
      <c r="G178" s="40" t="n">
        <v>0</v>
      </c>
      <c r="H178" s="40" t="n">
        <v>0</v>
      </c>
      <c r="I178" s="40" t="n">
        <v>0</v>
      </c>
      <c r="J178" s="40" t="n">
        <v>0</v>
      </c>
      <c r="K178" s="40" t="n">
        <v>0</v>
      </c>
      <c r="L178" s="40" t="n">
        <v>1496.44</v>
      </c>
    </row>
    <row r="179" ht="12" customHeight="1">
      <c r="A179" s="30" t="inlineStr">
        <is>
          <t>ARE</t>
        </is>
      </c>
      <c r="B179" s="30" t="inlineStr">
        <is>
          <t>Areal</t>
        </is>
      </c>
      <c r="C179" s="30" t="n">
        <v>78387548</v>
      </c>
      <c r="D179" s="30">
        <f>"09132659000176"</f>
        <v/>
      </c>
      <c r="E179" s="30" t="inlineStr">
        <is>
          <t>EMBRATEL TVSAT TELECOMUNICACOES S A</t>
        </is>
      </c>
      <c r="F179" s="40" t="n">
        <v>251551.6</v>
      </c>
      <c r="G179" s="40" t="n">
        <v>196947.3</v>
      </c>
      <c r="H179" s="40" t="n">
        <v>178800.75</v>
      </c>
      <c r="I179" s="40" t="n">
        <v>129621.37</v>
      </c>
      <c r="J179" s="40" t="n">
        <v>102391.74</v>
      </c>
      <c r="K179" s="40" t="n">
        <v>82333.67</v>
      </c>
      <c r="L179" s="40" t="n">
        <v>67323.53999999999</v>
      </c>
    </row>
    <row r="180" ht="12" customHeight="1">
      <c r="A180" s="30" t="inlineStr">
        <is>
          <t>ARE</t>
        </is>
      </c>
      <c r="B180" s="30" t="inlineStr">
        <is>
          <t>Areal</t>
        </is>
      </c>
      <c r="C180" s="30" t="n">
        <v>78402687</v>
      </c>
      <c r="D180" s="30">
        <f>"04884082000640"</f>
        <v/>
      </c>
      <c r="E180" s="30" t="inlineStr">
        <is>
          <t>JADLOG LOGISTICA S.A.</t>
        </is>
      </c>
      <c r="F180" s="40" t="n">
        <v>0</v>
      </c>
      <c r="G180" s="40" t="n">
        <v>5937.76</v>
      </c>
      <c r="H180" s="40" t="n">
        <v>15992.31</v>
      </c>
      <c r="I180" s="40" t="n">
        <v>0</v>
      </c>
      <c r="J180" s="40" t="n">
        <v>0</v>
      </c>
      <c r="K180" s="40" t="n">
        <v>14864.65</v>
      </c>
      <c r="L180" s="40" t="n">
        <v>8131.78</v>
      </c>
    </row>
    <row r="181" ht="12" customHeight="1">
      <c r="A181" s="30" t="inlineStr">
        <is>
          <t>ARE</t>
        </is>
      </c>
      <c r="B181" s="30" t="inlineStr">
        <is>
          <t>Areal</t>
        </is>
      </c>
      <c r="C181" s="30" t="n">
        <v>78419709</v>
      </c>
      <c r="D181" s="30">
        <f>"09229680000194"</f>
        <v/>
      </c>
      <c r="E181" s="30" t="inlineStr">
        <is>
          <t>MONTEIRO &amp; NASCIMENTO TRANSPORTADORA LTDA EPP</t>
        </is>
      </c>
      <c r="F181" s="40" t="n">
        <v>0</v>
      </c>
      <c r="G181" s="40" t="n">
        <v>0</v>
      </c>
      <c r="H181" s="40" t="n">
        <v>0</v>
      </c>
      <c r="I181" s="40" t="n">
        <v>192.69</v>
      </c>
      <c r="J181" s="40" t="n">
        <v>0</v>
      </c>
      <c r="K181" s="40" t="n">
        <v>0</v>
      </c>
      <c r="L181" s="40" t="n">
        <v>0</v>
      </c>
    </row>
    <row r="182" ht="12" customHeight="1">
      <c r="A182" s="30" t="inlineStr">
        <is>
          <t>ARE</t>
        </is>
      </c>
      <c r="B182" s="30" t="inlineStr">
        <is>
          <t>Areal</t>
        </is>
      </c>
      <c r="C182" s="30" t="n">
        <v>78448920</v>
      </c>
      <c r="D182" s="30">
        <f>"09087539000102"</f>
        <v/>
      </c>
      <c r="E182" s="30" t="inlineStr">
        <is>
          <t>MARCIO M PEREIRA SERVICOS DE ELETROMECANICA ME VEICULOS AUTOMOTO</t>
        </is>
      </c>
      <c r="F182" s="40" t="n">
        <v>0</v>
      </c>
      <c r="G182" s="40" t="n">
        <v>0</v>
      </c>
      <c r="H182" s="40" t="n">
        <v>0</v>
      </c>
      <c r="I182" s="40" t="n">
        <v>0</v>
      </c>
      <c r="J182" s="40" t="n">
        <v>0</v>
      </c>
      <c r="K182" s="40" t="n">
        <v>0</v>
      </c>
      <c r="L182" s="40" t="n">
        <v>0</v>
      </c>
    </row>
    <row r="183" ht="12" customHeight="1">
      <c r="A183" s="30" t="inlineStr">
        <is>
          <t>ARE</t>
        </is>
      </c>
      <c r="B183" s="30" t="inlineStr">
        <is>
          <t>Areal</t>
        </is>
      </c>
      <c r="C183" s="30" t="n">
        <v>78489995</v>
      </c>
      <c r="D183" s="30">
        <f>"21570775000334"</f>
        <v/>
      </c>
      <c r="E183" s="30" t="inlineStr">
        <is>
          <t>PICORELLI S/A TRANSPORTES</t>
        </is>
      </c>
      <c r="F183" s="40" t="n">
        <v>64085.34</v>
      </c>
      <c r="G183" s="40" t="n">
        <v>113489.35</v>
      </c>
      <c r="H183" s="40" t="n">
        <v>204831.81</v>
      </c>
      <c r="I183" s="40" t="n">
        <v>138064.49</v>
      </c>
      <c r="J183" s="40" t="n">
        <v>108817.09</v>
      </c>
      <c r="K183" s="40" t="n">
        <v>45413.19</v>
      </c>
      <c r="L183" s="40" t="n">
        <v>23359.2</v>
      </c>
    </row>
    <row r="184" ht="12" customHeight="1">
      <c r="A184" s="30" t="inlineStr">
        <is>
          <t>ARE</t>
        </is>
      </c>
      <c r="B184" s="30" t="inlineStr">
        <is>
          <t>Areal</t>
        </is>
      </c>
      <c r="C184" s="30" t="n">
        <v>78494506</v>
      </c>
      <c r="D184" s="30">
        <f>"00634453000846"</f>
        <v/>
      </c>
      <c r="E184" s="30" t="inlineStr">
        <is>
          <t>T S V TRANSPORTES RAPIDOS LTDA</t>
        </is>
      </c>
      <c r="F184" s="40" t="n">
        <v>0</v>
      </c>
      <c r="G184" s="40" t="n">
        <v>0</v>
      </c>
      <c r="H184" s="40" t="n">
        <v>0</v>
      </c>
      <c r="I184" s="40" t="n">
        <v>90.90000000000001</v>
      </c>
      <c r="J184" s="40" t="n">
        <v>0</v>
      </c>
      <c r="K184" s="40" t="n">
        <v>365.56</v>
      </c>
      <c r="L184" s="40" t="n">
        <v>151.52</v>
      </c>
    </row>
    <row r="185" ht="12" customHeight="1">
      <c r="A185" s="30" t="inlineStr">
        <is>
          <t>ARE</t>
        </is>
      </c>
      <c r="B185" s="30" t="inlineStr">
        <is>
          <t>Areal</t>
        </is>
      </c>
      <c r="C185" s="30" t="n">
        <v>78498560</v>
      </c>
      <c r="D185" s="30">
        <f>"01107327000553"</f>
        <v/>
      </c>
      <c r="E185" s="30" t="inlineStr">
        <is>
          <t>BBM LOGISTICA SA</t>
        </is>
      </c>
      <c r="F185" s="40" t="n">
        <v>0</v>
      </c>
      <c r="G185" s="40" t="n">
        <v>2858.16</v>
      </c>
      <c r="H185" s="40" t="n">
        <v>2859.63</v>
      </c>
      <c r="I185" s="40" t="n">
        <v>1213.61</v>
      </c>
      <c r="J185" s="40" t="n">
        <v>2713.11</v>
      </c>
      <c r="K185" s="40" t="n">
        <v>1910.11</v>
      </c>
      <c r="L185" s="40" t="n">
        <v>1945.06</v>
      </c>
    </row>
    <row r="186" ht="12" customHeight="1">
      <c r="A186" s="30" t="inlineStr">
        <is>
          <t>ARE</t>
        </is>
      </c>
      <c r="B186" s="30" t="inlineStr">
        <is>
          <t>Areal</t>
        </is>
      </c>
      <c r="C186" s="30" t="n">
        <v>78604077</v>
      </c>
      <c r="D186" s="30">
        <f>"08835989000165"</f>
        <v/>
      </c>
      <c r="E186" s="30" t="inlineStr">
        <is>
          <t>RESILOG TRANSPORTES E LOGISTICA LTDA</t>
        </is>
      </c>
      <c r="F186" s="40" t="n">
        <v>0</v>
      </c>
      <c r="G186" s="40" t="n">
        <v>0</v>
      </c>
      <c r="H186" s="40" t="n">
        <v>0</v>
      </c>
      <c r="I186" s="40" t="n">
        <v>0</v>
      </c>
      <c r="J186" s="40" t="n">
        <v>0</v>
      </c>
      <c r="K186" s="40" t="n">
        <v>15904</v>
      </c>
      <c r="L186" s="40" t="n">
        <v>0</v>
      </c>
    </row>
    <row r="187" ht="12" customHeight="1">
      <c r="A187" s="30" t="inlineStr">
        <is>
          <t>ARE</t>
        </is>
      </c>
      <c r="B187" s="30" t="inlineStr">
        <is>
          <t>Areal</t>
        </is>
      </c>
      <c r="C187" s="30" t="n">
        <v>78624094</v>
      </c>
      <c r="D187" s="30">
        <f>"04268083000155"</f>
        <v/>
      </c>
      <c r="E187" s="30" t="inlineStr">
        <is>
          <t>BEM CHIC STORE CALCADOS E ACESSORIOS LTDA</t>
        </is>
      </c>
      <c r="F187" s="40" t="n">
        <v>0</v>
      </c>
      <c r="G187" s="40" t="n">
        <v>0</v>
      </c>
      <c r="H187" s="40" t="n">
        <v>0</v>
      </c>
      <c r="I187" s="40" t="n">
        <v>0</v>
      </c>
      <c r="J187" s="40" t="n">
        <v>0</v>
      </c>
      <c r="K187" s="40" t="n">
        <v>0</v>
      </c>
      <c r="L187" s="40" t="n">
        <v>0</v>
      </c>
    </row>
    <row r="188" ht="12" customHeight="1">
      <c r="A188" s="30" t="inlineStr">
        <is>
          <t>ARE</t>
        </is>
      </c>
      <c r="B188" s="30" t="inlineStr">
        <is>
          <t>Areal</t>
        </is>
      </c>
      <c r="C188" s="30" t="n">
        <v>78643463</v>
      </c>
      <c r="D188" s="30">
        <f>"00591531000368"</f>
        <v/>
      </c>
      <c r="E188" s="30" t="inlineStr">
        <is>
          <t>E J DE SOUZA - TRANSPORTES</t>
        </is>
      </c>
      <c r="F188" s="40" t="n">
        <v>0</v>
      </c>
      <c r="G188" s="40" t="n">
        <v>0</v>
      </c>
      <c r="H188" s="40" t="n">
        <v>203.83</v>
      </c>
      <c r="I188" s="40" t="n">
        <v>0.01</v>
      </c>
      <c r="J188" s="40" t="n">
        <v>0</v>
      </c>
      <c r="K188" s="40" t="n">
        <v>0</v>
      </c>
      <c r="L188" s="40" t="n">
        <v>0</v>
      </c>
    </row>
    <row r="189" ht="12" customHeight="1">
      <c r="A189" s="30" t="inlineStr">
        <is>
          <t>ARE</t>
        </is>
      </c>
      <c r="B189" s="30" t="inlineStr">
        <is>
          <t>Areal</t>
        </is>
      </c>
      <c r="C189" s="30" t="n">
        <v>78655038</v>
      </c>
      <c r="D189" s="30">
        <f>"10516951000171"</f>
        <v/>
      </c>
      <c r="E189" s="30" t="inlineStr">
        <is>
          <t>GASAL- COMERCIO VAREJISTA DE GAS AREAL LTDA</t>
        </is>
      </c>
      <c r="F189" s="40" t="n">
        <v>155818.83</v>
      </c>
      <c r="G189" s="40" t="n">
        <v>66594.22</v>
      </c>
      <c r="H189" s="40" t="n">
        <v>445750.06</v>
      </c>
      <c r="I189" s="40" t="n">
        <v>52599.47</v>
      </c>
      <c r="J189" s="40" t="n">
        <v>62405.79</v>
      </c>
      <c r="K189" s="40" t="n">
        <v>55616.64</v>
      </c>
      <c r="L189" s="40" t="n">
        <v>43360.77</v>
      </c>
    </row>
    <row r="190" ht="12" customHeight="1">
      <c r="A190" s="30" t="inlineStr">
        <is>
          <t>ARE</t>
        </is>
      </c>
      <c r="B190" s="30" t="inlineStr">
        <is>
          <t>Areal</t>
        </is>
      </c>
      <c r="C190" s="30" t="n">
        <v>78672820</v>
      </c>
      <c r="D190" s="30">
        <f>"03915195000198"</f>
        <v/>
      </c>
      <c r="E190" s="30" t="inlineStr">
        <is>
          <t>VALTEC INDUSTRIA E COMERCIO DE PLASTICOS LTDA ME</t>
        </is>
      </c>
      <c r="F190" s="40" t="n">
        <v>0</v>
      </c>
      <c r="G190" s="40" t="n">
        <v>0</v>
      </c>
      <c r="H190" s="40" t="n">
        <v>797439.47</v>
      </c>
      <c r="I190" s="40" t="n">
        <v>0</v>
      </c>
      <c r="J190" s="40" t="n">
        <v>0</v>
      </c>
      <c r="K190" s="40" t="n">
        <v>8034280.7</v>
      </c>
      <c r="L190" s="40" t="n">
        <v>869907.58</v>
      </c>
    </row>
    <row r="191" ht="12" customHeight="1">
      <c r="A191" s="30" t="inlineStr">
        <is>
          <t>ARE</t>
        </is>
      </c>
      <c r="B191" s="30" t="inlineStr">
        <is>
          <t>Areal</t>
        </is>
      </c>
      <c r="C191" s="30" t="n">
        <v>78676850</v>
      </c>
      <c r="D191" s="30">
        <f>"09296295000321"</f>
        <v/>
      </c>
      <c r="E191" s="30" t="inlineStr">
        <is>
          <t>AZUL LINHAS AEREAS BRASILEIRAS S A</t>
        </is>
      </c>
      <c r="F191" s="40" t="n">
        <v>769.92</v>
      </c>
      <c r="G191" s="40" t="n">
        <v>213.7</v>
      </c>
      <c r="H191" s="40" t="n">
        <v>0</v>
      </c>
      <c r="I191" s="40" t="n">
        <v>0</v>
      </c>
      <c r="J191" s="40" t="n">
        <v>0</v>
      </c>
      <c r="K191" s="40" t="n">
        <v>0</v>
      </c>
      <c r="L191" s="40" t="n">
        <v>0</v>
      </c>
    </row>
    <row r="192" ht="12" customHeight="1">
      <c r="A192" s="30" t="inlineStr">
        <is>
          <t>ARE</t>
        </is>
      </c>
      <c r="B192" s="30" t="inlineStr">
        <is>
          <t>Areal</t>
        </is>
      </c>
      <c r="C192" s="30" t="n">
        <v>78707925</v>
      </c>
      <c r="D192" s="30">
        <f>"10691700000123"</f>
        <v/>
      </c>
      <c r="E192" s="30" t="inlineStr">
        <is>
          <t>VAREJAO CORREA LTDA ME</t>
        </is>
      </c>
      <c r="F192" s="40" t="n">
        <v>7980</v>
      </c>
      <c r="G192" s="40" t="n">
        <v>4560</v>
      </c>
      <c r="H192" s="40" t="n">
        <v>0</v>
      </c>
      <c r="I192" s="40" t="n">
        <v>0</v>
      </c>
      <c r="J192" s="40" t="n">
        <v>0</v>
      </c>
      <c r="K192" s="40" t="n">
        <v>0</v>
      </c>
      <c r="L192" s="40" t="n">
        <v>0</v>
      </c>
    </row>
    <row r="193" ht="12" customHeight="1">
      <c r="A193" s="30" t="inlineStr">
        <is>
          <t>ARE</t>
        </is>
      </c>
      <c r="B193" s="30" t="inlineStr">
        <is>
          <t>Areal</t>
        </is>
      </c>
      <c r="C193" s="30" t="n">
        <v>78726113</v>
      </c>
      <c r="D193" s="30">
        <f>"09245894000154"</f>
        <v/>
      </c>
      <c r="E193" s="30" t="inlineStr">
        <is>
          <t>AREAL ALIMENTOS SEM GLUTEN INDUSTRIA COMERCIO SERVICOS IMPORTACA</t>
        </is>
      </c>
      <c r="F193" s="40" t="n">
        <v>2305047.04</v>
      </c>
      <c r="G193" s="40" t="n">
        <v>1847064.72</v>
      </c>
      <c r="H193" s="40" t="n">
        <v>624351.91</v>
      </c>
      <c r="I193" s="40" t="n">
        <v>572409.33</v>
      </c>
      <c r="J193" s="40" t="n">
        <v>0</v>
      </c>
      <c r="K193" s="40" t="n">
        <v>0</v>
      </c>
      <c r="L193" s="40" t="n">
        <v>0</v>
      </c>
    </row>
    <row r="194" ht="12" customHeight="1">
      <c r="A194" s="30" t="inlineStr">
        <is>
          <t>ARE</t>
        </is>
      </c>
      <c r="B194" s="30" t="inlineStr">
        <is>
          <t>Areal</t>
        </is>
      </c>
      <c r="C194" s="30" t="n">
        <v>78731451</v>
      </c>
      <c r="D194" s="30">
        <f>"07360468000217"</f>
        <v/>
      </c>
      <c r="E194" s="30" t="inlineStr">
        <is>
          <t>MTR LOGISTICA LTDA</t>
        </is>
      </c>
      <c r="F194" s="40" t="n">
        <v>237.25</v>
      </c>
      <c r="G194" s="40" t="n">
        <v>0</v>
      </c>
      <c r="H194" s="40" t="n">
        <v>0</v>
      </c>
      <c r="I194" s="40" t="n">
        <v>0</v>
      </c>
      <c r="J194" s="40" t="n">
        <v>0</v>
      </c>
      <c r="K194" s="40" t="n">
        <v>0</v>
      </c>
      <c r="L194" s="40" t="n">
        <v>0</v>
      </c>
    </row>
    <row r="195" ht="12" customHeight="1">
      <c r="A195" s="30" t="inlineStr">
        <is>
          <t>ARE</t>
        </is>
      </c>
      <c r="B195" s="30" t="inlineStr">
        <is>
          <t>Areal</t>
        </is>
      </c>
      <c r="C195" s="30" t="n">
        <v>78776323</v>
      </c>
      <c r="D195" s="30">
        <f>"03098929000436"</f>
        <v/>
      </c>
      <c r="E195" s="30" t="inlineStr">
        <is>
          <t>SETE LAGOAS TRANSPORTES LTDA ME</t>
        </is>
      </c>
      <c r="F195" s="40" t="n">
        <v>0</v>
      </c>
      <c r="G195" s="40" t="n">
        <v>0</v>
      </c>
      <c r="H195" s="40" t="n">
        <v>0</v>
      </c>
      <c r="I195" s="40" t="n">
        <v>570</v>
      </c>
      <c r="J195" s="40" t="n">
        <v>98.72</v>
      </c>
      <c r="K195" s="40" t="n">
        <v>320.34</v>
      </c>
      <c r="L195" s="40" t="n">
        <v>329.11</v>
      </c>
    </row>
    <row r="196" ht="12" customHeight="1">
      <c r="A196" s="30" t="inlineStr">
        <is>
          <t>ARE</t>
        </is>
      </c>
      <c r="B196" s="30" t="inlineStr">
        <is>
          <t>Areal</t>
        </is>
      </c>
      <c r="C196" s="30" t="n">
        <v>78808217</v>
      </c>
      <c r="D196" s="30">
        <f>"00824808000193"</f>
        <v/>
      </c>
      <c r="E196" s="30" t="inlineStr">
        <is>
          <t>A S VIEIRA MOVEIS ME</t>
        </is>
      </c>
      <c r="F196" s="40" t="n">
        <v>0</v>
      </c>
      <c r="G196" s="40" t="n">
        <v>0</v>
      </c>
      <c r="H196" s="40" t="n">
        <v>0</v>
      </c>
      <c r="I196" s="40" t="n">
        <v>0</v>
      </c>
      <c r="J196" s="40" t="n">
        <v>0</v>
      </c>
      <c r="K196" s="40" t="n">
        <v>0</v>
      </c>
      <c r="L196" s="40" t="n">
        <v>0</v>
      </c>
    </row>
    <row r="197" ht="12" customHeight="1">
      <c r="A197" s="30" t="inlineStr">
        <is>
          <t>ARE</t>
        </is>
      </c>
      <c r="B197" s="30" t="inlineStr">
        <is>
          <t>Areal</t>
        </is>
      </c>
      <c r="C197" s="30" t="n">
        <v>78845988</v>
      </c>
      <c r="D197" s="30">
        <f>"48740351010390"</f>
        <v/>
      </c>
      <c r="E197" s="30" t="inlineStr">
        <is>
          <t>BRASPRESS TRANSPORTES URGENTES LTDA</t>
        </is>
      </c>
      <c r="F197" s="40" t="n">
        <v>225.32</v>
      </c>
      <c r="G197" s="40" t="n">
        <v>0</v>
      </c>
      <c r="H197" s="40" t="n">
        <v>0</v>
      </c>
      <c r="I197" s="40" t="n">
        <v>0</v>
      </c>
      <c r="J197" s="40" t="n">
        <v>0</v>
      </c>
      <c r="K197" s="40" t="n">
        <v>0</v>
      </c>
      <c r="L197" s="40" t="n">
        <v>0</v>
      </c>
    </row>
    <row r="198" ht="12" customHeight="1">
      <c r="A198" s="30" t="inlineStr">
        <is>
          <t>ARE</t>
        </is>
      </c>
      <c r="B198" s="30" t="inlineStr">
        <is>
          <t>Areal</t>
        </is>
      </c>
      <c r="C198" s="30" t="n">
        <v>78847980</v>
      </c>
      <c r="D198" s="30">
        <f>"11038325000260"</f>
        <v/>
      </c>
      <c r="E198" s="30" t="inlineStr">
        <is>
          <t>ADVANCED NUTRITION IND COM DE ALIMENTOS E COSMETICOS LTDA</t>
        </is>
      </c>
      <c r="F198" s="40" t="n">
        <v>8919226.300000001</v>
      </c>
      <c r="G198" s="40" t="n">
        <v>7392163.67</v>
      </c>
      <c r="H198" s="40" t="n">
        <v>7007392.01</v>
      </c>
      <c r="I198" s="40" t="n">
        <v>5541242.76</v>
      </c>
      <c r="J198" s="40" t="n">
        <v>4833330.28</v>
      </c>
      <c r="K198" s="40" t="n">
        <v>3279920.91</v>
      </c>
      <c r="L198" s="40" t="n">
        <v>4864768.93</v>
      </c>
    </row>
    <row r="199" ht="12" customHeight="1">
      <c r="A199" s="30" t="inlineStr">
        <is>
          <t>ARE</t>
        </is>
      </c>
      <c r="B199" s="30" t="inlineStr">
        <is>
          <t>Areal</t>
        </is>
      </c>
      <c r="C199" s="30" t="n">
        <v>78922206</v>
      </c>
      <c r="D199" s="30">
        <f>"11243817000107"</f>
        <v/>
      </c>
      <c r="E199" s="30" t="inlineStr">
        <is>
          <t>CEDRO LOCADORA E TRANSPORTADORA LTDA ME</t>
        </is>
      </c>
      <c r="F199" s="40" t="n">
        <v>0</v>
      </c>
      <c r="G199" s="40" t="n">
        <v>24000</v>
      </c>
      <c r="H199" s="40" t="n">
        <v>0</v>
      </c>
      <c r="I199" s="40" t="n">
        <v>12400</v>
      </c>
      <c r="J199" s="40" t="n">
        <v>19100</v>
      </c>
      <c r="K199" s="40" t="n">
        <v>26600</v>
      </c>
      <c r="L199" s="40" t="n">
        <v>15600</v>
      </c>
    </row>
    <row r="200" ht="12" customHeight="1">
      <c r="A200" s="30" t="inlineStr">
        <is>
          <t>ARE</t>
        </is>
      </c>
      <c r="B200" s="30" t="inlineStr">
        <is>
          <t>Areal</t>
        </is>
      </c>
      <c r="C200" s="30" t="n">
        <v>78932953</v>
      </c>
      <c r="D200" s="30">
        <f>"07303446000134"</f>
        <v/>
      </c>
      <c r="E200" s="30" t="inlineStr">
        <is>
          <t>LOCADORA VAI BEM DE VEICULOS LTDA</t>
        </is>
      </c>
      <c r="F200" s="40" t="n">
        <v>0</v>
      </c>
      <c r="G200" s="40" t="n">
        <v>0</v>
      </c>
      <c r="H200" s="40" t="n">
        <v>0</v>
      </c>
      <c r="I200" s="40" t="n">
        <v>0</v>
      </c>
      <c r="J200" s="40" t="n">
        <v>0</v>
      </c>
      <c r="K200" s="40" t="n">
        <v>0</v>
      </c>
      <c r="L200" s="40" t="n">
        <v>0</v>
      </c>
    </row>
    <row r="201" ht="12" customHeight="1">
      <c r="A201" s="30" t="inlineStr">
        <is>
          <t>ARE</t>
        </is>
      </c>
      <c r="B201" s="30" t="inlineStr">
        <is>
          <t>Areal</t>
        </is>
      </c>
      <c r="C201" s="30" t="n">
        <v>78933844</v>
      </c>
      <c r="D201" s="30">
        <f>"10687157000190"</f>
        <v/>
      </c>
      <c r="E201" s="30" t="inlineStr">
        <is>
          <t>R MASTER SERVICOS EM CONSTRUCAO EIRELI ME</t>
        </is>
      </c>
      <c r="F201" s="40" t="n">
        <v>0</v>
      </c>
      <c r="G201" s="40" t="n">
        <v>0</v>
      </c>
      <c r="H201" s="40" t="n">
        <v>0</v>
      </c>
      <c r="I201" s="40" t="n">
        <v>0</v>
      </c>
      <c r="J201" s="40" t="n">
        <v>0</v>
      </c>
      <c r="K201" s="40" t="n">
        <v>0</v>
      </c>
      <c r="L201" s="40" t="n">
        <v>0</v>
      </c>
    </row>
    <row r="202" ht="12" customHeight="1">
      <c r="A202" s="30" t="inlineStr">
        <is>
          <t>ARE</t>
        </is>
      </c>
      <c r="B202" s="30" t="inlineStr">
        <is>
          <t>Areal</t>
        </is>
      </c>
      <c r="C202" s="30" t="n">
        <v>78943742</v>
      </c>
      <c r="D202" s="30">
        <f>"79942140002697"</f>
        <v/>
      </c>
      <c r="E202" s="30" t="inlineStr">
        <is>
          <t>TRANSMAGNA TRANSPORTES EIRELI</t>
        </is>
      </c>
      <c r="F202" s="40" t="n">
        <v>0</v>
      </c>
      <c r="G202" s="40" t="n">
        <v>0</v>
      </c>
      <c r="H202" s="40" t="n">
        <v>33706.98</v>
      </c>
      <c r="I202" s="40" t="n">
        <v>63904.32</v>
      </c>
      <c r="J202" s="40" t="n">
        <v>80511.5</v>
      </c>
      <c r="K202" s="40" t="n">
        <v>0</v>
      </c>
      <c r="L202" s="40" t="n">
        <v>0</v>
      </c>
    </row>
    <row r="203" ht="12" customHeight="1">
      <c r="A203" s="30" t="inlineStr">
        <is>
          <t>ARE</t>
        </is>
      </c>
      <c r="B203" s="30" t="inlineStr">
        <is>
          <t>Areal</t>
        </is>
      </c>
      <c r="C203" s="30" t="n">
        <v>78998121</v>
      </c>
      <c r="D203" s="30">
        <f>"01489122000407"</f>
        <v/>
      </c>
      <c r="E203" s="30" t="inlineStr">
        <is>
          <t>TJ4 TRANSPORTES EIRELI</t>
        </is>
      </c>
      <c r="F203" s="40" t="n">
        <v>0</v>
      </c>
      <c r="G203" s="40" t="n">
        <v>0</v>
      </c>
      <c r="H203" s="40" t="n">
        <v>0</v>
      </c>
      <c r="I203" s="40" t="n">
        <v>0</v>
      </c>
      <c r="J203" s="40" t="n">
        <v>0</v>
      </c>
      <c r="K203" s="40" t="n">
        <v>0</v>
      </c>
      <c r="L203" s="40" t="n">
        <v>69.06</v>
      </c>
    </row>
    <row r="204" ht="12" customHeight="1">
      <c r="A204" s="30" t="inlineStr">
        <is>
          <t>ARE</t>
        </is>
      </c>
      <c r="B204" s="30" t="inlineStr">
        <is>
          <t>Areal</t>
        </is>
      </c>
      <c r="C204" s="30" t="n">
        <v>79063789</v>
      </c>
      <c r="D204" s="30">
        <f>"11389422000389"</f>
        <v/>
      </c>
      <c r="E204" s="30" t="inlineStr">
        <is>
          <t>ABT-LOG TRANSPORTES EIRELI EPP</t>
        </is>
      </c>
      <c r="F204" s="40" t="n">
        <v>75</v>
      </c>
      <c r="G204" s="40" t="n">
        <v>1484.57</v>
      </c>
      <c r="H204" s="40" t="n">
        <v>1258.61</v>
      </c>
      <c r="I204" s="40" t="n">
        <v>0</v>
      </c>
      <c r="J204" s="40" t="n">
        <v>0</v>
      </c>
      <c r="K204" s="40" t="n">
        <v>0</v>
      </c>
      <c r="L204" s="40" t="n">
        <v>0</v>
      </c>
    </row>
    <row r="205" ht="12" customHeight="1">
      <c r="A205" s="30" t="inlineStr">
        <is>
          <t>ARE</t>
        </is>
      </c>
      <c r="B205" s="30" t="inlineStr">
        <is>
          <t>Areal</t>
        </is>
      </c>
      <c r="C205" s="30" t="n">
        <v>79084298</v>
      </c>
      <c r="D205" s="30">
        <f>"12091571000168"</f>
        <v/>
      </c>
      <c r="E205" s="30" t="inlineStr">
        <is>
          <t>METAPLAST IND?STRIA E COM?RCIO DE PL?STICOS LTDA</t>
        </is>
      </c>
      <c r="F205" s="40" t="n">
        <v>0</v>
      </c>
      <c r="G205" s="40" t="n">
        <v>736044.51</v>
      </c>
      <c r="H205" s="40" t="n">
        <v>266196.42</v>
      </c>
      <c r="I205" s="40" t="n">
        <v>232449.98</v>
      </c>
      <c r="J205" s="40" t="n">
        <v>133284.97</v>
      </c>
      <c r="K205" s="40" t="n">
        <v>0</v>
      </c>
      <c r="L205" s="40" t="n">
        <v>0</v>
      </c>
    </row>
    <row r="206" ht="12" customHeight="1">
      <c r="A206" s="30" t="inlineStr">
        <is>
          <t>ARE</t>
        </is>
      </c>
      <c r="B206" s="30" t="inlineStr">
        <is>
          <t>Areal</t>
        </is>
      </c>
      <c r="C206" s="30" t="n">
        <v>79084875</v>
      </c>
      <c r="D206" s="30">
        <f>"12054134000174"</f>
        <v/>
      </c>
      <c r="E206" s="30" t="inlineStr">
        <is>
          <t>NOBELLA INDUSTRIA DE MOVEIS E EQUIPAMENTOS LTDA</t>
        </is>
      </c>
      <c r="F206" s="40" t="n">
        <v>0</v>
      </c>
      <c r="G206" s="40" t="n">
        <v>0</v>
      </c>
      <c r="H206" s="40" t="n">
        <v>0</v>
      </c>
      <c r="I206" s="40" t="n">
        <v>0</v>
      </c>
      <c r="J206" s="40" t="n">
        <v>0</v>
      </c>
      <c r="K206" s="40" t="n">
        <v>0</v>
      </c>
      <c r="L206" s="40" t="n">
        <v>0</v>
      </c>
    </row>
    <row r="207" ht="12" customHeight="1">
      <c r="A207" s="30" t="inlineStr">
        <is>
          <t>ARE</t>
        </is>
      </c>
      <c r="B207" s="30" t="inlineStr">
        <is>
          <t>Areal</t>
        </is>
      </c>
      <c r="C207" s="30" t="n">
        <v>79111678</v>
      </c>
      <c r="D207" s="30">
        <f>"60157377000504"</f>
        <v/>
      </c>
      <c r="E207" s="30" t="inlineStr">
        <is>
          <t>TRANS WELL S EXPRESSO RODOVIARIO EIRELI</t>
        </is>
      </c>
      <c r="F207" s="40" t="n">
        <v>0</v>
      </c>
      <c r="G207" s="40" t="n">
        <v>0</v>
      </c>
      <c r="H207" s="40" t="n">
        <v>0</v>
      </c>
      <c r="I207" s="40" t="n">
        <v>0</v>
      </c>
      <c r="J207" s="40" t="n">
        <v>0</v>
      </c>
      <c r="K207" s="40" t="n">
        <v>946.62</v>
      </c>
      <c r="L207" s="40" t="n">
        <v>0</v>
      </c>
    </row>
    <row r="208" ht="12" customHeight="1">
      <c r="A208" s="30" t="inlineStr">
        <is>
          <t>ARE</t>
        </is>
      </c>
      <c r="B208" s="30" t="inlineStr">
        <is>
          <t>Areal</t>
        </is>
      </c>
      <c r="C208" s="30" t="n">
        <v>79129119</v>
      </c>
      <c r="D208" s="30">
        <f>"11389422000460"</f>
        <v/>
      </c>
      <c r="E208" s="30" t="inlineStr">
        <is>
          <t>ABT-LOG TRANSPORTES EIRELI EPP</t>
        </is>
      </c>
      <c r="F208" s="40" t="n">
        <v>691.14</v>
      </c>
      <c r="G208" s="40" t="n">
        <v>265.48</v>
      </c>
      <c r="H208" s="40" t="n">
        <v>0</v>
      </c>
      <c r="I208" s="40" t="n">
        <v>0</v>
      </c>
      <c r="J208" s="40" t="n">
        <v>0</v>
      </c>
      <c r="K208" s="40" t="n">
        <v>0</v>
      </c>
      <c r="L208" s="40" t="n">
        <v>0</v>
      </c>
    </row>
    <row r="209" ht="12" customHeight="1">
      <c r="A209" s="30" t="inlineStr">
        <is>
          <t>ARE</t>
        </is>
      </c>
      <c r="B209" s="30" t="inlineStr">
        <is>
          <t>Areal</t>
        </is>
      </c>
      <c r="C209" s="30" t="n">
        <v>79146641</v>
      </c>
      <c r="D209" s="30">
        <f>"60960473001304"</f>
        <v/>
      </c>
      <c r="E209" s="30" t="inlineStr">
        <is>
          <t>RODOGARCIA TRANSPORTES RODOVIARIOS LTDA</t>
        </is>
      </c>
      <c r="F209" s="40" t="n">
        <v>0</v>
      </c>
      <c r="G209" s="40" t="n">
        <v>0</v>
      </c>
      <c r="H209" s="40" t="n">
        <v>0</v>
      </c>
      <c r="I209" s="40" t="n">
        <v>0</v>
      </c>
      <c r="J209" s="40" t="n">
        <v>0</v>
      </c>
      <c r="K209" s="40" t="n">
        <v>0</v>
      </c>
      <c r="L209" s="40" t="n">
        <v>150</v>
      </c>
    </row>
    <row r="210" ht="12" customHeight="1">
      <c r="A210" s="30" t="inlineStr">
        <is>
          <t>ARE</t>
        </is>
      </c>
      <c r="B210" s="30" t="inlineStr">
        <is>
          <t>Areal</t>
        </is>
      </c>
      <c r="C210" s="30" t="n">
        <v>79173290</v>
      </c>
      <c r="D210" s="30">
        <f>"10895160000108"</f>
        <v/>
      </c>
      <c r="E210" s="30" t="inlineStr">
        <is>
          <t>ORION GESTAO DE PROJETOS LOGISTICA E COMERCIO LTDA</t>
        </is>
      </c>
      <c r="F210" s="40" t="n">
        <v>76298.95</v>
      </c>
      <c r="G210" s="40" t="n">
        <v>0</v>
      </c>
      <c r="H210" s="40" t="n">
        <v>0</v>
      </c>
      <c r="I210" s="40" t="n">
        <v>0</v>
      </c>
      <c r="J210" s="40" t="n">
        <v>0</v>
      </c>
      <c r="K210" s="40" t="n">
        <v>0</v>
      </c>
      <c r="L210" s="40" t="n">
        <v>0</v>
      </c>
    </row>
    <row r="211" ht="12" customHeight="1">
      <c r="A211" s="30" t="inlineStr">
        <is>
          <t>ARE</t>
        </is>
      </c>
      <c r="B211" s="30" t="inlineStr">
        <is>
          <t>Areal</t>
        </is>
      </c>
      <c r="C211" s="30" t="n">
        <v>79273236</v>
      </c>
      <c r="D211" s="30">
        <f>"31586480000148"</f>
        <v/>
      </c>
      <c r="E211" s="30" t="inlineStr">
        <is>
          <t>HEAVYMAC SERVI?OS LTDA</t>
        </is>
      </c>
      <c r="F211" s="40" t="n">
        <v>0</v>
      </c>
      <c r="G211" s="40" t="n">
        <v>0</v>
      </c>
      <c r="H211" s="40" t="n">
        <v>0</v>
      </c>
      <c r="I211" s="40" t="n">
        <v>0</v>
      </c>
      <c r="J211" s="40" t="n">
        <v>0</v>
      </c>
      <c r="K211" s="40" t="n">
        <v>0</v>
      </c>
      <c r="L211" s="40" t="n">
        <v>0</v>
      </c>
    </row>
    <row r="212" ht="12" customHeight="1">
      <c r="A212" s="30" t="inlineStr">
        <is>
          <t>ARE</t>
        </is>
      </c>
      <c r="B212" s="30" t="inlineStr">
        <is>
          <t>Areal</t>
        </is>
      </c>
      <c r="C212" s="30" t="n">
        <v>79274321</v>
      </c>
      <c r="D212" s="30">
        <f>"13019479000150"</f>
        <v/>
      </c>
      <c r="E212" s="30" t="inlineStr">
        <is>
          <t>LINOS EXPRESS TRANSPORTES LTDA ME</t>
        </is>
      </c>
      <c r="F212" s="40" t="n">
        <v>5324.8</v>
      </c>
      <c r="G212" s="40" t="n">
        <v>0</v>
      </c>
      <c r="H212" s="40" t="n">
        <v>0</v>
      </c>
      <c r="I212" s="40" t="n">
        <v>0</v>
      </c>
      <c r="J212" s="40" t="n">
        <v>37840</v>
      </c>
      <c r="K212" s="40" t="n">
        <v>16765</v>
      </c>
      <c r="L212" s="40" t="n">
        <v>0</v>
      </c>
    </row>
    <row r="213" ht="12" customHeight="1">
      <c r="A213" s="30" t="inlineStr">
        <is>
          <t>ARE</t>
        </is>
      </c>
      <c r="B213" s="30" t="inlineStr">
        <is>
          <t>Areal</t>
        </is>
      </c>
      <c r="C213" s="30" t="n">
        <v>79278840</v>
      </c>
      <c r="D213" s="30">
        <f>"13075470000166"</f>
        <v/>
      </c>
      <c r="E213" s="30" t="inlineStr">
        <is>
          <t>AREAL ARTEFATOS DE CONCRETO EIRELI EPP</t>
        </is>
      </c>
      <c r="F213" s="40" t="n">
        <v>0</v>
      </c>
      <c r="G213" s="40" t="n">
        <v>0</v>
      </c>
      <c r="H213" s="40" t="n">
        <v>0</v>
      </c>
      <c r="I213" s="40" t="n">
        <v>0</v>
      </c>
      <c r="J213" s="40" t="n">
        <v>0</v>
      </c>
      <c r="K213" s="40" t="n">
        <v>65106.41</v>
      </c>
      <c r="L213" s="40" t="n">
        <v>0</v>
      </c>
    </row>
    <row r="214" ht="12" customHeight="1">
      <c r="A214" s="30" t="inlineStr">
        <is>
          <t>ARE</t>
        </is>
      </c>
      <c r="B214" s="30" t="inlineStr">
        <is>
          <t>Areal</t>
        </is>
      </c>
      <c r="C214" s="30" t="n">
        <v>79342254</v>
      </c>
      <c r="D214" s="30">
        <f>"11689769000185"</f>
        <v/>
      </c>
      <c r="E214" s="30" t="inlineStr">
        <is>
          <t>REIS SERVI?OS IMOBILI?RIOS EIRELI</t>
        </is>
      </c>
      <c r="F214" s="40" t="n">
        <v>0</v>
      </c>
      <c r="G214" s="40" t="n">
        <v>0</v>
      </c>
      <c r="H214" s="40" t="n">
        <v>0</v>
      </c>
      <c r="I214" s="40" t="n">
        <v>0</v>
      </c>
      <c r="J214" s="40" t="n">
        <v>0</v>
      </c>
      <c r="K214" s="40" t="n">
        <v>0</v>
      </c>
      <c r="L214" s="40" t="n">
        <v>0</v>
      </c>
    </row>
    <row r="215" ht="12" customHeight="1">
      <c r="A215" s="30" t="inlineStr">
        <is>
          <t>ARE</t>
        </is>
      </c>
      <c r="B215" s="30" t="inlineStr">
        <is>
          <t>Areal</t>
        </is>
      </c>
      <c r="C215" s="30" t="n">
        <v>79345091</v>
      </c>
      <c r="D215" s="30">
        <f>"48740351012252"</f>
        <v/>
      </c>
      <c r="E215" s="30" t="inlineStr">
        <is>
          <t>BRASPRESS TRANSPORTES URGENTES LTDA</t>
        </is>
      </c>
      <c r="F215" s="40" t="n">
        <v>0</v>
      </c>
      <c r="G215" s="40" t="n">
        <v>82.97</v>
      </c>
      <c r="H215" s="40" t="n">
        <v>0</v>
      </c>
      <c r="I215" s="40" t="n">
        <v>0</v>
      </c>
      <c r="J215" s="40" t="n">
        <v>0</v>
      </c>
      <c r="K215" s="40" t="n">
        <v>0</v>
      </c>
      <c r="L215" s="40" t="n">
        <v>0</v>
      </c>
    </row>
    <row r="216" ht="12" customHeight="1">
      <c r="A216" s="30" t="inlineStr">
        <is>
          <t>ARE</t>
        </is>
      </c>
      <c r="B216" s="30" t="inlineStr">
        <is>
          <t>Areal</t>
        </is>
      </c>
      <c r="C216" s="30" t="n">
        <v>79358630</v>
      </c>
      <c r="D216" s="30">
        <f>"08022054000160"</f>
        <v/>
      </c>
      <c r="E216" s="30" t="inlineStr">
        <is>
          <t>OSTARA TELECOMUNICACOES LTDA</t>
        </is>
      </c>
      <c r="F216" s="40" t="n">
        <v>35140.13</v>
      </c>
      <c r="G216" s="40" t="n">
        <v>30000</v>
      </c>
      <c r="H216" s="40" t="n">
        <v>57.57</v>
      </c>
      <c r="I216" s="40" t="n">
        <v>882.01</v>
      </c>
      <c r="J216" s="40" t="n">
        <v>0</v>
      </c>
      <c r="K216" s="40" t="n">
        <v>0</v>
      </c>
      <c r="L216" s="40" t="n">
        <v>0</v>
      </c>
    </row>
    <row r="217" ht="12" customHeight="1">
      <c r="A217" s="30" t="inlineStr">
        <is>
          <t>ARE</t>
        </is>
      </c>
      <c r="B217" s="30" t="inlineStr">
        <is>
          <t>Areal</t>
        </is>
      </c>
      <c r="C217" s="30" t="n">
        <v>79442178</v>
      </c>
      <c r="D217" s="30">
        <f>"14000190000151"</f>
        <v/>
      </c>
      <c r="E217" s="30" t="inlineStr">
        <is>
          <t>MG RODRIGUES TRANSPORTES LTDA ME</t>
        </is>
      </c>
      <c r="F217" s="40" t="n">
        <v>0</v>
      </c>
      <c r="G217" s="40" t="n">
        <v>0</v>
      </c>
      <c r="H217" s="40" t="n">
        <v>300</v>
      </c>
      <c r="I217" s="40" t="n">
        <v>0</v>
      </c>
      <c r="J217" s="40" t="n">
        <v>0</v>
      </c>
      <c r="K217" s="40" t="n">
        <v>0</v>
      </c>
      <c r="L217" s="40" t="n">
        <v>0</v>
      </c>
    </row>
    <row r="218" ht="12" customHeight="1">
      <c r="A218" s="30" t="inlineStr">
        <is>
          <t>ARE</t>
        </is>
      </c>
      <c r="B218" s="30" t="inlineStr">
        <is>
          <t>Areal</t>
        </is>
      </c>
      <c r="C218" s="30" t="n">
        <v>79456748</v>
      </c>
      <c r="D218" s="30">
        <f>"14120369000142"</f>
        <v/>
      </c>
      <c r="E218" s="30" t="inlineStr">
        <is>
          <t>JARBAS GONCALVES DIAS EIRELI</t>
        </is>
      </c>
      <c r="F218" s="40" t="n">
        <v>0</v>
      </c>
      <c r="G218" s="40" t="n">
        <v>90.51000000000001</v>
      </c>
      <c r="H218" s="40" t="n">
        <v>0</v>
      </c>
      <c r="I218" s="40" t="n">
        <v>0</v>
      </c>
      <c r="J218" s="40" t="n">
        <v>0</v>
      </c>
      <c r="K218" s="40" t="n">
        <v>0</v>
      </c>
      <c r="L218" s="40" t="n">
        <v>0</v>
      </c>
    </row>
    <row r="219" ht="12" customHeight="1">
      <c r="A219" s="30" t="inlineStr">
        <is>
          <t>ARE</t>
        </is>
      </c>
      <c r="B219" s="30" t="inlineStr">
        <is>
          <t>Areal</t>
        </is>
      </c>
      <c r="C219" s="30" t="n">
        <v>79532320</v>
      </c>
      <c r="D219" s="30">
        <f>"11799788000245"</f>
        <v/>
      </c>
      <c r="E219" s="30" t="inlineStr">
        <is>
          <t>NESTLE SUDESTE ALIMENTOS E BEBIDAS LTDA</t>
        </is>
      </c>
      <c r="F219" s="40" t="n">
        <v>0</v>
      </c>
      <c r="G219" s="40" t="n">
        <v>0</v>
      </c>
      <c r="H219" s="40" t="n">
        <v>573977.09</v>
      </c>
      <c r="I219" s="40" t="n">
        <v>0</v>
      </c>
      <c r="J219" s="40" t="n">
        <v>0</v>
      </c>
      <c r="K219" s="40" t="n">
        <v>0</v>
      </c>
      <c r="L219" s="40" t="n">
        <v>0</v>
      </c>
    </row>
    <row r="220" ht="12" customHeight="1">
      <c r="A220" s="30" t="inlineStr">
        <is>
          <t>ARE</t>
        </is>
      </c>
      <c r="B220" s="30" t="inlineStr">
        <is>
          <t>Areal</t>
        </is>
      </c>
      <c r="C220" s="30" t="n">
        <v>79536644</v>
      </c>
      <c r="D220" s="30">
        <f>"50935436003751"</f>
        <v/>
      </c>
      <c r="E220" s="30" t="inlineStr">
        <is>
          <t>EXPRESSO JUNDIAI LOGISTICA E TRANSPORTE LTDA</t>
        </is>
      </c>
      <c r="F220" s="40" t="n">
        <v>72837.02</v>
      </c>
      <c r="G220" s="40" t="n">
        <v>0</v>
      </c>
      <c r="H220" s="40" t="n">
        <v>0</v>
      </c>
      <c r="I220" s="40" t="n">
        <v>0</v>
      </c>
      <c r="J220" s="40" t="n">
        <v>0</v>
      </c>
      <c r="K220" s="40" t="n">
        <v>0</v>
      </c>
      <c r="L220" s="40" t="n">
        <v>0</v>
      </c>
    </row>
    <row r="221" ht="12" customHeight="1">
      <c r="A221" s="30" t="inlineStr">
        <is>
          <t>ARE</t>
        </is>
      </c>
      <c r="B221" s="30" t="inlineStr">
        <is>
          <t>Areal</t>
        </is>
      </c>
      <c r="C221" s="30" t="n">
        <v>79537837</v>
      </c>
      <c r="D221" s="30">
        <f>"33051491001120"</f>
        <v/>
      </c>
      <c r="E221" s="30" t="inlineStr">
        <is>
          <t>LABORATORIOS PIERRE FABRE DO BRASIL LTDA</t>
        </is>
      </c>
      <c r="F221" s="40" t="n">
        <v>60473486.38</v>
      </c>
      <c r="G221" s="40" t="n">
        <v>3618498.51</v>
      </c>
      <c r="H221" s="40" t="n">
        <v>665870.09</v>
      </c>
      <c r="I221" s="40" t="n">
        <v>2058664.88</v>
      </c>
      <c r="J221" s="40" t="n">
        <v>7786954.17</v>
      </c>
      <c r="K221" s="40" t="n">
        <v>0</v>
      </c>
      <c r="L221" s="40" t="n">
        <v>0</v>
      </c>
    </row>
    <row r="222" ht="12" customHeight="1">
      <c r="A222" s="30" t="inlineStr">
        <is>
          <t>ARE</t>
        </is>
      </c>
      <c r="B222" s="30" t="inlineStr">
        <is>
          <t>Areal</t>
        </is>
      </c>
      <c r="C222" s="30" t="n">
        <v>79568600</v>
      </c>
      <c r="D222" s="30">
        <f>"13547587000103"</f>
        <v/>
      </c>
      <c r="E222" s="30" t="inlineStr">
        <is>
          <t>M3RX COMERCIO DE TELECOMUNICACOES LTDA</t>
        </is>
      </c>
      <c r="F222" s="40" t="n">
        <v>3152.79</v>
      </c>
      <c r="G222" s="40" t="n">
        <v>1684.68</v>
      </c>
      <c r="H222" s="40" t="n">
        <v>0</v>
      </c>
      <c r="I222" s="40" t="n">
        <v>0</v>
      </c>
      <c r="J222" s="40" t="n">
        <v>0</v>
      </c>
      <c r="K222" s="40" t="n">
        <v>0</v>
      </c>
      <c r="L222" s="40" t="n">
        <v>0</v>
      </c>
    </row>
    <row r="223" ht="12" customHeight="1">
      <c r="A223" s="30" t="inlineStr">
        <is>
          <t>ARE</t>
        </is>
      </c>
      <c r="B223" s="30" t="inlineStr">
        <is>
          <t>Areal</t>
        </is>
      </c>
      <c r="C223" s="30" t="n">
        <v>79574783</v>
      </c>
      <c r="D223" s="30">
        <f>"14856721000102"</f>
        <v/>
      </c>
      <c r="E223" s="30" t="inlineStr">
        <is>
          <t>CORSINO MOVEIS E MADEIRAS LTDA ME</t>
        </is>
      </c>
      <c r="F223" s="40" t="n">
        <v>0</v>
      </c>
      <c r="G223" s="40" t="n">
        <v>0</v>
      </c>
      <c r="H223" s="40" t="n">
        <v>0</v>
      </c>
      <c r="I223" s="40" t="n">
        <v>0</v>
      </c>
      <c r="J223" s="40" t="n">
        <v>0</v>
      </c>
      <c r="K223" s="40" t="n">
        <v>0</v>
      </c>
      <c r="L223" s="40" t="n">
        <v>0</v>
      </c>
    </row>
    <row r="224" ht="12" customHeight="1">
      <c r="A224" s="30" t="inlineStr">
        <is>
          <t>ARE</t>
        </is>
      </c>
      <c r="B224" s="30" t="inlineStr">
        <is>
          <t>Areal</t>
        </is>
      </c>
      <c r="C224" s="30" t="n">
        <v>79582980</v>
      </c>
      <c r="D224" s="30">
        <f>"78815958001280"</f>
        <v/>
      </c>
      <c r="E224" s="30" t="inlineStr">
        <is>
          <t>JOSE OSVALDO DE OLIVEIRA EIRELI</t>
        </is>
      </c>
      <c r="F224" s="40" t="n">
        <v>0.12</v>
      </c>
      <c r="G224" s="40" t="n">
        <v>0</v>
      </c>
      <c r="H224" s="40" t="n">
        <v>0</v>
      </c>
      <c r="I224" s="40" t="n">
        <v>0</v>
      </c>
      <c r="J224" s="40" t="n">
        <v>0</v>
      </c>
      <c r="K224" s="40" t="n">
        <v>164.18</v>
      </c>
      <c r="L224" s="40" t="n">
        <v>146.9</v>
      </c>
    </row>
    <row r="225" ht="12" customHeight="1">
      <c r="A225" s="30" t="inlineStr">
        <is>
          <t>ARE</t>
        </is>
      </c>
      <c r="B225" s="30" t="inlineStr">
        <is>
          <t>Areal</t>
        </is>
      </c>
      <c r="C225" s="30" t="n">
        <v>79622761</v>
      </c>
      <c r="D225" s="30">
        <f>"15163525000115"</f>
        <v/>
      </c>
      <c r="E225" s="30" t="inlineStr">
        <is>
          <t>COTRIM TRANSPORTE E LOCACAO DE MAQUINAS EIRELI ME</t>
        </is>
      </c>
      <c r="F225" s="40" t="n">
        <v>0</v>
      </c>
      <c r="G225" s="40" t="n">
        <v>1800</v>
      </c>
      <c r="H225" s="40" t="n">
        <v>0</v>
      </c>
      <c r="I225" s="40" t="n">
        <v>0</v>
      </c>
      <c r="J225" s="40" t="n">
        <v>0</v>
      </c>
      <c r="K225" s="40" t="n">
        <v>0</v>
      </c>
      <c r="L225" s="40" t="n">
        <v>0</v>
      </c>
    </row>
    <row r="226" ht="12" customHeight="1">
      <c r="A226" s="30" t="inlineStr">
        <is>
          <t>ARE</t>
        </is>
      </c>
      <c r="B226" s="30" t="inlineStr">
        <is>
          <t>Areal</t>
        </is>
      </c>
      <c r="C226" s="30" t="n">
        <v>79639990</v>
      </c>
      <c r="D226" s="30">
        <f>"04605519000235"</f>
        <v/>
      </c>
      <c r="E226" s="30" t="inlineStr">
        <is>
          <t>TRANS TRUCK LOGISTICA E TRANSPORTES LTDA</t>
        </is>
      </c>
      <c r="F226" s="40" t="n">
        <v>0</v>
      </c>
      <c r="G226" s="40" t="n">
        <v>0</v>
      </c>
      <c r="H226" s="40" t="n">
        <v>58.52</v>
      </c>
      <c r="I226" s="40" t="n">
        <v>18.09</v>
      </c>
      <c r="J226" s="40" t="n">
        <v>0</v>
      </c>
      <c r="K226" s="40" t="n">
        <v>0</v>
      </c>
      <c r="L226" s="40" t="n">
        <v>0</v>
      </c>
    </row>
    <row r="227" ht="12" customHeight="1">
      <c r="A227" s="30" t="inlineStr">
        <is>
          <t>ARE</t>
        </is>
      </c>
      <c r="B227" s="30" t="inlineStr">
        <is>
          <t>Areal</t>
        </is>
      </c>
      <c r="C227" s="30" t="n">
        <v>79653918</v>
      </c>
      <c r="D227" s="30">
        <f>"12738343000137"</f>
        <v/>
      </c>
      <c r="E227" s="30" t="inlineStr">
        <is>
          <t>ELISANDRO DE MELO P SERV ELET E COM DE PEC EM VEIC AUT ME</t>
        </is>
      </c>
      <c r="F227" s="40" t="n">
        <v>0</v>
      </c>
      <c r="G227" s="40" t="n">
        <v>0</v>
      </c>
      <c r="H227" s="40" t="n">
        <v>0</v>
      </c>
      <c r="I227" s="40" t="n">
        <v>0</v>
      </c>
      <c r="J227" s="40" t="n">
        <v>0</v>
      </c>
      <c r="K227" s="40" t="n">
        <v>0</v>
      </c>
      <c r="L227" s="40" t="n">
        <v>0</v>
      </c>
    </row>
    <row r="228" ht="12" customHeight="1">
      <c r="A228" s="30" t="inlineStr">
        <is>
          <t>ARE</t>
        </is>
      </c>
      <c r="B228" s="30" t="inlineStr">
        <is>
          <t>Areal</t>
        </is>
      </c>
      <c r="C228" s="30" t="n">
        <v>79722049</v>
      </c>
      <c r="D228" s="30">
        <f>"16539434000102"</f>
        <v/>
      </c>
      <c r="E228" s="30" t="inlineStr">
        <is>
          <t>CORTASIO COMERCIO DE VEICULOS EIRELI</t>
        </is>
      </c>
      <c r="F228" s="40" t="n">
        <v>173000</v>
      </c>
      <c r="G228" s="40" t="n">
        <v>205000</v>
      </c>
      <c r="H228" s="40" t="n">
        <v>217300</v>
      </c>
      <c r="I228" s="40" t="n">
        <v>188500</v>
      </c>
      <c r="J228" s="40" t="n">
        <v>85000</v>
      </c>
      <c r="K228" s="40" t="n">
        <v>169000</v>
      </c>
      <c r="L228" s="40" t="n">
        <v>269000</v>
      </c>
    </row>
    <row r="229" ht="12" customHeight="1">
      <c r="A229" s="30" t="inlineStr">
        <is>
          <t>ARE</t>
        </is>
      </c>
      <c r="B229" s="30" t="inlineStr">
        <is>
          <t>Areal</t>
        </is>
      </c>
      <c r="C229" s="30" t="n">
        <v>79747432</v>
      </c>
      <c r="D229" s="30">
        <f>"16842610000172"</f>
        <v/>
      </c>
      <c r="E229" s="30" t="inlineStr">
        <is>
          <t>P P M DE FREITAS REAL BAMBU</t>
        </is>
      </c>
      <c r="F229" s="40" t="n">
        <v>0</v>
      </c>
      <c r="G229" s="40" t="n">
        <v>0</v>
      </c>
      <c r="H229" s="40" t="n">
        <v>0</v>
      </c>
      <c r="I229" s="40" t="n">
        <v>0</v>
      </c>
      <c r="J229" s="40" t="n">
        <v>0</v>
      </c>
      <c r="K229" s="40" t="n">
        <v>0</v>
      </c>
      <c r="L229" s="40" t="n">
        <v>0</v>
      </c>
    </row>
    <row r="230" ht="12" customHeight="1">
      <c r="A230" s="30" t="inlineStr">
        <is>
          <t>ARE</t>
        </is>
      </c>
      <c r="B230" s="30" t="inlineStr">
        <is>
          <t>Areal</t>
        </is>
      </c>
      <c r="C230" s="30" t="n">
        <v>79757934</v>
      </c>
      <c r="D230" s="30">
        <f>"16907562000153"</f>
        <v/>
      </c>
      <c r="E230" s="30" t="inlineStr">
        <is>
          <t>VAREJAO SALDANHA LTDA EPP</t>
        </is>
      </c>
      <c r="F230" s="40" t="n">
        <v>0</v>
      </c>
      <c r="G230" s="40" t="n">
        <v>0</v>
      </c>
      <c r="H230" s="40" t="n">
        <v>0</v>
      </c>
      <c r="I230" s="40" t="n">
        <v>0</v>
      </c>
      <c r="J230" s="40" t="n">
        <v>0</v>
      </c>
      <c r="K230" s="40" t="n">
        <v>0</v>
      </c>
      <c r="L230" s="40" t="n">
        <v>0</v>
      </c>
    </row>
    <row r="231" ht="12" customHeight="1">
      <c r="A231" s="30" t="inlineStr">
        <is>
          <t>ARE</t>
        </is>
      </c>
      <c r="B231" s="30" t="inlineStr">
        <is>
          <t>Areal</t>
        </is>
      </c>
      <c r="C231" s="30" t="n">
        <v>79789461</v>
      </c>
      <c r="D231" s="30">
        <f>"12842869000162"</f>
        <v/>
      </c>
      <c r="E231" s="30" t="inlineStr">
        <is>
          <t>NEWSTEC - SERVICO TECNICO EM MONTAGEM, MANUTENCAO DE CALDEIRAS E CONSTRUCOES EIRELI</t>
        </is>
      </c>
      <c r="F231" s="40" t="n">
        <v>0</v>
      </c>
      <c r="G231" s="40" t="n">
        <v>0</v>
      </c>
      <c r="H231" s="40" t="n">
        <v>0</v>
      </c>
      <c r="I231" s="40" t="n">
        <v>360967.44</v>
      </c>
      <c r="J231" s="40" t="n">
        <v>0</v>
      </c>
      <c r="K231" s="40" t="n">
        <v>0</v>
      </c>
      <c r="L231" s="40" t="n">
        <v>1053476.25</v>
      </c>
    </row>
    <row r="232" ht="12" customHeight="1">
      <c r="A232" s="30" t="inlineStr">
        <is>
          <t>ARE</t>
        </is>
      </c>
      <c r="B232" s="30" t="inlineStr">
        <is>
          <t>Areal</t>
        </is>
      </c>
      <c r="C232" s="30" t="n">
        <v>79790869</v>
      </c>
      <c r="D232" s="30">
        <f>"15694108000107"</f>
        <v/>
      </c>
      <c r="E232" s="30" t="inlineStr">
        <is>
          <t>ARIEL DIAS CURVELLO CRIACAO DE CAVALOS</t>
        </is>
      </c>
      <c r="F232" s="40" t="n">
        <v>0</v>
      </c>
      <c r="G232" s="40" t="n">
        <v>0</v>
      </c>
      <c r="H232" s="40" t="n">
        <v>0</v>
      </c>
      <c r="I232" s="40" t="n">
        <v>0</v>
      </c>
      <c r="J232" s="40" t="n">
        <v>0</v>
      </c>
      <c r="K232" s="40" t="n">
        <v>0</v>
      </c>
      <c r="L232" s="40" t="n">
        <v>0</v>
      </c>
    </row>
    <row r="233" ht="12" customHeight="1">
      <c r="A233" s="30" t="inlineStr">
        <is>
          <t>ARE</t>
        </is>
      </c>
      <c r="B233" s="30" t="inlineStr">
        <is>
          <t>Areal</t>
        </is>
      </c>
      <c r="C233" s="30" t="n">
        <v>79798460</v>
      </c>
      <c r="D233" s="30">
        <f>"05597965000470"</f>
        <v/>
      </c>
      <c r="E233" s="30" t="inlineStr">
        <is>
          <t>KR TRANSPORTES E LOGISTICA LTDA</t>
        </is>
      </c>
      <c r="F233" s="40" t="n">
        <v>0</v>
      </c>
      <c r="G233" s="40" t="n">
        <v>0</v>
      </c>
      <c r="H233" s="40" t="n">
        <v>0</v>
      </c>
      <c r="I233" s="40" t="n">
        <v>0</v>
      </c>
      <c r="J233" s="40" t="n">
        <v>0</v>
      </c>
      <c r="K233" s="40" t="n">
        <v>0</v>
      </c>
      <c r="L233" s="40" t="n">
        <v>172.31</v>
      </c>
    </row>
    <row r="234" ht="12" customHeight="1">
      <c r="A234" s="30" t="inlineStr">
        <is>
          <t>ARE</t>
        </is>
      </c>
      <c r="B234" s="30" t="inlineStr">
        <is>
          <t>Areal</t>
        </is>
      </c>
      <c r="C234" s="30" t="n">
        <v>79810169</v>
      </c>
      <c r="D234" s="30">
        <f>"01838723041311"</f>
        <v/>
      </c>
      <c r="E234" s="30" t="inlineStr">
        <is>
          <t>BRF S A</t>
        </is>
      </c>
      <c r="F234" s="40" t="n">
        <v>0</v>
      </c>
      <c r="G234" s="40" t="n">
        <v>0</v>
      </c>
      <c r="H234" s="40" t="n">
        <v>0</v>
      </c>
      <c r="I234" s="40" t="n">
        <v>0</v>
      </c>
      <c r="J234" s="40" t="n">
        <v>0</v>
      </c>
      <c r="K234" s="40" t="n">
        <v>22686.83</v>
      </c>
      <c r="L234" s="40" t="n">
        <v>94120.14999999999</v>
      </c>
    </row>
    <row r="235" ht="12" customHeight="1">
      <c r="A235" s="30" t="inlineStr">
        <is>
          <t>ARE</t>
        </is>
      </c>
      <c r="B235" s="30" t="inlineStr">
        <is>
          <t>Areal</t>
        </is>
      </c>
      <c r="C235" s="30" t="n">
        <v>79812927</v>
      </c>
      <c r="D235" s="30">
        <f>"12591548000213"</f>
        <v/>
      </c>
      <c r="E235" s="30" t="inlineStr">
        <is>
          <t>EFX TRANSPORTES E LOGISTICA LTDA</t>
        </is>
      </c>
      <c r="F235" s="40" t="n">
        <v>122.45</v>
      </c>
      <c r="G235" s="40" t="n">
        <v>0</v>
      </c>
      <c r="H235" s="40" t="n">
        <v>0</v>
      </c>
      <c r="I235" s="40" t="n">
        <v>0</v>
      </c>
      <c r="J235" s="40" t="n">
        <v>0</v>
      </c>
      <c r="K235" s="40" t="n">
        <v>0</v>
      </c>
      <c r="L235" s="40" t="n">
        <v>0</v>
      </c>
    </row>
    <row r="236" ht="12" customHeight="1">
      <c r="A236" s="30" t="inlineStr">
        <is>
          <t>ARE</t>
        </is>
      </c>
      <c r="B236" s="30" t="inlineStr">
        <is>
          <t>Areal</t>
        </is>
      </c>
      <c r="C236" s="30" t="n">
        <v>79816930</v>
      </c>
      <c r="D236" s="30">
        <f>"05423963013361"</f>
        <v/>
      </c>
      <c r="E236" s="30" t="inlineStr">
        <is>
          <t>OI MOVEL S.A. - EM RECUPERACAO JUDICIAL</t>
        </is>
      </c>
      <c r="F236" s="40" t="n">
        <v>600561.89</v>
      </c>
      <c r="G236" s="40" t="n">
        <v>547903.4</v>
      </c>
      <c r="H236" s="40" t="n">
        <v>496761.13</v>
      </c>
      <c r="I236" s="40" t="n">
        <v>504215.56</v>
      </c>
      <c r="J236" s="40" t="n">
        <v>526478.9399999999</v>
      </c>
      <c r="K236" s="40" t="n">
        <v>42641.45</v>
      </c>
      <c r="L236" s="40" t="n">
        <v>0</v>
      </c>
    </row>
    <row r="237" ht="12" customHeight="1">
      <c r="A237" s="30" t="inlineStr">
        <is>
          <t>ARE</t>
        </is>
      </c>
      <c r="B237" s="30" t="inlineStr">
        <is>
          <t>Areal</t>
        </is>
      </c>
      <c r="C237" s="30" t="n">
        <v>79825719</v>
      </c>
      <c r="D237" s="30">
        <f>"11040609000100"</f>
        <v/>
      </c>
      <c r="E237" s="30" t="inlineStr">
        <is>
          <t>H D LOG TRANSPORTES LTDA ME</t>
        </is>
      </c>
      <c r="F237" s="40" t="n">
        <v>0</v>
      </c>
      <c r="G237" s="40" t="n">
        <v>0</v>
      </c>
      <c r="H237" s="40" t="n">
        <v>0</v>
      </c>
      <c r="I237" s="40" t="n">
        <v>0</v>
      </c>
      <c r="J237" s="40" t="n">
        <v>0</v>
      </c>
      <c r="K237" s="40" t="n">
        <v>486.37</v>
      </c>
      <c r="L237" s="40" t="n">
        <v>0</v>
      </c>
    </row>
    <row r="238" ht="12" customHeight="1">
      <c r="A238" s="30" t="inlineStr">
        <is>
          <t>ARE</t>
        </is>
      </c>
      <c r="B238" s="30" t="inlineStr">
        <is>
          <t>Areal</t>
        </is>
      </c>
      <c r="C238" s="30" t="n">
        <v>79893587</v>
      </c>
      <c r="D238" s="30">
        <f>"17893044000190"</f>
        <v/>
      </c>
      <c r="E238" s="30" t="inlineStr">
        <is>
          <t>RARO COMERCIO E SERVIÇOS EIRELI</t>
        </is>
      </c>
      <c r="F238" s="40" t="n">
        <v>0</v>
      </c>
      <c r="G238" s="40" t="n">
        <v>0</v>
      </c>
      <c r="H238" s="40" t="n">
        <v>1515462.29</v>
      </c>
      <c r="I238" s="40" t="n">
        <v>0</v>
      </c>
      <c r="J238" s="40" t="n">
        <v>0</v>
      </c>
      <c r="K238" s="40" t="n">
        <v>0</v>
      </c>
      <c r="L238" s="40" t="n">
        <v>0</v>
      </c>
    </row>
    <row r="239" ht="12" customHeight="1">
      <c r="A239" s="30" t="inlineStr">
        <is>
          <t>ARE</t>
        </is>
      </c>
      <c r="B239" s="30" t="inlineStr">
        <is>
          <t>Areal</t>
        </is>
      </c>
      <c r="C239" s="30" t="n">
        <v>79918768</v>
      </c>
      <c r="D239" s="30">
        <f>"17636490000110"</f>
        <v/>
      </c>
      <c r="E239" s="30" t="inlineStr">
        <is>
          <t>TMA TRANSPORTE LOTACAO E LOGISTICA LTDA</t>
        </is>
      </c>
      <c r="F239" s="40" t="n">
        <v>0</v>
      </c>
      <c r="G239" s="40" t="n">
        <v>288.79</v>
      </c>
      <c r="H239" s="40" t="n">
        <v>523.6900000000001</v>
      </c>
      <c r="I239" s="40" t="n">
        <v>125.53</v>
      </c>
      <c r="J239" s="40" t="n">
        <v>0</v>
      </c>
      <c r="K239" s="40" t="n">
        <v>0</v>
      </c>
      <c r="L239" s="40" t="n">
        <v>0</v>
      </c>
    </row>
    <row r="240" ht="12" customHeight="1">
      <c r="A240" s="30" t="inlineStr">
        <is>
          <t>ARE</t>
        </is>
      </c>
      <c r="B240" s="30" t="inlineStr">
        <is>
          <t>Areal</t>
        </is>
      </c>
      <c r="C240" s="30" t="n">
        <v>79933635</v>
      </c>
      <c r="D240" s="30">
        <f>"18265135000144"</f>
        <v/>
      </c>
      <c r="E240" s="30" t="inlineStr">
        <is>
          <t>H TEIXEIRA NETO PRODUTOS DE LIMPEZA</t>
        </is>
      </c>
      <c r="F240" s="40" t="n">
        <v>0</v>
      </c>
      <c r="G240" s="40" t="n">
        <v>0</v>
      </c>
      <c r="H240" s="40" t="n">
        <v>0</v>
      </c>
      <c r="I240" s="40" t="n">
        <v>0</v>
      </c>
      <c r="J240" s="40" t="n">
        <v>0</v>
      </c>
      <c r="K240" s="40" t="n">
        <v>0</v>
      </c>
      <c r="L240" s="40" t="n">
        <v>0</v>
      </c>
    </row>
    <row r="241" ht="12" customHeight="1">
      <c r="A241" s="30" t="inlineStr">
        <is>
          <t>ARE</t>
        </is>
      </c>
      <c r="B241" s="30" t="inlineStr">
        <is>
          <t>Areal</t>
        </is>
      </c>
      <c r="C241" s="30" t="n">
        <v>79979619</v>
      </c>
      <c r="D241" s="30">
        <f>"18485555000136"</f>
        <v/>
      </c>
      <c r="E241" s="30" t="inlineStr">
        <is>
          <t>VELOEX LOGISTICA E TRANSPORTES DE CARGAS LTDA EPP</t>
        </is>
      </c>
      <c r="F241" s="40" t="n">
        <v>0</v>
      </c>
      <c r="G241" s="40" t="n">
        <v>0</v>
      </c>
      <c r="H241" s="40" t="n">
        <v>0</v>
      </c>
      <c r="I241" s="40" t="n">
        <v>158.04</v>
      </c>
      <c r="J241" s="40" t="n">
        <v>0</v>
      </c>
      <c r="K241" s="40" t="n">
        <v>0</v>
      </c>
      <c r="L241" s="40" t="n">
        <v>0</v>
      </c>
    </row>
    <row r="242" ht="12" customHeight="1">
      <c r="A242" s="30" t="inlineStr">
        <is>
          <t>ARE</t>
        </is>
      </c>
      <c r="B242" s="30" t="inlineStr">
        <is>
          <t>Areal</t>
        </is>
      </c>
      <c r="C242" s="30" t="n">
        <v>80046561</v>
      </c>
      <c r="D242" s="30">
        <f>"33050071000158"</f>
        <v/>
      </c>
      <c r="E242" s="30" t="inlineStr">
        <is>
          <t>AMPLA ENERGIA E SERVICOS S.A.</t>
        </is>
      </c>
      <c r="F242" s="40" t="n">
        <v>14897501.74</v>
      </c>
      <c r="G242" s="40" t="n">
        <v>16794962.62</v>
      </c>
      <c r="H242" s="40" t="n">
        <v>18304939.41</v>
      </c>
      <c r="I242" s="40" t="n">
        <v>17820848.99</v>
      </c>
      <c r="J242" s="40" t="n">
        <v>20486129.47</v>
      </c>
      <c r="K242" s="40" t="n">
        <v>23195294.6</v>
      </c>
      <c r="L242" s="40" t="n">
        <v>24647183.54</v>
      </c>
    </row>
    <row r="243" ht="12" customHeight="1">
      <c r="A243" s="30" t="inlineStr">
        <is>
          <t>ARE</t>
        </is>
      </c>
      <c r="B243" s="30" t="inlineStr">
        <is>
          <t>Areal</t>
        </is>
      </c>
      <c r="C243" s="30" t="n">
        <v>80048068</v>
      </c>
      <c r="D243" s="30">
        <f>"30069314000101"</f>
        <v/>
      </c>
      <c r="E243" s="30" t="inlineStr">
        <is>
          <t>AUTO VIACAO 1001 LTDA</t>
        </is>
      </c>
      <c r="F243" s="40" t="n">
        <v>0</v>
      </c>
      <c r="G243" s="40" t="n">
        <v>0</v>
      </c>
      <c r="H243" s="40" t="n">
        <v>0</v>
      </c>
      <c r="I243" s="40" t="n">
        <v>0</v>
      </c>
      <c r="J243" s="40" t="n">
        <v>0</v>
      </c>
      <c r="K243" s="40" t="n">
        <v>3450</v>
      </c>
      <c r="L243" s="40" t="n">
        <v>0</v>
      </c>
    </row>
    <row r="244" ht="12" customHeight="1">
      <c r="A244" s="30" t="inlineStr">
        <is>
          <t>ARE</t>
        </is>
      </c>
      <c r="B244" s="30" t="inlineStr">
        <is>
          <t>Areal</t>
        </is>
      </c>
      <c r="C244" s="30" t="n">
        <v>80428197</v>
      </c>
      <c r="D244" s="30">
        <f>"28568392000109"</f>
        <v/>
      </c>
      <c r="E244" s="30" t="inlineStr">
        <is>
          <t>TRANSPORTADORA BARRENSE LTDA</t>
        </is>
      </c>
      <c r="F244" s="40" t="n">
        <v>0</v>
      </c>
      <c r="G244" s="40" t="n">
        <v>0</v>
      </c>
      <c r="H244" s="40" t="n">
        <v>0</v>
      </c>
      <c r="I244" s="40" t="n">
        <v>0</v>
      </c>
      <c r="J244" s="40" t="n">
        <v>0</v>
      </c>
      <c r="K244" s="40" t="n">
        <v>0</v>
      </c>
      <c r="L244" s="40" t="n">
        <v>2097.57</v>
      </c>
    </row>
    <row r="245" ht="12" customHeight="1">
      <c r="A245" s="30" t="inlineStr">
        <is>
          <t>ARE</t>
        </is>
      </c>
      <c r="B245" s="30" t="inlineStr">
        <is>
          <t>Areal</t>
        </is>
      </c>
      <c r="C245" s="30" t="n">
        <v>80530838</v>
      </c>
      <c r="D245" s="30">
        <f>"29291184000178"</f>
        <v/>
      </c>
      <c r="E245" s="30" t="inlineStr">
        <is>
          <t>TRANSPORTES TONIATO LTDA</t>
        </is>
      </c>
      <c r="F245" s="40" t="n">
        <v>0</v>
      </c>
      <c r="G245" s="40" t="n">
        <v>0</v>
      </c>
      <c r="H245" s="40" t="n">
        <v>0</v>
      </c>
      <c r="I245" s="40" t="n">
        <v>140.41</v>
      </c>
      <c r="J245" s="40" t="n">
        <v>0</v>
      </c>
      <c r="K245" s="40" t="n">
        <v>1774.86</v>
      </c>
      <c r="L245" s="40" t="n">
        <v>3248.39</v>
      </c>
    </row>
    <row r="246" ht="12" customHeight="1">
      <c r="A246" s="30" t="inlineStr">
        <is>
          <t>ARE</t>
        </is>
      </c>
      <c r="B246" s="30" t="inlineStr">
        <is>
          <t>Areal</t>
        </is>
      </c>
      <c r="C246" s="30" t="n">
        <v>80710933</v>
      </c>
      <c r="D246" s="30">
        <f>"28333011000102"</f>
        <v/>
      </c>
      <c r="E246" s="30" t="inlineStr">
        <is>
          <t>IRMAG - INDUSTRIA E COMERCIO DE PLASTICOS LTDA - ME</t>
        </is>
      </c>
      <c r="F246" s="40" t="n">
        <v>0</v>
      </c>
      <c r="G246" s="40" t="n">
        <v>0</v>
      </c>
      <c r="H246" s="40" t="n">
        <v>0</v>
      </c>
      <c r="I246" s="40" t="n">
        <v>0</v>
      </c>
      <c r="J246" s="40" t="n">
        <v>0</v>
      </c>
      <c r="K246" s="40" t="n">
        <v>0</v>
      </c>
      <c r="L246" s="40" t="n">
        <v>0</v>
      </c>
    </row>
    <row r="247" ht="12" customHeight="1">
      <c r="A247" s="30" t="inlineStr">
        <is>
          <t>ARE</t>
        </is>
      </c>
      <c r="B247" s="30" t="inlineStr">
        <is>
          <t>Areal</t>
        </is>
      </c>
      <c r="C247" s="30" t="n">
        <v>80735936</v>
      </c>
      <c r="D247" s="30">
        <f>"49930514002693"</f>
        <v/>
      </c>
      <c r="E247" s="30" t="inlineStr">
        <is>
          <t>SODEXO DO BRASIL COMERCIAL S A</t>
        </is>
      </c>
      <c r="F247" s="40" t="n">
        <v>0</v>
      </c>
      <c r="G247" s="40" t="n">
        <v>0</v>
      </c>
      <c r="H247" s="40" t="n">
        <v>0</v>
      </c>
      <c r="I247" s="40" t="n">
        <v>398224.44</v>
      </c>
      <c r="J247" s="40" t="n">
        <v>310256.76</v>
      </c>
      <c r="K247" s="40" t="n">
        <v>267616.11</v>
      </c>
      <c r="L247" s="40" t="n">
        <v>57321.77</v>
      </c>
    </row>
    <row r="248" ht="12" customHeight="1">
      <c r="A248" s="30" t="inlineStr">
        <is>
          <t>ARE</t>
        </is>
      </c>
      <c r="B248" s="30" t="inlineStr">
        <is>
          <t>Areal</t>
        </is>
      </c>
      <c r="C248" s="30" t="n">
        <v>80781431</v>
      </c>
      <c r="D248" s="30">
        <f>"32285454000142"</f>
        <v/>
      </c>
      <c r="E248" s="30" t="inlineStr">
        <is>
          <t>VIACAO SALUTARIS E TURISMO SA</t>
        </is>
      </c>
      <c r="F248" s="40" t="n">
        <v>49302.48</v>
      </c>
      <c r="G248" s="40" t="n">
        <v>25184.97</v>
      </c>
      <c r="H248" s="40" t="n">
        <v>69083.87</v>
      </c>
      <c r="I248" s="40" t="n">
        <v>2894.34</v>
      </c>
      <c r="J248" s="40" t="n">
        <v>26046.79</v>
      </c>
      <c r="K248" s="40" t="n">
        <v>86502.46000000001</v>
      </c>
      <c r="L248" s="40" t="n">
        <v>66099.03999999999</v>
      </c>
    </row>
    <row r="249" ht="12" customHeight="1">
      <c r="A249" s="30" t="inlineStr">
        <is>
          <t>ARE</t>
        </is>
      </c>
      <c r="B249" s="30" t="inlineStr">
        <is>
          <t>Areal</t>
        </is>
      </c>
      <c r="C249" s="30" t="n">
        <v>80820151</v>
      </c>
      <c r="D249" s="30">
        <f>"32296378000251"</f>
        <v/>
      </c>
      <c r="E249" s="30" t="inlineStr">
        <is>
          <t>CEREAIS BRAMIL LTDA</t>
        </is>
      </c>
      <c r="F249" s="40" t="n">
        <v>7408668.46</v>
      </c>
      <c r="G249" s="40" t="n">
        <v>7058601.88</v>
      </c>
      <c r="H249" s="40" t="n">
        <v>7282340.46</v>
      </c>
      <c r="I249" s="40" t="n">
        <v>9161444.49</v>
      </c>
      <c r="J249" s="40" t="n">
        <v>9088206.24</v>
      </c>
      <c r="K249" s="40" t="n">
        <v>8560462.220000001</v>
      </c>
      <c r="L249" s="40" t="n">
        <v>11826029.99</v>
      </c>
    </row>
    <row r="250" ht="12" customHeight="1">
      <c r="A250" s="30" t="inlineStr">
        <is>
          <t>ARE</t>
        </is>
      </c>
      <c r="B250" s="30" t="inlineStr">
        <is>
          <t>Areal</t>
        </is>
      </c>
      <c r="C250" s="30" t="n">
        <v>80824130</v>
      </c>
      <c r="D250" s="30">
        <f>"32287369000113"</f>
        <v/>
      </c>
      <c r="E250" s="30" t="inlineStr">
        <is>
          <t>POSTO DE SERVICO LIDER LTDA</t>
        </is>
      </c>
      <c r="F250" s="40" t="n">
        <v>425433.17</v>
      </c>
      <c r="G250" s="40" t="n">
        <v>0</v>
      </c>
      <c r="H250" s="40" t="n">
        <v>0</v>
      </c>
      <c r="I250" s="40" t="n">
        <v>0</v>
      </c>
      <c r="J250" s="40" t="n">
        <v>0</v>
      </c>
      <c r="K250" s="40" t="n">
        <v>0</v>
      </c>
      <c r="L250" s="40" t="n">
        <v>0</v>
      </c>
    </row>
    <row r="251" ht="12" customHeight="1">
      <c r="A251" s="30" t="inlineStr">
        <is>
          <t>ARE</t>
        </is>
      </c>
      <c r="B251" s="30" t="inlineStr">
        <is>
          <t>Areal</t>
        </is>
      </c>
      <c r="C251" s="30" t="n">
        <v>80824335</v>
      </c>
      <c r="D251" s="30">
        <f>"33051491000159"</f>
        <v/>
      </c>
      <c r="E251" s="30" t="inlineStr">
        <is>
          <t>LABORATORIOS PIERRE FABRE DO BRASIL LTDA</t>
        </is>
      </c>
      <c r="F251" s="40" t="n">
        <v>98145244.69</v>
      </c>
      <c r="G251" s="40" t="n">
        <v>119795784.15</v>
      </c>
      <c r="H251" s="40" t="n">
        <v>151160530.12</v>
      </c>
      <c r="I251" s="40" t="n">
        <v>169925024.06</v>
      </c>
      <c r="J251" s="40" t="n">
        <v>254355647.01</v>
      </c>
      <c r="K251" s="40" t="n">
        <v>362379432.97</v>
      </c>
      <c r="L251" s="40" t="n">
        <v>446037285.42</v>
      </c>
    </row>
    <row r="252" ht="12" customHeight="1">
      <c r="A252" s="30" t="inlineStr">
        <is>
          <t>ARE</t>
        </is>
      </c>
      <c r="B252" s="30" t="inlineStr">
        <is>
          <t>Areal</t>
        </is>
      </c>
      <c r="C252" s="30" t="n">
        <v>80825323</v>
      </c>
      <c r="D252" s="30">
        <f>"29148210000103"</f>
        <v/>
      </c>
      <c r="E252" s="30" t="inlineStr">
        <is>
          <t>AREAL MATERIAL DE CONSTRUCAO LTDA</t>
        </is>
      </c>
      <c r="F252" s="40" t="n">
        <v>907810.65</v>
      </c>
      <c r="G252" s="40" t="n">
        <v>779724.49</v>
      </c>
      <c r="H252" s="40" t="n">
        <v>1295605.1</v>
      </c>
      <c r="I252" s="40" t="n">
        <v>1004685.25</v>
      </c>
      <c r="J252" s="40" t="n">
        <v>1068716.47</v>
      </c>
      <c r="K252" s="40" t="n">
        <v>1370103.15</v>
      </c>
      <c r="L252" s="40" t="n">
        <v>1388749.01</v>
      </c>
    </row>
    <row r="253" ht="12" customHeight="1">
      <c r="A253" s="30" t="inlineStr">
        <is>
          <t>ARE</t>
        </is>
      </c>
      <c r="B253" s="30" t="inlineStr">
        <is>
          <t>Areal</t>
        </is>
      </c>
      <c r="C253" s="30" t="n">
        <v>80826834</v>
      </c>
      <c r="D253" s="30">
        <f>"29157872000140"</f>
        <v/>
      </c>
      <c r="E253" s="30" t="inlineStr">
        <is>
          <t>FARMACIA CENTRO AREALENSE LTDA</t>
        </is>
      </c>
      <c r="F253" s="40" t="n">
        <v>0</v>
      </c>
      <c r="G253" s="40" t="n">
        <v>0</v>
      </c>
      <c r="H253" s="40" t="n">
        <v>0</v>
      </c>
      <c r="I253" s="40" t="n">
        <v>0</v>
      </c>
      <c r="J253" s="40" t="n">
        <v>0</v>
      </c>
      <c r="K253" s="40" t="n">
        <v>0</v>
      </c>
      <c r="L253" s="40" t="n">
        <v>0</v>
      </c>
    </row>
    <row r="254" ht="12" customHeight="1">
      <c r="A254" s="30" t="inlineStr">
        <is>
          <t>ARE</t>
        </is>
      </c>
      <c r="B254" s="30" t="inlineStr">
        <is>
          <t>Areal</t>
        </is>
      </c>
      <c r="C254" s="30" t="n">
        <v>80829795</v>
      </c>
      <c r="D254" s="30">
        <f>"32404063000108"</f>
        <v/>
      </c>
      <c r="E254" s="30" t="inlineStr">
        <is>
          <t>VIACAO PROGRESSO E TURISMO S/A</t>
        </is>
      </c>
      <c r="F254" s="40" t="n">
        <v>600652.66</v>
      </c>
      <c r="G254" s="40" t="n">
        <v>836497.77</v>
      </c>
      <c r="H254" s="40" t="n">
        <v>796807.52</v>
      </c>
      <c r="I254" s="40" t="n">
        <v>341840.16</v>
      </c>
      <c r="J254" s="40" t="n">
        <v>321652.03</v>
      </c>
      <c r="K254" s="40" t="n">
        <v>319251.82</v>
      </c>
      <c r="L254" s="40" t="n">
        <v>1408176.45</v>
      </c>
    </row>
    <row r="255" ht="12" customHeight="1">
      <c r="A255" s="30" t="inlineStr">
        <is>
          <t>ARE</t>
        </is>
      </c>
      <c r="B255" s="30" t="inlineStr">
        <is>
          <t>Areal</t>
        </is>
      </c>
      <c r="C255" s="30" t="n">
        <v>80832982</v>
      </c>
      <c r="D255" s="30">
        <f>"30893010000164"</f>
        <v/>
      </c>
      <c r="E255" s="30" t="inlineStr">
        <is>
          <t>JARDINARTE PAISAGISMO LTDA</t>
        </is>
      </c>
      <c r="F255" s="40" t="n">
        <v>0</v>
      </c>
      <c r="G255" s="40" t="n">
        <v>0</v>
      </c>
      <c r="H255" s="40" t="n">
        <v>0</v>
      </c>
      <c r="I255" s="40" t="n">
        <v>0</v>
      </c>
      <c r="J255" s="40" t="n">
        <v>0</v>
      </c>
      <c r="K255" s="40" t="n">
        <v>0</v>
      </c>
      <c r="L255" s="40" t="n">
        <v>0</v>
      </c>
    </row>
    <row r="256" ht="12" customHeight="1">
      <c r="A256" s="30" t="inlineStr">
        <is>
          <t>ARE</t>
        </is>
      </c>
      <c r="B256" s="30" t="inlineStr">
        <is>
          <t>Areal</t>
        </is>
      </c>
      <c r="C256" s="30" t="n">
        <v>81258872</v>
      </c>
      <c r="D256" s="30">
        <f>"87183570000738"</f>
        <v/>
      </c>
      <c r="E256" s="30" t="inlineStr">
        <is>
          <t>TRANSPORTADORA MINUANO LTDA</t>
        </is>
      </c>
      <c r="F256" s="40" t="n">
        <v>0</v>
      </c>
      <c r="G256" s="40" t="n">
        <v>0</v>
      </c>
      <c r="H256" s="40" t="n">
        <v>2209.64</v>
      </c>
      <c r="I256" s="40" t="n">
        <v>160</v>
      </c>
      <c r="J256" s="40" t="n">
        <v>795.24</v>
      </c>
      <c r="K256" s="40" t="n">
        <v>410.23</v>
      </c>
      <c r="L256" s="40" t="n">
        <v>315.52</v>
      </c>
    </row>
    <row r="257" ht="12" customHeight="1">
      <c r="A257" s="30" t="inlineStr">
        <is>
          <t>ARE</t>
        </is>
      </c>
      <c r="B257" s="30" t="inlineStr">
        <is>
          <t>Areal</t>
        </is>
      </c>
      <c r="C257" s="30" t="n">
        <v>81330174</v>
      </c>
      <c r="D257" s="30">
        <f>"02905110001957"</f>
        <v/>
      </c>
      <c r="E257" s="30" t="inlineStr">
        <is>
          <t>GR SERVICOS E ALIMENTACAO LTDA</t>
        </is>
      </c>
      <c r="F257" s="40" t="n">
        <v>0</v>
      </c>
      <c r="G257" s="40" t="n">
        <v>0</v>
      </c>
      <c r="H257" s="40" t="n">
        <v>0</v>
      </c>
      <c r="I257" s="40" t="n">
        <v>0</v>
      </c>
      <c r="J257" s="40" t="n">
        <v>0</v>
      </c>
      <c r="K257" s="40" t="n">
        <v>0</v>
      </c>
      <c r="L257" s="40" t="n">
        <v>904397.74</v>
      </c>
    </row>
    <row r="258" ht="12" customHeight="1">
      <c r="A258" s="30" t="inlineStr">
        <is>
          <t>ARE</t>
        </is>
      </c>
      <c r="B258" s="30" t="inlineStr">
        <is>
          <t>Areal</t>
        </is>
      </c>
      <c r="C258" s="30" t="n">
        <v>81613524</v>
      </c>
      <c r="D258" s="30">
        <f>"34028316000294"</f>
        <v/>
      </c>
      <c r="E258" s="30" t="inlineStr">
        <is>
          <t>EMPRESA BRASILEIRA DE CORREIOS E TELEGRAFOS</t>
        </is>
      </c>
      <c r="F258" s="40" t="n">
        <v>646.6</v>
      </c>
      <c r="G258" s="40" t="n">
        <v>376.3</v>
      </c>
      <c r="H258" s="40" t="n">
        <v>1907.6</v>
      </c>
      <c r="I258" s="40" t="n">
        <v>4285.53</v>
      </c>
      <c r="J258" s="40" t="n">
        <v>4002.98</v>
      </c>
      <c r="K258" s="40" t="n">
        <v>4437.11</v>
      </c>
      <c r="L258" s="40" t="n">
        <v>3741.72</v>
      </c>
    </row>
    <row r="259" ht="12" customHeight="1">
      <c r="A259" s="30" t="inlineStr">
        <is>
          <t>ARE</t>
        </is>
      </c>
      <c r="B259" s="30" t="inlineStr">
        <is>
          <t>Areal</t>
        </is>
      </c>
      <c r="C259" s="30" t="n">
        <v>81615470</v>
      </c>
      <c r="D259" s="30">
        <f>"28141158000281"</f>
        <v/>
      </c>
      <c r="E259" s="30" t="inlineStr">
        <is>
          <t>TRANSPORTADORA CONTINENTAL LTDA</t>
        </is>
      </c>
      <c r="F259" s="40" t="n">
        <v>1100.34</v>
      </c>
      <c r="G259" s="40" t="n">
        <v>1478.48</v>
      </c>
      <c r="H259" s="40" t="n">
        <v>5189.09</v>
      </c>
      <c r="I259" s="40" t="n">
        <v>0</v>
      </c>
      <c r="J259" s="40" t="n">
        <v>358</v>
      </c>
      <c r="K259" s="40" t="n">
        <v>0</v>
      </c>
      <c r="L259" s="40" t="n">
        <v>10.76</v>
      </c>
    </row>
    <row r="260" ht="12" customHeight="1">
      <c r="A260" s="30" t="inlineStr">
        <is>
          <t>ARE</t>
        </is>
      </c>
      <c r="B260" s="30" t="inlineStr">
        <is>
          <t>Areal</t>
        </is>
      </c>
      <c r="C260" s="30" t="n">
        <v>81680469</v>
      </c>
      <c r="D260" s="30">
        <f>"33000118000179"</f>
        <v/>
      </c>
      <c r="E260" s="30" t="inlineStr">
        <is>
          <t>TELEMAR NORTE LESTE S/A EM RECUPERACAO JUDICIAL</t>
        </is>
      </c>
      <c r="F260" s="40" t="n">
        <v>947835.88</v>
      </c>
      <c r="G260" s="40" t="n">
        <v>752945.53</v>
      </c>
      <c r="H260" s="40" t="n">
        <v>616703.79</v>
      </c>
      <c r="I260" s="40" t="n">
        <v>514910.62</v>
      </c>
      <c r="J260" s="40" t="n">
        <v>143731.07</v>
      </c>
      <c r="K260" s="40" t="n">
        <v>0</v>
      </c>
      <c r="L260" s="40" t="n">
        <v>0</v>
      </c>
    </row>
    <row r="261" ht="12" customHeight="1">
      <c r="A261" s="30" t="inlineStr">
        <is>
          <t>ARE</t>
        </is>
      </c>
      <c r="B261" s="30" t="inlineStr">
        <is>
          <t>Areal</t>
        </is>
      </c>
      <c r="C261" s="30" t="n">
        <v>81797013</v>
      </c>
      <c r="D261" s="30">
        <f>"33570797000111"</f>
        <v/>
      </c>
      <c r="E261" s="30" t="inlineStr">
        <is>
          <t>TRANSPORTES CARVALHO LTDA</t>
        </is>
      </c>
      <c r="F261" s="40" t="n">
        <v>0</v>
      </c>
      <c r="G261" s="40" t="n">
        <v>0</v>
      </c>
      <c r="H261" s="40" t="n">
        <v>0</v>
      </c>
      <c r="I261" s="40" t="n">
        <v>2949.25</v>
      </c>
      <c r="J261" s="40" t="n">
        <v>0</v>
      </c>
      <c r="K261" s="40" t="n">
        <v>0</v>
      </c>
      <c r="L261" s="40" t="n">
        <v>0</v>
      </c>
    </row>
    <row r="262" ht="12" customHeight="1">
      <c r="A262" s="30" t="inlineStr">
        <is>
          <t>ARE</t>
        </is>
      </c>
      <c r="B262" s="30" t="inlineStr">
        <is>
          <t>Areal</t>
        </is>
      </c>
      <c r="C262" s="30" t="n">
        <v>81827028</v>
      </c>
      <c r="D262" s="30">
        <f>"21570775000172"</f>
        <v/>
      </c>
      <c r="E262" s="30" t="inlineStr">
        <is>
          <t>PICORELLI S/A TRANSPORTES</t>
        </is>
      </c>
      <c r="F262" s="40" t="n">
        <v>0</v>
      </c>
      <c r="G262" s="40" t="n">
        <v>0</v>
      </c>
      <c r="H262" s="40" t="n">
        <v>0</v>
      </c>
      <c r="I262" s="40" t="n">
        <v>0</v>
      </c>
      <c r="J262" s="40" t="n">
        <v>0</v>
      </c>
      <c r="K262" s="40" t="n">
        <v>0</v>
      </c>
      <c r="L262" s="40" t="n">
        <v>105.05</v>
      </c>
    </row>
    <row r="263" ht="12" customHeight="1">
      <c r="A263" s="30" t="inlineStr">
        <is>
          <t>ARE</t>
        </is>
      </c>
      <c r="B263" s="30" t="inlineStr">
        <is>
          <t>Areal</t>
        </is>
      </c>
      <c r="C263" s="30" t="n">
        <v>81830010</v>
      </c>
      <c r="D263" s="30">
        <f>"29516838000114"</f>
        <v/>
      </c>
      <c r="E263" s="30" t="inlineStr">
        <is>
          <t>RIO LOPES TRANSPORTES LTDA</t>
        </is>
      </c>
      <c r="F263" s="40" t="n">
        <v>14868.32</v>
      </c>
      <c r="G263" s="40" t="n">
        <v>0</v>
      </c>
      <c r="H263" s="40" t="n">
        <v>3442.15</v>
      </c>
      <c r="I263" s="40" t="n">
        <v>0</v>
      </c>
      <c r="J263" s="40" t="n">
        <v>0</v>
      </c>
      <c r="K263" s="40" t="n">
        <v>0</v>
      </c>
      <c r="L263" s="40" t="n">
        <v>0</v>
      </c>
    </row>
    <row r="264" ht="12" customHeight="1">
      <c r="A264" s="30" t="inlineStr">
        <is>
          <t>ARE</t>
        </is>
      </c>
      <c r="B264" s="30" t="inlineStr">
        <is>
          <t>Areal</t>
        </is>
      </c>
      <c r="C264" s="30" t="n">
        <v>81832331</v>
      </c>
      <c r="D264" s="30">
        <f>"43025774000503"</f>
        <v/>
      </c>
      <c r="E264" s="30" t="inlineStr">
        <is>
          <t>RODOVIARIO BEDIN LTDA</t>
        </is>
      </c>
      <c r="F264" s="40" t="n">
        <v>0</v>
      </c>
      <c r="G264" s="40" t="n">
        <v>0</v>
      </c>
      <c r="H264" s="40" t="n">
        <v>131.55</v>
      </c>
      <c r="I264" s="40" t="n">
        <v>276.25</v>
      </c>
      <c r="J264" s="40" t="n">
        <v>1199.87</v>
      </c>
      <c r="K264" s="40" t="n">
        <v>579.3200000000001</v>
      </c>
      <c r="L264" s="40" t="n">
        <v>304.28</v>
      </c>
    </row>
    <row r="265" ht="12" customHeight="1">
      <c r="A265" s="30" t="inlineStr">
        <is>
          <t>ARE</t>
        </is>
      </c>
      <c r="B265" s="30" t="inlineStr">
        <is>
          <t>Areal</t>
        </is>
      </c>
      <c r="C265" s="30" t="n">
        <v>81853053</v>
      </c>
      <c r="D265" s="30">
        <f>"17463456000271"</f>
        <v/>
      </c>
      <c r="E265" s="30" t="inlineStr">
        <is>
          <t>PATRUS TRANSPORTES LTDA</t>
        </is>
      </c>
      <c r="F265" s="40" t="n">
        <v>860.85</v>
      </c>
      <c r="G265" s="40" t="n">
        <v>167.02</v>
      </c>
      <c r="H265" s="40" t="n">
        <v>162.65</v>
      </c>
      <c r="I265" s="40" t="n">
        <v>267.47</v>
      </c>
      <c r="J265" s="40" t="n">
        <v>240.36</v>
      </c>
      <c r="K265" s="40" t="n">
        <v>0</v>
      </c>
      <c r="L265" s="40" t="n">
        <v>130.72</v>
      </c>
    </row>
    <row r="266" ht="12" customHeight="1">
      <c r="A266" s="30" t="inlineStr">
        <is>
          <t>ARE</t>
        </is>
      </c>
      <c r="B266" s="30" t="inlineStr">
        <is>
          <t>Areal</t>
        </is>
      </c>
      <c r="C266" s="30" t="n">
        <v>81909032</v>
      </c>
      <c r="D266" s="30">
        <f>"95591723001190"</f>
        <v/>
      </c>
      <c r="E266" s="30" t="inlineStr">
        <is>
          <t>TNT MERCURIO CARGAS E ENCOMENDAS EXPRESSAS LTDA</t>
        </is>
      </c>
      <c r="F266" s="40" t="n">
        <v>943.77</v>
      </c>
      <c r="G266" s="40" t="n">
        <v>94.47</v>
      </c>
      <c r="H266" s="40" t="n">
        <v>223827.73</v>
      </c>
      <c r="I266" s="40" t="n">
        <v>387954.72</v>
      </c>
      <c r="J266" s="40" t="n">
        <v>727495.3</v>
      </c>
      <c r="K266" s="40" t="n">
        <v>898076.98</v>
      </c>
      <c r="L266" s="40" t="n">
        <v>120157.52</v>
      </c>
    </row>
    <row r="267" ht="12" customHeight="1">
      <c r="A267" s="30" t="inlineStr">
        <is>
          <t>ARE</t>
        </is>
      </c>
      <c r="B267" s="30" t="inlineStr">
        <is>
          <t>Areal</t>
        </is>
      </c>
      <c r="C267" s="30" t="n">
        <v>81920184</v>
      </c>
      <c r="D267" s="30">
        <f>"29291184000259"</f>
        <v/>
      </c>
      <c r="E267" s="30" t="inlineStr">
        <is>
          <t>TRANSPORTES TONIATO LTDA</t>
        </is>
      </c>
      <c r="F267" s="40" t="n">
        <v>0</v>
      </c>
      <c r="G267" s="40" t="n">
        <v>132.07</v>
      </c>
      <c r="H267" s="40" t="n">
        <v>646.8200000000001</v>
      </c>
      <c r="I267" s="40" t="n">
        <v>0</v>
      </c>
      <c r="J267" s="40" t="n">
        <v>0</v>
      </c>
      <c r="K267" s="40" t="n">
        <v>120249.38</v>
      </c>
      <c r="L267" s="40" t="n">
        <v>23857.8</v>
      </c>
    </row>
    <row r="268" ht="12" customHeight="1">
      <c r="A268" s="30" t="inlineStr">
        <is>
          <t>ARE</t>
        </is>
      </c>
      <c r="B268" s="30" t="inlineStr">
        <is>
          <t>Areal</t>
        </is>
      </c>
      <c r="C268" s="30" t="n">
        <v>81921490</v>
      </c>
      <c r="D268" s="30">
        <f>"10970887000870"</f>
        <v/>
      </c>
      <c r="E268" s="30" t="inlineStr">
        <is>
          <t>FEDEX BRASIL LOGISTICA E TRANSPORTE LTDA</t>
        </is>
      </c>
      <c r="F268" s="40" t="n">
        <v>4950.83</v>
      </c>
      <c r="G268" s="40" t="n">
        <v>274.14</v>
      </c>
      <c r="H268" s="40" t="n">
        <v>0</v>
      </c>
      <c r="I268" s="40" t="n">
        <v>0</v>
      </c>
      <c r="J268" s="40" t="n">
        <v>0</v>
      </c>
      <c r="K268" s="40" t="n">
        <v>0</v>
      </c>
      <c r="L268" s="40" t="n">
        <v>0</v>
      </c>
    </row>
    <row r="269" ht="12" customHeight="1">
      <c r="A269" s="30" t="inlineStr">
        <is>
          <t>ARE</t>
        </is>
      </c>
      <c r="B269" s="30" t="inlineStr">
        <is>
          <t>Areal</t>
        </is>
      </c>
      <c r="C269" s="30" t="n">
        <v>81926743</v>
      </c>
      <c r="D269" s="30">
        <f>"20147617001113"</f>
        <v/>
      </c>
      <c r="E269" s="30" t="inlineStr">
        <is>
          <t>JAMEF TRANSPORTES EIRELI</t>
        </is>
      </c>
      <c r="F269" s="40" t="n">
        <v>1560.4</v>
      </c>
      <c r="G269" s="40" t="n">
        <v>4877.26</v>
      </c>
      <c r="H269" s="40" t="n">
        <v>1889.29</v>
      </c>
      <c r="I269" s="40" t="n">
        <v>1579.42</v>
      </c>
      <c r="J269" s="40" t="n">
        <v>2077.08</v>
      </c>
      <c r="K269" s="40" t="n">
        <v>8794.389999999999</v>
      </c>
      <c r="L269" s="40" t="n">
        <v>6151.74</v>
      </c>
    </row>
    <row r="270" ht="12" customHeight="1">
      <c r="A270" s="30" t="inlineStr">
        <is>
          <t>ARE</t>
        </is>
      </c>
      <c r="B270" s="30" t="inlineStr">
        <is>
          <t>Areal</t>
        </is>
      </c>
      <c r="C270" s="30" t="n">
        <v>81955018</v>
      </c>
      <c r="D270" s="30">
        <f>"29370103000125"</f>
        <v/>
      </c>
      <c r="E270" s="30" t="inlineStr">
        <is>
          <t>SILTRAN RODOVIARIO EIRELI</t>
        </is>
      </c>
      <c r="F270" s="40" t="n">
        <v>0</v>
      </c>
      <c r="G270" s="40" t="n">
        <v>500</v>
      </c>
      <c r="H270" s="40" t="n">
        <v>500</v>
      </c>
      <c r="I270" s="40" t="n">
        <v>0</v>
      </c>
      <c r="J270" s="40" t="n">
        <v>0</v>
      </c>
      <c r="K270" s="40" t="n">
        <v>0</v>
      </c>
      <c r="L270" s="40" t="n">
        <v>0</v>
      </c>
    </row>
    <row r="271" ht="12" customHeight="1">
      <c r="A271" s="30" t="inlineStr">
        <is>
          <t>ARE</t>
        </is>
      </c>
      <c r="B271" s="30" t="inlineStr">
        <is>
          <t>Areal</t>
        </is>
      </c>
      <c r="C271" s="30" t="n">
        <v>83511621</v>
      </c>
      <c r="D271" s="30">
        <f>"36147437000108"</f>
        <v/>
      </c>
      <c r="E271" s="30" t="inlineStr">
        <is>
          <t>COMERCIO DE ALIMENTOS SAO JORGE DO AREAL LTDA ME</t>
        </is>
      </c>
      <c r="F271" s="40" t="n">
        <v>0</v>
      </c>
      <c r="G271" s="40" t="n">
        <v>0</v>
      </c>
      <c r="H271" s="40" t="n">
        <v>89608.24000000001</v>
      </c>
      <c r="I271" s="40" t="n">
        <v>0</v>
      </c>
      <c r="J271" s="40" t="n">
        <v>0</v>
      </c>
      <c r="K271" s="40" t="n">
        <v>0</v>
      </c>
      <c r="L271" s="40" t="n">
        <v>0</v>
      </c>
    </row>
    <row r="272" ht="12" customHeight="1">
      <c r="A272" s="30" t="inlineStr">
        <is>
          <t>ARE</t>
        </is>
      </c>
      <c r="B272" s="30" t="inlineStr">
        <is>
          <t>Areal</t>
        </is>
      </c>
      <c r="C272" s="30" t="n">
        <v>83649569</v>
      </c>
      <c r="D272" s="30">
        <f>"21562418000324"</f>
        <v/>
      </c>
      <c r="E272" s="30" t="inlineStr">
        <is>
          <t>COOPERATIVA TRANSPORTADORA DE PETROLEO E DERIVADOS LTDA</t>
        </is>
      </c>
      <c r="F272" s="40" t="n">
        <v>0</v>
      </c>
      <c r="G272" s="40" t="n">
        <v>0</v>
      </c>
      <c r="H272" s="40" t="n">
        <v>0</v>
      </c>
      <c r="I272" s="40" t="n">
        <v>150096</v>
      </c>
      <c r="J272" s="40" t="n">
        <v>159049</v>
      </c>
      <c r="K272" s="40" t="n">
        <v>138163.66</v>
      </c>
      <c r="L272" s="40" t="n">
        <v>19764.51</v>
      </c>
    </row>
    <row r="273" ht="12" customHeight="1">
      <c r="A273" s="30" t="inlineStr">
        <is>
          <t>ARE</t>
        </is>
      </c>
      <c r="B273" s="30" t="inlineStr">
        <is>
          <t>Areal</t>
        </is>
      </c>
      <c r="C273" s="30" t="n">
        <v>83788658</v>
      </c>
      <c r="D273" s="30">
        <f>"29453826000279"</f>
        <v/>
      </c>
      <c r="E273" s="30" t="inlineStr">
        <is>
          <t>TRANSPORTE GENEROSO LTDA</t>
        </is>
      </c>
      <c r="F273" s="40" t="n">
        <v>0</v>
      </c>
      <c r="G273" s="40" t="n">
        <v>0</v>
      </c>
      <c r="H273" s="40" t="n">
        <v>0</v>
      </c>
      <c r="I273" s="40" t="n">
        <v>0</v>
      </c>
      <c r="J273" s="40" t="n">
        <v>0</v>
      </c>
      <c r="K273" s="40" t="n">
        <v>3012.11</v>
      </c>
      <c r="L273" s="40" t="n">
        <v>920</v>
      </c>
    </row>
    <row r="274" ht="12" customHeight="1">
      <c r="A274" s="30" t="inlineStr">
        <is>
          <t>ARE</t>
        </is>
      </c>
      <c r="B274" s="30" t="inlineStr">
        <is>
          <t>Areal</t>
        </is>
      </c>
      <c r="C274" s="30" t="n">
        <v>83799366</v>
      </c>
      <c r="D274" s="30">
        <f>"60860087000360"</f>
        <v/>
      </c>
      <c r="E274" s="30" t="inlineStr">
        <is>
          <t>BRINK"S SEGURANCA E TRANSPORTE DE VALORES LTDA</t>
        </is>
      </c>
      <c r="F274" s="40" t="n">
        <v>0</v>
      </c>
      <c r="G274" s="40" t="n">
        <v>0</v>
      </c>
      <c r="H274" s="40" t="n">
        <v>0</v>
      </c>
      <c r="I274" s="40" t="n">
        <v>0</v>
      </c>
      <c r="J274" s="40" t="n">
        <v>0</v>
      </c>
      <c r="K274" s="40" t="n">
        <v>2245.89</v>
      </c>
      <c r="L274" s="40" t="n">
        <v>0</v>
      </c>
    </row>
    <row r="275" ht="12" customHeight="1">
      <c r="A275" s="30" t="inlineStr">
        <is>
          <t>ARE</t>
        </is>
      </c>
      <c r="B275" s="30" t="inlineStr">
        <is>
          <t>Areal</t>
        </is>
      </c>
      <c r="C275" s="30" t="n">
        <v>83824735</v>
      </c>
      <c r="D275" s="30">
        <f>"34146175000123"</f>
        <v/>
      </c>
      <c r="E275" s="30" t="inlineStr">
        <is>
          <t>EMPRESA DE TRANSPORTE ANGELA LTDA ME</t>
        </is>
      </c>
      <c r="F275" s="40" t="n">
        <v>0</v>
      </c>
      <c r="G275" s="40" t="n">
        <v>0</v>
      </c>
      <c r="H275" s="40" t="n">
        <v>0</v>
      </c>
      <c r="I275" s="40" t="n">
        <v>0</v>
      </c>
      <c r="J275" s="40" t="n">
        <v>0</v>
      </c>
      <c r="K275" s="40" t="n">
        <v>3900</v>
      </c>
      <c r="L275" s="40" t="n">
        <v>0</v>
      </c>
    </row>
    <row r="276" ht="12" customHeight="1">
      <c r="A276" s="30" t="inlineStr">
        <is>
          <t>ARE</t>
        </is>
      </c>
      <c r="B276" s="30" t="inlineStr">
        <is>
          <t>Areal</t>
        </is>
      </c>
      <c r="C276" s="30" t="n">
        <v>83848413</v>
      </c>
      <c r="D276" s="30">
        <f>"31134885000145"</f>
        <v/>
      </c>
      <c r="E276" s="30" t="inlineStr">
        <is>
          <t>TRANSPORTES UNICA PETROPOLIS LTDA</t>
        </is>
      </c>
      <c r="F276" s="40" t="n">
        <v>0</v>
      </c>
      <c r="G276" s="40" t="n">
        <v>0</v>
      </c>
      <c r="H276" s="40" t="n">
        <v>0</v>
      </c>
      <c r="I276" s="40" t="n">
        <v>44.82</v>
      </c>
      <c r="J276" s="40" t="n">
        <v>44.82</v>
      </c>
      <c r="K276" s="40" t="n">
        <v>274.8</v>
      </c>
      <c r="L276" s="40" t="n">
        <v>413.62</v>
      </c>
    </row>
    <row r="277" ht="12" customHeight="1">
      <c r="A277" s="30" t="inlineStr">
        <is>
          <t>ARE</t>
        </is>
      </c>
      <c r="B277" s="30" t="inlineStr">
        <is>
          <t>Areal</t>
        </is>
      </c>
      <c r="C277" s="30" t="n">
        <v>83878312</v>
      </c>
      <c r="D277" s="30">
        <f>"28702777000117"</f>
        <v/>
      </c>
      <c r="E277" s="30" t="inlineStr">
        <is>
          <t>TRANSPORTE ESCOLAR E TURISMO TIO ZE LTDA</t>
        </is>
      </c>
      <c r="F277" s="40" t="n">
        <v>1460</v>
      </c>
      <c r="G277" s="40" t="n">
        <v>0</v>
      </c>
      <c r="H277" s="40" t="n">
        <v>0</v>
      </c>
      <c r="I277" s="40" t="n">
        <v>0</v>
      </c>
      <c r="J277" s="40" t="n">
        <v>0</v>
      </c>
      <c r="K277" s="40" t="n">
        <v>0</v>
      </c>
      <c r="L277" s="40" t="n">
        <v>0</v>
      </c>
    </row>
    <row r="278" ht="12" customHeight="1">
      <c r="A278" s="30" t="inlineStr">
        <is>
          <t>ARE</t>
        </is>
      </c>
      <c r="B278" s="30" t="inlineStr">
        <is>
          <t>Areal</t>
        </is>
      </c>
      <c r="C278" s="30" t="n">
        <v>84089109</v>
      </c>
      <c r="D278" s="30">
        <f>"17191172000516"</f>
        <v/>
      </c>
      <c r="E278" s="30" t="inlineStr">
        <is>
          <t>EMPRESA DE TRANSPORTES MARTINS LTDA</t>
        </is>
      </c>
      <c r="F278" s="40" t="n">
        <v>0</v>
      </c>
      <c r="G278" s="40" t="n">
        <v>0</v>
      </c>
      <c r="H278" s="40" t="n">
        <v>0</v>
      </c>
      <c r="I278" s="40" t="n">
        <v>0</v>
      </c>
      <c r="J278" s="40" t="n">
        <v>1134.16</v>
      </c>
      <c r="K278" s="40" t="n">
        <v>156.67</v>
      </c>
      <c r="L278" s="40" t="n">
        <v>0</v>
      </c>
    </row>
    <row r="279" ht="12" customHeight="1">
      <c r="A279" s="30" t="inlineStr">
        <is>
          <t>ARE</t>
        </is>
      </c>
      <c r="B279" s="30" t="inlineStr">
        <is>
          <t>Areal</t>
        </is>
      </c>
      <c r="C279" s="30" t="n">
        <v>84200395</v>
      </c>
      <c r="D279" s="30">
        <f>"17676693000130"</f>
        <v/>
      </c>
      <c r="E279" s="30" t="inlineStr">
        <is>
          <t>M W TRANSPORTES LTDA</t>
        </is>
      </c>
      <c r="F279" s="40" t="n">
        <v>0</v>
      </c>
      <c r="G279" s="40" t="n">
        <v>112.74</v>
      </c>
      <c r="H279" s="40" t="n">
        <v>458.74</v>
      </c>
      <c r="I279" s="40" t="n">
        <v>330.88</v>
      </c>
      <c r="J279" s="40" t="n">
        <v>0</v>
      </c>
      <c r="K279" s="40" t="n">
        <v>0</v>
      </c>
      <c r="L279" s="40" t="n">
        <v>0</v>
      </c>
    </row>
    <row r="280" ht="12" customHeight="1">
      <c r="A280" s="30" t="inlineStr">
        <is>
          <t>ARE</t>
        </is>
      </c>
      <c r="B280" s="30" t="inlineStr">
        <is>
          <t>Areal</t>
        </is>
      </c>
      <c r="C280" s="30" t="n">
        <v>84326992</v>
      </c>
      <c r="D280" s="30">
        <f>"32314247000179"</f>
        <v/>
      </c>
      <c r="E280" s="30" t="inlineStr">
        <is>
          <t>MTD TRANSPORTES LTDA</t>
        </is>
      </c>
      <c r="F280" s="40" t="n">
        <v>0</v>
      </c>
      <c r="G280" s="40" t="n">
        <v>53.75</v>
      </c>
      <c r="H280" s="40" t="n">
        <v>0</v>
      </c>
      <c r="I280" s="40" t="n">
        <v>0</v>
      </c>
      <c r="J280" s="40" t="n">
        <v>23.13</v>
      </c>
      <c r="K280" s="40" t="n">
        <v>0</v>
      </c>
      <c r="L280" s="40" t="n">
        <v>0</v>
      </c>
    </row>
    <row r="281" ht="12" customHeight="1">
      <c r="A281" s="30" t="inlineStr">
        <is>
          <t>ARE</t>
        </is>
      </c>
      <c r="B281" s="30" t="inlineStr">
        <is>
          <t>Areal</t>
        </is>
      </c>
      <c r="C281" s="30" t="n">
        <v>84327093</v>
      </c>
      <c r="D281" s="30">
        <f>"66199068000311"</f>
        <v/>
      </c>
      <c r="E281" s="30" t="inlineStr">
        <is>
          <t>RAPIDO ALEM PARAIBA LTDA</t>
        </is>
      </c>
      <c r="F281" s="40" t="n">
        <v>0</v>
      </c>
      <c r="G281" s="40" t="n">
        <v>111</v>
      </c>
      <c r="H281" s="40" t="n">
        <v>0</v>
      </c>
      <c r="I281" s="40" t="n">
        <v>0</v>
      </c>
      <c r="J281" s="40" t="n">
        <v>0</v>
      </c>
      <c r="K281" s="40" t="n">
        <v>0</v>
      </c>
      <c r="L281" s="40" t="n">
        <v>0</v>
      </c>
    </row>
    <row r="282" ht="12" customHeight="1">
      <c r="A282" s="30" t="inlineStr">
        <is>
          <t>ARE</t>
        </is>
      </c>
      <c r="B282" s="30" t="inlineStr">
        <is>
          <t>Areal</t>
        </is>
      </c>
      <c r="C282" s="30" t="n">
        <v>84327565</v>
      </c>
      <c r="D282" s="30">
        <f>"19451038000370"</f>
        <v/>
      </c>
      <c r="E282" s="30" t="inlineStr">
        <is>
          <t>RODOVIARIO CAMILO DOS SANTOS FILHO LTDA</t>
        </is>
      </c>
      <c r="F282" s="40" t="n">
        <v>0</v>
      </c>
      <c r="G282" s="40" t="n">
        <v>45.55</v>
      </c>
      <c r="H282" s="40" t="n">
        <v>0</v>
      </c>
      <c r="I282" s="40" t="n">
        <v>0</v>
      </c>
      <c r="J282" s="40" t="n">
        <v>0</v>
      </c>
      <c r="K282" s="40" t="n">
        <v>485.64</v>
      </c>
      <c r="L282" s="40" t="n">
        <v>386.2</v>
      </c>
    </row>
    <row r="283" ht="12" customHeight="1">
      <c r="A283" s="30" t="inlineStr">
        <is>
          <t>ARE</t>
        </is>
      </c>
      <c r="B283" s="30" t="inlineStr">
        <is>
          <t>Areal</t>
        </is>
      </c>
      <c r="C283" s="30" t="n">
        <v>84422681</v>
      </c>
      <c r="D283" s="30">
        <f>"68654987000100"</f>
        <v/>
      </c>
      <c r="E283" s="30" t="inlineStr">
        <is>
          <t>SATEC TERRAPLENAGEM E CONSTRUCAO LTDA</t>
        </is>
      </c>
      <c r="F283" s="40" t="n">
        <v>0</v>
      </c>
      <c r="G283" s="40" t="n">
        <v>0</v>
      </c>
      <c r="H283" s="40" t="n">
        <v>0</v>
      </c>
      <c r="I283" s="40" t="n">
        <v>0</v>
      </c>
      <c r="J283" s="40" t="n">
        <v>0</v>
      </c>
      <c r="K283" s="40" t="n">
        <v>0</v>
      </c>
      <c r="L283" s="40" t="n">
        <v>0</v>
      </c>
    </row>
    <row r="284" ht="12" customHeight="1">
      <c r="A284" s="30" t="inlineStr">
        <is>
          <t>ARE</t>
        </is>
      </c>
      <c r="B284" s="30" t="inlineStr">
        <is>
          <t>Areal</t>
        </is>
      </c>
      <c r="C284" s="30" t="n">
        <v>84494968</v>
      </c>
      <c r="D284" s="30">
        <f>"01472702000130"</f>
        <v/>
      </c>
      <c r="E284" s="30" t="inlineStr">
        <is>
          <t>C COMTELECOM SERVICOS LTDA ME</t>
        </is>
      </c>
      <c r="F284" s="40" t="n">
        <v>0</v>
      </c>
      <c r="G284" s="40" t="n">
        <v>0</v>
      </c>
      <c r="H284" s="40" t="n">
        <v>0</v>
      </c>
      <c r="I284" s="40" t="n">
        <v>0</v>
      </c>
      <c r="J284" s="40" t="n">
        <v>0</v>
      </c>
      <c r="K284" s="40" t="n">
        <v>708484.22</v>
      </c>
      <c r="L284" s="40" t="n">
        <v>208214.74</v>
      </c>
    </row>
    <row r="285" ht="12" customHeight="1">
      <c r="A285" s="30" t="inlineStr">
        <is>
          <t>ARE</t>
        </is>
      </c>
      <c r="B285" s="30" t="inlineStr">
        <is>
          <t>Areal</t>
        </is>
      </c>
      <c r="C285" s="30" t="n">
        <v>84510874</v>
      </c>
      <c r="D285" s="30">
        <f>"40442949000166"</f>
        <v/>
      </c>
      <c r="E285" s="30" t="inlineStr">
        <is>
          <t>TRANSPORTADORA XARA RIO EIRELI</t>
        </is>
      </c>
      <c r="F285" s="40" t="n">
        <v>0</v>
      </c>
      <c r="G285" s="40" t="n">
        <v>0</v>
      </c>
      <c r="H285" s="40" t="n">
        <v>0</v>
      </c>
      <c r="I285" s="40" t="n">
        <v>107.16</v>
      </c>
      <c r="J285" s="40" t="n">
        <v>4431.69</v>
      </c>
      <c r="K285" s="40" t="n">
        <v>0</v>
      </c>
      <c r="L285" s="40" t="n">
        <v>0</v>
      </c>
    </row>
    <row r="286" ht="12" customHeight="1">
      <c r="A286" s="30" t="inlineStr">
        <is>
          <t>ARE</t>
        </is>
      </c>
      <c r="B286" s="30" t="inlineStr">
        <is>
          <t>Areal</t>
        </is>
      </c>
      <c r="C286" s="30" t="n">
        <v>84702021</v>
      </c>
      <c r="D286" s="30">
        <f>"43035146002048"</f>
        <v/>
      </c>
      <c r="E286" s="30" t="inlineStr">
        <is>
          <t>PROTEGE SOCIEDADE ANONIMA PROTECAO E TRANSPORTE DE VALORES</t>
        </is>
      </c>
      <c r="F286" s="40" t="n">
        <v>119566.85</v>
      </c>
      <c r="G286" s="40" t="n">
        <v>139928.9</v>
      </c>
      <c r="H286" s="40" t="n">
        <v>144782.95</v>
      </c>
      <c r="I286" s="40" t="n">
        <v>142857.99</v>
      </c>
      <c r="J286" s="40" t="n">
        <v>124851.08</v>
      </c>
      <c r="K286" s="40" t="n">
        <v>91681.41</v>
      </c>
      <c r="L286" s="40" t="n">
        <v>0</v>
      </c>
    </row>
    <row r="287" ht="12" customHeight="1">
      <c r="A287" s="30" t="inlineStr">
        <is>
          <t>ARE</t>
        </is>
      </c>
      <c r="B287" s="30" t="inlineStr">
        <is>
          <t>Areal</t>
        </is>
      </c>
      <c r="C287" s="30" t="n">
        <v>85071424</v>
      </c>
      <c r="D287" s="30">
        <f>"73222150000113"</f>
        <v/>
      </c>
      <c r="E287" s="30" t="inlineStr">
        <is>
          <t>C W I POUSADA LTDA</t>
        </is>
      </c>
      <c r="F287" s="40" t="n">
        <v>0</v>
      </c>
      <c r="G287" s="40" t="n">
        <v>0</v>
      </c>
      <c r="H287" s="40" t="n">
        <v>0</v>
      </c>
      <c r="I287" s="40" t="n">
        <v>0</v>
      </c>
      <c r="J287" s="40" t="n">
        <v>0</v>
      </c>
      <c r="K287" s="40" t="n">
        <v>0</v>
      </c>
      <c r="L287" s="40" t="n">
        <v>0</v>
      </c>
    </row>
    <row r="288" ht="12" customHeight="1">
      <c r="A288" s="30" t="inlineStr">
        <is>
          <t>ARE</t>
        </is>
      </c>
      <c r="B288" s="30" t="inlineStr">
        <is>
          <t>Areal</t>
        </is>
      </c>
      <c r="C288" s="30" t="n">
        <v>85071491</v>
      </c>
      <c r="D288" s="30">
        <f>"39754031000173"</f>
        <v/>
      </c>
      <c r="E288" s="30" t="inlineStr">
        <is>
          <t>ELUMAX MATERIAIS ELETRICOS HIDRAULICOS E DE CONSTRUCAO LTDA ME</t>
        </is>
      </c>
      <c r="F288" s="40" t="n">
        <v>0</v>
      </c>
      <c r="G288" s="40" t="n">
        <v>1543.81</v>
      </c>
      <c r="H288" s="40" t="n">
        <v>0</v>
      </c>
      <c r="I288" s="40" t="n">
        <v>69048.53999999999</v>
      </c>
      <c r="J288" s="40" t="n">
        <v>33059.24</v>
      </c>
      <c r="K288" s="40" t="n">
        <v>46467.34</v>
      </c>
      <c r="L288" s="40" t="n">
        <v>0</v>
      </c>
    </row>
    <row r="289" ht="12" customHeight="1">
      <c r="A289" s="30" t="inlineStr">
        <is>
          <t>ARE</t>
        </is>
      </c>
      <c r="B289" s="30" t="inlineStr">
        <is>
          <t>Areal</t>
        </is>
      </c>
      <c r="C289" s="30" t="n">
        <v>85071742</v>
      </c>
      <c r="D289" s="30">
        <f>"00165085000168"</f>
        <v/>
      </c>
      <c r="E289" s="30" t="inlineStr">
        <is>
          <t>F.A.S KAPPLER COMÉRCIO EIRELI</t>
        </is>
      </c>
      <c r="F289" s="40" t="n">
        <v>111741.01</v>
      </c>
      <c r="G289" s="40" t="n">
        <v>0</v>
      </c>
      <c r="H289" s="40" t="n">
        <v>0</v>
      </c>
      <c r="I289" s="40" t="n">
        <v>0</v>
      </c>
      <c r="J289" s="40" t="n">
        <v>0</v>
      </c>
      <c r="K289" s="40" t="n">
        <v>0</v>
      </c>
      <c r="L289" s="40" t="n">
        <v>0</v>
      </c>
    </row>
    <row r="290" ht="12" customHeight="1">
      <c r="A290" s="30" t="inlineStr">
        <is>
          <t>ARE</t>
        </is>
      </c>
      <c r="B290" s="30" t="inlineStr">
        <is>
          <t>Areal</t>
        </is>
      </c>
      <c r="C290" s="30" t="n">
        <v>85072188</v>
      </c>
      <c r="D290" s="30">
        <f>"01083133000131"</f>
        <v/>
      </c>
      <c r="E290" s="30" t="inlineStr">
        <is>
          <t>AREAL - SAT ELETROMOVEIS LTDA ME</t>
        </is>
      </c>
      <c r="F290" s="40" t="n">
        <v>0</v>
      </c>
      <c r="G290" s="40" t="n">
        <v>0</v>
      </c>
      <c r="H290" s="40" t="n">
        <v>0</v>
      </c>
      <c r="I290" s="40" t="n">
        <v>0</v>
      </c>
      <c r="J290" s="40" t="n">
        <v>0</v>
      </c>
      <c r="K290" s="40" t="n">
        <v>0</v>
      </c>
      <c r="L290" s="40" t="n">
        <v>0</v>
      </c>
    </row>
    <row r="291" ht="12" customHeight="1">
      <c r="A291" s="30" t="inlineStr">
        <is>
          <t>ARE</t>
        </is>
      </c>
      <c r="B291" s="30" t="inlineStr">
        <is>
          <t>Areal</t>
        </is>
      </c>
      <c r="C291" s="30" t="n">
        <v>85152785</v>
      </c>
      <c r="D291" s="30">
        <f>"01370655000114"</f>
        <v/>
      </c>
      <c r="E291" s="30" t="inlineStr">
        <is>
          <t>VALE DAS BATATAS ALIMENTOS LTDA</t>
        </is>
      </c>
      <c r="F291" s="40" t="n">
        <v>0</v>
      </c>
      <c r="G291" s="40" t="n">
        <v>0</v>
      </c>
      <c r="H291" s="40" t="n">
        <v>0</v>
      </c>
      <c r="I291" s="40" t="n">
        <v>102478.76</v>
      </c>
      <c r="J291" s="40" t="n">
        <v>255942.79</v>
      </c>
      <c r="K291" s="40" t="n">
        <v>252338.49</v>
      </c>
      <c r="L291" s="40" t="n">
        <v>586417.5600000001</v>
      </c>
    </row>
    <row r="292" ht="12" customHeight="1">
      <c r="A292" s="30" t="inlineStr">
        <is>
          <t>ARE</t>
        </is>
      </c>
      <c r="B292" s="30" t="inlineStr">
        <is>
          <t>Areal</t>
        </is>
      </c>
      <c r="C292" s="30" t="n">
        <v>85153668</v>
      </c>
      <c r="D292" s="30">
        <f>"03328332000198"</f>
        <v/>
      </c>
      <c r="E292" s="30" t="inlineStr">
        <is>
          <t>CONCRETAO MATERIIAS DE CONSTRUCAO LTDA ME</t>
        </is>
      </c>
      <c r="F292" s="40" t="n">
        <v>0</v>
      </c>
      <c r="G292" s="40" t="n">
        <v>0</v>
      </c>
      <c r="H292" s="40" t="n">
        <v>0</v>
      </c>
      <c r="I292" s="40" t="n">
        <v>0</v>
      </c>
      <c r="J292" s="40" t="n">
        <v>0</v>
      </c>
      <c r="K292" s="40" t="n">
        <v>0</v>
      </c>
      <c r="L292" s="40" t="n">
        <v>0</v>
      </c>
    </row>
    <row r="293" ht="12" customHeight="1">
      <c r="A293" s="30" t="inlineStr">
        <is>
          <t>ARE</t>
        </is>
      </c>
      <c r="B293" s="30" t="inlineStr">
        <is>
          <t>Areal</t>
        </is>
      </c>
      <c r="C293" s="30" t="n">
        <v>85153846</v>
      </c>
      <c r="D293" s="30">
        <f>"02728331000178"</f>
        <v/>
      </c>
      <c r="E293" s="30" t="inlineStr">
        <is>
          <t>STAMP COR INDUSTRIA E COMERCIO DE PRODUTOS SERIGRAFICOS LTDA ME</t>
        </is>
      </c>
      <c r="F293" s="40" t="n">
        <v>0</v>
      </c>
      <c r="G293" s="40" t="n">
        <v>0</v>
      </c>
      <c r="H293" s="40" t="n">
        <v>0</v>
      </c>
      <c r="I293" s="40" t="n">
        <v>0</v>
      </c>
      <c r="J293" s="40" t="n">
        <v>245998.35</v>
      </c>
      <c r="K293" s="40" t="n">
        <v>0</v>
      </c>
      <c r="L293" s="40" t="n">
        <v>0</v>
      </c>
    </row>
    <row r="294" ht="12" customHeight="1">
      <c r="A294" s="30" t="inlineStr">
        <is>
          <t>ARE</t>
        </is>
      </c>
      <c r="B294" s="30" t="inlineStr">
        <is>
          <t>Areal</t>
        </is>
      </c>
      <c r="C294" s="30" t="n">
        <v>85153862</v>
      </c>
      <c r="D294" s="30">
        <f>"03646695000171"</f>
        <v/>
      </c>
      <c r="E294" s="30" t="inlineStr">
        <is>
          <t>AUTO POSTO ROTA 40 LTDA</t>
        </is>
      </c>
      <c r="F294" s="40" t="n">
        <v>130145.28</v>
      </c>
      <c r="G294" s="40" t="n">
        <v>832871.51</v>
      </c>
      <c r="H294" s="40" t="n">
        <v>905552.28</v>
      </c>
      <c r="I294" s="40" t="n">
        <v>684484.36</v>
      </c>
      <c r="J294" s="40" t="n">
        <v>886361.37</v>
      </c>
      <c r="K294" s="40" t="n">
        <v>523487.72</v>
      </c>
      <c r="L294" s="40" t="n">
        <v>0</v>
      </c>
    </row>
    <row r="295" ht="12" customHeight="1">
      <c r="A295" s="30" t="inlineStr">
        <is>
          <t>ARE</t>
        </is>
      </c>
      <c r="B295" s="30" t="inlineStr">
        <is>
          <t>Areal</t>
        </is>
      </c>
      <c r="C295" s="30" t="n">
        <v>85154117</v>
      </c>
      <c r="D295" s="30">
        <f>"04264441000151"</f>
        <v/>
      </c>
      <c r="E295" s="30" t="inlineStr">
        <is>
          <t>MMS DISTRIBUIDORA LTDA</t>
        </is>
      </c>
      <c r="F295" s="40" t="n">
        <v>0</v>
      </c>
      <c r="G295" s="40" t="n">
        <v>0</v>
      </c>
      <c r="H295" s="40" t="n">
        <v>0</v>
      </c>
      <c r="I295" s="40" t="n">
        <v>50951.67</v>
      </c>
      <c r="J295" s="40" t="n">
        <v>0</v>
      </c>
      <c r="K295" s="40" t="n">
        <v>51007.19</v>
      </c>
      <c r="L295" s="40" t="n">
        <v>0</v>
      </c>
    </row>
    <row r="296" ht="12" customHeight="1">
      <c r="A296" s="30" t="inlineStr">
        <is>
          <t>ARE</t>
        </is>
      </c>
      <c r="B296" s="30" t="inlineStr">
        <is>
          <t>Areal</t>
        </is>
      </c>
      <c r="C296" s="30" t="n">
        <v>85206672</v>
      </c>
      <c r="D296" s="30">
        <f>"88009030000452"</f>
        <v/>
      </c>
      <c r="E296" s="30" t="inlineStr">
        <is>
          <t>MODULAR TRANSPORTES LTDA</t>
        </is>
      </c>
      <c r="F296" s="40" t="n">
        <v>0</v>
      </c>
      <c r="G296" s="40" t="n">
        <v>0</v>
      </c>
      <c r="H296" s="40" t="n">
        <v>0</v>
      </c>
      <c r="I296" s="40" t="n">
        <v>0</v>
      </c>
      <c r="J296" s="40" t="n">
        <v>0</v>
      </c>
      <c r="K296" s="40" t="n">
        <v>810</v>
      </c>
      <c r="L296" s="40" t="n">
        <v>0</v>
      </c>
    </row>
    <row r="297" ht="12" customHeight="1">
      <c r="A297" s="30" t="inlineStr">
        <is>
          <t>ARE</t>
        </is>
      </c>
      <c r="B297" s="30" t="inlineStr">
        <is>
          <t>Areal</t>
        </is>
      </c>
      <c r="C297" s="30" t="n">
        <v>85206729</v>
      </c>
      <c r="D297" s="30">
        <f>"29553609000170"</f>
        <v/>
      </c>
      <c r="E297" s="30" t="inlineStr">
        <is>
          <t>AUTO ONIBUS FAGUNDES LTDA</t>
        </is>
      </c>
      <c r="F297" s="40" t="n">
        <v>1420</v>
      </c>
      <c r="G297" s="40" t="n">
        <v>0</v>
      </c>
      <c r="H297" s="40" t="n">
        <v>1660</v>
      </c>
      <c r="I297" s="40" t="n">
        <v>0</v>
      </c>
      <c r="J297" s="40" t="n">
        <v>0</v>
      </c>
      <c r="K297" s="40" t="n">
        <v>0</v>
      </c>
      <c r="L297" s="40" t="n">
        <v>0</v>
      </c>
    </row>
    <row r="298" ht="12" customHeight="1">
      <c r="A298" s="30" t="inlineStr">
        <is>
          <t>ARE</t>
        </is>
      </c>
      <c r="B298" s="30" t="inlineStr">
        <is>
          <t>Areal</t>
        </is>
      </c>
      <c r="C298" s="30" t="n">
        <v>85208527</v>
      </c>
      <c r="D298" s="30">
        <f>"23864838000633"</f>
        <v/>
      </c>
      <c r="E298" s="30" t="inlineStr">
        <is>
          <t>MOVVI LOGISTICA LTDA</t>
        </is>
      </c>
      <c r="F298" s="40" t="n">
        <v>4316.83</v>
      </c>
      <c r="G298" s="40" t="n">
        <v>554.5700000000001</v>
      </c>
      <c r="H298" s="40" t="n">
        <v>133.57</v>
      </c>
      <c r="I298" s="40" t="n">
        <v>99.78</v>
      </c>
      <c r="J298" s="40" t="n">
        <v>67.84</v>
      </c>
      <c r="K298" s="40" t="n">
        <v>1800</v>
      </c>
      <c r="L298" s="40" t="n">
        <v>233.67</v>
      </c>
    </row>
    <row r="299" ht="12" customHeight="1">
      <c r="A299" s="30" t="inlineStr">
        <is>
          <t>ARE</t>
        </is>
      </c>
      <c r="B299" s="30" t="inlineStr">
        <is>
          <t>Areal</t>
        </is>
      </c>
      <c r="C299" s="30" t="n">
        <v>85390449</v>
      </c>
      <c r="D299" s="30">
        <f>"17428731005447"</f>
        <v/>
      </c>
      <c r="E299" s="30" t="inlineStr">
        <is>
          <t>PROSEGUR BRASIL S/A</t>
        </is>
      </c>
      <c r="F299" s="40" t="n">
        <v>0</v>
      </c>
      <c r="G299" s="40" t="n">
        <v>0</v>
      </c>
      <c r="H299" s="40" t="n">
        <v>0</v>
      </c>
      <c r="I299" s="40" t="n">
        <v>0</v>
      </c>
      <c r="J299" s="40" t="n">
        <v>22489.72</v>
      </c>
      <c r="K299" s="40" t="n">
        <v>67073.85000000001</v>
      </c>
      <c r="L299" s="40" t="n">
        <v>5396.14</v>
      </c>
    </row>
    <row r="300" ht="12" customHeight="1">
      <c r="A300" s="30" t="inlineStr">
        <is>
          <t>ARE</t>
        </is>
      </c>
      <c r="B300" s="30" t="inlineStr">
        <is>
          <t>Areal</t>
        </is>
      </c>
      <c r="C300" s="30" t="n">
        <v>85454455</v>
      </c>
      <c r="D300" s="30">
        <f>"00468285000190"</f>
        <v/>
      </c>
      <c r="E300" s="30" t="inlineStr">
        <is>
          <t>TRANZIRAN TRANSPORTES EIRELI</t>
        </is>
      </c>
      <c r="F300" s="40" t="n">
        <v>2711.03</v>
      </c>
      <c r="G300" s="40" t="n">
        <v>0</v>
      </c>
      <c r="H300" s="40" t="n">
        <v>0</v>
      </c>
      <c r="I300" s="40" t="n">
        <v>0</v>
      </c>
      <c r="J300" s="40" t="n">
        <v>0</v>
      </c>
      <c r="K300" s="40" t="n">
        <v>0</v>
      </c>
      <c r="L300" s="40" t="n">
        <v>0</v>
      </c>
    </row>
    <row r="301" ht="12" customHeight="1">
      <c r="A301" s="30" t="inlineStr">
        <is>
          <t>ARE</t>
        </is>
      </c>
      <c r="B301" s="30" t="inlineStr">
        <is>
          <t>Areal</t>
        </is>
      </c>
      <c r="C301" s="30" t="n">
        <v>85647148</v>
      </c>
      <c r="D301" s="30">
        <f>"09411448000504"</f>
        <v/>
      </c>
      <c r="E301" s="30" t="inlineStr">
        <is>
          <t>LDB TRANSPORTES DE CARGAS LTDA</t>
        </is>
      </c>
      <c r="F301" s="40" t="n">
        <v>0</v>
      </c>
      <c r="G301" s="40" t="n">
        <v>139.04</v>
      </c>
      <c r="H301" s="40" t="n">
        <v>0</v>
      </c>
      <c r="I301" s="40" t="n">
        <v>0</v>
      </c>
      <c r="J301" s="40" t="n">
        <v>0</v>
      </c>
      <c r="K301" s="40" t="n">
        <v>0</v>
      </c>
      <c r="L301" s="40" t="n">
        <v>0</v>
      </c>
    </row>
    <row r="302" ht="12" customHeight="1">
      <c r="A302" s="30" t="inlineStr">
        <is>
          <t>ARE</t>
        </is>
      </c>
      <c r="B302" s="30" t="inlineStr">
        <is>
          <t>Areal</t>
        </is>
      </c>
      <c r="C302" s="30" t="n">
        <v>85682636</v>
      </c>
      <c r="D302" s="30">
        <f>"52134798000249"</f>
        <v/>
      </c>
      <c r="E302" s="30" t="inlineStr">
        <is>
          <t>INTEC INTEGRACAO NACIONAL DE TRANSPORTES DE ENCOMENDAS E C LTDA</t>
        </is>
      </c>
      <c r="F302" s="40" t="n">
        <v>0</v>
      </c>
      <c r="G302" s="40" t="n">
        <v>0</v>
      </c>
      <c r="H302" s="40" t="n">
        <v>0</v>
      </c>
      <c r="I302" s="40" t="n">
        <v>0</v>
      </c>
      <c r="J302" s="40" t="n">
        <v>0</v>
      </c>
      <c r="K302" s="40" t="n">
        <v>0</v>
      </c>
      <c r="L302" s="40" t="n">
        <v>20641.95</v>
      </c>
    </row>
    <row r="303" ht="12" customHeight="1">
      <c r="A303" s="30" t="inlineStr">
        <is>
          <t>ARE</t>
        </is>
      </c>
      <c r="B303" s="30" t="inlineStr">
        <is>
          <t>Areal</t>
        </is>
      </c>
      <c r="C303" s="30" t="n">
        <v>85727028</v>
      </c>
      <c r="D303" s="30">
        <f>"66970229001139"</f>
        <v/>
      </c>
      <c r="E303" s="30" t="inlineStr">
        <is>
          <t>NEXTEL TELECOMUNICACOES LTDA.</t>
        </is>
      </c>
      <c r="F303" s="40" t="n">
        <v>67743.03</v>
      </c>
      <c r="G303" s="40" t="n">
        <v>64115.77</v>
      </c>
      <c r="H303" s="40" t="n">
        <v>79765.59</v>
      </c>
      <c r="I303" s="40" t="n">
        <v>87590.56</v>
      </c>
      <c r="J303" s="40" t="n">
        <v>861030.25</v>
      </c>
      <c r="K303" s="40" t="n">
        <v>1505997.81</v>
      </c>
      <c r="L303" s="40" t="n">
        <v>1431769.43</v>
      </c>
    </row>
    <row r="304" ht="12" customHeight="1">
      <c r="A304" s="30" t="inlineStr">
        <is>
          <t>ARE</t>
        </is>
      </c>
      <c r="B304" s="30" t="inlineStr">
        <is>
          <t>Areal</t>
        </is>
      </c>
      <c r="C304" s="30" t="n">
        <v>86038870</v>
      </c>
      <c r="D304" s="30">
        <f>"01562471000156"</f>
        <v/>
      </c>
      <c r="E304" s="30" t="inlineStr">
        <is>
          <t>LUCAS E JUNIOR TRANSPORTADORA LTDA</t>
        </is>
      </c>
      <c r="F304" s="40" t="n">
        <v>0</v>
      </c>
      <c r="G304" s="40" t="n">
        <v>0</v>
      </c>
      <c r="H304" s="40" t="n">
        <v>0</v>
      </c>
      <c r="I304" s="40" t="n">
        <v>5960.46</v>
      </c>
      <c r="J304" s="40" t="n">
        <v>9667.379999999999</v>
      </c>
      <c r="K304" s="40" t="n">
        <v>0</v>
      </c>
      <c r="L304" s="40" t="n">
        <v>238098.94</v>
      </c>
    </row>
    <row r="305" ht="12" customHeight="1">
      <c r="A305" s="30" t="inlineStr">
        <is>
          <t>ARE</t>
        </is>
      </c>
      <c r="B305" s="30" t="inlineStr">
        <is>
          <t>Areal</t>
        </is>
      </c>
      <c r="C305" s="30" t="n">
        <v>86039281</v>
      </c>
      <c r="D305" s="30">
        <f>"19451038000702"</f>
        <v/>
      </c>
      <c r="E305" s="30" t="inlineStr">
        <is>
          <t>RODOVIARIO CAMILO DOS SANTOS FILHO LTDA</t>
        </is>
      </c>
      <c r="F305" s="40" t="n">
        <v>40748.5</v>
      </c>
      <c r="G305" s="40" t="n">
        <v>16294.84</v>
      </c>
      <c r="H305" s="40" t="n">
        <v>18788.92</v>
      </c>
      <c r="I305" s="40" t="n">
        <v>22110.92</v>
      </c>
      <c r="J305" s="40" t="n">
        <v>32655.18</v>
      </c>
      <c r="K305" s="40" t="n">
        <v>39463.24</v>
      </c>
      <c r="L305" s="40" t="n">
        <v>56109.06</v>
      </c>
    </row>
    <row r="306" ht="12" customHeight="1">
      <c r="A306" s="30" t="inlineStr">
        <is>
          <t>ARE</t>
        </is>
      </c>
      <c r="B306" s="30" t="inlineStr">
        <is>
          <t>Areal</t>
        </is>
      </c>
      <c r="C306" s="30" t="n">
        <v>86039842</v>
      </c>
      <c r="D306" s="30">
        <f>"86442720000203"</f>
        <v/>
      </c>
      <c r="E306" s="30" t="inlineStr">
        <is>
          <t>COOPERATIVA RIOBRANQUENSE DE TRANSPORTES LTDA</t>
        </is>
      </c>
      <c r="F306" s="40" t="n">
        <v>5000</v>
      </c>
      <c r="G306" s="40" t="n">
        <v>0</v>
      </c>
      <c r="H306" s="40" t="n">
        <v>0</v>
      </c>
      <c r="I306" s="40" t="n">
        <v>0</v>
      </c>
      <c r="J306" s="40" t="n">
        <v>0</v>
      </c>
      <c r="K306" s="40" t="n">
        <v>13127</v>
      </c>
      <c r="L306" s="40" t="n">
        <v>0</v>
      </c>
    </row>
    <row r="307" ht="12" customHeight="1">
      <c r="A307" s="30" t="inlineStr">
        <is>
          <t>ARE</t>
        </is>
      </c>
      <c r="B307" s="30" t="inlineStr">
        <is>
          <t>Areal</t>
        </is>
      </c>
      <c r="C307" s="30" t="n">
        <v>86092085</v>
      </c>
      <c r="D307" s="30">
        <f>"02421421000111"</f>
        <v/>
      </c>
      <c r="E307" s="30" t="inlineStr">
        <is>
          <t>TIM S.A.</t>
        </is>
      </c>
      <c r="F307" s="40" t="n">
        <v>424434.14</v>
      </c>
      <c r="G307" s="40" t="n">
        <v>859694.53</v>
      </c>
      <c r="H307" s="40" t="n">
        <v>3133427.57</v>
      </c>
      <c r="I307" s="40" t="n">
        <v>3049786.87</v>
      </c>
      <c r="J307" s="40" t="n">
        <v>3315255.96</v>
      </c>
      <c r="K307" s="40" t="n">
        <v>3052291.59</v>
      </c>
      <c r="L307" s="40" t="n">
        <v>3849479.97</v>
      </c>
    </row>
    <row r="308" ht="12" customHeight="1">
      <c r="A308" s="30" t="inlineStr">
        <is>
          <t>ARE</t>
        </is>
      </c>
      <c r="B308" s="30" t="inlineStr">
        <is>
          <t>Areal</t>
        </is>
      </c>
      <c r="C308" s="30" t="n">
        <v>86160919</v>
      </c>
      <c r="D308" s="30">
        <f>"01682917000186"</f>
        <v/>
      </c>
      <c r="E308" s="30" t="inlineStr">
        <is>
          <t>COUTRANS TRANSPORTES E SERVICOS LTDA</t>
        </is>
      </c>
      <c r="F308" s="40" t="n">
        <v>0</v>
      </c>
      <c r="G308" s="40" t="n">
        <v>952.75</v>
      </c>
      <c r="H308" s="40" t="n">
        <v>227.25</v>
      </c>
      <c r="I308" s="40" t="n">
        <v>0</v>
      </c>
      <c r="J308" s="40" t="n">
        <v>212.1</v>
      </c>
      <c r="K308" s="40" t="n">
        <v>279.32</v>
      </c>
      <c r="L308" s="40" t="n">
        <v>0</v>
      </c>
    </row>
    <row r="309" ht="12" customHeight="1">
      <c r="A309" s="30" t="inlineStr">
        <is>
          <t>ARE</t>
        </is>
      </c>
      <c r="B309" s="30" t="inlineStr">
        <is>
          <t>Areal</t>
        </is>
      </c>
      <c r="C309" s="30" t="n">
        <v>86273004</v>
      </c>
      <c r="D309" s="30">
        <f>"03113442000132"</f>
        <v/>
      </c>
      <c r="E309" s="30" t="inlineStr">
        <is>
          <t>AGMSBS TRANSPORTES LTDA</t>
        </is>
      </c>
      <c r="F309" s="40" t="n">
        <v>0</v>
      </c>
      <c r="G309" s="40" t="n">
        <v>0</v>
      </c>
      <c r="H309" s="40" t="n">
        <v>1022.83</v>
      </c>
      <c r="I309" s="40" t="n">
        <v>0</v>
      </c>
      <c r="J309" s="40" t="n">
        <v>0</v>
      </c>
      <c r="K309" s="40" t="n">
        <v>0</v>
      </c>
      <c r="L309" s="40" t="n">
        <v>0</v>
      </c>
    </row>
    <row r="310" ht="12" customHeight="1">
      <c r="A310" s="30" t="inlineStr">
        <is>
          <t>ARE</t>
        </is>
      </c>
      <c r="B310" s="30" t="inlineStr">
        <is>
          <t>Areal</t>
        </is>
      </c>
      <c r="C310" s="30" t="n">
        <v>86288796</v>
      </c>
      <c r="D310" s="30">
        <f>"01679681000200"</f>
        <v/>
      </c>
      <c r="E310" s="30" t="inlineStr">
        <is>
          <t>HAMBURGO CARGAS LTDA</t>
        </is>
      </c>
      <c r="F310" s="40" t="n">
        <v>108.2</v>
      </c>
      <c r="G310" s="40" t="n">
        <v>0</v>
      </c>
      <c r="H310" s="40" t="n">
        <v>0</v>
      </c>
      <c r="I310" s="40" t="n">
        <v>0</v>
      </c>
      <c r="J310" s="40" t="n">
        <v>0</v>
      </c>
      <c r="K310" s="40" t="n">
        <v>192.11</v>
      </c>
      <c r="L310" s="40" t="n">
        <v>0</v>
      </c>
    </row>
    <row r="311" ht="12" customHeight="1">
      <c r="A311" s="30" t="inlineStr">
        <is>
          <t>ARE</t>
        </is>
      </c>
      <c r="B311" s="30" t="inlineStr">
        <is>
          <t>Areal</t>
        </is>
      </c>
      <c r="C311" s="30" t="n">
        <v>86374005</v>
      </c>
      <c r="D311" s="30">
        <f>"02277810000115"</f>
        <v/>
      </c>
      <c r="E311" s="30" t="inlineStr">
        <is>
          <t>A L MONCAO PINTO ME</t>
        </is>
      </c>
      <c r="F311" s="40" t="n">
        <v>350</v>
      </c>
      <c r="G311" s="40" t="n">
        <v>0</v>
      </c>
      <c r="H311" s="40" t="n">
        <v>0</v>
      </c>
      <c r="I311" s="40" t="n">
        <v>0</v>
      </c>
      <c r="J311" s="40" t="n">
        <v>3500</v>
      </c>
      <c r="K311" s="40" t="n">
        <v>0</v>
      </c>
      <c r="L311" s="40" t="n">
        <v>0</v>
      </c>
    </row>
    <row r="312" ht="12" customHeight="1">
      <c r="A312" s="30" t="inlineStr">
        <is>
          <t>ARE</t>
        </is>
      </c>
      <c r="B312" s="30" t="inlineStr">
        <is>
          <t>Areal</t>
        </is>
      </c>
      <c r="C312" s="30" t="n">
        <v>86542072</v>
      </c>
      <c r="D312" s="30">
        <f>"08062253000444"</f>
        <v/>
      </c>
      <c r="E312" s="30" t="inlineStr">
        <is>
          <t>CAMBRIDGE TELECOMUNICACOES LTDA</t>
        </is>
      </c>
      <c r="F312" s="40" t="n">
        <v>3871.3</v>
      </c>
      <c r="G312" s="40" t="n">
        <v>77.01000000000001</v>
      </c>
      <c r="H312" s="40" t="n">
        <v>66.95</v>
      </c>
      <c r="I312" s="40" t="n">
        <v>0</v>
      </c>
      <c r="J312" s="40" t="n">
        <v>0</v>
      </c>
      <c r="K312" s="40" t="n">
        <v>0</v>
      </c>
      <c r="L312" s="40" t="n">
        <v>0</v>
      </c>
    </row>
    <row r="313" ht="12" customHeight="1">
      <c r="A313" s="30" t="inlineStr">
        <is>
          <t>ARE</t>
        </is>
      </c>
      <c r="B313" s="30" t="inlineStr">
        <is>
          <t>Areal</t>
        </is>
      </c>
      <c r="C313" s="30" t="n">
        <v>86566877</v>
      </c>
      <c r="D313" s="30">
        <f>"19223780000167"</f>
        <v/>
      </c>
      <c r="E313" s="30" t="inlineStr">
        <is>
          <t>LLF MATHIAS VIAS DE TRANSPORTES RODOVI?RIOS EIRELI</t>
        </is>
      </c>
      <c r="F313" s="40" t="n">
        <v>0</v>
      </c>
      <c r="G313" s="40" t="n">
        <v>18.8</v>
      </c>
      <c r="H313" s="40" t="n">
        <v>0</v>
      </c>
      <c r="I313" s="40" t="n">
        <v>0</v>
      </c>
      <c r="J313" s="40" t="n">
        <v>0</v>
      </c>
      <c r="K313" s="40" t="n">
        <v>0</v>
      </c>
      <c r="L313" s="40" t="n">
        <v>0</v>
      </c>
    </row>
    <row r="314" ht="12" customHeight="1">
      <c r="A314" s="30" t="inlineStr">
        <is>
          <t>ARE</t>
        </is>
      </c>
      <c r="B314" s="30" t="inlineStr">
        <is>
          <t>Areal</t>
        </is>
      </c>
      <c r="C314" s="30" t="n">
        <v>86652579</v>
      </c>
      <c r="D314" s="30">
        <f>"19869884000143"</f>
        <v/>
      </c>
      <c r="E314" s="30" t="inlineStr">
        <is>
          <t>WEBNUTRITION COMERCIO DE ALIMENTOS LTDA</t>
        </is>
      </c>
      <c r="F314" s="40" t="n">
        <v>65272.44</v>
      </c>
      <c r="G314" s="40" t="n">
        <v>31429</v>
      </c>
      <c r="H314" s="40" t="n">
        <v>23857.06</v>
      </c>
      <c r="I314" s="40" t="n">
        <v>380086.41</v>
      </c>
      <c r="J314" s="40" t="n">
        <v>396841.84</v>
      </c>
      <c r="K314" s="40" t="n">
        <v>0</v>
      </c>
      <c r="L314" s="40" t="n">
        <v>54037.61</v>
      </c>
    </row>
    <row r="315" ht="12" customHeight="1">
      <c r="A315" s="30" t="inlineStr">
        <is>
          <t>ARE</t>
        </is>
      </c>
      <c r="B315" s="30" t="inlineStr">
        <is>
          <t>Areal</t>
        </is>
      </c>
      <c r="C315" s="30" t="n">
        <v>86665913</v>
      </c>
      <c r="D315" s="30">
        <f>"19727878000313"</f>
        <v/>
      </c>
      <c r="E315" s="30" t="inlineStr">
        <is>
          <t>TOPCARGAS LOGISTICA E TRANSPORTE RODOVIARIO LTDA</t>
        </is>
      </c>
      <c r="F315" s="40" t="n">
        <v>0</v>
      </c>
      <c r="G315" s="40" t="n">
        <v>0</v>
      </c>
      <c r="H315" s="40" t="n">
        <v>97.58</v>
      </c>
      <c r="I315" s="40" t="n">
        <v>0</v>
      </c>
      <c r="J315" s="40" t="n">
        <v>0</v>
      </c>
      <c r="K315" s="40" t="n">
        <v>0</v>
      </c>
      <c r="L315" s="40" t="n">
        <v>0</v>
      </c>
    </row>
    <row r="316" ht="12" customHeight="1">
      <c r="A316" s="30" t="inlineStr">
        <is>
          <t>ARE</t>
        </is>
      </c>
      <c r="B316" s="30" t="inlineStr">
        <is>
          <t>Areal</t>
        </is>
      </c>
      <c r="C316" s="30" t="n">
        <v>86682060</v>
      </c>
      <c r="D316" s="30">
        <f>"07956015000339"</f>
        <v/>
      </c>
      <c r="E316" s="30" t="inlineStr">
        <is>
          <t>MARLOG BRASIL LOGISTICA E ARMAZENAGEM LTDA</t>
        </is>
      </c>
      <c r="F316" s="40" t="n">
        <v>0</v>
      </c>
      <c r="G316" s="40" t="n">
        <v>0</v>
      </c>
      <c r="H316" s="40" t="n">
        <v>0</v>
      </c>
      <c r="I316" s="40" t="n">
        <v>0</v>
      </c>
      <c r="J316" s="40" t="n">
        <v>109.26</v>
      </c>
      <c r="K316" s="40" t="n">
        <v>997.78</v>
      </c>
      <c r="L316" s="40" t="n">
        <v>0</v>
      </c>
    </row>
    <row r="317" ht="12" customHeight="1">
      <c r="A317" s="30" t="inlineStr">
        <is>
          <t>ARE</t>
        </is>
      </c>
      <c r="B317" s="30" t="inlineStr">
        <is>
          <t>Areal</t>
        </is>
      </c>
      <c r="C317" s="30" t="n">
        <v>86686783</v>
      </c>
      <c r="D317" s="30">
        <f>"19275618000516"</f>
        <v/>
      </c>
      <c r="E317" s="30" t="inlineStr">
        <is>
          <t>INOVA LOGISTICA INTEGRADA LTDA</t>
        </is>
      </c>
      <c r="F317" s="40" t="n">
        <v>0</v>
      </c>
      <c r="G317" s="40" t="n">
        <v>0</v>
      </c>
      <c r="H317" s="40" t="n">
        <v>0</v>
      </c>
      <c r="I317" s="40" t="n">
        <v>0</v>
      </c>
      <c r="J317" s="40" t="n">
        <v>29.09</v>
      </c>
      <c r="K317" s="40" t="n">
        <v>0</v>
      </c>
      <c r="L317" s="40" t="n">
        <v>0</v>
      </c>
    </row>
    <row r="318" ht="12" customHeight="1">
      <c r="A318" s="30" t="inlineStr">
        <is>
          <t>ARE</t>
        </is>
      </c>
      <c r="B318" s="30" t="inlineStr">
        <is>
          <t>Areal</t>
        </is>
      </c>
      <c r="C318" s="30" t="n">
        <v>86718774</v>
      </c>
      <c r="D318" s="30">
        <f>"30689889000550"</f>
        <v/>
      </c>
      <c r="E318" s="30" t="inlineStr">
        <is>
          <t>TRANSPORTES POLONI LTDA</t>
        </is>
      </c>
      <c r="F318" s="40" t="n">
        <v>0</v>
      </c>
      <c r="G318" s="40" t="n">
        <v>0</v>
      </c>
      <c r="H318" s="40" t="n">
        <v>0</v>
      </c>
      <c r="I318" s="40" t="n">
        <v>6482.41</v>
      </c>
      <c r="J318" s="40" t="n">
        <v>0</v>
      </c>
      <c r="K318" s="40" t="n">
        <v>0</v>
      </c>
      <c r="L318" s="40" t="n">
        <v>0</v>
      </c>
    </row>
    <row r="319" ht="12" customHeight="1">
      <c r="A319" s="30" t="inlineStr">
        <is>
          <t>ARE</t>
        </is>
      </c>
      <c r="B319" s="30" t="inlineStr">
        <is>
          <t>Areal</t>
        </is>
      </c>
      <c r="C319" s="30" t="n">
        <v>86728915</v>
      </c>
      <c r="D319" s="30">
        <f>"20632141000134"</f>
        <v/>
      </c>
      <c r="E319" s="30" t="inlineStr">
        <is>
          <t>TRANSPORTADORA EXPRESSO ELOIM EIRELI ME</t>
        </is>
      </c>
      <c r="F319" s="40" t="n">
        <v>0</v>
      </c>
      <c r="G319" s="40" t="n">
        <v>0</v>
      </c>
      <c r="H319" s="40" t="n">
        <v>0</v>
      </c>
      <c r="I319" s="40" t="n">
        <v>0</v>
      </c>
      <c r="J319" s="40" t="n">
        <v>0</v>
      </c>
      <c r="K319" s="40" t="n">
        <v>499121.25</v>
      </c>
      <c r="L319" s="40" t="n">
        <v>490272.15</v>
      </c>
    </row>
    <row r="320" ht="12" customHeight="1">
      <c r="A320" s="30" t="inlineStr">
        <is>
          <t>ARE</t>
        </is>
      </c>
      <c r="B320" s="30" t="inlineStr">
        <is>
          <t>Areal</t>
        </is>
      </c>
      <c r="C320" s="30" t="n">
        <v>86747383</v>
      </c>
      <c r="D320" s="30">
        <f>"20768061000100"</f>
        <v/>
      </c>
      <c r="E320" s="30" t="inlineStr">
        <is>
          <t>CANTO COMERCIO ATACADISTA DE HORTIFRUTI EIRELI EPP</t>
        </is>
      </c>
      <c r="F320" s="40" t="n">
        <v>3526914.93</v>
      </c>
      <c r="G320" s="40" t="n">
        <v>3626439.93</v>
      </c>
      <c r="H320" s="40" t="n">
        <v>3719014.95</v>
      </c>
      <c r="I320" s="40" t="n">
        <v>1299518.51</v>
      </c>
      <c r="J320" s="40" t="n">
        <v>86882.33</v>
      </c>
      <c r="K320" s="40" t="n">
        <v>0</v>
      </c>
      <c r="L320" s="40" t="n">
        <v>530709.84</v>
      </c>
    </row>
    <row r="321" ht="12" customHeight="1">
      <c r="A321" s="30" t="inlineStr">
        <is>
          <t>ARE</t>
        </is>
      </c>
      <c r="B321" s="30" t="inlineStr">
        <is>
          <t>Areal</t>
        </is>
      </c>
      <c r="C321" s="30" t="n">
        <v>86789477</v>
      </c>
      <c r="D321" s="30">
        <f>"04887927001541"</f>
        <v/>
      </c>
      <c r="E321" s="30" t="inlineStr">
        <is>
          <t>ANDREANI LOGISTICA LTDA</t>
        </is>
      </c>
      <c r="F321" s="40" t="n">
        <v>2656214.46</v>
      </c>
      <c r="G321" s="40" t="n">
        <v>275572.38</v>
      </c>
      <c r="H321" s="40" t="n">
        <v>208129.11</v>
      </c>
      <c r="I321" s="40" t="n">
        <v>179681.9</v>
      </c>
      <c r="J321" s="40" t="n">
        <v>52698.93</v>
      </c>
      <c r="K321" s="40" t="n">
        <v>1780474.74</v>
      </c>
      <c r="L321" s="40" t="n">
        <v>2077162.87</v>
      </c>
    </row>
    <row r="322" ht="12" customHeight="1">
      <c r="A322" s="30" t="inlineStr">
        <is>
          <t>ARE</t>
        </is>
      </c>
      <c r="B322" s="30" t="inlineStr">
        <is>
          <t>Areal</t>
        </is>
      </c>
      <c r="C322" s="30" t="n">
        <v>86810999</v>
      </c>
      <c r="D322" s="30">
        <f>"03867580005095"</f>
        <v/>
      </c>
      <c r="E322" s="30" t="inlineStr">
        <is>
          <t>PRONTO EXPRESS LOGISTICA SA</t>
        </is>
      </c>
      <c r="F322" s="40" t="n">
        <v>24.34</v>
      </c>
      <c r="G322" s="40" t="n">
        <v>0</v>
      </c>
      <c r="H322" s="40" t="n">
        <v>0</v>
      </c>
      <c r="I322" s="40" t="n">
        <v>0</v>
      </c>
      <c r="J322" s="40" t="n">
        <v>0</v>
      </c>
      <c r="K322" s="40" t="n">
        <v>0</v>
      </c>
      <c r="L322" s="40" t="n">
        <v>0</v>
      </c>
    </row>
    <row r="323" ht="12" customHeight="1">
      <c r="A323" s="30" t="inlineStr">
        <is>
          <t>ARE</t>
        </is>
      </c>
      <c r="B323" s="30" t="inlineStr">
        <is>
          <t>Areal</t>
        </is>
      </c>
      <c r="C323" s="30" t="n">
        <v>86828383</v>
      </c>
      <c r="D323" s="30">
        <f>"00497373002082"</f>
        <v/>
      </c>
      <c r="E323" s="30" t="inlineStr">
        <is>
          <t>SKY SERVICOS DE BANDA LARGA LTDA.</t>
        </is>
      </c>
      <c r="F323" s="40" t="n">
        <v>50</v>
      </c>
      <c r="G323" s="40" t="n">
        <v>0</v>
      </c>
      <c r="H323" s="40" t="n">
        <v>16.67</v>
      </c>
      <c r="I323" s="40" t="n">
        <v>0</v>
      </c>
      <c r="J323" s="40" t="n">
        <v>0</v>
      </c>
      <c r="K323" s="40" t="n">
        <v>0</v>
      </c>
      <c r="L323" s="40" t="n">
        <v>0</v>
      </c>
    </row>
    <row r="324" ht="12" customHeight="1">
      <c r="A324" s="30" t="inlineStr">
        <is>
          <t>ARE</t>
        </is>
      </c>
      <c r="B324" s="30" t="inlineStr">
        <is>
          <t>Areal</t>
        </is>
      </c>
      <c r="C324" s="30" t="n">
        <v>86831295</v>
      </c>
      <c r="D324" s="30">
        <f>"03509101000180"</f>
        <v/>
      </c>
      <c r="E324" s="30" t="inlineStr">
        <is>
          <t>BRASIPAN SERVIÇOS E LOGÍSTICA EIRELI</t>
        </is>
      </c>
      <c r="F324" s="40" t="n">
        <v>0</v>
      </c>
      <c r="G324" s="40" t="n">
        <v>0</v>
      </c>
      <c r="H324" s="40" t="n">
        <v>0</v>
      </c>
      <c r="I324" s="40" t="n">
        <v>0</v>
      </c>
      <c r="J324" s="40" t="n">
        <v>0</v>
      </c>
      <c r="K324" s="40" t="n">
        <v>10897.62</v>
      </c>
      <c r="L324" s="40" t="n">
        <v>0</v>
      </c>
    </row>
    <row r="325" ht="12" customHeight="1">
      <c r="A325" s="30" t="inlineStr">
        <is>
          <t>ARE</t>
        </is>
      </c>
      <c r="B325" s="30" t="inlineStr">
        <is>
          <t>Areal</t>
        </is>
      </c>
      <c r="C325" s="30" t="n">
        <v>86848970</v>
      </c>
      <c r="D325" s="30">
        <f>"21352355000110"</f>
        <v/>
      </c>
      <c r="E325" s="30" t="inlineStr">
        <is>
          <t>MIMOS DA SERRA INDUSTRIA E COMERCIO DE BEBIDAS E ALIMENTOS LTDA</t>
        </is>
      </c>
      <c r="F325" s="40" t="n">
        <v>0</v>
      </c>
      <c r="G325" s="40" t="n">
        <v>0</v>
      </c>
      <c r="H325" s="40" t="n">
        <v>0</v>
      </c>
      <c r="I325" s="40" t="n">
        <v>0</v>
      </c>
      <c r="J325" s="40" t="n">
        <v>0</v>
      </c>
      <c r="K325" s="40" t="n">
        <v>0</v>
      </c>
      <c r="L325" s="40" t="n">
        <v>0</v>
      </c>
    </row>
    <row r="326" ht="12" customHeight="1">
      <c r="A326" s="30" t="inlineStr">
        <is>
          <t>ARE</t>
        </is>
      </c>
      <c r="B326" s="30" t="inlineStr">
        <is>
          <t>Areal</t>
        </is>
      </c>
      <c r="C326" s="30" t="n">
        <v>86863707</v>
      </c>
      <c r="D326" s="30">
        <f>"21602262000104"</f>
        <v/>
      </c>
      <c r="E326" s="30" t="inlineStr">
        <is>
          <t>BETEL TRANSPORTE RODOVIARIO DE CARGA EIRELI</t>
        </is>
      </c>
      <c r="F326" s="40" t="n">
        <v>0</v>
      </c>
      <c r="G326" s="40" t="n">
        <v>0</v>
      </c>
      <c r="H326" s="40" t="n">
        <v>0</v>
      </c>
      <c r="I326" s="40" t="n">
        <v>431</v>
      </c>
      <c r="J326" s="40" t="n">
        <v>0</v>
      </c>
      <c r="K326" s="40" t="n">
        <v>0</v>
      </c>
      <c r="L326" s="40" t="n">
        <v>0</v>
      </c>
    </row>
    <row r="327" ht="12" customHeight="1">
      <c r="A327" s="30" t="inlineStr">
        <is>
          <t>ARE</t>
        </is>
      </c>
      <c r="B327" s="30" t="inlineStr">
        <is>
          <t>Areal</t>
        </is>
      </c>
      <c r="C327" s="30" t="n">
        <v>86879344</v>
      </c>
      <c r="D327" s="30">
        <f>"05886614003666"</f>
        <v/>
      </c>
      <c r="E327" s="30" t="inlineStr">
        <is>
          <t>DIRECT EXPRESS LOGISTICA INTEGRADA S/A</t>
        </is>
      </c>
      <c r="F327" s="40" t="n">
        <v>26.57</v>
      </c>
      <c r="G327" s="40" t="n">
        <v>0</v>
      </c>
      <c r="H327" s="40" t="n">
        <v>0</v>
      </c>
      <c r="I327" s="40" t="n">
        <v>0</v>
      </c>
      <c r="J327" s="40" t="n">
        <v>0</v>
      </c>
      <c r="K327" s="40" t="n">
        <v>0</v>
      </c>
      <c r="L327" s="40" t="n">
        <v>0</v>
      </c>
    </row>
    <row r="328" ht="12" customHeight="1">
      <c r="A328" s="30" t="inlineStr">
        <is>
          <t>ARE</t>
        </is>
      </c>
      <c r="B328" s="30" t="inlineStr">
        <is>
          <t>Areal</t>
        </is>
      </c>
      <c r="C328" s="30" t="n">
        <v>86911922</v>
      </c>
      <c r="D328" s="30">
        <f>"05593147000660"</f>
        <v/>
      </c>
      <c r="E328" s="30" t="inlineStr">
        <is>
          <t>VELTEN LOGISTICA E TRANSPORTE LTDA EPP</t>
        </is>
      </c>
      <c r="F328" s="40" t="n">
        <v>58467.27</v>
      </c>
      <c r="G328" s="40" t="n">
        <v>0</v>
      </c>
      <c r="H328" s="40" t="n">
        <v>0</v>
      </c>
      <c r="I328" s="40" t="n">
        <v>0</v>
      </c>
      <c r="J328" s="40" t="n">
        <v>0</v>
      </c>
      <c r="K328" s="40" t="n">
        <v>0</v>
      </c>
      <c r="L328" s="40" t="n">
        <v>0</v>
      </c>
    </row>
    <row r="329" ht="12" customHeight="1">
      <c r="A329" s="30" t="inlineStr">
        <is>
          <t>ARE</t>
        </is>
      </c>
      <c r="B329" s="30" t="inlineStr">
        <is>
          <t>Areal</t>
        </is>
      </c>
      <c r="C329" s="30" t="n">
        <v>86917106</v>
      </c>
      <c r="D329" s="30">
        <f>"18764174000196"</f>
        <v/>
      </c>
      <c r="E329" s="30" t="inlineStr">
        <is>
          <t>TECNO - VAPOR SERV TECNICO EM MONTAGEM E MANUT DE CALDEIRAS LTDA</t>
        </is>
      </c>
      <c r="F329" s="40" t="n">
        <v>0</v>
      </c>
      <c r="G329" s="40" t="n">
        <v>0</v>
      </c>
      <c r="H329" s="40" t="n">
        <v>0</v>
      </c>
      <c r="I329" s="40" t="n">
        <v>0</v>
      </c>
      <c r="J329" s="40" t="n">
        <v>0</v>
      </c>
      <c r="K329" s="40" t="n">
        <v>0</v>
      </c>
      <c r="L329" s="40" t="n">
        <v>0</v>
      </c>
    </row>
    <row r="330" ht="12" customHeight="1">
      <c r="A330" s="30" t="inlineStr">
        <is>
          <t>ARE</t>
        </is>
      </c>
      <c r="B330" s="30" t="inlineStr">
        <is>
          <t>Areal</t>
        </is>
      </c>
      <c r="C330" s="30" t="n">
        <v>86924595</v>
      </c>
      <c r="D330" s="30">
        <f>"22031941000125"</f>
        <v/>
      </c>
      <c r="E330" s="30" t="inlineStr">
        <is>
          <t>COOPERATIVA DE TRAB DOS CATADORES DE MAT RECICLAVEIS LUZ DO SOL</t>
        </is>
      </c>
      <c r="F330" s="40" t="n">
        <v>0</v>
      </c>
      <c r="G330" s="40" t="n">
        <v>0</v>
      </c>
      <c r="H330" s="40" t="n">
        <v>0</v>
      </c>
      <c r="I330" s="40" t="n">
        <v>0</v>
      </c>
      <c r="J330" s="40" t="n">
        <v>7620.7</v>
      </c>
      <c r="K330" s="40" t="n">
        <v>0</v>
      </c>
      <c r="L330" s="40" t="n">
        <v>0</v>
      </c>
    </row>
    <row r="331" ht="12" customHeight="1">
      <c r="A331" s="30" t="inlineStr">
        <is>
          <t>ARE</t>
        </is>
      </c>
      <c r="B331" s="30" t="inlineStr">
        <is>
          <t>Areal</t>
        </is>
      </c>
      <c r="C331" s="30" t="n">
        <v>86940701</v>
      </c>
      <c r="D331" s="30">
        <f>"21747713000193"</f>
        <v/>
      </c>
      <c r="E331" s="30" t="inlineStr">
        <is>
          <t>HARAS HARI CRIACAO E TREINAMENTO S A</t>
        </is>
      </c>
      <c r="F331" s="40" t="n">
        <v>0</v>
      </c>
      <c r="G331" s="40" t="n">
        <v>0</v>
      </c>
      <c r="H331" s="40" t="n">
        <v>0</v>
      </c>
      <c r="I331" s="40" t="n">
        <v>0</v>
      </c>
      <c r="J331" s="40" t="n">
        <v>0</v>
      </c>
      <c r="K331" s="40" t="n">
        <v>0</v>
      </c>
      <c r="L331" s="40" t="n">
        <v>0</v>
      </c>
    </row>
    <row r="332" ht="12" customHeight="1">
      <c r="A332" s="30" t="inlineStr">
        <is>
          <t>ARE</t>
        </is>
      </c>
      <c r="B332" s="30" t="inlineStr">
        <is>
          <t>Areal</t>
        </is>
      </c>
      <c r="C332" s="30" t="n">
        <v>86994178</v>
      </c>
      <c r="D332" s="30">
        <f>"53237962003140"</f>
        <v/>
      </c>
      <c r="E332" s="30" t="inlineStr">
        <is>
          <t>EMPRESA DE TRANSPORTES PAJUCARA LTDA</t>
        </is>
      </c>
      <c r="F332" s="40" t="n">
        <v>80.73999999999999</v>
      </c>
      <c r="G332" s="40" t="n">
        <v>0</v>
      </c>
      <c r="H332" s="40" t="n">
        <v>64.17</v>
      </c>
      <c r="I332" s="40" t="n">
        <v>193.69</v>
      </c>
      <c r="J332" s="40" t="n">
        <v>304.14</v>
      </c>
      <c r="K332" s="40" t="n">
        <v>119.08</v>
      </c>
      <c r="L332" s="40" t="n">
        <v>0</v>
      </c>
    </row>
    <row r="333" ht="12" customHeight="1">
      <c r="A333" s="30" t="inlineStr">
        <is>
          <t>ARE</t>
        </is>
      </c>
      <c r="B333" s="30" t="inlineStr">
        <is>
          <t>Areal</t>
        </is>
      </c>
      <c r="C333" s="30" t="n">
        <v>87020592</v>
      </c>
      <c r="D333" s="30">
        <f>"23392260000155"</f>
        <v/>
      </c>
      <c r="E333" s="30" t="inlineStr">
        <is>
          <t>RIOCARGAS DISTRIBUICAO E LOGISTICA LTDA ME</t>
        </is>
      </c>
      <c r="F333" s="40" t="n">
        <v>0</v>
      </c>
      <c r="G333" s="40" t="n">
        <v>42</v>
      </c>
      <c r="H333" s="40" t="n">
        <v>0</v>
      </c>
      <c r="I333" s="40" t="n">
        <v>0</v>
      </c>
      <c r="J333" s="40" t="n">
        <v>0</v>
      </c>
      <c r="K333" s="40" t="n">
        <v>0</v>
      </c>
      <c r="L333" s="40" t="n">
        <v>0</v>
      </c>
    </row>
    <row r="334" ht="12" customHeight="1">
      <c r="A334" s="30" t="inlineStr">
        <is>
          <t>ARE</t>
        </is>
      </c>
      <c r="B334" s="30" t="inlineStr">
        <is>
          <t>Areal</t>
        </is>
      </c>
      <c r="C334" s="30" t="n">
        <v>87035794</v>
      </c>
      <c r="D334" s="30">
        <f>"05872814000300"</f>
        <v/>
      </c>
      <c r="E334" s="30" t="inlineStr">
        <is>
          <t>VOGEL SOLUCOES EM TELECOMUNICACOES E INFORMATICA S.A.</t>
        </is>
      </c>
      <c r="F334" s="40" t="n">
        <v>0</v>
      </c>
      <c r="G334" s="40" t="n">
        <v>0</v>
      </c>
      <c r="H334" s="40" t="n">
        <v>0</v>
      </c>
      <c r="I334" s="40" t="n">
        <v>0</v>
      </c>
      <c r="J334" s="40" t="n">
        <v>0</v>
      </c>
      <c r="K334" s="40" t="n">
        <v>0</v>
      </c>
      <c r="L334" s="40" t="n">
        <v>1576.8</v>
      </c>
    </row>
    <row r="335" ht="12" customHeight="1">
      <c r="A335" s="30" t="inlineStr">
        <is>
          <t>ARE</t>
        </is>
      </c>
      <c r="B335" s="30" t="inlineStr">
        <is>
          <t>Areal</t>
        </is>
      </c>
      <c r="C335" s="30" t="n">
        <v>87043045</v>
      </c>
      <c r="D335" s="30">
        <f>"23140384000143"</f>
        <v/>
      </c>
      <c r="E335" s="30" t="inlineStr">
        <is>
          <t>REM EMBUTIDOS E DEFUMADOS LTDA ME</t>
        </is>
      </c>
      <c r="F335" s="40" t="n">
        <v>1435.92</v>
      </c>
      <c r="G335" s="40" t="n">
        <v>0</v>
      </c>
      <c r="H335" s="40" t="n">
        <v>0</v>
      </c>
      <c r="I335" s="40" t="n">
        <v>0</v>
      </c>
      <c r="J335" s="40" t="n">
        <v>0</v>
      </c>
      <c r="K335" s="40" t="n">
        <v>0</v>
      </c>
      <c r="L335" s="40" t="n">
        <v>0</v>
      </c>
    </row>
    <row r="336" ht="12" customHeight="1">
      <c r="A336" s="30" t="inlineStr">
        <is>
          <t>ARE</t>
        </is>
      </c>
      <c r="B336" s="30" t="inlineStr">
        <is>
          <t>Areal</t>
        </is>
      </c>
      <c r="C336" s="30" t="n">
        <v>87074587</v>
      </c>
      <c r="D336" s="30">
        <f>"23786432000256"</f>
        <v/>
      </c>
      <c r="E336" s="30" t="inlineStr">
        <is>
          <t>FAZENDA E HARAS STUD BRASIL AGROPECUARIA LTDA</t>
        </is>
      </c>
      <c r="F336" s="40" t="n">
        <v>0</v>
      </c>
      <c r="G336" s="40" t="n">
        <v>0</v>
      </c>
      <c r="H336" s="40" t="n">
        <v>0</v>
      </c>
      <c r="I336" s="40" t="n">
        <v>0</v>
      </c>
      <c r="J336" s="40" t="n">
        <v>0</v>
      </c>
      <c r="K336" s="40" t="n">
        <v>0</v>
      </c>
      <c r="L336" s="40" t="n">
        <v>539661.79</v>
      </c>
    </row>
    <row r="337" ht="12" customHeight="1">
      <c r="A337" s="30" t="inlineStr">
        <is>
          <t>ARE</t>
        </is>
      </c>
      <c r="B337" s="30" t="inlineStr">
        <is>
          <t>Areal</t>
        </is>
      </c>
      <c r="C337" s="30" t="n">
        <v>87074609</v>
      </c>
      <c r="D337" s="30">
        <f>"23800488000137"</f>
        <v/>
      </c>
      <c r="E337" s="30" t="inlineStr">
        <is>
          <t>D FARAJ RESTAURANTE E PIZZARIA LTDA</t>
        </is>
      </c>
      <c r="F337" s="40" t="n">
        <v>0</v>
      </c>
      <c r="G337" s="40" t="n">
        <v>0</v>
      </c>
      <c r="H337" s="40" t="n">
        <v>0</v>
      </c>
      <c r="I337" s="40" t="n">
        <v>0</v>
      </c>
      <c r="J337" s="40" t="n">
        <v>0</v>
      </c>
      <c r="K337" s="40" t="n">
        <v>0</v>
      </c>
      <c r="L337" s="40" t="n">
        <v>0</v>
      </c>
    </row>
    <row r="338" ht="12" customHeight="1">
      <c r="A338" s="30" t="inlineStr">
        <is>
          <t>ARE</t>
        </is>
      </c>
      <c r="B338" s="30" t="inlineStr">
        <is>
          <t>Areal</t>
        </is>
      </c>
      <c r="C338" s="30" t="n">
        <v>87077187</v>
      </c>
      <c r="D338" s="30">
        <f>"01599101002056"</f>
        <v/>
      </c>
      <c r="E338" s="30" t="inlineStr">
        <is>
          <t>SEQUOIA LOGISTICA E TRANSPORTES S.A.</t>
        </is>
      </c>
      <c r="F338" s="40" t="n">
        <v>0</v>
      </c>
      <c r="G338" s="40" t="n">
        <v>0</v>
      </c>
      <c r="H338" s="40" t="n">
        <v>0</v>
      </c>
      <c r="I338" s="40" t="n">
        <v>14278.11</v>
      </c>
      <c r="J338" s="40" t="n">
        <v>6071.92</v>
      </c>
      <c r="K338" s="40" t="n">
        <v>5724.39</v>
      </c>
      <c r="L338" s="40" t="n">
        <v>459.61</v>
      </c>
    </row>
    <row r="339" ht="12" customHeight="1">
      <c r="A339" s="30" t="inlineStr">
        <is>
          <t>ARE</t>
        </is>
      </c>
      <c r="B339" s="30" t="inlineStr">
        <is>
          <t>Areal</t>
        </is>
      </c>
      <c r="C339" s="30" t="n">
        <v>87081192</v>
      </c>
      <c r="D339" s="30">
        <f>"23872454000158"</f>
        <v/>
      </c>
      <c r="E339" s="30" t="inlineStr">
        <is>
          <t>ARE-AUTOS COMERCIO E LOCACAO DE VEICULOS - EIRELI -ME</t>
        </is>
      </c>
      <c r="F339" s="40" t="n">
        <v>0</v>
      </c>
      <c r="G339" s="40" t="n">
        <v>0</v>
      </c>
      <c r="H339" s="40" t="n">
        <v>0</v>
      </c>
      <c r="I339" s="40" t="n">
        <v>0</v>
      </c>
      <c r="J339" s="40" t="n">
        <v>0</v>
      </c>
      <c r="K339" s="40" t="n">
        <v>0</v>
      </c>
      <c r="L339" s="40" t="n">
        <v>0</v>
      </c>
    </row>
    <row r="340" ht="12" customHeight="1">
      <c r="A340" s="30" t="inlineStr">
        <is>
          <t>ARE</t>
        </is>
      </c>
      <c r="B340" s="30" t="inlineStr">
        <is>
          <t>Areal</t>
        </is>
      </c>
      <c r="C340" s="30" t="n">
        <v>87097013</v>
      </c>
      <c r="D340" s="30">
        <f>"11337163000180"</f>
        <v/>
      </c>
      <c r="E340" s="30" t="inlineStr">
        <is>
          <t>SIGMA AREAL INDÚSTRIA E COMÉRCIO DE COSMÉTICOS E SANEANTES EIRELI</t>
        </is>
      </c>
      <c r="F340" s="40" t="n">
        <v>0</v>
      </c>
      <c r="G340" s="40" t="n">
        <v>0</v>
      </c>
      <c r="H340" s="40" t="n">
        <v>0</v>
      </c>
      <c r="I340" s="40" t="n">
        <v>0</v>
      </c>
      <c r="J340" s="40" t="n">
        <v>0</v>
      </c>
      <c r="K340" s="40" t="n">
        <v>0</v>
      </c>
      <c r="L340" s="40" t="n">
        <v>345186.44</v>
      </c>
    </row>
    <row r="341" ht="12" customHeight="1">
      <c r="A341" s="30" t="inlineStr">
        <is>
          <t>ARE</t>
        </is>
      </c>
      <c r="B341" s="30" t="inlineStr">
        <is>
          <t>Areal</t>
        </is>
      </c>
      <c r="C341" s="30" t="n">
        <v>87105938</v>
      </c>
      <c r="D341" s="30">
        <f>"17619009000773"</f>
        <v/>
      </c>
      <c r="E341" s="30" t="inlineStr">
        <is>
          <t>VENKON EXPRESS TRANSPORTES EIRELI EPP</t>
        </is>
      </c>
      <c r="F341" s="40" t="n">
        <v>0</v>
      </c>
      <c r="G341" s="40" t="n">
        <v>0</v>
      </c>
      <c r="H341" s="40" t="n">
        <v>0</v>
      </c>
      <c r="I341" s="40" t="n">
        <v>4989.26</v>
      </c>
      <c r="J341" s="40" t="n">
        <v>5588.77</v>
      </c>
      <c r="K341" s="40" t="n">
        <v>0</v>
      </c>
      <c r="L341" s="40" t="n">
        <v>0</v>
      </c>
    </row>
    <row r="342" ht="12" customHeight="1">
      <c r="A342" s="30" t="inlineStr">
        <is>
          <t>ARE</t>
        </is>
      </c>
      <c r="B342" s="30" t="inlineStr">
        <is>
          <t>Areal</t>
        </is>
      </c>
      <c r="C342" s="30" t="n">
        <v>87111903</v>
      </c>
      <c r="D342" s="30">
        <f>"24331201000130"</f>
        <v/>
      </c>
      <c r="E342" s="30" t="inlineStr">
        <is>
          <t>CA SS AÇOUGUE EIRELI</t>
        </is>
      </c>
      <c r="F342" s="40" t="n">
        <v>0</v>
      </c>
      <c r="G342" s="40" t="n">
        <v>0</v>
      </c>
      <c r="H342" s="40" t="n">
        <v>0</v>
      </c>
      <c r="I342" s="40" t="n">
        <v>0</v>
      </c>
      <c r="J342" s="40" t="n">
        <v>0</v>
      </c>
      <c r="K342" s="40" t="n">
        <v>0</v>
      </c>
      <c r="L342" s="40" t="n">
        <v>0</v>
      </c>
    </row>
    <row r="343" ht="12" customHeight="1">
      <c r="A343" s="30" t="inlineStr">
        <is>
          <t>ARE</t>
        </is>
      </c>
      <c r="B343" s="30" t="inlineStr">
        <is>
          <t>Areal</t>
        </is>
      </c>
      <c r="C343" s="30" t="n">
        <v>87141691</v>
      </c>
      <c r="D343" s="30">
        <f>"00367894001558"</f>
        <v/>
      </c>
      <c r="E343" s="30" t="inlineStr">
        <is>
          <t>TRANSPORTADORA REAL 94 LTDA EPP</t>
        </is>
      </c>
      <c r="F343" s="40" t="n">
        <v>0</v>
      </c>
      <c r="G343" s="40" t="n">
        <v>0</v>
      </c>
      <c r="H343" s="40" t="n">
        <v>0</v>
      </c>
      <c r="I343" s="40" t="n">
        <v>0</v>
      </c>
      <c r="J343" s="40" t="n">
        <v>3675.72</v>
      </c>
      <c r="K343" s="40" t="n">
        <v>0</v>
      </c>
      <c r="L343" s="40" t="n">
        <v>0</v>
      </c>
    </row>
    <row r="344" ht="12" customHeight="1">
      <c r="A344" s="30" t="inlineStr">
        <is>
          <t>ARE</t>
        </is>
      </c>
      <c r="B344" s="30" t="inlineStr">
        <is>
          <t>Areal</t>
        </is>
      </c>
      <c r="C344" s="30" t="n">
        <v>87158543</v>
      </c>
      <c r="D344" s="30">
        <f>"24966233000101"</f>
        <v/>
      </c>
      <c r="E344" s="30" t="inlineStr">
        <is>
          <t>TARGETS TRANSPORTES EIRELI</t>
        </is>
      </c>
      <c r="F344" s="40" t="n">
        <v>0</v>
      </c>
      <c r="G344" s="40" t="n">
        <v>0</v>
      </c>
      <c r="H344" s="40" t="n">
        <v>0</v>
      </c>
      <c r="I344" s="40" t="n">
        <v>0</v>
      </c>
      <c r="J344" s="40" t="n">
        <v>257.26</v>
      </c>
      <c r="K344" s="40" t="n">
        <v>0</v>
      </c>
      <c r="L344" s="40" t="n">
        <v>625</v>
      </c>
    </row>
    <row r="345" ht="12" customHeight="1">
      <c r="A345" s="30" t="inlineStr">
        <is>
          <t>ARE</t>
        </is>
      </c>
      <c r="B345" s="30" t="inlineStr">
        <is>
          <t>Areal</t>
        </is>
      </c>
      <c r="C345" s="30" t="n">
        <v>87159183</v>
      </c>
      <c r="D345" s="30">
        <f>"22044907000276"</f>
        <v/>
      </c>
      <c r="E345" s="30" t="inlineStr">
        <is>
          <t>LOGMED RIO ARMAZENAGEM E TRANSPORTE LTDA</t>
        </is>
      </c>
      <c r="F345" s="40" t="n">
        <v>0</v>
      </c>
      <c r="G345" s="40" t="n">
        <v>0</v>
      </c>
      <c r="H345" s="40" t="n">
        <v>0</v>
      </c>
      <c r="I345" s="40" t="n">
        <v>0</v>
      </c>
      <c r="J345" s="40" t="n">
        <v>270.75</v>
      </c>
      <c r="K345" s="40" t="n">
        <v>0</v>
      </c>
      <c r="L345" s="40" t="n">
        <v>0</v>
      </c>
    </row>
    <row r="346" ht="12" customHeight="1">
      <c r="A346" s="30" t="inlineStr">
        <is>
          <t>ARE</t>
        </is>
      </c>
      <c r="B346" s="30" t="inlineStr">
        <is>
          <t>Areal</t>
        </is>
      </c>
      <c r="C346" s="30" t="n">
        <v>87162389</v>
      </c>
      <c r="D346" s="30">
        <f>"15587873000543"</f>
        <v/>
      </c>
      <c r="E346" s="30" t="inlineStr">
        <is>
          <t>TFT EXPRESS LOGISTICA E TRANSPORTES LTDA ME</t>
        </is>
      </c>
      <c r="F346" s="40" t="n">
        <v>0</v>
      </c>
      <c r="G346" s="40" t="n">
        <v>0</v>
      </c>
      <c r="H346" s="40" t="n">
        <v>0</v>
      </c>
      <c r="I346" s="40" t="n">
        <v>62.5</v>
      </c>
      <c r="J346" s="40" t="n">
        <v>0</v>
      </c>
      <c r="K346" s="40" t="n">
        <v>0</v>
      </c>
      <c r="L346" s="40" t="n">
        <v>0</v>
      </c>
    </row>
    <row r="347" ht="12" customHeight="1">
      <c r="A347" s="30" t="inlineStr">
        <is>
          <t>ARE</t>
        </is>
      </c>
      <c r="B347" s="30" t="inlineStr">
        <is>
          <t>Areal</t>
        </is>
      </c>
      <c r="C347" s="30" t="n">
        <v>87163326</v>
      </c>
      <c r="D347" s="30">
        <f>"25022472000176"</f>
        <v/>
      </c>
      <c r="E347" s="30" t="inlineStr">
        <is>
          <t>FREDBIER CERVEJARIA AREALENSE EIRELI ME</t>
        </is>
      </c>
      <c r="F347" s="40" t="n">
        <v>26584.67</v>
      </c>
      <c r="G347" s="40" t="n">
        <v>0</v>
      </c>
      <c r="H347" s="40" t="n">
        <v>0</v>
      </c>
      <c r="I347" s="40" t="n">
        <v>0</v>
      </c>
      <c r="J347" s="40" t="n">
        <v>0</v>
      </c>
      <c r="K347" s="40" t="n">
        <v>0</v>
      </c>
      <c r="L347" s="40" t="n">
        <v>0</v>
      </c>
    </row>
    <row r="348" ht="12" customHeight="1">
      <c r="A348" s="30" t="inlineStr">
        <is>
          <t>ARE</t>
        </is>
      </c>
      <c r="B348" s="30" t="inlineStr">
        <is>
          <t>Areal</t>
        </is>
      </c>
      <c r="C348" s="30" t="n">
        <v>87173585</v>
      </c>
      <c r="D348" s="30">
        <f>"20854761000118"</f>
        <v/>
      </c>
      <c r="E348" s="30" t="inlineStr">
        <is>
          <t>YAH TELECOMUNICACOES LTDA</t>
        </is>
      </c>
      <c r="F348" s="40" t="n">
        <v>0</v>
      </c>
      <c r="G348" s="40" t="n">
        <v>0</v>
      </c>
      <c r="H348" s="40" t="n">
        <v>0</v>
      </c>
      <c r="I348" s="40" t="n">
        <v>24.83</v>
      </c>
      <c r="J348" s="40" t="n">
        <v>0</v>
      </c>
      <c r="K348" s="40" t="n">
        <v>0</v>
      </c>
      <c r="L348" s="40" t="n">
        <v>0</v>
      </c>
    </row>
    <row r="349" ht="12" customHeight="1">
      <c r="A349" s="30" t="inlineStr">
        <is>
          <t>ARE</t>
        </is>
      </c>
      <c r="B349" s="30" t="inlineStr">
        <is>
          <t>Areal</t>
        </is>
      </c>
      <c r="C349" s="30" t="n">
        <v>87181855</v>
      </c>
      <c r="D349" s="30">
        <f>"24484514000128"</f>
        <v/>
      </c>
      <c r="E349" s="30" t="inlineStr">
        <is>
          <t>CONATUS  CONSULTORIA E TREINAMENTO EMPRESARIAL EIRELI</t>
        </is>
      </c>
      <c r="F349" s="40" t="n">
        <v>0</v>
      </c>
      <c r="G349" s="40" t="n">
        <v>0</v>
      </c>
      <c r="H349" s="40" t="n">
        <v>0</v>
      </c>
      <c r="I349" s="40" t="n">
        <v>0</v>
      </c>
      <c r="J349" s="40" t="n">
        <v>0</v>
      </c>
      <c r="K349" s="40" t="n">
        <v>0</v>
      </c>
      <c r="L349" s="40" t="n">
        <v>0</v>
      </c>
    </row>
    <row r="350" ht="12" customHeight="1">
      <c r="A350" s="30" t="inlineStr">
        <is>
          <t>ARE</t>
        </is>
      </c>
      <c r="B350" s="30" t="inlineStr">
        <is>
          <t>Areal</t>
        </is>
      </c>
      <c r="C350" s="30" t="n">
        <v>87190587</v>
      </c>
      <c r="D350" s="30">
        <f>"09262608000754"</f>
        <v/>
      </c>
      <c r="E350" s="30" t="inlineStr">
        <is>
          <t>TBFORTE SEGURANCA E TRANSPORTE DE VALORES LTDA</t>
        </is>
      </c>
      <c r="F350" s="40" t="n">
        <v>0</v>
      </c>
      <c r="G350" s="40" t="n">
        <v>0</v>
      </c>
      <c r="H350" s="40" t="n">
        <v>0</v>
      </c>
      <c r="I350" s="40" t="n">
        <v>0</v>
      </c>
      <c r="J350" s="40" t="n">
        <v>0</v>
      </c>
      <c r="K350" s="40" t="n">
        <v>14180.06</v>
      </c>
      <c r="L350" s="40" t="n">
        <v>27650.18</v>
      </c>
    </row>
    <row r="351" ht="12" customHeight="1">
      <c r="A351" s="30" t="inlineStr">
        <is>
          <t>ARE</t>
        </is>
      </c>
      <c r="B351" s="30" t="inlineStr">
        <is>
          <t>Areal</t>
        </is>
      </c>
      <c r="C351" s="30" t="n">
        <v>87198120</v>
      </c>
      <c r="D351" s="30">
        <f>"23349580000475"</f>
        <v/>
      </c>
      <c r="E351" s="30" t="inlineStr">
        <is>
          <t>LOTUS LOGISTICA INTEGRADA LTDA</t>
        </is>
      </c>
      <c r="F351" s="40" t="n">
        <v>0</v>
      </c>
      <c r="G351" s="40" t="n">
        <v>156.35</v>
      </c>
      <c r="H351" s="40" t="n">
        <v>0</v>
      </c>
      <c r="I351" s="40" t="n">
        <v>0</v>
      </c>
      <c r="J351" s="40" t="n">
        <v>0</v>
      </c>
      <c r="K351" s="40" t="n">
        <v>0</v>
      </c>
      <c r="L351" s="40" t="n">
        <v>0</v>
      </c>
    </row>
    <row r="352" ht="12" customHeight="1">
      <c r="A352" s="30" t="inlineStr">
        <is>
          <t>ARE</t>
        </is>
      </c>
      <c r="B352" s="30" t="inlineStr">
        <is>
          <t>Areal</t>
        </is>
      </c>
      <c r="C352" s="30" t="n">
        <v>87213641</v>
      </c>
      <c r="D352" s="30">
        <f>"74443623000418"</f>
        <v/>
      </c>
      <c r="E352" s="30" t="inlineStr">
        <is>
          <t>OSAKA TRANSPORTES LTDA</t>
        </is>
      </c>
      <c r="F352" s="40" t="n">
        <v>0</v>
      </c>
      <c r="G352" s="40" t="n">
        <v>0</v>
      </c>
      <c r="H352" s="40" t="n">
        <v>0</v>
      </c>
      <c r="I352" s="40" t="n">
        <v>0</v>
      </c>
      <c r="J352" s="40" t="n">
        <v>187.5</v>
      </c>
      <c r="K352" s="40" t="n">
        <v>0</v>
      </c>
      <c r="L352" s="40" t="n">
        <v>0</v>
      </c>
    </row>
    <row r="353" ht="12" customHeight="1">
      <c r="A353" s="30" t="inlineStr">
        <is>
          <t>ARE</t>
        </is>
      </c>
      <c r="B353" s="30" t="inlineStr">
        <is>
          <t>Areal</t>
        </is>
      </c>
      <c r="C353" s="30" t="n">
        <v>87295168</v>
      </c>
      <c r="D353" s="30">
        <f>"26711190000149"</f>
        <v/>
      </c>
      <c r="E353" s="30" t="inlineStr">
        <is>
          <t>ATIVA SAUDE E NUTRICAO ANIMAL COMERCIO E REPRESENTACAO EIRELI ME</t>
        </is>
      </c>
      <c r="F353" s="40" t="n">
        <v>838.8</v>
      </c>
      <c r="G353" s="40" t="n">
        <v>0</v>
      </c>
      <c r="H353" s="40" t="n">
        <v>0</v>
      </c>
      <c r="I353" s="40" t="n">
        <v>0</v>
      </c>
      <c r="J353" s="40" t="n">
        <v>0</v>
      </c>
      <c r="K353" s="40" t="n">
        <v>0</v>
      </c>
      <c r="L353" s="40" t="n">
        <v>0</v>
      </c>
    </row>
    <row r="354" ht="12" customHeight="1">
      <c r="A354" s="30" t="inlineStr">
        <is>
          <t>ARE</t>
        </is>
      </c>
      <c r="B354" s="30" t="inlineStr">
        <is>
          <t>Areal</t>
        </is>
      </c>
      <c r="C354" s="30" t="n">
        <v>87300439</v>
      </c>
      <c r="D354" s="30">
        <f>"26753406000139"</f>
        <v/>
      </c>
      <c r="E354" s="30" t="inlineStr">
        <is>
          <t>TRUCK CAR TRANSPORTES DE VEICULOS E EQUIP EM GERAL LTDA-ME</t>
        </is>
      </c>
      <c r="F354" s="40" t="n">
        <v>0</v>
      </c>
      <c r="G354" s="40" t="n">
        <v>0</v>
      </c>
      <c r="H354" s="40" t="n">
        <v>0</v>
      </c>
      <c r="I354" s="40" t="n">
        <v>0</v>
      </c>
      <c r="J354" s="40" t="n">
        <v>0</v>
      </c>
      <c r="K354" s="40" t="n">
        <v>0</v>
      </c>
      <c r="L354" s="40" t="n">
        <v>0</v>
      </c>
    </row>
    <row r="355" ht="12" customHeight="1">
      <c r="A355" s="30" t="inlineStr">
        <is>
          <t>ARE</t>
        </is>
      </c>
      <c r="B355" s="30" t="inlineStr">
        <is>
          <t>Areal</t>
        </is>
      </c>
      <c r="C355" s="30" t="n">
        <v>87310620</v>
      </c>
      <c r="D355" s="30">
        <f>"01991170000148"</f>
        <v/>
      </c>
      <c r="E355" s="30" t="inlineStr">
        <is>
          <t>ANSWER CONSULTORIA LTDA - ME</t>
        </is>
      </c>
      <c r="F355" s="40" t="n">
        <v>30612.69</v>
      </c>
      <c r="G355" s="40" t="n">
        <v>0</v>
      </c>
      <c r="H355" s="40" t="n">
        <v>0</v>
      </c>
      <c r="I355" s="40" t="n">
        <v>0</v>
      </c>
      <c r="J355" s="40" t="n">
        <v>0</v>
      </c>
      <c r="K355" s="40" t="n">
        <v>0</v>
      </c>
      <c r="L355" s="40" t="n">
        <v>0</v>
      </c>
    </row>
    <row r="356" ht="12" customHeight="1">
      <c r="A356" s="30" t="inlineStr">
        <is>
          <t>ARE</t>
        </is>
      </c>
      <c r="B356" s="30" t="inlineStr">
        <is>
          <t>Areal</t>
        </is>
      </c>
      <c r="C356" s="30" t="n">
        <v>87321177</v>
      </c>
      <c r="D356" s="30">
        <f>"57906711000228"</f>
        <v/>
      </c>
      <c r="E356" s="30" t="inlineStr">
        <is>
          <t>TDB TRANSPORTE E DISTRIBUICAO DE BENS LTDA</t>
        </is>
      </c>
      <c r="F356" s="40" t="n">
        <v>0</v>
      </c>
      <c r="G356" s="40" t="n">
        <v>0</v>
      </c>
      <c r="H356" s="40" t="n">
        <v>54.86</v>
      </c>
      <c r="I356" s="40" t="n">
        <v>0</v>
      </c>
      <c r="J356" s="40" t="n">
        <v>0</v>
      </c>
      <c r="K356" s="40" t="n">
        <v>0</v>
      </c>
      <c r="L356" s="40" t="n">
        <v>0</v>
      </c>
    </row>
    <row r="357" ht="12" customHeight="1">
      <c r="A357" s="30" t="inlineStr">
        <is>
          <t>ARE</t>
        </is>
      </c>
      <c r="B357" s="30" t="inlineStr">
        <is>
          <t>Areal</t>
        </is>
      </c>
      <c r="C357" s="30" t="n">
        <v>87326543</v>
      </c>
      <c r="D357" s="30">
        <f>"13214075000117"</f>
        <v/>
      </c>
      <c r="E357" s="30" t="inlineStr">
        <is>
          <t>PROLOG TRANSPORTES E LOGISTICA LTDA ME</t>
        </is>
      </c>
      <c r="F357" s="40" t="n">
        <v>0</v>
      </c>
      <c r="G357" s="40" t="n">
        <v>0</v>
      </c>
      <c r="H357" s="40" t="n">
        <v>0</v>
      </c>
      <c r="I357" s="40" t="n">
        <v>0</v>
      </c>
      <c r="J357" s="40" t="n">
        <v>0</v>
      </c>
      <c r="K357" s="40" t="n">
        <v>0</v>
      </c>
      <c r="L357" s="40" t="n">
        <v>50</v>
      </c>
    </row>
    <row r="358" ht="12" customHeight="1">
      <c r="A358" s="30" t="inlineStr">
        <is>
          <t>ARE</t>
        </is>
      </c>
      <c r="B358" s="30" t="inlineStr">
        <is>
          <t>Areal</t>
        </is>
      </c>
      <c r="C358" s="30" t="n">
        <v>87331059</v>
      </c>
      <c r="D358" s="30">
        <f>"27310529000168"</f>
        <v/>
      </c>
      <c r="E358" s="30" t="inlineStr">
        <is>
          <t>SH TRANSPORTE E LOGISTICA EIRELI ME</t>
        </is>
      </c>
      <c r="F358" s="40" t="n">
        <v>0</v>
      </c>
      <c r="G358" s="40" t="n">
        <v>0</v>
      </c>
      <c r="H358" s="40" t="n">
        <v>0</v>
      </c>
      <c r="I358" s="40" t="n">
        <v>0</v>
      </c>
      <c r="J358" s="40" t="n">
        <v>0</v>
      </c>
      <c r="K358" s="40" t="n">
        <v>0</v>
      </c>
      <c r="L358" s="40" t="n">
        <v>8085.33</v>
      </c>
    </row>
    <row r="359" ht="12" customHeight="1">
      <c r="A359" s="30" t="inlineStr">
        <is>
          <t>ARE</t>
        </is>
      </c>
      <c r="B359" s="30" t="inlineStr">
        <is>
          <t>Areal</t>
        </is>
      </c>
      <c r="C359" s="30" t="n">
        <v>87342425</v>
      </c>
      <c r="D359" s="30">
        <f>"14120369000223"</f>
        <v/>
      </c>
      <c r="E359" s="30" t="inlineStr">
        <is>
          <t>JARBAS GONCALVES DIAS EIRELI</t>
        </is>
      </c>
      <c r="F359" s="40" t="n">
        <v>0</v>
      </c>
      <c r="G359" s="40" t="n">
        <v>110.01</v>
      </c>
      <c r="H359" s="40" t="n">
        <v>0</v>
      </c>
      <c r="I359" s="40" t="n">
        <v>0</v>
      </c>
      <c r="J359" s="40" t="n">
        <v>0</v>
      </c>
      <c r="K359" s="40" t="n">
        <v>0</v>
      </c>
      <c r="L359" s="40" t="n">
        <v>0</v>
      </c>
    </row>
    <row r="360" ht="12" customHeight="1">
      <c r="A360" s="30" t="inlineStr">
        <is>
          <t>ARE</t>
        </is>
      </c>
      <c r="B360" s="30" t="inlineStr">
        <is>
          <t>Areal</t>
        </is>
      </c>
      <c r="C360" s="30" t="n">
        <v>87354741</v>
      </c>
      <c r="D360" s="30">
        <f>"89823918003755"</f>
        <v/>
      </c>
      <c r="E360" s="30" t="inlineStr">
        <is>
          <t>TRANSPORTES TRANSLOVATO LTDA</t>
        </is>
      </c>
      <c r="F360" s="40" t="n">
        <v>0</v>
      </c>
      <c r="G360" s="40" t="n">
        <v>0</v>
      </c>
      <c r="H360" s="40" t="n">
        <v>0</v>
      </c>
      <c r="I360" s="40" t="n">
        <v>0</v>
      </c>
      <c r="J360" s="40" t="n">
        <v>0</v>
      </c>
      <c r="K360" s="40" t="n">
        <v>81.75</v>
      </c>
      <c r="L360" s="40" t="n">
        <v>97.3</v>
      </c>
    </row>
    <row r="361" ht="12" customHeight="1">
      <c r="A361" s="30" t="inlineStr">
        <is>
          <t>ARE</t>
        </is>
      </c>
      <c r="B361" s="30" t="inlineStr">
        <is>
          <t>Areal</t>
        </is>
      </c>
      <c r="C361" s="30" t="n">
        <v>87363210</v>
      </c>
      <c r="D361" s="30">
        <f>"27376400000152"</f>
        <v/>
      </c>
      <c r="E361" s="30" t="inlineStr">
        <is>
          <t>DREAM FARM AGRONEGOCIOS LTDA</t>
        </is>
      </c>
      <c r="F361" s="40" t="n">
        <v>0</v>
      </c>
      <c r="G361" s="40" t="n">
        <v>0</v>
      </c>
      <c r="H361" s="40" t="n">
        <v>0</v>
      </c>
      <c r="I361" s="40" t="n">
        <v>0</v>
      </c>
      <c r="J361" s="40" t="n">
        <v>0</v>
      </c>
      <c r="K361" s="40" t="n">
        <v>0</v>
      </c>
      <c r="L361" s="40" t="n">
        <v>0</v>
      </c>
    </row>
    <row r="362" ht="12" customHeight="1">
      <c r="A362" s="30" t="inlineStr">
        <is>
          <t>ARE</t>
        </is>
      </c>
      <c r="B362" s="30" t="inlineStr">
        <is>
          <t>Areal</t>
        </is>
      </c>
      <c r="C362" s="30" t="n">
        <v>87379582</v>
      </c>
      <c r="D362" s="30">
        <f>"18233211001535"</f>
        <v/>
      </c>
      <c r="E362" s="30" t="inlineStr">
        <is>
          <t>FL BRASIL HOLDING LOGISTICA E TRANSPORTE LTDA</t>
        </is>
      </c>
      <c r="F362" s="40" t="n">
        <v>0</v>
      </c>
      <c r="G362" s="40" t="n">
        <v>27397.95</v>
      </c>
      <c r="H362" s="40" t="n">
        <v>76370.86</v>
      </c>
      <c r="I362" s="40" t="n">
        <v>2782.34</v>
      </c>
      <c r="J362" s="40" t="n">
        <v>18958.34</v>
      </c>
      <c r="K362" s="40" t="n">
        <v>566.79</v>
      </c>
      <c r="L362" s="40" t="n">
        <v>50964.39</v>
      </c>
    </row>
    <row r="363" ht="12" customHeight="1">
      <c r="A363" s="30" t="inlineStr">
        <is>
          <t>ARE</t>
        </is>
      </c>
      <c r="B363" s="30" t="inlineStr">
        <is>
          <t>Areal</t>
        </is>
      </c>
      <c r="C363" s="30" t="n">
        <v>87399680</v>
      </c>
      <c r="D363" s="30">
        <f>"11928716000331"</f>
        <v/>
      </c>
      <c r="E363" s="30" t="inlineStr">
        <is>
          <t>NIQUINI LOGISTICA E ADMINISTRACAO LTDA</t>
        </is>
      </c>
      <c r="F363" s="40" t="n">
        <v>0</v>
      </c>
      <c r="G363" s="40" t="n">
        <v>0</v>
      </c>
      <c r="H363" s="40" t="n">
        <v>0</v>
      </c>
      <c r="I363" s="40" t="n">
        <v>272.83</v>
      </c>
      <c r="J363" s="40" t="n">
        <v>272.83</v>
      </c>
      <c r="K363" s="40" t="n">
        <v>0</v>
      </c>
      <c r="L363" s="40" t="n">
        <v>0</v>
      </c>
    </row>
    <row r="364" ht="12" customHeight="1">
      <c r="A364" s="30" t="inlineStr">
        <is>
          <t>ARE</t>
        </is>
      </c>
      <c r="B364" s="30" t="inlineStr">
        <is>
          <t>Areal</t>
        </is>
      </c>
      <c r="C364" s="30" t="n">
        <v>87427978</v>
      </c>
      <c r="D364" s="30">
        <f>"24217653000357"</f>
        <v/>
      </c>
      <c r="E364" s="30" t="inlineStr">
        <is>
          <t>L4B LOGISTICA LTDA</t>
        </is>
      </c>
      <c r="F364" s="40" t="n">
        <v>0</v>
      </c>
      <c r="G364" s="40" t="n">
        <v>0</v>
      </c>
      <c r="H364" s="40" t="n">
        <v>0</v>
      </c>
      <c r="I364" s="40" t="n">
        <v>0</v>
      </c>
      <c r="J364" s="40" t="n">
        <v>0</v>
      </c>
      <c r="K364" s="40" t="n">
        <v>15497.5</v>
      </c>
      <c r="L364" s="40" t="n">
        <v>16050.08</v>
      </c>
    </row>
    <row r="365" ht="12" customHeight="1">
      <c r="A365" s="30" t="inlineStr">
        <is>
          <t>ARE</t>
        </is>
      </c>
      <c r="B365" s="30" t="inlineStr">
        <is>
          <t>Areal</t>
        </is>
      </c>
      <c r="C365" s="30" t="n">
        <v>92002420</v>
      </c>
      <c r="D365" s="30">
        <f>"00497373000110"</f>
        <v/>
      </c>
      <c r="E365" s="30" t="inlineStr">
        <is>
          <t>SKY SERVICOS DE BANDA LARGA LTDA.</t>
        </is>
      </c>
      <c r="F365" s="40" t="n">
        <v>330496.5</v>
      </c>
      <c r="G365" s="40" t="n">
        <v>460113.87</v>
      </c>
      <c r="H365" s="40" t="n">
        <v>537787.85</v>
      </c>
      <c r="I365" s="40" t="n">
        <v>533817.12</v>
      </c>
      <c r="J365" s="40" t="n">
        <v>492526.12</v>
      </c>
      <c r="K365" s="40" t="n">
        <v>450767.64</v>
      </c>
      <c r="L365" s="40" t="n">
        <v>408679.14</v>
      </c>
    </row>
    <row r="366" ht="12" customHeight="1">
      <c r="A366" s="30" t="inlineStr">
        <is>
          <t>ARE</t>
        </is>
      </c>
      <c r="B366" s="30" t="inlineStr">
        <is>
          <t>Areal</t>
        </is>
      </c>
      <c r="C366" s="30" t="n">
        <v>92006654</v>
      </c>
      <c r="D366" s="30">
        <f>"72820822000120"</f>
        <v/>
      </c>
      <c r="E366" s="30" t="inlineStr">
        <is>
          <t>SKY BRASIL SERVICOS LTDA</t>
        </is>
      </c>
      <c r="F366" s="40" t="n">
        <v>30151.29</v>
      </c>
      <c r="G366" s="40" t="n">
        <v>0</v>
      </c>
      <c r="H366" s="40" t="n">
        <v>0</v>
      </c>
      <c r="I366" s="40" t="n">
        <v>0</v>
      </c>
      <c r="J366" s="40" t="n">
        <v>0</v>
      </c>
      <c r="K366" s="40" t="n">
        <v>0</v>
      </c>
      <c r="L366" s="40" t="n">
        <v>0</v>
      </c>
    </row>
    <row r="367" ht="12" customHeight="1">
      <c r="A367" s="30" t="inlineStr">
        <is>
          <t>ARE</t>
        </is>
      </c>
      <c r="B367" s="30" t="inlineStr">
        <is>
          <t>Areal</t>
        </is>
      </c>
      <c r="C367" s="30" t="n">
        <v>92035956</v>
      </c>
      <c r="D367" s="30">
        <f>"05206385000404"</f>
        <v/>
      </c>
      <c r="E367" s="30" t="inlineStr">
        <is>
          <t>HUGHES TELECOMUNICACOES DO BRASIL LTDA.</t>
        </is>
      </c>
      <c r="F367" s="40" t="n">
        <v>49271.21</v>
      </c>
      <c r="G367" s="40" t="n">
        <v>99205.53999999999</v>
      </c>
      <c r="H367" s="40" t="n">
        <v>118937.04</v>
      </c>
      <c r="I367" s="40" t="n">
        <v>97189.78</v>
      </c>
      <c r="J367" s="40" t="n">
        <v>0</v>
      </c>
      <c r="K367" s="40" t="n">
        <v>0</v>
      </c>
      <c r="L367" s="40" t="n">
        <v>0</v>
      </c>
    </row>
    <row r="368" ht="12" customHeight="1">
      <c r="A368" s="30" t="inlineStr">
        <is>
          <t>ARE</t>
        </is>
      </c>
      <c r="B368" s="30" t="inlineStr">
        <is>
          <t>Areal</t>
        </is>
      </c>
      <c r="C368" s="30" t="n">
        <v>99199997</v>
      </c>
      <c r="D368" s="30">
        <f>"42498675000152"</f>
        <v/>
      </c>
      <c r="E368" s="30" t="inlineStr">
        <is>
          <t>RF 9999 SUPERINTENDENCIA ESTADUAL CADASTRO E INF ECON FISCAIS</t>
        </is>
      </c>
      <c r="F368" s="40" t="n">
        <v>366546.2</v>
      </c>
      <c r="G368" s="40" t="n">
        <v>2566015.19</v>
      </c>
      <c r="H368" s="40" t="n">
        <v>2780153.23</v>
      </c>
      <c r="I368" s="40" t="n">
        <v>1975554.9</v>
      </c>
      <c r="J368" s="40" t="n">
        <v>2060691.15</v>
      </c>
      <c r="K368" s="40" t="n">
        <v>2674852.57</v>
      </c>
      <c r="L368" s="40" t="n">
        <v>2877669.86</v>
      </c>
    </row>
    <row r="369" ht="12" customHeight="1">
      <c r="A369" s="30" t="inlineStr">
        <is>
          <t>ITG</t>
        </is>
      </c>
      <c r="B369" s="30" t="inlineStr">
        <is>
          <t>Itaguai</t>
        </is>
      </c>
      <c r="C369" s="30" t="n">
        <v>11008160</v>
      </c>
      <c r="D369" s="30">
        <f>"23791339000159"</f>
        <v/>
      </c>
      <c r="E369" s="30" t="inlineStr">
        <is>
          <t>SAO FERNANDO EMPREENDIMENTOS IMOBILIARIOS SPE LTDA</t>
        </is>
      </c>
      <c r="F369" s="40" t="n">
        <v>0</v>
      </c>
      <c r="G369" s="40" t="n">
        <v>0</v>
      </c>
      <c r="H369" s="40" t="n">
        <v>0</v>
      </c>
      <c r="I369" s="40" t="n">
        <v>0</v>
      </c>
      <c r="J369" s="40" t="n">
        <v>0</v>
      </c>
      <c r="K369" s="40" t="n">
        <v>0</v>
      </c>
      <c r="L369" s="40" t="n">
        <v>0</v>
      </c>
    </row>
    <row r="370" ht="12" customHeight="1">
      <c r="A370" s="30" t="inlineStr">
        <is>
          <t>ITG</t>
        </is>
      </c>
      <c r="B370" s="30" t="inlineStr">
        <is>
          <t>Itaguai</t>
        </is>
      </c>
      <c r="C370" s="30" t="n">
        <v>11024602</v>
      </c>
      <c r="D370" s="30">
        <f>"29268750000120"</f>
        <v/>
      </c>
      <c r="E370" s="30" t="inlineStr">
        <is>
          <t>M. P. DE GASPERI RESTAURANTE EIRELI</t>
        </is>
      </c>
      <c r="F370" s="40" t="n">
        <v>0</v>
      </c>
      <c r="G370" s="40" t="n">
        <v>0</v>
      </c>
      <c r="H370" s="40" t="n">
        <v>0</v>
      </c>
      <c r="I370" s="40" t="n">
        <v>0</v>
      </c>
      <c r="J370" s="40" t="n">
        <v>0</v>
      </c>
      <c r="K370" s="40" t="n">
        <v>0</v>
      </c>
      <c r="L370" s="40" t="n">
        <v>0</v>
      </c>
    </row>
    <row r="371" ht="12" customHeight="1">
      <c r="A371" s="30" t="inlineStr">
        <is>
          <t>ITG</t>
        </is>
      </c>
      <c r="B371" s="30" t="inlineStr">
        <is>
          <t>Itaguai</t>
        </is>
      </c>
      <c r="C371" s="30" t="n">
        <v>11025641</v>
      </c>
      <c r="D371" s="30">
        <f>"22883593001196"</f>
        <v/>
      </c>
      <c r="E371" s="30" t="inlineStr">
        <is>
          <t>EFFICAX TRANSPORTES LTDA</t>
        </is>
      </c>
      <c r="F371" s="40" t="n">
        <v>0</v>
      </c>
      <c r="G371" s="40" t="n">
        <v>24676.65</v>
      </c>
      <c r="H371" s="40" t="n">
        <v>0</v>
      </c>
      <c r="I371" s="40" t="n">
        <v>0</v>
      </c>
      <c r="J371" s="40" t="n">
        <v>0</v>
      </c>
      <c r="K371" s="40" t="n">
        <v>0</v>
      </c>
      <c r="L371" s="40" t="n">
        <v>0</v>
      </c>
    </row>
    <row r="372" ht="12" customHeight="1">
      <c r="A372" s="30" t="inlineStr">
        <is>
          <t>ITG</t>
        </is>
      </c>
      <c r="B372" s="30" t="inlineStr">
        <is>
          <t>Itaguai</t>
        </is>
      </c>
      <c r="C372" s="30" t="n">
        <v>11032265</v>
      </c>
      <c r="D372" s="30">
        <f>"29301507000167"</f>
        <v/>
      </c>
      <c r="E372" s="30" t="inlineStr">
        <is>
          <t>ENGLOC ENGENHARIA E LOCA??O EIRELI</t>
        </is>
      </c>
      <c r="F372" s="40" t="n">
        <v>0</v>
      </c>
      <c r="G372" s="40" t="n">
        <v>0</v>
      </c>
      <c r="H372" s="40" t="n">
        <v>0</v>
      </c>
      <c r="I372" s="40" t="n">
        <v>0</v>
      </c>
      <c r="J372" s="40" t="n">
        <v>0</v>
      </c>
      <c r="K372" s="40" t="n">
        <v>0</v>
      </c>
      <c r="L372" s="40" t="n">
        <v>0</v>
      </c>
    </row>
    <row r="373" ht="12" customHeight="1">
      <c r="A373" s="30" t="inlineStr">
        <is>
          <t>ITG</t>
        </is>
      </c>
      <c r="B373" s="30" t="inlineStr">
        <is>
          <t>Itaguai</t>
        </is>
      </c>
      <c r="C373" s="30" t="n">
        <v>11037194</v>
      </c>
      <c r="D373" s="30">
        <f>"29319163000113"</f>
        <v/>
      </c>
      <c r="E373" s="30" t="inlineStr">
        <is>
          <t>DROGARIA PARQUE PRIMAVERA LTDA ME</t>
        </is>
      </c>
      <c r="F373" s="40" t="n">
        <v>0</v>
      </c>
      <c r="G373" s="40" t="n">
        <v>0</v>
      </c>
      <c r="H373" s="40" t="n">
        <v>0</v>
      </c>
      <c r="I373" s="40" t="n">
        <v>0</v>
      </c>
      <c r="J373" s="40" t="n">
        <v>0</v>
      </c>
      <c r="K373" s="40" t="n">
        <v>0</v>
      </c>
      <c r="L373" s="40" t="n">
        <v>0</v>
      </c>
    </row>
    <row r="374" ht="12" customHeight="1">
      <c r="A374" s="30" t="inlineStr">
        <is>
          <t>ITG</t>
        </is>
      </c>
      <c r="B374" s="30" t="inlineStr">
        <is>
          <t>Itaguai</t>
        </is>
      </c>
      <c r="C374" s="30" t="n">
        <v>11039723</v>
      </c>
      <c r="D374" s="30">
        <f>"29254052000176"</f>
        <v/>
      </c>
      <c r="E374" s="30" t="inlineStr">
        <is>
          <t>MERCADO O FAMILIÃO DE ITAGUAI EIRELI ME</t>
        </is>
      </c>
      <c r="F374" s="40" t="n">
        <v>0</v>
      </c>
      <c r="G374" s="40" t="n">
        <v>0</v>
      </c>
      <c r="H374" s="40" t="n">
        <v>0</v>
      </c>
      <c r="I374" s="40" t="n">
        <v>0</v>
      </c>
      <c r="J374" s="40" t="n">
        <v>0</v>
      </c>
      <c r="K374" s="40" t="n">
        <v>0</v>
      </c>
      <c r="L374" s="40" t="n">
        <v>0</v>
      </c>
    </row>
    <row r="375" ht="12" customHeight="1">
      <c r="A375" s="30" t="inlineStr">
        <is>
          <t>ITG</t>
        </is>
      </c>
      <c r="B375" s="30" t="inlineStr">
        <is>
          <t>Itaguai</t>
        </is>
      </c>
      <c r="C375" s="30" t="n">
        <v>11054242</v>
      </c>
      <c r="D375" s="30">
        <f>"08295837000389"</f>
        <v/>
      </c>
      <c r="E375" s="30" t="inlineStr">
        <is>
          <t>ZIRANLOG LOGISTICA E TRANSPORTES EIRELI - ME</t>
        </is>
      </c>
      <c r="F375" s="40" t="n">
        <v>0</v>
      </c>
      <c r="G375" s="40" t="n">
        <v>0</v>
      </c>
      <c r="H375" s="40" t="n">
        <v>0</v>
      </c>
      <c r="I375" s="40" t="n">
        <v>0</v>
      </c>
      <c r="J375" s="40" t="n">
        <v>0</v>
      </c>
      <c r="K375" s="40" t="n">
        <v>10709.6</v>
      </c>
      <c r="L375" s="40" t="n">
        <v>246898.37</v>
      </c>
    </row>
    <row r="376" ht="12" customHeight="1">
      <c r="A376" s="30" t="inlineStr">
        <is>
          <t>ITG</t>
        </is>
      </c>
      <c r="B376" s="30" t="inlineStr">
        <is>
          <t>Itaguai</t>
        </is>
      </c>
      <c r="C376" s="30" t="n">
        <v>11057802</v>
      </c>
      <c r="D376" s="30">
        <f>"02287193000210"</f>
        <v/>
      </c>
      <c r="E376" s="30" t="inlineStr">
        <is>
          <t>UNICOLOR TINTAS LTDA</t>
        </is>
      </c>
      <c r="F376" s="40" t="n">
        <v>0</v>
      </c>
      <c r="G376" s="40" t="n">
        <v>898476.9399999999</v>
      </c>
      <c r="H376" s="40" t="n">
        <v>3442155.81</v>
      </c>
      <c r="I376" s="40" t="n">
        <v>1756296.22</v>
      </c>
      <c r="J376" s="40" t="n">
        <v>3722713.92</v>
      </c>
      <c r="K376" s="40" t="n">
        <v>3824714.21</v>
      </c>
      <c r="L376" s="40" t="n">
        <v>5655598.01</v>
      </c>
    </row>
    <row r="377" ht="12" customHeight="1">
      <c r="A377" s="30" t="inlineStr">
        <is>
          <t>ITG</t>
        </is>
      </c>
      <c r="B377" s="30" t="inlineStr">
        <is>
          <t>Itaguai</t>
        </is>
      </c>
      <c r="C377" s="30" t="n">
        <v>11061702</v>
      </c>
      <c r="D377" s="30">
        <f>"29327548000122"</f>
        <v/>
      </c>
      <c r="E377" s="30" t="inlineStr">
        <is>
          <t>ITXGAS REVENDEDORA DE GAS E AGUA LTDA ME</t>
        </is>
      </c>
      <c r="F377" s="40" t="n">
        <v>0</v>
      </c>
      <c r="G377" s="40" t="n">
        <v>0</v>
      </c>
      <c r="H377" s="40" t="n">
        <v>0</v>
      </c>
      <c r="I377" s="40" t="n">
        <v>0</v>
      </c>
      <c r="J377" s="40" t="n">
        <v>0</v>
      </c>
      <c r="K377" s="40" t="n">
        <v>0</v>
      </c>
      <c r="L377" s="40" t="n">
        <v>0</v>
      </c>
    </row>
    <row r="378" ht="12" customHeight="1">
      <c r="A378" s="30" t="inlineStr">
        <is>
          <t>ITG</t>
        </is>
      </c>
      <c r="B378" s="30" t="inlineStr">
        <is>
          <t>Itaguai</t>
        </is>
      </c>
      <c r="C378" s="30" t="n">
        <v>11066100</v>
      </c>
      <c r="D378" s="30">
        <f>"10970887010167"</f>
        <v/>
      </c>
      <c r="E378" s="30" t="inlineStr">
        <is>
          <t>FEDEX BRASIL LOGISTICA E TRANSPORTE LTDA</t>
        </is>
      </c>
      <c r="F378" s="40" t="n">
        <v>0</v>
      </c>
      <c r="G378" s="40" t="n">
        <v>0</v>
      </c>
      <c r="H378" s="40" t="n">
        <v>0</v>
      </c>
      <c r="I378" s="40" t="n">
        <v>918.65</v>
      </c>
      <c r="J378" s="40" t="n">
        <v>0</v>
      </c>
      <c r="K378" s="40" t="n">
        <v>0</v>
      </c>
      <c r="L378" s="40" t="n">
        <v>0</v>
      </c>
    </row>
    <row r="379" ht="12" customHeight="1">
      <c r="A379" s="30" t="inlineStr">
        <is>
          <t>ITG</t>
        </is>
      </c>
      <c r="B379" s="30" t="inlineStr">
        <is>
          <t>Itaguai</t>
        </is>
      </c>
      <c r="C379" s="30" t="n">
        <v>11071724</v>
      </c>
      <c r="D379" s="30">
        <f>"04319228000361"</f>
        <v/>
      </c>
      <c r="E379" s="30" t="inlineStr">
        <is>
          <t>ZANEPAN COM. ATACADISTA DE GENEROS ALIMENTICIOS EIRELI</t>
        </is>
      </c>
      <c r="F379" s="40" t="n">
        <v>0</v>
      </c>
      <c r="G379" s="40" t="n">
        <v>1294427.8</v>
      </c>
      <c r="H379" s="40" t="n">
        <v>3696985.2</v>
      </c>
      <c r="I379" s="40" t="n">
        <v>6853747.95</v>
      </c>
      <c r="J379" s="40" t="n">
        <v>0</v>
      </c>
      <c r="K379" s="40" t="n">
        <v>0</v>
      </c>
      <c r="L379" s="40" t="n">
        <v>0</v>
      </c>
    </row>
    <row r="380" ht="12" customHeight="1">
      <c r="A380" s="30" t="inlineStr">
        <is>
          <t>ITG</t>
        </is>
      </c>
      <c r="B380" s="30" t="inlineStr">
        <is>
          <t>Itaguai</t>
        </is>
      </c>
      <c r="C380" s="30" t="n">
        <v>11071740</v>
      </c>
      <c r="D380" s="30">
        <f>"27819276000152"</f>
        <v/>
      </c>
      <c r="E380" s="30" t="inlineStr">
        <is>
          <t>F C DE PAIVA JUNIOR COMERCIO E SERVIÇOS AUTOMOTIVOS</t>
        </is>
      </c>
      <c r="F380" s="40" t="n">
        <v>0</v>
      </c>
      <c r="G380" s="40" t="n">
        <v>0</v>
      </c>
      <c r="H380" s="40" t="n">
        <v>0</v>
      </c>
      <c r="I380" s="40" t="n">
        <v>0</v>
      </c>
      <c r="J380" s="40" t="n">
        <v>0</v>
      </c>
      <c r="K380" s="40" t="n">
        <v>0</v>
      </c>
      <c r="L380" s="40" t="n">
        <v>0</v>
      </c>
    </row>
    <row r="381" ht="12" customHeight="1">
      <c r="A381" s="30" t="inlineStr">
        <is>
          <t>ITG</t>
        </is>
      </c>
      <c r="B381" s="30" t="inlineStr">
        <is>
          <t>Itaguai</t>
        </is>
      </c>
      <c r="C381" s="30" t="n">
        <v>11075584</v>
      </c>
      <c r="D381" s="30">
        <f>"27001440000110"</f>
        <v/>
      </c>
      <c r="E381" s="30" t="inlineStr">
        <is>
          <t>VIASAT BRASIL SERVI?OS DE COMUNICA??ES LTDA</t>
        </is>
      </c>
      <c r="F381" s="40" t="n">
        <v>0</v>
      </c>
      <c r="G381" s="40" t="n">
        <v>0</v>
      </c>
      <c r="H381" s="40" t="n">
        <v>0</v>
      </c>
      <c r="I381" s="40" t="n">
        <v>0</v>
      </c>
      <c r="J381" s="40" t="n">
        <v>0</v>
      </c>
      <c r="K381" s="40" t="n">
        <v>0</v>
      </c>
      <c r="L381" s="40" t="n">
        <v>4090.87</v>
      </c>
    </row>
    <row r="382" ht="12" customHeight="1">
      <c r="A382" s="30" t="inlineStr">
        <is>
          <t>ITG</t>
        </is>
      </c>
      <c r="B382" s="30" t="inlineStr">
        <is>
          <t>Itaguai</t>
        </is>
      </c>
      <c r="C382" s="30" t="n">
        <v>11077781</v>
      </c>
      <c r="D382" s="30">
        <f>"77913132787"</f>
        <v/>
      </c>
      <c r="E382" s="30" t="inlineStr">
        <is>
          <t>JORGE PAPADOPOULOS DE SOUZA</t>
        </is>
      </c>
      <c r="F382" s="40" t="n">
        <v>0</v>
      </c>
      <c r="G382" s="40" t="n">
        <v>0</v>
      </c>
      <c r="H382" s="40" t="n">
        <v>0</v>
      </c>
      <c r="I382" s="40" t="n">
        <v>0</v>
      </c>
      <c r="J382" s="40" t="n">
        <v>0</v>
      </c>
      <c r="K382" s="40" t="n">
        <v>0</v>
      </c>
      <c r="L382" s="40" t="n">
        <v>0</v>
      </c>
    </row>
    <row r="383" ht="12" customHeight="1">
      <c r="A383" s="30" t="inlineStr">
        <is>
          <t>ITG</t>
        </is>
      </c>
      <c r="B383" s="30" t="inlineStr">
        <is>
          <t>Itaguai</t>
        </is>
      </c>
      <c r="C383" s="30" t="n">
        <v>11079962</v>
      </c>
      <c r="D383" s="30">
        <f>"29735755000116"</f>
        <v/>
      </c>
      <c r="E383" s="30" t="inlineStr">
        <is>
          <t>NUTS GALEÃO COMERCIO DE ALIMENTOS LTDA</t>
        </is>
      </c>
      <c r="F383" s="40" t="n">
        <v>0</v>
      </c>
      <c r="G383" s="40" t="n">
        <v>0</v>
      </c>
      <c r="H383" s="40" t="n">
        <v>0</v>
      </c>
      <c r="I383" s="40" t="n">
        <v>0</v>
      </c>
      <c r="J383" s="40" t="n">
        <v>13881.64</v>
      </c>
      <c r="K383" s="40" t="n">
        <v>0</v>
      </c>
      <c r="L383" s="40" t="n">
        <v>0</v>
      </c>
    </row>
    <row r="384" ht="12" customHeight="1">
      <c r="A384" s="30" t="inlineStr">
        <is>
          <t>ITG</t>
        </is>
      </c>
      <c r="B384" s="30" t="inlineStr">
        <is>
          <t>Itaguai</t>
        </is>
      </c>
      <c r="C384" s="30" t="n">
        <v>11081703</v>
      </c>
      <c r="D384" s="30">
        <f>"14553130769"</f>
        <v/>
      </c>
      <c r="E384" s="30" t="inlineStr">
        <is>
          <t>LUCAS LEMOS PAIVA DA SILVA</t>
        </is>
      </c>
      <c r="F384" s="40" t="n">
        <v>0</v>
      </c>
      <c r="G384" s="40" t="n">
        <v>30174.07</v>
      </c>
      <c r="H384" s="40" t="n">
        <v>0</v>
      </c>
      <c r="I384" s="40" t="n">
        <v>0</v>
      </c>
      <c r="J384" s="40" t="n">
        <v>0</v>
      </c>
      <c r="K384" s="40" t="n">
        <v>0</v>
      </c>
      <c r="L384" s="40" t="n">
        <v>0</v>
      </c>
    </row>
    <row r="385" ht="12" customHeight="1">
      <c r="A385" s="30" t="inlineStr">
        <is>
          <t>ITG</t>
        </is>
      </c>
      <c r="B385" s="30" t="inlineStr">
        <is>
          <t>Itaguai</t>
        </is>
      </c>
      <c r="C385" s="30" t="n">
        <v>11083986</v>
      </c>
      <c r="D385" s="30">
        <f>"61495636004052"</f>
        <v/>
      </c>
      <c r="E385" s="30" t="inlineStr">
        <is>
          <t>PINTURAS YPIRANGA LTDA</t>
        </is>
      </c>
      <c r="F385" s="40" t="n">
        <v>0</v>
      </c>
      <c r="G385" s="40" t="n">
        <v>0</v>
      </c>
      <c r="H385" s="40" t="n">
        <v>0</v>
      </c>
      <c r="I385" s="40" t="n">
        <v>0</v>
      </c>
      <c r="J385" s="40" t="n">
        <v>0</v>
      </c>
      <c r="K385" s="40" t="n">
        <v>0</v>
      </c>
      <c r="L385" s="40" t="n">
        <v>0</v>
      </c>
    </row>
    <row r="386" ht="12" customHeight="1">
      <c r="A386" s="30" t="inlineStr">
        <is>
          <t>ITG</t>
        </is>
      </c>
      <c r="B386" s="30" t="inlineStr">
        <is>
          <t>Itaguai</t>
        </is>
      </c>
      <c r="C386" s="30" t="n">
        <v>11084729</v>
      </c>
      <c r="D386" s="30">
        <f>"21862093000133"</f>
        <v/>
      </c>
      <c r="E386" s="30" t="inlineStr">
        <is>
          <t>3C RESTAURANTE, FAST-FOODS E COZINHA INDUSTRIAL LTDA</t>
        </is>
      </c>
      <c r="F386" s="40" t="n">
        <v>0</v>
      </c>
      <c r="G386" s="40" t="n">
        <v>0</v>
      </c>
      <c r="H386" s="40" t="n">
        <v>0</v>
      </c>
      <c r="I386" s="40" t="n">
        <v>0</v>
      </c>
      <c r="J386" s="40" t="n">
        <v>0</v>
      </c>
      <c r="K386" s="40" t="n">
        <v>0</v>
      </c>
      <c r="L386" s="40" t="n">
        <v>95</v>
      </c>
    </row>
    <row r="387" ht="12" customHeight="1">
      <c r="A387" s="30" t="inlineStr">
        <is>
          <t>ITG</t>
        </is>
      </c>
      <c r="B387" s="30" t="inlineStr">
        <is>
          <t>Itaguai</t>
        </is>
      </c>
      <c r="C387" s="30" t="n">
        <v>11089526</v>
      </c>
      <c r="D387" s="30">
        <f>"29112742000190"</f>
        <v/>
      </c>
      <c r="E387" s="30" t="inlineStr">
        <is>
          <t>TRANSPORTES GV RIO EIRELI</t>
        </is>
      </c>
      <c r="F387" s="40" t="n">
        <v>0</v>
      </c>
      <c r="G387" s="40" t="n">
        <v>0</v>
      </c>
      <c r="H387" s="40" t="n">
        <v>0</v>
      </c>
      <c r="I387" s="40" t="n">
        <v>0</v>
      </c>
      <c r="J387" s="40" t="n">
        <v>0</v>
      </c>
      <c r="K387" s="40" t="n">
        <v>0</v>
      </c>
      <c r="L387" s="40" t="n">
        <v>2480</v>
      </c>
    </row>
    <row r="388" ht="12" customHeight="1">
      <c r="A388" s="30" t="inlineStr">
        <is>
          <t>ITG</t>
        </is>
      </c>
      <c r="B388" s="30" t="inlineStr">
        <is>
          <t>Itaguai</t>
        </is>
      </c>
      <c r="C388" s="30" t="n">
        <v>11094082</v>
      </c>
      <c r="D388" s="30">
        <f>"09464773000284"</f>
        <v/>
      </c>
      <c r="E388" s="30" t="inlineStr">
        <is>
          <t>TRANSCIARDI TRANSPORTE DE CARGA E LOGISTICA LTDA</t>
        </is>
      </c>
      <c r="F388" s="40" t="n">
        <v>0</v>
      </c>
      <c r="G388" s="40" t="n">
        <v>0</v>
      </c>
      <c r="H388" s="40" t="n">
        <v>0</v>
      </c>
      <c r="I388" s="40" t="n">
        <v>0</v>
      </c>
      <c r="J388" s="40" t="n">
        <v>9650</v>
      </c>
      <c r="K388" s="40" t="n">
        <v>0</v>
      </c>
      <c r="L388" s="40" t="n">
        <v>0</v>
      </c>
    </row>
    <row r="389" ht="12" customHeight="1">
      <c r="A389" s="30" t="inlineStr">
        <is>
          <t>ITG</t>
        </is>
      </c>
      <c r="B389" s="30" t="inlineStr">
        <is>
          <t>Itaguai</t>
        </is>
      </c>
      <c r="C389" s="30" t="n">
        <v>11099920</v>
      </c>
      <c r="D389" s="30">
        <f>"00603703780"</f>
        <v/>
      </c>
      <c r="E389" s="30" t="inlineStr">
        <is>
          <t>ADRIANO DA SILVA VIEIRA</t>
        </is>
      </c>
      <c r="F389" s="40" t="n">
        <v>0</v>
      </c>
      <c r="G389" s="40" t="n">
        <v>0</v>
      </c>
      <c r="H389" s="40" t="n">
        <v>0</v>
      </c>
      <c r="I389" s="40" t="n">
        <v>0</v>
      </c>
      <c r="J389" s="40" t="n">
        <v>35243.63</v>
      </c>
      <c r="K389" s="40" t="n">
        <v>0</v>
      </c>
      <c r="L389" s="40" t="n">
        <v>0</v>
      </c>
    </row>
    <row r="390" ht="12" customHeight="1">
      <c r="A390" s="30" t="inlineStr">
        <is>
          <t>ITG</t>
        </is>
      </c>
      <c r="B390" s="30" t="inlineStr">
        <is>
          <t>Itaguai</t>
        </is>
      </c>
      <c r="C390" s="30" t="n">
        <v>11103022</v>
      </c>
      <c r="D390" s="30">
        <f>"29981613000139"</f>
        <v/>
      </c>
      <c r="E390" s="30" t="inlineStr">
        <is>
          <t>VITARE NAUTICA FIBRAS EIRELI</t>
        </is>
      </c>
      <c r="F390" s="40" t="n">
        <v>0</v>
      </c>
      <c r="G390" s="40" t="n">
        <v>0</v>
      </c>
      <c r="H390" s="40" t="n">
        <v>0</v>
      </c>
      <c r="I390" s="40" t="n">
        <v>0</v>
      </c>
      <c r="J390" s="40" t="n">
        <v>0</v>
      </c>
      <c r="K390" s="40" t="n">
        <v>0</v>
      </c>
      <c r="L390" s="40" t="n">
        <v>0</v>
      </c>
    </row>
    <row r="391" ht="12" customHeight="1">
      <c r="A391" s="30" t="inlineStr">
        <is>
          <t>ITG</t>
        </is>
      </c>
      <c r="B391" s="30" t="inlineStr">
        <is>
          <t>Itaguai</t>
        </is>
      </c>
      <c r="C391" s="30" t="n">
        <v>11110428</v>
      </c>
      <c r="D391" s="30">
        <f>"18109232000300"</f>
        <v/>
      </c>
      <c r="E391" s="30" t="inlineStr">
        <is>
          <t>B &amp; T TRANSPORTE E LOGISTICA LTDA</t>
        </is>
      </c>
      <c r="F391" s="40" t="n">
        <v>0</v>
      </c>
      <c r="G391" s="40" t="n">
        <v>1545141.95</v>
      </c>
      <c r="H391" s="40" t="n">
        <v>0</v>
      </c>
      <c r="I391" s="40" t="n">
        <v>0</v>
      </c>
      <c r="J391" s="40" t="n">
        <v>0</v>
      </c>
      <c r="K391" s="40" t="n">
        <v>5331993.61</v>
      </c>
      <c r="L391" s="40" t="n">
        <v>5923527.69</v>
      </c>
    </row>
    <row r="392" ht="12" customHeight="1">
      <c r="A392" s="30" t="inlineStr">
        <is>
          <t>ITG</t>
        </is>
      </c>
      <c r="B392" s="30" t="inlineStr">
        <is>
          <t>Itaguai</t>
        </is>
      </c>
      <c r="C392" s="30" t="n">
        <v>11113206</v>
      </c>
      <c r="D392" s="30">
        <f>"00972696001190"</f>
        <v/>
      </c>
      <c r="E392" s="30" t="inlineStr">
        <is>
          <t>V M RAMOS &amp; CIA LTDA</t>
        </is>
      </c>
      <c r="F392" s="40" t="n">
        <v>0</v>
      </c>
      <c r="G392" s="40" t="n">
        <v>0</v>
      </c>
      <c r="H392" s="40" t="n">
        <v>0</v>
      </c>
      <c r="I392" s="40" t="n">
        <v>0</v>
      </c>
      <c r="J392" s="40" t="n">
        <v>298.38</v>
      </c>
      <c r="K392" s="40" t="n">
        <v>0</v>
      </c>
      <c r="L392" s="40" t="n">
        <v>0</v>
      </c>
    </row>
    <row r="393" ht="12" customHeight="1">
      <c r="A393" s="30" t="inlineStr">
        <is>
          <t>ITG</t>
        </is>
      </c>
      <c r="B393" s="30" t="inlineStr">
        <is>
          <t>Itaguai</t>
        </is>
      </c>
      <c r="C393" s="30" t="n">
        <v>11123961</v>
      </c>
      <c r="D393" s="30">
        <f>"00233065003879"</f>
        <v/>
      </c>
      <c r="E393" s="30" t="inlineStr">
        <is>
          <t>UNIDOCK"S ASSESSORIA E LOGISTICA DE MATERIAIS LTDA</t>
        </is>
      </c>
      <c r="F393" s="40" t="n">
        <v>0</v>
      </c>
      <c r="G393" s="40" t="n">
        <v>335.83</v>
      </c>
      <c r="H393" s="40" t="n">
        <v>1388.9</v>
      </c>
      <c r="I393" s="40" t="n">
        <v>366.25</v>
      </c>
      <c r="J393" s="40" t="n">
        <v>1617.46</v>
      </c>
      <c r="K393" s="40" t="n">
        <v>10929.55</v>
      </c>
      <c r="L393" s="40" t="n">
        <v>7170.74</v>
      </c>
    </row>
    <row r="394" ht="12" customHeight="1">
      <c r="A394" s="30" t="inlineStr">
        <is>
          <t>ITG</t>
        </is>
      </c>
      <c r="B394" s="30" t="inlineStr">
        <is>
          <t>Itaguai</t>
        </is>
      </c>
      <c r="C394" s="30" t="n">
        <v>11126324</v>
      </c>
      <c r="D394" s="30">
        <f>"30232982000108"</f>
        <v/>
      </c>
      <c r="E394" s="30" t="inlineStr">
        <is>
          <t>CROSSTIME SOLUÇÕES LOGISTICA LTDA</t>
        </is>
      </c>
      <c r="F394" s="40" t="n">
        <v>0</v>
      </c>
      <c r="G394" s="40" t="n">
        <v>0</v>
      </c>
      <c r="H394" s="40" t="n">
        <v>0</v>
      </c>
      <c r="I394" s="40" t="n">
        <v>0</v>
      </c>
      <c r="J394" s="40" t="n">
        <v>0</v>
      </c>
      <c r="K394" s="40" t="n">
        <v>900.05</v>
      </c>
      <c r="L394" s="40" t="n">
        <v>0</v>
      </c>
    </row>
    <row r="395" ht="12" customHeight="1">
      <c r="A395" s="30" t="inlineStr">
        <is>
          <t>ITG</t>
        </is>
      </c>
      <c r="B395" s="30" t="inlineStr">
        <is>
          <t>Itaguai</t>
        </is>
      </c>
      <c r="C395" s="30" t="n">
        <v>11132219</v>
      </c>
      <c r="D395" s="30">
        <f>"30308329000185"</f>
        <v/>
      </c>
      <c r="E395" s="30" t="inlineStr">
        <is>
          <t>TLOG RJ TRANSPORTADORA DE CARGAS LTDA</t>
        </is>
      </c>
      <c r="F395" s="40" t="n">
        <v>0</v>
      </c>
      <c r="G395" s="40" t="n">
        <v>0</v>
      </c>
      <c r="H395" s="40" t="n">
        <v>0</v>
      </c>
      <c r="I395" s="40" t="n">
        <v>26301.29</v>
      </c>
      <c r="J395" s="40" t="n">
        <v>0</v>
      </c>
      <c r="K395" s="40" t="n">
        <v>0</v>
      </c>
      <c r="L395" s="40" t="n">
        <v>0</v>
      </c>
    </row>
    <row r="396" ht="12" customHeight="1">
      <c r="A396" s="30" t="inlineStr">
        <is>
          <t>ITG</t>
        </is>
      </c>
      <c r="B396" s="30" t="inlineStr">
        <is>
          <t>Itaguai</t>
        </is>
      </c>
      <c r="C396" s="30" t="n">
        <v>11137270</v>
      </c>
      <c r="D396" s="30">
        <f>"06094474000800"</f>
        <v/>
      </c>
      <c r="E396" s="30" t="inlineStr">
        <is>
          <t>IRMAOS SANTOS CAVALCANTI SERVICOS E COMERCIO LTDA</t>
        </is>
      </c>
      <c r="F396" s="40" t="n">
        <v>0</v>
      </c>
      <c r="G396" s="40" t="n">
        <v>0</v>
      </c>
      <c r="H396" s="40" t="n">
        <v>0</v>
      </c>
      <c r="I396" s="40" t="n">
        <v>0</v>
      </c>
      <c r="J396" s="40" t="n">
        <v>0</v>
      </c>
      <c r="K396" s="40" t="n">
        <v>0</v>
      </c>
      <c r="L396" s="40" t="n">
        <v>0</v>
      </c>
    </row>
    <row r="397" ht="12" customHeight="1">
      <c r="A397" s="30" t="inlineStr">
        <is>
          <t>ITG</t>
        </is>
      </c>
      <c r="B397" s="30" t="inlineStr">
        <is>
          <t>Itaguai</t>
        </is>
      </c>
      <c r="C397" s="30" t="n">
        <v>11137512</v>
      </c>
      <c r="D397" s="30">
        <f>"23847090000156"</f>
        <v/>
      </c>
      <c r="E397" s="30" t="inlineStr">
        <is>
          <t>C C R DOMINGOS RESTAURANTE</t>
        </is>
      </c>
      <c r="F397" s="40" t="n">
        <v>0</v>
      </c>
      <c r="G397" s="40" t="n">
        <v>0</v>
      </c>
      <c r="H397" s="40" t="n">
        <v>0</v>
      </c>
      <c r="I397" s="40" t="n">
        <v>0</v>
      </c>
      <c r="J397" s="40" t="n">
        <v>0</v>
      </c>
      <c r="K397" s="40" t="n">
        <v>0</v>
      </c>
      <c r="L397" s="40" t="n">
        <v>0</v>
      </c>
    </row>
    <row r="398" ht="12" customHeight="1">
      <c r="A398" s="30" t="inlineStr">
        <is>
          <t>ITG</t>
        </is>
      </c>
      <c r="B398" s="30" t="inlineStr">
        <is>
          <t>Itaguai</t>
        </is>
      </c>
      <c r="C398" s="30" t="n">
        <v>11138098</v>
      </c>
      <c r="D398" s="30">
        <f>"30410115000115"</f>
        <v/>
      </c>
      <c r="E398" s="30" t="inlineStr">
        <is>
          <t>MZ TRANSPORTADORA E LOGISTICA LTDA</t>
        </is>
      </c>
      <c r="F398" s="40" t="n">
        <v>0</v>
      </c>
      <c r="G398" s="40" t="n">
        <v>0</v>
      </c>
      <c r="H398" s="40" t="n">
        <v>0</v>
      </c>
      <c r="I398" s="40" t="n">
        <v>1000</v>
      </c>
      <c r="J398" s="40" t="n">
        <v>0</v>
      </c>
      <c r="K398" s="40" t="n">
        <v>0</v>
      </c>
      <c r="L398" s="40" t="n">
        <v>0</v>
      </c>
    </row>
    <row r="399" ht="12" customHeight="1">
      <c r="A399" s="30" t="inlineStr">
        <is>
          <t>ITG</t>
        </is>
      </c>
      <c r="B399" s="30" t="inlineStr">
        <is>
          <t>Itaguai</t>
        </is>
      </c>
      <c r="C399" s="30" t="n">
        <v>11138721</v>
      </c>
      <c r="D399" s="30">
        <f>"30413385000180"</f>
        <v/>
      </c>
      <c r="E399" s="30" t="inlineStr">
        <is>
          <t>MERCADO COROA GRANDE 2018 EIRELI</t>
        </is>
      </c>
      <c r="F399" s="40" t="n">
        <v>0</v>
      </c>
      <c r="G399" s="40" t="n">
        <v>17376.23</v>
      </c>
      <c r="H399" s="40" t="n">
        <v>0</v>
      </c>
      <c r="I399" s="40" t="n">
        <v>0</v>
      </c>
      <c r="J399" s="40" t="n">
        <v>0</v>
      </c>
      <c r="K399" s="40" t="n">
        <v>0</v>
      </c>
      <c r="L399" s="40" t="n">
        <v>0</v>
      </c>
    </row>
    <row r="400" ht="12" customHeight="1">
      <c r="A400" s="30" t="inlineStr">
        <is>
          <t>ITG</t>
        </is>
      </c>
      <c r="B400" s="30" t="inlineStr">
        <is>
          <t>Itaguai</t>
        </is>
      </c>
      <c r="C400" s="30" t="n">
        <v>11140050</v>
      </c>
      <c r="D400" s="30">
        <f>"30356217000108"</f>
        <v/>
      </c>
      <c r="E400" s="30" t="inlineStr">
        <is>
          <t>POTENCIAL ALIMENTOS DISTRIBUIDORA DE ALIMENTOS EM GERAL EIRELI</t>
        </is>
      </c>
      <c r="F400" s="40" t="n">
        <v>0</v>
      </c>
      <c r="G400" s="40" t="n">
        <v>0</v>
      </c>
      <c r="H400" s="40" t="n">
        <v>0</v>
      </c>
      <c r="I400" s="40" t="n">
        <v>0</v>
      </c>
      <c r="J400" s="40" t="n">
        <v>0</v>
      </c>
      <c r="K400" s="40" t="n">
        <v>0</v>
      </c>
      <c r="L400" s="40" t="n">
        <v>0</v>
      </c>
    </row>
    <row r="401" ht="12" customHeight="1">
      <c r="A401" s="30" t="inlineStr">
        <is>
          <t>ITG</t>
        </is>
      </c>
      <c r="B401" s="30" t="inlineStr">
        <is>
          <t>Itaguai</t>
        </is>
      </c>
      <c r="C401" s="30" t="n">
        <v>11146422</v>
      </c>
      <c r="D401" s="30">
        <f>"22955070000136"</f>
        <v/>
      </c>
      <c r="E401" s="30" t="inlineStr">
        <is>
          <t>S D C MARTINS COMERCIO E SERVIÇOS EIRELI</t>
        </is>
      </c>
      <c r="F401" s="40" t="n">
        <v>0</v>
      </c>
      <c r="G401" s="40" t="n">
        <v>0</v>
      </c>
      <c r="H401" s="40" t="n">
        <v>0</v>
      </c>
      <c r="I401" s="40" t="n">
        <v>0</v>
      </c>
      <c r="J401" s="40" t="n">
        <v>0</v>
      </c>
      <c r="K401" s="40" t="n">
        <v>0</v>
      </c>
      <c r="L401" s="40" t="n">
        <v>0</v>
      </c>
    </row>
    <row r="402" ht="12" customHeight="1">
      <c r="A402" s="30" t="inlineStr">
        <is>
          <t>ITG</t>
        </is>
      </c>
      <c r="B402" s="30" t="inlineStr">
        <is>
          <t>Itaguai</t>
        </is>
      </c>
      <c r="C402" s="30" t="n">
        <v>11148751</v>
      </c>
      <c r="D402" s="30">
        <f>"30484404000169"</f>
        <v/>
      </c>
      <c r="E402" s="30" t="inlineStr">
        <is>
          <t>ANTONIO E ERIKA TRANSPORTE DE CARGA E DESCARGA LTDA</t>
        </is>
      </c>
      <c r="F402" s="40" t="n">
        <v>0</v>
      </c>
      <c r="G402" s="40" t="n">
        <v>0</v>
      </c>
      <c r="H402" s="40" t="n">
        <v>0</v>
      </c>
      <c r="I402" s="40" t="n">
        <v>0</v>
      </c>
      <c r="J402" s="40" t="n">
        <v>0</v>
      </c>
      <c r="K402" s="40" t="n">
        <v>0</v>
      </c>
      <c r="L402" s="40" t="n">
        <v>19001</v>
      </c>
    </row>
    <row r="403" ht="12" customHeight="1">
      <c r="A403" s="30" t="inlineStr">
        <is>
          <t>ITG</t>
        </is>
      </c>
      <c r="B403" s="30" t="inlineStr">
        <is>
          <t>Itaguai</t>
        </is>
      </c>
      <c r="C403" s="30" t="n">
        <v>11155200</v>
      </c>
      <c r="D403" s="30">
        <f>"09017109000459"</f>
        <v/>
      </c>
      <c r="E403" s="30" t="inlineStr">
        <is>
          <t>B-PROJECTS TRANSPORTES NACIONAIS E INTERNACIONAIS LTDA</t>
        </is>
      </c>
      <c r="F403" s="40" t="n">
        <v>0</v>
      </c>
      <c r="G403" s="40" t="n">
        <v>0</v>
      </c>
      <c r="H403" s="40" t="n">
        <v>935634.5</v>
      </c>
      <c r="I403" s="40" t="n">
        <v>2787293.06</v>
      </c>
      <c r="J403" s="40" t="n">
        <v>13881.64</v>
      </c>
      <c r="K403" s="40" t="n">
        <v>0</v>
      </c>
      <c r="L403" s="40" t="n">
        <v>0</v>
      </c>
    </row>
    <row r="404" ht="12" customHeight="1">
      <c r="A404" s="30" t="inlineStr">
        <is>
          <t>ITG</t>
        </is>
      </c>
      <c r="B404" s="30" t="inlineStr">
        <is>
          <t>Itaguai</t>
        </is>
      </c>
      <c r="C404" s="30" t="n">
        <v>11156045</v>
      </c>
      <c r="D404" s="30">
        <f>"12958790000100"</f>
        <v/>
      </c>
      <c r="E404" s="30" t="inlineStr">
        <is>
          <t>M E P ENGENHARIA E SERVICOS  ADM EIRELI</t>
        </is>
      </c>
      <c r="F404" s="40" t="n">
        <v>0</v>
      </c>
      <c r="G404" s="40" t="n">
        <v>0</v>
      </c>
      <c r="H404" s="40" t="n">
        <v>0</v>
      </c>
      <c r="I404" s="40" t="n">
        <v>0</v>
      </c>
      <c r="J404" s="40" t="n">
        <v>0</v>
      </c>
      <c r="K404" s="40" t="n">
        <v>0</v>
      </c>
      <c r="L404" s="40" t="n">
        <v>0</v>
      </c>
    </row>
    <row r="405" ht="12" customHeight="1">
      <c r="A405" s="30" t="inlineStr">
        <is>
          <t>ITG</t>
        </is>
      </c>
      <c r="B405" s="30" t="inlineStr">
        <is>
          <t>Itaguai</t>
        </is>
      </c>
      <c r="C405" s="30" t="n">
        <v>11156100</v>
      </c>
      <c r="D405" s="30">
        <f>"27541534000262"</f>
        <v/>
      </c>
      <c r="E405" s="30" t="inlineStr">
        <is>
          <t>OTICA NOVA VISÃO DE ITAGUAI LTDA</t>
        </is>
      </c>
      <c r="F405" s="40" t="n">
        <v>0</v>
      </c>
      <c r="G405" s="40" t="n">
        <v>0</v>
      </c>
      <c r="H405" s="40" t="n">
        <v>0</v>
      </c>
      <c r="I405" s="40" t="n">
        <v>944570.77</v>
      </c>
      <c r="J405" s="40" t="n">
        <v>890305</v>
      </c>
      <c r="K405" s="40" t="n">
        <v>1071508.94</v>
      </c>
      <c r="L405" s="40" t="n">
        <v>672671.1800000001</v>
      </c>
    </row>
    <row r="406" ht="12" customHeight="1">
      <c r="A406" s="30" t="inlineStr">
        <is>
          <t>ITG</t>
        </is>
      </c>
      <c r="B406" s="30" t="inlineStr">
        <is>
          <t>Itaguai</t>
        </is>
      </c>
      <c r="C406" s="30" t="n">
        <v>11164250</v>
      </c>
      <c r="D406" s="30">
        <f>"30665777000136"</f>
        <v/>
      </c>
      <c r="E406" s="30" t="inlineStr">
        <is>
          <t>J H M SANTOS LANCHONETE</t>
        </is>
      </c>
      <c r="F406" s="40" t="n">
        <v>0</v>
      </c>
      <c r="G406" s="40" t="n">
        <v>0</v>
      </c>
      <c r="H406" s="40" t="n">
        <v>0</v>
      </c>
      <c r="I406" s="40" t="n">
        <v>0</v>
      </c>
      <c r="J406" s="40" t="n">
        <v>0</v>
      </c>
      <c r="K406" s="40" t="n">
        <v>0</v>
      </c>
      <c r="L406" s="40" t="n">
        <v>0</v>
      </c>
    </row>
    <row r="407" ht="12" customHeight="1">
      <c r="A407" s="30" t="inlineStr">
        <is>
          <t>ITG</t>
        </is>
      </c>
      <c r="B407" s="30" t="inlineStr">
        <is>
          <t>Itaguai</t>
        </is>
      </c>
      <c r="C407" s="30" t="n">
        <v>11165338</v>
      </c>
      <c r="D407" s="30">
        <f>"10233431000828"</f>
        <v/>
      </c>
      <c r="E407" s="30" t="inlineStr">
        <is>
          <t>RSG CONFECCOES LTDA</t>
        </is>
      </c>
      <c r="F407" s="40" t="n">
        <v>0</v>
      </c>
      <c r="G407" s="40" t="n">
        <v>818577.17</v>
      </c>
      <c r="H407" s="40" t="n">
        <v>0</v>
      </c>
      <c r="I407" s="40" t="n">
        <v>0</v>
      </c>
      <c r="J407" s="40" t="n">
        <v>0</v>
      </c>
      <c r="K407" s="40" t="n">
        <v>0</v>
      </c>
      <c r="L407" s="40" t="n">
        <v>0</v>
      </c>
    </row>
    <row r="408" ht="12" customHeight="1">
      <c r="A408" s="30" t="inlineStr">
        <is>
          <t>ITG</t>
        </is>
      </c>
      <c r="B408" s="30" t="inlineStr">
        <is>
          <t>Itaguai</t>
        </is>
      </c>
      <c r="C408" s="30" t="n">
        <v>11170676</v>
      </c>
      <c r="D408" s="30">
        <f>"19700976000367"</f>
        <v/>
      </c>
      <c r="E408" s="30" t="inlineStr">
        <is>
          <t>SOLUCIONA LOGISTICA E TRANSPORTE LTDA</t>
        </is>
      </c>
      <c r="F408" s="40" t="n">
        <v>0</v>
      </c>
      <c r="G408" s="40" t="n">
        <v>0</v>
      </c>
      <c r="H408" s="40" t="n">
        <v>0</v>
      </c>
      <c r="I408" s="40" t="n">
        <v>0</v>
      </c>
      <c r="J408" s="40" t="n">
        <v>0</v>
      </c>
      <c r="K408" s="40" t="n">
        <v>0</v>
      </c>
      <c r="L408" s="40" t="n">
        <v>33247.95</v>
      </c>
    </row>
    <row r="409" ht="12" customHeight="1">
      <c r="A409" s="30" t="inlineStr">
        <is>
          <t>ITG</t>
        </is>
      </c>
      <c r="B409" s="30" t="inlineStr">
        <is>
          <t>Itaguai</t>
        </is>
      </c>
      <c r="C409" s="30" t="n">
        <v>11176941</v>
      </c>
      <c r="D409" s="30">
        <f>"30465848000157"</f>
        <v/>
      </c>
      <c r="E409" s="30" t="inlineStr">
        <is>
          <t>COOPER AGUIA COOPERATIVA DE TRANSPORTE TURISMO FRETAMENTO E LOCAÇÃO LTDA</t>
        </is>
      </c>
      <c r="F409" s="40" t="n">
        <v>0</v>
      </c>
      <c r="G409" s="40" t="n">
        <v>0</v>
      </c>
      <c r="H409" s="40" t="n">
        <v>0</v>
      </c>
      <c r="I409" s="40" t="n">
        <v>0</v>
      </c>
      <c r="J409" s="40" t="n">
        <v>0</v>
      </c>
      <c r="K409" s="40" t="n">
        <v>0</v>
      </c>
      <c r="L409" s="40" t="n">
        <v>7700</v>
      </c>
    </row>
    <row r="410" ht="12" customHeight="1">
      <c r="A410" s="30" t="inlineStr">
        <is>
          <t>ITG</t>
        </is>
      </c>
      <c r="B410" s="30" t="inlineStr">
        <is>
          <t>Itaguai</t>
        </is>
      </c>
      <c r="C410" s="30" t="n">
        <v>11178480</v>
      </c>
      <c r="D410" s="30">
        <f>"30578572000113"</f>
        <v/>
      </c>
      <c r="E410" s="30" t="inlineStr">
        <is>
          <t>BB AGROPECUÁRIA EIRELI</t>
        </is>
      </c>
      <c r="F410" s="40" t="n">
        <v>0</v>
      </c>
      <c r="G410" s="40" t="n">
        <v>0</v>
      </c>
      <c r="H410" s="40" t="n">
        <v>0</v>
      </c>
      <c r="I410" s="40" t="n">
        <v>0</v>
      </c>
      <c r="J410" s="40" t="n">
        <v>0</v>
      </c>
      <c r="K410" s="40" t="n">
        <v>0</v>
      </c>
      <c r="L410" s="40" t="n">
        <v>0</v>
      </c>
    </row>
    <row r="411" ht="12" customHeight="1">
      <c r="A411" s="30" t="inlineStr">
        <is>
          <t>ITG</t>
        </is>
      </c>
      <c r="B411" s="30" t="inlineStr">
        <is>
          <t>Itaguai</t>
        </is>
      </c>
      <c r="C411" s="30" t="n">
        <v>11185592</v>
      </c>
      <c r="D411" s="30">
        <f>"28530304000180"</f>
        <v/>
      </c>
      <c r="E411" s="30" t="inlineStr">
        <is>
          <t>ENGEMOL ENGENHARIA &amp; SERVIÇOS LTDA.</t>
        </is>
      </c>
      <c r="F411" s="40" t="n">
        <v>0</v>
      </c>
      <c r="G411" s="40" t="n">
        <v>0</v>
      </c>
      <c r="H411" s="40" t="n">
        <v>0</v>
      </c>
      <c r="I411" s="40" t="n">
        <v>0</v>
      </c>
      <c r="J411" s="40" t="n">
        <v>0</v>
      </c>
      <c r="K411" s="40" t="n">
        <v>0</v>
      </c>
      <c r="L411" s="40" t="n">
        <v>2420934.54</v>
      </c>
    </row>
    <row r="412" ht="12" customHeight="1">
      <c r="A412" s="30" t="inlineStr">
        <is>
          <t>ITG</t>
        </is>
      </c>
      <c r="B412" s="30" t="inlineStr">
        <is>
          <t>Itaguai</t>
        </is>
      </c>
      <c r="C412" s="30" t="n">
        <v>11189113</v>
      </c>
      <c r="D412" s="30">
        <f>"30900635000106"</f>
        <v/>
      </c>
      <c r="E412" s="30" t="inlineStr">
        <is>
          <t>MERCADO MSR LTDA</t>
        </is>
      </c>
      <c r="F412" s="40" t="n">
        <v>0</v>
      </c>
      <c r="G412" s="40" t="n">
        <v>722326.24</v>
      </c>
      <c r="H412" s="40" t="n">
        <v>7744807.99</v>
      </c>
      <c r="I412" s="40" t="n">
        <v>8823814.939999999</v>
      </c>
      <c r="J412" s="40" t="n">
        <v>8448767.359999999</v>
      </c>
      <c r="K412" s="40" t="n">
        <v>8343021.1</v>
      </c>
      <c r="L412" s="40" t="n">
        <v>4665390.63</v>
      </c>
    </row>
    <row r="413" ht="12" customHeight="1">
      <c r="A413" s="30" t="inlineStr">
        <is>
          <t>ITG</t>
        </is>
      </c>
      <c r="B413" s="30" t="inlineStr">
        <is>
          <t>Itaguai</t>
        </is>
      </c>
      <c r="C413" s="30" t="n">
        <v>11210775</v>
      </c>
      <c r="D413" s="30">
        <f>"21512121000192"</f>
        <v/>
      </c>
      <c r="E413" s="30" t="inlineStr">
        <is>
          <t>BEM CONSTRUTORA E INCORPORADORA EIRELI</t>
        </is>
      </c>
      <c r="F413" s="40" t="n">
        <v>0</v>
      </c>
      <c r="G413" s="40" t="n">
        <v>0</v>
      </c>
      <c r="H413" s="40" t="n">
        <v>0</v>
      </c>
      <c r="I413" s="40" t="n">
        <v>0</v>
      </c>
      <c r="J413" s="40" t="n">
        <v>0</v>
      </c>
      <c r="K413" s="40" t="n">
        <v>0</v>
      </c>
      <c r="L413" s="40" t="n">
        <v>0</v>
      </c>
    </row>
    <row r="414" ht="12" customHeight="1">
      <c r="A414" s="30" t="inlineStr">
        <is>
          <t>ITG</t>
        </is>
      </c>
      <c r="B414" s="30" t="inlineStr">
        <is>
          <t>Itaguai</t>
        </is>
      </c>
      <c r="C414" s="30" t="n">
        <v>11216870</v>
      </c>
      <c r="D414" s="30">
        <f>"31206714000184"</f>
        <v/>
      </c>
      <c r="E414" s="30" t="inlineStr">
        <is>
          <t>QLUZ MATERIAL ELÉTRICO, HIDRÁULICO E BAZAR LTDA</t>
        </is>
      </c>
      <c r="F414" s="40" t="n">
        <v>0</v>
      </c>
      <c r="G414" s="40" t="n">
        <v>0</v>
      </c>
      <c r="H414" s="40" t="n">
        <v>0</v>
      </c>
      <c r="I414" s="40" t="n">
        <v>0</v>
      </c>
      <c r="J414" s="40" t="n">
        <v>0</v>
      </c>
      <c r="K414" s="40" t="n">
        <v>0</v>
      </c>
      <c r="L414" s="40" t="n">
        <v>0</v>
      </c>
    </row>
    <row r="415" ht="12" customHeight="1">
      <c r="A415" s="30" t="inlineStr">
        <is>
          <t>ITG</t>
        </is>
      </c>
      <c r="B415" s="30" t="inlineStr">
        <is>
          <t>Itaguai</t>
        </is>
      </c>
      <c r="C415" s="30" t="n">
        <v>11220550</v>
      </c>
      <c r="D415" s="30">
        <f>"31918535000412"</f>
        <v/>
      </c>
      <c r="E415" s="30" t="inlineStr">
        <is>
          <t>TRANSTURISMO TRANSPORTADORA ORIENTAL LTDA</t>
        </is>
      </c>
      <c r="F415" s="40" t="n">
        <v>0</v>
      </c>
      <c r="G415" s="40" t="n">
        <v>0</v>
      </c>
      <c r="H415" s="40" t="n">
        <v>0</v>
      </c>
      <c r="I415" s="40" t="n">
        <v>0</v>
      </c>
      <c r="J415" s="40" t="n">
        <v>0</v>
      </c>
      <c r="K415" s="40" t="n">
        <v>0</v>
      </c>
      <c r="L415" s="40" t="n">
        <v>0</v>
      </c>
    </row>
    <row r="416" ht="12" customHeight="1">
      <c r="A416" s="30" t="inlineStr">
        <is>
          <t>ITG</t>
        </is>
      </c>
      <c r="B416" s="30" t="inlineStr">
        <is>
          <t>Itaguai</t>
        </is>
      </c>
      <c r="C416" s="30" t="n">
        <v>11221807</v>
      </c>
      <c r="D416" s="30">
        <f>"07516980002253"</f>
        <v/>
      </c>
      <c r="E416" s="30" t="inlineStr">
        <is>
          <t>XYZ77 TELECOMUNICACOES LTDA</t>
        </is>
      </c>
      <c r="F416" s="40" t="n">
        <v>0</v>
      </c>
      <c r="G416" s="40" t="n">
        <v>0</v>
      </c>
      <c r="H416" s="40" t="n">
        <v>0</v>
      </c>
      <c r="I416" s="40" t="n">
        <v>334764.85</v>
      </c>
      <c r="J416" s="40" t="n">
        <v>0</v>
      </c>
      <c r="K416" s="40" t="n">
        <v>472770.03</v>
      </c>
      <c r="L416" s="40" t="n">
        <v>792371.03</v>
      </c>
    </row>
    <row r="417" ht="12" customHeight="1">
      <c r="A417" s="30" t="inlineStr">
        <is>
          <t>ITG</t>
        </is>
      </c>
      <c r="B417" s="30" t="inlineStr">
        <is>
          <t>Itaguai</t>
        </is>
      </c>
      <c r="C417" s="30" t="n">
        <v>11224830</v>
      </c>
      <c r="D417" s="30">
        <f>"13844690000107"</f>
        <v/>
      </c>
      <c r="E417" s="30" t="inlineStr">
        <is>
          <t>SEROPEC AGROPECU?RIA EIRELI</t>
        </is>
      </c>
      <c r="F417" s="40" t="n">
        <v>0</v>
      </c>
      <c r="G417" s="40" t="n">
        <v>0</v>
      </c>
      <c r="H417" s="40" t="n">
        <v>0</v>
      </c>
      <c r="I417" s="40" t="n">
        <v>0</v>
      </c>
      <c r="J417" s="40" t="n">
        <v>0</v>
      </c>
      <c r="K417" s="40" t="n">
        <v>0</v>
      </c>
      <c r="L417" s="40" t="n">
        <v>0</v>
      </c>
    </row>
    <row r="418" ht="12" customHeight="1">
      <c r="A418" s="30" t="inlineStr">
        <is>
          <t>ITG</t>
        </is>
      </c>
      <c r="B418" s="30" t="inlineStr">
        <is>
          <t>Itaguai</t>
        </is>
      </c>
      <c r="C418" s="30" t="n">
        <v>11226590</v>
      </c>
      <c r="D418" s="30">
        <f>"16561209000245"</f>
        <v/>
      </c>
      <c r="E418" s="30" t="inlineStr">
        <is>
          <t>BELMAQ ALUGUEIS LTDA</t>
        </is>
      </c>
      <c r="F418" s="40" t="n">
        <v>0</v>
      </c>
      <c r="G418" s="40" t="n">
        <v>0</v>
      </c>
      <c r="H418" s="40" t="n">
        <v>0</v>
      </c>
      <c r="I418" s="40" t="n">
        <v>0</v>
      </c>
      <c r="J418" s="40" t="n">
        <v>0</v>
      </c>
      <c r="K418" s="40" t="n">
        <v>3000</v>
      </c>
      <c r="L418" s="40" t="n">
        <v>3000</v>
      </c>
    </row>
    <row r="419" ht="12" customHeight="1">
      <c r="A419" s="30" t="inlineStr">
        <is>
          <t>ITG</t>
        </is>
      </c>
      <c r="B419" s="30" t="inlineStr">
        <is>
          <t>Itaguai</t>
        </is>
      </c>
      <c r="C419" s="30" t="n">
        <v>11236499</v>
      </c>
      <c r="D419" s="30">
        <f>"73305997000757"</f>
        <v/>
      </c>
      <c r="E419" s="30" t="inlineStr">
        <is>
          <t>REMA TIP TOP SERVICOS DE VULCANIZACAO LTDA</t>
        </is>
      </c>
      <c r="F419" s="40" t="n">
        <v>0</v>
      </c>
      <c r="G419" s="40" t="n">
        <v>0</v>
      </c>
      <c r="H419" s="40" t="n">
        <v>0</v>
      </c>
      <c r="I419" s="40" t="n">
        <v>0</v>
      </c>
      <c r="J419" s="40" t="n">
        <v>0</v>
      </c>
      <c r="K419" s="40" t="n">
        <v>117246.24</v>
      </c>
      <c r="L419" s="40" t="n">
        <v>0</v>
      </c>
    </row>
    <row r="420" ht="12" customHeight="1">
      <c r="A420" s="30" t="inlineStr">
        <is>
          <t>ITG</t>
        </is>
      </c>
      <c r="B420" s="30" t="inlineStr">
        <is>
          <t>Itaguai</t>
        </is>
      </c>
      <c r="C420" s="30" t="n">
        <v>11258921</v>
      </c>
      <c r="D420" s="30">
        <f>"13777330000130"</f>
        <v/>
      </c>
      <c r="E420" s="30" t="inlineStr">
        <is>
          <t>H2 POWER ENERGIA EIRELI</t>
        </is>
      </c>
      <c r="F420" s="40" t="n">
        <v>0</v>
      </c>
      <c r="G420" s="40" t="n">
        <v>0</v>
      </c>
      <c r="H420" s="40" t="n">
        <v>0</v>
      </c>
      <c r="I420" s="40" t="n">
        <v>0</v>
      </c>
      <c r="J420" s="40" t="n">
        <v>0</v>
      </c>
      <c r="K420" s="40" t="n">
        <v>0</v>
      </c>
      <c r="L420" s="40" t="n">
        <v>0</v>
      </c>
    </row>
    <row r="421" ht="12" customHeight="1">
      <c r="A421" s="30" t="inlineStr">
        <is>
          <t>ITG</t>
        </is>
      </c>
      <c r="B421" s="30" t="inlineStr">
        <is>
          <t>Itaguai</t>
        </is>
      </c>
      <c r="C421" s="30" t="n">
        <v>11266088</v>
      </c>
      <c r="D421" s="30">
        <f>"31625963000104"</f>
        <v/>
      </c>
      <c r="E421" s="30" t="inlineStr">
        <is>
          <t>MCW MANUTENÇÃO E INSTALAÇÃO LTDA</t>
        </is>
      </c>
      <c r="F421" s="40" t="n">
        <v>0</v>
      </c>
      <c r="G421" s="40" t="n">
        <v>0</v>
      </c>
      <c r="H421" s="40" t="n">
        <v>0</v>
      </c>
      <c r="I421" s="40" t="n">
        <v>0</v>
      </c>
      <c r="J421" s="40" t="n">
        <v>0</v>
      </c>
      <c r="K421" s="40" t="n">
        <v>0</v>
      </c>
      <c r="L421" s="40" t="n">
        <v>2371.43</v>
      </c>
    </row>
    <row r="422" ht="12" customHeight="1">
      <c r="A422" s="30" t="inlineStr">
        <is>
          <t>ITG</t>
        </is>
      </c>
      <c r="B422" s="30" t="inlineStr">
        <is>
          <t>Itaguai</t>
        </is>
      </c>
      <c r="C422" s="30" t="n">
        <v>11268366</v>
      </c>
      <c r="D422" s="30">
        <f>"02954620000861"</f>
        <v/>
      </c>
      <c r="E422" s="30" t="inlineStr">
        <is>
          <t>TBNET COMERCIO, LOCACAO E ADMINISTRACAO LTDA</t>
        </is>
      </c>
      <c r="F422" s="40" t="n">
        <v>0</v>
      </c>
      <c r="G422" s="40" t="n">
        <v>0</v>
      </c>
      <c r="H422" s="40" t="n">
        <v>4108.28</v>
      </c>
      <c r="I422" s="40" t="n">
        <v>6698.5</v>
      </c>
      <c r="J422" s="40" t="n">
        <v>8915.34</v>
      </c>
      <c r="K422" s="40" t="n">
        <v>8239.24</v>
      </c>
      <c r="L422" s="40" t="n">
        <v>12451.55</v>
      </c>
    </row>
    <row r="423" ht="12" customHeight="1">
      <c r="A423" s="30" t="inlineStr">
        <is>
          <t>ITG</t>
        </is>
      </c>
      <c r="B423" s="30" t="inlineStr">
        <is>
          <t>Itaguai</t>
        </is>
      </c>
      <c r="C423" s="30" t="n">
        <v>11275672</v>
      </c>
      <c r="D423" s="30">
        <f>"04136497000120"</f>
        <v/>
      </c>
      <c r="E423" s="30" t="inlineStr">
        <is>
          <t>S. R. INCORPORAÇÕES LTDA</t>
        </is>
      </c>
      <c r="F423" s="40" t="n">
        <v>0</v>
      </c>
      <c r="G423" s="40" t="n">
        <v>0</v>
      </c>
      <c r="H423" s="40" t="n">
        <v>0</v>
      </c>
      <c r="I423" s="40" t="n">
        <v>0</v>
      </c>
      <c r="J423" s="40" t="n">
        <v>0</v>
      </c>
      <c r="K423" s="40" t="n">
        <v>0</v>
      </c>
      <c r="L423" s="40" t="n">
        <v>0</v>
      </c>
    </row>
    <row r="424" ht="12" customHeight="1">
      <c r="A424" s="30" t="inlineStr">
        <is>
          <t>ITG</t>
        </is>
      </c>
      <c r="B424" s="30" t="inlineStr">
        <is>
          <t>Itaguai</t>
        </is>
      </c>
      <c r="C424" s="30" t="n">
        <v>11278892</v>
      </c>
      <c r="D424" s="30">
        <f>"05112286000544"</f>
        <v/>
      </c>
      <c r="E424" s="30" t="inlineStr">
        <is>
          <t>BINHO TRANSPORTES E LOGISTICA EIRELI</t>
        </is>
      </c>
      <c r="F424" s="40" t="n">
        <v>0</v>
      </c>
      <c r="G424" s="40" t="n">
        <v>0</v>
      </c>
      <c r="H424" s="40" t="n">
        <v>0</v>
      </c>
      <c r="I424" s="40" t="n">
        <v>0</v>
      </c>
      <c r="J424" s="40" t="n">
        <v>0</v>
      </c>
      <c r="K424" s="40" t="n">
        <v>754.86</v>
      </c>
      <c r="L424" s="40" t="n">
        <v>0</v>
      </c>
    </row>
    <row r="425" ht="12" customHeight="1">
      <c r="A425" s="30" t="inlineStr">
        <is>
          <t>ITG</t>
        </is>
      </c>
      <c r="B425" s="30" t="inlineStr">
        <is>
          <t>Itaguai</t>
        </is>
      </c>
      <c r="C425" s="30" t="n">
        <v>11283969</v>
      </c>
      <c r="D425" s="30">
        <f>"28441388000266"</f>
        <v/>
      </c>
      <c r="E425" s="30" t="inlineStr">
        <is>
          <t>GROUP TRANS TRANSPORTES EIRELI</t>
        </is>
      </c>
      <c r="F425" s="40" t="n">
        <v>0</v>
      </c>
      <c r="G425" s="40" t="n">
        <v>0</v>
      </c>
      <c r="H425" s="40" t="n">
        <v>0</v>
      </c>
      <c r="I425" s="40" t="n">
        <v>273.57</v>
      </c>
      <c r="J425" s="40" t="n">
        <v>0</v>
      </c>
      <c r="K425" s="40" t="n">
        <v>531</v>
      </c>
      <c r="L425" s="40" t="n">
        <v>145.87</v>
      </c>
    </row>
    <row r="426" ht="12" customHeight="1">
      <c r="A426" s="30" t="inlineStr">
        <is>
          <t>ITG</t>
        </is>
      </c>
      <c r="B426" s="30" t="inlineStr">
        <is>
          <t>Itaguai</t>
        </is>
      </c>
      <c r="C426" s="30" t="n">
        <v>11288570</v>
      </c>
      <c r="D426" s="30">
        <f>"31663381000112"</f>
        <v/>
      </c>
      <c r="E426" s="30" t="inlineStr">
        <is>
          <t>OFF RIO MOTORS VEICULOS LTDA</t>
        </is>
      </c>
      <c r="F426" s="40" t="n">
        <v>0</v>
      </c>
      <c r="G426" s="40" t="n">
        <v>0</v>
      </c>
      <c r="H426" s="40" t="n">
        <v>0</v>
      </c>
      <c r="I426" s="40" t="n">
        <v>0</v>
      </c>
      <c r="J426" s="40" t="n">
        <v>0</v>
      </c>
      <c r="K426" s="40" t="n">
        <v>0</v>
      </c>
      <c r="L426" s="40" t="n">
        <v>0</v>
      </c>
    </row>
    <row r="427" ht="12" customHeight="1">
      <c r="A427" s="30" t="inlineStr">
        <is>
          <t>ITG</t>
        </is>
      </c>
      <c r="B427" s="30" t="inlineStr">
        <is>
          <t>Itaguai</t>
        </is>
      </c>
      <c r="C427" s="30" t="n">
        <v>11305377</v>
      </c>
      <c r="D427" s="30">
        <f>"09537442000308"</f>
        <v/>
      </c>
      <c r="E427" s="30" t="inlineStr">
        <is>
          <t>TRAXTERRA SERVICOS E EQUIPAMENTOS LTDA</t>
        </is>
      </c>
      <c r="F427" s="40" t="n">
        <v>0</v>
      </c>
      <c r="G427" s="40" t="n">
        <v>0</v>
      </c>
      <c r="H427" s="40" t="n">
        <v>0</v>
      </c>
      <c r="I427" s="40" t="n">
        <v>0</v>
      </c>
      <c r="J427" s="40" t="n">
        <v>0</v>
      </c>
      <c r="K427" s="40" t="n">
        <v>0</v>
      </c>
      <c r="L427" s="40" t="n">
        <v>0</v>
      </c>
    </row>
    <row r="428" ht="12" customHeight="1">
      <c r="A428" s="30" t="inlineStr">
        <is>
          <t>ITG</t>
        </is>
      </c>
      <c r="B428" s="30" t="inlineStr">
        <is>
          <t>Itaguai</t>
        </is>
      </c>
      <c r="C428" s="30" t="n">
        <v>11305385</v>
      </c>
      <c r="D428" s="30">
        <f>"08381155000631"</f>
        <v/>
      </c>
      <c r="E428" s="30" t="inlineStr">
        <is>
          <t>LNG 10 CONFECCOES LTDA</t>
        </is>
      </c>
      <c r="F428" s="40" t="n">
        <v>0</v>
      </c>
      <c r="G428" s="40" t="n">
        <v>0</v>
      </c>
      <c r="H428" s="40" t="n">
        <v>2373529.93</v>
      </c>
      <c r="I428" s="40" t="n">
        <v>1689883.52</v>
      </c>
      <c r="J428" s="40" t="n">
        <v>2409868.81</v>
      </c>
      <c r="K428" s="40" t="n">
        <v>2675888.2</v>
      </c>
      <c r="L428" s="40" t="n">
        <v>3745344.96</v>
      </c>
    </row>
    <row r="429" ht="12" customHeight="1">
      <c r="A429" s="30" t="inlineStr">
        <is>
          <t>ITG</t>
        </is>
      </c>
      <c r="B429" s="30" t="inlineStr">
        <is>
          <t>Itaguai</t>
        </is>
      </c>
      <c r="C429" s="30" t="n">
        <v>11306080</v>
      </c>
      <c r="D429" s="30">
        <f>"03308232000523"</f>
        <v/>
      </c>
      <c r="E429" s="30" t="inlineStr">
        <is>
          <t>TURIN TRANSPORTES LTDA</t>
        </is>
      </c>
      <c r="F429" s="40" t="n">
        <v>0</v>
      </c>
      <c r="G429" s="40" t="n">
        <v>0</v>
      </c>
      <c r="H429" s="40" t="n">
        <v>0</v>
      </c>
      <c r="I429" s="40" t="n">
        <v>1909862.89</v>
      </c>
      <c r="J429" s="40" t="n">
        <v>2895414.92</v>
      </c>
      <c r="K429" s="40" t="n">
        <v>83461.55</v>
      </c>
      <c r="L429" s="40" t="n">
        <v>88299.16</v>
      </c>
    </row>
    <row r="430" ht="12" customHeight="1">
      <c r="A430" s="30" t="inlineStr">
        <is>
          <t>ITG</t>
        </is>
      </c>
      <c r="B430" s="30" t="inlineStr">
        <is>
          <t>Itaguai</t>
        </is>
      </c>
      <c r="C430" s="30" t="n">
        <v>11306870</v>
      </c>
      <c r="D430" s="30">
        <f>"26607430000321"</f>
        <v/>
      </c>
      <c r="E430" s="30" t="inlineStr">
        <is>
          <t>EXPRESSO JA LTDA</t>
        </is>
      </c>
      <c r="F430" s="40" t="n">
        <v>0</v>
      </c>
      <c r="G430" s="40" t="n">
        <v>0</v>
      </c>
      <c r="H430" s="40" t="n">
        <v>0</v>
      </c>
      <c r="I430" s="40" t="n">
        <v>0</v>
      </c>
      <c r="J430" s="40" t="n">
        <v>0</v>
      </c>
      <c r="K430" s="40" t="n">
        <v>121.49</v>
      </c>
      <c r="L430" s="40" t="n">
        <v>146.09</v>
      </c>
    </row>
    <row r="431" ht="12" customHeight="1">
      <c r="A431" s="30" t="inlineStr">
        <is>
          <t>ITG</t>
        </is>
      </c>
      <c r="B431" s="30" t="inlineStr">
        <is>
          <t>Itaguai</t>
        </is>
      </c>
      <c r="C431" s="30" t="n">
        <v>11309615</v>
      </c>
      <c r="D431" s="30">
        <f>"32134502000100"</f>
        <v/>
      </c>
      <c r="E431" s="30" t="inlineStr">
        <is>
          <t>RG LOCAÇÕES E SERVIÇOS EIRELI</t>
        </is>
      </c>
      <c r="F431" s="40" t="n">
        <v>0</v>
      </c>
      <c r="G431" s="40" t="n">
        <v>0</v>
      </c>
      <c r="H431" s="40" t="n">
        <v>0</v>
      </c>
      <c r="I431" s="40" t="n">
        <v>0</v>
      </c>
      <c r="J431" s="40" t="n">
        <v>0</v>
      </c>
      <c r="K431" s="40" t="n">
        <v>0</v>
      </c>
      <c r="L431" s="40" t="n">
        <v>0</v>
      </c>
    </row>
    <row r="432" ht="12" customHeight="1">
      <c r="A432" s="30" t="inlineStr">
        <is>
          <t>ITG</t>
        </is>
      </c>
      <c r="B432" s="30" t="inlineStr">
        <is>
          <t>Itaguai</t>
        </is>
      </c>
      <c r="C432" s="30" t="n">
        <v>11309739</v>
      </c>
      <c r="D432" s="30">
        <f>"05476099000469"</f>
        <v/>
      </c>
      <c r="E432" s="30" t="inlineStr">
        <is>
          <t>SOMA LOGISTICA E LOCACOES LTDA</t>
        </is>
      </c>
      <c r="F432" s="40" t="n">
        <v>0</v>
      </c>
      <c r="G432" s="40" t="n">
        <v>0</v>
      </c>
      <c r="H432" s="40" t="n">
        <v>141639.64</v>
      </c>
      <c r="I432" s="40" t="n">
        <v>140</v>
      </c>
      <c r="J432" s="40" t="n">
        <v>0</v>
      </c>
      <c r="K432" s="40" t="n">
        <v>0</v>
      </c>
      <c r="L432" s="40" t="n">
        <v>0</v>
      </c>
    </row>
    <row r="433" ht="12" customHeight="1">
      <c r="A433" s="30" t="inlineStr">
        <is>
          <t>ITG</t>
        </is>
      </c>
      <c r="B433" s="30" t="inlineStr">
        <is>
          <t>Itaguai</t>
        </is>
      </c>
      <c r="C433" s="30" t="n">
        <v>11327133</v>
      </c>
      <c r="D433" s="30">
        <f>"13675188000209"</f>
        <v/>
      </c>
      <c r="E433" s="30" t="inlineStr">
        <is>
          <t>T&amp;T LOCACAO DE MAQUINAS E EQUIPAMENTOS E TRANSPORTE DE CARGAS E CONTAINERES LTDA</t>
        </is>
      </c>
      <c r="F433" s="40" t="n">
        <v>0</v>
      </c>
      <c r="G433" s="40" t="n">
        <v>0</v>
      </c>
      <c r="H433" s="40" t="n">
        <v>0</v>
      </c>
      <c r="I433" s="40" t="n">
        <v>0</v>
      </c>
      <c r="J433" s="40" t="n">
        <v>0</v>
      </c>
      <c r="K433" s="40" t="n">
        <v>0</v>
      </c>
      <c r="L433" s="40" t="n">
        <v>0</v>
      </c>
    </row>
    <row r="434" ht="12" customHeight="1">
      <c r="A434" s="30" t="inlineStr">
        <is>
          <t>ITG</t>
        </is>
      </c>
      <c r="B434" s="30" t="inlineStr">
        <is>
          <t>Itaguai</t>
        </is>
      </c>
      <c r="C434" s="30" t="n">
        <v>11327559</v>
      </c>
      <c r="D434" s="30">
        <f>"29574909000135"</f>
        <v/>
      </c>
      <c r="E434" s="30" t="inlineStr">
        <is>
          <t>MES - GENSOLARIS ARRENDAMENTO DE SISTEMAS FOTOVOLTAICOS LTDA</t>
        </is>
      </c>
      <c r="F434" s="40" t="n">
        <v>0</v>
      </c>
      <c r="G434" s="40" t="n">
        <v>0</v>
      </c>
      <c r="H434" s="40" t="n">
        <v>0</v>
      </c>
      <c r="I434" s="40" t="n">
        <v>0</v>
      </c>
      <c r="J434" s="40" t="n">
        <v>0</v>
      </c>
      <c r="K434" s="40" t="n">
        <v>0</v>
      </c>
      <c r="L434" s="40" t="n">
        <v>0</v>
      </c>
    </row>
    <row r="435" ht="12" customHeight="1">
      <c r="A435" s="30" t="inlineStr">
        <is>
          <t>ITG</t>
        </is>
      </c>
      <c r="B435" s="30" t="inlineStr">
        <is>
          <t>Itaguai</t>
        </is>
      </c>
      <c r="C435" s="30" t="n">
        <v>11335209</v>
      </c>
      <c r="D435" s="30">
        <f>"30225668000521"</f>
        <v/>
      </c>
      <c r="E435" s="30" t="inlineStr">
        <is>
          <t>N A DA SILVA DROGARIAS LTDA EPP</t>
        </is>
      </c>
      <c r="F435" s="40" t="n">
        <v>0</v>
      </c>
      <c r="G435" s="40" t="n">
        <v>0</v>
      </c>
      <c r="H435" s="40" t="n">
        <v>0</v>
      </c>
      <c r="I435" s="40" t="n">
        <v>0</v>
      </c>
      <c r="J435" s="40" t="n">
        <v>0</v>
      </c>
      <c r="K435" s="40" t="n">
        <v>0</v>
      </c>
      <c r="L435" s="40" t="n">
        <v>0</v>
      </c>
    </row>
    <row r="436" ht="12" customHeight="1">
      <c r="A436" s="30" t="inlineStr">
        <is>
          <t>ITG</t>
        </is>
      </c>
      <c r="B436" s="30" t="inlineStr">
        <is>
          <t>Itaguai</t>
        </is>
      </c>
      <c r="C436" s="30" t="n">
        <v>11336353</v>
      </c>
      <c r="D436" s="30">
        <f>"26954424000189"</f>
        <v/>
      </c>
      <c r="E436" s="30" t="inlineStr">
        <is>
          <t>ITAGUAI AUTO CENTER LTDA</t>
        </is>
      </c>
      <c r="F436" s="40" t="n">
        <v>0</v>
      </c>
      <c r="G436" s="40" t="n">
        <v>0</v>
      </c>
      <c r="H436" s="40" t="n">
        <v>0</v>
      </c>
      <c r="I436" s="40" t="n">
        <v>0</v>
      </c>
      <c r="J436" s="40" t="n">
        <v>551412.92</v>
      </c>
      <c r="K436" s="40" t="n">
        <v>1156539.72</v>
      </c>
      <c r="L436" s="40" t="n">
        <v>3706059.52</v>
      </c>
    </row>
    <row r="437" ht="12" customHeight="1">
      <c r="A437" s="30" t="inlineStr">
        <is>
          <t>ITG</t>
        </is>
      </c>
      <c r="B437" s="30" t="inlineStr">
        <is>
          <t>Itaguai</t>
        </is>
      </c>
      <c r="C437" s="30" t="n">
        <v>11341349</v>
      </c>
      <c r="D437" s="30">
        <f>"27203551000290"</f>
        <v/>
      </c>
      <c r="E437" s="30" t="inlineStr">
        <is>
          <t>SCALT ENCOMENDAS EXPRESSAS LTDA</t>
        </is>
      </c>
      <c r="F437" s="40" t="n">
        <v>0</v>
      </c>
      <c r="G437" s="40" t="n">
        <v>0</v>
      </c>
      <c r="H437" s="40" t="n">
        <v>0</v>
      </c>
      <c r="I437" s="40" t="n">
        <v>0</v>
      </c>
      <c r="J437" s="40" t="n">
        <v>0</v>
      </c>
      <c r="K437" s="40" t="n">
        <v>529.28</v>
      </c>
      <c r="L437" s="40" t="n">
        <v>1437.53</v>
      </c>
    </row>
    <row r="438" ht="12" customHeight="1">
      <c r="A438" s="30" t="inlineStr">
        <is>
          <t>ITG</t>
        </is>
      </c>
      <c r="B438" s="30" t="inlineStr">
        <is>
          <t>Itaguai</t>
        </is>
      </c>
      <c r="C438" s="30" t="n">
        <v>11342604</v>
      </c>
      <c r="D438" s="30">
        <f>"32494457000196"</f>
        <v/>
      </c>
      <c r="E438" s="30" t="inlineStr">
        <is>
          <t>EXPRESSO CAR REVENDA EIRELI</t>
        </is>
      </c>
      <c r="F438" s="40" t="n">
        <v>0</v>
      </c>
      <c r="G438" s="40" t="n">
        <v>0</v>
      </c>
      <c r="H438" s="40" t="n">
        <v>0</v>
      </c>
      <c r="I438" s="40" t="n">
        <v>0</v>
      </c>
      <c r="J438" s="40" t="n">
        <v>0</v>
      </c>
      <c r="K438" s="40" t="n">
        <v>0</v>
      </c>
      <c r="L438" s="40" t="n">
        <v>486549.8</v>
      </c>
    </row>
    <row r="439" ht="12" customHeight="1">
      <c r="A439" s="30" t="inlineStr">
        <is>
          <t>ITG</t>
        </is>
      </c>
      <c r="B439" s="30" t="inlineStr">
        <is>
          <t>Itaguai</t>
        </is>
      </c>
      <c r="C439" s="30" t="n">
        <v>11344666</v>
      </c>
      <c r="D439" s="30">
        <f>"19109840000620"</f>
        <v/>
      </c>
      <c r="E439" s="30" t="inlineStr">
        <is>
          <t>SUPPLOG TRANSPORTES MULTIMODAIS E INTERMEDIACOES DE NEGOCIOS LTDA</t>
        </is>
      </c>
      <c r="F439" s="40" t="n">
        <v>0</v>
      </c>
      <c r="G439" s="40" t="n">
        <v>0</v>
      </c>
      <c r="H439" s="40" t="n">
        <v>348.59</v>
      </c>
      <c r="I439" s="40" t="n">
        <v>0</v>
      </c>
      <c r="J439" s="40" t="n">
        <v>0</v>
      </c>
      <c r="K439" s="40" t="n">
        <v>0</v>
      </c>
      <c r="L439" s="40" t="n">
        <v>0</v>
      </c>
    </row>
    <row r="440" ht="12" customHeight="1">
      <c r="A440" s="30" t="inlineStr">
        <is>
          <t>ITG</t>
        </is>
      </c>
      <c r="B440" s="30" t="inlineStr">
        <is>
          <t>Itaguai</t>
        </is>
      </c>
      <c r="C440" s="30" t="n">
        <v>11351336</v>
      </c>
      <c r="D440" s="30">
        <f>"32609550000107"</f>
        <v/>
      </c>
      <c r="E440" s="30" t="inlineStr">
        <is>
          <t>RESTAURANTE ZUM FUSION ITAGUAI LTDA</t>
        </is>
      </c>
      <c r="F440" s="40" t="n">
        <v>0</v>
      </c>
      <c r="G440" s="40" t="n">
        <v>0</v>
      </c>
      <c r="H440" s="40" t="n">
        <v>656849.33</v>
      </c>
      <c r="I440" s="40" t="n">
        <v>0</v>
      </c>
      <c r="J440" s="40" t="n">
        <v>1057170.92</v>
      </c>
      <c r="K440" s="40" t="n">
        <v>0</v>
      </c>
      <c r="L440" s="40" t="n">
        <v>0</v>
      </c>
    </row>
    <row r="441" ht="12" customHeight="1">
      <c r="A441" s="30" t="inlineStr">
        <is>
          <t>ITG</t>
        </is>
      </c>
      <c r="B441" s="30" t="inlineStr">
        <is>
          <t>Itaguai</t>
        </is>
      </c>
      <c r="C441" s="30" t="n">
        <v>11366660</v>
      </c>
      <c r="D441" s="30">
        <f>"05530576001075"</f>
        <v/>
      </c>
      <c r="E441" s="30" t="inlineStr">
        <is>
          <t>LOGFAR LOGISTICA LTDA</t>
        </is>
      </c>
      <c r="F441" s="40" t="n">
        <v>0</v>
      </c>
      <c r="G441" s="40" t="n">
        <v>0</v>
      </c>
      <c r="H441" s="40" t="n">
        <v>0</v>
      </c>
      <c r="I441" s="40" t="n">
        <v>0</v>
      </c>
      <c r="J441" s="40" t="n">
        <v>0</v>
      </c>
      <c r="K441" s="40" t="n">
        <v>0</v>
      </c>
      <c r="L441" s="40" t="n">
        <v>83.98</v>
      </c>
    </row>
    <row r="442" ht="12" customHeight="1">
      <c r="A442" s="30" t="inlineStr">
        <is>
          <t>ITG</t>
        </is>
      </c>
      <c r="B442" s="30" t="inlineStr">
        <is>
          <t>Itaguai</t>
        </is>
      </c>
      <c r="C442" s="30" t="n">
        <v>11369138</v>
      </c>
      <c r="D442" s="30">
        <f>"27373545000108"</f>
        <v/>
      </c>
      <c r="E442" s="30" t="inlineStr">
        <is>
          <t>TRANSMAR LOGISTICA E TRANSPORTES LTDA EPP</t>
        </is>
      </c>
      <c r="F442" s="40" t="n">
        <v>0</v>
      </c>
      <c r="G442" s="40" t="n">
        <v>0</v>
      </c>
      <c r="H442" s="40" t="n">
        <v>0</v>
      </c>
      <c r="I442" s="40" t="n">
        <v>0</v>
      </c>
      <c r="J442" s="40" t="n">
        <v>0</v>
      </c>
      <c r="K442" s="40" t="n">
        <v>0</v>
      </c>
      <c r="L442" s="40" t="n">
        <v>0</v>
      </c>
    </row>
    <row r="443" ht="12" customHeight="1">
      <c r="A443" s="30" t="inlineStr">
        <is>
          <t>ITG</t>
        </is>
      </c>
      <c r="B443" s="30" t="inlineStr">
        <is>
          <t>Itaguai</t>
        </is>
      </c>
      <c r="C443" s="30" t="n">
        <v>11369723</v>
      </c>
      <c r="D443" s="30">
        <f>"32508979000108"</f>
        <v/>
      </c>
      <c r="E443" s="30" t="inlineStr">
        <is>
          <t>COOPERATIVA DE TRABALHO DE RECICLAGEM ITAGUAI COSTA VERDE - CTRIC</t>
        </is>
      </c>
      <c r="F443" s="40" t="n">
        <v>0</v>
      </c>
      <c r="G443" s="40" t="n">
        <v>0</v>
      </c>
      <c r="H443" s="40" t="n">
        <v>0</v>
      </c>
      <c r="I443" s="40" t="n">
        <v>0</v>
      </c>
      <c r="J443" s="40" t="n">
        <v>0</v>
      </c>
      <c r="K443" s="40" t="n">
        <v>0</v>
      </c>
      <c r="L443" s="40" t="n">
        <v>0</v>
      </c>
    </row>
    <row r="444" ht="12" customHeight="1">
      <c r="A444" s="30" t="inlineStr">
        <is>
          <t>ITG</t>
        </is>
      </c>
      <c r="B444" s="30" t="inlineStr">
        <is>
          <t>Itaguai</t>
        </is>
      </c>
      <c r="C444" s="30" t="n">
        <v>11379435</v>
      </c>
      <c r="D444" s="30">
        <f>"35815737000309"</f>
        <v/>
      </c>
      <c r="E444" s="30" t="inlineStr">
        <is>
          <t>AREAL SOL NASCENTE LTDA EPP</t>
        </is>
      </c>
      <c r="F444" s="40" t="n">
        <v>0</v>
      </c>
      <c r="G444" s="40" t="n">
        <v>0</v>
      </c>
      <c r="H444" s="40" t="n">
        <v>0</v>
      </c>
      <c r="I444" s="40" t="n">
        <v>0</v>
      </c>
      <c r="J444" s="40" t="n">
        <v>0</v>
      </c>
      <c r="K444" s="40" t="n">
        <v>0</v>
      </c>
      <c r="L444" s="40" t="n">
        <v>0</v>
      </c>
    </row>
    <row r="445" ht="12" customHeight="1">
      <c r="A445" s="30" t="inlineStr">
        <is>
          <t>ITG</t>
        </is>
      </c>
      <c r="B445" s="30" t="inlineStr">
        <is>
          <t>Itaguai</t>
        </is>
      </c>
      <c r="C445" s="30" t="n">
        <v>11380921</v>
      </c>
      <c r="D445" s="30">
        <f>"24916711000250"</f>
        <v/>
      </c>
      <c r="E445" s="30" t="inlineStr">
        <is>
          <t>CLAUDIA MARQUES CALDEIRA E CIA</t>
        </is>
      </c>
      <c r="F445" s="40" t="n">
        <v>0</v>
      </c>
      <c r="G445" s="40" t="n">
        <v>0</v>
      </c>
      <c r="H445" s="40" t="n">
        <v>0</v>
      </c>
      <c r="I445" s="40" t="n">
        <v>588.28</v>
      </c>
      <c r="J445" s="40" t="n">
        <v>197.81</v>
      </c>
      <c r="K445" s="40" t="n">
        <v>0</v>
      </c>
      <c r="L445" s="40" t="n">
        <v>0</v>
      </c>
    </row>
    <row r="446" ht="12" customHeight="1">
      <c r="A446" s="30" t="inlineStr">
        <is>
          <t>ITG</t>
        </is>
      </c>
      <c r="B446" s="30" t="inlineStr">
        <is>
          <t>Itaguai</t>
        </is>
      </c>
      <c r="C446" s="30" t="n">
        <v>11386431</v>
      </c>
      <c r="D446" s="30">
        <f>"29080308000338"</f>
        <v/>
      </c>
      <c r="E446" s="30" t="inlineStr">
        <is>
          <t>R&amp;D CARGO TRANSPORTES LTDA</t>
        </is>
      </c>
      <c r="F446" s="40" t="n">
        <v>0</v>
      </c>
      <c r="G446" s="40" t="n">
        <v>0</v>
      </c>
      <c r="H446" s="40" t="n">
        <v>64.88</v>
      </c>
      <c r="I446" s="40" t="n">
        <v>0</v>
      </c>
      <c r="J446" s="40" t="n">
        <v>0</v>
      </c>
      <c r="K446" s="40" t="n">
        <v>814.01</v>
      </c>
      <c r="L446" s="40" t="n">
        <v>11413.02</v>
      </c>
    </row>
    <row r="447" ht="12" customHeight="1">
      <c r="A447" s="30" t="inlineStr">
        <is>
          <t>ITG</t>
        </is>
      </c>
      <c r="B447" s="30" t="inlineStr">
        <is>
          <t>Itaguai</t>
        </is>
      </c>
      <c r="C447" s="30" t="n">
        <v>11387144</v>
      </c>
      <c r="D447" s="30">
        <f>"09103236000632"</f>
        <v/>
      </c>
      <c r="E447" s="30" t="inlineStr">
        <is>
          <t>RARO SERVICOS AUXILIARES DE TRANSPORTE AEREO EIRELI</t>
        </is>
      </c>
      <c r="F447" s="40" t="n">
        <v>0</v>
      </c>
      <c r="G447" s="40" t="n">
        <v>0</v>
      </c>
      <c r="H447" s="40" t="n">
        <v>0</v>
      </c>
      <c r="I447" s="40" t="n">
        <v>0</v>
      </c>
      <c r="J447" s="40" t="n">
        <v>0</v>
      </c>
      <c r="K447" s="40" t="n">
        <v>200.35</v>
      </c>
      <c r="L447" s="40" t="n">
        <v>0</v>
      </c>
    </row>
    <row r="448" ht="12" customHeight="1">
      <c r="A448" s="30" t="inlineStr">
        <is>
          <t>ITG</t>
        </is>
      </c>
      <c r="B448" s="30" t="inlineStr">
        <is>
          <t>Itaguai</t>
        </is>
      </c>
      <c r="C448" s="30" t="n">
        <v>11391770</v>
      </c>
      <c r="D448" s="30">
        <f>"02724730739"</f>
        <v/>
      </c>
      <c r="E448" s="30" t="inlineStr">
        <is>
          <t>NILCEA CORDEIRO DE ARAUJO LISTO</t>
        </is>
      </c>
      <c r="F448" s="40" t="n">
        <v>0</v>
      </c>
      <c r="G448" s="40" t="n">
        <v>0</v>
      </c>
      <c r="H448" s="40" t="n">
        <v>0</v>
      </c>
      <c r="I448" s="40" t="n">
        <v>0</v>
      </c>
      <c r="J448" s="40" t="n">
        <v>0</v>
      </c>
      <c r="K448" s="40" t="n">
        <v>0</v>
      </c>
      <c r="L448" s="40" t="n">
        <v>0</v>
      </c>
    </row>
    <row r="449" ht="12" customHeight="1">
      <c r="A449" s="30" t="inlineStr">
        <is>
          <t>ITG</t>
        </is>
      </c>
      <c r="B449" s="30" t="inlineStr">
        <is>
          <t>Itaguai</t>
        </is>
      </c>
      <c r="C449" s="30" t="n">
        <v>11406629</v>
      </c>
      <c r="D449" s="30">
        <f>"12143389760"</f>
        <v/>
      </c>
      <c r="E449" s="30" t="inlineStr">
        <is>
          <t>NELSON MARTINS FIGUEIREDO</t>
        </is>
      </c>
      <c r="F449" s="40" t="n">
        <v>0</v>
      </c>
      <c r="G449" s="40" t="n">
        <v>0</v>
      </c>
      <c r="H449" s="40" t="n">
        <v>0</v>
      </c>
      <c r="I449" s="40" t="n">
        <v>7594.73</v>
      </c>
      <c r="J449" s="40" t="n">
        <v>28101.32</v>
      </c>
      <c r="K449" s="40" t="n">
        <v>0</v>
      </c>
      <c r="L449" s="40" t="n">
        <v>0</v>
      </c>
    </row>
    <row r="450" ht="12" customHeight="1">
      <c r="A450" s="30" t="inlineStr">
        <is>
          <t>ITG</t>
        </is>
      </c>
      <c r="B450" s="30" t="inlineStr">
        <is>
          <t>Itaguai</t>
        </is>
      </c>
      <c r="C450" s="30" t="n">
        <v>11407030</v>
      </c>
      <c r="D450" s="30">
        <f>"87894165700"</f>
        <v/>
      </c>
      <c r="E450" s="30" t="inlineStr">
        <is>
          <t>JOSE EDUARDO DA SILVA MEDINA</t>
        </is>
      </c>
      <c r="F450" s="40" t="n">
        <v>0</v>
      </c>
      <c r="G450" s="40" t="n">
        <v>0</v>
      </c>
      <c r="H450" s="40" t="n">
        <v>0</v>
      </c>
      <c r="I450" s="40" t="n">
        <v>0</v>
      </c>
      <c r="J450" s="40" t="n">
        <v>22742.74</v>
      </c>
      <c r="K450" s="40" t="n">
        <v>0</v>
      </c>
      <c r="L450" s="40" t="n">
        <v>50917.16</v>
      </c>
    </row>
    <row r="451" ht="12" customHeight="1">
      <c r="A451" s="30" t="inlineStr">
        <is>
          <t>ITG</t>
        </is>
      </c>
      <c r="B451" s="30" t="inlineStr">
        <is>
          <t>Itaguai</t>
        </is>
      </c>
      <c r="C451" s="30" t="n">
        <v>11417698</v>
      </c>
      <c r="D451" s="30">
        <f>"27143007001867"</f>
        <v/>
      </c>
      <c r="E451" s="30" t="inlineStr">
        <is>
          <t>TRACOMAL TERRAPLENAGEM E CONSTRUCOES MACHADO LTDA</t>
        </is>
      </c>
      <c r="F451" s="40" t="n">
        <v>0</v>
      </c>
      <c r="G451" s="40" t="n">
        <v>0</v>
      </c>
      <c r="H451" s="40" t="n">
        <v>0</v>
      </c>
      <c r="I451" s="40" t="n">
        <v>0</v>
      </c>
      <c r="J451" s="40" t="n">
        <v>0</v>
      </c>
      <c r="K451" s="40" t="n">
        <v>0</v>
      </c>
      <c r="L451" s="40" t="n">
        <v>0</v>
      </c>
    </row>
    <row r="452" ht="12" customHeight="1">
      <c r="A452" s="30" t="inlineStr">
        <is>
          <t>ITG</t>
        </is>
      </c>
      <c r="B452" s="30" t="inlineStr">
        <is>
          <t>Itaguai</t>
        </is>
      </c>
      <c r="C452" s="30" t="n">
        <v>11442935</v>
      </c>
      <c r="D452" s="30">
        <f>"33721037000168"</f>
        <v/>
      </c>
      <c r="E452" s="30" t="inlineStr">
        <is>
          <t>PANIFICADORA SOARES PÃO LTDA</t>
        </is>
      </c>
      <c r="F452" s="40" t="n">
        <v>0</v>
      </c>
      <c r="G452" s="40" t="n">
        <v>0</v>
      </c>
      <c r="H452" s="40" t="n">
        <v>79808.25999999999</v>
      </c>
      <c r="I452" s="40" t="n">
        <v>3260216.01</v>
      </c>
      <c r="J452" s="40" t="n">
        <v>6945337.35</v>
      </c>
      <c r="K452" s="40" t="n">
        <v>0</v>
      </c>
      <c r="L452" s="40" t="n">
        <v>256055.88</v>
      </c>
    </row>
    <row r="453" ht="12" customHeight="1">
      <c r="A453" s="30" t="inlineStr">
        <is>
          <t>ITG</t>
        </is>
      </c>
      <c r="B453" s="30" t="inlineStr">
        <is>
          <t>Itaguai</t>
        </is>
      </c>
      <c r="C453" s="30" t="n">
        <v>11443958</v>
      </c>
      <c r="D453" s="30">
        <f>"32730560000198"</f>
        <v/>
      </c>
      <c r="E453" s="30" t="inlineStr">
        <is>
          <t>Itaguai HND COMÉRCIO DE COSMÉTICOS RJ LTDA</t>
        </is>
      </c>
      <c r="F453" s="40" t="n">
        <v>0</v>
      </c>
      <c r="G453" s="40" t="n">
        <v>0</v>
      </c>
      <c r="H453" s="40" t="n">
        <v>0</v>
      </c>
      <c r="I453" s="40" t="n">
        <v>1378399.41</v>
      </c>
      <c r="J453" s="40" t="n">
        <v>730843.0699999999</v>
      </c>
      <c r="K453" s="40" t="n">
        <v>892479.59</v>
      </c>
      <c r="L453" s="40" t="n">
        <v>995856.63</v>
      </c>
    </row>
    <row r="454" ht="12" customHeight="1">
      <c r="A454" s="30" t="inlineStr">
        <is>
          <t>ITG</t>
        </is>
      </c>
      <c r="B454" s="30" t="inlineStr">
        <is>
          <t>Itaguai</t>
        </is>
      </c>
      <c r="C454" s="30" t="n">
        <v>11446442</v>
      </c>
      <c r="D454" s="30">
        <f>"56681513008659"</f>
        <v/>
      </c>
      <c r="E454" s="30" t="inlineStr">
        <is>
          <t>P. K. K. CALCADOS LTDA</t>
        </is>
      </c>
      <c r="F454" s="40" t="n">
        <v>0</v>
      </c>
      <c r="G454" s="40" t="n">
        <v>0</v>
      </c>
      <c r="H454" s="40" t="n">
        <v>0</v>
      </c>
      <c r="I454" s="40" t="n">
        <v>2582572.65</v>
      </c>
      <c r="J454" s="40" t="n">
        <v>210158.49</v>
      </c>
      <c r="K454" s="40" t="n">
        <v>1395530.72</v>
      </c>
      <c r="L454" s="40" t="n">
        <v>319608.86</v>
      </c>
    </row>
    <row r="455" ht="12" customHeight="1">
      <c r="A455" s="30" t="inlineStr">
        <is>
          <t>ITG</t>
        </is>
      </c>
      <c r="B455" s="30" t="inlineStr">
        <is>
          <t>Itaguai</t>
        </is>
      </c>
      <c r="C455" s="30" t="n">
        <v>11453279</v>
      </c>
      <c r="D455" s="30">
        <f>"12348901781"</f>
        <v/>
      </c>
      <c r="E455" s="30" t="inlineStr">
        <is>
          <t>ANGELICA RABELO DE OLIVEIRA</t>
        </is>
      </c>
      <c r="F455" s="40" t="n">
        <v>0</v>
      </c>
      <c r="G455" s="40" t="n">
        <v>0</v>
      </c>
      <c r="H455" s="40" t="n">
        <v>0</v>
      </c>
      <c r="I455" s="40" t="n">
        <v>0</v>
      </c>
      <c r="J455" s="40" t="n">
        <v>8862.629999999999</v>
      </c>
      <c r="K455" s="40" t="n">
        <v>50432.55</v>
      </c>
      <c r="L455" s="40" t="n">
        <v>32297.82</v>
      </c>
    </row>
    <row r="456" ht="12" customHeight="1">
      <c r="A456" s="30" t="inlineStr">
        <is>
          <t>ITG</t>
        </is>
      </c>
      <c r="B456" s="30" t="inlineStr">
        <is>
          <t>Itaguai</t>
        </is>
      </c>
      <c r="C456" s="30" t="n">
        <v>11453422</v>
      </c>
      <c r="D456" s="30">
        <f>"12789128782"</f>
        <v/>
      </c>
      <c r="E456" s="30" t="inlineStr">
        <is>
          <t>ADENILSON RABELO DE OLIVEIRA</t>
        </is>
      </c>
      <c r="F456" s="40" t="n">
        <v>0</v>
      </c>
      <c r="G456" s="40" t="n">
        <v>0</v>
      </c>
      <c r="H456" s="40" t="n">
        <v>0</v>
      </c>
      <c r="I456" s="40" t="n">
        <v>0</v>
      </c>
      <c r="J456" s="40" t="n">
        <v>0</v>
      </c>
      <c r="K456" s="40" t="n">
        <v>0</v>
      </c>
      <c r="L456" s="40" t="n">
        <v>0</v>
      </c>
    </row>
    <row r="457" ht="12" customHeight="1">
      <c r="A457" s="30" t="inlineStr">
        <is>
          <t>ITG</t>
        </is>
      </c>
      <c r="B457" s="30" t="inlineStr">
        <is>
          <t>Itaguai</t>
        </is>
      </c>
      <c r="C457" s="30" t="n">
        <v>11457304</v>
      </c>
      <c r="D457" s="30">
        <f>"33873524000146"</f>
        <v/>
      </c>
      <c r="E457" s="30" t="inlineStr">
        <is>
          <t>HORTIFRUTAS CENTRAL DE Itaguai EIRELI</t>
        </is>
      </c>
      <c r="F457" s="40" t="n">
        <v>0</v>
      </c>
      <c r="G457" s="40" t="n">
        <v>0</v>
      </c>
      <c r="H457" s="40" t="n">
        <v>0</v>
      </c>
      <c r="I457" s="40" t="n">
        <v>4143805.71</v>
      </c>
      <c r="J457" s="40" t="n">
        <v>2662187.01</v>
      </c>
      <c r="K457" s="40" t="n">
        <v>7320100.06</v>
      </c>
      <c r="L457" s="40" t="n">
        <v>3583452.39</v>
      </c>
    </row>
    <row r="458" ht="12" customHeight="1">
      <c r="A458" s="30" t="inlineStr">
        <is>
          <t>ITG</t>
        </is>
      </c>
      <c r="B458" s="30" t="inlineStr">
        <is>
          <t>Itaguai</t>
        </is>
      </c>
      <c r="C458" s="30" t="n">
        <v>11477704</v>
      </c>
      <c r="D458" s="30">
        <f>"24232418000192"</f>
        <v/>
      </c>
      <c r="E458" s="30" t="inlineStr">
        <is>
          <t>ZNA ARMAZENS GERAIS E TRANSPORTES LTDA</t>
        </is>
      </c>
      <c r="F458" s="40" t="n">
        <v>0</v>
      </c>
      <c r="G458" s="40" t="n">
        <v>0</v>
      </c>
      <c r="H458" s="40" t="n">
        <v>110487.65</v>
      </c>
      <c r="I458" s="40" t="n">
        <v>408257.05</v>
      </c>
      <c r="J458" s="40" t="n">
        <v>272627.59</v>
      </c>
      <c r="K458" s="40" t="n">
        <v>43353.17</v>
      </c>
      <c r="L458" s="40" t="n">
        <v>133897.12</v>
      </c>
    </row>
    <row r="459" ht="12" customHeight="1">
      <c r="A459" s="30" t="inlineStr">
        <is>
          <t>ITG</t>
        </is>
      </c>
      <c r="B459" s="30" t="inlineStr">
        <is>
          <t>Itaguai</t>
        </is>
      </c>
      <c r="C459" s="30" t="n">
        <v>11482651</v>
      </c>
      <c r="D459" s="30">
        <f>"06241044000270"</f>
        <v/>
      </c>
      <c r="E459" s="30" t="inlineStr">
        <is>
          <t>TRANSCATARINA TRANSPORTE RODOVIARIO EIRELI</t>
        </is>
      </c>
      <c r="F459" s="40" t="n">
        <v>0</v>
      </c>
      <c r="G459" s="40" t="n">
        <v>0</v>
      </c>
      <c r="H459" s="40" t="n">
        <v>0</v>
      </c>
      <c r="I459" s="40" t="n">
        <v>3977.27</v>
      </c>
      <c r="J459" s="40" t="n">
        <v>0</v>
      </c>
      <c r="K459" s="40" t="n">
        <v>0</v>
      </c>
      <c r="L459" s="40" t="n">
        <v>30027.82</v>
      </c>
    </row>
    <row r="460" ht="12" customHeight="1">
      <c r="A460" s="30" t="inlineStr">
        <is>
          <t>ITG</t>
        </is>
      </c>
      <c r="B460" s="30" t="inlineStr">
        <is>
          <t>Itaguai</t>
        </is>
      </c>
      <c r="C460" s="30" t="n">
        <v>11492576</v>
      </c>
      <c r="D460" s="30">
        <f>"11358292000406"</f>
        <v/>
      </c>
      <c r="E460" s="30" t="inlineStr">
        <is>
          <t>ZIRANLOG LOGISTICA EIRELI</t>
        </is>
      </c>
      <c r="F460" s="40" t="n">
        <v>0</v>
      </c>
      <c r="G460" s="40" t="n">
        <v>0</v>
      </c>
      <c r="H460" s="40" t="n">
        <v>0</v>
      </c>
      <c r="I460" s="40" t="n">
        <v>0</v>
      </c>
      <c r="J460" s="40" t="n">
        <v>0</v>
      </c>
      <c r="K460" s="40" t="n">
        <v>0</v>
      </c>
      <c r="L460" s="40" t="n">
        <v>0</v>
      </c>
    </row>
    <row r="461" ht="12" customHeight="1">
      <c r="A461" s="30" t="inlineStr">
        <is>
          <t>ITG</t>
        </is>
      </c>
      <c r="B461" s="30" t="inlineStr">
        <is>
          <t>Itaguai</t>
        </is>
      </c>
      <c r="C461" s="30" t="n">
        <v>11495206</v>
      </c>
      <c r="D461" s="30">
        <f>"05469426793"</f>
        <v/>
      </c>
      <c r="E461" s="30" t="inlineStr">
        <is>
          <t>EDUARDO RODRIGUES ALVES</t>
        </is>
      </c>
      <c r="F461" s="40" t="n">
        <v>0</v>
      </c>
      <c r="G461" s="40" t="n">
        <v>0</v>
      </c>
      <c r="H461" s="40" t="n">
        <v>0</v>
      </c>
      <c r="I461" s="40" t="n">
        <v>150621</v>
      </c>
      <c r="J461" s="40" t="n">
        <v>50840</v>
      </c>
      <c r="K461" s="40" t="n">
        <v>0</v>
      </c>
      <c r="L461" s="40" t="n">
        <v>35000</v>
      </c>
    </row>
    <row r="462" ht="12" customHeight="1">
      <c r="A462" s="30" t="inlineStr">
        <is>
          <t>ITG</t>
        </is>
      </c>
      <c r="B462" s="30" t="inlineStr">
        <is>
          <t>Itaguai</t>
        </is>
      </c>
      <c r="C462" s="30" t="n">
        <v>11498582</v>
      </c>
      <c r="D462" s="30">
        <f>"90130600725"</f>
        <v/>
      </c>
      <c r="E462" s="30" t="inlineStr">
        <is>
          <t>LUCIANO SAMPAIO SARMENTO</t>
        </is>
      </c>
      <c r="F462" s="40" t="n">
        <v>0</v>
      </c>
      <c r="G462" s="40" t="n">
        <v>0</v>
      </c>
      <c r="H462" s="40" t="n">
        <v>0</v>
      </c>
      <c r="I462" s="40" t="n">
        <v>19800</v>
      </c>
      <c r="J462" s="40" t="n">
        <v>50400</v>
      </c>
      <c r="K462" s="40" t="n">
        <v>231000</v>
      </c>
      <c r="L462" s="40" t="n">
        <v>280000</v>
      </c>
    </row>
    <row r="463" ht="12" customHeight="1">
      <c r="A463" s="30" t="inlineStr">
        <is>
          <t>ITG</t>
        </is>
      </c>
      <c r="B463" s="30" t="inlineStr">
        <is>
          <t>Itaguai</t>
        </is>
      </c>
      <c r="C463" s="30" t="n">
        <v>11499449</v>
      </c>
      <c r="D463" s="30">
        <f>"29108107000563"</f>
        <v/>
      </c>
      <c r="E463" s="30" t="inlineStr">
        <is>
          <t>SOLAZER TRANSPORTES E TURISMO LTDA</t>
        </is>
      </c>
      <c r="F463" s="40" t="n">
        <v>0</v>
      </c>
      <c r="G463" s="40" t="n">
        <v>0</v>
      </c>
      <c r="H463" s="40" t="n">
        <v>0</v>
      </c>
      <c r="I463" s="40" t="n">
        <v>0</v>
      </c>
      <c r="J463" s="40" t="n">
        <v>0</v>
      </c>
      <c r="K463" s="40" t="n">
        <v>0</v>
      </c>
      <c r="L463" s="40" t="n">
        <v>0</v>
      </c>
    </row>
    <row r="464" ht="12" customHeight="1">
      <c r="A464" s="30" t="inlineStr">
        <is>
          <t>ITG</t>
        </is>
      </c>
      <c r="B464" s="30" t="inlineStr">
        <is>
          <t>Itaguai</t>
        </is>
      </c>
      <c r="C464" s="30" t="n">
        <v>11501303</v>
      </c>
      <c r="D464" s="30">
        <f>"34215614000102"</f>
        <v/>
      </c>
      <c r="E464" s="30" t="inlineStr">
        <is>
          <t>BAZAR O AMIGÃO PATIO MIX Itaguai LTDA</t>
        </is>
      </c>
      <c r="F464" s="40" t="n">
        <v>0</v>
      </c>
      <c r="G464" s="40" t="n">
        <v>0</v>
      </c>
      <c r="H464" s="40" t="n">
        <v>1463373.75</v>
      </c>
      <c r="I464" s="40" t="n">
        <v>4438712.98</v>
      </c>
      <c r="J464" s="40" t="n">
        <v>5773827.9</v>
      </c>
      <c r="K464" s="40" t="n">
        <v>6236807.91</v>
      </c>
      <c r="L464" s="40" t="n">
        <v>6559677.3</v>
      </c>
    </row>
    <row r="465" ht="12" customHeight="1">
      <c r="A465" s="30" t="inlineStr">
        <is>
          <t>ITG</t>
        </is>
      </c>
      <c r="B465" s="30" t="inlineStr">
        <is>
          <t>Itaguai</t>
        </is>
      </c>
      <c r="C465" s="30" t="n">
        <v>11507549</v>
      </c>
      <c r="D465" s="30">
        <f>"28699985000104"</f>
        <v/>
      </c>
      <c r="E465" s="30" t="inlineStr">
        <is>
          <t>COOPERATIVA DE TRABALHO E PRODUÇÃO DE CATADORES DE MATERIAIS RECICLÁVEIS DE Itaguai LTDA</t>
        </is>
      </c>
      <c r="F465" s="40" t="n">
        <v>0</v>
      </c>
      <c r="G465" s="40" t="n">
        <v>0</v>
      </c>
      <c r="H465" s="40" t="n">
        <v>0</v>
      </c>
      <c r="I465" s="40" t="n">
        <v>0</v>
      </c>
      <c r="J465" s="40" t="n">
        <v>0</v>
      </c>
      <c r="K465" s="40" t="n">
        <v>129465</v>
      </c>
      <c r="L465" s="40" t="n">
        <v>312788</v>
      </c>
    </row>
    <row r="466" ht="12" customHeight="1">
      <c r="A466" s="30" t="inlineStr">
        <is>
          <t>ITG</t>
        </is>
      </c>
      <c r="B466" s="30" t="inlineStr">
        <is>
          <t>Itaguai</t>
        </is>
      </c>
      <c r="C466" s="30" t="n">
        <v>11510353</v>
      </c>
      <c r="D466" s="30">
        <f>"34442062000175"</f>
        <v/>
      </c>
      <c r="E466" s="30" t="inlineStr">
        <is>
          <t>MERCADO BOAS COMPRAS DE CHAPERO EIRELI</t>
        </is>
      </c>
      <c r="F466" s="40" t="n">
        <v>0</v>
      </c>
      <c r="G466" s="40" t="n">
        <v>0</v>
      </c>
      <c r="H466" s="40" t="n">
        <v>0</v>
      </c>
      <c r="I466" s="40" t="n">
        <v>0</v>
      </c>
      <c r="J466" s="40" t="n">
        <v>0</v>
      </c>
      <c r="K466" s="40" t="n">
        <v>0</v>
      </c>
      <c r="L466" s="40" t="n">
        <v>0</v>
      </c>
    </row>
    <row r="467" ht="12" customHeight="1">
      <c r="A467" s="30" t="inlineStr">
        <is>
          <t>ITG</t>
        </is>
      </c>
      <c r="B467" s="30" t="inlineStr">
        <is>
          <t>Itaguai</t>
        </is>
      </c>
      <c r="C467" s="30" t="n">
        <v>11513387</v>
      </c>
      <c r="D467" s="30">
        <f>"29484413000251"</f>
        <v/>
      </c>
      <c r="E467" s="30" t="inlineStr">
        <is>
          <t>COGENT BRASIL TELECOMUNICACOES LTDA.</t>
        </is>
      </c>
      <c r="F467" s="40" t="n">
        <v>0</v>
      </c>
      <c r="G467" s="40" t="n">
        <v>0</v>
      </c>
      <c r="H467" s="40" t="n">
        <v>0</v>
      </c>
      <c r="I467" s="40" t="n">
        <v>0</v>
      </c>
      <c r="J467" s="40" t="n">
        <v>0</v>
      </c>
      <c r="K467" s="40" t="n">
        <v>1428.86</v>
      </c>
      <c r="L467" s="40" t="n">
        <v>9255.780000000001</v>
      </c>
    </row>
    <row r="468" ht="12" customHeight="1">
      <c r="A468" s="30" t="inlineStr">
        <is>
          <t>ITG</t>
        </is>
      </c>
      <c r="B468" s="30" t="inlineStr">
        <is>
          <t>Itaguai</t>
        </is>
      </c>
      <c r="C468" s="30" t="n">
        <v>11516106</v>
      </c>
      <c r="D468" s="30">
        <f>"14710548000300"</f>
        <v/>
      </c>
      <c r="E468" s="30" t="inlineStr">
        <is>
          <t>CLEDSON D BARBOZA MATERIAL ELETRICO E HIDRAULICO ME</t>
        </is>
      </c>
      <c r="F468" s="40" t="n">
        <v>0</v>
      </c>
      <c r="G468" s="40" t="n">
        <v>0</v>
      </c>
      <c r="H468" s="40" t="n">
        <v>0</v>
      </c>
      <c r="I468" s="40" t="n">
        <v>0</v>
      </c>
      <c r="J468" s="40" t="n">
        <v>0</v>
      </c>
      <c r="K468" s="40" t="n">
        <v>0</v>
      </c>
      <c r="L468" s="40" t="n">
        <v>0</v>
      </c>
    </row>
    <row r="469" ht="12" customHeight="1">
      <c r="A469" s="30" t="inlineStr">
        <is>
          <t>ITG</t>
        </is>
      </c>
      <c r="B469" s="30" t="inlineStr">
        <is>
          <t>Itaguai</t>
        </is>
      </c>
      <c r="C469" s="30" t="n">
        <v>11518923</v>
      </c>
      <c r="D469" s="30">
        <f>"34548703000170"</f>
        <v/>
      </c>
      <c r="E469" s="30" t="inlineStr">
        <is>
          <t>BIG PET COMERCIO DE RACOES EIRELI</t>
        </is>
      </c>
      <c r="F469" s="40" t="n">
        <v>0</v>
      </c>
      <c r="G469" s="40" t="n">
        <v>0</v>
      </c>
      <c r="H469" s="40" t="n">
        <v>0</v>
      </c>
      <c r="I469" s="40" t="n">
        <v>550113.1</v>
      </c>
      <c r="J469" s="40" t="n">
        <v>785524.6</v>
      </c>
      <c r="K469" s="40" t="n">
        <v>0</v>
      </c>
      <c r="L469" s="40" t="n">
        <v>0</v>
      </c>
    </row>
    <row r="470" ht="12" customHeight="1">
      <c r="A470" s="30" t="inlineStr">
        <is>
          <t>ITG</t>
        </is>
      </c>
      <c r="B470" s="30" t="inlineStr">
        <is>
          <t>Itaguai</t>
        </is>
      </c>
      <c r="C470" s="30" t="n">
        <v>11529402</v>
      </c>
      <c r="D470" s="30">
        <f>"28732200001049"</f>
        <v/>
      </c>
      <c r="E470" s="30" t="inlineStr">
        <is>
          <t>LOJAS SANTOS VAREJO E DISTRIBUIÇÃO LTDA</t>
        </is>
      </c>
      <c r="F470" s="40" t="n">
        <v>0</v>
      </c>
      <c r="G470" s="40" t="n">
        <v>0</v>
      </c>
      <c r="H470" s="40" t="n">
        <v>0</v>
      </c>
      <c r="I470" s="40" t="n">
        <v>3216075.11</v>
      </c>
      <c r="J470" s="40" t="n">
        <v>2636570.48</v>
      </c>
      <c r="K470" s="40" t="n">
        <v>0</v>
      </c>
      <c r="L470" s="40" t="n">
        <v>0</v>
      </c>
    </row>
    <row r="471" ht="12" customHeight="1">
      <c r="A471" s="30" t="inlineStr">
        <is>
          <t>ITG</t>
        </is>
      </c>
      <c r="B471" s="30" t="inlineStr">
        <is>
          <t>Itaguai</t>
        </is>
      </c>
      <c r="C471" s="30" t="n">
        <v>11534090</v>
      </c>
      <c r="D471" s="30">
        <f>"14493773000595"</f>
        <v/>
      </c>
      <c r="E471" s="30" t="inlineStr">
        <is>
          <t>SOLUÇÃO LOCAÇÃO E TRANSPORTES EIRELI</t>
        </is>
      </c>
      <c r="F471" s="40" t="n">
        <v>0</v>
      </c>
      <c r="G471" s="40" t="n">
        <v>0</v>
      </c>
      <c r="H471" s="40" t="n">
        <v>0</v>
      </c>
      <c r="I471" s="40" t="n">
        <v>84.64</v>
      </c>
      <c r="J471" s="40" t="n">
        <v>0</v>
      </c>
      <c r="K471" s="40" t="n">
        <v>0</v>
      </c>
      <c r="L471" s="40" t="n">
        <v>0</v>
      </c>
    </row>
    <row r="472" ht="12" customHeight="1">
      <c r="A472" s="30" t="inlineStr">
        <is>
          <t>ITG</t>
        </is>
      </c>
      <c r="B472" s="30" t="inlineStr">
        <is>
          <t>Itaguai</t>
        </is>
      </c>
      <c r="C472" s="30" t="n">
        <v>11541640</v>
      </c>
      <c r="D472" s="30">
        <f>"34799863000192"</f>
        <v/>
      </c>
      <c r="E472" s="30" t="inlineStr">
        <is>
          <t>PREMIUM ALIMENTOS COMERCIO E REPRESENTACOES LTDA</t>
        </is>
      </c>
      <c r="F472" s="40" t="n">
        <v>0</v>
      </c>
      <c r="G472" s="40" t="n">
        <v>0</v>
      </c>
      <c r="H472" s="40" t="n">
        <v>193627</v>
      </c>
      <c r="I472" s="40" t="n">
        <v>0</v>
      </c>
      <c r="J472" s="40" t="n">
        <v>0</v>
      </c>
      <c r="K472" s="40" t="n">
        <v>0</v>
      </c>
      <c r="L472" s="40" t="n">
        <v>0</v>
      </c>
    </row>
    <row r="473" ht="12" customHeight="1">
      <c r="A473" s="30" t="inlineStr">
        <is>
          <t>ITG</t>
        </is>
      </c>
      <c r="B473" s="30" t="inlineStr">
        <is>
          <t>Itaguai</t>
        </is>
      </c>
      <c r="C473" s="30" t="n">
        <v>11543189</v>
      </c>
      <c r="D473" s="30">
        <f>"07539346000373"</f>
        <v/>
      </c>
      <c r="E473" s="30" t="inlineStr">
        <is>
          <t>M SUL TRANSPORTES LTDA</t>
        </is>
      </c>
      <c r="F473" s="40" t="n">
        <v>0</v>
      </c>
      <c r="G473" s="40" t="n">
        <v>0</v>
      </c>
      <c r="H473" s="40" t="n">
        <v>0</v>
      </c>
      <c r="I473" s="40" t="n">
        <v>0</v>
      </c>
      <c r="J473" s="40" t="n">
        <v>0</v>
      </c>
      <c r="K473" s="40" t="n">
        <v>0</v>
      </c>
      <c r="L473" s="40" t="n">
        <v>1496.44</v>
      </c>
    </row>
    <row r="474" ht="12" customHeight="1">
      <c r="A474" s="30" t="inlineStr">
        <is>
          <t>ITG</t>
        </is>
      </c>
      <c r="B474" s="30" t="inlineStr">
        <is>
          <t>Itaguai</t>
        </is>
      </c>
      <c r="C474" s="30" t="n">
        <v>11548440</v>
      </c>
      <c r="D474" s="30">
        <f>"34881998000100"</f>
        <v/>
      </c>
      <c r="E474" s="30" t="inlineStr">
        <is>
          <t>ÓTICA MAGNO EIRELI</t>
        </is>
      </c>
      <c r="F474" s="40" t="n">
        <v>0</v>
      </c>
      <c r="G474" s="40" t="n">
        <v>0</v>
      </c>
      <c r="H474" s="40" t="n">
        <v>0</v>
      </c>
      <c r="I474" s="40" t="n">
        <v>0</v>
      </c>
      <c r="J474" s="40" t="n">
        <v>0</v>
      </c>
      <c r="K474" s="40" t="n">
        <v>0</v>
      </c>
      <c r="L474" s="40" t="n">
        <v>0</v>
      </c>
    </row>
    <row r="475" ht="12" customHeight="1">
      <c r="A475" s="30" t="inlineStr">
        <is>
          <t>ITG</t>
        </is>
      </c>
      <c r="B475" s="30" t="inlineStr">
        <is>
          <t>Itaguai</t>
        </is>
      </c>
      <c r="C475" s="30" t="n">
        <v>11553532</v>
      </c>
      <c r="D475" s="30">
        <f>"34938215000170"</f>
        <v/>
      </c>
      <c r="E475" s="30" t="inlineStr">
        <is>
          <t>NALDOS DE CHAPERO DROGARIA EIRELI</t>
        </is>
      </c>
      <c r="F475" s="40" t="n">
        <v>0</v>
      </c>
      <c r="G475" s="40" t="n">
        <v>0</v>
      </c>
      <c r="H475" s="40" t="n">
        <v>0</v>
      </c>
      <c r="I475" s="40" t="n">
        <v>0</v>
      </c>
      <c r="J475" s="40" t="n">
        <v>0</v>
      </c>
      <c r="K475" s="40" t="n">
        <v>0</v>
      </c>
      <c r="L475" s="40" t="n">
        <v>0</v>
      </c>
    </row>
    <row r="476" ht="12" customHeight="1">
      <c r="A476" s="30" t="inlineStr">
        <is>
          <t>ITG</t>
        </is>
      </c>
      <c r="B476" s="30" t="inlineStr">
        <is>
          <t>Itaguai</t>
        </is>
      </c>
      <c r="C476" s="30" t="n">
        <v>11555780</v>
      </c>
      <c r="D476" s="30">
        <f>"34959696000108"</f>
        <v/>
      </c>
      <c r="E476" s="30" t="inlineStr">
        <is>
          <t>FRS ARMAZENAGEM LTDA</t>
        </is>
      </c>
      <c r="F476" s="40" t="n">
        <v>0</v>
      </c>
      <c r="G476" s="40" t="n">
        <v>0</v>
      </c>
      <c r="H476" s="40" t="n">
        <v>0</v>
      </c>
      <c r="I476" s="40" t="n">
        <v>0</v>
      </c>
      <c r="J476" s="40" t="n">
        <v>0</v>
      </c>
      <c r="K476" s="40" t="n">
        <v>0</v>
      </c>
      <c r="L476" s="40" t="n">
        <v>12374.48</v>
      </c>
    </row>
    <row r="477" ht="12" customHeight="1">
      <c r="A477" s="30" t="inlineStr">
        <is>
          <t>ITG</t>
        </is>
      </c>
      <c r="B477" s="30" t="inlineStr">
        <is>
          <t>Itaguai</t>
        </is>
      </c>
      <c r="C477" s="30" t="n">
        <v>11557988</v>
      </c>
      <c r="D477" s="30">
        <f>"76664986000832"</f>
        <v/>
      </c>
      <c r="E477" s="30" t="inlineStr">
        <is>
          <t>TRANS ISAAK TURISMO LTDA</t>
        </is>
      </c>
      <c r="F477" s="40" t="n">
        <v>0</v>
      </c>
      <c r="G477" s="40" t="n">
        <v>0</v>
      </c>
      <c r="H477" s="40" t="n">
        <v>0</v>
      </c>
      <c r="I477" s="40" t="n">
        <v>0</v>
      </c>
      <c r="J477" s="40" t="n">
        <v>0</v>
      </c>
      <c r="K477" s="40" t="n">
        <v>0</v>
      </c>
      <c r="L477" s="40" t="n">
        <v>70.11</v>
      </c>
    </row>
    <row r="478" ht="12" customHeight="1">
      <c r="A478" s="30" t="inlineStr">
        <is>
          <t>ITG</t>
        </is>
      </c>
      <c r="B478" s="30" t="inlineStr">
        <is>
          <t>Itaguai</t>
        </is>
      </c>
      <c r="C478" s="30" t="n">
        <v>11612687</v>
      </c>
      <c r="D478" s="30">
        <f>"26117255001870"</f>
        <v/>
      </c>
      <c r="E478" s="30" t="inlineStr">
        <is>
          <t>FAJULUTI GAVEA TELECOM COMERCIO DE MATERIAL DE TELECOMUNICACAO LTDA</t>
        </is>
      </c>
      <c r="F478" s="40" t="n">
        <v>0</v>
      </c>
      <c r="G478" s="40" t="n">
        <v>0</v>
      </c>
      <c r="H478" s="40" t="n">
        <v>49731.89</v>
      </c>
      <c r="I478" s="40" t="n">
        <v>379976.55</v>
      </c>
      <c r="J478" s="40" t="n">
        <v>79466.75999999999</v>
      </c>
      <c r="K478" s="40" t="n">
        <v>148156.33</v>
      </c>
      <c r="L478" s="40" t="n">
        <v>177827.39</v>
      </c>
    </row>
    <row r="479" ht="12" customHeight="1">
      <c r="A479" s="30" t="inlineStr">
        <is>
          <t>ITG</t>
        </is>
      </c>
      <c r="B479" s="30" t="inlineStr">
        <is>
          <t>Itaguai</t>
        </is>
      </c>
      <c r="C479" s="30" t="n">
        <v>11616828</v>
      </c>
      <c r="D479" s="30">
        <f>"32168100001432"</f>
        <v/>
      </c>
      <c r="E479" s="30" t="inlineStr">
        <is>
          <t>PONTO MIX CONFECÇÕES LTDA</t>
        </is>
      </c>
      <c r="F479" s="40" t="n">
        <v>0</v>
      </c>
      <c r="G479" s="40" t="n">
        <v>0</v>
      </c>
      <c r="H479" s="40" t="n">
        <v>0</v>
      </c>
      <c r="I479" s="40" t="n">
        <v>126649.37</v>
      </c>
      <c r="J479" s="40" t="n">
        <v>0</v>
      </c>
      <c r="K479" s="40" t="n">
        <v>528371.04</v>
      </c>
      <c r="L479" s="40" t="n">
        <v>0</v>
      </c>
    </row>
    <row r="480" ht="12" customHeight="1">
      <c r="A480" s="30" t="inlineStr">
        <is>
          <t>ITG</t>
        </is>
      </c>
      <c r="B480" s="30" t="inlineStr">
        <is>
          <t>Itaguai</t>
        </is>
      </c>
      <c r="C480" s="30" t="n">
        <v>11620256</v>
      </c>
      <c r="D480" s="30">
        <f>"13019479000311"</f>
        <v/>
      </c>
      <c r="E480" s="30" t="inlineStr">
        <is>
          <t>LINOS EXPRESS TRANSPORTES LTDA ME</t>
        </is>
      </c>
      <c r="F480" s="40" t="n">
        <v>0</v>
      </c>
      <c r="G480" s="40" t="n">
        <v>0</v>
      </c>
      <c r="H480" s="40" t="n">
        <v>0</v>
      </c>
      <c r="I480" s="40" t="n">
        <v>0</v>
      </c>
      <c r="J480" s="40" t="n">
        <v>0</v>
      </c>
      <c r="K480" s="40" t="n">
        <v>0</v>
      </c>
      <c r="L480" s="40" t="n">
        <v>0</v>
      </c>
    </row>
    <row r="481" ht="12" customHeight="1">
      <c r="A481" s="30" t="inlineStr">
        <is>
          <t>ITG</t>
        </is>
      </c>
      <c r="B481" s="30" t="inlineStr">
        <is>
          <t>Itaguai</t>
        </is>
      </c>
      <c r="C481" s="30" t="n">
        <v>11622496</v>
      </c>
      <c r="D481" s="30">
        <f>"35725808000110"</f>
        <v/>
      </c>
      <c r="E481" s="30" t="inlineStr">
        <is>
          <t>QUINTAL GUARDERIA RECREAÇÃO E LAZER INFANTIL LTDA</t>
        </is>
      </c>
      <c r="F481" s="40" t="n">
        <v>0</v>
      </c>
      <c r="G481" s="40" t="n">
        <v>0</v>
      </c>
      <c r="H481" s="40" t="n">
        <v>0</v>
      </c>
      <c r="I481" s="40" t="n">
        <v>0</v>
      </c>
      <c r="J481" s="40" t="n">
        <v>0</v>
      </c>
      <c r="K481" s="40" t="n">
        <v>0</v>
      </c>
      <c r="L481" s="40" t="n">
        <v>0</v>
      </c>
    </row>
    <row r="482" ht="12" customHeight="1">
      <c r="A482" s="30" t="inlineStr">
        <is>
          <t>ITG</t>
        </is>
      </c>
      <c r="B482" s="30" t="inlineStr">
        <is>
          <t>Itaguai</t>
        </is>
      </c>
      <c r="C482" s="30" t="n">
        <v>11623972</v>
      </c>
      <c r="D482" s="30">
        <f>"35750560000148"</f>
        <v/>
      </c>
      <c r="E482" s="30" t="inlineStr">
        <is>
          <t>IRMAOS OLIVEIRA MANUTENCAO INDUSTRIAL E TREINAMENTOS LTDA</t>
        </is>
      </c>
      <c r="F482" s="40" t="n">
        <v>0</v>
      </c>
      <c r="G482" s="40" t="n">
        <v>0</v>
      </c>
      <c r="H482" s="40" t="n">
        <v>0</v>
      </c>
      <c r="I482" s="40" t="n">
        <v>0</v>
      </c>
      <c r="J482" s="40" t="n">
        <v>0</v>
      </c>
      <c r="K482" s="40" t="n">
        <v>0</v>
      </c>
      <c r="L482" s="40" t="n">
        <v>0</v>
      </c>
    </row>
    <row r="483" ht="12" customHeight="1">
      <c r="A483" s="30" t="inlineStr">
        <is>
          <t>ITG</t>
        </is>
      </c>
      <c r="B483" s="30" t="inlineStr">
        <is>
          <t>Itaguai</t>
        </is>
      </c>
      <c r="C483" s="30" t="n">
        <v>11635253</v>
      </c>
      <c r="D483" s="30">
        <f>"35845284000100"</f>
        <v/>
      </c>
      <c r="E483" s="30" t="inlineStr">
        <is>
          <t>FAZENDO O SONHO DA FESTA DE Itaguai LTDA</t>
        </is>
      </c>
      <c r="F483" s="40" t="n">
        <v>0</v>
      </c>
      <c r="G483" s="40" t="n">
        <v>0</v>
      </c>
      <c r="H483" s="40" t="n">
        <v>0</v>
      </c>
      <c r="I483" s="40" t="n">
        <v>596906.61</v>
      </c>
      <c r="J483" s="40" t="n">
        <v>578053.4399999999</v>
      </c>
      <c r="K483" s="40" t="n">
        <v>585074.95</v>
      </c>
      <c r="L483" s="40" t="n">
        <v>494196.03</v>
      </c>
    </row>
    <row r="484" ht="12" customHeight="1">
      <c r="A484" s="30" t="inlineStr">
        <is>
          <t>ITG</t>
        </is>
      </c>
      <c r="B484" s="30" t="inlineStr">
        <is>
          <t>Itaguai</t>
        </is>
      </c>
      <c r="C484" s="30" t="n">
        <v>11639623</v>
      </c>
      <c r="D484" s="30">
        <f>"35839942000142"</f>
        <v/>
      </c>
      <c r="E484" s="30" t="inlineStr">
        <is>
          <t>TMA SUDESTE TRANSPORTE E LOG?STICA LTDA</t>
        </is>
      </c>
      <c r="F484" s="40" t="n">
        <v>0</v>
      </c>
      <c r="G484" s="40" t="n">
        <v>0</v>
      </c>
      <c r="H484" s="40" t="n">
        <v>0</v>
      </c>
      <c r="I484" s="40" t="n">
        <v>2602.23</v>
      </c>
      <c r="J484" s="40" t="n">
        <v>4307.5</v>
      </c>
      <c r="K484" s="40" t="n">
        <v>0</v>
      </c>
      <c r="L484" s="40" t="n">
        <v>0</v>
      </c>
    </row>
    <row r="485" ht="12" customHeight="1">
      <c r="A485" s="30" t="inlineStr">
        <is>
          <t>ITG</t>
        </is>
      </c>
      <c r="B485" s="30" t="inlineStr">
        <is>
          <t>Itaguai</t>
        </is>
      </c>
      <c r="C485" s="30" t="n">
        <v>11640230</v>
      </c>
      <c r="D485" s="30">
        <f>"18884215000188"</f>
        <v/>
      </c>
      <c r="E485" s="30" t="inlineStr">
        <is>
          <t>W EMPRESAS TELECOM LTDA</t>
        </is>
      </c>
      <c r="F485" s="40" t="n">
        <v>0</v>
      </c>
      <c r="G485" s="40" t="n">
        <v>0</v>
      </c>
      <c r="H485" s="40" t="n">
        <v>0</v>
      </c>
      <c r="I485" s="40" t="n">
        <v>0</v>
      </c>
      <c r="J485" s="40" t="n">
        <v>0</v>
      </c>
      <c r="K485" s="40" t="n">
        <v>0</v>
      </c>
      <c r="L485" s="40" t="n">
        <v>15134</v>
      </c>
    </row>
    <row r="486" ht="12" customHeight="1">
      <c r="A486" s="30" t="inlineStr">
        <is>
          <t>ITG</t>
        </is>
      </c>
      <c r="B486" s="30" t="inlineStr">
        <is>
          <t>Itaguai</t>
        </is>
      </c>
      <c r="C486" s="30" t="n">
        <v>11645410</v>
      </c>
      <c r="D486" s="30">
        <f>"09169048000283"</f>
        <v/>
      </c>
      <c r="E486" s="30" t="inlineStr">
        <is>
          <t>TRANSCOUTO LOGISTICA E TRANSPORTES LTDA</t>
        </is>
      </c>
      <c r="F486" s="40" t="n">
        <v>0</v>
      </c>
      <c r="G486" s="40" t="n">
        <v>0</v>
      </c>
      <c r="H486" s="40" t="n">
        <v>0</v>
      </c>
      <c r="I486" s="40" t="n">
        <v>0</v>
      </c>
      <c r="J486" s="40" t="n">
        <v>0</v>
      </c>
      <c r="K486" s="40" t="n">
        <v>0</v>
      </c>
      <c r="L486" s="40" t="n">
        <v>0</v>
      </c>
    </row>
    <row r="487" ht="12" customHeight="1">
      <c r="A487" s="30" t="inlineStr">
        <is>
          <t>ITG</t>
        </is>
      </c>
      <c r="B487" s="30" t="inlineStr">
        <is>
          <t>Itaguai</t>
        </is>
      </c>
      <c r="C487" s="30" t="n">
        <v>11646387</v>
      </c>
      <c r="D487" s="30">
        <f>"00015572357758"</f>
        <v/>
      </c>
      <c r="E487" s="30" t="inlineStr">
        <is>
          <t>GABRIEL QUEIROZ DA SILVA</t>
        </is>
      </c>
      <c r="F487" s="40" t="n">
        <v>0</v>
      </c>
      <c r="G487" s="40" t="n">
        <v>0</v>
      </c>
      <c r="H487" s="40" t="n">
        <v>0</v>
      </c>
      <c r="I487" s="40" t="n">
        <v>6500</v>
      </c>
      <c r="J487" s="40" t="n">
        <v>52956</v>
      </c>
      <c r="K487" s="40" t="n">
        <v>89783.2</v>
      </c>
      <c r="L487" s="40" t="n">
        <v>78273.55</v>
      </c>
    </row>
    <row r="488" ht="12" customHeight="1">
      <c r="A488" s="30" t="inlineStr">
        <is>
          <t>ITG</t>
        </is>
      </c>
      <c r="B488" s="30" t="inlineStr">
        <is>
          <t>Itaguai</t>
        </is>
      </c>
      <c r="C488" s="30" t="n">
        <v>11649165</v>
      </c>
      <c r="D488" s="30">
        <f>"31541869000258"</f>
        <v/>
      </c>
      <c r="E488" s="30" t="inlineStr">
        <is>
          <t>INEA &amp; PCT TRANSPORTES LTDA</t>
        </is>
      </c>
      <c r="F488" s="40" t="n">
        <v>0</v>
      </c>
      <c r="G488" s="40" t="n">
        <v>0</v>
      </c>
      <c r="H488" s="40" t="n">
        <v>0</v>
      </c>
      <c r="I488" s="40" t="n">
        <v>0</v>
      </c>
      <c r="J488" s="40" t="n">
        <v>0</v>
      </c>
      <c r="K488" s="40" t="n">
        <v>458.06</v>
      </c>
      <c r="L488" s="40" t="n">
        <v>0</v>
      </c>
    </row>
    <row r="489" ht="12" customHeight="1">
      <c r="A489" s="30" t="inlineStr">
        <is>
          <t>ITG</t>
        </is>
      </c>
      <c r="B489" s="30" t="inlineStr">
        <is>
          <t>Itaguai</t>
        </is>
      </c>
      <c r="C489" s="30" t="n">
        <v>11665411</v>
      </c>
      <c r="D489" s="30">
        <f>"13727240000304"</f>
        <v/>
      </c>
      <c r="E489" s="30" t="inlineStr">
        <is>
          <t>FORMATO TRANSPORTES LTDA</t>
        </is>
      </c>
      <c r="F489" s="40" t="n">
        <v>0</v>
      </c>
      <c r="G489" s="40" t="n">
        <v>0</v>
      </c>
      <c r="H489" s="40" t="n">
        <v>0</v>
      </c>
      <c r="I489" s="40" t="n">
        <v>3150</v>
      </c>
      <c r="J489" s="40" t="n">
        <v>0</v>
      </c>
      <c r="K489" s="40" t="n">
        <v>0</v>
      </c>
      <c r="L489" s="40" t="n">
        <v>0</v>
      </c>
    </row>
    <row r="490" ht="12" customHeight="1">
      <c r="A490" s="30" t="inlineStr">
        <is>
          <t>ITG</t>
        </is>
      </c>
      <c r="B490" s="30" t="inlineStr">
        <is>
          <t>Itaguai</t>
        </is>
      </c>
      <c r="C490" s="30" t="n">
        <v>11666264</v>
      </c>
      <c r="D490" s="30">
        <f>"36177811000100"</f>
        <v/>
      </c>
      <c r="E490" s="30" t="inlineStr">
        <is>
          <t>G. C. GIOVANETTI TRANSPORTES LTDA</t>
        </is>
      </c>
      <c r="F490" s="40" t="n">
        <v>0</v>
      </c>
      <c r="G490" s="40" t="n">
        <v>0</v>
      </c>
      <c r="H490" s="40" t="n">
        <v>0</v>
      </c>
      <c r="I490" s="40" t="n">
        <v>0</v>
      </c>
      <c r="J490" s="40" t="n">
        <v>1713.47</v>
      </c>
      <c r="K490" s="40" t="n">
        <v>0</v>
      </c>
      <c r="L490" s="40" t="n">
        <v>0</v>
      </c>
    </row>
    <row r="491" ht="12" customHeight="1">
      <c r="A491" s="30" t="inlineStr">
        <is>
          <t>ITG</t>
        </is>
      </c>
      <c r="B491" s="30" t="inlineStr">
        <is>
          <t>Itaguai</t>
        </is>
      </c>
      <c r="C491" s="30" t="n">
        <v>11668224</v>
      </c>
      <c r="D491" s="30">
        <f>"36294967000170"</f>
        <v/>
      </c>
      <c r="E491" s="30" t="inlineStr">
        <is>
          <t>RAINHA DO QUEIJO LATIC?NIOS E LANCHONETE LTDA</t>
        </is>
      </c>
      <c r="F491" s="40" t="n">
        <v>0</v>
      </c>
      <c r="G491" s="40" t="n">
        <v>0</v>
      </c>
      <c r="H491" s="40" t="n">
        <v>0</v>
      </c>
      <c r="I491" s="40" t="n">
        <v>0</v>
      </c>
      <c r="J491" s="40" t="n">
        <v>0</v>
      </c>
      <c r="K491" s="40" t="n">
        <v>0</v>
      </c>
      <c r="L491" s="40" t="n">
        <v>191456.2</v>
      </c>
    </row>
    <row r="492" ht="12" customHeight="1">
      <c r="A492" s="30" t="inlineStr">
        <is>
          <t>ITG</t>
        </is>
      </c>
      <c r="B492" s="30" t="inlineStr">
        <is>
          <t>Itaguai</t>
        </is>
      </c>
      <c r="C492" s="30" t="n">
        <v>11671705</v>
      </c>
      <c r="D492" s="30">
        <f>"00008009539759"</f>
        <v/>
      </c>
      <c r="E492" s="30" t="inlineStr">
        <is>
          <t>LEIDINALDO BATISTA DE ARAUJO</t>
        </is>
      </c>
      <c r="F492" s="40" t="n">
        <v>0</v>
      </c>
      <c r="G492" s="40" t="n">
        <v>0</v>
      </c>
      <c r="H492" s="40" t="n">
        <v>0</v>
      </c>
      <c r="I492" s="40" t="n">
        <v>0</v>
      </c>
      <c r="J492" s="40" t="n">
        <v>0</v>
      </c>
      <c r="K492" s="40" t="n">
        <v>10000</v>
      </c>
      <c r="L492" s="40" t="n">
        <v>0</v>
      </c>
    </row>
    <row r="493" ht="12" customHeight="1">
      <c r="A493" s="30" t="inlineStr">
        <is>
          <t>ITG</t>
        </is>
      </c>
      <c r="B493" s="30" t="inlineStr">
        <is>
          <t>Itaguai</t>
        </is>
      </c>
      <c r="C493" s="30" t="n">
        <v>11672973</v>
      </c>
      <c r="D493" s="30">
        <f>"07392106000801"</f>
        <v/>
      </c>
      <c r="E493" s="30" t="inlineStr">
        <is>
          <t>SV TRANSPORTES LTDA</t>
        </is>
      </c>
      <c r="F493" s="40" t="n">
        <v>0</v>
      </c>
      <c r="G493" s="40" t="n">
        <v>0</v>
      </c>
      <c r="H493" s="40" t="n">
        <v>0</v>
      </c>
      <c r="I493" s="40" t="n">
        <v>0</v>
      </c>
      <c r="J493" s="40" t="n">
        <v>9816073.43</v>
      </c>
      <c r="K493" s="40" t="n">
        <v>71259.57000000001</v>
      </c>
      <c r="L493" s="40" t="n">
        <v>122546.77</v>
      </c>
    </row>
    <row r="494" ht="12" customHeight="1">
      <c r="A494" s="30" t="inlineStr">
        <is>
          <t>ITG</t>
        </is>
      </c>
      <c r="B494" s="30" t="inlineStr">
        <is>
          <t>Itaguai</t>
        </is>
      </c>
      <c r="C494" s="30" t="n">
        <v>11678254</v>
      </c>
      <c r="D494" s="30">
        <f>"18872079000378"</f>
        <v/>
      </c>
      <c r="E494" s="30" t="inlineStr">
        <is>
          <t>MERCADO DOS ANJOS LTDA</t>
        </is>
      </c>
      <c r="F494" s="40" t="n">
        <v>0</v>
      </c>
      <c r="G494" s="40" t="n">
        <v>0</v>
      </c>
      <c r="H494" s="40" t="n">
        <v>0</v>
      </c>
      <c r="I494" s="40" t="n">
        <v>0</v>
      </c>
      <c r="J494" s="40" t="n">
        <v>0</v>
      </c>
      <c r="K494" s="40" t="n">
        <v>0</v>
      </c>
      <c r="L494" s="40" t="n">
        <v>0</v>
      </c>
    </row>
    <row r="495" ht="12" customHeight="1">
      <c r="A495" s="30" t="inlineStr">
        <is>
          <t>ITG</t>
        </is>
      </c>
      <c r="B495" s="30" t="inlineStr">
        <is>
          <t>Itaguai</t>
        </is>
      </c>
      <c r="C495" s="30" t="n">
        <v>11679544</v>
      </c>
      <c r="D495" s="30">
        <f>"85348407000671"</f>
        <v/>
      </c>
      <c r="E495" s="30" t="inlineStr">
        <is>
          <t>AZURELOG TRANSPORTES LTDA</t>
        </is>
      </c>
      <c r="F495" s="40" t="n">
        <v>0</v>
      </c>
      <c r="G495" s="40" t="n">
        <v>0</v>
      </c>
      <c r="H495" s="40" t="n">
        <v>0</v>
      </c>
      <c r="I495" s="40" t="n">
        <v>0</v>
      </c>
      <c r="J495" s="40" t="n">
        <v>0</v>
      </c>
      <c r="K495" s="40" t="n">
        <v>0</v>
      </c>
      <c r="L495" s="40" t="n">
        <v>1054.77</v>
      </c>
    </row>
    <row r="496" ht="12" customHeight="1">
      <c r="A496" s="30" t="inlineStr">
        <is>
          <t>ITG</t>
        </is>
      </c>
      <c r="B496" s="30" t="inlineStr">
        <is>
          <t>Itaguai</t>
        </is>
      </c>
      <c r="C496" s="30" t="n">
        <v>11685129</v>
      </c>
      <c r="D496" s="30">
        <f>"04100795000322"</f>
        <v/>
      </c>
      <c r="E496" s="30" t="inlineStr">
        <is>
          <t>BERSANI SOLU??ES LTDA</t>
        </is>
      </c>
      <c r="F496" s="40" t="n">
        <v>0</v>
      </c>
      <c r="G496" s="40" t="n">
        <v>0</v>
      </c>
      <c r="H496" s="40" t="n">
        <v>0</v>
      </c>
      <c r="I496" s="40" t="n">
        <v>0</v>
      </c>
      <c r="J496" s="40" t="n">
        <v>0</v>
      </c>
      <c r="K496" s="40" t="n">
        <v>0</v>
      </c>
      <c r="L496" s="40" t="n">
        <v>0</v>
      </c>
    </row>
    <row r="497" ht="12" customHeight="1">
      <c r="A497" s="30" t="inlineStr">
        <is>
          <t>ITG</t>
        </is>
      </c>
      <c r="B497" s="30" t="inlineStr">
        <is>
          <t>Itaguai</t>
        </is>
      </c>
      <c r="C497" s="30" t="n">
        <v>11691447</v>
      </c>
      <c r="D497" s="30">
        <f>"36663823000144"</f>
        <v/>
      </c>
      <c r="E497" s="30" t="inlineStr">
        <is>
          <t>TS RJ TRANSPORTES, LOG?STICA E SOLU??ES LTDA</t>
        </is>
      </c>
      <c r="F497" s="40" t="n">
        <v>0</v>
      </c>
      <c r="G497" s="40" t="n">
        <v>0</v>
      </c>
      <c r="H497" s="40" t="n">
        <v>0</v>
      </c>
      <c r="I497" s="40" t="n">
        <v>0</v>
      </c>
      <c r="J497" s="40" t="n">
        <v>30</v>
      </c>
      <c r="K497" s="40" t="n">
        <v>0</v>
      </c>
      <c r="L497" s="40" t="n">
        <v>0</v>
      </c>
    </row>
    <row r="498" ht="12" customHeight="1">
      <c r="A498" s="30" t="inlineStr">
        <is>
          <t>ITG</t>
        </is>
      </c>
      <c r="B498" s="30" t="inlineStr">
        <is>
          <t>Itaguai</t>
        </is>
      </c>
      <c r="C498" s="30" t="n">
        <v>11698123</v>
      </c>
      <c r="D498" s="30">
        <f>"08775225000202"</f>
        <v/>
      </c>
      <c r="E498" s="30" t="inlineStr">
        <is>
          <t>LINK SERVICOS MULTIMODAIS LTDA</t>
        </is>
      </c>
      <c r="F498" s="40" t="n">
        <v>0</v>
      </c>
      <c r="G498" s="40" t="n">
        <v>0</v>
      </c>
      <c r="H498" s="40" t="n">
        <v>0</v>
      </c>
      <c r="I498" s="40" t="n">
        <v>0</v>
      </c>
      <c r="J498" s="40" t="n">
        <v>157291.23</v>
      </c>
      <c r="K498" s="40" t="n">
        <v>84189.36</v>
      </c>
      <c r="L498" s="40" t="n">
        <v>0</v>
      </c>
    </row>
    <row r="499" ht="12" customHeight="1">
      <c r="A499" s="30" t="inlineStr">
        <is>
          <t>ITG</t>
        </is>
      </c>
      <c r="B499" s="30" t="inlineStr">
        <is>
          <t>Itaguai</t>
        </is>
      </c>
      <c r="C499" s="30" t="n">
        <v>11699359</v>
      </c>
      <c r="D499" s="30">
        <f>"36860222000121"</f>
        <v/>
      </c>
      <c r="E499" s="30" t="inlineStr">
        <is>
          <t>ATLANTIC OCEAN COMERCIAL EXPORTADORA E IMPORTADORA, SERVI?OS E C</t>
        </is>
      </c>
      <c r="F499" s="40" t="n">
        <v>0</v>
      </c>
      <c r="G499" s="40" t="n">
        <v>0</v>
      </c>
      <c r="H499" s="40" t="n">
        <v>0</v>
      </c>
      <c r="I499" s="40" t="n">
        <v>0</v>
      </c>
      <c r="J499" s="40" t="n">
        <v>0</v>
      </c>
      <c r="K499" s="40" t="n">
        <v>0</v>
      </c>
      <c r="L499" s="40" t="n">
        <v>0</v>
      </c>
    </row>
    <row r="500" ht="12" customHeight="1">
      <c r="A500" s="30" t="inlineStr">
        <is>
          <t>ITG</t>
        </is>
      </c>
      <c r="B500" s="30" t="inlineStr">
        <is>
          <t>Itaguai</t>
        </is>
      </c>
      <c r="C500" s="30" t="n">
        <v>11699375</v>
      </c>
      <c r="D500" s="30">
        <f>"20121850002107"</f>
        <v/>
      </c>
      <c r="E500" s="30" t="inlineStr">
        <is>
          <t>MERCADO ENVIOS SERVICOS DE LOGISTICA LTDA</t>
        </is>
      </c>
      <c r="F500" s="40" t="n">
        <v>0</v>
      </c>
      <c r="G500" s="40" t="n">
        <v>0</v>
      </c>
      <c r="H500" s="40" t="n">
        <v>0</v>
      </c>
      <c r="I500" s="40" t="n">
        <v>0</v>
      </c>
      <c r="J500" s="40" t="n">
        <v>0</v>
      </c>
      <c r="K500" s="40" t="n">
        <v>56852.64</v>
      </c>
      <c r="L500" s="40" t="n">
        <v>0</v>
      </c>
    </row>
    <row r="501" ht="12" customHeight="1">
      <c r="A501" s="30" t="inlineStr">
        <is>
          <t>ITG</t>
        </is>
      </c>
      <c r="B501" s="30" t="inlineStr">
        <is>
          <t>Itaguai</t>
        </is>
      </c>
      <c r="C501" s="30" t="n">
        <v>11702341</v>
      </c>
      <c r="D501" s="30">
        <f>"07199061001817"</f>
        <v/>
      </c>
      <c r="E501" s="30" t="inlineStr">
        <is>
          <t>TRANSAGIL TRANSPORTES DE CARGA LTDA</t>
        </is>
      </c>
      <c r="F501" s="40" t="n">
        <v>0</v>
      </c>
      <c r="G501" s="40" t="n">
        <v>0</v>
      </c>
      <c r="H501" s="40" t="n">
        <v>0</v>
      </c>
      <c r="I501" s="40" t="n">
        <v>0</v>
      </c>
      <c r="J501" s="40" t="n">
        <v>0</v>
      </c>
      <c r="K501" s="40" t="n">
        <v>0</v>
      </c>
      <c r="L501" s="40" t="n">
        <v>41567.03</v>
      </c>
    </row>
    <row r="502" ht="12" customHeight="1">
      <c r="A502" s="30" t="inlineStr">
        <is>
          <t>ITG</t>
        </is>
      </c>
      <c r="B502" s="30" t="inlineStr">
        <is>
          <t>Itaguai</t>
        </is>
      </c>
      <c r="C502" s="30" t="n">
        <v>11712908</v>
      </c>
      <c r="D502" s="30">
        <f>"36012579000150"</f>
        <v/>
      </c>
      <c r="E502" s="30" t="inlineStr">
        <is>
          <t>COZANI RJ INFRAESTRUTURA E REDES DE TELECOMUNICA??ES S.A</t>
        </is>
      </c>
      <c r="F502" s="40" t="n">
        <v>0</v>
      </c>
      <c r="G502" s="40" t="n">
        <v>0</v>
      </c>
      <c r="H502" s="40" t="n">
        <v>0</v>
      </c>
      <c r="I502" s="40" t="n">
        <v>0</v>
      </c>
      <c r="J502" s="40" t="n">
        <v>0</v>
      </c>
      <c r="K502" s="40" t="n">
        <v>1135082.91</v>
      </c>
      <c r="L502" s="40" t="n">
        <v>0</v>
      </c>
    </row>
    <row r="503" ht="12" customHeight="1">
      <c r="A503" s="30" t="inlineStr">
        <is>
          <t>ITG</t>
        </is>
      </c>
      <c r="B503" s="30" t="inlineStr">
        <is>
          <t>Itaguai</t>
        </is>
      </c>
      <c r="C503" s="30" t="n">
        <v>11713394</v>
      </c>
      <c r="D503" s="30">
        <f>"35958746000278"</f>
        <v/>
      </c>
      <c r="E503" s="30" t="inlineStr">
        <is>
          <t>WE MOVVE LOGISTICA E TRANSPORTES LTDA</t>
        </is>
      </c>
      <c r="F503" s="40" t="n">
        <v>0</v>
      </c>
      <c r="G503" s="40" t="n">
        <v>0</v>
      </c>
      <c r="H503" s="40" t="n">
        <v>0</v>
      </c>
      <c r="I503" s="40" t="n">
        <v>0</v>
      </c>
      <c r="J503" s="40" t="n">
        <v>2388.95</v>
      </c>
      <c r="K503" s="40" t="n">
        <v>70.23</v>
      </c>
      <c r="L503" s="40" t="n">
        <v>0</v>
      </c>
    </row>
    <row r="504" ht="12" customHeight="1">
      <c r="A504" s="30" t="inlineStr">
        <is>
          <t>ITG</t>
        </is>
      </c>
      <c r="B504" s="30" t="inlineStr">
        <is>
          <t>Itaguai</t>
        </is>
      </c>
      <c r="C504" s="30" t="n">
        <v>11718426</v>
      </c>
      <c r="D504" s="30">
        <f>"37246779000130"</f>
        <v/>
      </c>
      <c r="E504" s="30" t="inlineStr">
        <is>
          <t>ITAMIX BAZAR LTDA</t>
        </is>
      </c>
      <c r="F504" s="40" t="n">
        <v>0</v>
      </c>
      <c r="G504" s="40" t="n">
        <v>0</v>
      </c>
      <c r="H504" s="40" t="n">
        <v>0</v>
      </c>
      <c r="I504" s="40" t="n">
        <v>95464.67999999999</v>
      </c>
      <c r="J504" s="40" t="n">
        <v>0</v>
      </c>
      <c r="K504" s="40" t="n">
        <v>952870.6899999999</v>
      </c>
      <c r="L504" s="40" t="n">
        <v>984329.2</v>
      </c>
    </row>
    <row r="505" ht="12" customHeight="1">
      <c r="A505" s="30" t="inlineStr">
        <is>
          <t>ITG</t>
        </is>
      </c>
      <c r="B505" s="30" t="inlineStr">
        <is>
          <t>Itaguai</t>
        </is>
      </c>
      <c r="C505" s="30" t="n">
        <v>11726097</v>
      </c>
      <c r="D505" s="30">
        <f>"29323431000170"</f>
        <v/>
      </c>
      <c r="E505" s="30" t="inlineStr">
        <is>
          <t>SERR?O FRIGOR?FICO LTDA</t>
        </is>
      </c>
      <c r="F505" s="40" t="n">
        <v>0</v>
      </c>
      <c r="G505" s="40" t="n">
        <v>0</v>
      </c>
      <c r="H505" s="40" t="n">
        <v>0</v>
      </c>
      <c r="I505" s="40" t="n">
        <v>0</v>
      </c>
      <c r="J505" s="40" t="n">
        <v>0</v>
      </c>
      <c r="K505" s="40" t="n">
        <v>0</v>
      </c>
      <c r="L505" s="40" t="n">
        <v>0</v>
      </c>
    </row>
    <row r="506" ht="12" customHeight="1">
      <c r="A506" s="30" t="inlineStr">
        <is>
          <t>ITG</t>
        </is>
      </c>
      <c r="B506" s="30" t="inlineStr">
        <is>
          <t>Itaguai</t>
        </is>
      </c>
      <c r="C506" s="30" t="n">
        <v>11729096</v>
      </c>
      <c r="D506" s="30">
        <f>"17352305000408"</f>
        <v/>
      </c>
      <c r="E506" s="30" t="inlineStr">
        <is>
          <t>NOVACAR RIO VEICULOS LTDA</t>
        </is>
      </c>
      <c r="F506" s="40" t="n">
        <v>0</v>
      </c>
      <c r="G506" s="40" t="n">
        <v>0</v>
      </c>
      <c r="H506" s="40" t="n">
        <v>0</v>
      </c>
      <c r="I506" s="40" t="n">
        <v>245850</v>
      </c>
      <c r="J506" s="40" t="n">
        <v>616949.4300000001</v>
      </c>
      <c r="K506" s="40" t="n">
        <v>0</v>
      </c>
      <c r="L506" s="40" t="n">
        <v>0</v>
      </c>
    </row>
    <row r="507" ht="12" customHeight="1">
      <c r="A507" s="30" t="inlineStr">
        <is>
          <t>ITG</t>
        </is>
      </c>
      <c r="B507" s="30" t="inlineStr">
        <is>
          <t>Itaguai</t>
        </is>
      </c>
      <c r="C507" s="30" t="n">
        <v>11738494</v>
      </c>
      <c r="D507" s="30">
        <f>"17215039002334"</f>
        <v/>
      </c>
      <c r="E507" s="30" t="inlineStr">
        <is>
          <t>TRANSPORTES PESADOS MINAS S A</t>
        </is>
      </c>
      <c r="F507" s="40" t="n">
        <v>0</v>
      </c>
      <c r="G507" s="40" t="n">
        <v>0</v>
      </c>
      <c r="H507" s="40" t="n">
        <v>0</v>
      </c>
      <c r="I507" s="40" t="n">
        <v>0</v>
      </c>
      <c r="J507" s="40" t="n">
        <v>0</v>
      </c>
      <c r="K507" s="40" t="n">
        <v>2703.51</v>
      </c>
      <c r="L507" s="40" t="n">
        <v>0</v>
      </c>
    </row>
    <row r="508" ht="12" customHeight="1">
      <c r="A508" s="30" t="inlineStr">
        <is>
          <t>ITG</t>
        </is>
      </c>
      <c r="B508" s="30" t="inlineStr">
        <is>
          <t>Itaguai</t>
        </is>
      </c>
      <c r="C508" s="30" t="n">
        <v>11743501</v>
      </c>
      <c r="D508" s="30">
        <f>"18247063001770"</f>
        <v/>
      </c>
      <c r="E508" s="30" t="inlineStr">
        <is>
          <t>DOMINALOG EXPRESS LOGISTICA INTEGRADA LTDA</t>
        </is>
      </c>
      <c r="F508" s="40" t="n">
        <v>0</v>
      </c>
      <c r="G508" s="40" t="n">
        <v>0</v>
      </c>
      <c r="H508" s="40" t="n">
        <v>0</v>
      </c>
      <c r="I508" s="40" t="n">
        <v>133.96</v>
      </c>
      <c r="J508" s="40" t="n">
        <v>0</v>
      </c>
      <c r="K508" s="40" t="n">
        <v>0</v>
      </c>
      <c r="L508" s="40" t="n">
        <v>774.85</v>
      </c>
    </row>
    <row r="509" ht="12" customHeight="1">
      <c r="A509" s="30" t="inlineStr">
        <is>
          <t>ITG</t>
        </is>
      </c>
      <c r="B509" s="30" t="inlineStr">
        <is>
          <t>Itaguai</t>
        </is>
      </c>
      <c r="C509" s="30" t="n">
        <v>11752802</v>
      </c>
      <c r="D509" s="30">
        <f>"44993632007696"</f>
        <v/>
      </c>
      <c r="E509" s="30" t="inlineStr">
        <is>
          <t>EMPRESAS REUNIDAS PAULISTA DE TRANSPORTES LTDA</t>
        </is>
      </c>
      <c r="F509" s="40" t="n">
        <v>0</v>
      </c>
      <c r="G509" s="40" t="n">
        <v>0</v>
      </c>
      <c r="H509" s="40" t="n">
        <v>0</v>
      </c>
      <c r="I509" s="40" t="n">
        <v>0</v>
      </c>
      <c r="J509" s="40" t="n">
        <v>311.01</v>
      </c>
      <c r="K509" s="40" t="n">
        <v>0</v>
      </c>
      <c r="L509" s="40" t="n">
        <v>177.74</v>
      </c>
    </row>
    <row r="510" ht="12" customHeight="1">
      <c r="A510" s="30" t="inlineStr">
        <is>
          <t>ITG</t>
        </is>
      </c>
      <c r="B510" s="30" t="inlineStr">
        <is>
          <t>Itaguai</t>
        </is>
      </c>
      <c r="C510" s="30" t="n">
        <v>11752837</v>
      </c>
      <c r="D510" s="30">
        <f>"19247157000225"</f>
        <v/>
      </c>
      <c r="E510" s="30" t="inlineStr">
        <is>
          <t>LNV COMERCIO DE ROUPAS E ACESSORIOS LTDA</t>
        </is>
      </c>
      <c r="F510" s="40" t="n">
        <v>0</v>
      </c>
      <c r="G510" s="40" t="n">
        <v>0</v>
      </c>
      <c r="H510" s="40" t="n">
        <v>0</v>
      </c>
      <c r="I510" s="40" t="n">
        <v>0</v>
      </c>
      <c r="J510" s="40" t="n">
        <v>0</v>
      </c>
      <c r="K510" s="40" t="n">
        <v>0</v>
      </c>
      <c r="L510" s="40" t="n">
        <v>979545.54</v>
      </c>
    </row>
    <row r="511" ht="12" customHeight="1">
      <c r="A511" s="30" t="inlineStr">
        <is>
          <t>ITG</t>
        </is>
      </c>
      <c r="B511" s="30" t="inlineStr">
        <is>
          <t>Itaguai</t>
        </is>
      </c>
      <c r="C511" s="30" t="n">
        <v>11754066</v>
      </c>
      <c r="D511" s="30">
        <f>"00015265570705"</f>
        <v/>
      </c>
      <c r="E511" s="30" t="inlineStr">
        <is>
          <t>JEAN TEIXEIRA DE OLIVEIRA</t>
        </is>
      </c>
      <c r="F511" s="40" t="n">
        <v>0</v>
      </c>
      <c r="G511" s="40" t="n">
        <v>0</v>
      </c>
      <c r="H511" s="40" t="n">
        <v>0</v>
      </c>
      <c r="I511" s="40" t="n">
        <v>0</v>
      </c>
      <c r="J511" s="40" t="n">
        <v>293442</v>
      </c>
      <c r="K511" s="40" t="n">
        <v>0</v>
      </c>
      <c r="L511" s="40" t="n">
        <v>0</v>
      </c>
    </row>
    <row r="512" ht="12" customHeight="1">
      <c r="A512" s="30" t="inlineStr">
        <is>
          <t>ITG</t>
        </is>
      </c>
      <c r="B512" s="30" t="inlineStr">
        <is>
          <t>Itaguai</t>
        </is>
      </c>
      <c r="C512" s="30" t="n">
        <v>11758363</v>
      </c>
      <c r="D512" s="30">
        <f>"00001653708743"</f>
        <v/>
      </c>
      <c r="E512" s="30" t="inlineStr">
        <is>
          <t>ANDREA CRISTINA ARAUJO ANDRADE</t>
        </is>
      </c>
      <c r="F512" s="40" t="n">
        <v>0</v>
      </c>
      <c r="G512" s="40" t="n">
        <v>0</v>
      </c>
      <c r="H512" s="40" t="n">
        <v>0</v>
      </c>
      <c r="I512" s="40" t="n">
        <v>0</v>
      </c>
      <c r="J512" s="40" t="n">
        <v>0</v>
      </c>
      <c r="K512" s="40" t="n">
        <v>0</v>
      </c>
      <c r="L512" s="40" t="n">
        <v>14000</v>
      </c>
    </row>
    <row r="513" ht="12" customHeight="1">
      <c r="A513" s="30" t="inlineStr">
        <is>
          <t>ITG</t>
        </is>
      </c>
      <c r="B513" s="30" t="inlineStr">
        <is>
          <t>Itaguai</t>
        </is>
      </c>
      <c r="C513" s="30" t="n">
        <v>11758959</v>
      </c>
      <c r="D513" s="30">
        <f>"37818831000185"</f>
        <v/>
      </c>
      <c r="E513" s="30" t="inlineStr">
        <is>
          <t>ENERGEA ITAGUA? III LTDA</t>
        </is>
      </c>
      <c r="F513" s="40" t="n">
        <v>0</v>
      </c>
      <c r="G513" s="40" t="n">
        <v>0</v>
      </c>
      <c r="H513" s="40" t="n">
        <v>0</v>
      </c>
      <c r="I513" s="40" t="n">
        <v>0</v>
      </c>
      <c r="J513" s="40" t="n">
        <v>0</v>
      </c>
      <c r="K513" s="40" t="n">
        <v>0</v>
      </c>
      <c r="L513" s="40" t="n">
        <v>0</v>
      </c>
    </row>
    <row r="514" ht="12" customHeight="1">
      <c r="A514" s="30" t="inlineStr">
        <is>
          <t>ITG</t>
        </is>
      </c>
      <c r="B514" s="30" t="inlineStr">
        <is>
          <t>Itaguai</t>
        </is>
      </c>
      <c r="C514" s="30" t="n">
        <v>11759963</v>
      </c>
      <c r="D514" s="30">
        <f>"37820854000124"</f>
        <v/>
      </c>
      <c r="E514" s="30" t="inlineStr">
        <is>
          <t>JEJURO HAMBURGUERES DE ITAGUAI LTDA</t>
        </is>
      </c>
      <c r="F514" s="40" t="n">
        <v>0</v>
      </c>
      <c r="G514" s="40" t="n">
        <v>0</v>
      </c>
      <c r="H514" s="40" t="n">
        <v>0</v>
      </c>
      <c r="I514" s="40" t="n">
        <v>0</v>
      </c>
      <c r="J514" s="40" t="n">
        <v>0</v>
      </c>
      <c r="K514" s="40" t="n">
        <v>223002.67</v>
      </c>
      <c r="L514" s="40" t="n">
        <v>1089919.05</v>
      </c>
    </row>
    <row r="515" ht="12" customHeight="1">
      <c r="A515" s="30" t="inlineStr">
        <is>
          <t>ITG</t>
        </is>
      </c>
      <c r="B515" s="30" t="inlineStr">
        <is>
          <t>Itaguai</t>
        </is>
      </c>
      <c r="C515" s="30" t="n">
        <v>11764037</v>
      </c>
      <c r="D515" s="30">
        <f>"23056952000122"</f>
        <v/>
      </c>
      <c r="E515" s="30" t="inlineStr">
        <is>
          <t>HOTWORK BRASIL ENGENHARIA TERMICA LTDA</t>
        </is>
      </c>
      <c r="F515" s="40" t="n">
        <v>0</v>
      </c>
      <c r="G515" s="40" t="n">
        <v>0</v>
      </c>
      <c r="H515" s="40" t="n">
        <v>0</v>
      </c>
      <c r="I515" s="40" t="n">
        <v>0</v>
      </c>
      <c r="J515" s="40" t="n">
        <v>0</v>
      </c>
      <c r="K515" s="40" t="n">
        <v>0</v>
      </c>
      <c r="L515" s="40" t="n">
        <v>0</v>
      </c>
    </row>
    <row r="516" ht="12" customHeight="1">
      <c r="A516" s="30" t="inlineStr">
        <is>
          <t>ITG</t>
        </is>
      </c>
      <c r="B516" s="30" t="inlineStr">
        <is>
          <t>Itaguai</t>
        </is>
      </c>
      <c r="C516" s="30" t="n">
        <v>11778682</v>
      </c>
      <c r="D516" s="30">
        <f>"38011150000173"</f>
        <v/>
      </c>
      <c r="E516" s="30" t="inlineStr">
        <is>
          <t>HBS AUTOM?VEIS LTDA</t>
        </is>
      </c>
      <c r="F516" s="40" t="n">
        <v>0</v>
      </c>
      <c r="G516" s="40" t="n">
        <v>0</v>
      </c>
      <c r="H516" s="40" t="n">
        <v>0</v>
      </c>
      <c r="I516" s="40" t="n">
        <v>0</v>
      </c>
      <c r="J516" s="40" t="n">
        <v>0</v>
      </c>
      <c r="K516" s="40" t="n">
        <v>0</v>
      </c>
      <c r="L516" s="40" t="n">
        <v>0</v>
      </c>
    </row>
    <row r="517" ht="12" customHeight="1">
      <c r="A517" s="30" t="inlineStr">
        <is>
          <t>ITG</t>
        </is>
      </c>
      <c r="B517" s="30" t="inlineStr">
        <is>
          <t>Itaguai</t>
        </is>
      </c>
      <c r="C517" s="30" t="n">
        <v>11780407</v>
      </c>
      <c r="D517" s="30">
        <f>"38030823000132"</f>
        <v/>
      </c>
      <c r="E517" s="30" t="inlineStr">
        <is>
          <t>ESTRELA DE ITAGUAI EIRELI</t>
        </is>
      </c>
      <c r="F517" s="40" t="n">
        <v>0</v>
      </c>
      <c r="G517" s="40" t="n">
        <v>0</v>
      </c>
      <c r="H517" s="40" t="n">
        <v>0</v>
      </c>
      <c r="I517" s="40" t="n">
        <v>0</v>
      </c>
      <c r="J517" s="40" t="n">
        <v>0</v>
      </c>
      <c r="K517" s="40" t="n">
        <v>0</v>
      </c>
      <c r="L517" s="40" t="n">
        <v>0</v>
      </c>
    </row>
    <row r="518" ht="12" customHeight="1">
      <c r="A518" s="30" t="inlineStr">
        <is>
          <t>ITG</t>
        </is>
      </c>
      <c r="B518" s="30" t="inlineStr">
        <is>
          <t>Itaguai</t>
        </is>
      </c>
      <c r="C518" s="30" t="n">
        <v>11781160</v>
      </c>
      <c r="D518" s="30">
        <f>"23820639000704"</f>
        <v/>
      </c>
      <c r="E518" s="30" t="inlineStr">
        <is>
          <t>GFL LOGISTICA LTDA</t>
        </is>
      </c>
      <c r="F518" s="40" t="n">
        <v>0</v>
      </c>
      <c r="G518" s="40" t="n">
        <v>0</v>
      </c>
      <c r="H518" s="40" t="n">
        <v>0</v>
      </c>
      <c r="I518" s="40" t="n">
        <v>0</v>
      </c>
      <c r="J518" s="40" t="n">
        <v>0</v>
      </c>
      <c r="K518" s="40" t="n">
        <v>0</v>
      </c>
      <c r="L518" s="40" t="n">
        <v>534.87</v>
      </c>
    </row>
    <row r="519" ht="12" customHeight="1">
      <c r="A519" s="30" t="inlineStr">
        <is>
          <t>ITG</t>
        </is>
      </c>
      <c r="B519" s="30" t="inlineStr">
        <is>
          <t>Itaguai</t>
        </is>
      </c>
      <c r="C519" s="30" t="n">
        <v>11781349</v>
      </c>
      <c r="D519" s="30">
        <f>"28611594000358"</f>
        <v/>
      </c>
      <c r="E519" s="30" t="inlineStr">
        <is>
          <t>MOURA DANTAS TRANSPORTES LTDA</t>
        </is>
      </c>
      <c r="F519" s="40" t="n">
        <v>0</v>
      </c>
      <c r="G519" s="40" t="n">
        <v>0</v>
      </c>
      <c r="H519" s="40" t="n">
        <v>0</v>
      </c>
      <c r="I519" s="40" t="n">
        <v>0</v>
      </c>
      <c r="J519" s="40" t="n">
        <v>0</v>
      </c>
      <c r="K519" s="40" t="n">
        <v>422585.18</v>
      </c>
      <c r="L519" s="40" t="n">
        <v>0</v>
      </c>
    </row>
    <row r="520" ht="12" customHeight="1">
      <c r="A520" s="30" t="inlineStr">
        <is>
          <t>ITG</t>
        </is>
      </c>
      <c r="B520" s="30" t="inlineStr">
        <is>
          <t>Itaguai</t>
        </is>
      </c>
      <c r="C520" s="30" t="n">
        <v>11781454</v>
      </c>
      <c r="D520" s="30">
        <f>"11058804001059"</f>
        <v/>
      </c>
      <c r="E520" s="30" t="inlineStr">
        <is>
          <t>PRIO COMERCIALIZADORA LTDA.</t>
        </is>
      </c>
      <c r="F520" s="40" t="n">
        <v>0</v>
      </c>
      <c r="G520" s="40" t="n">
        <v>0</v>
      </c>
      <c r="H520" s="40" t="n">
        <v>0</v>
      </c>
      <c r="I520" s="40" t="n">
        <v>0</v>
      </c>
      <c r="J520" s="40" t="n">
        <v>793471.01</v>
      </c>
      <c r="K520" s="40" t="n">
        <v>1879178.47</v>
      </c>
      <c r="L520" s="40" t="n">
        <v>383841.57</v>
      </c>
    </row>
    <row r="521" ht="12" customHeight="1">
      <c r="A521" s="30" t="inlineStr">
        <is>
          <t>ITG</t>
        </is>
      </c>
      <c r="B521" s="30" t="inlineStr">
        <is>
          <t>Itaguai</t>
        </is>
      </c>
      <c r="C521" s="30" t="n">
        <v>11803482</v>
      </c>
      <c r="D521" s="30">
        <f>"38242278000148"</f>
        <v/>
      </c>
      <c r="E521" s="30" t="inlineStr">
        <is>
          <t>ITA REVENDEDORA DE G?S E AGUA LTDA</t>
        </is>
      </c>
      <c r="F521" s="40" t="n">
        <v>0</v>
      </c>
      <c r="G521" s="40" t="n">
        <v>0</v>
      </c>
      <c r="H521" s="40" t="n">
        <v>0</v>
      </c>
      <c r="I521" s="40" t="n">
        <v>0</v>
      </c>
      <c r="J521" s="40" t="n">
        <v>0</v>
      </c>
      <c r="K521" s="40" t="n">
        <v>0</v>
      </c>
      <c r="L521" s="40" t="n">
        <v>0</v>
      </c>
    </row>
    <row r="522" ht="12" customHeight="1">
      <c r="A522" s="30" t="inlineStr">
        <is>
          <t>ITG</t>
        </is>
      </c>
      <c r="B522" s="30" t="inlineStr">
        <is>
          <t>Itaguai</t>
        </is>
      </c>
      <c r="C522" s="30" t="n">
        <v>11810381</v>
      </c>
      <c r="D522" s="30">
        <f>"05206385004400"</f>
        <v/>
      </c>
      <c r="E522" s="30" t="inlineStr">
        <is>
          <t>HUGHES TELECOMUNICACOES DO BRASIL LTDA</t>
        </is>
      </c>
      <c r="F522" s="40" t="n">
        <v>0</v>
      </c>
      <c r="G522" s="40" t="n">
        <v>0</v>
      </c>
      <c r="H522" s="40" t="n">
        <v>0</v>
      </c>
      <c r="I522" s="40" t="n">
        <v>3667230.22</v>
      </c>
      <c r="J522" s="40" t="n">
        <v>220611.85</v>
      </c>
      <c r="K522" s="40" t="n">
        <v>223049.27</v>
      </c>
      <c r="L522" s="40" t="n">
        <v>196778.57</v>
      </c>
    </row>
    <row r="523" ht="12" customHeight="1">
      <c r="A523" s="30" t="inlineStr">
        <is>
          <t>ITG</t>
        </is>
      </c>
      <c r="B523" s="30" t="inlineStr">
        <is>
          <t>Itaguai</t>
        </is>
      </c>
      <c r="C523" s="30" t="n">
        <v>11813801</v>
      </c>
      <c r="D523" s="30">
        <f>"08848231003772"</f>
        <v/>
      </c>
      <c r="E523" s="30" t="inlineStr">
        <is>
          <t>ATUAL CARGAS TRANSPORTES LTDA</t>
        </is>
      </c>
      <c r="F523" s="40" t="n">
        <v>0</v>
      </c>
      <c r="G523" s="40" t="n">
        <v>0</v>
      </c>
      <c r="H523" s="40" t="n">
        <v>0</v>
      </c>
      <c r="I523" s="40" t="n">
        <v>0</v>
      </c>
      <c r="J523" s="40" t="n">
        <v>0</v>
      </c>
      <c r="K523" s="40" t="n">
        <v>0</v>
      </c>
      <c r="L523" s="40" t="n">
        <v>329.11</v>
      </c>
    </row>
    <row r="524" ht="12" customHeight="1">
      <c r="A524" s="30" t="inlineStr">
        <is>
          <t>ITG</t>
        </is>
      </c>
      <c r="B524" s="30" t="inlineStr">
        <is>
          <t>Itaguai</t>
        </is>
      </c>
      <c r="C524" s="30" t="n">
        <v>11815006</v>
      </c>
      <c r="D524" s="30">
        <f>"38353331000188"</f>
        <v/>
      </c>
      <c r="E524" s="30" t="inlineStr">
        <is>
          <t>REMAR COMERCIO E SERVI?OS EIRELI</t>
        </is>
      </c>
      <c r="F524" s="40" t="n">
        <v>0</v>
      </c>
      <c r="G524" s="40" t="n">
        <v>0</v>
      </c>
      <c r="H524" s="40" t="n">
        <v>0</v>
      </c>
      <c r="I524" s="40" t="n">
        <v>0</v>
      </c>
      <c r="J524" s="40" t="n">
        <v>0</v>
      </c>
      <c r="K524" s="40" t="n">
        <v>0</v>
      </c>
      <c r="L524" s="40" t="n">
        <v>0</v>
      </c>
    </row>
    <row r="525" ht="12" customHeight="1">
      <c r="A525" s="30" t="inlineStr">
        <is>
          <t>ITG</t>
        </is>
      </c>
      <c r="B525" s="30" t="inlineStr">
        <is>
          <t>Itaguai</t>
        </is>
      </c>
      <c r="C525" s="30" t="n">
        <v>11823033</v>
      </c>
      <c r="D525" s="30">
        <f>"37185266000166"</f>
        <v/>
      </c>
      <c r="E525" s="30" t="inlineStr">
        <is>
          <t>JONAVA RJ INFRAESTRUTURA E REDES DE TELECOMUNICACOES S.A.</t>
        </is>
      </c>
      <c r="F525" s="40" t="n">
        <v>0</v>
      </c>
      <c r="G525" s="40" t="n">
        <v>0</v>
      </c>
      <c r="H525" s="40" t="n">
        <v>0</v>
      </c>
      <c r="I525" s="40" t="n">
        <v>0</v>
      </c>
      <c r="J525" s="40" t="n">
        <v>0</v>
      </c>
      <c r="K525" s="40" t="n">
        <v>2385.86</v>
      </c>
      <c r="L525" s="40" t="n">
        <v>0</v>
      </c>
    </row>
    <row r="526" ht="12" customHeight="1">
      <c r="A526" s="30" t="inlineStr">
        <is>
          <t>ITG</t>
        </is>
      </c>
      <c r="B526" s="30" t="inlineStr">
        <is>
          <t>Itaguai</t>
        </is>
      </c>
      <c r="C526" s="30" t="n">
        <v>11828655</v>
      </c>
      <c r="D526" s="30">
        <f>"38122051000169"</f>
        <v/>
      </c>
      <c r="E526" s="30" t="inlineStr">
        <is>
          <t>ITABIO SOLUCOES AMBIENTAIS LTDA</t>
        </is>
      </c>
      <c r="F526" s="40" t="n">
        <v>0</v>
      </c>
      <c r="G526" s="40" t="n">
        <v>0</v>
      </c>
      <c r="H526" s="40" t="n">
        <v>0</v>
      </c>
      <c r="I526" s="40" t="n">
        <v>0</v>
      </c>
      <c r="J526" s="40" t="n">
        <v>0</v>
      </c>
      <c r="K526" s="40" t="n">
        <v>0</v>
      </c>
      <c r="L526" s="40" t="n">
        <v>3203.75</v>
      </c>
    </row>
    <row r="527" ht="12" customHeight="1">
      <c r="A527" s="30" t="inlineStr">
        <is>
          <t>ITG</t>
        </is>
      </c>
      <c r="B527" s="30" t="inlineStr">
        <is>
          <t>Itaguai</t>
        </is>
      </c>
      <c r="C527" s="30" t="n">
        <v>11830838</v>
      </c>
      <c r="D527" s="30">
        <f>"24230747037286"</f>
        <v/>
      </c>
      <c r="E527" s="30" t="inlineStr">
        <is>
          <t>MAGALU LOG SERVICOS LOGISTICOS LTDA</t>
        </is>
      </c>
      <c r="F527" s="40" t="n">
        <v>0</v>
      </c>
      <c r="G527" s="40" t="n">
        <v>0</v>
      </c>
      <c r="H527" s="40" t="n">
        <v>0</v>
      </c>
      <c r="I527" s="40" t="n">
        <v>0</v>
      </c>
      <c r="J527" s="40" t="n">
        <v>101.16</v>
      </c>
      <c r="K527" s="40" t="n">
        <v>0</v>
      </c>
      <c r="L527" s="40" t="n">
        <v>0</v>
      </c>
    </row>
    <row r="528" ht="12" customHeight="1">
      <c r="A528" s="30" t="inlineStr">
        <is>
          <t>ITG</t>
        </is>
      </c>
      <c r="B528" s="30" t="inlineStr">
        <is>
          <t>Itaguai</t>
        </is>
      </c>
      <c r="C528" s="30" t="n">
        <v>11834140</v>
      </c>
      <c r="D528" s="30">
        <f>"36734037000271"</f>
        <v/>
      </c>
      <c r="E528" s="30" t="inlineStr">
        <is>
          <t>TELEIA LOGISTICA LTDA</t>
        </is>
      </c>
      <c r="F528" s="40" t="n">
        <v>0</v>
      </c>
      <c r="G528" s="40" t="n">
        <v>0</v>
      </c>
      <c r="H528" s="40" t="n">
        <v>0</v>
      </c>
      <c r="I528" s="40" t="n">
        <v>0</v>
      </c>
      <c r="J528" s="40" t="n">
        <v>0</v>
      </c>
      <c r="K528" s="40" t="n">
        <v>6275</v>
      </c>
      <c r="L528" s="40" t="n">
        <v>0</v>
      </c>
    </row>
    <row r="529" ht="12" customHeight="1">
      <c r="A529" s="30" t="inlineStr">
        <is>
          <t>ITG</t>
        </is>
      </c>
      <c r="B529" s="30" t="inlineStr">
        <is>
          <t>Itaguai</t>
        </is>
      </c>
      <c r="C529" s="30" t="n">
        <v>11836330</v>
      </c>
      <c r="D529" s="30">
        <f>"38527059000105"</f>
        <v/>
      </c>
      <c r="E529" s="30" t="inlineStr">
        <is>
          <t>F D S DE ITAGUAI - TURISMO E FRETAMENTO - EIRELI</t>
        </is>
      </c>
      <c r="F529" s="40" t="n">
        <v>0</v>
      </c>
      <c r="G529" s="40" t="n">
        <v>0</v>
      </c>
      <c r="H529" s="40" t="n">
        <v>0</v>
      </c>
      <c r="I529" s="40" t="n">
        <v>0</v>
      </c>
      <c r="J529" s="40" t="n">
        <v>0</v>
      </c>
      <c r="K529" s="40" t="n">
        <v>0</v>
      </c>
      <c r="L529" s="40" t="n">
        <v>0</v>
      </c>
    </row>
    <row r="530" ht="12" customHeight="1">
      <c r="A530" s="30" t="inlineStr">
        <is>
          <t>ITG</t>
        </is>
      </c>
      <c r="B530" s="30" t="inlineStr">
        <is>
          <t>Itaguai</t>
        </is>
      </c>
      <c r="C530" s="30" t="n">
        <v>11841210</v>
      </c>
      <c r="D530" s="30">
        <f>"19972093000144"</f>
        <v/>
      </c>
      <c r="E530" s="30" t="inlineStr">
        <is>
          <t>GLOBEX SERVICOS DE APOIO EMPRESARIAL LTDA</t>
        </is>
      </c>
      <c r="F530" s="40" t="n">
        <v>0</v>
      </c>
      <c r="G530" s="40" t="n">
        <v>0</v>
      </c>
      <c r="H530" s="40" t="n">
        <v>0</v>
      </c>
      <c r="I530" s="40" t="n">
        <v>0</v>
      </c>
      <c r="J530" s="40" t="n">
        <v>0</v>
      </c>
      <c r="K530" s="40" t="n">
        <v>0</v>
      </c>
      <c r="L530" s="40" t="n">
        <v>0</v>
      </c>
    </row>
    <row r="531" ht="12" customHeight="1">
      <c r="A531" s="30" t="inlineStr">
        <is>
          <t>ITG</t>
        </is>
      </c>
      <c r="B531" s="30" t="inlineStr">
        <is>
          <t>Itaguai</t>
        </is>
      </c>
      <c r="C531" s="30" t="n">
        <v>11842542</v>
      </c>
      <c r="D531" s="30">
        <f>"12680452000736"</f>
        <v/>
      </c>
      <c r="E531" s="30" t="inlineStr">
        <is>
          <t>PLATINUM LOG ARMAZENS GERAIS LTDA</t>
        </is>
      </c>
      <c r="F531" s="40" t="n">
        <v>0</v>
      </c>
      <c r="G531" s="40" t="n">
        <v>0</v>
      </c>
      <c r="H531" s="40" t="n">
        <v>0</v>
      </c>
      <c r="I531" s="40" t="n">
        <v>0</v>
      </c>
      <c r="J531" s="40" t="n">
        <v>245.92</v>
      </c>
      <c r="K531" s="40" t="n">
        <v>528.22</v>
      </c>
      <c r="L531" s="40" t="n">
        <v>0</v>
      </c>
    </row>
    <row r="532" ht="12" customHeight="1">
      <c r="A532" s="30" t="inlineStr">
        <is>
          <t>ITG</t>
        </is>
      </c>
      <c r="B532" s="30" t="inlineStr">
        <is>
          <t>Itaguai</t>
        </is>
      </c>
      <c r="C532" s="30" t="n">
        <v>11849180</v>
      </c>
      <c r="D532" s="30">
        <f>"34844289000228"</f>
        <v/>
      </c>
      <c r="E532" s="30" t="inlineStr">
        <is>
          <t>EQUIMAC S.A.</t>
        </is>
      </c>
      <c r="F532" s="40" t="n">
        <v>0</v>
      </c>
      <c r="G532" s="40" t="n">
        <v>0</v>
      </c>
      <c r="H532" s="40" t="n">
        <v>0</v>
      </c>
      <c r="I532" s="40" t="n">
        <v>0</v>
      </c>
      <c r="J532" s="40" t="n">
        <v>0</v>
      </c>
      <c r="K532" s="40" t="n">
        <v>0</v>
      </c>
      <c r="L532" s="40" t="n">
        <v>0</v>
      </c>
    </row>
    <row r="533" ht="12" customHeight="1">
      <c r="A533" s="30" t="inlineStr">
        <is>
          <t>ITG</t>
        </is>
      </c>
      <c r="B533" s="30" t="inlineStr">
        <is>
          <t>Itaguai</t>
        </is>
      </c>
      <c r="C533" s="30" t="n">
        <v>11853137</v>
      </c>
      <c r="D533" s="30">
        <f>"48740351014972"</f>
        <v/>
      </c>
      <c r="E533" s="30" t="inlineStr">
        <is>
          <t>BRASPRESS TRANSPORTES URGENTES LTDA</t>
        </is>
      </c>
      <c r="F533" s="40" t="n">
        <v>0</v>
      </c>
      <c r="G533" s="40" t="n">
        <v>0</v>
      </c>
      <c r="H533" s="40" t="n">
        <v>0</v>
      </c>
      <c r="I533" s="40" t="n">
        <v>0</v>
      </c>
      <c r="J533" s="40" t="n">
        <v>0</v>
      </c>
      <c r="K533" s="40" t="n">
        <v>445.12</v>
      </c>
      <c r="L533" s="40" t="n">
        <v>119.7</v>
      </c>
    </row>
    <row r="534" ht="12" customHeight="1">
      <c r="A534" s="30" t="inlineStr">
        <is>
          <t>ITG</t>
        </is>
      </c>
      <c r="B534" s="30" t="inlineStr">
        <is>
          <t>Itaguai</t>
        </is>
      </c>
      <c r="C534" s="30" t="n">
        <v>11857833</v>
      </c>
      <c r="D534" s="30">
        <f>"29737689000113"</f>
        <v/>
      </c>
      <c r="E534" s="30" t="inlineStr">
        <is>
          <t>POSIDONIA NAVEGA??O LTDA</t>
        </is>
      </c>
      <c r="F534" s="40" t="n">
        <v>0</v>
      </c>
      <c r="G534" s="40" t="n">
        <v>0</v>
      </c>
      <c r="H534" s="40" t="n">
        <v>0</v>
      </c>
      <c r="I534" s="40" t="n">
        <v>0</v>
      </c>
      <c r="J534" s="40" t="n">
        <v>0</v>
      </c>
      <c r="K534" s="40" t="n">
        <v>0</v>
      </c>
      <c r="L534" s="40" t="n">
        <v>1265.71</v>
      </c>
    </row>
    <row r="535" ht="12" customHeight="1">
      <c r="A535" s="30" t="inlineStr">
        <is>
          <t>ITG</t>
        </is>
      </c>
      <c r="B535" s="30" t="inlineStr">
        <is>
          <t>Itaguai</t>
        </is>
      </c>
      <c r="C535" s="30" t="n">
        <v>11866174</v>
      </c>
      <c r="D535" s="30">
        <f>"11114284033177"</f>
        <v/>
      </c>
      <c r="E535" s="30" t="inlineStr">
        <is>
          <t>CASA &amp; V?DEO BRASIL S.A</t>
        </is>
      </c>
      <c r="F535" s="40" t="n">
        <v>0</v>
      </c>
      <c r="G535" s="40" t="n">
        <v>0</v>
      </c>
      <c r="H535" s="40" t="n">
        <v>0</v>
      </c>
      <c r="I535" s="40" t="n">
        <v>0</v>
      </c>
      <c r="J535" s="40" t="n">
        <v>0</v>
      </c>
      <c r="K535" s="40" t="n">
        <v>0</v>
      </c>
      <c r="L535" s="40" t="n">
        <v>0</v>
      </c>
    </row>
    <row r="536" ht="12" customHeight="1">
      <c r="A536" s="30" t="inlineStr">
        <is>
          <t>ITG</t>
        </is>
      </c>
      <c r="B536" s="30" t="inlineStr">
        <is>
          <t>Itaguai</t>
        </is>
      </c>
      <c r="C536" s="30" t="n">
        <v>11873871</v>
      </c>
      <c r="D536" s="30">
        <f>"38083805000119"</f>
        <v/>
      </c>
      <c r="E536" s="30" t="inlineStr">
        <is>
          <t>ENERGEA ITAGUA? II LTDA</t>
        </is>
      </c>
      <c r="F536" s="40" t="n">
        <v>0</v>
      </c>
      <c r="G536" s="40" t="n">
        <v>0</v>
      </c>
      <c r="H536" s="40" t="n">
        <v>0</v>
      </c>
      <c r="I536" s="40" t="n">
        <v>0</v>
      </c>
      <c r="J536" s="40" t="n">
        <v>0</v>
      </c>
      <c r="K536" s="40" t="n">
        <v>0</v>
      </c>
      <c r="L536" s="40" t="n">
        <v>0</v>
      </c>
    </row>
    <row r="537" ht="12" customHeight="1">
      <c r="A537" s="30" t="inlineStr">
        <is>
          <t>ITG</t>
        </is>
      </c>
      <c r="B537" s="30" t="inlineStr">
        <is>
          <t>Itaguai</t>
        </is>
      </c>
      <c r="C537" s="30" t="n">
        <v>11881149</v>
      </c>
      <c r="D537" s="30">
        <f>"00098872702704"</f>
        <v/>
      </c>
      <c r="E537" s="30" t="inlineStr">
        <is>
          <t>ANTONIA FINELON DO NASCIMENTO</t>
        </is>
      </c>
      <c r="F537" s="40" t="n">
        <v>0</v>
      </c>
      <c r="G537" s="40" t="n">
        <v>0</v>
      </c>
      <c r="H537" s="40" t="n">
        <v>0</v>
      </c>
      <c r="I537" s="40" t="n">
        <v>0</v>
      </c>
      <c r="J537" s="40" t="n">
        <v>0</v>
      </c>
      <c r="K537" s="40" t="n">
        <v>0</v>
      </c>
      <c r="L537" s="40" t="n">
        <v>0</v>
      </c>
    </row>
    <row r="538" ht="12" customHeight="1">
      <c r="A538" s="30" t="inlineStr">
        <is>
          <t>ITG</t>
        </is>
      </c>
      <c r="B538" s="30" t="inlineStr">
        <is>
          <t>Itaguai</t>
        </is>
      </c>
      <c r="C538" s="30" t="n">
        <v>11883192</v>
      </c>
      <c r="D538" s="30">
        <f>"39683053000190"</f>
        <v/>
      </c>
      <c r="E538" s="30" t="inlineStr">
        <is>
          <t>MD COMERCIO E DISTRIBUIDORA DE ALIMENTOS EIRELI</t>
        </is>
      </c>
      <c r="F538" s="40" t="n">
        <v>0</v>
      </c>
      <c r="G538" s="40" t="n">
        <v>0</v>
      </c>
      <c r="H538" s="40" t="n">
        <v>0</v>
      </c>
      <c r="I538" s="40" t="n">
        <v>0</v>
      </c>
      <c r="J538" s="40" t="n">
        <v>0</v>
      </c>
      <c r="K538" s="40" t="n">
        <v>0</v>
      </c>
      <c r="L538" s="40" t="n">
        <v>0</v>
      </c>
    </row>
    <row r="539" ht="12" customHeight="1">
      <c r="A539" s="30" t="inlineStr">
        <is>
          <t>ITG</t>
        </is>
      </c>
      <c r="B539" s="30" t="inlineStr">
        <is>
          <t>Itaguai</t>
        </is>
      </c>
      <c r="C539" s="30" t="n">
        <v>11893139</v>
      </c>
      <c r="D539" s="30">
        <f>"36294967000251"</f>
        <v/>
      </c>
      <c r="E539" s="30" t="inlineStr">
        <is>
          <t>RAINHA DO QUEIJO LATIC?NIOS E LANCHONETE LTDA</t>
        </is>
      </c>
      <c r="F539" s="40" t="n">
        <v>0</v>
      </c>
      <c r="G539" s="40" t="n">
        <v>0</v>
      </c>
      <c r="H539" s="40" t="n">
        <v>0</v>
      </c>
      <c r="I539" s="40" t="n">
        <v>0</v>
      </c>
      <c r="J539" s="40" t="n">
        <v>0</v>
      </c>
      <c r="K539" s="40" t="n">
        <v>0</v>
      </c>
      <c r="L539" s="40" t="n">
        <v>1466230.93</v>
      </c>
    </row>
    <row r="540" ht="12" customHeight="1">
      <c r="A540" s="30" t="inlineStr">
        <is>
          <t>ITG</t>
        </is>
      </c>
      <c r="B540" s="30" t="inlineStr">
        <is>
          <t>Itaguai</t>
        </is>
      </c>
      <c r="C540" s="30" t="n">
        <v>11897193</v>
      </c>
      <c r="D540" s="30">
        <f>"34713132000697"</f>
        <v/>
      </c>
      <c r="E540" s="30" t="inlineStr">
        <is>
          <t>S-BB TRANSPORTES LTDA</t>
        </is>
      </c>
      <c r="F540" s="40" t="n">
        <v>0</v>
      </c>
      <c r="G540" s="40" t="n">
        <v>0</v>
      </c>
      <c r="H540" s="40" t="n">
        <v>0</v>
      </c>
      <c r="I540" s="40" t="n">
        <v>0</v>
      </c>
      <c r="J540" s="40" t="n">
        <v>21755.08</v>
      </c>
      <c r="K540" s="40" t="n">
        <v>94000.25</v>
      </c>
      <c r="L540" s="40" t="n">
        <v>0</v>
      </c>
    </row>
    <row r="541" ht="12" customHeight="1">
      <c r="A541" s="30" t="inlineStr">
        <is>
          <t>ITG</t>
        </is>
      </c>
      <c r="B541" s="30" t="inlineStr">
        <is>
          <t>Itaguai</t>
        </is>
      </c>
      <c r="C541" s="30" t="n">
        <v>11898408</v>
      </c>
      <c r="D541" s="30">
        <f>"39538126000230"</f>
        <v/>
      </c>
      <c r="E541" s="30" t="inlineStr">
        <is>
          <t>BRLOGIS TRANSPORTE DE VEICULOS S/A</t>
        </is>
      </c>
      <c r="F541" s="40" t="n">
        <v>0</v>
      </c>
      <c r="G541" s="40" t="n">
        <v>0</v>
      </c>
      <c r="H541" s="40" t="n">
        <v>0</v>
      </c>
      <c r="I541" s="40" t="n">
        <v>0</v>
      </c>
      <c r="J541" s="40" t="n">
        <v>0</v>
      </c>
      <c r="K541" s="40" t="n">
        <v>2632.96</v>
      </c>
      <c r="L541" s="40" t="n">
        <v>0</v>
      </c>
    </row>
    <row r="542" ht="12" customHeight="1">
      <c r="A542" s="30" t="inlineStr">
        <is>
          <t>ITG</t>
        </is>
      </c>
      <c r="B542" s="30" t="inlineStr">
        <is>
          <t>Itaguai</t>
        </is>
      </c>
      <c r="C542" s="30" t="n">
        <v>11905390</v>
      </c>
      <c r="D542" s="30">
        <f>"39907793000162"</f>
        <v/>
      </c>
      <c r="E542" s="30" t="inlineStr">
        <is>
          <t>L&amp;A BRASIL LOCA??ES DE M?QUINAS LTDA</t>
        </is>
      </c>
      <c r="F542" s="40" t="n">
        <v>0</v>
      </c>
      <c r="G542" s="40" t="n">
        <v>0</v>
      </c>
      <c r="H542" s="40" t="n">
        <v>0</v>
      </c>
      <c r="I542" s="40" t="n">
        <v>0</v>
      </c>
      <c r="J542" s="40" t="n">
        <v>0</v>
      </c>
      <c r="K542" s="40" t="n">
        <v>0</v>
      </c>
      <c r="L542" s="40" t="n">
        <v>0</v>
      </c>
    </row>
    <row r="543" ht="12" customHeight="1">
      <c r="A543" s="30" t="inlineStr">
        <is>
          <t>ITG</t>
        </is>
      </c>
      <c r="B543" s="30" t="inlineStr">
        <is>
          <t>Itaguai</t>
        </is>
      </c>
      <c r="C543" s="30" t="n">
        <v>11912974</v>
      </c>
      <c r="D543" s="30">
        <f>"26206146000262"</f>
        <v/>
      </c>
      <c r="E543" s="30" t="inlineStr">
        <is>
          <t>SCS ARMAZENS GERAIS LTDA</t>
        </is>
      </c>
      <c r="F543" s="40" t="n">
        <v>0</v>
      </c>
      <c r="G543" s="40" t="n">
        <v>0</v>
      </c>
      <c r="H543" s="40" t="n">
        <v>0</v>
      </c>
      <c r="I543" s="40" t="n">
        <v>0</v>
      </c>
      <c r="J543" s="40" t="n">
        <v>0</v>
      </c>
      <c r="K543" s="40" t="n">
        <v>0</v>
      </c>
      <c r="L543" s="40" t="n">
        <v>0</v>
      </c>
    </row>
    <row r="544" ht="12" customHeight="1">
      <c r="A544" s="30" t="inlineStr">
        <is>
          <t>ITG</t>
        </is>
      </c>
      <c r="B544" s="30" t="inlineStr">
        <is>
          <t>Itaguai</t>
        </is>
      </c>
      <c r="C544" s="30" t="n">
        <v>11918131</v>
      </c>
      <c r="D544" s="30">
        <f>"35606143001017"</f>
        <v/>
      </c>
      <c r="E544" s="30" t="inlineStr">
        <is>
          <t>FASTLINE LOGISTICA AUTOMOTIVA LTDA</t>
        </is>
      </c>
      <c r="F544" s="40" t="n">
        <v>0</v>
      </c>
      <c r="G544" s="40" t="n">
        <v>0</v>
      </c>
      <c r="H544" s="40" t="n">
        <v>0</v>
      </c>
      <c r="I544" s="40" t="n">
        <v>0</v>
      </c>
      <c r="J544" s="40" t="n">
        <v>0</v>
      </c>
      <c r="K544" s="40" t="n">
        <v>0</v>
      </c>
      <c r="L544" s="40" t="n">
        <v>13009</v>
      </c>
    </row>
    <row r="545" ht="12" customHeight="1">
      <c r="A545" s="30" t="inlineStr">
        <is>
          <t>ITG</t>
        </is>
      </c>
      <c r="B545" s="30" t="inlineStr">
        <is>
          <t>Itaguai</t>
        </is>
      </c>
      <c r="C545" s="30" t="n">
        <v>11920985</v>
      </c>
      <c r="D545" s="30">
        <f>"82110818002841"</f>
        <v/>
      </c>
      <c r="E545" s="30" t="inlineStr">
        <is>
          <t>ALFA TRANSPORTES LTDA</t>
        </is>
      </c>
      <c r="F545" s="40" t="n">
        <v>0</v>
      </c>
      <c r="G545" s="40" t="n">
        <v>0</v>
      </c>
      <c r="H545" s="40" t="n">
        <v>0</v>
      </c>
      <c r="I545" s="40" t="n">
        <v>0</v>
      </c>
      <c r="J545" s="40" t="n">
        <v>4341.27</v>
      </c>
      <c r="K545" s="40" t="n">
        <v>12161.43</v>
      </c>
      <c r="L545" s="40" t="n">
        <v>5494.76</v>
      </c>
    </row>
    <row r="546" ht="12" customHeight="1">
      <c r="A546" s="30" t="inlineStr">
        <is>
          <t>ITG</t>
        </is>
      </c>
      <c r="B546" s="30" t="inlineStr">
        <is>
          <t>Itaguai</t>
        </is>
      </c>
      <c r="C546" s="30" t="n">
        <v>11926150</v>
      </c>
      <c r="D546" s="30">
        <f>"30962019000775"</f>
        <v/>
      </c>
      <c r="E546" s="30" t="inlineStr">
        <is>
          <t>RODOE TRANSPORTES DE ENCOMENDAS LTDA</t>
        </is>
      </c>
      <c r="F546" s="40" t="n">
        <v>0</v>
      </c>
      <c r="G546" s="40" t="n">
        <v>0</v>
      </c>
      <c r="H546" s="40" t="n">
        <v>0</v>
      </c>
      <c r="I546" s="40" t="n">
        <v>0</v>
      </c>
      <c r="J546" s="40" t="n">
        <v>47.03</v>
      </c>
      <c r="K546" s="40" t="n">
        <v>0</v>
      </c>
      <c r="L546" s="40" t="n">
        <v>0</v>
      </c>
    </row>
    <row r="547" ht="12" customHeight="1">
      <c r="A547" s="30" t="inlineStr">
        <is>
          <t>ITG</t>
        </is>
      </c>
      <c r="B547" s="30" t="inlineStr">
        <is>
          <t>Itaguai</t>
        </is>
      </c>
      <c r="C547" s="30" t="n">
        <v>11926681</v>
      </c>
      <c r="D547" s="30">
        <f>"34325515000345"</f>
        <v/>
      </c>
      <c r="E547" s="30" t="inlineStr">
        <is>
          <t>COBRAZIL CONSTRUCOES S.A</t>
        </is>
      </c>
      <c r="F547" s="40" t="n">
        <v>0</v>
      </c>
      <c r="G547" s="40" t="n">
        <v>0</v>
      </c>
      <c r="H547" s="40" t="n">
        <v>0</v>
      </c>
      <c r="I547" s="40" t="n">
        <v>0</v>
      </c>
      <c r="J547" s="40" t="n">
        <v>0</v>
      </c>
      <c r="K547" s="40" t="n">
        <v>0</v>
      </c>
      <c r="L547" s="40" t="n">
        <v>547521.33</v>
      </c>
    </row>
    <row r="548" ht="12" customHeight="1">
      <c r="A548" s="30" t="inlineStr">
        <is>
          <t>ITG</t>
        </is>
      </c>
      <c r="B548" s="30" t="inlineStr">
        <is>
          <t>Itaguai</t>
        </is>
      </c>
      <c r="C548" s="30" t="n">
        <v>11933262</v>
      </c>
      <c r="D548" s="30">
        <f>"40182418000181"</f>
        <v/>
      </c>
      <c r="E548" s="30" t="inlineStr">
        <is>
          <t>BOI SUCESSO, COM?RCIO ATACADO E VAREJO DE PRODUTOS ALIMENT?CIOS</t>
        </is>
      </c>
      <c r="F548" s="40" t="n">
        <v>0</v>
      </c>
      <c r="G548" s="40" t="n">
        <v>0</v>
      </c>
      <c r="H548" s="40" t="n">
        <v>0</v>
      </c>
      <c r="I548" s="40" t="n">
        <v>0</v>
      </c>
      <c r="J548" s="40" t="n">
        <v>378225.14</v>
      </c>
      <c r="K548" s="40" t="n">
        <v>472931.45</v>
      </c>
      <c r="L548" s="40" t="n">
        <v>306064.1</v>
      </c>
    </row>
    <row r="549" ht="12" customHeight="1">
      <c r="A549" s="30" t="inlineStr">
        <is>
          <t>ITG</t>
        </is>
      </c>
      <c r="B549" s="30" t="inlineStr">
        <is>
          <t>Itaguai</t>
        </is>
      </c>
      <c r="C549" s="30" t="n">
        <v>11936717</v>
      </c>
      <c r="D549" s="30">
        <f>"27267181000254"</f>
        <v/>
      </c>
      <c r="E549" s="30" t="inlineStr">
        <is>
          <t>RTJ SOARES LTDA</t>
        </is>
      </c>
      <c r="F549" s="40" t="n">
        <v>0</v>
      </c>
      <c r="G549" s="40" t="n">
        <v>0</v>
      </c>
      <c r="H549" s="40" t="n">
        <v>0</v>
      </c>
      <c r="I549" s="40" t="n">
        <v>0</v>
      </c>
      <c r="J549" s="40" t="n">
        <v>0</v>
      </c>
      <c r="K549" s="40" t="n">
        <v>0</v>
      </c>
      <c r="L549" s="40" t="n">
        <v>0</v>
      </c>
    </row>
    <row r="550" ht="12" customHeight="1">
      <c r="A550" s="30" t="inlineStr">
        <is>
          <t>ITG</t>
        </is>
      </c>
      <c r="B550" s="30" t="inlineStr">
        <is>
          <t>Itaguai</t>
        </is>
      </c>
      <c r="C550" s="30" t="n">
        <v>11940633</v>
      </c>
      <c r="D550" s="30">
        <f>"40270958000117"</f>
        <v/>
      </c>
      <c r="E550" s="30" t="inlineStr">
        <is>
          <t>NSV LOG?STICA LTDA</t>
        </is>
      </c>
      <c r="F550" s="40" t="n">
        <v>0</v>
      </c>
      <c r="G550" s="40" t="n">
        <v>0</v>
      </c>
      <c r="H550" s="40" t="n">
        <v>0</v>
      </c>
      <c r="I550" s="40" t="n">
        <v>0</v>
      </c>
      <c r="J550" s="40" t="n">
        <v>0</v>
      </c>
      <c r="K550" s="40" t="n">
        <v>8471.049999999999</v>
      </c>
      <c r="L550" s="40" t="n">
        <v>0</v>
      </c>
    </row>
    <row r="551" ht="12" customHeight="1">
      <c r="A551" s="30" t="inlineStr">
        <is>
          <t>ITG</t>
        </is>
      </c>
      <c r="B551" s="30" t="inlineStr">
        <is>
          <t>Itaguai</t>
        </is>
      </c>
      <c r="C551" s="30" t="n">
        <v>11972977</v>
      </c>
      <c r="D551" s="30">
        <f>"01125797002593"</f>
        <v/>
      </c>
      <c r="E551" s="30" t="inlineStr">
        <is>
          <t>ATIVA DISTRIBUICAO E LOGISTICA LTDA</t>
        </is>
      </c>
      <c r="F551" s="40" t="n">
        <v>0</v>
      </c>
      <c r="G551" s="40" t="n">
        <v>0</v>
      </c>
      <c r="H551" s="40" t="n">
        <v>0</v>
      </c>
      <c r="I551" s="40" t="n">
        <v>0</v>
      </c>
      <c r="J551" s="40" t="n">
        <v>5813.49</v>
      </c>
      <c r="K551" s="40" t="n">
        <v>4691.07</v>
      </c>
      <c r="L551" s="40" t="n">
        <v>4332.16</v>
      </c>
    </row>
    <row r="552" ht="12" customHeight="1">
      <c r="A552" s="30" t="inlineStr">
        <is>
          <t>ITG</t>
        </is>
      </c>
      <c r="B552" s="30" t="inlineStr">
        <is>
          <t>Itaguai</t>
        </is>
      </c>
      <c r="C552" s="30" t="n">
        <v>11976034</v>
      </c>
      <c r="D552" s="30">
        <f>"56927734000841"</f>
        <v/>
      </c>
      <c r="E552" s="30" t="inlineStr">
        <is>
          <t>DAMA TRANSPORTADORA LTDA</t>
        </is>
      </c>
      <c r="F552" s="40" t="n">
        <v>0</v>
      </c>
      <c r="G552" s="40" t="n">
        <v>0</v>
      </c>
      <c r="H552" s="40" t="n">
        <v>0</v>
      </c>
      <c r="I552" s="40" t="n">
        <v>0</v>
      </c>
      <c r="J552" s="40" t="n">
        <v>28834.24</v>
      </c>
      <c r="K552" s="40" t="n">
        <v>0</v>
      </c>
      <c r="L552" s="40" t="n">
        <v>0</v>
      </c>
    </row>
    <row r="553" ht="12" customHeight="1">
      <c r="A553" s="30" t="inlineStr">
        <is>
          <t>ITG</t>
        </is>
      </c>
      <c r="B553" s="30" t="inlineStr">
        <is>
          <t>Itaguai</t>
        </is>
      </c>
      <c r="C553" s="30" t="n">
        <v>12001665</v>
      </c>
      <c r="D553" s="30">
        <f>"41052743000192"</f>
        <v/>
      </c>
      <c r="E553" s="30" t="inlineStr">
        <is>
          <t>COOPERATIVA DOS TRANSPORTADORES RODOVI?RIOS DE CARGAS AMIGOS UNI</t>
        </is>
      </c>
      <c r="F553" s="40" t="n">
        <v>0</v>
      </c>
      <c r="G553" s="40" t="n">
        <v>0</v>
      </c>
      <c r="H553" s="40" t="n">
        <v>0</v>
      </c>
      <c r="I553" s="40" t="n">
        <v>0</v>
      </c>
      <c r="J553" s="40" t="n">
        <v>0</v>
      </c>
      <c r="K553" s="40" t="n">
        <v>0</v>
      </c>
      <c r="L553" s="40" t="n">
        <v>54898.3</v>
      </c>
    </row>
    <row r="554" ht="12" customHeight="1">
      <c r="A554" s="30" t="inlineStr">
        <is>
          <t>ITG</t>
        </is>
      </c>
      <c r="B554" s="30" t="inlineStr">
        <is>
          <t>Itaguai</t>
        </is>
      </c>
      <c r="C554" s="30" t="n">
        <v>12014325</v>
      </c>
      <c r="D554" s="30">
        <f>"04819724003308"</f>
        <v/>
      </c>
      <c r="E554" s="30" t="inlineStr">
        <is>
          <t>TELEFONICA TRANSPORTES E LOGISTICA LTDA</t>
        </is>
      </c>
      <c r="F554" s="40" t="n">
        <v>0</v>
      </c>
      <c r="G554" s="40" t="n">
        <v>0</v>
      </c>
      <c r="H554" s="40" t="n">
        <v>0</v>
      </c>
      <c r="I554" s="40" t="n">
        <v>0</v>
      </c>
      <c r="J554" s="40" t="n">
        <v>0</v>
      </c>
      <c r="K554" s="40" t="n">
        <v>50.37</v>
      </c>
      <c r="L554" s="40" t="n">
        <v>9740.370000000001</v>
      </c>
    </row>
    <row r="555" ht="12" customHeight="1">
      <c r="A555" s="30" t="inlineStr">
        <is>
          <t>ITG</t>
        </is>
      </c>
      <c r="B555" s="30" t="inlineStr">
        <is>
          <t>Itaguai</t>
        </is>
      </c>
      <c r="C555" s="30" t="n">
        <v>12021763</v>
      </c>
      <c r="D555" s="30">
        <f>"00776574033836"</f>
        <v/>
      </c>
      <c r="E555" s="30" t="inlineStr">
        <is>
          <t>AMERICANAS S.A - EM RECUPERACAO JUDICIAL</t>
        </is>
      </c>
      <c r="F555" s="40" t="n">
        <v>0</v>
      </c>
      <c r="G555" s="40" t="n">
        <v>0</v>
      </c>
      <c r="H555" s="40" t="n">
        <v>0</v>
      </c>
      <c r="I555" s="40" t="n">
        <v>0</v>
      </c>
      <c r="J555" s="40" t="n">
        <v>1638730.02</v>
      </c>
      <c r="K555" s="40" t="n">
        <v>1110888.79</v>
      </c>
      <c r="L555" s="40" t="n">
        <v>689293.39</v>
      </c>
    </row>
    <row r="556" ht="12" customHeight="1">
      <c r="A556" s="30" t="inlineStr">
        <is>
          <t>ITG</t>
        </is>
      </c>
      <c r="B556" s="30" t="inlineStr">
        <is>
          <t>Itaguai</t>
        </is>
      </c>
      <c r="C556" s="30" t="n">
        <v>12028199</v>
      </c>
      <c r="D556" s="30">
        <f>"41307848000145"</f>
        <v/>
      </c>
      <c r="E556" s="30" t="inlineStr">
        <is>
          <t>?VORA FARM?CIA DE MANIPULA??O LTDA</t>
        </is>
      </c>
      <c r="F556" s="40" t="n">
        <v>0</v>
      </c>
      <c r="G556" s="40" t="n">
        <v>0</v>
      </c>
      <c r="H556" s="40" t="n">
        <v>0</v>
      </c>
      <c r="I556" s="40" t="n">
        <v>0</v>
      </c>
      <c r="J556" s="40" t="n">
        <v>0</v>
      </c>
      <c r="K556" s="40" t="n">
        <v>0</v>
      </c>
      <c r="L556" s="40" t="n">
        <v>3306653.15</v>
      </c>
    </row>
    <row r="557" ht="12" customHeight="1">
      <c r="A557" s="30" t="inlineStr">
        <is>
          <t>ITG</t>
        </is>
      </c>
      <c r="B557" s="30" t="inlineStr">
        <is>
          <t>Itaguai</t>
        </is>
      </c>
      <c r="C557" s="30" t="n">
        <v>12039140</v>
      </c>
      <c r="D557" s="30">
        <f>"41487278000112"</f>
        <v/>
      </c>
      <c r="E557" s="30" t="inlineStr">
        <is>
          <t>PROGRESSO SERVI?OS PORTU?RIOS E TRANSPORTE LTDA</t>
        </is>
      </c>
      <c r="F557" s="40" t="n">
        <v>0</v>
      </c>
      <c r="G557" s="40" t="n">
        <v>0</v>
      </c>
      <c r="H557" s="40" t="n">
        <v>0</v>
      </c>
      <c r="I557" s="40" t="n">
        <v>0</v>
      </c>
      <c r="J557" s="40" t="n">
        <v>0</v>
      </c>
      <c r="K557" s="40" t="n">
        <v>0</v>
      </c>
      <c r="L557" s="40" t="n">
        <v>0</v>
      </c>
    </row>
    <row r="558" ht="12" customHeight="1">
      <c r="A558" s="30" t="inlineStr">
        <is>
          <t>ITG</t>
        </is>
      </c>
      <c r="B558" s="30" t="inlineStr">
        <is>
          <t>Itaguai</t>
        </is>
      </c>
      <c r="C558" s="30" t="n">
        <v>12041454</v>
      </c>
      <c r="D558" s="30">
        <f>"41492799000168"</f>
        <v/>
      </c>
      <c r="E558" s="30" t="inlineStr">
        <is>
          <t>PROGRESSO TRANSPORTES LOG?STICOS E ARMAZ?NS LTDA</t>
        </is>
      </c>
      <c r="F558" s="40" t="n">
        <v>0</v>
      </c>
      <c r="G558" s="40" t="n">
        <v>0</v>
      </c>
      <c r="H558" s="40" t="n">
        <v>0</v>
      </c>
      <c r="I558" s="40" t="n">
        <v>0</v>
      </c>
      <c r="J558" s="40" t="n">
        <v>0</v>
      </c>
      <c r="K558" s="40" t="n">
        <v>0</v>
      </c>
      <c r="L558" s="40" t="n">
        <v>0</v>
      </c>
    </row>
    <row r="559" ht="12" customHeight="1">
      <c r="A559" s="30" t="inlineStr">
        <is>
          <t>ITG</t>
        </is>
      </c>
      <c r="B559" s="30" t="inlineStr">
        <is>
          <t>Itaguai</t>
        </is>
      </c>
      <c r="C559" s="30" t="n">
        <v>12051417</v>
      </c>
      <c r="D559" s="30">
        <f>"41647000000165"</f>
        <v/>
      </c>
      <c r="E559" s="30" t="inlineStr">
        <is>
          <t>TH VE?CULOS DA COSTA VERDE LTDA</t>
        </is>
      </c>
      <c r="F559" s="40" t="n">
        <v>0</v>
      </c>
      <c r="G559" s="40" t="n">
        <v>0</v>
      </c>
      <c r="H559" s="40" t="n">
        <v>0</v>
      </c>
      <c r="I559" s="40" t="n">
        <v>0</v>
      </c>
      <c r="J559" s="40" t="n">
        <v>0</v>
      </c>
      <c r="K559" s="40" t="n">
        <v>0</v>
      </c>
      <c r="L559" s="40" t="n">
        <v>0</v>
      </c>
    </row>
    <row r="560" ht="12" customHeight="1">
      <c r="A560" s="30" t="inlineStr">
        <is>
          <t>ITG</t>
        </is>
      </c>
      <c r="B560" s="30" t="inlineStr">
        <is>
          <t>Itaguai</t>
        </is>
      </c>
      <c r="C560" s="30" t="n">
        <v>12061196</v>
      </c>
      <c r="D560" s="30">
        <f>"47960950176084"</f>
        <v/>
      </c>
      <c r="E560" s="30" t="inlineStr">
        <is>
          <t>MAGAZINE LUIZA S/A</t>
        </is>
      </c>
      <c r="F560" s="40" t="n">
        <v>0</v>
      </c>
      <c r="G560" s="40" t="n">
        <v>0</v>
      </c>
      <c r="H560" s="40" t="n">
        <v>0</v>
      </c>
      <c r="I560" s="40" t="n">
        <v>0</v>
      </c>
      <c r="J560" s="40" t="n">
        <v>652429.88</v>
      </c>
      <c r="K560" s="40" t="n">
        <v>2266864.52</v>
      </c>
      <c r="L560" s="40" t="n">
        <v>2005011.09</v>
      </c>
    </row>
    <row r="561" ht="12" customHeight="1">
      <c r="A561" s="30" t="inlineStr">
        <is>
          <t>ITG</t>
        </is>
      </c>
      <c r="B561" s="30" t="inlineStr">
        <is>
          <t>Itaguai</t>
        </is>
      </c>
      <c r="C561" s="30" t="n">
        <v>12074352</v>
      </c>
      <c r="D561" s="30">
        <f>"00776574079585"</f>
        <v/>
      </c>
      <c r="E561" s="30" t="inlineStr">
        <is>
          <t>AMERICANAS S.A - EM RECUPERACAO JUDICIAL</t>
        </is>
      </c>
      <c r="F561" s="40" t="n">
        <v>0</v>
      </c>
      <c r="G561" s="40" t="n">
        <v>0</v>
      </c>
      <c r="H561" s="40" t="n">
        <v>0</v>
      </c>
      <c r="I561" s="40" t="n">
        <v>0</v>
      </c>
      <c r="J561" s="40" t="n">
        <v>1971206.71</v>
      </c>
      <c r="K561" s="40" t="n">
        <v>400392.58</v>
      </c>
      <c r="L561" s="40" t="n">
        <v>1730973.02</v>
      </c>
    </row>
    <row r="562" ht="12" customHeight="1">
      <c r="A562" s="30" t="inlineStr">
        <is>
          <t>ITG</t>
        </is>
      </c>
      <c r="B562" s="30" t="inlineStr">
        <is>
          <t>Itaguai</t>
        </is>
      </c>
      <c r="C562" s="30" t="n">
        <v>12077335</v>
      </c>
      <c r="D562" s="30">
        <f>"41919966000104"</f>
        <v/>
      </c>
      <c r="E562" s="30" t="inlineStr">
        <is>
          <t>VIA??O ROSA RIO LTDA</t>
        </is>
      </c>
      <c r="F562" s="40" t="n">
        <v>0</v>
      </c>
      <c r="G562" s="40" t="n">
        <v>0</v>
      </c>
      <c r="H562" s="40" t="n">
        <v>0</v>
      </c>
      <c r="I562" s="40" t="n">
        <v>0</v>
      </c>
      <c r="J562" s="40" t="n">
        <v>0</v>
      </c>
      <c r="K562" s="40" t="n">
        <v>0</v>
      </c>
      <c r="L562" s="40" t="n">
        <v>1509485</v>
      </c>
    </row>
    <row r="563" ht="12" customHeight="1">
      <c r="A563" s="30" t="inlineStr">
        <is>
          <t>ITG</t>
        </is>
      </c>
      <c r="B563" s="30" t="inlineStr">
        <is>
          <t>Itaguai</t>
        </is>
      </c>
      <c r="C563" s="30" t="n">
        <v>12084773</v>
      </c>
      <c r="D563" s="30">
        <f>"26410462000685"</f>
        <v/>
      </c>
      <c r="E563" s="30" t="inlineStr">
        <is>
          <t>ORION REFEI??ES EMPRESARIAIS LTDA</t>
        </is>
      </c>
      <c r="F563" s="40" t="n">
        <v>0</v>
      </c>
      <c r="G563" s="40" t="n">
        <v>0</v>
      </c>
      <c r="H563" s="40" t="n">
        <v>0</v>
      </c>
      <c r="I563" s="40" t="n">
        <v>0</v>
      </c>
      <c r="J563" s="40" t="n">
        <v>0</v>
      </c>
      <c r="K563" s="40" t="n">
        <v>114501.45</v>
      </c>
      <c r="L563" s="40" t="n">
        <v>0</v>
      </c>
    </row>
    <row r="564" ht="12" customHeight="1">
      <c r="A564" s="30" t="inlineStr">
        <is>
          <t>ITG</t>
        </is>
      </c>
      <c r="B564" s="30" t="inlineStr">
        <is>
          <t>Itaguai</t>
        </is>
      </c>
      <c r="C564" s="30" t="n">
        <v>12085290</v>
      </c>
      <c r="D564" s="30">
        <f>"43244631005985"</f>
        <v/>
      </c>
      <c r="E564" s="30" t="inlineStr">
        <is>
          <t>TRANSPORTADORA AMERICANA LTDA</t>
        </is>
      </c>
      <c r="F564" s="40" t="n">
        <v>0</v>
      </c>
      <c r="G564" s="40" t="n">
        <v>0</v>
      </c>
      <c r="H564" s="40" t="n">
        <v>0</v>
      </c>
      <c r="I564" s="40" t="n">
        <v>0</v>
      </c>
      <c r="J564" s="40" t="n">
        <v>0</v>
      </c>
      <c r="K564" s="40" t="n">
        <v>2329.04</v>
      </c>
      <c r="L564" s="40" t="n">
        <v>53.63</v>
      </c>
    </row>
    <row r="565" ht="12" customHeight="1">
      <c r="A565" s="30" t="inlineStr">
        <is>
          <t>ITG</t>
        </is>
      </c>
      <c r="B565" s="30" t="inlineStr">
        <is>
          <t>Itaguai</t>
        </is>
      </c>
      <c r="C565" s="30" t="n">
        <v>12087810</v>
      </c>
      <c r="D565" s="30">
        <f>"29453826000511"</f>
        <v/>
      </c>
      <c r="E565" s="30" t="inlineStr">
        <is>
          <t>TRANSPORTE GENEROSO LTDA</t>
        </is>
      </c>
      <c r="F565" s="40" t="n">
        <v>0</v>
      </c>
      <c r="G565" s="40" t="n">
        <v>0</v>
      </c>
      <c r="H565" s="40" t="n">
        <v>0</v>
      </c>
      <c r="I565" s="40" t="n">
        <v>0</v>
      </c>
      <c r="J565" s="40" t="n">
        <v>0</v>
      </c>
      <c r="K565" s="40" t="n">
        <v>0</v>
      </c>
      <c r="L565" s="40" t="n">
        <v>132.34</v>
      </c>
    </row>
    <row r="566" ht="12" customHeight="1">
      <c r="A566" s="30" t="inlineStr">
        <is>
          <t>ITG</t>
        </is>
      </c>
      <c r="B566" s="30" t="inlineStr">
        <is>
          <t>Itaguai</t>
        </is>
      </c>
      <c r="C566" s="30" t="n">
        <v>12107536</v>
      </c>
      <c r="D566" s="30">
        <f>"42258516000180"</f>
        <v/>
      </c>
      <c r="E566" s="30" t="inlineStr">
        <is>
          <t>REAL POWER MOTORS COM?RCIO LTDA</t>
        </is>
      </c>
      <c r="F566" s="40" t="n">
        <v>0</v>
      </c>
      <c r="G566" s="40" t="n">
        <v>0</v>
      </c>
      <c r="H566" s="40" t="n">
        <v>0</v>
      </c>
      <c r="I566" s="40" t="n">
        <v>0</v>
      </c>
      <c r="J566" s="40" t="n">
        <v>0</v>
      </c>
      <c r="K566" s="40" t="n">
        <v>3010940.25</v>
      </c>
      <c r="L566" s="40" t="n">
        <v>2864403.94</v>
      </c>
    </row>
    <row r="567" ht="12" customHeight="1">
      <c r="A567" s="30" t="inlineStr">
        <is>
          <t>ITG</t>
        </is>
      </c>
      <c r="B567" s="30" t="inlineStr">
        <is>
          <t>Itaguai</t>
        </is>
      </c>
      <c r="C567" s="30" t="n">
        <v>12115920</v>
      </c>
      <c r="D567" s="30">
        <f>"42409568000100"</f>
        <v/>
      </c>
      <c r="E567" s="30" t="inlineStr">
        <is>
          <t>BOM DE PRE?O SACOLAO DE FRUTAS E LEGUMES LTDA</t>
        </is>
      </c>
      <c r="F567" s="40" t="n">
        <v>0</v>
      </c>
      <c r="G567" s="40" t="n">
        <v>0</v>
      </c>
      <c r="H567" s="40" t="n">
        <v>0</v>
      </c>
      <c r="I567" s="40" t="n">
        <v>0</v>
      </c>
      <c r="J567" s="40" t="n">
        <v>0</v>
      </c>
      <c r="K567" s="40" t="n">
        <v>0</v>
      </c>
      <c r="L567" s="40" t="n">
        <v>423899.77</v>
      </c>
    </row>
    <row r="568" ht="12" customHeight="1">
      <c r="A568" s="30" t="inlineStr">
        <is>
          <t>ITG</t>
        </is>
      </c>
      <c r="B568" s="30" t="inlineStr">
        <is>
          <t>Itaguai</t>
        </is>
      </c>
      <c r="C568" s="30" t="n">
        <v>12122675</v>
      </c>
      <c r="D568" s="30">
        <f>"42476615000139"</f>
        <v/>
      </c>
      <c r="E568" s="30" t="inlineStr">
        <is>
          <t>JUSAN LOGISTICA E TRANSPORTES LTDA</t>
        </is>
      </c>
      <c r="F568" s="40" t="n">
        <v>0</v>
      </c>
      <c r="G568" s="40" t="n">
        <v>0</v>
      </c>
      <c r="H568" s="40" t="n">
        <v>0</v>
      </c>
      <c r="I568" s="40" t="n">
        <v>0</v>
      </c>
      <c r="J568" s="40" t="n">
        <v>0</v>
      </c>
      <c r="K568" s="40" t="n">
        <v>489.06</v>
      </c>
      <c r="L568" s="40" t="n">
        <v>0</v>
      </c>
    </row>
    <row r="569" ht="12" customHeight="1">
      <c r="A569" s="30" t="inlineStr">
        <is>
          <t>ITG</t>
        </is>
      </c>
      <c r="B569" s="30" t="inlineStr">
        <is>
          <t>Itaguai</t>
        </is>
      </c>
      <c r="C569" s="30" t="n">
        <v>12130066</v>
      </c>
      <c r="D569" s="30">
        <f>"00005487040745"</f>
        <v/>
      </c>
      <c r="E569" s="30" t="inlineStr">
        <is>
          <t>SANDRA DE FARIA SILVA</t>
        </is>
      </c>
      <c r="F569" s="40" t="n">
        <v>0</v>
      </c>
      <c r="G569" s="40" t="n">
        <v>0</v>
      </c>
      <c r="H569" s="40" t="n">
        <v>0</v>
      </c>
      <c r="I569" s="40" t="n">
        <v>0</v>
      </c>
      <c r="J569" s="40" t="n">
        <v>273500</v>
      </c>
      <c r="K569" s="40" t="n">
        <v>0</v>
      </c>
      <c r="L569" s="40" t="n">
        <v>0</v>
      </c>
    </row>
    <row r="570" ht="12" customHeight="1">
      <c r="A570" s="30" t="inlineStr">
        <is>
          <t>ITG</t>
        </is>
      </c>
      <c r="B570" s="30" t="inlineStr">
        <is>
          <t>Itaguai</t>
        </is>
      </c>
      <c r="C570" s="30" t="n">
        <v>12139110</v>
      </c>
      <c r="D570" s="30">
        <f>"42656855000115"</f>
        <v/>
      </c>
      <c r="E570" s="30" t="inlineStr">
        <is>
          <t>PADARIA, CONFEITARIA E LANCHONETE PAL?CIO DOS P?ES LTDA</t>
        </is>
      </c>
      <c r="F570" s="40" t="n">
        <v>0</v>
      </c>
      <c r="G570" s="40" t="n">
        <v>0</v>
      </c>
      <c r="H570" s="40" t="n">
        <v>0</v>
      </c>
      <c r="I570" s="40" t="n">
        <v>0</v>
      </c>
      <c r="J570" s="40" t="n">
        <v>0</v>
      </c>
      <c r="K570" s="40" t="n">
        <v>0</v>
      </c>
      <c r="L570" s="40" t="n">
        <v>0</v>
      </c>
    </row>
    <row r="571" ht="12" customHeight="1">
      <c r="A571" s="30" t="inlineStr">
        <is>
          <t>ITG</t>
        </is>
      </c>
      <c r="B571" s="30" t="inlineStr">
        <is>
          <t>Itaguai</t>
        </is>
      </c>
      <c r="C571" s="30" t="n">
        <v>12148186</v>
      </c>
      <c r="D571" s="30">
        <f>"11361353002349"</f>
        <v/>
      </c>
      <c r="E571" s="30" t="inlineStr">
        <is>
          <t>TRANSGUARD DO BRASIL REMOCAO E ACAUTELAMENTO DE VEICULOS E EMPRE</t>
        </is>
      </c>
      <c r="F571" s="40" t="n">
        <v>0</v>
      </c>
      <c r="G571" s="40" t="n">
        <v>0</v>
      </c>
      <c r="H571" s="40" t="n">
        <v>0</v>
      </c>
      <c r="I571" s="40" t="n">
        <v>0</v>
      </c>
      <c r="J571" s="40" t="n">
        <v>0</v>
      </c>
      <c r="K571" s="40" t="n">
        <v>0</v>
      </c>
      <c r="L571" s="40" t="n">
        <v>0</v>
      </c>
    </row>
    <row r="572" ht="12" customHeight="1">
      <c r="A572" s="30" t="inlineStr">
        <is>
          <t>ITG</t>
        </is>
      </c>
      <c r="B572" s="30" t="inlineStr">
        <is>
          <t>Itaguai</t>
        </is>
      </c>
      <c r="C572" s="30" t="n">
        <v>12149654</v>
      </c>
      <c r="D572" s="30">
        <f>"31598974000142"</f>
        <v/>
      </c>
      <c r="E572" s="30" t="inlineStr">
        <is>
          <t>EXPRESSO EBEN?ZER TRANSPORTES- LTDA</t>
        </is>
      </c>
      <c r="F572" s="40" t="n">
        <v>0</v>
      </c>
      <c r="G572" s="40" t="n">
        <v>0</v>
      </c>
      <c r="H572" s="40" t="n">
        <v>0</v>
      </c>
      <c r="I572" s="40" t="n">
        <v>0</v>
      </c>
      <c r="J572" s="40" t="n">
        <v>0</v>
      </c>
      <c r="K572" s="40" t="n">
        <v>0</v>
      </c>
      <c r="L572" s="40" t="n">
        <v>3236.42</v>
      </c>
    </row>
    <row r="573" ht="12" customHeight="1">
      <c r="A573" s="30" t="inlineStr">
        <is>
          <t>ITG</t>
        </is>
      </c>
      <c r="B573" s="30" t="inlineStr">
        <is>
          <t>Itaguai</t>
        </is>
      </c>
      <c r="C573" s="30" t="n">
        <v>12150890</v>
      </c>
      <c r="D573" s="30">
        <f>"07569161003599"</f>
        <v/>
      </c>
      <c r="E573" s="30" t="inlineStr">
        <is>
          <t>G10 TRANSPORTES S.A.</t>
        </is>
      </c>
      <c r="F573" s="40" t="n">
        <v>0</v>
      </c>
      <c r="G573" s="40" t="n">
        <v>0</v>
      </c>
      <c r="H573" s="40" t="n">
        <v>0</v>
      </c>
      <c r="I573" s="40" t="n">
        <v>0</v>
      </c>
      <c r="J573" s="40" t="n">
        <v>0</v>
      </c>
      <c r="K573" s="40" t="n">
        <v>0</v>
      </c>
      <c r="L573" s="40" t="n">
        <v>420765.21</v>
      </c>
    </row>
    <row r="574" ht="12" customHeight="1">
      <c r="A574" s="30" t="inlineStr">
        <is>
          <t>ITG</t>
        </is>
      </c>
      <c r="B574" s="30" t="inlineStr">
        <is>
          <t>Itaguai</t>
        </is>
      </c>
      <c r="C574" s="30" t="n">
        <v>12176600</v>
      </c>
      <c r="D574" s="30">
        <f>"43018686000150"</f>
        <v/>
      </c>
      <c r="E574" s="30" t="inlineStr">
        <is>
          <t>INFINITE DISTRIPET ATACADISTA LTDA</t>
        </is>
      </c>
      <c r="F574" s="40" t="n">
        <v>0</v>
      </c>
      <c r="G574" s="40" t="n">
        <v>0</v>
      </c>
      <c r="H574" s="40" t="n">
        <v>0</v>
      </c>
      <c r="I574" s="40" t="n">
        <v>0</v>
      </c>
      <c r="J574" s="40" t="n">
        <v>0</v>
      </c>
      <c r="K574" s="40" t="n">
        <v>0</v>
      </c>
      <c r="L574" s="40" t="n">
        <v>0</v>
      </c>
    </row>
    <row r="575" ht="12" customHeight="1">
      <c r="A575" s="30" t="inlineStr">
        <is>
          <t>ITG</t>
        </is>
      </c>
      <c r="B575" s="30" t="inlineStr">
        <is>
          <t>Itaguai</t>
        </is>
      </c>
      <c r="C575" s="30" t="n">
        <v>12182481</v>
      </c>
      <c r="D575" s="30">
        <f>"18982709000952"</f>
        <v/>
      </c>
      <c r="E575" s="30" t="inlineStr">
        <is>
          <t>ASIA SHIPPING TERMINAIS E SERVICOS LTDA</t>
        </is>
      </c>
      <c r="F575" s="40" t="n">
        <v>0</v>
      </c>
      <c r="G575" s="40" t="n">
        <v>0</v>
      </c>
      <c r="H575" s="40" t="n">
        <v>0</v>
      </c>
      <c r="I575" s="40" t="n">
        <v>0</v>
      </c>
      <c r="J575" s="40" t="n">
        <v>28982.09</v>
      </c>
      <c r="K575" s="40" t="n">
        <v>0</v>
      </c>
      <c r="L575" s="40" t="n">
        <v>0</v>
      </c>
    </row>
    <row r="576" ht="12" customHeight="1">
      <c r="A576" s="30" t="inlineStr">
        <is>
          <t>ITG</t>
        </is>
      </c>
      <c r="B576" s="30" t="inlineStr">
        <is>
          <t>Itaguai</t>
        </is>
      </c>
      <c r="C576" s="30" t="n">
        <v>12182910</v>
      </c>
      <c r="D576" s="30">
        <f>"66732082000177"</f>
        <v/>
      </c>
      <c r="E576" s="30" t="inlineStr">
        <is>
          <t>ENERGY CLEAN REPRESENTA??O COMERCIAL LTDA</t>
        </is>
      </c>
      <c r="F576" s="40" t="n">
        <v>0</v>
      </c>
      <c r="G576" s="40" t="n">
        <v>0</v>
      </c>
      <c r="H576" s="40" t="n">
        <v>0</v>
      </c>
      <c r="I576" s="40" t="n">
        <v>0</v>
      </c>
      <c r="J576" s="40" t="n">
        <v>0</v>
      </c>
      <c r="K576" s="40" t="n">
        <v>630033.23</v>
      </c>
      <c r="L576" s="40" t="n">
        <v>6359314.15</v>
      </c>
    </row>
    <row r="577" ht="12" customHeight="1">
      <c r="A577" s="30" t="inlineStr">
        <is>
          <t>ITG</t>
        </is>
      </c>
      <c r="B577" s="30" t="inlineStr">
        <is>
          <t>Itaguai</t>
        </is>
      </c>
      <c r="C577" s="30" t="n">
        <v>12185286</v>
      </c>
      <c r="D577" s="30">
        <f>"43144379000116"</f>
        <v/>
      </c>
      <c r="E577" s="30" t="inlineStr">
        <is>
          <t>PEIXARIA EMP?RIO COSTA VERDE LTDA</t>
        </is>
      </c>
      <c r="F577" s="40" t="n">
        <v>0</v>
      </c>
      <c r="G577" s="40" t="n">
        <v>0</v>
      </c>
      <c r="H577" s="40" t="n">
        <v>0</v>
      </c>
      <c r="I577" s="40" t="n">
        <v>0</v>
      </c>
      <c r="J577" s="40" t="n">
        <v>0</v>
      </c>
      <c r="K577" s="40" t="n">
        <v>0</v>
      </c>
      <c r="L577" s="40" t="n">
        <v>0</v>
      </c>
    </row>
    <row r="578" ht="12" customHeight="1">
      <c r="A578" s="30" t="inlineStr">
        <is>
          <t>ITG</t>
        </is>
      </c>
      <c r="B578" s="30" t="inlineStr">
        <is>
          <t>Itaguai</t>
        </is>
      </c>
      <c r="C578" s="30" t="n">
        <v>12187238</v>
      </c>
      <c r="D578" s="30">
        <f>"11361353002772"</f>
        <v/>
      </c>
      <c r="E578" s="30" t="inlineStr">
        <is>
          <t>TRANSGUARD DO BRASIL REMOCAO E ACAUTELAMENTO DE VEICULOS E EMPRE</t>
        </is>
      </c>
      <c r="F578" s="40" t="n">
        <v>0</v>
      </c>
      <c r="G578" s="40" t="n">
        <v>0</v>
      </c>
      <c r="H578" s="40" t="n">
        <v>0</v>
      </c>
      <c r="I578" s="40" t="n">
        <v>0</v>
      </c>
      <c r="J578" s="40" t="n">
        <v>0</v>
      </c>
      <c r="K578" s="40" t="n">
        <v>0</v>
      </c>
      <c r="L578" s="40" t="n">
        <v>0</v>
      </c>
    </row>
    <row r="579" ht="12" customHeight="1">
      <c r="A579" s="30" t="inlineStr">
        <is>
          <t>ITG</t>
        </is>
      </c>
      <c r="B579" s="30" t="inlineStr">
        <is>
          <t>Itaguai</t>
        </is>
      </c>
      <c r="C579" s="30" t="n">
        <v>12188633</v>
      </c>
      <c r="D579" s="30">
        <f>"38745428000306"</f>
        <v/>
      </c>
      <c r="E579" s="30" t="inlineStr">
        <is>
          <t>CONSTRUTORA APICE LTDA</t>
        </is>
      </c>
      <c r="F579" s="40" t="n">
        <v>0</v>
      </c>
      <c r="G579" s="40" t="n">
        <v>0</v>
      </c>
      <c r="H579" s="40" t="n">
        <v>0</v>
      </c>
      <c r="I579" s="40" t="n">
        <v>0</v>
      </c>
      <c r="J579" s="40" t="n">
        <v>0</v>
      </c>
      <c r="K579" s="40" t="n">
        <v>0</v>
      </c>
      <c r="L579" s="40" t="n">
        <v>0</v>
      </c>
    </row>
    <row r="580" ht="12" customHeight="1">
      <c r="A580" s="30" t="inlineStr">
        <is>
          <t>ITG</t>
        </is>
      </c>
      <c r="B580" s="30" t="inlineStr">
        <is>
          <t>Itaguai</t>
        </is>
      </c>
      <c r="C580" s="30" t="n">
        <v>12191758</v>
      </c>
      <c r="D580" s="30">
        <f>"44914992004982"</f>
        <v/>
      </c>
      <c r="E580" s="30" t="inlineStr">
        <is>
          <t>RODONAVES TRANSPORTES E ENCOMENDAS LTDA</t>
        </is>
      </c>
      <c r="F580" s="40" t="n">
        <v>0</v>
      </c>
      <c r="G580" s="40" t="n">
        <v>0</v>
      </c>
      <c r="H580" s="40" t="n">
        <v>0</v>
      </c>
      <c r="I580" s="40" t="n">
        <v>0</v>
      </c>
      <c r="J580" s="40" t="n">
        <v>2310.5</v>
      </c>
      <c r="K580" s="40" t="n">
        <v>2276.25</v>
      </c>
      <c r="L580" s="40" t="n">
        <v>0</v>
      </c>
    </row>
    <row r="581" ht="12" customHeight="1">
      <c r="A581" s="30" t="inlineStr">
        <is>
          <t>ITG</t>
        </is>
      </c>
      <c r="B581" s="30" t="inlineStr">
        <is>
          <t>Itaguai</t>
        </is>
      </c>
      <c r="C581" s="30" t="n">
        <v>12203535</v>
      </c>
      <c r="D581" s="30">
        <f>"02789552001128"</f>
        <v/>
      </c>
      <c r="E581" s="30" t="inlineStr">
        <is>
          <t>LIDER VEICULOS S. A.</t>
        </is>
      </c>
      <c r="F581" s="40" t="n">
        <v>0</v>
      </c>
      <c r="G581" s="40" t="n">
        <v>0</v>
      </c>
      <c r="H581" s="40" t="n">
        <v>0</v>
      </c>
      <c r="I581" s="40" t="n">
        <v>0</v>
      </c>
      <c r="J581" s="40" t="n">
        <v>115896.83</v>
      </c>
      <c r="K581" s="40" t="n">
        <v>1377042.6</v>
      </c>
      <c r="L581" s="40" t="n">
        <v>1110711.57</v>
      </c>
    </row>
    <row r="582" ht="12" customHeight="1">
      <c r="A582" s="30" t="inlineStr">
        <is>
          <t>ITG</t>
        </is>
      </c>
      <c r="B582" s="30" t="inlineStr">
        <is>
          <t>Itaguai</t>
        </is>
      </c>
      <c r="C582" s="30" t="n">
        <v>12206020</v>
      </c>
      <c r="D582" s="30">
        <f>"43384966000182"</f>
        <v/>
      </c>
      <c r="E582" s="30" t="inlineStr">
        <is>
          <t>ANDR?IA PROEN?A QUINTANILHA SAL?O DE BELEZA E COM?RCIO DE COSM?S</t>
        </is>
      </c>
      <c r="F582" s="40" t="n">
        <v>0</v>
      </c>
      <c r="G582" s="40" t="n">
        <v>0</v>
      </c>
      <c r="H582" s="40" t="n">
        <v>0</v>
      </c>
      <c r="I582" s="40" t="n">
        <v>0</v>
      </c>
      <c r="J582" s="40" t="n">
        <v>0</v>
      </c>
      <c r="K582" s="40" t="n">
        <v>0</v>
      </c>
      <c r="L582" s="40" t="n">
        <v>0</v>
      </c>
    </row>
    <row r="583" ht="12" customHeight="1">
      <c r="A583" s="30" t="inlineStr">
        <is>
          <t>ITG</t>
        </is>
      </c>
      <c r="B583" s="30" t="inlineStr">
        <is>
          <t>Itaguai</t>
        </is>
      </c>
      <c r="C583" s="30" t="n">
        <v>12210841</v>
      </c>
      <c r="D583" s="30">
        <f>"13272177000865"</f>
        <v/>
      </c>
      <c r="E583" s="30" t="inlineStr">
        <is>
          <t>GLOVIS BRASIL LOGISTICA LTDA</t>
        </is>
      </c>
      <c r="F583" s="40" t="n">
        <v>0</v>
      </c>
      <c r="G583" s="40" t="n">
        <v>0</v>
      </c>
      <c r="H583" s="40" t="n">
        <v>0</v>
      </c>
      <c r="I583" s="40" t="n">
        <v>0</v>
      </c>
      <c r="J583" s="40" t="n">
        <v>0</v>
      </c>
      <c r="K583" s="40" t="n">
        <v>0</v>
      </c>
      <c r="L583" s="40" t="n">
        <v>52394.68</v>
      </c>
    </row>
    <row r="584" ht="12" customHeight="1">
      <c r="A584" s="30" t="inlineStr">
        <is>
          <t>ITG</t>
        </is>
      </c>
      <c r="B584" s="30" t="inlineStr">
        <is>
          <t>Itaguai</t>
        </is>
      </c>
      <c r="C584" s="30" t="n">
        <v>12221592</v>
      </c>
      <c r="D584" s="30">
        <f>"00011087089786"</f>
        <v/>
      </c>
      <c r="E584" s="30" t="inlineStr">
        <is>
          <t>EDEMILSON RABELO DE OLIVEIRA</t>
        </is>
      </c>
      <c r="F584" s="40" t="n">
        <v>0</v>
      </c>
      <c r="G584" s="40" t="n">
        <v>0</v>
      </c>
      <c r="H584" s="40" t="n">
        <v>0</v>
      </c>
      <c r="I584" s="40" t="n">
        <v>0</v>
      </c>
      <c r="J584" s="40" t="n">
        <v>1</v>
      </c>
      <c r="K584" s="40" t="n">
        <v>0</v>
      </c>
      <c r="L584" s="40" t="n">
        <v>0</v>
      </c>
    </row>
    <row r="585" ht="12" customHeight="1">
      <c r="A585" s="30" t="inlineStr">
        <is>
          <t>ITG</t>
        </is>
      </c>
      <c r="B585" s="30" t="inlineStr">
        <is>
          <t>Itaguai</t>
        </is>
      </c>
      <c r="C585" s="30" t="n">
        <v>12225091</v>
      </c>
      <c r="D585" s="30">
        <f>"13623957000489"</f>
        <v/>
      </c>
      <c r="E585" s="30" t="inlineStr">
        <is>
          <t>CBSI COMPANHIA BRASILEIRA DE SERVICOS DE INFRAESTRUTURA</t>
        </is>
      </c>
      <c r="F585" s="40" t="n">
        <v>0</v>
      </c>
      <c r="G585" s="40" t="n">
        <v>0</v>
      </c>
      <c r="H585" s="40" t="n">
        <v>0</v>
      </c>
      <c r="I585" s="40" t="n">
        <v>0</v>
      </c>
      <c r="J585" s="40" t="n">
        <v>0</v>
      </c>
      <c r="K585" s="40" t="n">
        <v>0</v>
      </c>
      <c r="L585" s="40" t="n">
        <v>0</v>
      </c>
    </row>
    <row r="586" ht="12" customHeight="1">
      <c r="A586" s="30" t="inlineStr">
        <is>
          <t>ITG</t>
        </is>
      </c>
      <c r="B586" s="30" t="inlineStr">
        <is>
          <t>Itaguai</t>
        </is>
      </c>
      <c r="C586" s="30" t="n">
        <v>12225822</v>
      </c>
      <c r="D586" s="30">
        <f>"79458584002228"</f>
        <v/>
      </c>
      <c r="E586" s="30" t="inlineStr">
        <is>
          <t>EXPRESSO ADORNO LTDA</t>
        </is>
      </c>
      <c r="F586" s="40" t="n">
        <v>0</v>
      </c>
      <c r="G586" s="40" t="n">
        <v>0</v>
      </c>
      <c r="H586" s="40" t="n">
        <v>0</v>
      </c>
      <c r="I586" s="40" t="n">
        <v>0</v>
      </c>
      <c r="J586" s="40" t="n">
        <v>59349.9</v>
      </c>
      <c r="K586" s="40" t="n">
        <v>0</v>
      </c>
      <c r="L586" s="40" t="n">
        <v>0</v>
      </c>
    </row>
    <row r="587" ht="12" customHeight="1">
      <c r="A587" s="30" t="inlineStr">
        <is>
          <t>ITG</t>
        </is>
      </c>
      <c r="B587" s="30" t="inlineStr">
        <is>
          <t>Itaguai</t>
        </is>
      </c>
      <c r="C587" s="30" t="n">
        <v>12250843</v>
      </c>
      <c r="D587" s="30">
        <f>"33873846000195"</f>
        <v/>
      </c>
      <c r="E587" s="30" t="inlineStr">
        <is>
          <t>ABA SERVICOS E LOGISTICA LTDA</t>
        </is>
      </c>
      <c r="F587" s="40" t="n">
        <v>0</v>
      </c>
      <c r="G587" s="40" t="n">
        <v>0</v>
      </c>
      <c r="H587" s="40" t="n">
        <v>0</v>
      </c>
      <c r="I587" s="40" t="n">
        <v>0</v>
      </c>
      <c r="J587" s="40" t="n">
        <v>0</v>
      </c>
      <c r="K587" s="40" t="n">
        <v>0</v>
      </c>
      <c r="L587" s="40" t="n">
        <v>5865697.13</v>
      </c>
    </row>
    <row r="588" ht="12" customHeight="1">
      <c r="A588" s="30" t="inlineStr">
        <is>
          <t>ITG</t>
        </is>
      </c>
      <c r="B588" s="30" t="inlineStr">
        <is>
          <t>Itaguai</t>
        </is>
      </c>
      <c r="C588" s="30" t="n">
        <v>12277270</v>
      </c>
      <c r="D588" s="30">
        <f>"00003018002784"</f>
        <v/>
      </c>
      <c r="E588" s="30" t="inlineStr">
        <is>
          <t>SATIE TAKEMURA TAKAMINE</t>
        </is>
      </c>
      <c r="F588" s="40" t="n">
        <v>0</v>
      </c>
      <c r="G588" s="40" t="n">
        <v>0</v>
      </c>
      <c r="H588" s="40" t="n">
        <v>0</v>
      </c>
      <c r="I588" s="40" t="n">
        <v>0</v>
      </c>
      <c r="J588" s="40" t="n">
        <v>955.6</v>
      </c>
      <c r="K588" s="40" t="n">
        <v>13395</v>
      </c>
      <c r="L588" s="40" t="n">
        <v>14055.7</v>
      </c>
    </row>
    <row r="589" ht="12" customHeight="1">
      <c r="A589" s="30" t="inlineStr">
        <is>
          <t>ITG</t>
        </is>
      </c>
      <c r="B589" s="30" t="inlineStr">
        <is>
          <t>Itaguai</t>
        </is>
      </c>
      <c r="C589" s="30" t="n">
        <v>12291051</v>
      </c>
      <c r="D589" s="30">
        <f>"11807198000640"</f>
        <v/>
      </c>
      <c r="E589" s="30" t="inlineStr">
        <is>
          <t>LFG DO BRASIL LTDA</t>
        </is>
      </c>
      <c r="F589" s="40" t="n">
        <v>0</v>
      </c>
      <c r="G589" s="40" t="n">
        <v>0</v>
      </c>
      <c r="H589" s="40" t="n">
        <v>0</v>
      </c>
      <c r="I589" s="40" t="n">
        <v>0</v>
      </c>
      <c r="J589" s="40" t="n">
        <v>0</v>
      </c>
      <c r="K589" s="40" t="n">
        <v>230.22</v>
      </c>
      <c r="L589" s="40" t="n">
        <v>225.86</v>
      </c>
    </row>
    <row r="590" ht="12" customHeight="1">
      <c r="A590" s="30" t="inlineStr">
        <is>
          <t>ITG</t>
        </is>
      </c>
      <c r="B590" s="30" t="inlineStr">
        <is>
          <t>Itaguai</t>
        </is>
      </c>
      <c r="C590" s="30" t="n">
        <v>12295057</v>
      </c>
      <c r="D590" s="30">
        <f>"43854903000142"</f>
        <v/>
      </c>
      <c r="E590" s="30" t="inlineStr">
        <is>
          <t>KARPOWERSHIP BRASIL ENERGIA LTDA.</t>
        </is>
      </c>
      <c r="F590" s="40" t="n">
        <v>0</v>
      </c>
      <c r="G590" s="40" t="n">
        <v>0</v>
      </c>
      <c r="H590" s="40" t="n">
        <v>0</v>
      </c>
      <c r="I590" s="40" t="n">
        <v>0</v>
      </c>
      <c r="J590" s="40" t="n">
        <v>0</v>
      </c>
      <c r="K590" s="40" t="n">
        <v>270391764.07</v>
      </c>
      <c r="L590" s="40" t="n">
        <v>2448011131.6</v>
      </c>
    </row>
    <row r="591" ht="12" customHeight="1">
      <c r="A591" s="30" t="inlineStr">
        <is>
          <t>ITG</t>
        </is>
      </c>
      <c r="B591" s="30" t="inlineStr">
        <is>
          <t>Itaguai</t>
        </is>
      </c>
      <c r="C591" s="30" t="n">
        <v>12296533</v>
      </c>
      <c r="D591" s="30">
        <f>"27462720000559"</f>
        <v/>
      </c>
      <c r="E591" s="30" t="inlineStr">
        <is>
          <t>BRATEC MAQUINAS E SERVICOS LTDA</t>
        </is>
      </c>
      <c r="F591" s="40" t="n">
        <v>0</v>
      </c>
      <c r="G591" s="40" t="n">
        <v>0</v>
      </c>
      <c r="H591" s="40" t="n">
        <v>0</v>
      </c>
      <c r="I591" s="40" t="n">
        <v>0</v>
      </c>
      <c r="J591" s="40" t="n">
        <v>0</v>
      </c>
      <c r="K591" s="40" t="n">
        <v>0</v>
      </c>
      <c r="L591" s="40" t="n">
        <v>0</v>
      </c>
    </row>
    <row r="592" ht="12" customHeight="1">
      <c r="A592" s="30" t="inlineStr">
        <is>
          <t>ITG</t>
        </is>
      </c>
      <c r="B592" s="30" t="inlineStr">
        <is>
          <t>Itaguai</t>
        </is>
      </c>
      <c r="C592" s="30" t="n">
        <v>12298528</v>
      </c>
      <c r="D592" s="30">
        <f>"00078531000288"</f>
        <v/>
      </c>
      <c r="E592" s="30" t="inlineStr">
        <is>
          <t>MTECH LOCA??ES E SERVI?OS LTDA</t>
        </is>
      </c>
      <c r="F592" s="40" t="n">
        <v>0</v>
      </c>
      <c r="G592" s="40" t="n">
        <v>0</v>
      </c>
      <c r="H592" s="40" t="n">
        <v>0</v>
      </c>
      <c r="I592" s="40" t="n">
        <v>0</v>
      </c>
      <c r="J592" s="40" t="n">
        <v>0</v>
      </c>
      <c r="K592" s="40" t="n">
        <v>0</v>
      </c>
      <c r="L592" s="40" t="n">
        <v>0</v>
      </c>
    </row>
    <row r="593" ht="12" customHeight="1">
      <c r="A593" s="30" t="inlineStr">
        <is>
          <t>ITG</t>
        </is>
      </c>
      <c r="B593" s="30" t="inlineStr">
        <is>
          <t>Itaguai</t>
        </is>
      </c>
      <c r="C593" s="30" t="n">
        <v>12310730</v>
      </c>
      <c r="D593" s="30">
        <f>"44268105000100"</f>
        <v/>
      </c>
      <c r="E593" s="30" t="inlineStr">
        <is>
          <t>AGROPECUARIA SANTA LUZIA LTDA</t>
        </is>
      </c>
      <c r="F593" s="40" t="n">
        <v>0</v>
      </c>
      <c r="G593" s="40" t="n">
        <v>0</v>
      </c>
      <c r="H593" s="40" t="n">
        <v>0</v>
      </c>
      <c r="I593" s="40" t="n">
        <v>0</v>
      </c>
      <c r="J593" s="40" t="n">
        <v>0</v>
      </c>
      <c r="K593" s="40" t="n">
        <v>0</v>
      </c>
      <c r="L593" s="40" t="n">
        <v>0</v>
      </c>
    </row>
    <row r="594" ht="12" customHeight="1">
      <c r="A594" s="30" t="inlineStr">
        <is>
          <t>ITG</t>
        </is>
      </c>
      <c r="B594" s="30" t="inlineStr">
        <is>
          <t>Itaguai</t>
        </is>
      </c>
      <c r="C594" s="30" t="n">
        <v>12314248</v>
      </c>
      <c r="D594" s="30">
        <f>"09190350000647"</f>
        <v/>
      </c>
      <c r="E594" s="30" t="inlineStr">
        <is>
          <t>COLNORTE COLETA DE RESIDUOS LTDA</t>
        </is>
      </c>
      <c r="F594" s="40" t="n">
        <v>0</v>
      </c>
      <c r="G594" s="40" t="n">
        <v>0</v>
      </c>
      <c r="H594" s="40" t="n">
        <v>0</v>
      </c>
      <c r="I594" s="40" t="n">
        <v>0</v>
      </c>
      <c r="J594" s="40" t="n">
        <v>0</v>
      </c>
      <c r="K594" s="40" t="n">
        <v>0</v>
      </c>
      <c r="L594" s="40" t="n">
        <v>0</v>
      </c>
    </row>
    <row r="595" ht="12" customHeight="1">
      <c r="A595" s="30" t="inlineStr">
        <is>
          <t>ITG</t>
        </is>
      </c>
      <c r="B595" s="30" t="inlineStr">
        <is>
          <t>Itaguai</t>
        </is>
      </c>
      <c r="C595" s="30" t="n">
        <v>12315813</v>
      </c>
      <c r="D595" s="30">
        <f>"44539540000113"</f>
        <v/>
      </c>
      <c r="E595" s="30" t="inlineStr">
        <is>
          <t>PARADA COSTA VERDE RESTAURANTE E LANCHONETE LTDA</t>
        </is>
      </c>
      <c r="F595" s="40" t="n">
        <v>0</v>
      </c>
      <c r="G595" s="40" t="n">
        <v>0</v>
      </c>
      <c r="H595" s="40" t="n">
        <v>0</v>
      </c>
      <c r="I595" s="40" t="n">
        <v>0</v>
      </c>
      <c r="J595" s="40" t="n">
        <v>0</v>
      </c>
      <c r="K595" s="40" t="n">
        <v>218131.55</v>
      </c>
      <c r="L595" s="40" t="n">
        <v>1905148.12</v>
      </c>
    </row>
    <row r="596" ht="12" customHeight="1">
      <c r="A596" s="30" t="inlineStr">
        <is>
          <t>ITG</t>
        </is>
      </c>
      <c r="B596" s="30" t="inlineStr">
        <is>
          <t>Itaguai</t>
        </is>
      </c>
      <c r="C596" s="30" t="n">
        <v>12320132</v>
      </c>
      <c r="D596" s="30">
        <f>"42584754000348"</f>
        <v/>
      </c>
      <c r="E596" s="30" t="inlineStr">
        <is>
          <t>J&amp;T EXPRESS BRAZIL LTDA.</t>
        </is>
      </c>
      <c r="F596" s="40" t="n">
        <v>0</v>
      </c>
      <c r="G596" s="40" t="n">
        <v>0</v>
      </c>
      <c r="H596" s="40" t="n">
        <v>0</v>
      </c>
      <c r="I596" s="40" t="n">
        <v>0</v>
      </c>
      <c r="J596" s="40" t="n">
        <v>0</v>
      </c>
      <c r="K596" s="40" t="n">
        <v>0</v>
      </c>
      <c r="L596" s="40" t="n">
        <v>203.71</v>
      </c>
    </row>
    <row r="597" ht="12" customHeight="1">
      <c r="A597" s="30" t="inlineStr">
        <is>
          <t>ITG</t>
        </is>
      </c>
      <c r="B597" s="30" t="inlineStr">
        <is>
          <t>Itaguai</t>
        </is>
      </c>
      <c r="C597" s="30" t="n">
        <v>12320442</v>
      </c>
      <c r="D597" s="30">
        <f>"04284184000624"</f>
        <v/>
      </c>
      <c r="E597" s="30" t="inlineStr">
        <is>
          <t>LEMAR LOGISTICA E TRANSPORTES LTDA</t>
        </is>
      </c>
      <c r="F597" s="40" t="n">
        <v>0</v>
      </c>
      <c r="G597" s="40" t="n">
        <v>0</v>
      </c>
      <c r="H597" s="40" t="n">
        <v>0</v>
      </c>
      <c r="I597" s="40" t="n">
        <v>0</v>
      </c>
      <c r="J597" s="40" t="n">
        <v>0</v>
      </c>
      <c r="K597" s="40" t="n">
        <v>0</v>
      </c>
      <c r="L597" s="40" t="n">
        <v>0</v>
      </c>
    </row>
    <row r="598" ht="12" customHeight="1">
      <c r="A598" s="30" t="inlineStr">
        <is>
          <t>ITG</t>
        </is>
      </c>
      <c r="B598" s="30" t="inlineStr">
        <is>
          <t>Itaguai</t>
        </is>
      </c>
      <c r="C598" s="30" t="n">
        <v>12324898</v>
      </c>
      <c r="D598" s="30">
        <f>"32814250000232"</f>
        <v/>
      </c>
      <c r="E598" s="30" t="inlineStr">
        <is>
          <t>ENECON SELECT COMERCIO DE RESINAS DE ALTA PERFORMANCE E SERVICOS</t>
        </is>
      </c>
      <c r="F598" s="40" t="n">
        <v>0</v>
      </c>
      <c r="G598" s="40" t="n">
        <v>0</v>
      </c>
      <c r="H598" s="40" t="n">
        <v>0</v>
      </c>
      <c r="I598" s="40" t="n">
        <v>0</v>
      </c>
      <c r="J598" s="40" t="n">
        <v>0</v>
      </c>
      <c r="K598" s="40" t="n">
        <v>0</v>
      </c>
      <c r="L598" s="40" t="n">
        <v>0</v>
      </c>
    </row>
    <row r="599" ht="12" customHeight="1">
      <c r="A599" s="30" t="inlineStr">
        <is>
          <t>ITG</t>
        </is>
      </c>
      <c r="B599" s="30" t="inlineStr">
        <is>
          <t>Itaguai</t>
        </is>
      </c>
      <c r="C599" s="30" t="n">
        <v>12329970</v>
      </c>
      <c r="D599" s="30">
        <f>"44672154000103"</f>
        <v/>
      </c>
      <c r="E599" s="30" t="inlineStr">
        <is>
          <t>MABA 3 MANIPULA??O FARMAC?UTICA LIMITADA</t>
        </is>
      </c>
      <c r="F599" s="40" t="n">
        <v>0</v>
      </c>
      <c r="G599" s="40" t="n">
        <v>0</v>
      </c>
      <c r="H599" s="40" t="n">
        <v>0</v>
      </c>
      <c r="I599" s="40" t="n">
        <v>0</v>
      </c>
      <c r="J599" s="40" t="n">
        <v>0</v>
      </c>
      <c r="K599" s="40" t="n">
        <v>0</v>
      </c>
      <c r="L599" s="40" t="n">
        <v>0</v>
      </c>
    </row>
    <row r="600" ht="12" customHeight="1">
      <c r="A600" s="30" t="inlineStr">
        <is>
          <t>ITG</t>
        </is>
      </c>
      <c r="B600" s="30" t="inlineStr">
        <is>
          <t>Itaguai</t>
        </is>
      </c>
      <c r="C600" s="30" t="n">
        <v>12335784</v>
      </c>
      <c r="D600" s="30">
        <f>"40154884000153"</f>
        <v/>
      </c>
      <c r="E600" s="30" t="inlineStr">
        <is>
          <t>STARLINK BRAZIL SERVICOS DE INTERNET LTDA.</t>
        </is>
      </c>
      <c r="F600" s="40" t="n">
        <v>0</v>
      </c>
      <c r="G600" s="40" t="n">
        <v>0</v>
      </c>
      <c r="H600" s="40" t="n">
        <v>0</v>
      </c>
      <c r="I600" s="40" t="n">
        <v>0</v>
      </c>
      <c r="J600" s="40" t="n">
        <v>0</v>
      </c>
      <c r="K600" s="40" t="n">
        <v>0</v>
      </c>
      <c r="L600" s="40" t="n">
        <v>35319.39</v>
      </c>
    </row>
    <row r="601" ht="12" customHeight="1">
      <c r="A601" s="30" t="inlineStr">
        <is>
          <t>ITG</t>
        </is>
      </c>
      <c r="B601" s="30" t="inlineStr">
        <is>
          <t>Itaguai</t>
        </is>
      </c>
      <c r="C601" s="30" t="n">
        <v>12342012</v>
      </c>
      <c r="D601" s="30">
        <f>"44816749000187"</f>
        <v/>
      </c>
      <c r="E601" s="30" t="inlineStr">
        <is>
          <t>NOVA OESTE DIESEL LTDA</t>
        </is>
      </c>
      <c r="F601" s="40" t="n">
        <v>0</v>
      </c>
      <c r="G601" s="40" t="n">
        <v>0</v>
      </c>
      <c r="H601" s="40" t="n">
        <v>0</v>
      </c>
      <c r="I601" s="40" t="n">
        <v>0</v>
      </c>
      <c r="J601" s="40" t="n">
        <v>0</v>
      </c>
      <c r="K601" s="40" t="n">
        <v>0</v>
      </c>
      <c r="L601" s="40" t="n">
        <v>1198217.4</v>
      </c>
    </row>
    <row r="602" ht="12" customHeight="1">
      <c r="A602" s="30" t="inlineStr">
        <is>
          <t>ITG</t>
        </is>
      </c>
      <c r="B602" s="30" t="inlineStr">
        <is>
          <t>Itaguai</t>
        </is>
      </c>
      <c r="C602" s="30" t="n">
        <v>12343140</v>
      </c>
      <c r="D602" s="30">
        <f>"24230747065140"</f>
        <v/>
      </c>
      <c r="E602" s="30" t="inlineStr">
        <is>
          <t>MAGALU LOG SERVICOS LOGISTICOS LTDA</t>
        </is>
      </c>
      <c r="F602" s="40" t="n">
        <v>0</v>
      </c>
      <c r="G602" s="40" t="n">
        <v>0</v>
      </c>
      <c r="H602" s="40" t="n">
        <v>0</v>
      </c>
      <c r="I602" s="40" t="n">
        <v>0</v>
      </c>
      <c r="J602" s="40" t="n">
        <v>0</v>
      </c>
      <c r="K602" s="40" t="n">
        <v>0</v>
      </c>
      <c r="L602" s="40" t="n">
        <v>0</v>
      </c>
    </row>
    <row r="603" ht="12" customHeight="1">
      <c r="A603" s="30" t="inlineStr">
        <is>
          <t>ITG</t>
        </is>
      </c>
      <c r="B603" s="30" t="inlineStr">
        <is>
          <t>Itaguai</t>
        </is>
      </c>
      <c r="C603" s="30" t="n">
        <v>12346484</v>
      </c>
      <c r="D603" s="30">
        <f>"44915444000122"</f>
        <v/>
      </c>
      <c r="E603" s="30" t="inlineStr">
        <is>
          <t>L.R.A IND?STRIA E COM?RCIO DE FERRO E A?O LTDA</t>
        </is>
      </c>
      <c r="F603" s="40" t="n">
        <v>0</v>
      </c>
      <c r="G603" s="40" t="n">
        <v>0</v>
      </c>
      <c r="H603" s="40" t="n">
        <v>0</v>
      </c>
      <c r="I603" s="40" t="n">
        <v>0</v>
      </c>
      <c r="J603" s="40" t="n">
        <v>0</v>
      </c>
      <c r="K603" s="40" t="n">
        <v>305654.37</v>
      </c>
      <c r="L603" s="40" t="n">
        <v>1450323.96</v>
      </c>
    </row>
    <row r="604" ht="12" customHeight="1">
      <c r="A604" s="30" t="inlineStr">
        <is>
          <t>ITG</t>
        </is>
      </c>
      <c r="B604" s="30" t="inlineStr">
        <is>
          <t>Itaguai</t>
        </is>
      </c>
      <c r="C604" s="30" t="n">
        <v>12350627</v>
      </c>
      <c r="D604" s="30">
        <f>"40217234000533"</f>
        <v/>
      </c>
      <c r="E604" s="30" t="inlineStr">
        <is>
          <t>SIBELLY TRANSPORTES LTDA</t>
        </is>
      </c>
      <c r="F604" s="40" t="n">
        <v>0</v>
      </c>
      <c r="G604" s="40" t="n">
        <v>0</v>
      </c>
      <c r="H604" s="40" t="n">
        <v>0</v>
      </c>
      <c r="I604" s="40" t="n">
        <v>0</v>
      </c>
      <c r="J604" s="40" t="n">
        <v>0</v>
      </c>
      <c r="K604" s="40" t="n">
        <v>0</v>
      </c>
      <c r="L604" s="40" t="n">
        <v>0</v>
      </c>
    </row>
    <row r="605" ht="12" customHeight="1">
      <c r="A605" s="30" t="inlineStr">
        <is>
          <t>ITG</t>
        </is>
      </c>
      <c r="B605" s="30" t="inlineStr">
        <is>
          <t>Itaguai</t>
        </is>
      </c>
      <c r="C605" s="30" t="n">
        <v>12358377</v>
      </c>
      <c r="D605" s="30">
        <f>"22320881001990"</f>
        <v/>
      </c>
      <c r="E605" s="30" t="inlineStr">
        <is>
          <t>TRADIMAQ LTDA</t>
        </is>
      </c>
      <c r="F605" s="40" t="n">
        <v>0</v>
      </c>
      <c r="G605" s="40" t="n">
        <v>0</v>
      </c>
      <c r="H605" s="40" t="n">
        <v>0</v>
      </c>
      <c r="I605" s="40" t="n">
        <v>0</v>
      </c>
      <c r="J605" s="40" t="n">
        <v>0</v>
      </c>
      <c r="K605" s="40" t="n">
        <v>37603.59</v>
      </c>
      <c r="L605" s="40" t="n">
        <v>0</v>
      </c>
    </row>
    <row r="606" ht="12" customHeight="1">
      <c r="A606" s="30" t="inlineStr">
        <is>
          <t>ITG</t>
        </is>
      </c>
      <c r="B606" s="30" t="inlineStr">
        <is>
          <t>Itaguai</t>
        </is>
      </c>
      <c r="C606" s="30" t="n">
        <v>12362498</v>
      </c>
      <c r="D606" s="30">
        <f>"15032773000470"</f>
        <v/>
      </c>
      <c r="E606" s="30" t="inlineStr">
        <is>
          <t>YESCO ADMINISTRADORA DE BENS S/A.</t>
        </is>
      </c>
      <c r="F606" s="40" t="n">
        <v>0</v>
      </c>
      <c r="G606" s="40" t="n">
        <v>0</v>
      </c>
      <c r="H606" s="40" t="n">
        <v>0</v>
      </c>
      <c r="I606" s="40" t="n">
        <v>0</v>
      </c>
      <c r="J606" s="40" t="n">
        <v>0</v>
      </c>
      <c r="K606" s="40" t="n">
        <v>0</v>
      </c>
      <c r="L606" s="40" t="n">
        <v>31959.35</v>
      </c>
    </row>
    <row r="607" ht="12" customHeight="1">
      <c r="A607" s="30" t="inlineStr">
        <is>
          <t>ITG</t>
        </is>
      </c>
      <c r="B607" s="30" t="inlineStr">
        <is>
          <t>Itaguai</t>
        </is>
      </c>
      <c r="C607" s="30" t="n">
        <v>12367384</v>
      </c>
      <c r="D607" s="30">
        <f>"45146184000130"</f>
        <v/>
      </c>
      <c r="E607" s="30" t="inlineStr">
        <is>
          <t>SUPERMERCADO HESED LTDA</t>
        </is>
      </c>
      <c r="F607" s="40" t="n">
        <v>0</v>
      </c>
      <c r="G607" s="40" t="n">
        <v>0</v>
      </c>
      <c r="H607" s="40" t="n">
        <v>0</v>
      </c>
      <c r="I607" s="40" t="n">
        <v>0</v>
      </c>
      <c r="J607" s="40" t="n">
        <v>0</v>
      </c>
      <c r="K607" s="40" t="n">
        <v>561271.4399999999</v>
      </c>
      <c r="L607" s="40" t="n">
        <v>0</v>
      </c>
    </row>
    <row r="608" ht="12" customHeight="1">
      <c r="A608" s="30" t="inlineStr">
        <is>
          <t>ITG</t>
        </is>
      </c>
      <c r="B608" s="30" t="inlineStr">
        <is>
          <t>Itaguai</t>
        </is>
      </c>
      <c r="C608" s="30" t="n">
        <v>12367660</v>
      </c>
      <c r="D608" s="30">
        <f>"00012339368758"</f>
        <v/>
      </c>
      <c r="E608" s="30" t="inlineStr">
        <is>
          <t>WILLIAM SHIOSE ALVES MOREIRA</t>
        </is>
      </c>
      <c r="F608" s="40" t="n">
        <v>0</v>
      </c>
      <c r="G608" s="40" t="n">
        <v>0</v>
      </c>
      <c r="H608" s="40" t="n">
        <v>0</v>
      </c>
      <c r="I608" s="40" t="n">
        <v>0</v>
      </c>
      <c r="J608" s="40" t="n">
        <v>0</v>
      </c>
      <c r="K608" s="40" t="n">
        <v>0</v>
      </c>
      <c r="L608" s="40" t="n">
        <v>0</v>
      </c>
    </row>
    <row r="609" ht="12" customHeight="1">
      <c r="A609" s="30" t="inlineStr">
        <is>
          <t>ITG</t>
        </is>
      </c>
      <c r="B609" s="30" t="inlineStr">
        <is>
          <t>Itaguai</t>
        </is>
      </c>
      <c r="C609" s="30" t="n">
        <v>12377290</v>
      </c>
      <c r="D609" s="30">
        <f>"14011425006222"</f>
        <v/>
      </c>
      <c r="E609" s="30" t="inlineStr">
        <is>
          <t>SISTEMA ELITE DE ENSINO S A</t>
        </is>
      </c>
      <c r="F609" s="40" t="n">
        <v>0</v>
      </c>
      <c r="G609" s="40" t="n">
        <v>0</v>
      </c>
      <c r="H609" s="40" t="n">
        <v>0</v>
      </c>
      <c r="I609" s="40" t="n">
        <v>0</v>
      </c>
      <c r="J609" s="40" t="n">
        <v>0</v>
      </c>
      <c r="K609" s="40" t="n">
        <v>0</v>
      </c>
      <c r="L609" s="40" t="n">
        <v>0</v>
      </c>
    </row>
    <row r="610" ht="12" customHeight="1">
      <c r="A610" s="30" t="inlineStr">
        <is>
          <t>ITG</t>
        </is>
      </c>
      <c r="B610" s="30" t="inlineStr">
        <is>
          <t>Itaguai</t>
        </is>
      </c>
      <c r="C610" s="30" t="n">
        <v>12393628</v>
      </c>
      <c r="D610" s="30">
        <f>"45452781000193"</f>
        <v/>
      </c>
      <c r="E610" s="30" t="inlineStr">
        <is>
          <t>BW ESTOFADOS E CAPOTARIA LTDA</t>
        </is>
      </c>
      <c r="F610" s="40" t="n">
        <v>0</v>
      </c>
      <c r="G610" s="40" t="n">
        <v>0</v>
      </c>
      <c r="H610" s="40" t="n">
        <v>0</v>
      </c>
      <c r="I610" s="40" t="n">
        <v>0</v>
      </c>
      <c r="J610" s="40" t="n">
        <v>0</v>
      </c>
      <c r="K610" s="40" t="n">
        <v>116164.25</v>
      </c>
      <c r="L610" s="40" t="n">
        <v>0</v>
      </c>
    </row>
    <row r="611" ht="12" customHeight="1">
      <c r="A611" s="30" t="inlineStr">
        <is>
          <t>ITG</t>
        </is>
      </c>
      <c r="B611" s="30" t="inlineStr">
        <is>
          <t>Itaguai</t>
        </is>
      </c>
      <c r="C611" s="30" t="n">
        <v>12404255</v>
      </c>
      <c r="D611" s="30">
        <f>"45605428000104"</f>
        <v/>
      </c>
      <c r="E611" s="30" t="inlineStr">
        <is>
          <t>IGUAT? - DISTRIBUIDORA DE AREIA E PRODUTOS MINERAIS LTDA</t>
        </is>
      </c>
      <c r="F611" s="40" t="n">
        <v>0</v>
      </c>
      <c r="G611" s="40" t="n">
        <v>0</v>
      </c>
      <c r="H611" s="40" t="n">
        <v>0</v>
      </c>
      <c r="I611" s="40" t="n">
        <v>0</v>
      </c>
      <c r="J611" s="40" t="n">
        <v>0</v>
      </c>
      <c r="K611" s="40" t="n">
        <v>0</v>
      </c>
      <c r="L611" s="40" t="n">
        <v>1151855.35</v>
      </c>
    </row>
    <row r="612" ht="12" customHeight="1">
      <c r="A612" s="30" t="inlineStr">
        <is>
          <t>ITG</t>
        </is>
      </c>
      <c r="B612" s="30" t="inlineStr">
        <is>
          <t>Itaguai</t>
        </is>
      </c>
      <c r="C612" s="30" t="n">
        <v>12405260</v>
      </c>
      <c r="D612" s="30">
        <f>"45644331000100"</f>
        <v/>
      </c>
      <c r="E612" s="30" t="inlineStr">
        <is>
          <t>SHARP TRANSPORTE E SERVICO LTDA</t>
        </is>
      </c>
      <c r="F612" s="40" t="n">
        <v>0</v>
      </c>
      <c r="G612" s="40" t="n">
        <v>0</v>
      </c>
      <c r="H612" s="40" t="n">
        <v>0</v>
      </c>
      <c r="I612" s="40" t="n">
        <v>0</v>
      </c>
      <c r="J612" s="40" t="n">
        <v>0</v>
      </c>
      <c r="K612" s="40" t="n">
        <v>0</v>
      </c>
      <c r="L612" s="40" t="n">
        <v>0</v>
      </c>
    </row>
    <row r="613" ht="12" customHeight="1">
      <c r="A613" s="30" t="inlineStr">
        <is>
          <t>ITG</t>
        </is>
      </c>
      <c r="B613" s="30" t="inlineStr">
        <is>
          <t>Itaguai</t>
        </is>
      </c>
      <c r="C613" s="30" t="n">
        <v>12407505</v>
      </c>
      <c r="D613" s="30">
        <f>"00072100346768"</f>
        <v/>
      </c>
      <c r="E613" s="30" t="inlineStr">
        <is>
          <t>PAULO ROBERTO MONTEIRO DA SILVA</t>
        </is>
      </c>
      <c r="F613" s="40" t="n">
        <v>0</v>
      </c>
      <c r="G613" s="40" t="n">
        <v>0</v>
      </c>
      <c r="H613" s="40" t="n">
        <v>0</v>
      </c>
      <c r="I613" s="40" t="n">
        <v>0</v>
      </c>
      <c r="J613" s="40" t="n">
        <v>0</v>
      </c>
      <c r="K613" s="40" t="n">
        <v>35655.2</v>
      </c>
      <c r="L613" s="40" t="n">
        <v>142285.6</v>
      </c>
    </row>
    <row r="614" ht="12" customHeight="1">
      <c r="A614" s="30" t="inlineStr">
        <is>
          <t>ITG</t>
        </is>
      </c>
      <c r="B614" s="30" t="inlineStr">
        <is>
          <t>Itaguai</t>
        </is>
      </c>
      <c r="C614" s="30" t="n">
        <v>12417900</v>
      </c>
      <c r="D614" s="30">
        <f>"42446277000354"</f>
        <v/>
      </c>
      <c r="E614" s="30" t="inlineStr">
        <is>
          <t>SHPX LOGISTICA LTDA.</t>
        </is>
      </c>
      <c r="F614" s="40" t="n">
        <v>0</v>
      </c>
      <c r="G614" s="40" t="n">
        <v>0</v>
      </c>
      <c r="H614" s="40" t="n">
        <v>0</v>
      </c>
      <c r="I614" s="40" t="n">
        <v>0</v>
      </c>
      <c r="J614" s="40" t="n">
        <v>0</v>
      </c>
      <c r="K614" s="40" t="n">
        <v>2081.81</v>
      </c>
      <c r="L614" s="40" t="n">
        <v>16846.47</v>
      </c>
    </row>
    <row r="615" ht="12" customHeight="1">
      <c r="A615" s="30" t="inlineStr">
        <is>
          <t>ITG</t>
        </is>
      </c>
      <c r="B615" s="30" t="inlineStr">
        <is>
          <t>Itaguai</t>
        </is>
      </c>
      <c r="C615" s="30" t="n">
        <v>12419023</v>
      </c>
      <c r="D615" s="30">
        <f>"43715380000153"</f>
        <v/>
      </c>
      <c r="E615" s="30" t="inlineStr">
        <is>
          <t>S?TIOS AGROFLORESTAIS EM ITAGUA? LTDA</t>
        </is>
      </c>
      <c r="F615" s="40" t="n">
        <v>0</v>
      </c>
      <c r="G615" s="40" t="n">
        <v>0</v>
      </c>
      <c r="H615" s="40" t="n">
        <v>0</v>
      </c>
      <c r="I615" s="40" t="n">
        <v>0</v>
      </c>
      <c r="J615" s="40" t="n">
        <v>0</v>
      </c>
      <c r="K615" s="40" t="n">
        <v>0</v>
      </c>
      <c r="L615" s="40" t="n">
        <v>0</v>
      </c>
    </row>
    <row r="616" ht="12" customHeight="1">
      <c r="A616" s="30" t="inlineStr">
        <is>
          <t>ITG</t>
        </is>
      </c>
      <c r="B616" s="30" t="inlineStr">
        <is>
          <t>Itaguai</t>
        </is>
      </c>
      <c r="C616" s="30" t="n">
        <v>12422300</v>
      </c>
      <c r="D616" s="30">
        <f>"25426688000440"</f>
        <v/>
      </c>
      <c r="E616" s="30" t="inlineStr">
        <is>
          <t>TELHAS CAMPINHO DE CAMPO GRANDE LTDA EPP</t>
        </is>
      </c>
      <c r="F616" s="40" t="n">
        <v>0</v>
      </c>
      <c r="G616" s="40" t="n">
        <v>0</v>
      </c>
      <c r="H616" s="40" t="n">
        <v>0</v>
      </c>
      <c r="I616" s="40" t="n">
        <v>0</v>
      </c>
      <c r="J616" s="40" t="n">
        <v>0</v>
      </c>
      <c r="K616" s="40" t="n">
        <v>1246368.98</v>
      </c>
      <c r="L616" s="40" t="n">
        <v>0</v>
      </c>
    </row>
    <row r="617" ht="12" customHeight="1">
      <c r="A617" s="30" t="inlineStr">
        <is>
          <t>ITG</t>
        </is>
      </c>
      <c r="B617" s="30" t="inlineStr">
        <is>
          <t>Itaguai</t>
        </is>
      </c>
      <c r="C617" s="30" t="n">
        <v>12428910</v>
      </c>
      <c r="D617" s="30">
        <f>"45909881000104"</f>
        <v/>
      </c>
      <c r="E617" s="30" t="inlineStr">
        <is>
          <t>MULTI ITAGUA? MERCADO LTDA</t>
        </is>
      </c>
      <c r="F617" s="40" t="n">
        <v>0</v>
      </c>
      <c r="G617" s="40" t="n">
        <v>0</v>
      </c>
      <c r="H617" s="40" t="n">
        <v>0</v>
      </c>
      <c r="I617" s="40" t="n">
        <v>0</v>
      </c>
      <c r="J617" s="40" t="n">
        <v>0</v>
      </c>
      <c r="K617" s="40" t="n">
        <v>3503054.7</v>
      </c>
      <c r="L617" s="40" t="n">
        <v>7167439.98</v>
      </c>
    </row>
    <row r="618" ht="12" customHeight="1">
      <c r="A618" s="30" t="inlineStr">
        <is>
          <t>ITG</t>
        </is>
      </c>
      <c r="B618" s="30" t="inlineStr">
        <is>
          <t>Itaguai</t>
        </is>
      </c>
      <c r="C618" s="30" t="n">
        <v>12429304</v>
      </c>
      <c r="D618" s="30">
        <f>"00002733866702"</f>
        <v/>
      </c>
      <c r="E618" s="30" t="inlineStr">
        <is>
          <t>MARIA LAUREN?O MORITA</t>
        </is>
      </c>
      <c r="F618" s="40" t="n">
        <v>0</v>
      </c>
      <c r="G618" s="40" t="n">
        <v>0</v>
      </c>
      <c r="H618" s="40" t="n">
        <v>0</v>
      </c>
      <c r="I618" s="40" t="n">
        <v>0</v>
      </c>
      <c r="J618" s="40" t="n">
        <v>0</v>
      </c>
      <c r="K618" s="40" t="n">
        <v>15336.34</v>
      </c>
      <c r="L618" s="40" t="n">
        <v>17728.03</v>
      </c>
    </row>
    <row r="619" ht="12" customHeight="1">
      <c r="A619" s="30" t="inlineStr">
        <is>
          <t>ITG</t>
        </is>
      </c>
      <c r="B619" s="30" t="inlineStr">
        <is>
          <t>Itaguai</t>
        </is>
      </c>
      <c r="C619" s="30" t="n">
        <v>12436912</v>
      </c>
      <c r="D619" s="30">
        <f>"34336348000176"</f>
        <v/>
      </c>
      <c r="E619" s="30" t="inlineStr">
        <is>
          <t>R F FARMACIA DO CAMPO LTDA</t>
        </is>
      </c>
      <c r="F619" s="40" t="n">
        <v>0</v>
      </c>
      <c r="G619" s="40" t="n">
        <v>0</v>
      </c>
      <c r="H619" s="40" t="n">
        <v>0</v>
      </c>
      <c r="I619" s="40" t="n">
        <v>0</v>
      </c>
      <c r="J619" s="40" t="n">
        <v>0</v>
      </c>
      <c r="K619" s="40" t="n">
        <v>0</v>
      </c>
      <c r="L619" s="40" t="n">
        <v>0</v>
      </c>
    </row>
    <row r="620" ht="12" customHeight="1">
      <c r="A620" s="30" t="inlineStr">
        <is>
          <t>ITG</t>
        </is>
      </c>
      <c r="B620" s="30" t="inlineStr">
        <is>
          <t>Itaguai</t>
        </is>
      </c>
      <c r="C620" s="30" t="n">
        <v>12437811</v>
      </c>
      <c r="D620" s="30">
        <f>"32324737000237"</f>
        <v/>
      </c>
      <c r="E620" s="30" t="inlineStr">
        <is>
          <t>SUPER PET COM?RCIO DE RACOES LTDA</t>
        </is>
      </c>
      <c r="F620" s="40" t="n">
        <v>0</v>
      </c>
      <c r="G620" s="40" t="n">
        <v>0</v>
      </c>
      <c r="H620" s="40" t="n">
        <v>0</v>
      </c>
      <c r="I620" s="40" t="n">
        <v>0</v>
      </c>
      <c r="J620" s="40" t="n">
        <v>0</v>
      </c>
      <c r="K620" s="40" t="n">
        <v>0</v>
      </c>
      <c r="L620" s="40" t="n">
        <v>1377159.68</v>
      </c>
    </row>
    <row r="621" ht="12" customHeight="1">
      <c r="A621" s="30" t="inlineStr">
        <is>
          <t>ITG</t>
        </is>
      </c>
      <c r="B621" s="30" t="inlineStr">
        <is>
          <t>Itaguai</t>
        </is>
      </c>
      <c r="C621" s="30" t="n">
        <v>12480113</v>
      </c>
      <c r="D621" s="30">
        <f>"46511072000102"</f>
        <v/>
      </c>
      <c r="E621" s="30" t="inlineStr">
        <is>
          <t>F.C.A IND?STRIA E COM?RCIO DE FERRO E A?O LTDA</t>
        </is>
      </c>
      <c r="F621" s="40" t="n">
        <v>0</v>
      </c>
      <c r="G621" s="40" t="n">
        <v>0</v>
      </c>
      <c r="H621" s="40" t="n">
        <v>0</v>
      </c>
      <c r="I621" s="40" t="n">
        <v>0</v>
      </c>
      <c r="J621" s="40" t="n">
        <v>0</v>
      </c>
      <c r="K621" s="40" t="n">
        <v>0</v>
      </c>
      <c r="L621" s="40" t="n">
        <v>0</v>
      </c>
    </row>
    <row r="622" ht="12" customHeight="1">
      <c r="A622" s="30" t="inlineStr">
        <is>
          <t>ITG</t>
        </is>
      </c>
      <c r="B622" s="30" t="inlineStr">
        <is>
          <t>Itaguai</t>
        </is>
      </c>
      <c r="C622" s="30" t="n">
        <v>12489790</v>
      </c>
      <c r="D622" s="30">
        <f>"43854903000223"</f>
        <v/>
      </c>
      <c r="E622" s="30" t="inlineStr">
        <is>
          <t>KARPOWERSHIP BRASIL ENERGIA LTDA.</t>
        </is>
      </c>
      <c r="F622" s="40" t="n">
        <v>0</v>
      </c>
      <c r="G622" s="40" t="n">
        <v>0</v>
      </c>
      <c r="H622" s="40" t="n">
        <v>0</v>
      </c>
      <c r="I622" s="40" t="n">
        <v>0</v>
      </c>
      <c r="J622" s="40" t="n">
        <v>0</v>
      </c>
      <c r="K622" s="40" t="n">
        <v>0</v>
      </c>
      <c r="L622" s="40" t="n">
        <v>0</v>
      </c>
    </row>
    <row r="623" ht="12" customHeight="1">
      <c r="A623" s="30" t="inlineStr">
        <is>
          <t>ITG</t>
        </is>
      </c>
      <c r="B623" s="30" t="inlineStr">
        <is>
          <t>Itaguai</t>
        </is>
      </c>
      <c r="C623" s="30" t="n">
        <v>12499051</v>
      </c>
      <c r="D623" s="30">
        <f>"61585865298380"</f>
        <v/>
      </c>
      <c r="E623" s="30" t="inlineStr">
        <is>
          <t>RAIA DROGASIL S/A</t>
        </is>
      </c>
      <c r="F623" s="40" t="n">
        <v>0</v>
      </c>
      <c r="G623" s="40" t="n">
        <v>0</v>
      </c>
      <c r="H623" s="40" t="n">
        <v>0</v>
      </c>
      <c r="I623" s="40" t="n">
        <v>0</v>
      </c>
      <c r="J623" s="40" t="n">
        <v>0</v>
      </c>
      <c r="K623" s="40" t="n">
        <v>400343.46</v>
      </c>
      <c r="L623" s="40" t="n">
        <v>2189866.93</v>
      </c>
    </row>
    <row r="624" ht="12" customHeight="1">
      <c r="A624" s="30" t="inlineStr">
        <is>
          <t>ITG</t>
        </is>
      </c>
      <c r="B624" s="30" t="inlineStr">
        <is>
          <t>Itaguai</t>
        </is>
      </c>
      <c r="C624" s="30" t="n">
        <v>12499515</v>
      </c>
      <c r="D624" s="30">
        <f>"44268105000282"</f>
        <v/>
      </c>
      <c r="E624" s="30" t="inlineStr">
        <is>
          <t>AGROPECUARIA SANTA LUZIA LTDA</t>
        </is>
      </c>
      <c r="F624" s="40" t="n">
        <v>0</v>
      </c>
      <c r="G624" s="40" t="n">
        <v>0</v>
      </c>
      <c r="H624" s="40" t="n">
        <v>0</v>
      </c>
      <c r="I624" s="40" t="n">
        <v>0</v>
      </c>
      <c r="J624" s="40" t="n">
        <v>0</v>
      </c>
      <c r="K624" s="40" t="n">
        <v>0</v>
      </c>
      <c r="L624" s="40" t="n">
        <v>0</v>
      </c>
    </row>
    <row r="625" ht="12" customHeight="1">
      <c r="A625" s="30" t="inlineStr">
        <is>
          <t>ITG</t>
        </is>
      </c>
      <c r="B625" s="30" t="inlineStr">
        <is>
          <t>Itaguai</t>
        </is>
      </c>
      <c r="C625" s="30" t="n">
        <v>12501102</v>
      </c>
      <c r="D625" s="30">
        <f>"52548435026720"</f>
        <v/>
      </c>
      <c r="E625" s="30" t="inlineStr">
        <is>
          <t>JSL S/A</t>
        </is>
      </c>
      <c r="F625" s="40" t="n">
        <v>0</v>
      </c>
      <c r="G625" s="40" t="n">
        <v>0</v>
      </c>
      <c r="H625" s="40" t="n">
        <v>0</v>
      </c>
      <c r="I625" s="40" t="n">
        <v>0</v>
      </c>
      <c r="J625" s="40" t="n">
        <v>0</v>
      </c>
      <c r="K625" s="40" t="n">
        <v>0</v>
      </c>
      <c r="L625" s="40" t="n">
        <v>844.54</v>
      </c>
    </row>
    <row r="626" ht="12" customHeight="1">
      <c r="A626" s="30" t="inlineStr">
        <is>
          <t>ITG</t>
        </is>
      </c>
      <c r="B626" s="30" t="inlineStr">
        <is>
          <t>Itaguai</t>
        </is>
      </c>
      <c r="C626" s="30" t="n">
        <v>12501498</v>
      </c>
      <c r="D626" s="30">
        <f>"46712937000190"</f>
        <v/>
      </c>
      <c r="E626" s="30" t="inlineStr">
        <is>
          <t>DIAS COMPRA E VENDA DE VEICULOS LTDA</t>
        </is>
      </c>
      <c r="F626" s="40" t="n">
        <v>0</v>
      </c>
      <c r="G626" s="40" t="n">
        <v>0</v>
      </c>
      <c r="H626" s="40" t="n">
        <v>0</v>
      </c>
      <c r="I626" s="40" t="n">
        <v>0</v>
      </c>
      <c r="J626" s="40" t="n">
        <v>0</v>
      </c>
      <c r="K626" s="40" t="n">
        <v>0</v>
      </c>
      <c r="L626" s="40" t="n">
        <v>0</v>
      </c>
    </row>
    <row r="627" ht="12" customHeight="1">
      <c r="A627" s="30" t="inlineStr">
        <is>
          <t>ITG</t>
        </is>
      </c>
      <c r="B627" s="30" t="inlineStr">
        <is>
          <t>Itaguai</t>
        </is>
      </c>
      <c r="C627" s="30" t="n">
        <v>12515880</v>
      </c>
      <c r="D627" s="30">
        <f>"40299810045125"</f>
        <v/>
      </c>
      <c r="E627" s="30" t="inlineStr">
        <is>
          <t>AM/PM COMESTIVEIS LTDA</t>
        </is>
      </c>
      <c r="F627" s="40" t="n">
        <v>0</v>
      </c>
      <c r="G627" s="40" t="n">
        <v>0</v>
      </c>
      <c r="H627" s="40" t="n">
        <v>0</v>
      </c>
      <c r="I627" s="40" t="n">
        <v>0</v>
      </c>
      <c r="J627" s="40" t="n">
        <v>0</v>
      </c>
      <c r="K627" s="40" t="n">
        <v>271268.18</v>
      </c>
      <c r="L627" s="40" t="n">
        <v>486416.51</v>
      </c>
    </row>
    <row r="628" ht="12" customHeight="1">
      <c r="A628" s="30" t="inlineStr">
        <is>
          <t>ITG</t>
        </is>
      </c>
      <c r="B628" s="30" t="inlineStr">
        <is>
          <t>Itaguai</t>
        </is>
      </c>
      <c r="C628" s="30" t="n">
        <v>12520530</v>
      </c>
      <c r="D628" s="30">
        <f>"46871628000163"</f>
        <v/>
      </c>
      <c r="E628" s="30" t="inlineStr">
        <is>
          <t>XATE GEN ARRENDAMENTO DE SISTEMAS FOTOVOLTAICOS LTDA</t>
        </is>
      </c>
      <c r="F628" s="40" t="n">
        <v>0</v>
      </c>
      <c r="G628" s="40" t="n">
        <v>0</v>
      </c>
      <c r="H628" s="40" t="n">
        <v>0</v>
      </c>
      <c r="I628" s="40" t="n">
        <v>0</v>
      </c>
      <c r="J628" s="40" t="n">
        <v>0</v>
      </c>
      <c r="K628" s="40" t="n">
        <v>0</v>
      </c>
      <c r="L628" s="40" t="n">
        <v>0</v>
      </c>
    </row>
    <row r="629" ht="12" customHeight="1">
      <c r="A629" s="30" t="inlineStr">
        <is>
          <t>ITG</t>
        </is>
      </c>
      <c r="B629" s="30" t="inlineStr">
        <is>
          <t>Itaguai</t>
        </is>
      </c>
      <c r="C629" s="30" t="n">
        <v>12528159</v>
      </c>
      <c r="D629" s="30">
        <f>"20209036000430"</f>
        <v/>
      </c>
      <c r="E629" s="30" t="inlineStr">
        <is>
          <t>JEOVA JIREH GESTAO DE ESTOQUE EM LOGISTICA BR LTDA</t>
        </is>
      </c>
      <c r="F629" s="40" t="n">
        <v>0</v>
      </c>
      <c r="G629" s="40" t="n">
        <v>0</v>
      </c>
      <c r="H629" s="40" t="n">
        <v>0</v>
      </c>
      <c r="I629" s="40" t="n">
        <v>0</v>
      </c>
      <c r="J629" s="40" t="n">
        <v>0</v>
      </c>
      <c r="K629" s="40" t="n">
        <v>0</v>
      </c>
      <c r="L629" s="40" t="n">
        <v>0</v>
      </c>
    </row>
    <row r="630" ht="12" customHeight="1">
      <c r="A630" s="30" t="inlineStr">
        <is>
          <t>ITG</t>
        </is>
      </c>
      <c r="B630" s="30" t="inlineStr">
        <is>
          <t>Itaguai</t>
        </is>
      </c>
      <c r="C630" s="30" t="n">
        <v>12541228</v>
      </c>
      <c r="D630" s="30">
        <f>"46869468000118"</f>
        <v/>
      </c>
      <c r="E630" s="30" t="inlineStr">
        <is>
          <t>QTL SERVI?OS LTDA</t>
        </is>
      </c>
      <c r="F630" s="40" t="n">
        <v>0</v>
      </c>
      <c r="G630" s="40" t="n">
        <v>0</v>
      </c>
      <c r="H630" s="40" t="n">
        <v>0</v>
      </c>
      <c r="I630" s="40" t="n">
        <v>0</v>
      </c>
      <c r="J630" s="40" t="n">
        <v>0</v>
      </c>
      <c r="K630" s="40" t="n">
        <v>0</v>
      </c>
      <c r="L630" s="40" t="n">
        <v>236962.71</v>
      </c>
    </row>
    <row r="631" ht="12" customHeight="1">
      <c r="A631" s="30" t="inlineStr">
        <is>
          <t>ITG</t>
        </is>
      </c>
      <c r="B631" s="30" t="inlineStr">
        <is>
          <t>Itaguai</t>
        </is>
      </c>
      <c r="C631" s="30" t="n">
        <v>12546440</v>
      </c>
      <c r="D631" s="30">
        <f>"42446277002306"</f>
        <v/>
      </c>
      <c r="E631" s="30" t="inlineStr">
        <is>
          <t>SHPX LOGISTICA LTDA.</t>
        </is>
      </c>
      <c r="F631" s="40" t="n">
        <v>0</v>
      </c>
      <c r="G631" s="40" t="n">
        <v>0</v>
      </c>
      <c r="H631" s="40" t="n">
        <v>0</v>
      </c>
      <c r="I631" s="40" t="n">
        <v>0</v>
      </c>
      <c r="J631" s="40" t="n">
        <v>0</v>
      </c>
      <c r="K631" s="40" t="n">
        <v>0</v>
      </c>
      <c r="L631" s="40" t="n">
        <v>1688.46</v>
      </c>
    </row>
    <row r="632" ht="12" customHeight="1">
      <c r="A632" s="30" t="inlineStr">
        <is>
          <t>ITG</t>
        </is>
      </c>
      <c r="B632" s="30" t="inlineStr">
        <is>
          <t>Itaguai</t>
        </is>
      </c>
      <c r="C632" s="30" t="n">
        <v>12549830</v>
      </c>
      <c r="D632" s="30">
        <f>"00054025249049"</f>
        <v/>
      </c>
      <c r="E632" s="30" t="inlineStr">
        <is>
          <t>CLAUDIO LUIS BUENO DO NASCIMENTO</t>
        </is>
      </c>
      <c r="F632" s="40" t="n">
        <v>0</v>
      </c>
      <c r="G632" s="40" t="n">
        <v>0</v>
      </c>
      <c r="H632" s="40" t="n">
        <v>0</v>
      </c>
      <c r="I632" s="40" t="n">
        <v>0</v>
      </c>
      <c r="J632" s="40" t="n">
        <v>0</v>
      </c>
      <c r="K632" s="40" t="n">
        <v>36000</v>
      </c>
      <c r="L632" s="40" t="n">
        <v>0</v>
      </c>
    </row>
    <row r="633" ht="12" customHeight="1">
      <c r="A633" s="30" t="inlineStr">
        <is>
          <t>ITG</t>
        </is>
      </c>
      <c r="B633" s="30" t="inlineStr">
        <is>
          <t>Itaguai</t>
        </is>
      </c>
      <c r="C633" s="30" t="n">
        <v>12562063</v>
      </c>
      <c r="D633" s="30">
        <f>"08686200000313"</f>
        <v/>
      </c>
      <c r="E633" s="30" t="inlineStr">
        <is>
          <t>ASTM TRANSPORTES E LOCACAO DE VEICULOS LTDA</t>
        </is>
      </c>
      <c r="F633" s="40" t="n">
        <v>0</v>
      </c>
      <c r="G633" s="40" t="n">
        <v>0</v>
      </c>
      <c r="H633" s="40" t="n">
        <v>0</v>
      </c>
      <c r="I633" s="40" t="n">
        <v>0</v>
      </c>
      <c r="J633" s="40" t="n">
        <v>0</v>
      </c>
      <c r="K633" s="40" t="n">
        <v>196.27</v>
      </c>
      <c r="L633" s="40" t="n">
        <v>0</v>
      </c>
    </row>
    <row r="634" ht="12" customHeight="1">
      <c r="A634" s="30" t="inlineStr">
        <is>
          <t>ITG</t>
        </is>
      </c>
      <c r="B634" s="30" t="inlineStr">
        <is>
          <t>Itaguai</t>
        </is>
      </c>
      <c r="C634" s="30" t="n">
        <v>12579446</v>
      </c>
      <c r="D634" s="30">
        <f>"77649283002256"</f>
        <v/>
      </c>
      <c r="E634" s="30" t="inlineStr">
        <is>
          <t>RODOJUNIOR TRANSPORTES LTDA</t>
        </is>
      </c>
      <c r="F634" s="40" t="n">
        <v>0</v>
      </c>
      <c r="G634" s="40" t="n">
        <v>0</v>
      </c>
      <c r="H634" s="40" t="n">
        <v>0</v>
      </c>
      <c r="I634" s="40" t="n">
        <v>0</v>
      </c>
      <c r="J634" s="40" t="n">
        <v>0</v>
      </c>
      <c r="K634" s="40" t="n">
        <v>0</v>
      </c>
      <c r="L634" s="40" t="n">
        <v>19123</v>
      </c>
    </row>
    <row r="635" ht="12" customHeight="1">
      <c r="A635" s="30" t="inlineStr">
        <is>
          <t>ITG</t>
        </is>
      </c>
      <c r="B635" s="30" t="inlineStr">
        <is>
          <t>Itaguai</t>
        </is>
      </c>
      <c r="C635" s="30" t="n">
        <v>12591705</v>
      </c>
      <c r="D635" s="30">
        <f>"47719072000157"</f>
        <v/>
      </c>
      <c r="E635" s="30" t="inlineStr">
        <is>
          <t>FOX GERA??O ITAGUA? LTDA</t>
        </is>
      </c>
      <c r="F635" s="40" t="n">
        <v>0</v>
      </c>
      <c r="G635" s="40" t="n">
        <v>0</v>
      </c>
      <c r="H635" s="40" t="n">
        <v>0</v>
      </c>
      <c r="I635" s="40" t="n">
        <v>0</v>
      </c>
      <c r="J635" s="40" t="n">
        <v>0</v>
      </c>
      <c r="K635" s="40" t="n">
        <v>0</v>
      </c>
      <c r="L635" s="40" t="n">
        <v>0</v>
      </c>
    </row>
    <row r="636" ht="12" customHeight="1">
      <c r="A636" s="30" t="inlineStr">
        <is>
          <t>ITG</t>
        </is>
      </c>
      <c r="B636" s="30" t="inlineStr">
        <is>
          <t>Itaguai</t>
        </is>
      </c>
      <c r="C636" s="30" t="n">
        <v>12592620</v>
      </c>
      <c r="D636" s="30">
        <f>"47720208000149"</f>
        <v/>
      </c>
      <c r="E636" s="30" t="inlineStr">
        <is>
          <t>CONSTRUFORT SERVI?OS E MATERIAL DE CONSTRU?AO LTDA</t>
        </is>
      </c>
      <c r="F636" s="40" t="n">
        <v>0</v>
      </c>
      <c r="G636" s="40" t="n">
        <v>0</v>
      </c>
      <c r="H636" s="40" t="n">
        <v>0</v>
      </c>
      <c r="I636" s="40" t="n">
        <v>0</v>
      </c>
      <c r="J636" s="40" t="n">
        <v>0</v>
      </c>
      <c r="K636" s="40" t="n">
        <v>0</v>
      </c>
      <c r="L636" s="40" t="n">
        <v>0</v>
      </c>
    </row>
    <row r="637" ht="12" customHeight="1">
      <c r="A637" s="30" t="inlineStr">
        <is>
          <t>ITG</t>
        </is>
      </c>
      <c r="B637" s="30" t="inlineStr">
        <is>
          <t>Itaguai</t>
        </is>
      </c>
      <c r="C637" s="30" t="n">
        <v>12592973</v>
      </c>
      <c r="D637" s="30">
        <f>"00011564553752"</f>
        <v/>
      </c>
      <c r="E637" s="30" t="inlineStr">
        <is>
          <t>ALCEMIR RABELO DE OLIVEIRA</t>
        </is>
      </c>
      <c r="F637" s="40" t="n">
        <v>0</v>
      </c>
      <c r="G637" s="40" t="n">
        <v>0</v>
      </c>
      <c r="H637" s="40" t="n">
        <v>0</v>
      </c>
      <c r="I637" s="40" t="n">
        <v>0</v>
      </c>
      <c r="J637" s="40" t="n">
        <v>0</v>
      </c>
      <c r="K637" s="40" t="n">
        <v>10032</v>
      </c>
      <c r="L637" s="40" t="n">
        <v>32751.18</v>
      </c>
    </row>
    <row r="638" ht="12" customHeight="1">
      <c r="A638" s="30" t="inlineStr">
        <is>
          <t>ITG</t>
        </is>
      </c>
      <c r="B638" s="30" t="inlineStr">
        <is>
          <t>Itaguai</t>
        </is>
      </c>
      <c r="C638" s="30" t="n">
        <v>12594658</v>
      </c>
      <c r="D638" s="30">
        <f>"33438250065455"</f>
        <v/>
      </c>
      <c r="E638" s="30" t="inlineStr">
        <is>
          <t>DROGARIAS PACHECO S/A</t>
        </is>
      </c>
      <c r="F638" s="40" t="n">
        <v>0</v>
      </c>
      <c r="G638" s="40" t="n">
        <v>0</v>
      </c>
      <c r="H638" s="40" t="n">
        <v>0</v>
      </c>
      <c r="I638" s="40" t="n">
        <v>0</v>
      </c>
      <c r="J638" s="40" t="n">
        <v>0</v>
      </c>
      <c r="K638" s="40" t="n">
        <v>0.04</v>
      </c>
      <c r="L638" s="40" t="n">
        <v>3335367.17</v>
      </c>
    </row>
    <row r="639" ht="12" customHeight="1">
      <c r="A639" s="30" t="inlineStr">
        <is>
          <t>ITG</t>
        </is>
      </c>
      <c r="B639" s="30" t="inlineStr">
        <is>
          <t>Itaguai</t>
        </is>
      </c>
      <c r="C639" s="30" t="n">
        <v>12600054</v>
      </c>
      <c r="D639" s="30">
        <f>"47844145000132"</f>
        <v/>
      </c>
      <c r="E639" s="30" t="inlineStr">
        <is>
          <t>S SUPERMERCADO COM?RCIO DE ALIMENTOS LTDA</t>
        </is>
      </c>
      <c r="F639" s="40" t="n">
        <v>0</v>
      </c>
      <c r="G639" s="40" t="n">
        <v>0</v>
      </c>
      <c r="H639" s="40" t="n">
        <v>0</v>
      </c>
      <c r="I639" s="40" t="n">
        <v>0</v>
      </c>
      <c r="J639" s="40" t="n">
        <v>0</v>
      </c>
      <c r="K639" s="40" t="n">
        <v>2951192.24</v>
      </c>
      <c r="L639" s="40" t="n">
        <v>1396933.97</v>
      </c>
    </row>
    <row r="640" ht="12" customHeight="1">
      <c r="A640" s="30" t="inlineStr">
        <is>
          <t>ITG</t>
        </is>
      </c>
      <c r="B640" s="30" t="inlineStr">
        <is>
          <t>Itaguai</t>
        </is>
      </c>
      <c r="C640" s="30" t="n">
        <v>12617852</v>
      </c>
      <c r="D640" s="30">
        <f>"44025225001220"</f>
        <v/>
      </c>
      <c r="E640" s="30" t="inlineStr">
        <is>
          <t>OBVIOUS SERVI?OS DIGITAIS LTDA</t>
        </is>
      </c>
      <c r="F640" s="40" t="n">
        <v>0</v>
      </c>
      <c r="G640" s="40" t="n">
        <v>0</v>
      </c>
      <c r="H640" s="40" t="n">
        <v>0</v>
      </c>
      <c r="I640" s="40" t="n">
        <v>0</v>
      </c>
      <c r="J640" s="40" t="n">
        <v>0</v>
      </c>
      <c r="K640" s="40" t="n">
        <v>629.38</v>
      </c>
      <c r="L640" s="40" t="n">
        <v>3773.4</v>
      </c>
    </row>
    <row r="641" ht="12" customHeight="1">
      <c r="A641" s="30" t="inlineStr">
        <is>
          <t>ITG</t>
        </is>
      </c>
      <c r="B641" s="30" t="inlineStr">
        <is>
          <t>Itaguai</t>
        </is>
      </c>
      <c r="C641" s="30" t="n">
        <v>12619308</v>
      </c>
      <c r="D641" s="30">
        <f>"28445729007012"</f>
        <v/>
      </c>
      <c r="E641" s="30" t="inlineStr">
        <is>
          <t>SOMOS SONHO LTDA</t>
        </is>
      </c>
      <c r="F641" s="40" t="n">
        <v>0</v>
      </c>
      <c r="G641" s="40" t="n">
        <v>0</v>
      </c>
      <c r="H641" s="40" t="n">
        <v>0</v>
      </c>
      <c r="I641" s="40" t="n">
        <v>0</v>
      </c>
      <c r="J641" s="40" t="n">
        <v>0</v>
      </c>
      <c r="K641" s="40" t="n">
        <v>0</v>
      </c>
      <c r="L641" s="40" t="n">
        <v>237708.94</v>
      </c>
    </row>
    <row r="642" ht="12" customHeight="1">
      <c r="A642" s="30" t="inlineStr">
        <is>
          <t>ITG</t>
        </is>
      </c>
      <c r="B642" s="30" t="inlineStr">
        <is>
          <t>Itaguai</t>
        </is>
      </c>
      <c r="C642" s="30" t="n">
        <v>12619715</v>
      </c>
      <c r="D642" s="30">
        <f>"03255266000416"</f>
        <v/>
      </c>
      <c r="E642" s="30" t="inlineStr">
        <is>
          <t>PRIO BRAVO LTDA</t>
        </is>
      </c>
      <c r="F642" s="40" t="n">
        <v>0</v>
      </c>
      <c r="G642" s="40" t="n">
        <v>0</v>
      </c>
      <c r="H642" s="40" t="n">
        <v>0</v>
      </c>
      <c r="I642" s="40" t="n">
        <v>0</v>
      </c>
      <c r="J642" s="40" t="n">
        <v>0</v>
      </c>
      <c r="K642" s="40" t="n">
        <v>0</v>
      </c>
      <c r="L642" s="40" t="n">
        <v>236817.39</v>
      </c>
    </row>
    <row r="643" ht="12" customHeight="1">
      <c r="A643" s="30" t="inlineStr">
        <is>
          <t>ITG</t>
        </is>
      </c>
      <c r="B643" s="30" t="inlineStr">
        <is>
          <t>Itaguai</t>
        </is>
      </c>
      <c r="C643" s="30" t="n">
        <v>12624611</v>
      </c>
      <c r="D643" s="30">
        <f>"48126625000120"</f>
        <v/>
      </c>
      <c r="E643" s="30" t="inlineStr">
        <is>
          <t>ITAGUAI RJ 749 GERA??O DE ENERGIA 605 LTDA</t>
        </is>
      </c>
      <c r="F643" s="40" t="n">
        <v>0</v>
      </c>
      <c r="G643" s="40" t="n">
        <v>0</v>
      </c>
      <c r="H643" s="40" t="n">
        <v>0</v>
      </c>
      <c r="I643" s="40" t="n">
        <v>0</v>
      </c>
      <c r="J643" s="40" t="n">
        <v>0</v>
      </c>
      <c r="K643" s="40" t="n">
        <v>0</v>
      </c>
      <c r="L643" s="40" t="n">
        <v>0</v>
      </c>
    </row>
    <row r="644" ht="12" customHeight="1">
      <c r="A644" s="30" t="inlineStr">
        <is>
          <t>ITG</t>
        </is>
      </c>
      <c r="B644" s="30" t="inlineStr">
        <is>
          <t>Itaguai</t>
        </is>
      </c>
      <c r="C644" s="30" t="n">
        <v>12644973</v>
      </c>
      <c r="D644" s="30">
        <f>"48342823000121"</f>
        <v/>
      </c>
      <c r="E644" s="30" t="inlineStr">
        <is>
          <t>C S FREITAS COMERCIO DE ELETRONICOS LTDA</t>
        </is>
      </c>
      <c r="F644" s="40" t="n">
        <v>0</v>
      </c>
      <c r="G644" s="40" t="n">
        <v>0</v>
      </c>
      <c r="H644" s="40" t="n">
        <v>0</v>
      </c>
      <c r="I644" s="40" t="n">
        <v>0</v>
      </c>
      <c r="J644" s="40" t="n">
        <v>0</v>
      </c>
      <c r="K644" s="40" t="n">
        <v>0</v>
      </c>
      <c r="L644" s="40" t="n">
        <v>763490.73</v>
      </c>
    </row>
    <row r="645" ht="12" customHeight="1">
      <c r="A645" s="30" t="inlineStr">
        <is>
          <t>ITG</t>
        </is>
      </c>
      <c r="B645" s="30" t="inlineStr">
        <is>
          <t>Itaguai</t>
        </is>
      </c>
      <c r="C645" s="30" t="n">
        <v>12658427</v>
      </c>
      <c r="D645" s="30">
        <f>"00016679682703"</f>
        <v/>
      </c>
      <c r="E645" s="30" t="inlineStr">
        <is>
          <t>CAIO EMANUEL FIGUEIRA MOURA</t>
        </is>
      </c>
      <c r="F645" s="40" t="n">
        <v>0</v>
      </c>
      <c r="G645" s="40" t="n">
        <v>0</v>
      </c>
      <c r="H645" s="40" t="n">
        <v>0</v>
      </c>
      <c r="I645" s="40" t="n">
        <v>0</v>
      </c>
      <c r="J645" s="40" t="n">
        <v>0</v>
      </c>
      <c r="K645" s="40" t="n">
        <v>0</v>
      </c>
      <c r="L645" s="40" t="n">
        <v>0</v>
      </c>
    </row>
    <row r="646" ht="12" customHeight="1">
      <c r="A646" s="30" t="inlineStr">
        <is>
          <t>ITG</t>
        </is>
      </c>
      <c r="B646" s="30" t="inlineStr">
        <is>
          <t>Itaguai</t>
        </is>
      </c>
      <c r="C646" s="30" t="n">
        <v>12661894</v>
      </c>
      <c r="D646" s="30">
        <f>"32168100001947"</f>
        <v/>
      </c>
      <c r="E646" s="30" t="inlineStr">
        <is>
          <t>PONTO MIX CONFEC??ES LTDA</t>
        </is>
      </c>
      <c r="F646" s="40" t="n">
        <v>0</v>
      </c>
      <c r="G646" s="40" t="n">
        <v>0</v>
      </c>
      <c r="H646" s="40" t="n">
        <v>0</v>
      </c>
      <c r="I646" s="40" t="n">
        <v>0</v>
      </c>
      <c r="J646" s="40" t="n">
        <v>0</v>
      </c>
      <c r="K646" s="40" t="n">
        <v>0</v>
      </c>
      <c r="L646" s="40" t="n">
        <v>932511.88</v>
      </c>
    </row>
    <row r="647" ht="12" customHeight="1">
      <c r="A647" s="30" t="inlineStr">
        <is>
          <t>ITG</t>
        </is>
      </c>
      <c r="B647" s="30" t="inlineStr">
        <is>
          <t>Itaguai</t>
        </is>
      </c>
      <c r="C647" s="30" t="n">
        <v>12674201</v>
      </c>
      <c r="D647" s="30">
        <f>"17803300000373"</f>
        <v/>
      </c>
      <c r="E647" s="30" t="inlineStr">
        <is>
          <t>FORTCARGO TRANSPORTES LTDA</t>
        </is>
      </c>
      <c r="F647" s="40" t="n">
        <v>0</v>
      </c>
      <c r="G647" s="40" t="n">
        <v>0</v>
      </c>
      <c r="H647" s="40" t="n">
        <v>0</v>
      </c>
      <c r="I647" s="40" t="n">
        <v>0</v>
      </c>
      <c r="J647" s="40" t="n">
        <v>0</v>
      </c>
      <c r="K647" s="40" t="n">
        <v>0</v>
      </c>
      <c r="L647" s="40" t="n">
        <v>186.63</v>
      </c>
    </row>
    <row r="648" ht="12" customHeight="1">
      <c r="A648" s="30" t="inlineStr">
        <is>
          <t>ITG</t>
        </is>
      </c>
      <c r="B648" s="30" t="inlineStr">
        <is>
          <t>Itaguai</t>
        </is>
      </c>
      <c r="C648" s="30" t="n">
        <v>12700563</v>
      </c>
      <c r="D648" s="30">
        <f>"43794308000835"</f>
        <v/>
      </c>
      <c r="E648" s="30" t="inlineStr">
        <is>
          <t>MONAMIE COSM?TICOS E BAZAR LTDA</t>
        </is>
      </c>
      <c r="F648" s="40" t="n">
        <v>0</v>
      </c>
      <c r="G648" s="40" t="n">
        <v>0</v>
      </c>
      <c r="H648" s="40" t="n">
        <v>0</v>
      </c>
      <c r="I648" s="40" t="n">
        <v>0</v>
      </c>
      <c r="J648" s="40" t="n">
        <v>0</v>
      </c>
      <c r="K648" s="40" t="n">
        <v>0</v>
      </c>
      <c r="L648" s="40" t="n">
        <v>1100674.46</v>
      </c>
    </row>
    <row r="649" ht="12" customHeight="1">
      <c r="A649" s="30" t="inlineStr">
        <is>
          <t>ITG</t>
        </is>
      </c>
      <c r="B649" s="30" t="inlineStr">
        <is>
          <t>Itaguai</t>
        </is>
      </c>
      <c r="C649" s="30" t="n">
        <v>12714670</v>
      </c>
      <c r="D649" s="30">
        <f>"67844183000445"</f>
        <v/>
      </c>
      <c r="E649" s="30" t="inlineStr">
        <is>
          <t>RTT SOLUCOES INDUSTRIAIS LTDA</t>
        </is>
      </c>
      <c r="F649" s="40" t="n">
        <v>0</v>
      </c>
      <c r="G649" s="40" t="n">
        <v>0</v>
      </c>
      <c r="H649" s="40" t="n">
        <v>0</v>
      </c>
      <c r="I649" s="40" t="n">
        <v>0</v>
      </c>
      <c r="J649" s="40" t="n">
        <v>0</v>
      </c>
      <c r="K649" s="40" t="n">
        <v>0</v>
      </c>
      <c r="L649" s="40" t="n">
        <v>0</v>
      </c>
    </row>
    <row r="650" ht="12" customHeight="1">
      <c r="A650" s="30" t="inlineStr">
        <is>
          <t>ITG</t>
        </is>
      </c>
      <c r="B650" s="30" t="inlineStr">
        <is>
          <t>Itaguai</t>
        </is>
      </c>
      <c r="C650" s="30" t="n">
        <v>12739273</v>
      </c>
      <c r="D650" s="30">
        <f>"00000246331780"</f>
        <v/>
      </c>
      <c r="E650" s="30" t="inlineStr">
        <is>
          <t>MONICA ASSIS DE ARAUJO E SILVA</t>
        </is>
      </c>
      <c r="F650" s="40" t="n">
        <v>0</v>
      </c>
      <c r="G650" s="40" t="n">
        <v>0</v>
      </c>
      <c r="H650" s="40" t="n">
        <v>0</v>
      </c>
      <c r="I650" s="40" t="n">
        <v>0</v>
      </c>
      <c r="J650" s="40" t="n">
        <v>0</v>
      </c>
      <c r="K650" s="40" t="n">
        <v>0</v>
      </c>
      <c r="L650" s="40" t="n">
        <v>23330.57</v>
      </c>
    </row>
    <row r="651" ht="12" customHeight="1">
      <c r="A651" s="30" t="inlineStr">
        <is>
          <t>ITG</t>
        </is>
      </c>
      <c r="B651" s="30" t="inlineStr">
        <is>
          <t>Itaguai</t>
        </is>
      </c>
      <c r="C651" s="30" t="n">
        <v>12754515</v>
      </c>
      <c r="D651" s="30">
        <f>"07991107000511"</f>
        <v/>
      </c>
      <c r="E651" s="30" t="inlineStr">
        <is>
          <t>MARANATA INDUSTRIA E COMERCIO DE SAL LTDA</t>
        </is>
      </c>
      <c r="F651" s="40" t="n">
        <v>0</v>
      </c>
      <c r="G651" s="40" t="n">
        <v>0</v>
      </c>
      <c r="H651" s="40" t="n">
        <v>0</v>
      </c>
      <c r="I651" s="40" t="n">
        <v>0</v>
      </c>
      <c r="J651" s="40" t="n">
        <v>0</v>
      </c>
      <c r="K651" s="40" t="n">
        <v>0</v>
      </c>
      <c r="L651" s="40" t="n">
        <v>0</v>
      </c>
    </row>
    <row r="652" ht="12" customHeight="1">
      <c r="A652" s="30" t="inlineStr">
        <is>
          <t>ITG</t>
        </is>
      </c>
      <c r="B652" s="30" t="inlineStr">
        <is>
          <t>Itaguai</t>
        </is>
      </c>
      <c r="C652" s="30" t="n">
        <v>12802749</v>
      </c>
      <c r="D652" s="30">
        <f>"49905475000116"</f>
        <v/>
      </c>
      <c r="E652" s="30" t="inlineStr">
        <is>
          <t>ITAGUAI RJ 753 GERACAO DE ENERGIA 490 LTDA</t>
        </is>
      </c>
      <c r="F652" s="40" t="n">
        <v>0</v>
      </c>
      <c r="G652" s="40" t="n">
        <v>0</v>
      </c>
      <c r="H652" s="40" t="n">
        <v>0</v>
      </c>
      <c r="I652" s="40" t="n">
        <v>0</v>
      </c>
      <c r="J652" s="40" t="n">
        <v>0</v>
      </c>
      <c r="K652" s="40" t="n">
        <v>0</v>
      </c>
      <c r="L652" s="40" t="n">
        <v>0</v>
      </c>
    </row>
    <row r="653" ht="12" customHeight="1">
      <c r="A653" s="30" t="inlineStr">
        <is>
          <t>ITG</t>
        </is>
      </c>
      <c r="B653" s="30" t="inlineStr">
        <is>
          <t>Itaguai</t>
        </is>
      </c>
      <c r="C653" s="30" t="n">
        <v>12805446</v>
      </c>
      <c r="D653" s="30">
        <f>"08969326000214"</f>
        <v/>
      </c>
      <c r="E653" s="30" t="inlineStr">
        <is>
          <t>POLICARPO LOGISTICA E TRANSPORTES LTDA</t>
        </is>
      </c>
      <c r="F653" s="40" t="n">
        <v>0</v>
      </c>
      <c r="G653" s="40" t="n">
        <v>0</v>
      </c>
      <c r="H653" s="40" t="n">
        <v>0</v>
      </c>
      <c r="I653" s="40" t="n">
        <v>0</v>
      </c>
      <c r="J653" s="40" t="n">
        <v>0</v>
      </c>
      <c r="K653" s="40" t="n">
        <v>0</v>
      </c>
      <c r="L653" s="40" t="n">
        <v>6006.4</v>
      </c>
    </row>
    <row r="654" ht="12" customHeight="1">
      <c r="A654" s="30" t="inlineStr">
        <is>
          <t>ITG</t>
        </is>
      </c>
      <c r="B654" s="30" t="inlineStr">
        <is>
          <t>Itaguai</t>
        </is>
      </c>
      <c r="C654" s="30" t="n">
        <v>12810083</v>
      </c>
      <c r="D654" s="30">
        <f>"00008612914760"</f>
        <v/>
      </c>
      <c r="E654" s="30" t="inlineStr">
        <is>
          <t>AFFONSO DE MORAES LIMA NETO</t>
        </is>
      </c>
      <c r="F654" s="40" t="n">
        <v>0</v>
      </c>
      <c r="G654" s="40" t="n">
        <v>0</v>
      </c>
      <c r="H654" s="40" t="n">
        <v>0</v>
      </c>
      <c r="I654" s="40" t="n">
        <v>0</v>
      </c>
      <c r="J654" s="40" t="n">
        <v>0</v>
      </c>
      <c r="K654" s="40" t="n">
        <v>0</v>
      </c>
      <c r="L654" s="40" t="n">
        <v>0</v>
      </c>
    </row>
    <row r="655" ht="12" customHeight="1">
      <c r="A655" s="30" t="inlineStr">
        <is>
          <t>ITG</t>
        </is>
      </c>
      <c r="B655" s="30" t="inlineStr">
        <is>
          <t>Itaguai</t>
        </is>
      </c>
      <c r="C655" s="30" t="n">
        <v>12814623</v>
      </c>
      <c r="D655" s="30">
        <f>"00005794821701"</f>
        <v/>
      </c>
      <c r="E655" s="30" t="inlineStr">
        <is>
          <t>GIOVANNA LEMOS LIMA SANTORO</t>
        </is>
      </c>
      <c r="F655" s="40" t="n">
        <v>0</v>
      </c>
      <c r="G655" s="40" t="n">
        <v>0</v>
      </c>
      <c r="H655" s="40" t="n">
        <v>0</v>
      </c>
      <c r="I655" s="40" t="n">
        <v>0</v>
      </c>
      <c r="J655" s="40" t="n">
        <v>0</v>
      </c>
      <c r="K655" s="40" t="n">
        <v>0</v>
      </c>
      <c r="L655" s="40" t="n">
        <v>1370747</v>
      </c>
    </row>
    <row r="656" ht="12" customHeight="1">
      <c r="A656" s="30" t="inlineStr">
        <is>
          <t>ITG</t>
        </is>
      </c>
      <c r="B656" s="30" t="inlineStr">
        <is>
          <t>Itaguai</t>
        </is>
      </c>
      <c r="C656" s="30" t="n">
        <v>12817878</v>
      </c>
      <c r="D656" s="30">
        <f>"14310170011111"</f>
        <v/>
      </c>
      <c r="E656" s="30" t="inlineStr">
        <is>
          <t>AUTOZONE BRASIL COMERCIO DE AUTOPECAS LTDA.</t>
        </is>
      </c>
      <c r="F656" s="40" t="n">
        <v>0</v>
      </c>
      <c r="G656" s="40" t="n">
        <v>0</v>
      </c>
      <c r="H656" s="40" t="n">
        <v>0</v>
      </c>
      <c r="I656" s="40" t="n">
        <v>0</v>
      </c>
      <c r="J656" s="40" t="n">
        <v>0</v>
      </c>
      <c r="K656" s="40" t="n">
        <v>0</v>
      </c>
      <c r="L656" s="40" t="n">
        <v>0</v>
      </c>
    </row>
    <row r="657" ht="12" customHeight="1">
      <c r="A657" s="30" t="inlineStr">
        <is>
          <t>ITG</t>
        </is>
      </c>
      <c r="B657" s="30" t="inlineStr">
        <is>
          <t>Itaguai</t>
        </is>
      </c>
      <c r="C657" s="30" t="n">
        <v>12826125</v>
      </c>
      <c r="D657" s="30">
        <f>"49548533000282"</f>
        <v/>
      </c>
      <c r="E657" s="30" t="inlineStr">
        <is>
          <t>TRANSCAPITAIS EXPRESS LTDA</t>
        </is>
      </c>
      <c r="F657" s="40" t="n">
        <v>0</v>
      </c>
      <c r="G657" s="40" t="n">
        <v>0</v>
      </c>
      <c r="H657" s="40" t="n">
        <v>0</v>
      </c>
      <c r="I657" s="40" t="n">
        <v>0</v>
      </c>
      <c r="J657" s="40" t="n">
        <v>0</v>
      </c>
      <c r="K657" s="40" t="n">
        <v>0</v>
      </c>
      <c r="L657" s="40" t="n">
        <v>129.85</v>
      </c>
    </row>
    <row r="658" ht="12" customHeight="1">
      <c r="A658" s="30" t="inlineStr">
        <is>
          <t>ITG</t>
        </is>
      </c>
      <c r="B658" s="30" t="inlineStr">
        <is>
          <t>Itaguai</t>
        </is>
      </c>
      <c r="C658" s="30" t="n">
        <v>12836368</v>
      </c>
      <c r="D658" s="30">
        <f>"07126663000368"</f>
        <v/>
      </c>
      <c r="E658" s="30" t="inlineStr">
        <is>
          <t>MULTI PARATY MERCADO LTDA</t>
        </is>
      </c>
      <c r="F658" s="40" t="n">
        <v>0</v>
      </c>
      <c r="G658" s="40" t="n">
        <v>0</v>
      </c>
      <c r="H658" s="40" t="n">
        <v>0</v>
      </c>
      <c r="I658" s="40" t="n">
        <v>0</v>
      </c>
      <c r="J658" s="40" t="n">
        <v>0</v>
      </c>
      <c r="K658" s="40" t="n">
        <v>0</v>
      </c>
      <c r="L658" s="40" t="n">
        <v>0</v>
      </c>
    </row>
    <row r="659" ht="12" customHeight="1">
      <c r="A659" s="30" t="inlineStr">
        <is>
          <t>ITG</t>
        </is>
      </c>
      <c r="B659" s="30" t="inlineStr">
        <is>
          <t>Itaguai</t>
        </is>
      </c>
      <c r="C659" s="30" t="n">
        <v>12849826</v>
      </c>
      <c r="D659" s="30">
        <f>"50560601000127"</f>
        <v/>
      </c>
      <c r="E659" s="30" t="inlineStr">
        <is>
          <t>B-PROJECTS ARMAZEM GERAL LTDA.</t>
        </is>
      </c>
      <c r="F659" s="40" t="n">
        <v>0</v>
      </c>
      <c r="G659" s="40" t="n">
        <v>0</v>
      </c>
      <c r="H659" s="40" t="n">
        <v>0</v>
      </c>
      <c r="I659" s="40" t="n">
        <v>0</v>
      </c>
      <c r="J659" s="40" t="n">
        <v>0</v>
      </c>
      <c r="K659" s="40" t="n">
        <v>0</v>
      </c>
      <c r="L659" s="40" t="n">
        <v>0</v>
      </c>
    </row>
    <row r="660" ht="12" customHeight="1">
      <c r="A660" s="30" t="inlineStr">
        <is>
          <t>ITG</t>
        </is>
      </c>
      <c r="B660" s="30" t="inlineStr">
        <is>
          <t>Itaguai</t>
        </is>
      </c>
      <c r="C660" s="30" t="n">
        <v>12859104</v>
      </c>
      <c r="D660" s="30">
        <f>"32324737000741"</f>
        <v/>
      </c>
      <c r="E660" s="30" t="inlineStr">
        <is>
          <t>SUPER PET COM?RCIO DE RACOES LTDA</t>
        </is>
      </c>
      <c r="F660" s="40" t="n">
        <v>0</v>
      </c>
      <c r="G660" s="40" t="n">
        <v>0</v>
      </c>
      <c r="H660" s="40" t="n">
        <v>0</v>
      </c>
      <c r="I660" s="40" t="n">
        <v>0</v>
      </c>
      <c r="J660" s="40" t="n">
        <v>0</v>
      </c>
      <c r="K660" s="40" t="n">
        <v>0</v>
      </c>
      <c r="L660" s="40" t="n">
        <v>0</v>
      </c>
    </row>
    <row r="661" ht="12" customHeight="1">
      <c r="A661" s="30" t="inlineStr">
        <is>
          <t>ITG</t>
        </is>
      </c>
      <c r="B661" s="30" t="inlineStr">
        <is>
          <t>Itaguai</t>
        </is>
      </c>
      <c r="C661" s="30" t="n">
        <v>12861699</v>
      </c>
      <c r="D661" s="30">
        <f>"29335900000171"</f>
        <v/>
      </c>
      <c r="E661" s="30" t="inlineStr">
        <is>
          <t>MJR COMERCIO E LOCACOES DE VEICULOS LTDA</t>
        </is>
      </c>
      <c r="F661" s="40" t="n">
        <v>0</v>
      </c>
      <c r="G661" s="40" t="n">
        <v>0</v>
      </c>
      <c r="H661" s="40" t="n">
        <v>0</v>
      </c>
      <c r="I661" s="40" t="n">
        <v>0</v>
      </c>
      <c r="J661" s="40" t="n">
        <v>0</v>
      </c>
      <c r="K661" s="40" t="n">
        <v>0</v>
      </c>
      <c r="L661" s="40" t="n">
        <v>0</v>
      </c>
    </row>
    <row r="662" ht="12" customHeight="1">
      <c r="A662" s="30" t="inlineStr">
        <is>
          <t>ITG</t>
        </is>
      </c>
      <c r="B662" s="30" t="inlineStr">
        <is>
          <t>Itaguai</t>
        </is>
      </c>
      <c r="C662" s="30" t="n">
        <v>12881916</v>
      </c>
      <c r="D662" s="30">
        <f>"29587623003886"</f>
        <v/>
      </c>
      <c r="E662" s="30" t="inlineStr">
        <is>
          <t>SO TINTAS TERESOPOLIS LTDA</t>
        </is>
      </c>
      <c r="F662" s="40" t="n">
        <v>0</v>
      </c>
      <c r="G662" s="40" t="n">
        <v>0</v>
      </c>
      <c r="H662" s="40" t="n">
        <v>0</v>
      </c>
      <c r="I662" s="40" t="n">
        <v>0</v>
      </c>
      <c r="J662" s="40" t="n">
        <v>0</v>
      </c>
      <c r="K662" s="40" t="n">
        <v>0</v>
      </c>
      <c r="L662" s="40" t="n">
        <v>198500.12</v>
      </c>
    </row>
    <row r="663" ht="12" customHeight="1">
      <c r="A663" s="30" t="inlineStr">
        <is>
          <t>ITG</t>
        </is>
      </c>
      <c r="B663" s="30" t="inlineStr">
        <is>
          <t>Itaguai</t>
        </is>
      </c>
      <c r="C663" s="30" t="n">
        <v>12906960</v>
      </c>
      <c r="D663" s="30">
        <f>"42584754039988"</f>
        <v/>
      </c>
      <c r="E663" s="30" t="inlineStr">
        <is>
          <t>J&amp;T EXPRESS BRAZIL LTDA.</t>
        </is>
      </c>
      <c r="F663" s="40" t="n">
        <v>0</v>
      </c>
      <c r="G663" s="40" t="n">
        <v>0</v>
      </c>
      <c r="H663" s="40" t="n">
        <v>0</v>
      </c>
      <c r="I663" s="40" t="n">
        <v>0</v>
      </c>
      <c r="J663" s="40" t="n">
        <v>0</v>
      </c>
      <c r="K663" s="40" t="n">
        <v>0</v>
      </c>
      <c r="L663" s="40" t="n">
        <v>17.68</v>
      </c>
    </row>
    <row r="664" ht="12" customHeight="1">
      <c r="A664" s="30" t="inlineStr">
        <is>
          <t>ITG</t>
        </is>
      </c>
      <c r="B664" s="30" t="inlineStr">
        <is>
          <t>Itaguai</t>
        </is>
      </c>
      <c r="C664" s="30" t="n">
        <v>12909144</v>
      </c>
      <c r="D664" s="30">
        <f>"32767123000815"</f>
        <v/>
      </c>
      <c r="E664" s="30" t="inlineStr">
        <is>
          <t>VELOCARGAS BRASIL TRANSPORTE RODOVIARIO E LOGISTICA LTDA</t>
        </is>
      </c>
      <c r="F664" s="40" t="n">
        <v>0</v>
      </c>
      <c r="G664" s="40" t="n">
        <v>0</v>
      </c>
      <c r="H664" s="40" t="n">
        <v>0</v>
      </c>
      <c r="I664" s="40" t="n">
        <v>0</v>
      </c>
      <c r="J664" s="40" t="n">
        <v>0</v>
      </c>
      <c r="K664" s="40" t="n">
        <v>0</v>
      </c>
      <c r="L664" s="40" t="n">
        <v>781.4299999999999</v>
      </c>
    </row>
    <row r="665" ht="12" customHeight="1">
      <c r="A665" s="30" t="inlineStr">
        <is>
          <t>ITG</t>
        </is>
      </c>
      <c r="B665" s="30" t="inlineStr">
        <is>
          <t>Itaguai</t>
        </is>
      </c>
      <c r="C665" s="30" t="n">
        <v>12921853</v>
      </c>
      <c r="D665" s="30">
        <f>"47023336000133"</f>
        <v/>
      </c>
      <c r="E665" s="30" t="inlineStr">
        <is>
          <t>AUTO POSTO CANCELA LTDA</t>
        </is>
      </c>
      <c r="F665" s="40" t="n">
        <v>0</v>
      </c>
      <c r="G665" s="40" t="n">
        <v>0</v>
      </c>
      <c r="H665" s="40" t="n">
        <v>0</v>
      </c>
      <c r="I665" s="40" t="n">
        <v>0</v>
      </c>
      <c r="J665" s="40" t="n">
        <v>0</v>
      </c>
      <c r="K665" s="40" t="n">
        <v>0</v>
      </c>
      <c r="L665" s="40" t="n">
        <v>0</v>
      </c>
    </row>
    <row r="666" ht="12" customHeight="1">
      <c r="A666" s="30" t="inlineStr">
        <is>
          <t>ITG</t>
        </is>
      </c>
      <c r="B666" s="30" t="inlineStr">
        <is>
          <t>Itaguai</t>
        </is>
      </c>
      <c r="C666" s="30" t="n">
        <v>12928653</v>
      </c>
      <c r="D666" s="30">
        <f>"24743572000129"</f>
        <v/>
      </c>
      <c r="E666" s="30" t="inlineStr">
        <is>
          <t>OKJ SERVICOS DE ENGENHARIA LTDA</t>
        </is>
      </c>
      <c r="F666" s="40" t="n">
        <v>0</v>
      </c>
      <c r="G666" s="40" t="n">
        <v>0</v>
      </c>
      <c r="H666" s="40" t="n">
        <v>0</v>
      </c>
      <c r="I666" s="40" t="n">
        <v>0</v>
      </c>
      <c r="J666" s="40" t="n">
        <v>0</v>
      </c>
      <c r="K666" s="40" t="n">
        <v>0</v>
      </c>
      <c r="L666" s="40" t="n">
        <v>0</v>
      </c>
    </row>
    <row r="667" ht="12" customHeight="1">
      <c r="A667" s="30" t="inlineStr">
        <is>
          <t>ITG</t>
        </is>
      </c>
      <c r="B667" s="30" t="inlineStr">
        <is>
          <t>Itaguai</t>
        </is>
      </c>
      <c r="C667" s="30" t="n">
        <v>12934866</v>
      </c>
      <c r="D667" s="30">
        <f>"01402351000272"</f>
        <v/>
      </c>
      <c r="E667" s="30" t="inlineStr">
        <is>
          <t>FA?A O SONHO DA FESTA E COM?RCIO DE ALIMENTOS LTDA</t>
        </is>
      </c>
      <c r="F667" s="40" t="n">
        <v>0</v>
      </c>
      <c r="G667" s="40" t="n">
        <v>0</v>
      </c>
      <c r="H667" s="40" t="n">
        <v>0</v>
      </c>
      <c r="I667" s="40" t="n">
        <v>0</v>
      </c>
      <c r="J667" s="40" t="n">
        <v>0</v>
      </c>
      <c r="K667" s="40" t="n">
        <v>0</v>
      </c>
      <c r="L667" s="40" t="n">
        <v>1461714.96</v>
      </c>
    </row>
    <row r="668" ht="12" customHeight="1">
      <c r="A668" s="30" t="inlineStr">
        <is>
          <t>ITG</t>
        </is>
      </c>
      <c r="B668" s="30" t="inlineStr">
        <is>
          <t>Itaguai</t>
        </is>
      </c>
      <c r="C668" s="30" t="n">
        <v>12944896</v>
      </c>
      <c r="D668" s="30">
        <f>"50597713000152"</f>
        <v/>
      </c>
      <c r="E668" s="30" t="inlineStr">
        <is>
          <t>T S V LOGISTICA E COMERCIAL LTDA</t>
        </is>
      </c>
      <c r="F668" s="40" t="n">
        <v>0</v>
      </c>
      <c r="G668" s="40" t="n">
        <v>0</v>
      </c>
      <c r="H668" s="40" t="n">
        <v>0</v>
      </c>
      <c r="I668" s="40" t="n">
        <v>0</v>
      </c>
      <c r="J668" s="40" t="n">
        <v>0</v>
      </c>
      <c r="K668" s="40" t="n">
        <v>0</v>
      </c>
      <c r="L668" s="40" t="n">
        <v>0</v>
      </c>
    </row>
    <row r="669" ht="12" customHeight="1">
      <c r="A669" s="30" t="inlineStr">
        <is>
          <t>ITG</t>
        </is>
      </c>
      <c r="B669" s="30" t="inlineStr">
        <is>
          <t>Itaguai</t>
        </is>
      </c>
      <c r="C669" s="30" t="n">
        <v>12992904</v>
      </c>
      <c r="D669" s="30">
        <f>"01117975000590"</f>
        <v/>
      </c>
      <c r="E669" s="30" t="inlineStr">
        <is>
          <t>MAXPESA CONSTRUCOES TRANSPORTES LOCACOES E MONTAGENS LTDA</t>
        </is>
      </c>
      <c r="F669" s="40" t="n">
        <v>0</v>
      </c>
      <c r="G669" s="40" t="n">
        <v>0</v>
      </c>
      <c r="H669" s="40" t="n">
        <v>0</v>
      </c>
      <c r="I669" s="40" t="n">
        <v>0</v>
      </c>
      <c r="J669" s="40" t="n">
        <v>0</v>
      </c>
      <c r="K669" s="40" t="n">
        <v>0</v>
      </c>
      <c r="L669" s="40" t="n">
        <v>0</v>
      </c>
    </row>
    <row r="670" ht="12" customHeight="1">
      <c r="A670" s="30" t="inlineStr">
        <is>
          <t>ITG</t>
        </is>
      </c>
      <c r="B670" s="30" t="inlineStr">
        <is>
          <t>Itaguai</t>
        </is>
      </c>
      <c r="C670" s="30" t="n">
        <v>13170029</v>
      </c>
      <c r="D670" s="30">
        <f>"51901852000190"</f>
        <v/>
      </c>
      <c r="E670" s="30" t="inlineStr">
        <is>
          <t>ITA AMIGO GAS LTDA</t>
        </is>
      </c>
      <c r="F670" s="40" t="n">
        <v>0</v>
      </c>
      <c r="G670" s="40" t="n">
        <v>0</v>
      </c>
      <c r="H670" s="40" t="n">
        <v>0</v>
      </c>
      <c r="I670" s="40" t="n">
        <v>0</v>
      </c>
      <c r="J670" s="40" t="n">
        <v>0</v>
      </c>
      <c r="K670" s="40" t="n">
        <v>0</v>
      </c>
      <c r="L670" s="40" t="n">
        <v>0</v>
      </c>
    </row>
    <row r="671" ht="12" customHeight="1">
      <c r="A671" s="30" t="inlineStr">
        <is>
          <t>ITG</t>
        </is>
      </c>
      <c r="B671" s="30" t="inlineStr">
        <is>
          <t>Itaguai</t>
        </is>
      </c>
      <c r="C671" s="30" t="n">
        <v>13422133</v>
      </c>
      <c r="D671" s="30">
        <f>"52147052000199"</f>
        <v/>
      </c>
      <c r="E671" s="30" t="inlineStr">
        <is>
          <t>SOLAR HOJE ENERGIA LTDA</t>
        </is>
      </c>
      <c r="F671" s="40" t="n">
        <v>0</v>
      </c>
      <c r="G671" s="40" t="n">
        <v>0</v>
      </c>
      <c r="H671" s="40" t="n">
        <v>0</v>
      </c>
      <c r="I671" s="40" t="n">
        <v>0</v>
      </c>
      <c r="J671" s="40" t="n">
        <v>0</v>
      </c>
      <c r="K671" s="40" t="n">
        <v>0</v>
      </c>
      <c r="L671" s="40" t="n">
        <v>0</v>
      </c>
    </row>
    <row r="672" ht="12" customHeight="1">
      <c r="A672" s="30" t="inlineStr">
        <is>
          <t>ITG</t>
        </is>
      </c>
      <c r="B672" s="30" t="inlineStr">
        <is>
          <t>Itaguai</t>
        </is>
      </c>
      <c r="C672" s="30" t="n">
        <v>13977402</v>
      </c>
      <c r="D672" s="30">
        <f>"61585865335765"</f>
        <v/>
      </c>
      <c r="E672" s="30" t="inlineStr">
        <is>
          <t>RAIA DROGASIL S/A</t>
        </is>
      </c>
      <c r="F672" s="40" t="n">
        <v>0</v>
      </c>
      <c r="G672" s="40" t="n">
        <v>0</v>
      </c>
      <c r="H672" s="40" t="n">
        <v>0</v>
      </c>
      <c r="I672" s="40" t="n">
        <v>0</v>
      </c>
      <c r="J672" s="40" t="n">
        <v>0</v>
      </c>
      <c r="K672" s="40" t="n">
        <v>0</v>
      </c>
      <c r="L672" s="40" t="n">
        <v>0</v>
      </c>
    </row>
    <row r="673" ht="12" customHeight="1">
      <c r="A673" s="30" t="inlineStr">
        <is>
          <t>ITG</t>
        </is>
      </c>
      <c r="B673" s="30" t="inlineStr">
        <is>
          <t>Itaguai</t>
        </is>
      </c>
      <c r="C673" s="30" t="n">
        <v>14092749</v>
      </c>
      <c r="D673" s="30">
        <f>"04214233002191"</f>
        <v/>
      </c>
      <c r="E673" s="30" t="inlineStr">
        <is>
          <t>3C SERVICES S A</t>
        </is>
      </c>
      <c r="F673" s="40" t="n">
        <v>0</v>
      </c>
      <c r="G673" s="40" t="n">
        <v>0</v>
      </c>
      <c r="H673" s="40" t="n">
        <v>0</v>
      </c>
      <c r="I673" s="40" t="n">
        <v>0</v>
      </c>
      <c r="J673" s="40" t="n">
        <v>0</v>
      </c>
      <c r="K673" s="40" t="n">
        <v>0</v>
      </c>
      <c r="L673" s="40" t="n">
        <v>170.27</v>
      </c>
    </row>
    <row r="674" ht="12" customHeight="1">
      <c r="A674" s="30" t="inlineStr">
        <is>
          <t>ITG</t>
        </is>
      </c>
      <c r="B674" s="30" t="inlineStr">
        <is>
          <t>Itaguai</t>
        </is>
      </c>
      <c r="C674" s="30" t="n">
        <v>14106693</v>
      </c>
      <c r="D674" s="30">
        <f>"52600000000126"</f>
        <v/>
      </c>
      <c r="E674" s="30" t="inlineStr">
        <is>
          <t>FOX JB ENERGIAS RENOVAVEIS LTDA</t>
        </is>
      </c>
      <c r="F674" s="40" t="n">
        <v>0</v>
      </c>
      <c r="G674" s="40" t="n">
        <v>0</v>
      </c>
      <c r="H674" s="40" t="n">
        <v>0</v>
      </c>
      <c r="I674" s="40" t="n">
        <v>0</v>
      </c>
      <c r="J674" s="40" t="n">
        <v>0</v>
      </c>
      <c r="K674" s="40" t="n">
        <v>0</v>
      </c>
      <c r="L674" s="40" t="n">
        <v>0</v>
      </c>
    </row>
    <row r="675" ht="12" customHeight="1">
      <c r="A675" s="30" t="inlineStr">
        <is>
          <t>ITG</t>
        </is>
      </c>
      <c r="B675" s="30" t="inlineStr">
        <is>
          <t>Itaguai</t>
        </is>
      </c>
      <c r="C675" s="30" t="n">
        <v>70861593</v>
      </c>
      <c r="D675" s="30">
        <f>"00003364188769"</f>
        <v/>
      </c>
      <c r="E675" s="30" t="inlineStr">
        <is>
          <t>MARIA DE JESUS FERREIRA</t>
        </is>
      </c>
      <c r="F675" s="40" t="n">
        <v>21450</v>
      </c>
      <c r="G675" s="40" t="n">
        <v>7300</v>
      </c>
      <c r="H675" s="40" t="n">
        <v>0</v>
      </c>
      <c r="I675" s="40" t="n">
        <v>0</v>
      </c>
      <c r="J675" s="40" t="n">
        <v>40800</v>
      </c>
      <c r="K675" s="40" t="n">
        <v>4000</v>
      </c>
      <c r="L675" s="40" t="n">
        <v>5200</v>
      </c>
    </row>
    <row r="676" ht="12" customHeight="1">
      <c r="A676" s="30" t="inlineStr">
        <is>
          <t>ITG</t>
        </is>
      </c>
      <c r="B676" s="30" t="inlineStr">
        <is>
          <t>Itaguai</t>
        </is>
      </c>
      <c r="C676" s="30" t="n">
        <v>70861712</v>
      </c>
      <c r="D676" s="30">
        <f>"05221175703"</f>
        <v/>
      </c>
      <c r="E676" s="30" t="inlineStr">
        <is>
          <t>DOLCAS CLEMENTINO TEIXEIRA</t>
        </is>
      </c>
      <c r="F676" s="40" t="n">
        <v>10800</v>
      </c>
      <c r="G676" s="40" t="n">
        <v>5400</v>
      </c>
      <c r="H676" s="40" t="n">
        <v>7690</v>
      </c>
      <c r="I676" s="40" t="n">
        <v>6880</v>
      </c>
      <c r="J676" s="40" t="n">
        <v>10308</v>
      </c>
      <c r="K676" s="40" t="n">
        <v>22075.2</v>
      </c>
      <c r="L676" s="40" t="n">
        <v>23285.5</v>
      </c>
    </row>
    <row r="677" ht="12" customHeight="1">
      <c r="A677" s="30" t="inlineStr">
        <is>
          <t>ITG</t>
        </is>
      </c>
      <c r="B677" s="30" t="inlineStr">
        <is>
          <t>Itaguai</t>
        </is>
      </c>
      <c r="C677" s="30" t="n">
        <v>70861720</v>
      </c>
      <c r="D677" s="30">
        <f>"02773090772"</f>
        <v/>
      </c>
      <c r="E677" s="30" t="inlineStr">
        <is>
          <t>GERALDO LAMEGO MATTOS</t>
        </is>
      </c>
      <c r="F677" s="40" t="n">
        <v>0</v>
      </c>
      <c r="G677" s="40" t="n">
        <v>0</v>
      </c>
      <c r="H677" s="40" t="n">
        <v>970</v>
      </c>
      <c r="I677" s="40" t="n">
        <v>0</v>
      </c>
      <c r="J677" s="40" t="n">
        <v>0</v>
      </c>
      <c r="K677" s="40" t="n">
        <v>0</v>
      </c>
      <c r="L677" s="40" t="n">
        <v>0</v>
      </c>
    </row>
    <row r="678" ht="12" customHeight="1">
      <c r="A678" s="30" t="inlineStr">
        <is>
          <t>ITG</t>
        </is>
      </c>
      <c r="B678" s="30" t="inlineStr">
        <is>
          <t>Itaguai</t>
        </is>
      </c>
      <c r="C678" s="30" t="n">
        <v>70861747</v>
      </c>
      <c r="D678" s="30">
        <f>"52883582904"</f>
        <v/>
      </c>
      <c r="E678" s="30" t="inlineStr">
        <is>
          <t>JOAO VALEZI</t>
        </is>
      </c>
      <c r="F678" s="40" t="n">
        <v>182320</v>
      </c>
      <c r="G678" s="40" t="n">
        <v>248060</v>
      </c>
      <c r="H678" s="40" t="n">
        <v>197156</v>
      </c>
      <c r="I678" s="40" t="n">
        <v>307058.39</v>
      </c>
      <c r="J678" s="40" t="n">
        <v>633050</v>
      </c>
      <c r="K678" s="40" t="n">
        <v>0</v>
      </c>
      <c r="L678" s="40" t="n">
        <v>731523.3</v>
      </c>
    </row>
    <row r="679" ht="12" customHeight="1">
      <c r="A679" s="30" t="inlineStr">
        <is>
          <t>ITG</t>
        </is>
      </c>
      <c r="B679" s="30" t="inlineStr">
        <is>
          <t>Itaguai</t>
        </is>
      </c>
      <c r="C679" s="30" t="n">
        <v>70861887</v>
      </c>
      <c r="D679" s="30">
        <f>"60748621768"</f>
        <v/>
      </c>
      <c r="E679" s="30" t="inlineStr">
        <is>
          <t>CUSTODIO AFONSO TORRES DE ALMEIDA</t>
        </is>
      </c>
      <c r="F679" s="40" t="n">
        <v>0</v>
      </c>
      <c r="G679" s="40" t="n">
        <v>0</v>
      </c>
      <c r="H679" s="40" t="n">
        <v>0</v>
      </c>
      <c r="I679" s="40" t="n">
        <v>0</v>
      </c>
      <c r="J679" s="40" t="n">
        <v>0</v>
      </c>
      <c r="K679" s="40" t="n">
        <v>0</v>
      </c>
      <c r="L679" s="40" t="n">
        <v>0</v>
      </c>
    </row>
    <row r="680" ht="12" customHeight="1">
      <c r="A680" s="30" t="inlineStr">
        <is>
          <t>ITG</t>
        </is>
      </c>
      <c r="B680" s="30" t="inlineStr">
        <is>
          <t>Itaguai</t>
        </is>
      </c>
      <c r="C680" s="30" t="n">
        <v>71387330</v>
      </c>
      <c r="D680" s="30">
        <f>"07897235734"</f>
        <v/>
      </c>
      <c r="E680" s="30" t="inlineStr">
        <is>
          <t>HAZIME MORITA</t>
        </is>
      </c>
      <c r="F680" s="40" t="n">
        <v>0</v>
      </c>
      <c r="G680" s="40" t="n">
        <v>0</v>
      </c>
      <c r="H680" s="40" t="n">
        <v>0</v>
      </c>
      <c r="I680" s="40" t="n">
        <v>0</v>
      </c>
      <c r="J680" s="40" t="n">
        <v>0</v>
      </c>
      <c r="K680" s="40" t="n">
        <v>0</v>
      </c>
      <c r="L680" s="40" t="n">
        <v>0.1</v>
      </c>
    </row>
    <row r="681" ht="12" customHeight="1">
      <c r="A681" s="30" t="inlineStr">
        <is>
          <t>ITG</t>
        </is>
      </c>
      <c r="B681" s="30" t="inlineStr">
        <is>
          <t>Itaguai</t>
        </is>
      </c>
      <c r="C681" s="30" t="n">
        <v>71387364</v>
      </c>
      <c r="D681" s="30">
        <f>"00007906080734"</f>
        <v/>
      </c>
      <c r="E681" s="30" t="inlineStr">
        <is>
          <t>MANOEL DOS SANTOS SIMOES</t>
        </is>
      </c>
      <c r="F681" s="40" t="n">
        <v>0</v>
      </c>
      <c r="G681" s="40" t="n">
        <v>0</v>
      </c>
      <c r="H681" s="40" t="n">
        <v>0</v>
      </c>
      <c r="I681" s="40" t="n">
        <v>0</v>
      </c>
      <c r="J681" s="40" t="n">
        <v>0</v>
      </c>
      <c r="K681" s="40" t="n">
        <v>0</v>
      </c>
      <c r="L681" s="40" t="n">
        <v>0</v>
      </c>
    </row>
    <row r="682" ht="12" customHeight="1">
      <c r="A682" s="30" t="inlineStr">
        <is>
          <t>ITG</t>
        </is>
      </c>
      <c r="B682" s="30" t="inlineStr">
        <is>
          <t>Itaguai</t>
        </is>
      </c>
      <c r="C682" s="30" t="n">
        <v>71387550</v>
      </c>
      <c r="D682" s="30">
        <f>"00406422753"</f>
        <v/>
      </c>
      <c r="E682" s="30" t="inlineStr">
        <is>
          <t>PAULO ERNESTO ALVES DE MENEZES</t>
        </is>
      </c>
      <c r="F682" s="40" t="n">
        <v>256288.73</v>
      </c>
      <c r="G682" s="40" t="n">
        <v>382342.36</v>
      </c>
      <c r="H682" s="40" t="n">
        <v>15000</v>
      </c>
      <c r="I682" s="40" t="n">
        <v>0</v>
      </c>
      <c r="J682" s="40" t="n">
        <v>0</v>
      </c>
      <c r="K682" s="40" t="n">
        <v>302129.06</v>
      </c>
      <c r="L682" s="40" t="n">
        <v>0</v>
      </c>
    </row>
    <row r="683" ht="12" customHeight="1">
      <c r="A683" s="30" t="inlineStr">
        <is>
          <t>ITG</t>
        </is>
      </c>
      <c r="B683" s="30" t="inlineStr">
        <is>
          <t>Itaguai</t>
        </is>
      </c>
      <c r="C683" s="30" t="n">
        <v>71390365</v>
      </c>
      <c r="D683" s="30">
        <f>"61827690763"</f>
        <v/>
      </c>
      <c r="E683" s="30" t="inlineStr">
        <is>
          <t>CARLOS SATORU MATSUNAGA</t>
        </is>
      </c>
      <c r="F683" s="40" t="n">
        <v>0</v>
      </c>
      <c r="G683" s="40" t="n">
        <v>0</v>
      </c>
      <c r="H683" s="40" t="n">
        <v>0</v>
      </c>
      <c r="I683" s="40" t="n">
        <v>0</v>
      </c>
      <c r="J683" s="40" t="n">
        <v>0</v>
      </c>
      <c r="K683" s="40" t="n">
        <v>0</v>
      </c>
      <c r="L683" s="40" t="n">
        <v>0</v>
      </c>
    </row>
    <row r="684" ht="12" customHeight="1">
      <c r="A684" s="30" t="inlineStr">
        <is>
          <t>ITG</t>
        </is>
      </c>
      <c r="B684" s="30" t="inlineStr">
        <is>
          <t>Itaguai</t>
        </is>
      </c>
      <c r="C684" s="30" t="n">
        <v>71390470</v>
      </c>
      <c r="D684" s="30">
        <f>"04775660659"</f>
        <v/>
      </c>
      <c r="E684" s="30" t="inlineStr">
        <is>
          <t>ALTAIR JOSE CERQUEIRA</t>
        </is>
      </c>
      <c r="F684" s="40" t="n">
        <v>172950</v>
      </c>
      <c r="G684" s="40" t="n">
        <v>248660</v>
      </c>
      <c r="H684" s="40" t="n">
        <v>308400</v>
      </c>
      <c r="I684" s="40" t="n">
        <v>0</v>
      </c>
      <c r="J684" s="40" t="n">
        <v>189700</v>
      </c>
      <c r="K684" s="40" t="n">
        <v>550300</v>
      </c>
      <c r="L684" s="40" t="n">
        <v>303000</v>
      </c>
    </row>
    <row r="685" ht="12" customHeight="1">
      <c r="A685" s="30" t="inlineStr">
        <is>
          <t>ITG</t>
        </is>
      </c>
      <c r="B685" s="30" t="inlineStr">
        <is>
          <t>Itaguai</t>
        </is>
      </c>
      <c r="C685" s="30" t="n">
        <v>71390489</v>
      </c>
      <c r="D685" s="30">
        <f>"15889807749"</f>
        <v/>
      </c>
      <c r="E685" s="30" t="inlineStr">
        <is>
          <t>ABEL MELLO LIBANO</t>
        </is>
      </c>
      <c r="F685" s="40" t="n">
        <v>196780</v>
      </c>
      <c r="G685" s="40" t="n">
        <v>157200</v>
      </c>
      <c r="H685" s="40" t="n">
        <v>0</v>
      </c>
      <c r="I685" s="40" t="n">
        <v>0</v>
      </c>
      <c r="J685" s="40" t="n">
        <v>0</v>
      </c>
      <c r="K685" s="40" t="n">
        <v>0</v>
      </c>
      <c r="L685" s="40" t="n">
        <v>0</v>
      </c>
    </row>
    <row r="686" ht="12" customHeight="1">
      <c r="A686" s="30" t="inlineStr">
        <is>
          <t>ITG</t>
        </is>
      </c>
      <c r="B686" s="30" t="inlineStr">
        <is>
          <t>Itaguai</t>
        </is>
      </c>
      <c r="C686" s="30" t="n">
        <v>71390560</v>
      </c>
      <c r="D686" s="30">
        <f>"44780567734"</f>
        <v/>
      </c>
      <c r="E686" s="30" t="inlineStr">
        <is>
          <t>FRANCISCO NETO DA SILVA</t>
        </is>
      </c>
      <c r="F686" s="40" t="n">
        <v>50756.43</v>
      </c>
      <c r="G686" s="40" t="n">
        <v>0</v>
      </c>
      <c r="H686" s="40" t="n">
        <v>0</v>
      </c>
      <c r="I686" s="40" t="n">
        <v>0</v>
      </c>
      <c r="J686" s="40" t="n">
        <v>0</v>
      </c>
      <c r="K686" s="40" t="n">
        <v>0</v>
      </c>
      <c r="L686" s="40" t="n">
        <v>0</v>
      </c>
    </row>
    <row r="687" ht="12" customHeight="1">
      <c r="A687" s="30" t="inlineStr">
        <is>
          <t>ITG</t>
        </is>
      </c>
      <c r="B687" s="30" t="inlineStr">
        <is>
          <t>Itaguai</t>
        </is>
      </c>
      <c r="C687" s="30" t="n">
        <v>71390675</v>
      </c>
      <c r="D687" s="30">
        <f>"00091960720"</f>
        <v/>
      </c>
      <c r="E687" s="30" t="inlineStr">
        <is>
          <t>FERNANDO MAGALHAES</t>
        </is>
      </c>
      <c r="F687" s="40" t="n">
        <v>172400</v>
      </c>
      <c r="G687" s="40" t="n">
        <v>0</v>
      </c>
      <c r="H687" s="40" t="n">
        <v>17500</v>
      </c>
      <c r="I687" s="40" t="n">
        <v>0</v>
      </c>
      <c r="J687" s="40" t="n">
        <v>0</v>
      </c>
      <c r="K687" s="40" t="n">
        <v>0</v>
      </c>
      <c r="L687" s="40" t="n">
        <v>0</v>
      </c>
    </row>
    <row r="688" ht="12" customHeight="1">
      <c r="A688" s="30" t="inlineStr">
        <is>
          <t>ITG</t>
        </is>
      </c>
      <c r="B688" s="30" t="inlineStr">
        <is>
          <t>Itaguai</t>
        </is>
      </c>
      <c r="C688" s="30" t="n">
        <v>71390705</v>
      </c>
      <c r="D688" s="30">
        <f>"47988371720"</f>
        <v/>
      </c>
      <c r="E688" s="30" t="inlineStr">
        <is>
          <t>TATSUSHI KAJISHIMA</t>
        </is>
      </c>
      <c r="F688" s="40" t="n">
        <v>0</v>
      </c>
      <c r="G688" s="40" t="n">
        <v>0</v>
      </c>
      <c r="H688" s="40" t="n">
        <v>0</v>
      </c>
      <c r="I688" s="40" t="n">
        <v>234473</v>
      </c>
      <c r="J688" s="40" t="n">
        <v>340802</v>
      </c>
      <c r="K688" s="40" t="n">
        <v>74753</v>
      </c>
      <c r="L688" s="40" t="n">
        <v>0</v>
      </c>
    </row>
    <row r="689" ht="12" customHeight="1">
      <c r="A689" s="30" t="inlineStr">
        <is>
          <t>ITG</t>
        </is>
      </c>
      <c r="B689" s="30" t="inlineStr">
        <is>
          <t>Itaguai</t>
        </is>
      </c>
      <c r="C689" s="30" t="n">
        <v>71390985</v>
      </c>
      <c r="D689" s="30">
        <f>"53510097734"</f>
        <v/>
      </c>
      <c r="E689" s="30" t="inlineStr">
        <is>
          <t>FERNANDO HISASHI WATANABE</t>
        </is>
      </c>
      <c r="F689" s="40" t="n">
        <v>0</v>
      </c>
      <c r="G689" s="40" t="n">
        <v>0</v>
      </c>
      <c r="H689" s="40" t="n">
        <v>0</v>
      </c>
      <c r="I689" s="40" t="n">
        <v>71190</v>
      </c>
      <c r="J689" s="40" t="n">
        <v>0</v>
      </c>
      <c r="K689" s="40" t="n">
        <v>10</v>
      </c>
      <c r="L689" s="40" t="n">
        <v>0</v>
      </c>
    </row>
    <row r="690" ht="12" customHeight="1">
      <c r="A690" s="30" t="inlineStr">
        <is>
          <t>ITG</t>
        </is>
      </c>
      <c r="B690" s="30" t="inlineStr">
        <is>
          <t>Itaguai</t>
        </is>
      </c>
      <c r="C690" s="30" t="n">
        <v>71391132</v>
      </c>
      <c r="D690" s="30">
        <f>"00004775660659"</f>
        <v/>
      </c>
      <c r="E690" s="30" t="inlineStr">
        <is>
          <t>ALTAIR JOSE CERQUEIRA</t>
        </is>
      </c>
      <c r="F690" s="40" t="n">
        <v>0</v>
      </c>
      <c r="G690" s="40" t="n">
        <v>0</v>
      </c>
      <c r="H690" s="40" t="n">
        <v>0</v>
      </c>
      <c r="I690" s="40" t="n">
        <v>0</v>
      </c>
      <c r="J690" s="40" t="n">
        <v>0</v>
      </c>
      <c r="K690" s="40" t="n">
        <v>0</v>
      </c>
      <c r="L690" s="40" t="n">
        <v>0</v>
      </c>
    </row>
    <row r="691" ht="12" customHeight="1">
      <c r="A691" s="30" t="inlineStr">
        <is>
          <t>ITG</t>
        </is>
      </c>
      <c r="B691" s="30" t="inlineStr">
        <is>
          <t>Itaguai</t>
        </is>
      </c>
      <c r="C691" s="30" t="n">
        <v>71391361</v>
      </c>
      <c r="D691" s="30">
        <f>"20434723720"</f>
        <v/>
      </c>
      <c r="E691" s="30" t="inlineStr">
        <is>
          <t>JOSE CELSO DA COSTA</t>
        </is>
      </c>
      <c r="F691" s="40" t="n">
        <v>0</v>
      </c>
      <c r="G691" s="40" t="n">
        <v>8970</v>
      </c>
      <c r="H691" s="40" t="n">
        <v>10764</v>
      </c>
      <c r="I691" s="40" t="n">
        <v>10500</v>
      </c>
      <c r="J691" s="40" t="n">
        <v>15520</v>
      </c>
      <c r="K691" s="40" t="n">
        <v>17526</v>
      </c>
      <c r="L691" s="40" t="n">
        <v>18965</v>
      </c>
    </row>
    <row r="692" ht="12" customHeight="1">
      <c r="A692" s="30" t="inlineStr">
        <is>
          <t>ITG</t>
        </is>
      </c>
      <c r="B692" s="30" t="inlineStr">
        <is>
          <t>Itaguai</t>
        </is>
      </c>
      <c r="C692" s="30" t="n">
        <v>71391566</v>
      </c>
      <c r="D692" s="30">
        <f>"11516445791"</f>
        <v/>
      </c>
      <c r="E692" s="30" t="inlineStr">
        <is>
          <t>JOAO ALVES MATOSO</t>
        </is>
      </c>
      <c r="F692" s="40" t="n">
        <v>28630</v>
      </c>
      <c r="G692" s="40" t="n">
        <v>28630</v>
      </c>
      <c r="H692" s="40" t="n">
        <v>0</v>
      </c>
      <c r="I692" s="40" t="n">
        <v>28320</v>
      </c>
      <c r="J692" s="40" t="n">
        <v>0</v>
      </c>
      <c r="K692" s="40" t="n">
        <v>0</v>
      </c>
      <c r="L692" s="40" t="n">
        <v>0</v>
      </c>
    </row>
    <row r="693" ht="12" customHeight="1">
      <c r="A693" s="30" t="inlineStr">
        <is>
          <t>ITG</t>
        </is>
      </c>
      <c r="B693" s="30" t="inlineStr">
        <is>
          <t>Itaguai</t>
        </is>
      </c>
      <c r="C693" s="30" t="n">
        <v>71392007</v>
      </c>
      <c r="D693" s="30">
        <f>"41790316715"</f>
        <v/>
      </c>
      <c r="E693" s="30" t="inlineStr">
        <is>
          <t>ALTAMIRO GOMES DA SILVA</t>
        </is>
      </c>
      <c r="F693" s="40" t="n">
        <v>0</v>
      </c>
      <c r="G693" s="40" t="n">
        <v>0</v>
      </c>
      <c r="H693" s="40" t="n">
        <v>0</v>
      </c>
      <c r="I693" s="40" t="n">
        <v>0</v>
      </c>
      <c r="J693" s="40" t="n">
        <v>0</v>
      </c>
      <c r="K693" s="40" t="n">
        <v>0</v>
      </c>
      <c r="L693" s="40" t="n">
        <v>0</v>
      </c>
    </row>
    <row r="694" ht="12" customHeight="1">
      <c r="A694" s="30" t="inlineStr">
        <is>
          <t>ITG</t>
        </is>
      </c>
      <c r="B694" s="30" t="inlineStr">
        <is>
          <t>Itaguai</t>
        </is>
      </c>
      <c r="C694" s="30" t="n">
        <v>71392104</v>
      </c>
      <c r="D694" s="30">
        <f>"43401244787"</f>
        <v/>
      </c>
      <c r="E694" s="30" t="inlineStr">
        <is>
          <t>LHOSO WATANABE</t>
        </is>
      </c>
      <c r="F694" s="40" t="n">
        <v>0</v>
      </c>
      <c r="G694" s="40" t="n">
        <v>0</v>
      </c>
      <c r="H694" s="40" t="n">
        <v>0</v>
      </c>
      <c r="I694" s="40" t="n">
        <v>108453</v>
      </c>
      <c r="J694" s="40" t="n">
        <v>2445</v>
      </c>
      <c r="K694" s="40" t="n">
        <v>0</v>
      </c>
      <c r="L694" s="40" t="n">
        <v>7900</v>
      </c>
    </row>
    <row r="695" ht="12" customHeight="1">
      <c r="A695" s="30" t="inlineStr">
        <is>
          <t>ITG</t>
        </is>
      </c>
      <c r="B695" s="30" t="inlineStr">
        <is>
          <t>Itaguai</t>
        </is>
      </c>
      <c r="C695" s="30" t="n">
        <v>71392155</v>
      </c>
      <c r="D695" s="30">
        <f>"54341809768"</f>
        <v/>
      </c>
      <c r="E695" s="30" t="inlineStr">
        <is>
          <t>MARIA IVONETE DA SILVA</t>
        </is>
      </c>
      <c r="F695" s="40" t="n">
        <v>0</v>
      </c>
      <c r="G695" s="40" t="n">
        <v>0</v>
      </c>
      <c r="H695" s="40" t="n">
        <v>0</v>
      </c>
      <c r="I695" s="40" t="n">
        <v>2700</v>
      </c>
      <c r="J695" s="40" t="n">
        <v>1350</v>
      </c>
      <c r="K695" s="40" t="n">
        <v>0</v>
      </c>
      <c r="L695" s="40" t="n">
        <v>0</v>
      </c>
    </row>
    <row r="696" ht="12" customHeight="1">
      <c r="A696" s="30" t="inlineStr">
        <is>
          <t>ITG</t>
        </is>
      </c>
      <c r="B696" s="30" t="inlineStr">
        <is>
          <t>Itaguai</t>
        </is>
      </c>
      <c r="C696" s="30" t="n">
        <v>71392210</v>
      </c>
      <c r="D696" s="30">
        <f>"52358950700"</f>
        <v/>
      </c>
      <c r="E696" s="30" t="inlineStr">
        <is>
          <t>CHARLES ROSA AFFONSO</t>
        </is>
      </c>
      <c r="F696" s="40" t="n">
        <v>0</v>
      </c>
      <c r="G696" s="40" t="n">
        <v>0</v>
      </c>
      <c r="H696" s="40" t="n">
        <v>0</v>
      </c>
      <c r="I696" s="40" t="n">
        <v>0</v>
      </c>
      <c r="J696" s="40" t="n">
        <v>0</v>
      </c>
      <c r="K696" s="40" t="n">
        <v>0</v>
      </c>
      <c r="L696" s="40" t="n">
        <v>0</v>
      </c>
    </row>
    <row r="697" ht="12" customHeight="1">
      <c r="A697" s="30" t="inlineStr">
        <is>
          <t>ITG</t>
        </is>
      </c>
      <c r="B697" s="30" t="inlineStr">
        <is>
          <t>Itaguai</t>
        </is>
      </c>
      <c r="C697" s="30" t="n">
        <v>71392350</v>
      </c>
      <c r="D697" s="30">
        <f>"10817212787"</f>
        <v/>
      </c>
      <c r="E697" s="30" t="inlineStr">
        <is>
          <t>WANTOYR DE AZEVEDO FRANCO</t>
        </is>
      </c>
      <c r="F697" s="40" t="n">
        <v>0</v>
      </c>
      <c r="G697" s="40" t="n">
        <v>0</v>
      </c>
      <c r="H697" s="40" t="n">
        <v>0</v>
      </c>
      <c r="I697" s="40" t="n">
        <v>0</v>
      </c>
      <c r="J697" s="40" t="n">
        <v>0</v>
      </c>
      <c r="K697" s="40" t="n">
        <v>0</v>
      </c>
      <c r="L697" s="40" t="n">
        <v>0</v>
      </c>
    </row>
    <row r="698" ht="12" customHeight="1">
      <c r="A698" s="30" t="inlineStr">
        <is>
          <t>ITG</t>
        </is>
      </c>
      <c r="B698" s="30" t="inlineStr">
        <is>
          <t>Itaguai</t>
        </is>
      </c>
      <c r="C698" s="30" t="n">
        <v>71392716</v>
      </c>
      <c r="D698" s="30">
        <f>"47752890715"</f>
        <v/>
      </c>
      <c r="E698" s="30" t="inlineStr">
        <is>
          <t>CARLOS NAHOYUKI MAEDA</t>
        </is>
      </c>
      <c r="F698" s="40" t="n">
        <v>0</v>
      </c>
      <c r="G698" s="40" t="n">
        <v>0</v>
      </c>
      <c r="H698" s="40" t="n">
        <v>0</v>
      </c>
      <c r="I698" s="40" t="n">
        <v>29460</v>
      </c>
      <c r="J698" s="40" t="n">
        <v>1205</v>
      </c>
      <c r="K698" s="40" t="n">
        <v>42740</v>
      </c>
      <c r="L698" s="40" t="n">
        <v>0</v>
      </c>
    </row>
    <row r="699" ht="12" customHeight="1">
      <c r="A699" s="30" t="inlineStr">
        <is>
          <t>ITG</t>
        </is>
      </c>
      <c r="B699" s="30" t="inlineStr">
        <is>
          <t>Itaguai</t>
        </is>
      </c>
      <c r="C699" s="30" t="n">
        <v>71392856</v>
      </c>
      <c r="D699" s="30">
        <f>"02160170844"</f>
        <v/>
      </c>
      <c r="E699" s="30" t="inlineStr">
        <is>
          <t>HITACI ONUKI</t>
        </is>
      </c>
      <c r="F699" s="40" t="n">
        <v>0</v>
      </c>
      <c r="G699" s="40" t="n">
        <v>1</v>
      </c>
      <c r="H699" s="40" t="n">
        <v>0</v>
      </c>
      <c r="I699" s="40" t="n">
        <v>1</v>
      </c>
      <c r="J699" s="40" t="n">
        <v>1</v>
      </c>
      <c r="K699" s="40" t="n">
        <v>0.01</v>
      </c>
      <c r="L699" s="40" t="n">
        <v>0.1</v>
      </c>
    </row>
    <row r="700" ht="12" customHeight="1">
      <c r="A700" s="30" t="inlineStr">
        <is>
          <t>ITG</t>
        </is>
      </c>
      <c r="B700" s="30" t="inlineStr">
        <is>
          <t>Itaguai</t>
        </is>
      </c>
      <c r="C700" s="30" t="n">
        <v>71652556</v>
      </c>
      <c r="D700" s="30">
        <f>"30480159734"</f>
        <v/>
      </c>
      <c r="E700" s="30" t="inlineStr">
        <is>
          <t>MANOEL ARRUDA</t>
        </is>
      </c>
      <c r="F700" s="40" t="n">
        <v>0</v>
      </c>
      <c r="G700" s="40" t="n">
        <v>120</v>
      </c>
      <c r="H700" s="40" t="n">
        <v>0</v>
      </c>
      <c r="I700" s="40" t="n">
        <v>0</v>
      </c>
      <c r="J700" s="40" t="n">
        <v>0</v>
      </c>
      <c r="K700" s="40" t="n">
        <v>0</v>
      </c>
      <c r="L700" s="40" t="n">
        <v>0</v>
      </c>
    </row>
    <row r="701" ht="12" customHeight="1">
      <c r="A701" s="30" t="inlineStr">
        <is>
          <t>ITG</t>
        </is>
      </c>
      <c r="B701" s="30" t="inlineStr">
        <is>
          <t>Itaguai</t>
        </is>
      </c>
      <c r="C701" s="30" t="n">
        <v>71686132</v>
      </c>
      <c r="D701" s="30">
        <f>"11516305787"</f>
        <v/>
      </c>
      <c r="E701" s="30" t="inlineStr">
        <is>
          <t>YOSHIO YAHAGI</t>
        </is>
      </c>
      <c r="F701" s="40" t="n">
        <v>0</v>
      </c>
      <c r="G701" s="40" t="n">
        <v>0</v>
      </c>
      <c r="H701" s="40" t="n">
        <v>0</v>
      </c>
      <c r="I701" s="40" t="n">
        <v>0</v>
      </c>
      <c r="J701" s="40" t="n">
        <v>0</v>
      </c>
      <c r="K701" s="40" t="n">
        <v>0</v>
      </c>
      <c r="L701" s="40" t="n">
        <v>0</v>
      </c>
    </row>
    <row r="702" ht="12" customHeight="1">
      <c r="A702" s="30" t="inlineStr">
        <is>
          <t>ITG</t>
        </is>
      </c>
      <c r="B702" s="30" t="inlineStr">
        <is>
          <t>Itaguai</t>
        </is>
      </c>
      <c r="C702" s="30" t="n">
        <v>71686159</v>
      </c>
      <c r="D702" s="30">
        <f>"11538562715"</f>
        <v/>
      </c>
      <c r="E702" s="30" t="inlineStr">
        <is>
          <t>JOAO TAVARES DE AGUIAR</t>
        </is>
      </c>
      <c r="F702" s="40" t="n">
        <v>66267</v>
      </c>
      <c r="G702" s="40" t="n">
        <v>79502</v>
      </c>
      <c r="H702" s="40" t="n">
        <v>44744</v>
      </c>
      <c r="I702" s="40" t="n">
        <v>52025</v>
      </c>
      <c r="J702" s="40" t="n">
        <v>665535</v>
      </c>
      <c r="K702" s="40" t="n">
        <v>41152</v>
      </c>
      <c r="L702" s="40" t="n">
        <v>40555</v>
      </c>
    </row>
    <row r="703" ht="12" customHeight="1">
      <c r="A703" s="30" t="inlineStr">
        <is>
          <t>ITG</t>
        </is>
      </c>
      <c r="B703" s="30" t="inlineStr">
        <is>
          <t>Itaguai</t>
        </is>
      </c>
      <c r="C703" s="30" t="n">
        <v>71686272</v>
      </c>
      <c r="D703" s="30">
        <f>"02956292749"</f>
        <v/>
      </c>
      <c r="E703" s="30" t="inlineStr">
        <is>
          <t>LACIR SENDRA PITA</t>
        </is>
      </c>
      <c r="F703" s="40" t="n">
        <v>0</v>
      </c>
      <c r="G703" s="40" t="n">
        <v>0</v>
      </c>
      <c r="H703" s="40" t="n">
        <v>0</v>
      </c>
      <c r="I703" s="40" t="n">
        <v>0</v>
      </c>
      <c r="J703" s="40" t="n">
        <v>0</v>
      </c>
      <c r="K703" s="40" t="n">
        <v>0</v>
      </c>
      <c r="L703" s="40" t="n">
        <v>0</v>
      </c>
    </row>
    <row r="704" ht="12" customHeight="1">
      <c r="A704" s="30" t="inlineStr">
        <is>
          <t>ITG</t>
        </is>
      </c>
      <c r="B704" s="30" t="inlineStr">
        <is>
          <t>Itaguai</t>
        </is>
      </c>
      <c r="C704" s="30" t="n">
        <v>71686566</v>
      </c>
      <c r="D704" s="30">
        <f>"22339515700"</f>
        <v/>
      </c>
      <c r="E704" s="30" t="inlineStr">
        <is>
          <t>ANTONIO LUIZ GANDRA FILHO</t>
        </is>
      </c>
      <c r="F704" s="40" t="n">
        <v>1500</v>
      </c>
      <c r="G704" s="40" t="n">
        <v>0</v>
      </c>
      <c r="H704" s="40" t="n">
        <v>0</v>
      </c>
      <c r="I704" s="40" t="n">
        <v>0</v>
      </c>
      <c r="J704" s="40" t="n">
        <v>0</v>
      </c>
      <c r="K704" s="40" t="n">
        <v>0</v>
      </c>
      <c r="L704" s="40" t="n">
        <v>0</v>
      </c>
    </row>
    <row r="705" ht="12" customHeight="1">
      <c r="A705" s="30" t="inlineStr">
        <is>
          <t>ITG</t>
        </is>
      </c>
      <c r="B705" s="30" t="inlineStr">
        <is>
          <t>Itaguai</t>
        </is>
      </c>
      <c r="C705" s="30" t="n">
        <v>71686710</v>
      </c>
      <c r="D705" s="30">
        <f>"11512407704"</f>
        <v/>
      </c>
      <c r="E705" s="30" t="inlineStr">
        <is>
          <t>CRESIO ANDRIOLO MELGAÇO</t>
        </is>
      </c>
      <c r="F705" s="40" t="n">
        <v>1500</v>
      </c>
      <c r="G705" s="40" t="n">
        <v>0</v>
      </c>
      <c r="H705" s="40" t="n">
        <v>3020</v>
      </c>
      <c r="I705" s="40" t="n">
        <v>3100</v>
      </c>
      <c r="J705" s="40" t="n">
        <v>2900</v>
      </c>
      <c r="K705" s="40" t="n">
        <v>3000</v>
      </c>
      <c r="L705" s="40" t="n">
        <v>3000</v>
      </c>
    </row>
    <row r="706" ht="12" customHeight="1">
      <c r="A706" s="30" t="inlineStr">
        <is>
          <t>ITG</t>
        </is>
      </c>
      <c r="B706" s="30" t="inlineStr">
        <is>
          <t>Itaguai</t>
        </is>
      </c>
      <c r="C706" s="30" t="n">
        <v>71687163</v>
      </c>
      <c r="D706" s="30">
        <f>"05354030706"</f>
        <v/>
      </c>
      <c r="E706" s="30" t="inlineStr">
        <is>
          <t>SIRLEO RIBEIRO MAIA</t>
        </is>
      </c>
      <c r="F706" s="40" t="n">
        <v>0</v>
      </c>
      <c r="G706" s="40" t="n">
        <v>0</v>
      </c>
      <c r="H706" s="40" t="n">
        <v>0</v>
      </c>
      <c r="I706" s="40" t="n">
        <v>0</v>
      </c>
      <c r="J706" s="40" t="n">
        <v>0</v>
      </c>
      <c r="K706" s="40" t="n">
        <v>0</v>
      </c>
      <c r="L706" s="40" t="n">
        <v>0</v>
      </c>
    </row>
    <row r="707" ht="12" customHeight="1">
      <c r="A707" s="30" t="inlineStr">
        <is>
          <t>ITG</t>
        </is>
      </c>
      <c r="B707" s="30" t="inlineStr">
        <is>
          <t>Itaguai</t>
        </is>
      </c>
      <c r="C707" s="30" t="n">
        <v>71687376</v>
      </c>
      <c r="D707" s="30">
        <f>"46438904791"</f>
        <v/>
      </c>
      <c r="E707" s="30" t="inlineStr">
        <is>
          <t>DENERVAL CONSTANTINO DA SILVA</t>
        </is>
      </c>
      <c r="F707" s="40" t="n">
        <v>27031</v>
      </c>
      <c r="G707" s="40" t="n">
        <v>3070</v>
      </c>
      <c r="H707" s="40" t="n">
        <v>7310</v>
      </c>
      <c r="I707" s="40" t="n">
        <v>4430</v>
      </c>
      <c r="J707" s="40" t="n">
        <v>0</v>
      </c>
      <c r="K707" s="40" t="n">
        <v>0</v>
      </c>
      <c r="L707" s="40" t="n">
        <v>0</v>
      </c>
    </row>
    <row r="708" ht="12" customHeight="1">
      <c r="A708" s="30" t="inlineStr">
        <is>
          <t>ITG</t>
        </is>
      </c>
      <c r="B708" s="30" t="inlineStr">
        <is>
          <t>Itaguai</t>
        </is>
      </c>
      <c r="C708" s="30" t="n">
        <v>71687805</v>
      </c>
      <c r="D708" s="30">
        <f>"03434028749"</f>
        <v/>
      </c>
      <c r="E708" s="30" t="inlineStr">
        <is>
          <t>VALDEVINO DE SOUZA CAVACANTE</t>
        </is>
      </c>
      <c r="F708" s="40" t="n">
        <v>8000</v>
      </c>
      <c r="G708" s="40" t="n">
        <v>5000</v>
      </c>
      <c r="H708" s="40" t="n">
        <v>0</v>
      </c>
      <c r="I708" s="40" t="n">
        <v>0</v>
      </c>
      <c r="J708" s="40" t="n">
        <v>0</v>
      </c>
      <c r="K708" s="40" t="n">
        <v>0</v>
      </c>
      <c r="L708" s="40" t="n">
        <v>0</v>
      </c>
    </row>
    <row r="709" ht="12" customHeight="1">
      <c r="A709" s="30" t="inlineStr">
        <is>
          <t>ITG</t>
        </is>
      </c>
      <c r="B709" s="30" t="inlineStr">
        <is>
          <t>Itaguai</t>
        </is>
      </c>
      <c r="C709" s="30" t="n">
        <v>71687961</v>
      </c>
      <c r="D709" s="30">
        <f>"73537268734"</f>
        <v/>
      </c>
      <c r="E709" s="30" t="inlineStr">
        <is>
          <t>ROGERIO COUTO PEREIRA</t>
        </is>
      </c>
      <c r="F709" s="40" t="n">
        <v>28550</v>
      </c>
      <c r="G709" s="40" t="n">
        <v>900</v>
      </c>
      <c r="H709" s="40" t="n">
        <v>1265</v>
      </c>
      <c r="I709" s="40" t="n">
        <v>24822</v>
      </c>
      <c r="J709" s="40" t="n">
        <v>47184</v>
      </c>
      <c r="K709" s="40" t="n">
        <v>8847</v>
      </c>
      <c r="L709" s="40" t="n">
        <v>3488</v>
      </c>
    </row>
    <row r="710" ht="12" customHeight="1">
      <c r="A710" s="30" t="inlineStr">
        <is>
          <t>ITG</t>
        </is>
      </c>
      <c r="B710" s="30" t="inlineStr">
        <is>
          <t>Itaguai</t>
        </is>
      </c>
      <c r="C710" s="30" t="n">
        <v>72039920</v>
      </c>
      <c r="D710" s="30">
        <f>"48468940704"</f>
        <v/>
      </c>
      <c r="E710" s="30" t="inlineStr">
        <is>
          <t>PEDRO DOS SANTOS DIAS</t>
        </is>
      </c>
      <c r="F710" s="40" t="n">
        <v>3500</v>
      </c>
      <c r="G710" s="40" t="n">
        <v>0</v>
      </c>
      <c r="H710" s="40" t="n">
        <v>0</v>
      </c>
      <c r="I710" s="40" t="n">
        <v>0</v>
      </c>
      <c r="J710" s="40" t="n">
        <v>0</v>
      </c>
      <c r="K710" s="40" t="n">
        <v>0</v>
      </c>
      <c r="L710" s="40" t="n">
        <v>0</v>
      </c>
    </row>
    <row r="711" ht="12" customHeight="1">
      <c r="A711" s="30" t="inlineStr">
        <is>
          <t>ITG</t>
        </is>
      </c>
      <c r="B711" s="30" t="inlineStr">
        <is>
          <t>Itaguai</t>
        </is>
      </c>
      <c r="C711" s="30" t="n">
        <v>72058887</v>
      </c>
      <c r="D711" s="30">
        <f>"44782101791"</f>
        <v/>
      </c>
      <c r="E711" s="30" t="inlineStr">
        <is>
          <t>ANDRE CLEMENTINO TEIXEIRA</t>
        </is>
      </c>
      <c r="F711" s="40" t="n">
        <v>12000</v>
      </c>
      <c r="G711" s="40" t="n">
        <v>13500</v>
      </c>
      <c r="H711" s="40" t="n">
        <v>24650</v>
      </c>
      <c r="I711" s="40" t="n">
        <v>20243</v>
      </c>
      <c r="J711" s="40" t="n">
        <v>13749</v>
      </c>
      <c r="K711" s="40" t="n">
        <v>18355</v>
      </c>
      <c r="L711" s="40" t="n">
        <v>20213</v>
      </c>
    </row>
    <row r="712" ht="12" customHeight="1">
      <c r="A712" s="30" t="inlineStr">
        <is>
          <t>ITG</t>
        </is>
      </c>
      <c r="B712" s="30" t="inlineStr">
        <is>
          <t>Itaguai</t>
        </is>
      </c>
      <c r="C712" s="30" t="n">
        <v>72071247</v>
      </c>
      <c r="D712" s="30">
        <f>"21524661791"</f>
        <v/>
      </c>
      <c r="E712" s="30" t="inlineStr">
        <is>
          <t>LEONEL MARQUES</t>
        </is>
      </c>
      <c r="F712" s="40" t="n">
        <v>27443</v>
      </c>
      <c r="G712" s="40" t="n">
        <v>6925</v>
      </c>
      <c r="H712" s="40" t="n">
        <v>0</v>
      </c>
      <c r="I712" s="40" t="n">
        <v>0</v>
      </c>
      <c r="J712" s="40" t="n">
        <v>0</v>
      </c>
      <c r="K712" s="40" t="n">
        <v>0</v>
      </c>
      <c r="L712" s="40" t="n">
        <v>0</v>
      </c>
    </row>
    <row r="713" ht="12" customHeight="1">
      <c r="A713" s="30" t="inlineStr">
        <is>
          <t>ITG</t>
        </is>
      </c>
      <c r="B713" s="30" t="inlineStr">
        <is>
          <t>Itaguai</t>
        </is>
      </c>
      <c r="C713" s="30" t="n">
        <v>72079892</v>
      </c>
      <c r="D713" s="30">
        <f>"25730118015"</f>
        <v/>
      </c>
      <c r="E713" s="30" t="inlineStr">
        <is>
          <t>JOSE ANTONIO ASSIS SCOTTON</t>
        </is>
      </c>
      <c r="F713" s="40" t="n">
        <v>19745</v>
      </c>
      <c r="G713" s="40" t="n">
        <v>18860</v>
      </c>
      <c r="H713" s="40" t="n">
        <v>25361</v>
      </c>
      <c r="I713" s="40" t="n">
        <v>28894</v>
      </c>
      <c r="J713" s="40" t="n">
        <v>15841</v>
      </c>
      <c r="K713" s="40" t="n">
        <v>0</v>
      </c>
      <c r="L713" s="40" t="n">
        <v>0</v>
      </c>
    </row>
    <row r="714" ht="12" customHeight="1">
      <c r="A714" s="30" t="inlineStr">
        <is>
          <t>ITG</t>
        </is>
      </c>
      <c r="B714" s="30" t="inlineStr">
        <is>
          <t>Itaguai</t>
        </is>
      </c>
      <c r="C714" s="30" t="n">
        <v>72085663</v>
      </c>
      <c r="D714" s="30">
        <f>"05565358710"</f>
        <v/>
      </c>
      <c r="E714" s="30" t="inlineStr">
        <is>
          <t>FELIPE GIMENES GONCALVES RAUNHEITTI G</t>
        </is>
      </c>
      <c r="F714" s="40" t="n">
        <v>363817.16</v>
      </c>
      <c r="G714" s="40" t="n">
        <v>0</v>
      </c>
      <c r="H714" s="40" t="n">
        <v>0</v>
      </c>
      <c r="I714" s="40" t="n">
        <v>0</v>
      </c>
      <c r="J714" s="40" t="n">
        <v>0</v>
      </c>
      <c r="K714" s="40" t="n">
        <v>0</v>
      </c>
      <c r="L714" s="40" t="n">
        <v>0</v>
      </c>
    </row>
    <row r="715" ht="12" customHeight="1">
      <c r="A715" s="30" t="inlineStr">
        <is>
          <t>ITG</t>
        </is>
      </c>
      <c r="B715" s="30" t="inlineStr">
        <is>
          <t>Itaguai</t>
        </is>
      </c>
      <c r="C715" s="30" t="n">
        <v>72090683</v>
      </c>
      <c r="D715" s="30">
        <f>"32918879720"</f>
        <v/>
      </c>
      <c r="E715" s="30" t="inlineStr">
        <is>
          <t>EDSON DE SOUZA SILVA</t>
        </is>
      </c>
      <c r="F715" s="40" t="n">
        <v>180839</v>
      </c>
      <c r="G715" s="40" t="n">
        <v>0</v>
      </c>
      <c r="H715" s="40" t="n">
        <v>0</v>
      </c>
      <c r="I715" s="40" t="n">
        <v>0</v>
      </c>
      <c r="J715" s="40" t="n">
        <v>0</v>
      </c>
      <c r="K715" s="40" t="n">
        <v>0</v>
      </c>
      <c r="L715" s="40" t="n">
        <v>0</v>
      </c>
    </row>
    <row r="716" ht="12" customHeight="1">
      <c r="A716" s="30" t="inlineStr">
        <is>
          <t>ITG</t>
        </is>
      </c>
      <c r="B716" s="30" t="inlineStr">
        <is>
          <t>Itaguai</t>
        </is>
      </c>
      <c r="C716" s="30" t="n">
        <v>72097629</v>
      </c>
      <c r="D716" s="30">
        <f>"03527592750"</f>
        <v/>
      </c>
      <c r="E716" s="30" t="inlineStr">
        <is>
          <t>MARCOS ANTONIO PEIXOTO DA FONSECA</t>
        </is>
      </c>
      <c r="F716" s="40" t="n">
        <v>2927564.62</v>
      </c>
      <c r="G716" s="40" t="n">
        <v>2217375.72</v>
      </c>
      <c r="H716" s="40" t="n">
        <v>4794842.34</v>
      </c>
      <c r="I716" s="40" t="n">
        <v>10930291.13</v>
      </c>
      <c r="J716" s="40" t="n">
        <v>18003421.74</v>
      </c>
      <c r="K716" s="40" t="n">
        <v>173264</v>
      </c>
      <c r="L716" s="40" t="n">
        <v>0</v>
      </c>
    </row>
    <row r="717" ht="12" customHeight="1">
      <c r="A717" s="30" t="inlineStr">
        <is>
          <t>ITG</t>
        </is>
      </c>
      <c r="B717" s="30" t="inlineStr">
        <is>
          <t>Itaguai</t>
        </is>
      </c>
      <c r="C717" s="30" t="n">
        <v>72142829</v>
      </c>
      <c r="D717" s="30">
        <f>"02426552700"</f>
        <v/>
      </c>
      <c r="E717" s="30" t="inlineStr">
        <is>
          <t>LUIZ CARLOS DE CARVALHO STUDART</t>
        </is>
      </c>
      <c r="F717" s="40" t="n">
        <v>37400</v>
      </c>
      <c r="G717" s="40" t="n">
        <v>87620</v>
      </c>
      <c r="H717" s="40" t="n">
        <v>55300</v>
      </c>
      <c r="I717" s="40" t="n">
        <v>0</v>
      </c>
      <c r="J717" s="40" t="n">
        <v>0</v>
      </c>
      <c r="K717" s="40" t="n">
        <v>0</v>
      </c>
      <c r="L717" s="40" t="n">
        <v>0</v>
      </c>
    </row>
    <row r="718" ht="12" customHeight="1">
      <c r="A718" s="30" t="inlineStr">
        <is>
          <t>ITG</t>
        </is>
      </c>
      <c r="B718" s="30" t="inlineStr">
        <is>
          <t>Itaguai</t>
        </is>
      </c>
      <c r="C718" s="30" t="n">
        <v>72162544</v>
      </c>
      <c r="D718" s="30">
        <f>"01972624733"</f>
        <v/>
      </c>
      <c r="E718" s="30" t="inlineStr">
        <is>
          <t>PEDRO PACHECO DA SILVA</t>
        </is>
      </c>
      <c r="F718" s="40" t="n">
        <v>0</v>
      </c>
      <c r="G718" s="40" t="n">
        <v>19340.67</v>
      </c>
      <c r="H718" s="40" t="n">
        <v>0</v>
      </c>
      <c r="I718" s="40" t="n">
        <v>0</v>
      </c>
      <c r="J718" s="40" t="n">
        <v>0</v>
      </c>
      <c r="K718" s="40" t="n">
        <v>0</v>
      </c>
      <c r="L718" s="40" t="n">
        <v>0</v>
      </c>
    </row>
    <row r="719" ht="12" customHeight="1">
      <c r="A719" s="30" t="inlineStr">
        <is>
          <t>ITG</t>
        </is>
      </c>
      <c r="B719" s="30" t="inlineStr">
        <is>
          <t>Itaguai</t>
        </is>
      </c>
      <c r="C719" s="30" t="n">
        <v>72169310</v>
      </c>
      <c r="D719" s="30">
        <f>"03248969725"</f>
        <v/>
      </c>
      <c r="E719" s="30" t="inlineStr">
        <is>
          <t>VILMAR DOS SANTOS  CAVALCANTE</t>
        </is>
      </c>
      <c r="F719" s="40" t="n">
        <v>5200</v>
      </c>
      <c r="G719" s="40" t="n">
        <v>8500</v>
      </c>
      <c r="H719" s="40" t="n">
        <v>20000</v>
      </c>
      <c r="I719" s="40" t="n">
        <v>5500</v>
      </c>
      <c r="J719" s="40" t="n">
        <v>12000</v>
      </c>
      <c r="K719" s="40" t="n">
        <v>10000</v>
      </c>
      <c r="L719" s="40" t="n">
        <v>12960</v>
      </c>
    </row>
    <row r="720" ht="12" customHeight="1">
      <c r="A720" s="30" t="inlineStr">
        <is>
          <t>ITG</t>
        </is>
      </c>
      <c r="B720" s="30" t="inlineStr">
        <is>
          <t>Itaguai</t>
        </is>
      </c>
      <c r="C720" s="30" t="n">
        <v>72235770</v>
      </c>
      <c r="D720" s="30">
        <f>"00008437769"</f>
        <v/>
      </c>
      <c r="E720" s="30" t="inlineStr">
        <is>
          <t>MARGARETH SOARES MELGACO</t>
        </is>
      </c>
      <c r="F720" s="40" t="n">
        <v>0</v>
      </c>
      <c r="G720" s="40" t="n">
        <v>0</v>
      </c>
      <c r="H720" s="40" t="n">
        <v>0</v>
      </c>
      <c r="I720" s="40" t="n">
        <v>2760</v>
      </c>
      <c r="J720" s="40" t="n">
        <v>0</v>
      </c>
      <c r="K720" s="40" t="n">
        <v>0</v>
      </c>
      <c r="L720" s="40" t="n">
        <v>0</v>
      </c>
    </row>
    <row r="721" ht="12" customHeight="1">
      <c r="A721" s="30" t="inlineStr">
        <is>
          <t>ITG</t>
        </is>
      </c>
      <c r="B721" s="30" t="inlineStr">
        <is>
          <t>Itaguai</t>
        </is>
      </c>
      <c r="C721" s="30" t="n">
        <v>72253337</v>
      </c>
      <c r="D721" s="30">
        <f>"03364746796"</f>
        <v/>
      </c>
      <c r="E721" s="30" t="inlineStr">
        <is>
          <t>GUILHERME MORAIS MACHADO</t>
        </is>
      </c>
      <c r="F721" s="40" t="n">
        <v>14120</v>
      </c>
      <c r="G721" s="40" t="n">
        <v>190904</v>
      </c>
      <c r="H721" s="40" t="n">
        <v>0</v>
      </c>
      <c r="I721" s="40" t="n">
        <v>83625</v>
      </c>
      <c r="J721" s="40" t="n">
        <v>0</v>
      </c>
      <c r="K721" s="40" t="n">
        <v>105422</v>
      </c>
      <c r="L721" s="40" t="n">
        <v>43819</v>
      </c>
    </row>
    <row r="722" ht="12" customHeight="1">
      <c r="A722" s="30" t="inlineStr">
        <is>
          <t>ITG</t>
        </is>
      </c>
      <c r="B722" s="30" t="inlineStr">
        <is>
          <t>Itaguai</t>
        </is>
      </c>
      <c r="C722" s="30" t="n">
        <v>72267486</v>
      </c>
      <c r="D722" s="30">
        <f>"00007452430700"</f>
        <v/>
      </c>
      <c r="E722" s="30" t="inlineStr">
        <is>
          <t>ERIVELTO SOUZA DA ROSA</t>
        </is>
      </c>
      <c r="F722" s="40" t="n">
        <v>0</v>
      </c>
      <c r="G722" s="40" t="n">
        <v>0</v>
      </c>
      <c r="H722" s="40" t="n">
        <v>0</v>
      </c>
      <c r="I722" s="40" t="n">
        <v>0</v>
      </c>
      <c r="J722" s="40" t="n">
        <v>0</v>
      </c>
      <c r="K722" s="40" t="n">
        <v>0</v>
      </c>
      <c r="L722" s="40" t="n">
        <v>24000</v>
      </c>
    </row>
    <row r="723" ht="12" customHeight="1">
      <c r="A723" s="30" t="inlineStr">
        <is>
          <t>ITG</t>
        </is>
      </c>
      <c r="B723" s="30" t="inlineStr">
        <is>
          <t>Itaguai</t>
        </is>
      </c>
      <c r="C723" s="30" t="n">
        <v>72294521</v>
      </c>
      <c r="D723" s="30">
        <f>"07859302721"</f>
        <v/>
      </c>
      <c r="E723" s="30" t="inlineStr">
        <is>
          <t>MARCO AURELIO DA COSTA ABADE</t>
        </is>
      </c>
      <c r="F723" s="40" t="n">
        <v>0</v>
      </c>
      <c r="G723" s="40" t="n">
        <v>0</v>
      </c>
      <c r="H723" s="40" t="n">
        <v>0</v>
      </c>
      <c r="I723" s="40" t="n">
        <v>0</v>
      </c>
      <c r="J723" s="40" t="n">
        <v>0</v>
      </c>
      <c r="K723" s="40" t="n">
        <v>0</v>
      </c>
      <c r="L723" s="40" t="n">
        <v>0</v>
      </c>
    </row>
    <row r="724" ht="12" customHeight="1">
      <c r="A724" s="30" t="inlineStr">
        <is>
          <t>ITG</t>
        </is>
      </c>
      <c r="B724" s="30" t="inlineStr">
        <is>
          <t>Itaguai</t>
        </is>
      </c>
      <c r="C724" s="30" t="n">
        <v>72314786</v>
      </c>
      <c r="D724" s="30">
        <f>"04754262743"</f>
        <v/>
      </c>
      <c r="E724" s="30" t="inlineStr">
        <is>
          <t>WILSON ALENCAR FILHO</t>
        </is>
      </c>
      <c r="F724" s="40" t="n">
        <v>36429</v>
      </c>
      <c r="G724" s="40" t="n">
        <v>31850</v>
      </c>
      <c r="H724" s="40" t="n">
        <v>46550</v>
      </c>
      <c r="I724" s="40" t="n">
        <v>0</v>
      </c>
      <c r="J724" s="40" t="n">
        <v>53450</v>
      </c>
      <c r="K724" s="40" t="n">
        <v>0</v>
      </c>
      <c r="L724" s="40" t="n">
        <v>68250</v>
      </c>
    </row>
    <row r="725" ht="12" customHeight="1">
      <c r="A725" s="30" t="inlineStr">
        <is>
          <t>ITG</t>
        </is>
      </c>
      <c r="B725" s="30" t="inlineStr">
        <is>
          <t>Itaguai</t>
        </is>
      </c>
      <c r="C725" s="30" t="n">
        <v>72325737</v>
      </c>
      <c r="D725" s="30">
        <f>"80335730744"</f>
        <v/>
      </c>
      <c r="E725" s="30" t="inlineStr">
        <is>
          <t>ROSEMBERG DA SILVA MOURA</t>
        </is>
      </c>
      <c r="F725" s="40" t="n">
        <v>0</v>
      </c>
      <c r="G725" s="40" t="n">
        <v>0</v>
      </c>
      <c r="H725" s="40" t="n">
        <v>0</v>
      </c>
      <c r="I725" s="40" t="n">
        <v>0</v>
      </c>
      <c r="J725" s="40" t="n">
        <v>0</v>
      </c>
      <c r="K725" s="40" t="n">
        <v>0</v>
      </c>
      <c r="L725" s="40" t="n">
        <v>0</v>
      </c>
    </row>
    <row r="726" ht="12" customHeight="1">
      <c r="A726" s="30" t="inlineStr">
        <is>
          <t>ITG</t>
        </is>
      </c>
      <c r="B726" s="30" t="inlineStr">
        <is>
          <t>Itaguai</t>
        </is>
      </c>
      <c r="C726" s="30" t="n">
        <v>72355059</v>
      </c>
      <c r="D726" s="30">
        <f>"00685979750"</f>
        <v/>
      </c>
      <c r="E726" s="30" t="inlineStr">
        <is>
          <t>KEIKO OBA HONDA</t>
        </is>
      </c>
      <c r="F726" s="40" t="n">
        <v>71605.60000000001</v>
      </c>
      <c r="G726" s="40" t="n">
        <v>0</v>
      </c>
      <c r="H726" s="40" t="n">
        <v>0</v>
      </c>
      <c r="I726" s="40" t="n">
        <v>100000</v>
      </c>
      <c r="J726" s="40" t="n">
        <v>92505</v>
      </c>
      <c r="K726" s="40" t="n">
        <v>80394.89999999999</v>
      </c>
      <c r="L726" s="40" t="n">
        <v>91959.49000000001</v>
      </c>
    </row>
    <row r="727" ht="12" customHeight="1">
      <c r="A727" s="30" t="inlineStr">
        <is>
          <t>ITG</t>
        </is>
      </c>
      <c r="B727" s="30" t="inlineStr">
        <is>
          <t>Itaguai</t>
        </is>
      </c>
      <c r="C727" s="30" t="n">
        <v>72363442</v>
      </c>
      <c r="D727" s="30">
        <f>"49593722734"</f>
        <v/>
      </c>
      <c r="E727" s="30" t="inlineStr">
        <is>
          <t>LUIZ GONZAGA GARCIA</t>
        </is>
      </c>
      <c r="F727" s="40" t="n">
        <v>59500</v>
      </c>
      <c r="G727" s="40" t="n">
        <v>59932</v>
      </c>
      <c r="H727" s="40" t="n">
        <v>141185.2</v>
      </c>
      <c r="I727" s="40" t="n">
        <v>0</v>
      </c>
      <c r="J727" s="40" t="n">
        <v>0</v>
      </c>
      <c r="K727" s="40" t="n">
        <v>0</v>
      </c>
      <c r="L727" s="40" t="n">
        <v>0</v>
      </c>
    </row>
    <row r="728" ht="12" customHeight="1">
      <c r="A728" s="30" t="inlineStr">
        <is>
          <t>ITG</t>
        </is>
      </c>
      <c r="B728" s="30" t="inlineStr">
        <is>
          <t>Itaguai</t>
        </is>
      </c>
      <c r="C728" s="30" t="n">
        <v>72372042</v>
      </c>
      <c r="D728" s="30">
        <f>"02733976729"</f>
        <v/>
      </c>
      <c r="E728" s="30" t="inlineStr">
        <is>
          <t>MARIA ESTELA DE LEMOS LIMA SANTORO</t>
        </is>
      </c>
      <c r="F728" s="40" t="n">
        <v>0</v>
      </c>
      <c r="G728" s="40" t="n">
        <v>0</v>
      </c>
      <c r="H728" s="40" t="n">
        <v>0</v>
      </c>
      <c r="I728" s="40" t="n">
        <v>3567587.13</v>
      </c>
      <c r="J728" s="40" t="n">
        <v>0</v>
      </c>
      <c r="K728" s="40" t="n">
        <v>0</v>
      </c>
      <c r="L728" s="40" t="n">
        <v>1868651.42</v>
      </c>
    </row>
    <row r="729" ht="12" customHeight="1">
      <c r="A729" s="30" t="inlineStr">
        <is>
          <t>ITG</t>
        </is>
      </c>
      <c r="B729" s="30" t="inlineStr">
        <is>
          <t>Itaguai</t>
        </is>
      </c>
      <c r="C729" s="30" t="n">
        <v>72375343</v>
      </c>
      <c r="D729" s="30">
        <f>"02903444765"</f>
        <v/>
      </c>
      <c r="E729" s="30" t="inlineStr">
        <is>
          <t>MARCOS HENRIQUE PEREIRA ALVES</t>
        </is>
      </c>
      <c r="F729" s="40" t="n">
        <v>0</v>
      </c>
      <c r="G729" s="40" t="n">
        <v>0</v>
      </c>
      <c r="H729" s="40" t="n">
        <v>0</v>
      </c>
      <c r="I729" s="40" t="n">
        <v>0</v>
      </c>
      <c r="J729" s="40" t="n">
        <v>0</v>
      </c>
      <c r="K729" s="40" t="n">
        <v>0</v>
      </c>
      <c r="L729" s="40" t="n">
        <v>0</v>
      </c>
    </row>
    <row r="730" ht="12" customHeight="1">
      <c r="A730" s="30" t="inlineStr">
        <is>
          <t>ITG</t>
        </is>
      </c>
      <c r="B730" s="30" t="inlineStr">
        <is>
          <t>Itaguai</t>
        </is>
      </c>
      <c r="C730" s="30" t="n">
        <v>72380665</v>
      </c>
      <c r="D730" s="30">
        <f>"84148624700"</f>
        <v/>
      </c>
      <c r="E730" s="30" t="inlineStr">
        <is>
          <t>JESSE RODRIGUES DE LIMA</t>
        </is>
      </c>
      <c r="F730" s="40" t="n">
        <v>9540</v>
      </c>
      <c r="G730" s="40" t="n">
        <v>11560</v>
      </c>
      <c r="H730" s="40" t="n">
        <v>10500</v>
      </c>
      <c r="I730" s="40" t="n">
        <v>5500</v>
      </c>
      <c r="J730" s="40" t="n">
        <v>10000</v>
      </c>
      <c r="K730" s="40" t="n">
        <v>25200</v>
      </c>
      <c r="L730" s="40" t="n">
        <v>26900</v>
      </c>
    </row>
    <row r="731" ht="12" customHeight="1">
      <c r="A731" s="30" t="inlineStr">
        <is>
          <t>ITG</t>
        </is>
      </c>
      <c r="B731" s="30" t="inlineStr">
        <is>
          <t>Itaguai</t>
        </is>
      </c>
      <c r="C731" s="30" t="n">
        <v>72393775</v>
      </c>
      <c r="D731" s="30">
        <f>"32934173704"</f>
        <v/>
      </c>
      <c r="E731" s="30" t="inlineStr">
        <is>
          <t>NILTON DE SOUZA SILVA</t>
        </is>
      </c>
      <c r="F731" s="40" t="n">
        <v>46130</v>
      </c>
      <c r="G731" s="40" t="n">
        <v>38500</v>
      </c>
      <c r="H731" s="40" t="n">
        <v>120880</v>
      </c>
      <c r="I731" s="40" t="n">
        <v>26780</v>
      </c>
      <c r="J731" s="40" t="n">
        <v>40340</v>
      </c>
      <c r="K731" s="40" t="n">
        <v>53300</v>
      </c>
      <c r="L731" s="40" t="n">
        <v>85440</v>
      </c>
    </row>
    <row r="732" ht="12" customHeight="1">
      <c r="A732" s="30" t="inlineStr">
        <is>
          <t>ITG</t>
        </is>
      </c>
      <c r="B732" s="30" t="inlineStr">
        <is>
          <t>Itaguai</t>
        </is>
      </c>
      <c r="C732" s="30" t="n">
        <v>72399307</v>
      </c>
      <c r="D732" s="30">
        <f>"59318112734"</f>
        <v/>
      </c>
      <c r="E732" s="30" t="inlineStr">
        <is>
          <t>ISAMU JORGE YAMASHITA</t>
        </is>
      </c>
      <c r="F732" s="40" t="n">
        <v>0</v>
      </c>
      <c r="G732" s="40" t="n">
        <v>0</v>
      </c>
      <c r="H732" s="40" t="n">
        <v>0</v>
      </c>
      <c r="I732" s="40" t="n">
        <v>0</v>
      </c>
      <c r="J732" s="40" t="n">
        <v>0</v>
      </c>
      <c r="K732" s="40" t="n">
        <v>0</v>
      </c>
      <c r="L732" s="40" t="n">
        <v>0</v>
      </c>
    </row>
    <row r="733" ht="12" customHeight="1">
      <c r="A733" s="30" t="inlineStr">
        <is>
          <t>ITG</t>
        </is>
      </c>
      <c r="B733" s="30" t="inlineStr">
        <is>
          <t>Itaguai</t>
        </is>
      </c>
      <c r="C733" s="30" t="n">
        <v>72400283</v>
      </c>
      <c r="D733" s="30">
        <f>"03364188769"</f>
        <v/>
      </c>
      <c r="E733" s="30" t="inlineStr">
        <is>
          <t>MARIA DE JESUS FERREIRA</t>
        </is>
      </c>
      <c r="F733" s="40" t="n">
        <v>184000</v>
      </c>
      <c r="G733" s="40" t="n">
        <v>0</v>
      </c>
      <c r="H733" s="40" t="n">
        <v>0</v>
      </c>
      <c r="I733" s="40" t="n">
        <v>0</v>
      </c>
      <c r="J733" s="40" t="n">
        <v>296850</v>
      </c>
      <c r="K733" s="40" t="n">
        <v>315000</v>
      </c>
      <c r="L733" s="40" t="n">
        <v>162000</v>
      </c>
    </row>
    <row r="734" ht="12" customHeight="1">
      <c r="A734" s="30" t="inlineStr">
        <is>
          <t>ITG</t>
        </is>
      </c>
      <c r="B734" s="30" t="inlineStr">
        <is>
          <t>Itaguai</t>
        </is>
      </c>
      <c r="C734" s="30" t="n">
        <v>72408594</v>
      </c>
      <c r="D734" s="30">
        <f>"00003364188769"</f>
        <v/>
      </c>
      <c r="E734" s="30" t="inlineStr">
        <is>
          <t>MARIA DE JESUS FERREIRA</t>
        </is>
      </c>
      <c r="F734" s="40" t="n">
        <v>0</v>
      </c>
      <c r="G734" s="40" t="n">
        <v>0</v>
      </c>
      <c r="H734" s="40" t="n">
        <v>0</v>
      </c>
      <c r="I734" s="40" t="n">
        <v>0</v>
      </c>
      <c r="J734" s="40" t="n">
        <v>0</v>
      </c>
      <c r="K734" s="40" t="n">
        <v>0</v>
      </c>
      <c r="L734" s="40" t="n">
        <v>0</v>
      </c>
    </row>
    <row r="735" ht="12" customHeight="1">
      <c r="A735" s="30" t="inlineStr">
        <is>
          <t>ITG</t>
        </is>
      </c>
      <c r="B735" s="30" t="inlineStr">
        <is>
          <t>Itaguai</t>
        </is>
      </c>
      <c r="C735" s="30" t="n">
        <v>72408608</v>
      </c>
      <c r="D735" s="30">
        <f>"00003364188769"</f>
        <v/>
      </c>
      <c r="E735" s="30" t="inlineStr">
        <is>
          <t>MARIA DE JESUS FERREIRA</t>
        </is>
      </c>
      <c r="F735" s="40" t="n">
        <v>30370</v>
      </c>
      <c r="G735" s="40" t="n">
        <v>0</v>
      </c>
      <c r="H735" s="40" t="n">
        <v>0</v>
      </c>
      <c r="I735" s="40" t="n">
        <v>0</v>
      </c>
      <c r="J735" s="40" t="n">
        <v>27600</v>
      </c>
      <c r="K735" s="40" t="n">
        <v>6200</v>
      </c>
      <c r="L735" s="40" t="n">
        <v>6300</v>
      </c>
    </row>
    <row r="736" ht="12" customHeight="1">
      <c r="A736" s="30" t="inlineStr">
        <is>
          <t>ITG</t>
        </is>
      </c>
      <c r="B736" s="30" t="inlineStr">
        <is>
          <t>Itaguai</t>
        </is>
      </c>
      <c r="C736" s="30" t="n">
        <v>72430867</v>
      </c>
      <c r="D736" s="30">
        <f>"40150887787"</f>
        <v/>
      </c>
      <c r="E736" s="30" t="inlineStr">
        <is>
          <t>JOSE CARLOS NAIPE DOS SANTOS</t>
        </is>
      </c>
      <c r="F736" s="40" t="n">
        <v>0</v>
      </c>
      <c r="G736" s="40" t="n">
        <v>0</v>
      </c>
      <c r="H736" s="40" t="n">
        <v>0</v>
      </c>
      <c r="I736" s="40" t="n">
        <v>0</v>
      </c>
      <c r="J736" s="40" t="n">
        <v>0</v>
      </c>
      <c r="K736" s="40" t="n">
        <v>0</v>
      </c>
      <c r="L736" s="40" t="n">
        <v>0</v>
      </c>
    </row>
    <row r="737" ht="12" customHeight="1">
      <c r="A737" s="30" t="inlineStr">
        <is>
          <t>ITG</t>
        </is>
      </c>
      <c r="B737" s="30" t="inlineStr">
        <is>
          <t>Itaguai</t>
        </is>
      </c>
      <c r="C737" s="30" t="n">
        <v>72435176</v>
      </c>
      <c r="D737" s="30">
        <f>"70541884700"</f>
        <v/>
      </c>
      <c r="E737" s="30" t="inlineStr">
        <is>
          <t>ISAAC CLEMENTINO ROCHA</t>
        </is>
      </c>
      <c r="F737" s="40" t="n">
        <v>52310</v>
      </c>
      <c r="G737" s="40" t="n">
        <v>1800</v>
      </c>
      <c r="H737" s="40" t="n">
        <v>1500</v>
      </c>
      <c r="I737" s="40" t="n">
        <v>2600</v>
      </c>
      <c r="J737" s="40" t="n">
        <v>22400</v>
      </c>
      <c r="K737" s="40" t="n">
        <v>0</v>
      </c>
      <c r="L737" s="40" t="n">
        <v>0</v>
      </c>
    </row>
    <row r="738" ht="12" customHeight="1">
      <c r="A738" s="30" t="inlineStr">
        <is>
          <t>ITG</t>
        </is>
      </c>
      <c r="B738" s="30" t="inlineStr">
        <is>
          <t>Itaguai</t>
        </is>
      </c>
      <c r="C738" s="30" t="n">
        <v>72435320</v>
      </c>
      <c r="D738" s="30">
        <f>"05355405746"</f>
        <v/>
      </c>
      <c r="E738" s="30" t="inlineStr">
        <is>
          <t>CEZARE YUKIO IWANAGA</t>
        </is>
      </c>
      <c r="F738" s="40" t="n">
        <v>0</v>
      </c>
      <c r="G738" s="40" t="n">
        <v>0</v>
      </c>
      <c r="H738" s="40" t="n">
        <v>0</v>
      </c>
      <c r="I738" s="40" t="n">
        <v>0</v>
      </c>
      <c r="J738" s="40" t="n">
        <v>0</v>
      </c>
      <c r="K738" s="40" t="n">
        <v>0.1</v>
      </c>
      <c r="L738" s="40" t="n">
        <v>0.1</v>
      </c>
    </row>
    <row r="739" ht="12" customHeight="1">
      <c r="A739" s="30" t="inlineStr">
        <is>
          <t>ITG</t>
        </is>
      </c>
      <c r="B739" s="30" t="inlineStr">
        <is>
          <t>Itaguai</t>
        </is>
      </c>
      <c r="C739" s="30" t="n">
        <v>72436164</v>
      </c>
      <c r="D739" s="30">
        <f>"07198594760"</f>
        <v/>
      </c>
      <c r="E739" s="30" t="inlineStr">
        <is>
          <t>JULIO CESAR GONCALVES</t>
        </is>
      </c>
      <c r="F739" s="40" t="n">
        <v>15855</v>
      </c>
      <c r="G739" s="40" t="n">
        <v>7655</v>
      </c>
      <c r="H739" s="40" t="n">
        <v>0</v>
      </c>
      <c r="I739" s="40" t="n">
        <v>0</v>
      </c>
      <c r="J739" s="40" t="n">
        <v>0</v>
      </c>
      <c r="K739" s="40" t="n">
        <v>0</v>
      </c>
      <c r="L739" s="40" t="n">
        <v>0</v>
      </c>
    </row>
    <row r="740" ht="12" customHeight="1">
      <c r="A740" s="30" t="inlineStr">
        <is>
          <t>ITG</t>
        </is>
      </c>
      <c r="B740" s="30" t="inlineStr">
        <is>
          <t>Itaguai</t>
        </is>
      </c>
      <c r="C740" s="30" t="n">
        <v>72438329</v>
      </c>
      <c r="D740" s="30">
        <f>"00009577099785"</f>
        <v/>
      </c>
      <c r="E740" s="30" t="inlineStr">
        <is>
          <t>KATIA KEIKO KOJIMA</t>
        </is>
      </c>
      <c r="F740" s="40" t="n">
        <v>0</v>
      </c>
      <c r="G740" s="40" t="n">
        <v>0</v>
      </c>
      <c r="H740" s="40" t="n">
        <v>0</v>
      </c>
      <c r="I740" s="40" t="n">
        <v>0</v>
      </c>
      <c r="J740" s="40" t="n">
        <v>0</v>
      </c>
      <c r="K740" s="40" t="n">
        <v>5000</v>
      </c>
      <c r="L740" s="40" t="n">
        <v>30000</v>
      </c>
    </row>
    <row r="741" ht="12" customHeight="1">
      <c r="A741" s="30" t="inlineStr">
        <is>
          <t>ITG</t>
        </is>
      </c>
      <c r="B741" s="30" t="inlineStr">
        <is>
          <t>Itaguai</t>
        </is>
      </c>
      <c r="C741" s="30" t="n">
        <v>72439449</v>
      </c>
      <c r="D741" s="30">
        <f>"38203227791"</f>
        <v/>
      </c>
      <c r="E741" s="30" t="inlineStr">
        <is>
          <t>BENEDITO DIAS GUIMARAES</t>
        </is>
      </c>
      <c r="F741" s="40" t="n">
        <v>1360</v>
      </c>
      <c r="G741" s="40" t="n">
        <v>0</v>
      </c>
      <c r="H741" s="40" t="n">
        <v>1528</v>
      </c>
      <c r="I741" s="40" t="n">
        <v>0</v>
      </c>
      <c r="J741" s="40" t="n">
        <v>5250</v>
      </c>
      <c r="K741" s="40" t="n">
        <v>0</v>
      </c>
      <c r="L741" s="40" t="n">
        <v>0</v>
      </c>
    </row>
    <row r="742" ht="12" customHeight="1">
      <c r="A742" s="30" t="inlineStr">
        <is>
          <t>ITG</t>
        </is>
      </c>
      <c r="B742" s="30" t="inlineStr">
        <is>
          <t>Itaguai</t>
        </is>
      </c>
      <c r="C742" s="30" t="n">
        <v>72440846</v>
      </c>
      <c r="D742" s="30">
        <f>"09522503738"</f>
        <v/>
      </c>
      <c r="E742" s="30" t="inlineStr">
        <is>
          <t>PAULO SERGIO DA SILVA CONCEICAO</t>
        </is>
      </c>
      <c r="F742" s="40" t="n">
        <v>1995</v>
      </c>
      <c r="G742" s="40" t="n">
        <v>1345</v>
      </c>
      <c r="H742" s="40" t="n">
        <v>9900</v>
      </c>
      <c r="I742" s="40" t="n">
        <v>6600</v>
      </c>
      <c r="J742" s="40" t="n">
        <v>25600</v>
      </c>
      <c r="K742" s="40" t="n">
        <v>23500</v>
      </c>
      <c r="L742" s="40" t="n">
        <v>22000</v>
      </c>
    </row>
    <row r="743" ht="12" customHeight="1">
      <c r="A743" s="30" t="inlineStr">
        <is>
          <t>ITG</t>
        </is>
      </c>
      <c r="B743" s="30" t="inlineStr">
        <is>
          <t>Itaguai</t>
        </is>
      </c>
      <c r="C743" s="30" t="n">
        <v>72446356</v>
      </c>
      <c r="D743" s="30">
        <f>"09938287794"</f>
        <v/>
      </c>
      <c r="E743" s="30" t="inlineStr">
        <is>
          <t>MOISES PACHECO ARRUDA</t>
        </is>
      </c>
      <c r="F743" s="40" t="n">
        <v>0</v>
      </c>
      <c r="G743" s="40" t="n">
        <v>0</v>
      </c>
      <c r="H743" s="40" t="n">
        <v>0</v>
      </c>
      <c r="I743" s="40" t="n">
        <v>0</v>
      </c>
      <c r="J743" s="40" t="n">
        <v>1200</v>
      </c>
      <c r="K743" s="40" t="n">
        <v>24000</v>
      </c>
      <c r="L743" s="40" t="n">
        <v>1500</v>
      </c>
    </row>
    <row r="744" ht="12" customHeight="1">
      <c r="A744" s="30" t="inlineStr">
        <is>
          <t>ITG</t>
        </is>
      </c>
      <c r="B744" s="30" t="inlineStr">
        <is>
          <t>Itaguai</t>
        </is>
      </c>
      <c r="C744" s="30" t="n">
        <v>72451414</v>
      </c>
      <c r="D744" s="30">
        <f>"11465334700"</f>
        <v/>
      </c>
      <c r="E744" s="30" t="inlineStr">
        <is>
          <t>MICHELE VERLY DA C AVELINO CANITES</t>
        </is>
      </c>
      <c r="F744" s="40" t="n">
        <v>0</v>
      </c>
      <c r="G744" s="40" t="n">
        <v>0</v>
      </c>
      <c r="H744" s="40" t="n">
        <v>0</v>
      </c>
      <c r="I744" s="40" t="n">
        <v>0</v>
      </c>
      <c r="J744" s="40" t="n">
        <v>0</v>
      </c>
      <c r="K744" s="40" t="n">
        <v>0</v>
      </c>
      <c r="L744" s="40" t="n">
        <v>0</v>
      </c>
    </row>
    <row r="745" ht="12" customHeight="1">
      <c r="A745" s="30" t="inlineStr">
        <is>
          <t>ITG</t>
        </is>
      </c>
      <c r="B745" s="30" t="inlineStr">
        <is>
          <t>Itaguai</t>
        </is>
      </c>
      <c r="C745" s="30" t="n">
        <v>72453484</v>
      </c>
      <c r="D745" s="30">
        <f>"87239353753"</f>
        <v/>
      </c>
      <c r="E745" s="30" t="inlineStr">
        <is>
          <t>ROGERIO MAGALHAES</t>
        </is>
      </c>
      <c r="F745" s="40" t="n">
        <v>0</v>
      </c>
      <c r="G745" s="40" t="n">
        <v>131425.12</v>
      </c>
      <c r="H745" s="40" t="n">
        <v>178840</v>
      </c>
      <c r="I745" s="40" t="n">
        <v>0</v>
      </c>
      <c r="J745" s="40" t="n">
        <v>0</v>
      </c>
      <c r="K745" s="40" t="n">
        <v>0</v>
      </c>
      <c r="L745" s="40" t="n">
        <v>0</v>
      </c>
    </row>
    <row r="746" ht="12" customHeight="1">
      <c r="A746" s="30" t="inlineStr">
        <is>
          <t>ITG</t>
        </is>
      </c>
      <c r="B746" s="30" t="inlineStr">
        <is>
          <t>Itaguai</t>
        </is>
      </c>
      <c r="C746" s="30" t="n">
        <v>72459377</v>
      </c>
      <c r="D746" s="30">
        <f>"09775596700"</f>
        <v/>
      </c>
      <c r="E746" s="30" t="inlineStr">
        <is>
          <t>DANIEL CARDOSO DE OLIVEIRA</t>
        </is>
      </c>
      <c r="F746" s="40" t="n">
        <v>17206.46</v>
      </c>
      <c r="G746" s="40" t="n">
        <v>0</v>
      </c>
      <c r="H746" s="40" t="n">
        <v>0</v>
      </c>
      <c r="I746" s="40" t="n">
        <v>7594.73</v>
      </c>
      <c r="J746" s="40" t="n">
        <v>0</v>
      </c>
      <c r="K746" s="40" t="n">
        <v>36018.7</v>
      </c>
      <c r="L746" s="40" t="n">
        <v>10897.89</v>
      </c>
    </row>
    <row r="747" ht="12" customHeight="1">
      <c r="A747" s="30" t="inlineStr">
        <is>
          <t>ITG</t>
        </is>
      </c>
      <c r="B747" s="30" t="inlineStr">
        <is>
          <t>Itaguai</t>
        </is>
      </c>
      <c r="C747" s="30" t="n">
        <v>72461150</v>
      </c>
      <c r="D747" s="30">
        <f>"05648363702"</f>
        <v/>
      </c>
      <c r="E747" s="30" t="inlineStr">
        <is>
          <t>TSUNEO JOSE IWANAGA</t>
        </is>
      </c>
      <c r="F747" s="40" t="n">
        <v>0</v>
      </c>
      <c r="G747" s="40" t="n">
        <v>0</v>
      </c>
      <c r="H747" s="40" t="n">
        <v>0</v>
      </c>
      <c r="I747" s="40" t="n">
        <v>19180</v>
      </c>
      <c r="J747" s="40" t="n">
        <v>24000</v>
      </c>
      <c r="K747" s="40" t="n">
        <v>0.01</v>
      </c>
      <c r="L747" s="40" t="n">
        <v>1</v>
      </c>
    </row>
    <row r="748" ht="12" customHeight="1">
      <c r="A748" s="30" t="inlineStr">
        <is>
          <t>ITG</t>
        </is>
      </c>
      <c r="B748" s="30" t="inlineStr">
        <is>
          <t>Itaguai</t>
        </is>
      </c>
      <c r="C748" s="30" t="n">
        <v>72461177</v>
      </c>
      <c r="D748" s="30">
        <f>"02734021706"</f>
        <v/>
      </c>
      <c r="E748" s="30" t="inlineStr">
        <is>
          <t>HERCILIA HARUMI IWANAGA</t>
        </is>
      </c>
      <c r="F748" s="40" t="n">
        <v>0</v>
      </c>
      <c r="G748" s="40" t="n">
        <v>0</v>
      </c>
      <c r="H748" s="40" t="n">
        <v>0</v>
      </c>
      <c r="I748" s="40" t="n">
        <v>14300</v>
      </c>
      <c r="J748" s="40" t="n">
        <v>14000</v>
      </c>
      <c r="K748" s="40" t="n">
        <v>29669.31</v>
      </c>
      <c r="L748" s="40" t="n">
        <v>7556.27</v>
      </c>
    </row>
    <row r="749" ht="12" customHeight="1">
      <c r="A749" s="30" t="inlineStr">
        <is>
          <t>ITG</t>
        </is>
      </c>
      <c r="B749" s="30" t="inlineStr">
        <is>
          <t>Itaguai</t>
        </is>
      </c>
      <c r="C749" s="30" t="n">
        <v>72463790</v>
      </c>
      <c r="D749" s="30">
        <f>"04412568725"</f>
        <v/>
      </c>
      <c r="E749" s="30" t="inlineStr">
        <is>
          <t>IZENILDE RODRIGUES DE OLIVEIRA</t>
        </is>
      </c>
      <c r="F749" s="40" t="n">
        <v>7281</v>
      </c>
      <c r="G749" s="40" t="n">
        <v>0</v>
      </c>
      <c r="H749" s="40" t="n">
        <v>0</v>
      </c>
      <c r="I749" s="40" t="n">
        <v>0</v>
      </c>
      <c r="J749" s="40" t="n">
        <v>0</v>
      </c>
      <c r="K749" s="40" t="n">
        <v>0</v>
      </c>
      <c r="L749" s="40" t="n">
        <v>0</v>
      </c>
    </row>
    <row r="750" ht="12" customHeight="1">
      <c r="A750" s="30" t="inlineStr">
        <is>
          <t>ITG</t>
        </is>
      </c>
      <c r="B750" s="30" t="inlineStr">
        <is>
          <t>Itaguai</t>
        </is>
      </c>
      <c r="C750" s="30" t="n">
        <v>72465628</v>
      </c>
      <c r="D750" s="30">
        <f>"09347145769"</f>
        <v/>
      </c>
      <c r="E750" s="30" t="inlineStr">
        <is>
          <t>ALVARO HONDA</t>
        </is>
      </c>
      <c r="F750" s="40" t="n">
        <v>0</v>
      </c>
      <c r="G750" s="40" t="n">
        <v>173283.5</v>
      </c>
      <c r="H750" s="40" t="n">
        <v>0</v>
      </c>
      <c r="I750" s="40" t="n">
        <v>102889.45</v>
      </c>
      <c r="J750" s="40" t="n">
        <v>278359.24</v>
      </c>
      <c r="K750" s="40" t="n">
        <v>236686.4</v>
      </c>
      <c r="L750" s="40" t="n">
        <v>139436.6</v>
      </c>
    </row>
    <row r="751" ht="12" customHeight="1">
      <c r="A751" s="30" t="inlineStr">
        <is>
          <t>ITG</t>
        </is>
      </c>
      <c r="B751" s="30" t="inlineStr">
        <is>
          <t>Itaguai</t>
        </is>
      </c>
      <c r="C751" s="30" t="n">
        <v>72468023</v>
      </c>
      <c r="D751" s="30">
        <f>"00086483005768"</f>
        <v/>
      </c>
      <c r="E751" s="30" t="inlineStr">
        <is>
          <t>MANOEL TORRES RACCA</t>
        </is>
      </c>
      <c r="F751" s="40" t="n">
        <v>10260</v>
      </c>
      <c r="G751" s="40" t="n">
        <v>7800</v>
      </c>
      <c r="H751" s="40" t="n">
        <v>7360</v>
      </c>
      <c r="I751" s="40" t="n">
        <v>0</v>
      </c>
      <c r="J751" s="40" t="n">
        <v>0</v>
      </c>
      <c r="K751" s="40" t="n">
        <v>0</v>
      </c>
      <c r="L751" s="40" t="n">
        <v>0</v>
      </c>
    </row>
    <row r="752" ht="12" customHeight="1">
      <c r="A752" s="30" t="inlineStr">
        <is>
          <t>ITG</t>
        </is>
      </c>
      <c r="B752" s="30" t="inlineStr">
        <is>
          <t>Itaguai</t>
        </is>
      </c>
      <c r="C752" s="30" t="n">
        <v>72469364</v>
      </c>
      <c r="D752" s="30">
        <f>"00085724289768"</f>
        <v/>
      </c>
      <c r="E752" s="30" t="inlineStr">
        <is>
          <t>MARIA BEATRIZ DA SILVA CANITES</t>
        </is>
      </c>
      <c r="F752" s="40" t="n">
        <v>0</v>
      </c>
      <c r="G752" s="40" t="n">
        <v>0</v>
      </c>
      <c r="H752" s="40" t="n">
        <v>0</v>
      </c>
      <c r="I752" s="40" t="n">
        <v>0</v>
      </c>
      <c r="J752" s="40" t="n">
        <v>0</v>
      </c>
      <c r="K752" s="40" t="n">
        <v>0</v>
      </c>
      <c r="L752" s="40" t="n">
        <v>14220.9</v>
      </c>
    </row>
    <row r="753" ht="12" customHeight="1">
      <c r="A753" s="30" t="inlineStr">
        <is>
          <t>ITG</t>
        </is>
      </c>
      <c r="B753" s="30" t="inlineStr">
        <is>
          <t>Itaguai</t>
        </is>
      </c>
      <c r="C753" s="30" t="n">
        <v>72470524</v>
      </c>
      <c r="D753" s="30">
        <f>"00084877359753"</f>
        <v/>
      </c>
      <c r="E753" s="30" t="inlineStr">
        <is>
          <t>ANTONIO MARCOS ALVES</t>
        </is>
      </c>
      <c r="F753" s="40" t="n">
        <v>0</v>
      </c>
      <c r="G753" s="40" t="n">
        <v>0</v>
      </c>
      <c r="H753" s="40" t="n">
        <v>0</v>
      </c>
      <c r="I753" s="40" t="n">
        <v>0</v>
      </c>
      <c r="J753" s="40" t="n">
        <v>7615.86</v>
      </c>
      <c r="K753" s="40" t="n">
        <v>39607.9</v>
      </c>
      <c r="L753" s="40" t="n">
        <v>24991.37</v>
      </c>
    </row>
    <row r="754" ht="12" customHeight="1">
      <c r="A754" s="30" t="inlineStr">
        <is>
          <t>ITG</t>
        </is>
      </c>
      <c r="B754" s="30" t="inlineStr">
        <is>
          <t>Itaguai</t>
        </is>
      </c>
      <c r="C754" s="30" t="n">
        <v>72471920</v>
      </c>
      <c r="D754" s="30">
        <f>"69137668749"</f>
        <v/>
      </c>
      <c r="E754" s="30" t="inlineStr">
        <is>
          <t>AGOSTINHO RODRIGUES ALVES</t>
        </is>
      </c>
      <c r="F754" s="40" t="n">
        <v>0</v>
      </c>
      <c r="G754" s="40" t="n">
        <v>0</v>
      </c>
      <c r="H754" s="40" t="n">
        <v>0</v>
      </c>
      <c r="I754" s="40" t="n">
        <v>0</v>
      </c>
      <c r="J754" s="40" t="n">
        <v>0</v>
      </c>
      <c r="K754" s="40" t="n">
        <v>0</v>
      </c>
      <c r="L754" s="40" t="n">
        <v>0</v>
      </c>
    </row>
    <row r="755" ht="12" customHeight="1">
      <c r="A755" s="30" t="inlineStr">
        <is>
          <t>ITG</t>
        </is>
      </c>
      <c r="B755" s="30" t="inlineStr">
        <is>
          <t>Itaguai</t>
        </is>
      </c>
      <c r="C755" s="30" t="n">
        <v>72484223</v>
      </c>
      <c r="D755" s="30">
        <f>"04412801705"</f>
        <v/>
      </c>
      <c r="E755" s="30" t="inlineStr">
        <is>
          <t>CARLOS JOSE BATISTA NOGUEIRA</t>
        </is>
      </c>
      <c r="F755" s="40" t="n">
        <v>38826</v>
      </c>
      <c r="G755" s="40" t="n">
        <v>10760</v>
      </c>
      <c r="H755" s="40" t="n">
        <v>1700</v>
      </c>
      <c r="I755" s="40" t="n">
        <v>0</v>
      </c>
      <c r="J755" s="40" t="n">
        <v>0</v>
      </c>
      <c r="K755" s="40" t="n">
        <v>0</v>
      </c>
      <c r="L755" s="40" t="n">
        <v>0</v>
      </c>
    </row>
    <row r="756" ht="12" customHeight="1">
      <c r="A756" s="30" t="inlineStr">
        <is>
          <t>ITG</t>
        </is>
      </c>
      <c r="B756" s="30" t="inlineStr">
        <is>
          <t>Itaguai</t>
        </is>
      </c>
      <c r="C756" s="30" t="n">
        <v>72485254</v>
      </c>
      <c r="D756" s="30">
        <f>"09163221730"</f>
        <v/>
      </c>
      <c r="E756" s="30" t="inlineStr">
        <is>
          <t>LUIZ ANTONIO MORISCO DOS SANTOS</t>
        </is>
      </c>
      <c r="F756" s="40" t="n">
        <v>10200</v>
      </c>
      <c r="G756" s="40" t="n">
        <v>4168</v>
      </c>
      <c r="H756" s="40" t="n">
        <v>0</v>
      </c>
      <c r="I756" s="40" t="n">
        <v>0</v>
      </c>
      <c r="J756" s="40" t="n">
        <v>0</v>
      </c>
      <c r="K756" s="40" t="n">
        <v>0</v>
      </c>
      <c r="L756" s="40" t="n">
        <v>16425</v>
      </c>
    </row>
    <row r="757" ht="12" customHeight="1">
      <c r="A757" s="30" t="inlineStr">
        <is>
          <t>ITG</t>
        </is>
      </c>
      <c r="B757" s="30" t="inlineStr">
        <is>
          <t>Itaguai</t>
        </is>
      </c>
      <c r="C757" s="30" t="n">
        <v>72513312</v>
      </c>
      <c r="D757" s="30">
        <f>"22375597753"</f>
        <v/>
      </c>
      <c r="E757" s="30" t="inlineStr">
        <is>
          <t>PEDRO SARTI NETO</t>
        </is>
      </c>
      <c r="F757" s="40" t="n">
        <v>114000</v>
      </c>
      <c r="G757" s="40" t="n">
        <v>175825</v>
      </c>
      <c r="H757" s="40" t="n">
        <v>0</v>
      </c>
      <c r="I757" s="40" t="n">
        <v>0</v>
      </c>
      <c r="J757" s="40" t="n">
        <v>146648.4</v>
      </c>
      <c r="K757" s="40" t="n">
        <v>83700</v>
      </c>
      <c r="L757" s="40" t="n">
        <v>23000</v>
      </c>
    </row>
    <row r="758" ht="12" customHeight="1">
      <c r="A758" s="30" t="inlineStr">
        <is>
          <t>ITG</t>
        </is>
      </c>
      <c r="B758" s="30" t="inlineStr">
        <is>
          <t>Itaguai</t>
        </is>
      </c>
      <c r="C758" s="30" t="n">
        <v>72518748</v>
      </c>
      <c r="D758" s="30">
        <f>"11091981752"</f>
        <v/>
      </c>
      <c r="E758" s="30" t="inlineStr">
        <is>
          <t>LUIZ ANTONIO TEIXEIRA DA SILVA</t>
        </is>
      </c>
      <c r="F758" s="40" t="n">
        <v>3248</v>
      </c>
      <c r="G758" s="40" t="n">
        <v>9393</v>
      </c>
      <c r="H758" s="40" t="n">
        <v>11536</v>
      </c>
      <c r="I758" s="40" t="n">
        <v>6916</v>
      </c>
      <c r="J758" s="40" t="n">
        <v>13310</v>
      </c>
      <c r="K758" s="40" t="n">
        <v>16860</v>
      </c>
      <c r="L758" s="40" t="n">
        <v>12416</v>
      </c>
    </row>
    <row r="759" ht="12" customHeight="1">
      <c r="A759" s="30" t="inlineStr">
        <is>
          <t>ITG</t>
        </is>
      </c>
      <c r="B759" s="30" t="inlineStr">
        <is>
          <t>Itaguai</t>
        </is>
      </c>
      <c r="C759" s="30" t="n">
        <v>72522842</v>
      </c>
      <c r="D759" s="30">
        <f>"42657105734"</f>
        <v/>
      </c>
      <c r="E759" s="30" t="inlineStr">
        <is>
          <t>ADEL RUIZ LIBANO</t>
        </is>
      </c>
      <c r="F759" s="40" t="n">
        <v>0</v>
      </c>
      <c r="G759" s="40" t="n">
        <v>0</v>
      </c>
      <c r="H759" s="40" t="n">
        <v>100040</v>
      </c>
      <c r="I759" s="40" t="n">
        <v>161000</v>
      </c>
      <c r="J759" s="40" t="n">
        <v>140592</v>
      </c>
      <c r="K759" s="40" t="n">
        <v>117206</v>
      </c>
      <c r="L759" s="40" t="n">
        <v>104980</v>
      </c>
    </row>
    <row r="760" ht="12" customHeight="1">
      <c r="A760" s="30" t="inlineStr">
        <is>
          <t>ITG</t>
        </is>
      </c>
      <c r="B760" s="30" t="inlineStr">
        <is>
          <t>Itaguai</t>
        </is>
      </c>
      <c r="C760" s="30" t="n">
        <v>72527518</v>
      </c>
      <c r="D760" s="30">
        <f>"68661975700"</f>
        <v/>
      </c>
      <c r="E760" s="30" t="inlineStr">
        <is>
          <t>ISMAEL DE ALMEIDA BATALHA</t>
        </is>
      </c>
      <c r="F760" s="40" t="n">
        <v>0</v>
      </c>
      <c r="G760" s="40" t="n">
        <v>620</v>
      </c>
      <c r="H760" s="40" t="n">
        <v>0</v>
      </c>
      <c r="I760" s="40" t="n">
        <v>26480</v>
      </c>
      <c r="J760" s="40" t="n">
        <v>14966</v>
      </c>
      <c r="K760" s="40" t="n">
        <v>25167.9</v>
      </c>
      <c r="L760" s="40" t="n">
        <v>12820</v>
      </c>
    </row>
    <row r="761" ht="12" customHeight="1">
      <c r="A761" s="30" t="inlineStr">
        <is>
          <t>ITG</t>
        </is>
      </c>
      <c r="B761" s="30" t="inlineStr">
        <is>
          <t>Itaguai</t>
        </is>
      </c>
      <c r="C761" s="30" t="n">
        <v>72527836</v>
      </c>
      <c r="D761" s="30">
        <f>"05349437720"</f>
        <v/>
      </c>
      <c r="E761" s="30" t="inlineStr">
        <is>
          <t>AGENOR DE OLIVEIRA TEIXEIRA</t>
        </is>
      </c>
      <c r="F761" s="40" t="n">
        <v>0</v>
      </c>
      <c r="G761" s="40" t="n">
        <v>0</v>
      </c>
      <c r="H761" s="40" t="n">
        <v>0</v>
      </c>
      <c r="I761" s="40" t="n">
        <v>0</v>
      </c>
      <c r="J761" s="40" t="n">
        <v>0</v>
      </c>
      <c r="K761" s="40" t="n">
        <v>0</v>
      </c>
      <c r="L761" s="40" t="n">
        <v>0</v>
      </c>
    </row>
    <row r="762" ht="12" customHeight="1">
      <c r="A762" s="30" t="inlineStr">
        <is>
          <t>ITG</t>
        </is>
      </c>
      <c r="B762" s="30" t="inlineStr">
        <is>
          <t>Itaguai</t>
        </is>
      </c>
      <c r="C762" s="30" t="n">
        <v>75038615</v>
      </c>
      <c r="D762" s="30">
        <f>"31652597000182"</f>
        <v/>
      </c>
      <c r="E762" s="30" t="inlineStr">
        <is>
          <t>YUCCA AGROINDUSTRIAL LTDA</t>
        </is>
      </c>
      <c r="F762" s="40" t="n">
        <v>0</v>
      </c>
      <c r="G762" s="40" t="n">
        <v>0</v>
      </c>
      <c r="H762" s="40" t="n">
        <v>0</v>
      </c>
      <c r="I762" s="40" t="n">
        <v>0</v>
      </c>
      <c r="J762" s="40" t="n">
        <v>0</v>
      </c>
      <c r="K762" s="40" t="n">
        <v>0</v>
      </c>
      <c r="L762" s="40" t="n">
        <v>0</v>
      </c>
    </row>
    <row r="763" ht="12" customHeight="1">
      <c r="A763" s="30" t="inlineStr">
        <is>
          <t>ITG</t>
        </is>
      </c>
      <c r="B763" s="30" t="inlineStr">
        <is>
          <t>Itaguai</t>
        </is>
      </c>
      <c r="C763" s="30" t="n">
        <v>75586744</v>
      </c>
      <c r="D763" s="30">
        <f>"57012098000548"</f>
        <v/>
      </c>
      <c r="E763" s="30" t="inlineStr">
        <is>
          <t>TRANSLUTE TRANSPORTES RODOVIARIO LTDA</t>
        </is>
      </c>
      <c r="F763" s="40" t="n">
        <v>0</v>
      </c>
      <c r="G763" s="40" t="n">
        <v>0</v>
      </c>
      <c r="H763" s="40" t="n">
        <v>0</v>
      </c>
      <c r="I763" s="40" t="n">
        <v>0</v>
      </c>
      <c r="J763" s="40" t="n">
        <v>0</v>
      </c>
      <c r="K763" s="40" t="n">
        <v>11.03</v>
      </c>
      <c r="L763" s="40" t="n">
        <v>35.51</v>
      </c>
    </row>
    <row r="764" ht="12" customHeight="1">
      <c r="A764" s="30" t="inlineStr">
        <is>
          <t>ITG</t>
        </is>
      </c>
      <c r="B764" s="30" t="inlineStr">
        <is>
          <t>Itaguai</t>
        </is>
      </c>
      <c r="C764" s="30" t="n">
        <v>75701535</v>
      </c>
      <c r="D764" s="30">
        <f>"29899143000169"</f>
        <v/>
      </c>
      <c r="E764" s="30" t="inlineStr">
        <is>
          <t>VIACAO TREZE DE JUNHO LTDA</t>
        </is>
      </c>
      <c r="F764" s="40" t="n">
        <v>0</v>
      </c>
      <c r="G764" s="40" t="n">
        <v>0</v>
      </c>
      <c r="H764" s="40" t="n">
        <v>9600</v>
      </c>
      <c r="I764" s="40" t="n">
        <v>0</v>
      </c>
      <c r="J764" s="40" t="n">
        <v>4600</v>
      </c>
      <c r="K764" s="40" t="n">
        <v>9100</v>
      </c>
      <c r="L764" s="40" t="n">
        <v>11050</v>
      </c>
    </row>
    <row r="765" ht="12" customHeight="1">
      <c r="A765" s="30" t="inlineStr">
        <is>
          <t>ITG</t>
        </is>
      </c>
      <c r="B765" s="30" t="inlineStr">
        <is>
          <t>Itaguai</t>
        </is>
      </c>
      <c r="C765" s="30" t="n">
        <v>75733003</v>
      </c>
      <c r="D765" s="30">
        <f>"02411941000143"</f>
        <v/>
      </c>
      <c r="E765" s="30" t="inlineStr">
        <is>
          <t>FUNERARIA ULTIMA SAUDADE LTDA ME</t>
        </is>
      </c>
      <c r="F765" s="40" t="n">
        <v>0</v>
      </c>
      <c r="G765" s="40" t="n">
        <v>0</v>
      </c>
      <c r="H765" s="40" t="n">
        <v>0</v>
      </c>
      <c r="I765" s="40" t="n">
        <v>0</v>
      </c>
      <c r="J765" s="40" t="n">
        <v>0</v>
      </c>
      <c r="K765" s="40" t="n">
        <v>0</v>
      </c>
      <c r="L765" s="40" t="n">
        <v>0</v>
      </c>
    </row>
    <row r="766" ht="12" customHeight="1">
      <c r="A766" s="30" t="inlineStr">
        <is>
          <t>ITG</t>
        </is>
      </c>
      <c r="B766" s="30" t="inlineStr">
        <is>
          <t>Itaguai</t>
        </is>
      </c>
      <c r="C766" s="30" t="n">
        <v>75733569</v>
      </c>
      <c r="D766" s="30">
        <f>"36124881000108"</f>
        <v/>
      </c>
      <c r="E766" s="30" t="inlineStr">
        <is>
          <t>ITAGUAUTO AUTO CENTER E PECAS LTDA ME</t>
        </is>
      </c>
      <c r="F766" s="40" t="n">
        <v>0</v>
      </c>
      <c r="G766" s="40" t="n">
        <v>0</v>
      </c>
      <c r="H766" s="40" t="n">
        <v>0</v>
      </c>
      <c r="I766" s="40" t="n">
        <v>0</v>
      </c>
      <c r="J766" s="40" t="n">
        <v>0</v>
      </c>
      <c r="K766" s="40" t="n">
        <v>0</v>
      </c>
      <c r="L766" s="40" t="n">
        <v>0</v>
      </c>
    </row>
    <row r="767" ht="12" customHeight="1">
      <c r="A767" s="30" t="inlineStr">
        <is>
          <t>ITG</t>
        </is>
      </c>
      <c r="B767" s="30" t="inlineStr">
        <is>
          <t>Itaguai</t>
        </is>
      </c>
      <c r="C767" s="30" t="n">
        <v>75733844</v>
      </c>
      <c r="D767" s="30">
        <f>"33438250012173"</f>
        <v/>
      </c>
      <c r="E767" s="30" t="inlineStr">
        <is>
          <t>DROGARIAS PACHECO S/A</t>
        </is>
      </c>
      <c r="F767" s="40" t="n">
        <v>3046883.61</v>
      </c>
      <c r="G767" s="40" t="n">
        <v>2534715.92</v>
      </c>
      <c r="H767" s="40" t="n">
        <v>3075246.65</v>
      </c>
      <c r="I767" s="40" t="n">
        <v>3769318.32</v>
      </c>
      <c r="J767" s="40" t="n">
        <v>3241566.03</v>
      </c>
      <c r="K767" s="40" t="n">
        <v>3468884.23</v>
      </c>
      <c r="L767" s="40" t="n">
        <v>2357891.79</v>
      </c>
    </row>
    <row r="768" ht="12" customHeight="1">
      <c r="A768" s="30" t="inlineStr">
        <is>
          <t>ITG</t>
        </is>
      </c>
      <c r="B768" s="30" t="inlineStr">
        <is>
          <t>Itaguai</t>
        </is>
      </c>
      <c r="C768" s="30" t="n">
        <v>75733879</v>
      </c>
      <c r="D768" s="30">
        <f>"72372998000409"</f>
        <v/>
      </c>
      <c r="E768" s="30" t="inlineStr">
        <is>
          <t>COMPANHIA PORTUARIA BAIA DE SEPETIBA</t>
        </is>
      </c>
      <c r="F768" s="40" t="n">
        <v>0</v>
      </c>
      <c r="G768" s="40" t="n">
        <v>0</v>
      </c>
      <c r="H768" s="40" t="n">
        <v>0</v>
      </c>
      <c r="I768" s="40" t="n">
        <v>0</v>
      </c>
      <c r="J768" s="40" t="n">
        <v>0</v>
      </c>
      <c r="K768" s="40" t="n">
        <v>0</v>
      </c>
      <c r="L768" s="40" t="n">
        <v>0</v>
      </c>
    </row>
    <row r="769" ht="12" customHeight="1">
      <c r="A769" s="30" t="inlineStr">
        <is>
          <t>ITG</t>
        </is>
      </c>
      <c r="B769" s="30" t="inlineStr">
        <is>
          <t>Itaguai</t>
        </is>
      </c>
      <c r="C769" s="30" t="n">
        <v>75733933</v>
      </c>
      <c r="D769" s="30">
        <f>"02751952000172"</f>
        <v/>
      </c>
      <c r="E769" s="30" t="inlineStr">
        <is>
          <t>CAAPEBA RESTAURANTE EIRELI</t>
        </is>
      </c>
      <c r="F769" s="40" t="n">
        <v>306458.35</v>
      </c>
      <c r="G769" s="40" t="n">
        <v>0</v>
      </c>
      <c r="H769" s="40" t="n">
        <v>230724.19</v>
      </c>
      <c r="I769" s="40" t="n">
        <v>0</v>
      </c>
      <c r="J769" s="40" t="n">
        <v>0</v>
      </c>
      <c r="K769" s="40" t="n">
        <v>0</v>
      </c>
      <c r="L769" s="40" t="n">
        <v>0</v>
      </c>
    </row>
    <row r="770" ht="12" customHeight="1">
      <c r="A770" s="30" t="inlineStr">
        <is>
          <t>ITG</t>
        </is>
      </c>
      <c r="B770" s="30" t="inlineStr">
        <is>
          <t>Itaguai</t>
        </is>
      </c>
      <c r="C770" s="30" t="n">
        <v>75734565</v>
      </c>
      <c r="D770" s="30">
        <f>"03017244000175"</f>
        <v/>
      </c>
      <c r="E770" s="30" t="inlineStr">
        <is>
          <t>RIO MAR DE ITAGUAI COMERCIO DE PRODUTOS ALIMENTICIOS LTDA</t>
        </is>
      </c>
      <c r="F770" s="40" t="n">
        <v>3667990.68</v>
      </c>
      <c r="G770" s="40" t="n">
        <v>3612747.62</v>
      </c>
      <c r="H770" s="40" t="n">
        <v>2914565.29</v>
      </c>
      <c r="I770" s="40" t="n">
        <v>2719041.54</v>
      </c>
      <c r="J770" s="40" t="n">
        <v>1938712.85</v>
      </c>
      <c r="K770" s="40" t="n">
        <v>0</v>
      </c>
      <c r="L770" s="40" t="n">
        <v>0</v>
      </c>
    </row>
    <row r="771" ht="12" customHeight="1">
      <c r="A771" s="30" t="inlineStr">
        <is>
          <t>ITG</t>
        </is>
      </c>
      <c r="B771" s="30" t="inlineStr">
        <is>
          <t>Itaguai</t>
        </is>
      </c>
      <c r="C771" s="30" t="n">
        <v>75751516</v>
      </c>
      <c r="D771" s="30">
        <f>"03106908000172"</f>
        <v/>
      </c>
      <c r="E771" s="30" t="inlineStr">
        <is>
          <t>AUTO CENTER AUGENI LTDA ME</t>
        </is>
      </c>
      <c r="F771" s="40" t="n">
        <v>0</v>
      </c>
      <c r="G771" s="40" t="n">
        <v>0</v>
      </c>
      <c r="H771" s="40" t="n">
        <v>0</v>
      </c>
      <c r="I771" s="40" t="n">
        <v>0</v>
      </c>
      <c r="J771" s="40" t="n">
        <v>0</v>
      </c>
      <c r="K771" s="40" t="n">
        <v>0</v>
      </c>
      <c r="L771" s="40" t="n">
        <v>0</v>
      </c>
    </row>
    <row r="772" ht="12" customHeight="1">
      <c r="A772" s="30" t="inlineStr">
        <is>
          <t>ITG</t>
        </is>
      </c>
      <c r="B772" s="30" t="inlineStr">
        <is>
          <t>Itaguai</t>
        </is>
      </c>
      <c r="C772" s="30" t="n">
        <v>75775938</v>
      </c>
      <c r="D772" s="30">
        <f>"02979668000158"</f>
        <v/>
      </c>
      <c r="E772" s="30" t="inlineStr">
        <is>
          <t>TRANSP QUEIROZ EIRELI EPP</t>
        </is>
      </c>
      <c r="F772" s="40" t="n">
        <v>759.51</v>
      </c>
      <c r="G772" s="40" t="n">
        <v>0</v>
      </c>
      <c r="H772" s="40" t="n">
        <v>0</v>
      </c>
      <c r="I772" s="40" t="n">
        <v>8067.48</v>
      </c>
      <c r="J772" s="40" t="n">
        <v>0</v>
      </c>
      <c r="K772" s="40" t="n">
        <v>0</v>
      </c>
      <c r="L772" s="40" t="n">
        <v>0</v>
      </c>
    </row>
    <row r="773" ht="12" customHeight="1">
      <c r="A773" s="30" t="inlineStr">
        <is>
          <t>ITG</t>
        </is>
      </c>
      <c r="B773" s="30" t="inlineStr">
        <is>
          <t>Itaguai</t>
        </is>
      </c>
      <c r="C773" s="30" t="n">
        <v>75794134</v>
      </c>
      <c r="D773" s="30">
        <f>"43244631002455"</f>
        <v/>
      </c>
      <c r="E773" s="30" t="inlineStr">
        <is>
          <t>TRANSPORTADORA AMERICANA LTDA</t>
        </is>
      </c>
      <c r="F773" s="40" t="n">
        <v>2682.56</v>
      </c>
      <c r="G773" s="40" t="n">
        <v>2572.34</v>
      </c>
      <c r="H773" s="40" t="n">
        <v>938.23</v>
      </c>
      <c r="I773" s="40" t="n">
        <v>2686.47</v>
      </c>
      <c r="J773" s="40" t="n">
        <v>2452.01</v>
      </c>
      <c r="K773" s="40" t="n">
        <v>494.17</v>
      </c>
      <c r="L773" s="40" t="n">
        <v>0</v>
      </c>
    </row>
    <row r="774" ht="12" customHeight="1">
      <c r="A774" s="30" t="inlineStr">
        <is>
          <t>ITG</t>
        </is>
      </c>
      <c r="B774" s="30" t="inlineStr">
        <is>
          <t>Itaguai</t>
        </is>
      </c>
      <c r="C774" s="30" t="n">
        <v>75795580</v>
      </c>
      <c r="D774" s="30">
        <f>"02714518000112"</f>
        <v/>
      </c>
      <c r="E774" s="30" t="inlineStr">
        <is>
          <t>A PRIMORDIAL LOGISTICA EM TRANSPORTES LTDA</t>
        </is>
      </c>
      <c r="F774" s="40" t="n">
        <v>0</v>
      </c>
      <c r="G774" s="40" t="n">
        <v>0</v>
      </c>
      <c r="H774" s="40" t="n">
        <v>0</v>
      </c>
      <c r="I774" s="40" t="n">
        <v>0</v>
      </c>
      <c r="J774" s="40" t="n">
        <v>11045.67</v>
      </c>
      <c r="K774" s="40" t="n">
        <v>1495.29</v>
      </c>
      <c r="L774" s="40" t="n">
        <v>0</v>
      </c>
    </row>
    <row r="775" ht="12" customHeight="1">
      <c r="A775" s="30" t="inlineStr">
        <is>
          <t>ITG</t>
        </is>
      </c>
      <c r="B775" s="30" t="inlineStr">
        <is>
          <t>Itaguai</t>
        </is>
      </c>
      <c r="C775" s="30" t="n">
        <v>75795629</v>
      </c>
      <c r="D775" s="30">
        <f>"01114430000288"</f>
        <v/>
      </c>
      <c r="E775" s="30" t="inlineStr">
        <is>
          <t>TRANSFUTURO TRANSPORTES LTDA</t>
        </is>
      </c>
      <c r="F775" s="40" t="n">
        <v>10600.26</v>
      </c>
      <c r="G775" s="40" t="n">
        <v>0</v>
      </c>
      <c r="H775" s="40" t="n">
        <v>1410</v>
      </c>
      <c r="I775" s="40" t="n">
        <v>30796.37</v>
      </c>
      <c r="J775" s="40" t="n">
        <v>12750</v>
      </c>
      <c r="K775" s="40" t="n">
        <v>0</v>
      </c>
      <c r="L775" s="40" t="n">
        <v>0</v>
      </c>
    </row>
    <row r="776" ht="12" customHeight="1">
      <c r="A776" s="30" t="inlineStr">
        <is>
          <t>ITG</t>
        </is>
      </c>
      <c r="B776" s="30" t="inlineStr">
        <is>
          <t>Itaguai</t>
        </is>
      </c>
      <c r="C776" s="30" t="n">
        <v>75819625</v>
      </c>
      <c r="D776" s="30">
        <f>"03094658000106"</f>
        <v/>
      </c>
      <c r="E776" s="30" t="inlineStr">
        <is>
          <t>GEFCO LOGISTICA DO BRASIL LTDA</t>
        </is>
      </c>
      <c r="F776" s="40" t="n">
        <v>0</v>
      </c>
      <c r="G776" s="40" t="n">
        <v>0</v>
      </c>
      <c r="H776" s="40" t="n">
        <v>0</v>
      </c>
      <c r="I776" s="40" t="n">
        <v>0</v>
      </c>
      <c r="J776" s="40" t="n">
        <v>41582.25</v>
      </c>
      <c r="K776" s="40" t="n">
        <v>0</v>
      </c>
      <c r="L776" s="40" t="n">
        <v>0</v>
      </c>
    </row>
    <row r="777" ht="12" customHeight="1">
      <c r="A777" s="30" t="inlineStr">
        <is>
          <t>ITG</t>
        </is>
      </c>
      <c r="B777" s="30" t="inlineStr">
        <is>
          <t>Itaguai</t>
        </is>
      </c>
      <c r="C777" s="30" t="n">
        <v>75823193</v>
      </c>
      <c r="D777" s="30">
        <f>"03577561000146"</f>
        <v/>
      </c>
      <c r="E777" s="30" t="inlineStr">
        <is>
          <t>GLOBAL COMERCIO DE SOLDAS, FERRAMENTAS E MAT DE SEGURANCA LTDA</t>
        </is>
      </c>
      <c r="F777" s="40" t="n">
        <v>0</v>
      </c>
      <c r="G777" s="40" t="n">
        <v>0</v>
      </c>
      <c r="H777" s="40" t="n">
        <v>0</v>
      </c>
      <c r="I777" s="40" t="n">
        <v>0</v>
      </c>
      <c r="J777" s="40" t="n">
        <v>0</v>
      </c>
      <c r="K777" s="40" t="n">
        <v>591317.49</v>
      </c>
      <c r="L777" s="40" t="n">
        <v>481252.65</v>
      </c>
    </row>
    <row r="778" ht="12" customHeight="1">
      <c r="A778" s="30" t="inlineStr">
        <is>
          <t>ITG</t>
        </is>
      </c>
      <c r="B778" s="30" t="inlineStr">
        <is>
          <t>Itaguai</t>
        </is>
      </c>
      <c r="C778" s="30" t="n">
        <v>75823223</v>
      </c>
      <c r="D778" s="30">
        <f>"03590204000118"</f>
        <v/>
      </c>
      <c r="E778" s="30" t="inlineStr">
        <is>
          <t>ITA GAS DO BRASIL LTDA</t>
        </is>
      </c>
      <c r="F778" s="40" t="n">
        <v>3825338.08</v>
      </c>
      <c r="G778" s="40" t="n">
        <v>3919039.11</v>
      </c>
      <c r="H778" s="40" t="n">
        <v>3069491.26</v>
      </c>
      <c r="I778" s="40" t="n">
        <v>2405965.72</v>
      </c>
      <c r="J778" s="40" t="n">
        <v>2242739.04</v>
      </c>
      <c r="K778" s="40" t="n">
        <v>2543974.95</v>
      </c>
      <c r="L778" s="40" t="n">
        <v>2063948.53</v>
      </c>
    </row>
    <row r="779" ht="12" customHeight="1">
      <c r="A779" s="30" t="inlineStr">
        <is>
          <t>ITG</t>
        </is>
      </c>
      <c r="B779" s="30" t="inlineStr">
        <is>
          <t>Itaguai</t>
        </is>
      </c>
      <c r="C779" s="30" t="n">
        <v>75823339</v>
      </c>
      <c r="D779" s="30">
        <f>"03642412000113"</f>
        <v/>
      </c>
      <c r="E779" s="30" t="inlineStr">
        <is>
          <t>E R PEIXOTO GAIO BAZAR</t>
        </is>
      </c>
      <c r="F779" s="40" t="n">
        <v>0</v>
      </c>
      <c r="G779" s="40" t="n">
        <v>0</v>
      </c>
      <c r="H779" s="40" t="n">
        <v>0</v>
      </c>
      <c r="I779" s="40" t="n">
        <v>0</v>
      </c>
      <c r="J779" s="40" t="n">
        <v>0</v>
      </c>
      <c r="K779" s="40" t="n">
        <v>0</v>
      </c>
      <c r="L779" s="40" t="n">
        <v>0</v>
      </c>
    </row>
    <row r="780" ht="12" customHeight="1">
      <c r="A780" s="30" t="inlineStr">
        <is>
          <t>ITG</t>
        </is>
      </c>
      <c r="B780" s="30" t="inlineStr">
        <is>
          <t>Itaguai</t>
        </is>
      </c>
      <c r="C780" s="30" t="n">
        <v>75823622</v>
      </c>
      <c r="D780" s="30">
        <f>"36453744000370"</f>
        <v/>
      </c>
      <c r="E780" s="30" t="inlineStr">
        <is>
          <t>SUPERMERCADO BERG E BERG LTDA</t>
        </is>
      </c>
      <c r="F780" s="40" t="n">
        <v>13395596.76</v>
      </c>
      <c r="G780" s="40" t="n">
        <v>9676857.77</v>
      </c>
      <c r="H780" s="40" t="n">
        <v>8824315.4</v>
      </c>
      <c r="I780" s="40" t="n">
        <v>7599924.03</v>
      </c>
      <c r="J780" s="40" t="n">
        <v>9921880.550000001</v>
      </c>
      <c r="K780" s="40" t="n">
        <v>0</v>
      </c>
      <c r="L780" s="40" t="n">
        <v>0</v>
      </c>
    </row>
    <row r="781" ht="12" customHeight="1">
      <c r="A781" s="30" t="inlineStr">
        <is>
          <t>ITG</t>
        </is>
      </c>
      <c r="B781" s="30" t="inlineStr">
        <is>
          <t>Itaguai</t>
        </is>
      </c>
      <c r="C781" s="30" t="n">
        <v>75824041</v>
      </c>
      <c r="D781" s="30">
        <f>"03960389000105"</f>
        <v/>
      </c>
      <c r="E781" s="30" t="inlineStr">
        <is>
          <t>BOTICA ITAGUAI LTDA ME</t>
        </is>
      </c>
      <c r="F781" s="40" t="n">
        <v>1277549.39</v>
      </c>
      <c r="G781" s="40" t="n">
        <v>770442.17</v>
      </c>
      <c r="H781" s="40" t="n">
        <v>1088435.6</v>
      </c>
      <c r="I781" s="40" t="n">
        <v>896850.0600000001</v>
      </c>
      <c r="J781" s="40" t="n">
        <v>1063783.23</v>
      </c>
      <c r="K781" s="40" t="n">
        <v>1346098.58</v>
      </c>
      <c r="L781" s="40" t="n">
        <v>1809151.99</v>
      </c>
    </row>
    <row r="782" ht="12" customHeight="1">
      <c r="A782" s="30" t="inlineStr">
        <is>
          <t>ITG</t>
        </is>
      </c>
      <c r="B782" s="30" t="inlineStr">
        <is>
          <t>Itaguai</t>
        </is>
      </c>
      <c r="C782" s="30" t="n">
        <v>75824149</v>
      </c>
      <c r="D782" s="30">
        <f>"03978226000150"</f>
        <v/>
      </c>
      <c r="E782" s="30" t="inlineStr">
        <is>
          <t>JLPF TRANSPORTES E PRE MOLDADOS LTDA</t>
        </is>
      </c>
      <c r="F782" s="40" t="n">
        <v>0</v>
      </c>
      <c r="G782" s="40" t="n">
        <v>0</v>
      </c>
      <c r="H782" s="40" t="n">
        <v>0</v>
      </c>
      <c r="I782" s="40" t="n">
        <v>0</v>
      </c>
      <c r="J782" s="40" t="n">
        <v>0</v>
      </c>
      <c r="K782" s="40" t="n">
        <v>0</v>
      </c>
      <c r="L782" s="40" t="n">
        <v>0</v>
      </c>
    </row>
    <row r="783" ht="12" customHeight="1">
      <c r="A783" s="30" t="inlineStr">
        <is>
          <t>ITG</t>
        </is>
      </c>
      <c r="B783" s="30" t="inlineStr">
        <is>
          <t>Itaguai</t>
        </is>
      </c>
      <c r="C783" s="30" t="n">
        <v>75824157</v>
      </c>
      <c r="D783" s="30">
        <f>"04023382000120"</f>
        <v/>
      </c>
      <c r="E783" s="30" t="inlineStr">
        <is>
          <t>J B LOGISTICA LTDA</t>
        </is>
      </c>
      <c r="F783" s="40" t="n">
        <v>0</v>
      </c>
      <c r="G783" s="40" t="n">
        <v>0</v>
      </c>
      <c r="H783" s="40" t="n">
        <v>0</v>
      </c>
      <c r="I783" s="40" t="n">
        <v>0</v>
      </c>
      <c r="J783" s="40" t="n">
        <v>0</v>
      </c>
      <c r="K783" s="40" t="n">
        <v>0</v>
      </c>
      <c r="L783" s="40" t="n">
        <v>0</v>
      </c>
    </row>
    <row r="784" ht="12" customHeight="1">
      <c r="A784" s="30" t="inlineStr">
        <is>
          <t>ITG</t>
        </is>
      </c>
      <c r="B784" s="30" t="inlineStr">
        <is>
          <t>Itaguai</t>
        </is>
      </c>
      <c r="C784" s="30" t="n">
        <v>75824297</v>
      </c>
      <c r="D784" s="30">
        <f>"04041907000150"</f>
        <v/>
      </c>
      <c r="E784" s="30" t="inlineStr">
        <is>
          <t>DIMOCOSTAS E ABREU COMERCIO DE DERIVADOS DE PETROLEO LTDA</t>
        </is>
      </c>
      <c r="F784" s="40" t="n">
        <v>2572948.95</v>
      </c>
      <c r="G784" s="40" t="n">
        <v>2078477.88</v>
      </c>
      <c r="H784" s="40" t="n">
        <v>1922767.55</v>
      </c>
      <c r="I784" s="40" t="n">
        <v>2464831.12</v>
      </c>
      <c r="J784" s="40" t="n">
        <v>1546922.64</v>
      </c>
      <c r="K784" s="40" t="n">
        <v>1614828.8</v>
      </c>
      <c r="L784" s="40" t="n">
        <v>3059275.71</v>
      </c>
    </row>
    <row r="785" ht="12" customHeight="1">
      <c r="A785" s="30" t="inlineStr">
        <is>
          <t>ITG</t>
        </is>
      </c>
      <c r="B785" s="30" t="inlineStr">
        <is>
          <t>Itaguai</t>
        </is>
      </c>
      <c r="C785" s="30" t="n">
        <v>75824521</v>
      </c>
      <c r="D785" s="30">
        <f>"04141294000122"</f>
        <v/>
      </c>
      <c r="E785" s="30" t="inlineStr">
        <is>
          <t>SILVA E SOUZA SERVICOS FUNERARIOS LTDA ME</t>
        </is>
      </c>
      <c r="F785" s="40" t="n">
        <v>0</v>
      </c>
      <c r="G785" s="40" t="n">
        <v>0</v>
      </c>
      <c r="H785" s="40" t="n">
        <v>0</v>
      </c>
      <c r="I785" s="40" t="n">
        <v>0</v>
      </c>
      <c r="J785" s="40" t="n">
        <v>0</v>
      </c>
      <c r="K785" s="40" t="n">
        <v>0</v>
      </c>
      <c r="L785" s="40" t="n">
        <v>0</v>
      </c>
    </row>
    <row r="786" ht="12" customHeight="1">
      <c r="A786" s="30" t="inlineStr">
        <is>
          <t>ITG</t>
        </is>
      </c>
      <c r="B786" s="30" t="inlineStr">
        <is>
          <t>Itaguai</t>
        </is>
      </c>
      <c r="C786" s="30" t="n">
        <v>75824610</v>
      </c>
      <c r="D786" s="30">
        <f>"04178625000107"</f>
        <v/>
      </c>
      <c r="E786" s="30" t="inlineStr">
        <is>
          <t>TFT PREPARACAO E COMERCIO DE DERIVADOS DE CARNES E TRANSPORTES LTDA</t>
        </is>
      </c>
      <c r="F786" s="40" t="n">
        <v>8345740.58</v>
      </c>
      <c r="G786" s="40" t="n">
        <v>8145383.67</v>
      </c>
      <c r="H786" s="40" t="n">
        <v>11347257.96</v>
      </c>
      <c r="I786" s="40" t="n">
        <v>8650390.310000001</v>
      </c>
      <c r="J786" s="40" t="n">
        <v>14267520.79</v>
      </c>
      <c r="K786" s="40" t="n">
        <v>13817768.5</v>
      </c>
      <c r="L786" s="40" t="n">
        <v>3530613.26</v>
      </c>
    </row>
    <row r="787" ht="12" customHeight="1">
      <c r="A787" s="30" t="inlineStr">
        <is>
          <t>ITG</t>
        </is>
      </c>
      <c r="B787" s="30" t="inlineStr">
        <is>
          <t>Itaguai</t>
        </is>
      </c>
      <c r="C787" s="30" t="n">
        <v>75846223</v>
      </c>
      <c r="D787" s="30">
        <f>"02653803000170"</f>
        <v/>
      </c>
      <c r="E787" s="30" t="inlineStr">
        <is>
          <t>SM - RIO TRANSPORTE E LOGÍSTICA EIRELI</t>
        </is>
      </c>
      <c r="F787" s="40" t="n">
        <v>0</v>
      </c>
      <c r="G787" s="40" t="n">
        <v>1561.97</v>
      </c>
      <c r="H787" s="40" t="n">
        <v>0</v>
      </c>
      <c r="I787" s="40" t="n">
        <v>0</v>
      </c>
      <c r="J787" s="40" t="n">
        <v>0</v>
      </c>
      <c r="K787" s="40" t="n">
        <v>0</v>
      </c>
      <c r="L787" s="40" t="n">
        <v>0</v>
      </c>
    </row>
    <row r="788" ht="12" customHeight="1">
      <c r="A788" s="30" t="inlineStr">
        <is>
          <t>ITG</t>
        </is>
      </c>
      <c r="B788" s="30" t="inlineStr">
        <is>
          <t>Itaguai</t>
        </is>
      </c>
      <c r="C788" s="30" t="n">
        <v>75849567</v>
      </c>
      <c r="D788" s="30">
        <f>"19694199000476"</f>
        <v/>
      </c>
      <c r="E788" s="30" t="inlineStr">
        <is>
          <t>TRANSREFER TRANSPORTE E LOGISTICA LTDA</t>
        </is>
      </c>
      <c r="F788" s="40" t="n">
        <v>564.8099999999999</v>
      </c>
      <c r="G788" s="40" t="n">
        <v>293.87</v>
      </c>
      <c r="H788" s="40" t="n">
        <v>1019.3</v>
      </c>
      <c r="I788" s="40" t="n">
        <v>753.9299999999999</v>
      </c>
      <c r="J788" s="40" t="n">
        <v>299.15</v>
      </c>
      <c r="K788" s="40" t="n">
        <v>0</v>
      </c>
      <c r="L788" s="40" t="n">
        <v>108.94</v>
      </c>
    </row>
    <row r="789" ht="12" customHeight="1">
      <c r="A789" s="30" t="inlineStr">
        <is>
          <t>ITG</t>
        </is>
      </c>
      <c r="B789" s="30" t="inlineStr">
        <is>
          <t>Itaguai</t>
        </is>
      </c>
      <c r="C789" s="30" t="n">
        <v>75865694</v>
      </c>
      <c r="D789" s="30">
        <f>"02849294000156"</f>
        <v/>
      </c>
      <c r="E789" s="30" t="inlineStr">
        <is>
          <t>VIDA SAUDAVEL DISTRIBUIDORA DE AGUA MINERAL LTDA</t>
        </is>
      </c>
      <c r="F789" s="40" t="n">
        <v>0</v>
      </c>
      <c r="G789" s="40" t="n">
        <v>0</v>
      </c>
      <c r="H789" s="40" t="n">
        <v>6754.93</v>
      </c>
      <c r="I789" s="40" t="n">
        <v>0</v>
      </c>
      <c r="J789" s="40" t="n">
        <v>0</v>
      </c>
      <c r="K789" s="40" t="n">
        <v>0</v>
      </c>
      <c r="L789" s="40" t="n">
        <v>0</v>
      </c>
    </row>
    <row r="790" ht="12" customHeight="1">
      <c r="A790" s="30" t="inlineStr">
        <is>
          <t>ITG</t>
        </is>
      </c>
      <c r="B790" s="30" t="inlineStr">
        <is>
          <t>Itaguai</t>
        </is>
      </c>
      <c r="C790" s="30" t="n">
        <v>75968779</v>
      </c>
      <c r="D790" s="30">
        <f>"88317847001460"</f>
        <v/>
      </c>
      <c r="E790" s="30" t="inlineStr">
        <is>
          <t>RAPIDO TRANSPAULO LTDA</t>
        </is>
      </c>
      <c r="F790" s="40" t="n">
        <v>1651.7</v>
      </c>
      <c r="G790" s="40" t="n">
        <v>0</v>
      </c>
      <c r="H790" s="40" t="n">
        <v>0</v>
      </c>
      <c r="I790" s="40" t="n">
        <v>0</v>
      </c>
      <c r="J790" s="40" t="n">
        <v>0</v>
      </c>
      <c r="K790" s="40" t="n">
        <v>0</v>
      </c>
      <c r="L790" s="40" t="n">
        <v>0</v>
      </c>
    </row>
    <row r="791" ht="12" customHeight="1">
      <c r="A791" s="30" t="inlineStr">
        <is>
          <t>ITG</t>
        </is>
      </c>
      <c r="B791" s="30" t="inlineStr">
        <is>
          <t>Itaguai</t>
        </is>
      </c>
      <c r="C791" s="30" t="n">
        <v>76026831</v>
      </c>
      <c r="D791" s="30">
        <f>"60664828007340"</f>
        <v/>
      </c>
      <c r="E791" s="30" t="inlineStr">
        <is>
          <t>EMPRESA DE TRANSPORTES ATLAS LTDA</t>
        </is>
      </c>
      <c r="F791" s="40" t="n">
        <v>1147.95</v>
      </c>
      <c r="G791" s="40" t="n">
        <v>677.08</v>
      </c>
      <c r="H791" s="40" t="n">
        <v>903.35</v>
      </c>
      <c r="I791" s="40" t="n">
        <v>0</v>
      </c>
      <c r="J791" s="40" t="n">
        <v>0</v>
      </c>
      <c r="K791" s="40" t="n">
        <v>0</v>
      </c>
      <c r="L791" s="40" t="n">
        <v>0</v>
      </c>
    </row>
    <row r="792" ht="12" customHeight="1">
      <c r="A792" s="30" t="inlineStr">
        <is>
          <t>ITG</t>
        </is>
      </c>
      <c r="B792" s="30" t="inlineStr">
        <is>
          <t>Itaguai</t>
        </is>
      </c>
      <c r="C792" s="30" t="n">
        <v>76038996</v>
      </c>
      <c r="D792" s="30">
        <f>"03333219000109"</f>
        <v/>
      </c>
      <c r="E792" s="30" t="inlineStr">
        <is>
          <t>KVA SEQUIP LOCACAO DE GERADORES LTDA</t>
        </is>
      </c>
      <c r="F792" s="40" t="n">
        <v>0</v>
      </c>
      <c r="G792" s="40" t="n">
        <v>0</v>
      </c>
      <c r="H792" s="40" t="n">
        <v>0</v>
      </c>
      <c r="I792" s="40" t="n">
        <v>0</v>
      </c>
      <c r="J792" s="40" t="n">
        <v>0</v>
      </c>
      <c r="K792" s="40" t="n">
        <v>0</v>
      </c>
      <c r="L792" s="40" t="n">
        <v>0</v>
      </c>
    </row>
    <row r="793" ht="12" customHeight="1">
      <c r="A793" s="30" t="inlineStr">
        <is>
          <t>ITG</t>
        </is>
      </c>
      <c r="B793" s="30" t="inlineStr">
        <is>
          <t>Itaguai</t>
        </is>
      </c>
      <c r="C793" s="30" t="n">
        <v>76085927</v>
      </c>
      <c r="D793" s="30">
        <f>"26341222000323"</f>
        <v/>
      </c>
      <c r="E793" s="30" t="inlineStr">
        <is>
          <t>EXPRESSO M 2000 LTDA</t>
        </is>
      </c>
      <c r="F793" s="40" t="n">
        <v>0</v>
      </c>
      <c r="G793" s="40" t="n">
        <v>1087.84</v>
      </c>
      <c r="H793" s="40" t="n">
        <v>0</v>
      </c>
      <c r="I793" s="40" t="n">
        <v>0</v>
      </c>
      <c r="J793" s="40" t="n">
        <v>269.75</v>
      </c>
      <c r="K793" s="40" t="n">
        <v>0</v>
      </c>
      <c r="L793" s="40" t="n">
        <v>0</v>
      </c>
    </row>
    <row r="794" ht="12" customHeight="1">
      <c r="A794" s="30" t="inlineStr">
        <is>
          <t>ITG</t>
        </is>
      </c>
      <c r="B794" s="30" t="inlineStr">
        <is>
          <t>Itaguai</t>
        </is>
      </c>
      <c r="C794" s="30" t="n">
        <v>76105502</v>
      </c>
      <c r="D794" s="30">
        <f>"03419953000187"</f>
        <v/>
      </c>
      <c r="E794" s="30" t="inlineStr">
        <is>
          <t>MARFRAN TRANSPORTES E LOGISTICA LTDA ME</t>
        </is>
      </c>
      <c r="F794" s="40" t="n">
        <v>2517.93</v>
      </c>
      <c r="G794" s="40" t="n">
        <v>0</v>
      </c>
      <c r="H794" s="40" t="n">
        <v>3285.12</v>
      </c>
      <c r="I794" s="40" t="n">
        <v>0</v>
      </c>
      <c r="J794" s="40" t="n">
        <v>0</v>
      </c>
      <c r="K794" s="40" t="n">
        <v>0</v>
      </c>
      <c r="L794" s="40" t="n">
        <v>0</v>
      </c>
    </row>
    <row r="795" ht="12" customHeight="1">
      <c r="A795" s="30" t="inlineStr">
        <is>
          <t>ITG</t>
        </is>
      </c>
      <c r="B795" s="30" t="inlineStr">
        <is>
          <t>Itaguai</t>
        </is>
      </c>
      <c r="C795" s="30" t="n">
        <v>76159122</v>
      </c>
      <c r="D795" s="30">
        <f>"03537249000129"</f>
        <v/>
      </c>
      <c r="E795" s="30" t="inlineStr">
        <is>
          <t>CSN ENERGIA S/A</t>
        </is>
      </c>
      <c r="F795" s="40" t="n">
        <v>23246320.17</v>
      </c>
      <c r="G795" s="40" t="n">
        <v>15990254.28</v>
      </c>
      <c r="H795" s="40" t="n">
        <v>15668082.61</v>
      </c>
      <c r="I795" s="40" t="n">
        <v>8144818.32</v>
      </c>
      <c r="J795" s="40" t="n">
        <v>956561.66</v>
      </c>
      <c r="K795" s="40" t="n">
        <v>801987.88</v>
      </c>
      <c r="L795" s="40" t="n">
        <v>155487.22</v>
      </c>
    </row>
    <row r="796" ht="12" customHeight="1">
      <c r="A796" s="30" t="inlineStr">
        <is>
          <t>ITG</t>
        </is>
      </c>
      <c r="B796" s="30" t="inlineStr">
        <is>
          <t>Itaguai</t>
        </is>
      </c>
      <c r="C796" s="30" t="n">
        <v>76187681</v>
      </c>
      <c r="D796" s="30">
        <f>"02870124000315"</f>
        <v/>
      </c>
      <c r="E796" s="30" t="inlineStr">
        <is>
          <t>LENARGE TRANSPORTES E SERVICOS LTDA</t>
        </is>
      </c>
      <c r="F796" s="40" t="n">
        <v>0</v>
      </c>
      <c r="G796" s="40" t="n">
        <v>0</v>
      </c>
      <c r="H796" s="40" t="n">
        <v>19687822.12</v>
      </c>
      <c r="I796" s="40" t="n">
        <v>22269778.08</v>
      </c>
      <c r="J796" s="40" t="n">
        <v>31373245.57</v>
      </c>
      <c r="K796" s="40" t="n">
        <v>44873294.96</v>
      </c>
      <c r="L796" s="40" t="n">
        <v>43350213.63</v>
      </c>
    </row>
    <row r="797" ht="12" customHeight="1">
      <c r="A797" s="30" t="inlineStr">
        <is>
          <t>ITG</t>
        </is>
      </c>
      <c r="B797" s="30" t="inlineStr">
        <is>
          <t>Itaguai</t>
        </is>
      </c>
      <c r="C797" s="30" t="n">
        <v>76197482</v>
      </c>
      <c r="D797" s="30">
        <f>"01619241000186"</f>
        <v/>
      </c>
      <c r="E797" s="30" t="inlineStr">
        <is>
          <t>WMS WORLD MARINE SERVICE LTDA</t>
        </is>
      </c>
      <c r="F797" s="40" t="n">
        <v>35714.63</v>
      </c>
      <c r="G797" s="40" t="n">
        <v>37104.18</v>
      </c>
      <c r="H797" s="40" t="n">
        <v>147790.44</v>
      </c>
      <c r="I797" s="40" t="n">
        <v>0</v>
      </c>
      <c r="J797" s="40" t="n">
        <v>41502.4</v>
      </c>
      <c r="K797" s="40" t="n">
        <v>1797.26</v>
      </c>
      <c r="L797" s="40" t="n">
        <v>16906.86</v>
      </c>
    </row>
    <row r="798" ht="12" customHeight="1">
      <c r="A798" s="30" t="inlineStr">
        <is>
          <t>ITG</t>
        </is>
      </c>
      <c r="B798" s="30" t="inlineStr">
        <is>
          <t>Itaguai</t>
        </is>
      </c>
      <c r="C798" s="30" t="n">
        <v>76208042</v>
      </c>
      <c r="D798" s="30">
        <f>"93288124000103"</f>
        <v/>
      </c>
      <c r="E798" s="30" t="inlineStr">
        <is>
          <t>TURISPALL TRANSPORTES E TURISMO LTDA ME</t>
        </is>
      </c>
      <c r="F798" s="40" t="n">
        <v>0</v>
      </c>
      <c r="G798" s="40" t="n">
        <v>0</v>
      </c>
      <c r="H798" s="40" t="n">
        <v>0</v>
      </c>
      <c r="I798" s="40" t="n">
        <v>0</v>
      </c>
      <c r="J798" s="40" t="n">
        <v>2500</v>
      </c>
      <c r="K798" s="40" t="n">
        <v>0</v>
      </c>
      <c r="L798" s="40" t="n">
        <v>0</v>
      </c>
    </row>
    <row r="799" ht="12" customHeight="1">
      <c r="A799" s="30" t="inlineStr">
        <is>
          <t>ITG</t>
        </is>
      </c>
      <c r="B799" s="30" t="inlineStr">
        <is>
          <t>Itaguai</t>
        </is>
      </c>
      <c r="C799" s="30" t="n">
        <v>76208549</v>
      </c>
      <c r="D799" s="30">
        <f>"19199348000773"</f>
        <v/>
      </c>
      <c r="E799" s="30" t="inlineStr">
        <is>
          <t>SADA TRANSPORTES E ARMAZENAGENS S/A</t>
        </is>
      </c>
      <c r="F799" s="40" t="n">
        <v>4982994.06</v>
      </c>
      <c r="G799" s="40" t="n">
        <v>5162477.17</v>
      </c>
      <c r="H799" s="40" t="n">
        <v>4770817.92</v>
      </c>
      <c r="I799" s="40" t="n">
        <v>2204977.47</v>
      </c>
      <c r="J799" s="40" t="n">
        <v>2663730.04</v>
      </c>
      <c r="K799" s="40" t="n">
        <v>1523625.13</v>
      </c>
      <c r="L799" s="40" t="n">
        <v>2122438.52</v>
      </c>
    </row>
    <row r="800" ht="12" customHeight="1">
      <c r="A800" s="30" t="inlineStr">
        <is>
          <t>ITG</t>
        </is>
      </c>
      <c r="B800" s="30" t="inlineStr">
        <is>
          <t>Itaguai</t>
        </is>
      </c>
      <c r="C800" s="30" t="n">
        <v>76208603</v>
      </c>
      <c r="D800" s="30">
        <f>"04239395000130"</f>
        <v/>
      </c>
      <c r="E800" s="30" t="inlineStr">
        <is>
          <t>CAP DE ITAGUAI AUTO PECAS LTDA</t>
        </is>
      </c>
      <c r="F800" s="40" t="n">
        <v>0</v>
      </c>
      <c r="G800" s="40" t="n">
        <v>50214.8</v>
      </c>
      <c r="H800" s="40" t="n">
        <v>0</v>
      </c>
      <c r="I800" s="40" t="n">
        <v>0</v>
      </c>
      <c r="J800" s="40" t="n">
        <v>219598.26</v>
      </c>
      <c r="K800" s="40" t="n">
        <v>0</v>
      </c>
      <c r="L800" s="40" t="n">
        <v>0</v>
      </c>
    </row>
    <row r="801" ht="12" customHeight="1">
      <c r="A801" s="30" t="inlineStr">
        <is>
          <t>ITG</t>
        </is>
      </c>
      <c r="B801" s="30" t="inlineStr">
        <is>
          <t>Itaguai</t>
        </is>
      </c>
      <c r="C801" s="30" t="n">
        <v>76208751</v>
      </c>
      <c r="D801" s="30">
        <f>"56642960010504"</f>
        <v/>
      </c>
      <c r="E801" s="30" t="inlineStr">
        <is>
          <t>LOJAS CEM S A</t>
        </is>
      </c>
      <c r="F801" s="40" t="n">
        <v>8770594.34</v>
      </c>
      <c r="G801" s="40" t="n">
        <v>7950735.29</v>
      </c>
      <c r="H801" s="40" t="n">
        <v>8197758.79</v>
      </c>
      <c r="I801" s="40" t="n">
        <v>8856576.01</v>
      </c>
      <c r="J801" s="40" t="n">
        <v>8361872.26</v>
      </c>
      <c r="K801" s="40" t="n">
        <v>4797074.55</v>
      </c>
      <c r="L801" s="40" t="n">
        <v>5057014.87</v>
      </c>
    </row>
    <row r="802" ht="12" customHeight="1">
      <c r="A802" s="30" t="inlineStr">
        <is>
          <t>ITG</t>
        </is>
      </c>
      <c r="B802" s="30" t="inlineStr">
        <is>
          <t>Itaguai</t>
        </is>
      </c>
      <c r="C802" s="30" t="n">
        <v>76208972</v>
      </c>
      <c r="D802" s="30">
        <f>"04316457000160"</f>
        <v/>
      </c>
      <c r="E802" s="30" t="inlineStr">
        <is>
          <t>MACCOMEVAP INDUSTRIA COMERCIO DE TECNOLOGIA EM ILUMINACAO E SERVICOS ELETROMECANICOS LTDA</t>
        </is>
      </c>
      <c r="F802" s="40" t="n">
        <v>4226680.92</v>
      </c>
      <c r="G802" s="40" t="n">
        <v>3579894.18</v>
      </c>
      <c r="H802" s="40" t="n">
        <v>12726467.16</v>
      </c>
      <c r="I802" s="40" t="n">
        <v>17435833.4</v>
      </c>
      <c r="J802" s="40" t="n">
        <v>21557874.53</v>
      </c>
      <c r="K802" s="40" t="n">
        <v>25432906.58</v>
      </c>
      <c r="L802" s="40" t="n">
        <v>39452869.03</v>
      </c>
    </row>
    <row r="803" ht="12" customHeight="1">
      <c r="A803" s="30" t="inlineStr">
        <is>
          <t>ITG</t>
        </is>
      </c>
      <c r="B803" s="30" t="inlineStr">
        <is>
          <t>Itaguai</t>
        </is>
      </c>
      <c r="C803" s="30" t="n">
        <v>76209200</v>
      </c>
      <c r="D803" s="30">
        <f>"04524750000113"</f>
        <v/>
      </c>
      <c r="E803" s="30" t="inlineStr">
        <is>
          <t>MULTIMARCAS SOCIEDADE DE TECNICA GM</t>
        </is>
      </c>
      <c r="F803" s="40" t="n">
        <v>0</v>
      </c>
      <c r="G803" s="40" t="n">
        <v>0</v>
      </c>
      <c r="H803" s="40" t="n">
        <v>0</v>
      </c>
      <c r="I803" s="40" t="n">
        <v>0</v>
      </c>
      <c r="J803" s="40" t="n">
        <v>0</v>
      </c>
      <c r="K803" s="40" t="n">
        <v>0</v>
      </c>
      <c r="L803" s="40" t="n">
        <v>0</v>
      </c>
    </row>
    <row r="804" ht="12" customHeight="1">
      <c r="A804" s="30" t="inlineStr">
        <is>
          <t>ITG</t>
        </is>
      </c>
      <c r="B804" s="30" t="inlineStr">
        <is>
          <t>Itaguai</t>
        </is>
      </c>
      <c r="C804" s="30" t="n">
        <v>76221723</v>
      </c>
      <c r="D804" s="30">
        <f>"04564857000195"</f>
        <v/>
      </c>
      <c r="E804" s="30" t="inlineStr">
        <is>
          <t>BLOCFER MATERIAIS DE CONSTRUCAO LTDA ME</t>
        </is>
      </c>
      <c r="F804" s="40" t="n">
        <v>0</v>
      </c>
      <c r="G804" s="40" t="n">
        <v>0</v>
      </c>
      <c r="H804" s="40" t="n">
        <v>0</v>
      </c>
      <c r="I804" s="40" t="n">
        <v>42975.28</v>
      </c>
      <c r="J804" s="40" t="n">
        <v>0</v>
      </c>
      <c r="K804" s="40" t="n">
        <v>0</v>
      </c>
      <c r="L804" s="40" t="n">
        <v>0</v>
      </c>
    </row>
    <row r="805" ht="12" customHeight="1">
      <c r="A805" s="30" t="inlineStr">
        <is>
          <t>ITG</t>
        </is>
      </c>
      <c r="B805" s="30" t="inlineStr">
        <is>
          <t>Itaguai</t>
        </is>
      </c>
      <c r="C805" s="30" t="n">
        <v>76224382</v>
      </c>
      <c r="D805" s="30">
        <f>"81442014000833"</f>
        <v/>
      </c>
      <c r="E805" s="30" t="inlineStr">
        <is>
          <t>MOINHO GLOBO ALIMENTOS S A</t>
        </is>
      </c>
      <c r="F805" s="40" t="n">
        <v>0</v>
      </c>
      <c r="G805" s="40" t="n">
        <v>0</v>
      </c>
      <c r="H805" s="40" t="n">
        <v>0</v>
      </c>
      <c r="I805" s="40" t="n">
        <v>0</v>
      </c>
      <c r="J805" s="40" t="n">
        <v>360896.34</v>
      </c>
      <c r="K805" s="40" t="n">
        <v>284083.22</v>
      </c>
      <c r="L805" s="40" t="n">
        <v>428493.06</v>
      </c>
    </row>
    <row r="806" ht="12" customHeight="1">
      <c r="A806" s="30" t="inlineStr">
        <is>
          <t>ITG</t>
        </is>
      </c>
      <c r="B806" s="30" t="inlineStr">
        <is>
          <t>Itaguai</t>
        </is>
      </c>
      <c r="C806" s="30" t="n">
        <v>76230145</v>
      </c>
      <c r="D806" s="30">
        <f>"04360163000136"</f>
        <v/>
      </c>
      <c r="E806" s="30" t="inlineStr">
        <is>
          <t>S S D SILVA DISTRIBUIDORA DE GAS GLP ME</t>
        </is>
      </c>
      <c r="F806" s="40" t="n">
        <v>0</v>
      </c>
      <c r="G806" s="40" t="n">
        <v>109547.7</v>
      </c>
      <c r="H806" s="40" t="n">
        <v>163805.53</v>
      </c>
      <c r="I806" s="40" t="n">
        <v>58779.92</v>
      </c>
      <c r="J806" s="40" t="n">
        <v>284528</v>
      </c>
      <c r="K806" s="40" t="n">
        <v>456675.21</v>
      </c>
      <c r="L806" s="40" t="n">
        <v>737626.73</v>
      </c>
    </row>
    <row r="807" ht="12" customHeight="1">
      <c r="A807" s="30" t="inlineStr">
        <is>
          <t>ITG</t>
        </is>
      </c>
      <c r="B807" s="30" t="inlineStr">
        <is>
          <t>Itaguai</t>
        </is>
      </c>
      <c r="C807" s="30" t="n">
        <v>77019090</v>
      </c>
      <c r="D807" s="30">
        <f>"03384298000764"</f>
        <v/>
      </c>
      <c r="E807" s="30" t="inlineStr">
        <is>
          <t>FLUMAR TRANSPORTES DE QUIMICOS E GASES LTDA</t>
        </is>
      </c>
      <c r="F807" s="40" t="n">
        <v>0</v>
      </c>
      <c r="G807" s="40" t="n">
        <v>18154517.53</v>
      </c>
      <c r="H807" s="40" t="n">
        <v>0</v>
      </c>
      <c r="I807" s="40" t="n">
        <v>0</v>
      </c>
      <c r="J807" s="40" t="n">
        <v>0</v>
      </c>
      <c r="K807" s="40" t="n">
        <v>0</v>
      </c>
      <c r="L807" s="40" t="n">
        <v>0</v>
      </c>
    </row>
    <row r="808" ht="12" customHeight="1">
      <c r="A808" s="30" t="inlineStr">
        <is>
          <t>ITG</t>
        </is>
      </c>
      <c r="B808" s="30" t="inlineStr">
        <is>
          <t>Itaguai</t>
        </is>
      </c>
      <c r="C808" s="30" t="n">
        <v>77028412</v>
      </c>
      <c r="D808" s="30">
        <f>"17215039000552"</f>
        <v/>
      </c>
      <c r="E808" s="30" t="inlineStr">
        <is>
          <t>TRANSPORTES PESADOS MINAS S A</t>
        </is>
      </c>
      <c r="F808" s="40" t="n">
        <v>4009.75</v>
      </c>
      <c r="G808" s="40" t="n">
        <v>0</v>
      </c>
      <c r="H808" s="40" t="n">
        <v>105935.94</v>
      </c>
      <c r="I808" s="40" t="n">
        <v>18513.4</v>
      </c>
      <c r="J808" s="40" t="n">
        <v>11819.44</v>
      </c>
      <c r="K808" s="40" t="n">
        <v>483558.75</v>
      </c>
      <c r="L808" s="40" t="n">
        <v>1560751.49</v>
      </c>
    </row>
    <row r="809" ht="12" customHeight="1">
      <c r="A809" s="30" t="inlineStr">
        <is>
          <t>ITG</t>
        </is>
      </c>
      <c r="B809" s="30" t="inlineStr">
        <is>
          <t>Itaguai</t>
        </is>
      </c>
      <c r="C809" s="30" t="n">
        <v>77032037</v>
      </c>
      <c r="D809" s="30">
        <f>"03564702000196"</f>
        <v/>
      </c>
      <c r="E809" s="30" t="inlineStr">
        <is>
          <t>PH TRANSPORTES EIRELI</t>
        </is>
      </c>
      <c r="F809" s="40" t="n">
        <v>0</v>
      </c>
      <c r="G809" s="40" t="n">
        <v>0</v>
      </c>
      <c r="H809" s="40" t="n">
        <v>1668822.45</v>
      </c>
      <c r="I809" s="40" t="n">
        <v>1327230.18</v>
      </c>
      <c r="J809" s="40" t="n">
        <v>0</v>
      </c>
      <c r="K809" s="40" t="n">
        <v>0</v>
      </c>
      <c r="L809" s="40" t="n">
        <v>79361.41</v>
      </c>
    </row>
    <row r="810" ht="12" customHeight="1">
      <c r="A810" s="30" t="inlineStr">
        <is>
          <t>ITG</t>
        </is>
      </c>
      <c r="B810" s="30" t="inlineStr">
        <is>
          <t>Itaguai</t>
        </is>
      </c>
      <c r="C810" s="30" t="n">
        <v>77038523</v>
      </c>
      <c r="D810" s="30">
        <f>"43854116005240"</f>
        <v/>
      </c>
      <c r="E810" s="30" t="inlineStr">
        <is>
          <t>CEVA LOGISTICS LTDA</t>
        </is>
      </c>
      <c r="F810" s="40" t="n">
        <v>0</v>
      </c>
      <c r="G810" s="40" t="n">
        <v>0</v>
      </c>
      <c r="H810" s="40" t="n">
        <v>0</v>
      </c>
      <c r="I810" s="40" t="n">
        <v>0</v>
      </c>
      <c r="J810" s="40" t="n">
        <v>0</v>
      </c>
      <c r="K810" s="40" t="n">
        <v>0</v>
      </c>
      <c r="L810" s="40" t="n">
        <v>1594.14</v>
      </c>
    </row>
    <row r="811" ht="12" customHeight="1">
      <c r="A811" s="30" t="inlineStr">
        <is>
          <t>ITG</t>
        </is>
      </c>
      <c r="B811" s="30" t="inlineStr">
        <is>
          <t>Itaguai</t>
        </is>
      </c>
      <c r="C811" s="30" t="n">
        <v>77052275</v>
      </c>
      <c r="D811" s="30">
        <f>"66702325001015"</f>
        <v/>
      </c>
      <c r="E811" s="30" t="inlineStr">
        <is>
          <t>TORA LOGISTICA ARMAZENS E TERMINAIS MULTIMODAIS S/A</t>
        </is>
      </c>
      <c r="F811" s="40" t="n">
        <v>0</v>
      </c>
      <c r="G811" s="40" t="n">
        <v>0</v>
      </c>
      <c r="H811" s="40" t="n">
        <v>0</v>
      </c>
      <c r="I811" s="40" t="n">
        <v>24785.28</v>
      </c>
      <c r="J811" s="40" t="n">
        <v>0</v>
      </c>
      <c r="K811" s="40" t="n">
        <v>38671.9</v>
      </c>
      <c r="L811" s="40" t="n">
        <v>13927.22</v>
      </c>
    </row>
    <row r="812" ht="12" customHeight="1">
      <c r="A812" s="30" t="inlineStr">
        <is>
          <t>ITG</t>
        </is>
      </c>
      <c r="B812" s="30" t="inlineStr">
        <is>
          <t>Itaguai</t>
        </is>
      </c>
      <c r="C812" s="30" t="n">
        <v>77054545</v>
      </c>
      <c r="D812" s="30">
        <f>"03757239000107"</f>
        <v/>
      </c>
      <c r="E812" s="30" t="inlineStr">
        <is>
          <t>SPEED WORK TRANSPORTES EIRELI</t>
        </is>
      </c>
      <c r="F812" s="40" t="n">
        <v>8.779999999999999</v>
      </c>
      <c r="G812" s="40" t="n">
        <v>562.79</v>
      </c>
      <c r="H812" s="40" t="n">
        <v>0</v>
      </c>
      <c r="I812" s="40" t="n">
        <v>4445.92</v>
      </c>
      <c r="J812" s="40" t="n">
        <v>0</v>
      </c>
      <c r="K812" s="40" t="n">
        <v>46132.69</v>
      </c>
      <c r="L812" s="40" t="n">
        <v>111313.95</v>
      </c>
    </row>
    <row r="813" ht="12" customHeight="1">
      <c r="A813" s="30" t="inlineStr">
        <is>
          <t>ITG</t>
        </is>
      </c>
      <c r="B813" s="30" t="inlineStr">
        <is>
          <t>Itaguai</t>
        </is>
      </c>
      <c r="C813" s="30" t="n">
        <v>77062238</v>
      </c>
      <c r="D813" s="30">
        <f>"20468310009360"</f>
        <v/>
      </c>
      <c r="E813" s="30" t="inlineStr">
        <is>
          <t>TORA TRANSPORTES INDUSTRIAIS LTDA</t>
        </is>
      </c>
      <c r="F813" s="40" t="n">
        <v>9548.75</v>
      </c>
      <c r="G813" s="40" t="n">
        <v>12350.17</v>
      </c>
      <c r="H813" s="40" t="n">
        <v>198343.76</v>
      </c>
      <c r="I813" s="40" t="n">
        <v>226568.51</v>
      </c>
      <c r="J813" s="40" t="n">
        <v>163864.9</v>
      </c>
      <c r="K813" s="40" t="n">
        <v>188919.4</v>
      </c>
      <c r="L813" s="40" t="n">
        <v>26779.63</v>
      </c>
    </row>
    <row r="814" ht="12" customHeight="1">
      <c r="A814" s="30" t="inlineStr">
        <is>
          <t>ITG</t>
        </is>
      </c>
      <c r="B814" s="30" t="inlineStr">
        <is>
          <t>Itaguai</t>
        </is>
      </c>
      <c r="C814" s="30" t="n">
        <v>77071431</v>
      </c>
      <c r="D814" s="30">
        <f>"01125797000620"</f>
        <v/>
      </c>
      <c r="E814" s="30" t="inlineStr">
        <is>
          <t>ATIVA DISTRIBUICAO E LOGISTICA LTDA</t>
        </is>
      </c>
      <c r="F814" s="40" t="n">
        <v>1062.89</v>
      </c>
      <c r="G814" s="40" t="n">
        <v>2312.75</v>
      </c>
      <c r="H814" s="40" t="n">
        <v>6007.48</v>
      </c>
      <c r="I814" s="40" t="n">
        <v>10684.16</v>
      </c>
      <c r="J814" s="40" t="n">
        <v>1376.21</v>
      </c>
      <c r="K814" s="40" t="n">
        <v>0</v>
      </c>
      <c r="L814" s="40" t="n">
        <v>0</v>
      </c>
    </row>
    <row r="815" ht="12" customHeight="1">
      <c r="A815" s="30" t="inlineStr">
        <is>
          <t>ITG</t>
        </is>
      </c>
      <c r="B815" s="30" t="inlineStr">
        <is>
          <t>Itaguai</t>
        </is>
      </c>
      <c r="C815" s="30" t="n">
        <v>77076042</v>
      </c>
      <c r="D815" s="30">
        <f>"03948646000193"</f>
        <v/>
      </c>
      <c r="E815" s="30" t="inlineStr">
        <is>
          <t>EQUITRANS EQUIPAMENTOS TRANSPORTE E LOGISTICA LTDA</t>
        </is>
      </c>
      <c r="F815" s="40" t="n">
        <v>249313.12</v>
      </c>
      <c r="G815" s="40" t="n">
        <v>500712.73</v>
      </c>
      <c r="H815" s="40" t="n">
        <v>699220.7</v>
      </c>
      <c r="I815" s="40" t="n">
        <v>258911.73</v>
      </c>
      <c r="J815" s="40" t="n">
        <v>161235.7</v>
      </c>
      <c r="K815" s="40" t="n">
        <v>1041487.16</v>
      </c>
      <c r="L815" s="40" t="n">
        <v>824930.15</v>
      </c>
    </row>
    <row r="816" ht="12" customHeight="1">
      <c r="A816" s="30" t="inlineStr">
        <is>
          <t>ITG</t>
        </is>
      </c>
      <c r="B816" s="30" t="inlineStr">
        <is>
          <t>Itaguai</t>
        </is>
      </c>
      <c r="C816" s="30" t="n">
        <v>77086897</v>
      </c>
      <c r="D816" s="30">
        <f>"33438250015008"</f>
        <v/>
      </c>
      <c r="E816" s="30" t="inlineStr">
        <is>
          <t>DROGARIAS PACHECO S/A</t>
        </is>
      </c>
      <c r="F816" s="40" t="n">
        <v>2555600.69</v>
      </c>
      <c r="G816" s="40" t="n">
        <v>2405261</v>
      </c>
      <c r="H816" s="40" t="n">
        <v>2777914.19</v>
      </c>
      <c r="I816" s="40" t="n">
        <v>2971988.16</v>
      </c>
      <c r="J816" s="40" t="n">
        <v>2750147.1</v>
      </c>
      <c r="K816" s="40" t="n">
        <v>3096532.24</v>
      </c>
      <c r="L816" s="40" t="n">
        <v>2635181.23</v>
      </c>
    </row>
    <row r="817" ht="12" customHeight="1">
      <c r="A817" s="30" t="inlineStr">
        <is>
          <t>ITG</t>
        </is>
      </c>
      <c r="B817" s="30" t="inlineStr">
        <is>
          <t>Itaguai</t>
        </is>
      </c>
      <c r="C817" s="30" t="n">
        <v>77089535</v>
      </c>
      <c r="D817" s="30">
        <f>"36761633000402"</f>
        <v/>
      </c>
      <c r="E817" s="30" t="inlineStr">
        <is>
          <t>SEM FURO TRANSPORTES LTDA</t>
        </is>
      </c>
      <c r="F817" s="40" t="n">
        <v>480.4</v>
      </c>
      <c r="G817" s="40" t="n">
        <v>0</v>
      </c>
      <c r="H817" s="40" t="n">
        <v>0</v>
      </c>
      <c r="I817" s="40" t="n">
        <v>0</v>
      </c>
      <c r="J817" s="40" t="n">
        <v>0</v>
      </c>
      <c r="K817" s="40" t="n">
        <v>0</v>
      </c>
      <c r="L817" s="40" t="n">
        <v>0</v>
      </c>
    </row>
    <row r="818" ht="12" customHeight="1">
      <c r="A818" s="30" t="inlineStr">
        <is>
          <t>ITG</t>
        </is>
      </c>
      <c r="B818" s="30" t="inlineStr">
        <is>
          <t>Itaguai</t>
        </is>
      </c>
      <c r="C818" s="30" t="n">
        <v>77099301</v>
      </c>
      <c r="D818" s="30">
        <f>"92644483000851"</f>
        <v/>
      </c>
      <c r="E818" s="30" t="inlineStr">
        <is>
          <t>TRANSPORTES GABARDO LTDA</t>
        </is>
      </c>
      <c r="F818" s="40" t="n">
        <v>0</v>
      </c>
      <c r="G818" s="40" t="n">
        <v>0</v>
      </c>
      <c r="H818" s="40" t="n">
        <v>2000</v>
      </c>
      <c r="I818" s="40" t="n">
        <v>1500</v>
      </c>
      <c r="J818" s="40" t="n">
        <v>700</v>
      </c>
      <c r="K818" s="40" t="n">
        <v>1200</v>
      </c>
      <c r="L818" s="40" t="n">
        <v>5400</v>
      </c>
    </row>
    <row r="819" ht="12" customHeight="1">
      <c r="A819" s="30" t="inlineStr">
        <is>
          <t>ITG</t>
        </is>
      </c>
      <c r="B819" s="30" t="inlineStr">
        <is>
          <t>Itaguai</t>
        </is>
      </c>
      <c r="C819" s="30" t="n">
        <v>77118888</v>
      </c>
      <c r="D819" s="30">
        <f>"04192493000160"</f>
        <v/>
      </c>
      <c r="E819" s="30" t="inlineStr">
        <is>
          <t>REALEZA TRANSPORTES VIAGENS E TURISMO LTDA ME</t>
        </is>
      </c>
      <c r="F819" s="40" t="n">
        <v>6400</v>
      </c>
      <c r="G819" s="40" t="n">
        <v>1400</v>
      </c>
      <c r="H819" s="40" t="n">
        <v>0</v>
      </c>
      <c r="I819" s="40" t="n">
        <v>0</v>
      </c>
      <c r="J819" s="40" t="n">
        <v>0</v>
      </c>
      <c r="K819" s="40" t="n">
        <v>0</v>
      </c>
      <c r="L819" s="40" t="n">
        <v>0</v>
      </c>
    </row>
    <row r="820" ht="12" customHeight="1">
      <c r="A820" s="30" t="inlineStr">
        <is>
          <t>ITG</t>
        </is>
      </c>
      <c r="B820" s="30" t="inlineStr">
        <is>
          <t>Itaguai</t>
        </is>
      </c>
      <c r="C820" s="30" t="n">
        <v>77120688</v>
      </c>
      <c r="D820" s="30">
        <f>"19368927001006"</f>
        <v/>
      </c>
      <c r="E820" s="30" t="inlineStr">
        <is>
          <t>EXPRESSO NEPOMUCENO SA</t>
        </is>
      </c>
      <c r="F820" s="40" t="n">
        <v>2968.23</v>
      </c>
      <c r="G820" s="40" t="n">
        <v>0</v>
      </c>
      <c r="H820" s="40" t="n">
        <v>0</v>
      </c>
      <c r="I820" s="40" t="n">
        <v>0</v>
      </c>
      <c r="J820" s="40" t="n">
        <v>9990.23</v>
      </c>
      <c r="K820" s="40" t="n">
        <v>0</v>
      </c>
      <c r="L820" s="40" t="n">
        <v>0</v>
      </c>
    </row>
    <row r="821" ht="12" customHeight="1">
      <c r="A821" s="30" t="inlineStr">
        <is>
          <t>ITG</t>
        </is>
      </c>
      <c r="B821" s="30" t="inlineStr">
        <is>
          <t>Itaguai</t>
        </is>
      </c>
      <c r="C821" s="30" t="n">
        <v>77126600</v>
      </c>
      <c r="D821" s="30">
        <f>"62408703000534"</f>
        <v/>
      </c>
      <c r="E821" s="30" t="inlineStr">
        <is>
          <t>MOPRI TRANSPORTE LTDA</t>
        </is>
      </c>
      <c r="F821" s="40" t="n">
        <v>0</v>
      </c>
      <c r="G821" s="40" t="n">
        <v>1230.09</v>
      </c>
      <c r="H821" s="40" t="n">
        <v>0</v>
      </c>
      <c r="I821" s="40" t="n">
        <v>0</v>
      </c>
      <c r="J821" s="40" t="n">
        <v>0</v>
      </c>
      <c r="K821" s="40" t="n">
        <v>0</v>
      </c>
      <c r="L821" s="40" t="n">
        <v>0</v>
      </c>
    </row>
    <row r="822" ht="12" customHeight="1">
      <c r="A822" s="30" t="inlineStr">
        <is>
          <t>ITG</t>
        </is>
      </c>
      <c r="B822" s="30" t="inlineStr">
        <is>
          <t>Itaguai</t>
        </is>
      </c>
      <c r="C822" s="30" t="n">
        <v>77142126</v>
      </c>
      <c r="D822" s="30">
        <f>"04155259000324"</f>
        <v/>
      </c>
      <c r="E822" s="30" t="inlineStr">
        <is>
          <t>TRANSPORTADORA M M A LTDA</t>
        </is>
      </c>
      <c r="F822" s="40" t="n">
        <v>0</v>
      </c>
      <c r="G822" s="40" t="n">
        <v>0</v>
      </c>
      <c r="H822" s="40" t="n">
        <v>0</v>
      </c>
      <c r="I822" s="40" t="n">
        <v>2197.99</v>
      </c>
      <c r="J822" s="40" t="n">
        <v>3518.35</v>
      </c>
      <c r="K822" s="40" t="n">
        <v>2269.21</v>
      </c>
      <c r="L822" s="40" t="n">
        <v>2596.89</v>
      </c>
    </row>
    <row r="823" ht="12" customHeight="1">
      <c r="A823" s="30" t="inlineStr">
        <is>
          <t>ITG</t>
        </is>
      </c>
      <c r="B823" s="30" t="inlineStr">
        <is>
          <t>Itaguai</t>
        </is>
      </c>
      <c r="C823" s="30" t="n">
        <v>77169261</v>
      </c>
      <c r="D823" s="30">
        <f>"32492373002167"</f>
        <v/>
      </c>
      <c r="E823" s="30" t="inlineStr">
        <is>
          <t>TRANSPORTE EXCELSIOR LTDA</t>
        </is>
      </c>
      <c r="F823" s="40" t="n">
        <v>340967.89</v>
      </c>
      <c r="G823" s="40" t="n">
        <v>134709.13</v>
      </c>
      <c r="H823" s="40" t="n">
        <v>213001.54</v>
      </c>
      <c r="I823" s="40" t="n">
        <v>219815.43</v>
      </c>
      <c r="J823" s="40" t="n">
        <v>328362.91</v>
      </c>
      <c r="K823" s="40" t="n">
        <v>507545.06</v>
      </c>
      <c r="L823" s="40" t="n">
        <v>554467.01</v>
      </c>
    </row>
    <row r="824" ht="12" customHeight="1">
      <c r="A824" s="30" t="inlineStr">
        <is>
          <t>ITG</t>
        </is>
      </c>
      <c r="B824" s="30" t="inlineStr">
        <is>
          <t>Itaguai</t>
        </is>
      </c>
      <c r="C824" s="30" t="n">
        <v>77191097</v>
      </c>
      <c r="D824" s="30">
        <f>"04020515000376"</f>
        <v/>
      </c>
      <c r="E824" s="30" t="inlineStr">
        <is>
          <t>PONTOCOM SERVICES LTDA</t>
        </is>
      </c>
      <c r="F824" s="40" t="n">
        <v>0</v>
      </c>
      <c r="G824" s="40" t="n">
        <v>0</v>
      </c>
      <c r="H824" s="40" t="n">
        <v>707.71</v>
      </c>
      <c r="I824" s="40" t="n">
        <v>0</v>
      </c>
      <c r="J824" s="40" t="n">
        <v>0</v>
      </c>
      <c r="K824" s="40" t="n">
        <v>0</v>
      </c>
      <c r="L824" s="40" t="n">
        <v>0</v>
      </c>
    </row>
    <row r="825" ht="12" customHeight="1">
      <c r="A825" s="30" t="inlineStr">
        <is>
          <t>ITG</t>
        </is>
      </c>
      <c r="B825" s="30" t="inlineStr">
        <is>
          <t>Itaguai</t>
        </is>
      </c>
      <c r="C825" s="30" t="n">
        <v>77235477</v>
      </c>
      <c r="D825" s="30">
        <f>"04644026000123"</f>
        <v/>
      </c>
      <c r="E825" s="30" t="inlineStr">
        <is>
          <t>ANDRATI COMERCIO E SERVIÇOS EIRELI</t>
        </is>
      </c>
      <c r="F825" s="40" t="n">
        <v>0</v>
      </c>
      <c r="G825" s="40" t="n">
        <v>0</v>
      </c>
      <c r="H825" s="40" t="n">
        <v>0</v>
      </c>
      <c r="I825" s="40" t="n">
        <v>0</v>
      </c>
      <c r="J825" s="40" t="n">
        <v>0</v>
      </c>
      <c r="K825" s="40" t="n">
        <v>0</v>
      </c>
      <c r="L825" s="40" t="n">
        <v>0</v>
      </c>
    </row>
    <row r="826" ht="12" customHeight="1">
      <c r="A826" s="30" t="inlineStr">
        <is>
          <t>ITG</t>
        </is>
      </c>
      <c r="B826" s="30" t="inlineStr">
        <is>
          <t>Itaguai</t>
        </is>
      </c>
      <c r="C826" s="30" t="n">
        <v>77238182</v>
      </c>
      <c r="D826" s="30">
        <f>"04206050004410"</f>
        <v/>
      </c>
      <c r="E826" s="30" t="inlineStr">
        <is>
          <t>TIM CELULAR S/A</t>
        </is>
      </c>
      <c r="F826" s="40" t="n">
        <v>4712834.47</v>
      </c>
      <c r="G826" s="40" t="n">
        <v>3994787.59</v>
      </c>
      <c r="H826" s="40" t="n">
        <v>0</v>
      </c>
      <c r="I826" s="40" t="n">
        <v>0</v>
      </c>
      <c r="J826" s="40" t="n">
        <v>0</v>
      </c>
      <c r="K826" s="40" t="n">
        <v>0</v>
      </c>
      <c r="L826" s="40" t="n">
        <v>0</v>
      </c>
    </row>
    <row r="827" ht="12" customHeight="1">
      <c r="A827" s="30" t="inlineStr">
        <is>
          <t>ITG</t>
        </is>
      </c>
      <c r="B827" s="30" t="inlineStr">
        <is>
          <t>Itaguai</t>
        </is>
      </c>
      <c r="C827" s="30" t="n">
        <v>77269576</v>
      </c>
      <c r="D827" s="30">
        <f>"04567423000149"</f>
        <v/>
      </c>
      <c r="E827" s="30" t="inlineStr">
        <is>
          <t>J V CURUMIM MATERIAL DE CONSTRUCAO LTDA</t>
        </is>
      </c>
      <c r="F827" s="40" t="n">
        <v>81998.02</v>
      </c>
      <c r="G827" s="40" t="n">
        <v>0</v>
      </c>
      <c r="H827" s="40" t="n">
        <v>0</v>
      </c>
      <c r="I827" s="40" t="n">
        <v>0</v>
      </c>
      <c r="J827" s="40" t="n">
        <v>0</v>
      </c>
      <c r="K827" s="40" t="n">
        <v>0</v>
      </c>
      <c r="L827" s="40" t="n">
        <v>0</v>
      </c>
    </row>
    <row r="828" ht="12" customHeight="1">
      <c r="A828" s="30" t="inlineStr">
        <is>
          <t>ITG</t>
        </is>
      </c>
      <c r="B828" s="30" t="inlineStr">
        <is>
          <t>Itaguai</t>
        </is>
      </c>
      <c r="C828" s="30" t="n">
        <v>77272666</v>
      </c>
      <c r="D828" s="30">
        <f>"33042730000880"</f>
        <v/>
      </c>
      <c r="E828" s="30" t="inlineStr">
        <is>
          <t>COMPANHIA SIDERURGICA NACIONAL</t>
        </is>
      </c>
      <c r="F828" s="40" t="n">
        <v>244771686.66</v>
      </c>
      <c r="G828" s="40" t="n">
        <v>126281719.2</v>
      </c>
      <c r="H828" s="40" t="n">
        <v>0</v>
      </c>
      <c r="I828" s="40" t="n">
        <v>19761346.28</v>
      </c>
      <c r="J828" s="40" t="n">
        <v>0</v>
      </c>
      <c r="K828" s="40" t="n">
        <v>26423952.54</v>
      </c>
      <c r="L828" s="40" t="n">
        <v>66063439.72</v>
      </c>
    </row>
    <row r="829" ht="12" customHeight="1">
      <c r="A829" s="30" t="inlineStr">
        <is>
          <t>ITG</t>
        </is>
      </c>
      <c r="B829" s="30" t="inlineStr">
        <is>
          <t>Itaguai</t>
        </is>
      </c>
      <c r="C829" s="30" t="n">
        <v>77280707</v>
      </c>
      <c r="D829" s="30">
        <f>"04676236000101"</f>
        <v/>
      </c>
      <c r="E829" s="30" t="inlineStr">
        <is>
          <t>MINERACAO SANTA LUZIA DE ITAGUAI LTDA</t>
        </is>
      </c>
      <c r="F829" s="40" t="n">
        <v>10409415.57</v>
      </c>
      <c r="G829" s="40" t="n">
        <v>12369199.77</v>
      </c>
      <c r="H829" s="40" t="n">
        <v>11177816.3</v>
      </c>
      <c r="I829" s="40" t="n">
        <v>17139486.2</v>
      </c>
      <c r="J829" s="40" t="n">
        <v>26778441.92</v>
      </c>
      <c r="K829" s="40" t="n">
        <v>49405923.95</v>
      </c>
      <c r="L829" s="40" t="n">
        <v>53354119.67</v>
      </c>
    </row>
    <row r="830" ht="12" customHeight="1">
      <c r="A830" s="30" t="inlineStr">
        <is>
          <t>ITG</t>
        </is>
      </c>
      <c r="B830" s="30" t="inlineStr">
        <is>
          <t>Itaguai</t>
        </is>
      </c>
      <c r="C830" s="30" t="n">
        <v>77290028</v>
      </c>
      <c r="D830" s="30">
        <f>"03341775000461"</f>
        <v/>
      </c>
      <c r="E830" s="30" t="inlineStr">
        <is>
          <t>TRANSPORTES MOBILINE LTDA</t>
        </is>
      </c>
      <c r="F830" s="40" t="n">
        <v>95</v>
      </c>
      <c r="G830" s="40" t="n">
        <v>95.05</v>
      </c>
      <c r="H830" s="40" t="n">
        <v>0.05</v>
      </c>
      <c r="I830" s="40" t="n">
        <v>240</v>
      </c>
      <c r="J830" s="40" t="n">
        <v>302.65</v>
      </c>
      <c r="K830" s="40" t="n">
        <v>0</v>
      </c>
      <c r="L830" s="40" t="n">
        <v>0</v>
      </c>
    </row>
    <row r="831" ht="12" customHeight="1">
      <c r="A831" s="30" t="inlineStr">
        <is>
          <t>ITG</t>
        </is>
      </c>
      <c r="B831" s="30" t="inlineStr">
        <is>
          <t>Itaguai</t>
        </is>
      </c>
      <c r="C831" s="30" t="n">
        <v>77310550</v>
      </c>
      <c r="D831" s="30">
        <f>"04850539000190"</f>
        <v/>
      </c>
      <c r="E831" s="30" t="inlineStr">
        <is>
          <t>HERMINIO COMERCIO E LOCACAO DE VEICULOS LTDA ME</t>
        </is>
      </c>
      <c r="F831" s="40" t="n">
        <v>158101.72</v>
      </c>
      <c r="G831" s="40" t="n">
        <v>37744.65</v>
      </c>
      <c r="H831" s="40" t="n">
        <v>0</v>
      </c>
      <c r="I831" s="40" t="n">
        <v>730470</v>
      </c>
      <c r="J831" s="40" t="n">
        <v>280320.64</v>
      </c>
      <c r="K831" s="40" t="n">
        <v>3658278</v>
      </c>
      <c r="L831" s="40" t="n">
        <v>0</v>
      </c>
    </row>
    <row r="832" ht="12" customHeight="1">
      <c r="A832" s="30" t="inlineStr">
        <is>
          <t>ITG</t>
        </is>
      </c>
      <c r="B832" s="30" t="inlineStr">
        <is>
          <t>Itaguai</t>
        </is>
      </c>
      <c r="C832" s="30" t="n">
        <v>77322167</v>
      </c>
      <c r="D832" s="30">
        <f>"65293383001584"</f>
        <v/>
      </c>
      <c r="E832" s="30" t="inlineStr">
        <is>
          <t>TRANSNORTE CARGAS E ENCOMENDAS LTDA</t>
        </is>
      </c>
      <c r="F832" s="40" t="n">
        <v>0</v>
      </c>
      <c r="G832" s="40" t="n">
        <v>3922.45</v>
      </c>
      <c r="H832" s="40" t="n">
        <v>3196.15</v>
      </c>
      <c r="I832" s="40" t="n">
        <v>0</v>
      </c>
      <c r="J832" s="40" t="n">
        <v>0</v>
      </c>
      <c r="K832" s="40" t="n">
        <v>0</v>
      </c>
      <c r="L832" s="40" t="n">
        <v>0</v>
      </c>
    </row>
    <row r="833" ht="12" customHeight="1">
      <c r="A833" s="30" t="inlineStr">
        <is>
          <t>ITG</t>
        </is>
      </c>
      <c r="B833" s="30" t="inlineStr">
        <is>
          <t>Itaguai</t>
        </is>
      </c>
      <c r="C833" s="30" t="n">
        <v>77339531</v>
      </c>
      <c r="D833" s="30">
        <f>"04970037000101"</f>
        <v/>
      </c>
      <c r="E833" s="30" t="inlineStr">
        <is>
          <t>M &amp; R DE ITAGUAI NAUTICA LTDA ME</t>
        </is>
      </c>
      <c r="F833" s="40" t="n">
        <v>0</v>
      </c>
      <c r="G833" s="40" t="n">
        <v>0</v>
      </c>
      <c r="H833" s="40" t="n">
        <v>0</v>
      </c>
      <c r="I833" s="40" t="n">
        <v>28676.54</v>
      </c>
      <c r="J833" s="40" t="n">
        <v>74142.64</v>
      </c>
      <c r="K833" s="40" t="n">
        <v>136685.2</v>
      </c>
      <c r="L833" s="40" t="n">
        <v>171269.9</v>
      </c>
    </row>
    <row r="834" ht="12" customHeight="1">
      <c r="A834" s="30" t="inlineStr">
        <is>
          <t>ITG</t>
        </is>
      </c>
      <c r="B834" s="30" t="inlineStr">
        <is>
          <t>Itaguai</t>
        </is>
      </c>
      <c r="C834" s="30" t="n">
        <v>77346015</v>
      </c>
      <c r="D834" s="30">
        <f>"81382525000483"</f>
        <v/>
      </c>
      <c r="E834" s="30" t="inlineStr">
        <is>
          <t>SUL CONTINENTAL TRANSPORTES LTDA</t>
        </is>
      </c>
      <c r="F834" s="40" t="n">
        <v>0</v>
      </c>
      <c r="G834" s="40" t="n">
        <v>0</v>
      </c>
      <c r="H834" s="40" t="n">
        <v>0</v>
      </c>
      <c r="I834" s="40" t="n">
        <v>0</v>
      </c>
      <c r="J834" s="40" t="n">
        <v>0</v>
      </c>
      <c r="K834" s="40" t="n">
        <v>0</v>
      </c>
      <c r="L834" s="40" t="n">
        <v>0</v>
      </c>
    </row>
    <row r="835" ht="12" customHeight="1">
      <c r="A835" s="30" t="inlineStr">
        <is>
          <t>ITG</t>
        </is>
      </c>
      <c r="B835" s="30" t="inlineStr">
        <is>
          <t>Itaguai</t>
        </is>
      </c>
      <c r="C835" s="30" t="n">
        <v>77346090</v>
      </c>
      <c r="D835" s="30">
        <f>"60395126000649"</f>
        <v/>
      </c>
      <c r="E835" s="30" t="inlineStr">
        <is>
          <t>JARAGUA EQUIPAMENTOS INDUSTRIAIS LTDA - EM RECUPERA??O JUDICIAL</t>
        </is>
      </c>
      <c r="F835" s="40" t="n">
        <v>0</v>
      </c>
      <c r="G835" s="40" t="n">
        <v>0</v>
      </c>
      <c r="H835" s="40" t="n">
        <v>0</v>
      </c>
      <c r="I835" s="40" t="n">
        <v>0</v>
      </c>
      <c r="J835" s="40" t="n">
        <v>0</v>
      </c>
      <c r="K835" s="40" t="n">
        <v>0</v>
      </c>
      <c r="L835" s="40" t="n">
        <v>0</v>
      </c>
    </row>
    <row r="836" ht="12" customHeight="1">
      <c r="A836" s="30" t="inlineStr">
        <is>
          <t>ITG</t>
        </is>
      </c>
      <c r="B836" s="30" t="inlineStr">
        <is>
          <t>Itaguai</t>
        </is>
      </c>
      <c r="C836" s="30" t="n">
        <v>77357467</v>
      </c>
      <c r="D836" s="30">
        <f>"05041164000180"</f>
        <v/>
      </c>
      <c r="E836" s="30" t="inlineStr">
        <is>
          <t>UNIMODAL RIO LTDA</t>
        </is>
      </c>
      <c r="F836" s="40" t="n">
        <v>0</v>
      </c>
      <c r="G836" s="40" t="n">
        <v>3592.01</v>
      </c>
      <c r="H836" s="40" t="n">
        <v>2116.69</v>
      </c>
      <c r="I836" s="40" t="n">
        <v>0</v>
      </c>
      <c r="J836" s="40" t="n">
        <v>135871.55</v>
      </c>
      <c r="K836" s="40" t="n">
        <v>36596.25</v>
      </c>
      <c r="L836" s="40" t="n">
        <v>0</v>
      </c>
    </row>
    <row r="837" ht="12" customHeight="1">
      <c r="A837" s="30" t="inlineStr">
        <is>
          <t>ITG</t>
        </is>
      </c>
      <c r="B837" s="30" t="inlineStr">
        <is>
          <t>Itaguai</t>
        </is>
      </c>
      <c r="C837" s="30" t="n">
        <v>77365117</v>
      </c>
      <c r="D837" s="30">
        <f>"05014171000193"</f>
        <v/>
      </c>
      <c r="E837" s="30" t="inlineStr">
        <is>
          <t>A D G DE JESUS TRANSPORTES LTDA</t>
        </is>
      </c>
      <c r="F837" s="40" t="n">
        <v>1959777.8</v>
      </c>
      <c r="G837" s="40" t="n">
        <v>988632.98</v>
      </c>
      <c r="H837" s="40" t="n">
        <v>398622</v>
      </c>
      <c r="I837" s="40" t="n">
        <v>233181.01</v>
      </c>
      <c r="J837" s="40" t="n">
        <v>117666.76</v>
      </c>
      <c r="K837" s="40" t="n">
        <v>0</v>
      </c>
      <c r="L837" s="40" t="n">
        <v>0</v>
      </c>
    </row>
    <row r="838" ht="12" customHeight="1">
      <c r="A838" s="30" t="inlineStr">
        <is>
          <t>ITG</t>
        </is>
      </c>
      <c r="B838" s="30" t="inlineStr">
        <is>
          <t>Itaguai</t>
        </is>
      </c>
      <c r="C838" s="30" t="n">
        <v>77372741</v>
      </c>
      <c r="D838" s="30">
        <f>"05095704000109"</f>
        <v/>
      </c>
      <c r="E838" s="30" t="inlineStr">
        <is>
          <t>MALUPA COMERCIO DE ROUPAS LTDA ME</t>
        </is>
      </c>
      <c r="F838" s="40" t="n">
        <v>0</v>
      </c>
      <c r="G838" s="40" t="n">
        <v>0</v>
      </c>
      <c r="H838" s="40" t="n">
        <v>0</v>
      </c>
      <c r="I838" s="40" t="n">
        <v>0</v>
      </c>
      <c r="J838" s="40" t="n">
        <v>0</v>
      </c>
      <c r="K838" s="40" t="n">
        <v>0</v>
      </c>
      <c r="L838" s="40" t="n">
        <v>0</v>
      </c>
    </row>
    <row r="839" ht="12" customHeight="1">
      <c r="A839" s="30" t="inlineStr">
        <is>
          <t>ITG</t>
        </is>
      </c>
      <c r="B839" s="30" t="inlineStr">
        <is>
          <t>Itaguai</t>
        </is>
      </c>
      <c r="C839" s="30" t="n">
        <v>77415831</v>
      </c>
      <c r="D839" s="30">
        <f>"05214772000140"</f>
        <v/>
      </c>
      <c r="E839" s="30" t="inlineStr">
        <is>
          <t>RODOLOG TRANSPORTES MULTIMODAIS LTDA</t>
        </is>
      </c>
      <c r="F839" s="40" t="n">
        <v>0</v>
      </c>
      <c r="G839" s="40" t="n">
        <v>0</v>
      </c>
      <c r="H839" s="40" t="n">
        <v>0</v>
      </c>
      <c r="I839" s="40" t="n">
        <v>291.76</v>
      </c>
      <c r="J839" s="40" t="n">
        <v>0</v>
      </c>
      <c r="K839" s="40" t="n">
        <v>0</v>
      </c>
      <c r="L839" s="40" t="n">
        <v>0</v>
      </c>
    </row>
    <row r="840" ht="12" customHeight="1">
      <c r="A840" s="30" t="inlineStr">
        <is>
          <t>ITG</t>
        </is>
      </c>
      <c r="B840" s="30" t="inlineStr">
        <is>
          <t>Itaguai</t>
        </is>
      </c>
      <c r="C840" s="30" t="n">
        <v>77421718</v>
      </c>
      <c r="D840" s="30">
        <f>"01014373000508"</f>
        <v/>
      </c>
      <c r="E840" s="30" t="inlineStr">
        <is>
          <t>AEROSOFT CARGAS AEREAS LTDA</t>
        </is>
      </c>
      <c r="F840" s="40" t="n">
        <v>0</v>
      </c>
      <c r="G840" s="40" t="n">
        <v>0</v>
      </c>
      <c r="H840" s="40" t="n">
        <v>1236.75</v>
      </c>
      <c r="I840" s="40" t="n">
        <v>3478.1</v>
      </c>
      <c r="J840" s="40" t="n">
        <v>1752.81</v>
      </c>
      <c r="K840" s="40" t="n">
        <v>1842.64</v>
      </c>
      <c r="L840" s="40" t="n">
        <v>3251.91</v>
      </c>
    </row>
    <row r="841" ht="12" customHeight="1">
      <c r="A841" s="30" t="inlineStr">
        <is>
          <t>ITG</t>
        </is>
      </c>
      <c r="B841" s="30" t="inlineStr">
        <is>
          <t>Itaguai</t>
        </is>
      </c>
      <c r="C841" s="30" t="n">
        <v>77443673</v>
      </c>
      <c r="D841" s="30">
        <f>"05294609000134"</f>
        <v/>
      </c>
      <c r="E841" s="30" t="inlineStr">
        <is>
          <t>ZIRANLOG ARMAZENS GERAIS E TRANSPORTES EIRELI</t>
        </is>
      </c>
      <c r="F841" s="40" t="n">
        <v>0</v>
      </c>
      <c r="G841" s="40" t="n">
        <v>0</v>
      </c>
      <c r="H841" s="40" t="n">
        <v>2921781.2</v>
      </c>
      <c r="I841" s="40" t="n">
        <v>1320970.22</v>
      </c>
      <c r="J841" s="40" t="n">
        <v>672301.11</v>
      </c>
      <c r="K841" s="40" t="n">
        <v>835788.6899999999</v>
      </c>
      <c r="L841" s="40" t="n">
        <v>426154.86</v>
      </c>
    </row>
    <row r="842" ht="12" customHeight="1">
      <c r="A842" s="30" t="inlineStr">
        <is>
          <t>ITG</t>
        </is>
      </c>
      <c r="B842" s="30" t="inlineStr">
        <is>
          <t>Itaguai</t>
        </is>
      </c>
      <c r="C842" s="30" t="n">
        <v>77452443</v>
      </c>
      <c r="D842" s="30">
        <f>"02558157001487"</f>
        <v/>
      </c>
      <c r="E842" s="30" t="inlineStr">
        <is>
          <t>TELEFONICA BRASIL S.A.</t>
        </is>
      </c>
      <c r="F842" s="40" t="n">
        <v>13628755.25</v>
      </c>
      <c r="G842" s="40" t="n">
        <v>11667066.24</v>
      </c>
      <c r="H842" s="40" t="n">
        <v>11023288.69</v>
      </c>
      <c r="I842" s="40" t="n">
        <v>10308735.51</v>
      </c>
      <c r="J842" s="40" t="n">
        <v>12581655.2</v>
      </c>
      <c r="K842" s="40" t="n">
        <v>12401948.73</v>
      </c>
      <c r="L842" s="40" t="n">
        <v>11762705.46</v>
      </c>
    </row>
    <row r="843" ht="12" customHeight="1">
      <c r="A843" s="30" t="inlineStr">
        <is>
          <t>ITG</t>
        </is>
      </c>
      <c r="B843" s="30" t="inlineStr">
        <is>
          <t>Itaguai</t>
        </is>
      </c>
      <c r="C843" s="30" t="n">
        <v>77477659</v>
      </c>
      <c r="D843" s="30">
        <f>"02085838000231"</f>
        <v/>
      </c>
      <c r="E843" s="30" t="inlineStr">
        <is>
          <t>RODO CARGO ENCOMENDAS URGENTES LTDA</t>
        </is>
      </c>
      <c r="F843" s="40" t="n">
        <v>0</v>
      </c>
      <c r="G843" s="40" t="n">
        <v>0</v>
      </c>
      <c r="H843" s="40" t="n">
        <v>0</v>
      </c>
      <c r="I843" s="40" t="n">
        <v>175.48</v>
      </c>
      <c r="J843" s="40" t="n">
        <v>202.09</v>
      </c>
      <c r="K843" s="40" t="n">
        <v>66.03</v>
      </c>
      <c r="L843" s="40" t="n">
        <v>268.22</v>
      </c>
    </row>
    <row r="844" ht="12" customHeight="1">
      <c r="A844" s="30" t="inlineStr">
        <is>
          <t>ITG</t>
        </is>
      </c>
      <c r="B844" s="30" t="inlineStr">
        <is>
          <t>Itaguai</t>
        </is>
      </c>
      <c r="C844" s="30" t="n">
        <v>77481087</v>
      </c>
      <c r="D844" s="30">
        <f>"03094658001170"</f>
        <v/>
      </c>
      <c r="E844" s="30" t="inlineStr">
        <is>
          <t>GEFCO LOGISTICA DO BRASIL LTDA</t>
        </is>
      </c>
      <c r="F844" s="40" t="n">
        <v>0</v>
      </c>
      <c r="G844" s="40" t="n">
        <v>0</v>
      </c>
      <c r="H844" s="40" t="n">
        <v>0</v>
      </c>
      <c r="I844" s="40" t="n">
        <v>0</v>
      </c>
      <c r="J844" s="40" t="n">
        <v>0</v>
      </c>
      <c r="K844" s="40" t="n">
        <v>0</v>
      </c>
      <c r="L844" s="40" t="n">
        <v>0</v>
      </c>
    </row>
    <row r="845" ht="12" customHeight="1">
      <c r="A845" s="30" t="inlineStr">
        <is>
          <t>ITG</t>
        </is>
      </c>
      <c r="B845" s="30" t="inlineStr">
        <is>
          <t>Itaguai</t>
        </is>
      </c>
      <c r="C845" s="30" t="n">
        <v>77483594</v>
      </c>
      <c r="D845" s="30">
        <f>"01988184000293"</f>
        <v/>
      </c>
      <c r="E845" s="30" t="inlineStr">
        <is>
          <t>OBORN EXPEDITION VESTUARIO EIRELI EPP</t>
        </is>
      </c>
      <c r="F845" s="40" t="n">
        <v>0</v>
      </c>
      <c r="G845" s="40" t="n">
        <v>0</v>
      </c>
      <c r="H845" s="40" t="n">
        <v>0</v>
      </c>
      <c r="I845" s="40" t="n">
        <v>0</v>
      </c>
      <c r="J845" s="40" t="n">
        <v>0</v>
      </c>
      <c r="K845" s="40" t="n">
        <v>0</v>
      </c>
      <c r="L845" s="40" t="n">
        <v>0</v>
      </c>
    </row>
    <row r="846" ht="12" customHeight="1">
      <c r="A846" s="30" t="inlineStr">
        <is>
          <t>ITG</t>
        </is>
      </c>
      <c r="B846" s="30" t="inlineStr">
        <is>
          <t>Itaguai</t>
        </is>
      </c>
      <c r="C846" s="30" t="n">
        <v>77485554</v>
      </c>
      <c r="D846" s="30">
        <f>"44597524000420"</f>
        <v/>
      </c>
      <c r="E846" s="30" t="inlineStr">
        <is>
          <t>TRANSPORTADORA CAPIVARI LTDA</t>
        </is>
      </c>
      <c r="F846" s="40" t="n">
        <v>118.44</v>
      </c>
      <c r="G846" s="40" t="n">
        <v>0</v>
      </c>
      <c r="H846" s="40" t="n">
        <v>807.23</v>
      </c>
      <c r="I846" s="40" t="n">
        <v>0</v>
      </c>
      <c r="J846" s="40" t="n">
        <v>0</v>
      </c>
      <c r="K846" s="40" t="n">
        <v>0</v>
      </c>
      <c r="L846" s="40" t="n">
        <v>0</v>
      </c>
    </row>
    <row r="847" ht="12" customHeight="1">
      <c r="A847" s="30" t="inlineStr">
        <is>
          <t>ITG</t>
        </is>
      </c>
      <c r="B847" s="30" t="inlineStr">
        <is>
          <t>Itaguai</t>
        </is>
      </c>
      <c r="C847" s="30" t="n">
        <v>77514287</v>
      </c>
      <c r="D847" s="30">
        <f>"05513322000158"</f>
        <v/>
      </c>
      <c r="E847" s="30" t="inlineStr">
        <is>
          <t>AGIFLEX METALURGICA LTDA ME</t>
        </is>
      </c>
      <c r="F847" s="40" t="n">
        <v>1082747.81</v>
      </c>
      <c r="G847" s="40" t="n">
        <v>890345.77</v>
      </c>
      <c r="H847" s="40" t="n">
        <v>752455.95</v>
      </c>
      <c r="I847" s="40" t="n">
        <v>142974.95</v>
      </c>
      <c r="J847" s="40" t="n">
        <v>0</v>
      </c>
      <c r="K847" s="40" t="n">
        <v>0</v>
      </c>
      <c r="L847" s="40" t="n">
        <v>0</v>
      </c>
    </row>
    <row r="848" ht="12" customHeight="1">
      <c r="A848" s="30" t="inlineStr">
        <is>
          <t>ITG</t>
        </is>
      </c>
      <c r="B848" s="30" t="inlineStr">
        <is>
          <t>Itaguai</t>
        </is>
      </c>
      <c r="C848" s="30" t="n">
        <v>77522905</v>
      </c>
      <c r="D848" s="30">
        <f>"04833584000137"</f>
        <v/>
      </c>
      <c r="E848" s="30" t="inlineStr">
        <is>
          <t>TRANSMARGOO TURISMO E FRETAMENTO EIRELI</t>
        </is>
      </c>
      <c r="F848" s="40" t="n">
        <v>24650</v>
      </c>
      <c r="G848" s="40" t="n">
        <v>0</v>
      </c>
      <c r="H848" s="40" t="n">
        <v>0</v>
      </c>
      <c r="I848" s="40" t="n">
        <v>0</v>
      </c>
      <c r="J848" s="40" t="n">
        <v>0</v>
      </c>
      <c r="K848" s="40" t="n">
        <v>0</v>
      </c>
      <c r="L848" s="40" t="n">
        <v>0</v>
      </c>
    </row>
    <row r="849" ht="12" customHeight="1">
      <c r="A849" s="30" t="inlineStr">
        <is>
          <t>ITG</t>
        </is>
      </c>
      <c r="B849" s="30" t="inlineStr">
        <is>
          <t>Itaguai</t>
        </is>
      </c>
      <c r="C849" s="30" t="n">
        <v>77523197</v>
      </c>
      <c r="D849" s="30">
        <f>"05545986000107"</f>
        <v/>
      </c>
      <c r="E849" s="30" t="inlineStr">
        <is>
          <t>ELETRO NELKA BAZAR E FERRAGENS LTDA</t>
        </is>
      </c>
      <c r="F849" s="40" t="n">
        <v>1888900.43</v>
      </c>
      <c r="G849" s="40" t="n">
        <v>3161524.92</v>
      </c>
      <c r="H849" s="40" t="n">
        <v>3285880.33</v>
      </c>
      <c r="I849" s="40" t="n">
        <v>2371786.08</v>
      </c>
      <c r="J849" s="40" t="n">
        <v>1120613.27</v>
      </c>
      <c r="K849" s="40" t="n">
        <v>3645878.75</v>
      </c>
      <c r="L849" s="40" t="n">
        <v>1480785.06</v>
      </c>
    </row>
    <row r="850" ht="12" customHeight="1">
      <c r="A850" s="30" t="inlineStr">
        <is>
          <t>ITG</t>
        </is>
      </c>
      <c r="B850" s="30" t="inlineStr">
        <is>
          <t>Itaguai</t>
        </is>
      </c>
      <c r="C850" s="30" t="n">
        <v>77527168</v>
      </c>
      <c r="D850" s="30">
        <f>"05557441000102"</f>
        <v/>
      </c>
      <c r="E850" s="30" t="inlineStr">
        <is>
          <t>FABRIND FABRICACOES INDUSTRIAIS LTDA ME</t>
        </is>
      </c>
      <c r="F850" s="40" t="n">
        <v>0</v>
      </c>
      <c r="G850" s="40" t="n">
        <v>0</v>
      </c>
      <c r="H850" s="40" t="n">
        <v>0</v>
      </c>
      <c r="I850" s="40" t="n">
        <v>0</v>
      </c>
      <c r="J850" s="40" t="n">
        <v>0</v>
      </c>
      <c r="K850" s="40" t="n">
        <v>0</v>
      </c>
      <c r="L850" s="40" t="n">
        <v>0</v>
      </c>
    </row>
    <row r="851" ht="12" customHeight="1">
      <c r="A851" s="30" t="inlineStr">
        <is>
          <t>ITG</t>
        </is>
      </c>
      <c r="B851" s="30" t="inlineStr">
        <is>
          <t>Itaguai</t>
        </is>
      </c>
      <c r="C851" s="30" t="n">
        <v>77575839</v>
      </c>
      <c r="D851" s="30">
        <f>"26178616000574"</f>
        <v/>
      </c>
      <c r="E851" s="30" t="inlineStr">
        <is>
          <t>EMPREENDIMENTOS RODEIRO S/A</t>
        </is>
      </c>
      <c r="F851" s="40" t="n">
        <v>0</v>
      </c>
      <c r="G851" s="40" t="n">
        <v>0</v>
      </c>
      <c r="H851" s="40" t="n">
        <v>0</v>
      </c>
      <c r="I851" s="40" t="n">
        <v>0</v>
      </c>
      <c r="J851" s="40" t="n">
        <v>0</v>
      </c>
      <c r="K851" s="40" t="n">
        <v>0</v>
      </c>
      <c r="L851" s="40" t="n">
        <v>0</v>
      </c>
    </row>
    <row r="852" ht="12" customHeight="1">
      <c r="A852" s="30" t="inlineStr">
        <is>
          <t>ITG</t>
        </is>
      </c>
      <c r="B852" s="30" t="inlineStr">
        <is>
          <t>Itaguai</t>
        </is>
      </c>
      <c r="C852" s="30" t="n">
        <v>77594949</v>
      </c>
      <c r="D852" s="30">
        <f>"00650831000370"</f>
        <v/>
      </c>
      <c r="E852" s="30" t="inlineStr">
        <is>
          <t>EFITRANS TRANSPORTES LTDA</t>
        </is>
      </c>
      <c r="F852" s="40" t="n">
        <v>46697.87</v>
      </c>
      <c r="G852" s="40" t="n">
        <v>41741.23</v>
      </c>
      <c r="H852" s="40" t="n">
        <v>50438.91</v>
      </c>
      <c r="I852" s="40" t="n">
        <v>187987.05</v>
      </c>
      <c r="J852" s="40" t="n">
        <v>27771.88</v>
      </c>
      <c r="K852" s="40" t="n">
        <v>24404.62</v>
      </c>
      <c r="L852" s="40" t="n">
        <v>30481.46</v>
      </c>
    </row>
    <row r="853" ht="12" customHeight="1">
      <c r="A853" s="30" t="inlineStr">
        <is>
          <t>ITG</t>
        </is>
      </c>
      <c r="B853" s="30" t="inlineStr">
        <is>
          <t>Itaguai</t>
        </is>
      </c>
      <c r="C853" s="30" t="n">
        <v>77613129</v>
      </c>
      <c r="D853" s="30">
        <f>"05514580000230"</f>
        <v/>
      </c>
      <c r="E853" s="30" t="inlineStr">
        <is>
          <t>EXPRESSO MONTCAR 2003 LTDA</t>
        </is>
      </c>
      <c r="F853" s="40" t="n">
        <v>3292.15</v>
      </c>
      <c r="G853" s="40" t="n">
        <v>2948.21</v>
      </c>
      <c r="H853" s="40" t="n">
        <v>1603.39</v>
      </c>
      <c r="I853" s="40" t="n">
        <v>0</v>
      </c>
      <c r="J853" s="40" t="n">
        <v>0</v>
      </c>
      <c r="K853" s="40" t="n">
        <v>0</v>
      </c>
      <c r="L853" s="40" t="n">
        <v>0</v>
      </c>
    </row>
    <row r="854" ht="12" customHeight="1">
      <c r="A854" s="30" t="inlineStr">
        <is>
          <t>ITG</t>
        </is>
      </c>
      <c r="B854" s="30" t="inlineStr">
        <is>
          <t>Itaguai</t>
        </is>
      </c>
      <c r="C854" s="30" t="n">
        <v>77617698</v>
      </c>
      <c r="D854" s="30">
        <f>"03176032000130"</f>
        <v/>
      </c>
      <c r="E854" s="30" t="inlineStr">
        <is>
          <t>QUICK LOGISTICA LTDA</t>
        </is>
      </c>
      <c r="F854" s="40" t="n">
        <v>0.32</v>
      </c>
      <c r="G854" s="40" t="n">
        <v>0</v>
      </c>
      <c r="H854" s="40" t="n">
        <v>0</v>
      </c>
      <c r="I854" s="40" t="n">
        <v>0</v>
      </c>
      <c r="J854" s="40" t="n">
        <v>0</v>
      </c>
      <c r="K854" s="40" t="n">
        <v>0</v>
      </c>
      <c r="L854" s="40" t="n">
        <v>0</v>
      </c>
    </row>
    <row r="855" ht="12" customHeight="1">
      <c r="A855" s="30" t="inlineStr">
        <is>
          <t>ITG</t>
        </is>
      </c>
      <c r="B855" s="30" t="inlineStr">
        <is>
          <t>Itaguai</t>
        </is>
      </c>
      <c r="C855" s="30" t="n">
        <v>77622080</v>
      </c>
      <c r="D855" s="30">
        <f>"05912532000119"</f>
        <v/>
      </c>
      <c r="E855" s="30" t="inlineStr">
        <is>
          <t>MARVIN MATERIAL DE CONSTRUCOES LTDA ME</t>
        </is>
      </c>
      <c r="F855" s="40" t="n">
        <v>0</v>
      </c>
      <c r="G855" s="40" t="n">
        <v>0</v>
      </c>
      <c r="H855" s="40" t="n">
        <v>0</v>
      </c>
      <c r="I855" s="40" t="n">
        <v>0</v>
      </c>
      <c r="J855" s="40" t="n">
        <v>0</v>
      </c>
      <c r="K855" s="40" t="n">
        <v>0</v>
      </c>
      <c r="L855" s="40" t="n">
        <v>0</v>
      </c>
    </row>
    <row r="856" ht="12" customHeight="1">
      <c r="A856" s="30" t="inlineStr">
        <is>
          <t>ITG</t>
        </is>
      </c>
      <c r="B856" s="30" t="inlineStr">
        <is>
          <t>Itaguai</t>
        </is>
      </c>
      <c r="C856" s="30" t="n">
        <v>77638687</v>
      </c>
      <c r="D856" s="30">
        <f>"60510583004209"</f>
        <v/>
      </c>
      <c r="E856" s="30" t="inlineStr">
        <is>
          <t>RAPIDO 900 DE TRANSPORTES RODOVIARIOS LTDA</t>
        </is>
      </c>
      <c r="F856" s="40" t="n">
        <v>303.95</v>
      </c>
      <c r="G856" s="40" t="n">
        <v>5677.15</v>
      </c>
      <c r="H856" s="40" t="n">
        <v>2231.99</v>
      </c>
      <c r="I856" s="40" t="n">
        <v>0</v>
      </c>
      <c r="J856" s="40" t="n">
        <v>0</v>
      </c>
      <c r="K856" s="40" t="n">
        <v>0</v>
      </c>
      <c r="L856" s="40" t="n">
        <v>0</v>
      </c>
    </row>
    <row r="857" ht="12" customHeight="1">
      <c r="A857" s="30" t="inlineStr">
        <is>
          <t>ITG</t>
        </is>
      </c>
      <c r="B857" s="30" t="inlineStr">
        <is>
          <t>Itaguai</t>
        </is>
      </c>
      <c r="C857" s="30" t="n">
        <v>77639330</v>
      </c>
      <c r="D857" s="30">
        <f>"05940533000177"</f>
        <v/>
      </c>
      <c r="E857" s="30" t="inlineStr">
        <is>
          <t>Q S MODA VIVA CONFECCOES E BAZAR DE ITAGUAI LTDA ME</t>
        </is>
      </c>
      <c r="F857" s="40" t="n">
        <v>0</v>
      </c>
      <c r="G857" s="40" t="n">
        <v>0</v>
      </c>
      <c r="H857" s="40" t="n">
        <v>0</v>
      </c>
      <c r="I857" s="40" t="n">
        <v>0</v>
      </c>
      <c r="J857" s="40" t="n">
        <v>0</v>
      </c>
      <c r="K857" s="40" t="n">
        <v>0</v>
      </c>
      <c r="L857" s="40" t="n">
        <v>0</v>
      </c>
    </row>
    <row r="858" ht="12" customHeight="1">
      <c r="A858" s="30" t="inlineStr">
        <is>
          <t>ITG</t>
        </is>
      </c>
      <c r="B858" s="30" t="inlineStr">
        <is>
          <t>Itaguai</t>
        </is>
      </c>
      <c r="C858" s="30" t="n">
        <v>77649328</v>
      </c>
      <c r="D858" s="30">
        <f>"02836056004284"</f>
        <v/>
      </c>
      <c r="E858" s="30" t="inlineStr">
        <is>
          <t>DHL LOGISTICS (BRAZIL) LTDA</t>
        </is>
      </c>
      <c r="F858" s="40" t="n">
        <v>37781.59</v>
      </c>
      <c r="G858" s="40" t="n">
        <v>13964.05</v>
      </c>
      <c r="H858" s="40" t="n">
        <v>0</v>
      </c>
      <c r="I858" s="40" t="n">
        <v>0</v>
      </c>
      <c r="J858" s="40" t="n">
        <v>0</v>
      </c>
      <c r="K858" s="40" t="n">
        <v>0</v>
      </c>
      <c r="L858" s="40" t="n">
        <v>0</v>
      </c>
    </row>
    <row r="859" ht="12" customHeight="1">
      <c r="A859" s="30" t="inlineStr">
        <is>
          <t>ITG</t>
        </is>
      </c>
      <c r="B859" s="30" t="inlineStr">
        <is>
          <t>Itaguai</t>
        </is>
      </c>
      <c r="C859" s="30" t="n">
        <v>77654356</v>
      </c>
      <c r="D859" s="30">
        <f>"29319514000196"</f>
        <v/>
      </c>
      <c r="E859" s="30" t="inlineStr">
        <is>
          <t>AREAL TERBRASIL EIRELI</t>
        </is>
      </c>
      <c r="F859" s="40" t="n">
        <v>0</v>
      </c>
      <c r="G859" s="40" t="n">
        <v>0</v>
      </c>
      <c r="H859" s="40" t="n">
        <v>113512.36</v>
      </c>
      <c r="I859" s="40" t="n">
        <v>238827.09</v>
      </c>
      <c r="J859" s="40" t="n">
        <v>0</v>
      </c>
      <c r="K859" s="40" t="n">
        <v>0</v>
      </c>
      <c r="L859" s="40" t="n">
        <v>0</v>
      </c>
    </row>
    <row r="860" ht="12" customHeight="1">
      <c r="A860" s="30" t="inlineStr">
        <is>
          <t>ITG</t>
        </is>
      </c>
      <c r="B860" s="30" t="inlineStr">
        <is>
          <t>Itaguai</t>
        </is>
      </c>
      <c r="C860" s="30" t="n">
        <v>77663711</v>
      </c>
      <c r="D860" s="30">
        <f>"05931640000139"</f>
        <v/>
      </c>
      <c r="E860" s="30" t="inlineStr">
        <is>
          <t>TRANSPORTES SOUZA ARAUJO LTDA</t>
        </is>
      </c>
      <c r="F860" s="40" t="n">
        <v>0</v>
      </c>
      <c r="G860" s="40" t="n">
        <v>3117.31</v>
      </c>
      <c r="H860" s="40" t="n">
        <v>4259.65</v>
      </c>
      <c r="I860" s="40" t="n">
        <v>58162.89</v>
      </c>
      <c r="J860" s="40" t="n">
        <v>0</v>
      </c>
      <c r="K860" s="40" t="n">
        <v>0</v>
      </c>
      <c r="L860" s="40" t="n">
        <v>1431932.09</v>
      </c>
    </row>
    <row r="861" ht="12" customHeight="1">
      <c r="A861" s="30" t="inlineStr">
        <is>
          <t>ITG</t>
        </is>
      </c>
      <c r="B861" s="30" t="inlineStr">
        <is>
          <t>Itaguai</t>
        </is>
      </c>
      <c r="C861" s="30" t="n">
        <v>77664548</v>
      </c>
      <c r="D861" s="30">
        <f>"03103436000528"</f>
        <v/>
      </c>
      <c r="E861" s="30" t="inlineStr">
        <is>
          <t>COOPERATIVA AGROPECUARIA E TRANSPORTE REGIONAL MONTENEGRO LTDA</t>
        </is>
      </c>
      <c r="F861" s="40" t="n">
        <v>0</v>
      </c>
      <c r="G861" s="40" t="n">
        <v>0</v>
      </c>
      <c r="H861" s="40" t="n">
        <v>372.38</v>
      </c>
      <c r="I861" s="40" t="n">
        <v>546.53</v>
      </c>
      <c r="J861" s="40" t="n">
        <v>0</v>
      </c>
      <c r="K861" s="40" t="n">
        <v>0</v>
      </c>
      <c r="L861" s="40" t="n">
        <v>0</v>
      </c>
    </row>
    <row r="862" ht="12" customHeight="1">
      <c r="A862" s="30" t="inlineStr">
        <is>
          <t>ITG</t>
        </is>
      </c>
      <c r="B862" s="30" t="inlineStr">
        <is>
          <t>Itaguai</t>
        </is>
      </c>
      <c r="C862" s="30" t="n">
        <v>77668799</v>
      </c>
      <c r="D862" s="30">
        <f>"05980171000148"</f>
        <v/>
      </c>
      <c r="E862" s="30" t="inlineStr">
        <is>
          <t>PREDLINK REDE DE TELECOMUNICACOES LTDA</t>
        </is>
      </c>
      <c r="F862" s="40" t="n">
        <v>0</v>
      </c>
      <c r="G862" s="40" t="n">
        <v>0</v>
      </c>
      <c r="H862" s="40" t="n">
        <v>2700</v>
      </c>
      <c r="I862" s="40" t="n">
        <v>8281.629999999999</v>
      </c>
      <c r="J862" s="40" t="n">
        <v>3585.59</v>
      </c>
      <c r="K862" s="40" t="n">
        <v>3573.4</v>
      </c>
      <c r="L862" s="40" t="n">
        <v>2476.72</v>
      </c>
    </row>
    <row r="863" ht="12" customHeight="1">
      <c r="A863" s="30" t="inlineStr">
        <is>
          <t>ITG</t>
        </is>
      </c>
      <c r="B863" s="30" t="inlineStr">
        <is>
          <t>Itaguai</t>
        </is>
      </c>
      <c r="C863" s="30" t="n">
        <v>77669353</v>
      </c>
      <c r="D863" s="30">
        <f>"06059895000116"</f>
        <v/>
      </c>
      <c r="E863" s="30" t="inlineStr">
        <is>
          <t>MARCENARIA COSTA VERDE DE ITAGUAI LTDA EPP</t>
        </is>
      </c>
      <c r="F863" s="40" t="n">
        <v>0</v>
      </c>
      <c r="G863" s="40" t="n">
        <v>0</v>
      </c>
      <c r="H863" s="40" t="n">
        <v>0</v>
      </c>
      <c r="I863" s="40" t="n">
        <v>0</v>
      </c>
      <c r="J863" s="40" t="n">
        <v>41001.25</v>
      </c>
      <c r="K863" s="40" t="n">
        <v>0</v>
      </c>
      <c r="L863" s="40" t="n">
        <v>0</v>
      </c>
    </row>
    <row r="864" ht="12" customHeight="1">
      <c r="A864" s="30" t="inlineStr">
        <is>
          <t>ITG</t>
        </is>
      </c>
      <c r="B864" s="30" t="inlineStr">
        <is>
          <t>Itaguai</t>
        </is>
      </c>
      <c r="C864" s="30" t="n">
        <v>77678638</v>
      </c>
      <c r="D864" s="30">
        <f>"05970651000128"</f>
        <v/>
      </c>
      <c r="E864" s="30" t="inlineStr">
        <is>
          <t>AGITO PARADISE EVENTOS LTDA</t>
        </is>
      </c>
      <c r="F864" s="40" t="n">
        <v>0</v>
      </c>
      <c r="G864" s="40" t="n">
        <v>0</v>
      </c>
      <c r="H864" s="40" t="n">
        <v>0</v>
      </c>
      <c r="I864" s="40" t="n">
        <v>0</v>
      </c>
      <c r="J864" s="40" t="n">
        <v>0</v>
      </c>
      <c r="K864" s="40" t="n">
        <v>0</v>
      </c>
      <c r="L864" s="40" t="n">
        <v>0</v>
      </c>
    </row>
    <row r="865" ht="12" customHeight="1">
      <c r="A865" s="30" t="inlineStr">
        <is>
          <t>ITG</t>
        </is>
      </c>
      <c r="B865" s="30" t="inlineStr">
        <is>
          <t>Itaguai</t>
        </is>
      </c>
      <c r="C865" s="30" t="n">
        <v>77685022</v>
      </c>
      <c r="D865" s="30">
        <f>"76535764033157"</f>
        <v/>
      </c>
      <c r="E865" s="30" t="inlineStr">
        <is>
          <t>OI SA - EM RECUPERACAO JUDICIAL</t>
        </is>
      </c>
      <c r="F865" s="40" t="n">
        <v>0</v>
      </c>
      <c r="G865" s="40" t="n">
        <v>0</v>
      </c>
      <c r="H865" s="40" t="n">
        <v>0</v>
      </c>
      <c r="I865" s="40" t="n">
        <v>0</v>
      </c>
      <c r="J865" s="40" t="n">
        <v>3254508.8</v>
      </c>
      <c r="K865" s="40" t="n">
        <v>6881072.13</v>
      </c>
      <c r="L865" s="40" t="n">
        <v>6998183.4</v>
      </c>
    </row>
    <row r="866" ht="12" customHeight="1">
      <c r="A866" s="30" t="inlineStr">
        <is>
          <t>ITG</t>
        </is>
      </c>
      <c r="B866" s="30" t="inlineStr">
        <is>
          <t>Itaguai</t>
        </is>
      </c>
      <c r="C866" s="30" t="n">
        <v>77689630</v>
      </c>
      <c r="D866" s="30">
        <f>"02427026002009"</f>
        <v/>
      </c>
      <c r="E866" s="30" t="inlineStr">
        <is>
          <t>ALIANCA NAVEGACAO E LOGISTICA LTDA</t>
        </is>
      </c>
      <c r="F866" s="40" t="n">
        <v>33662226.25</v>
      </c>
      <c r="G866" s="40" t="n">
        <v>126034985.21</v>
      </c>
      <c r="H866" s="40" t="n">
        <v>76842822.42</v>
      </c>
      <c r="I866" s="40" t="n">
        <v>117844541.15</v>
      </c>
      <c r="J866" s="40" t="n">
        <v>114968421.85</v>
      </c>
      <c r="K866" s="40" t="n">
        <v>81310362.56</v>
      </c>
      <c r="L866" s="40" t="n">
        <v>87153837.06999999</v>
      </c>
    </row>
    <row r="867" ht="12" customHeight="1">
      <c r="A867" s="30" t="inlineStr">
        <is>
          <t>ITG</t>
        </is>
      </c>
      <c r="B867" s="30" t="inlineStr">
        <is>
          <t>Itaguai</t>
        </is>
      </c>
      <c r="C867" s="30" t="n">
        <v>77693459</v>
      </c>
      <c r="D867" s="30">
        <f>"67901140000292"</f>
        <v/>
      </c>
      <c r="E867" s="30" t="inlineStr">
        <is>
          <t>COTRALTI - COOPERATIVA DE TRANSPORTE E LOGISTICA DO ALTO TIETE</t>
        </is>
      </c>
      <c r="F867" s="40" t="n">
        <v>0</v>
      </c>
      <c r="G867" s="40" t="n">
        <v>170744.25</v>
      </c>
      <c r="H867" s="40" t="n">
        <v>5999.85</v>
      </c>
      <c r="I867" s="40" t="n">
        <v>0</v>
      </c>
      <c r="J867" s="40" t="n">
        <v>0</v>
      </c>
      <c r="K867" s="40" t="n">
        <v>176.04</v>
      </c>
      <c r="L867" s="40" t="n">
        <v>0</v>
      </c>
    </row>
    <row r="868" ht="12" customHeight="1">
      <c r="A868" s="30" t="inlineStr">
        <is>
          <t>ITG</t>
        </is>
      </c>
      <c r="B868" s="30" t="inlineStr">
        <is>
          <t>Itaguai</t>
        </is>
      </c>
      <c r="C868" s="30" t="n">
        <v>77694439</v>
      </c>
      <c r="D868" s="30">
        <f>"06130159000107"</f>
        <v/>
      </c>
      <c r="E868" s="30" t="inlineStr">
        <is>
          <t>GRANVISA MARMORARIA E MATERIAL DE CONSTRUCAO LTDA EPP</t>
        </is>
      </c>
      <c r="F868" s="40" t="n">
        <v>0</v>
      </c>
      <c r="G868" s="40" t="n">
        <v>0</v>
      </c>
      <c r="H868" s="40" t="n">
        <v>0</v>
      </c>
      <c r="I868" s="40" t="n">
        <v>0</v>
      </c>
      <c r="J868" s="40" t="n">
        <v>0</v>
      </c>
      <c r="K868" s="40" t="n">
        <v>0</v>
      </c>
      <c r="L868" s="40" t="n">
        <v>0</v>
      </c>
    </row>
    <row r="869" ht="12" customHeight="1">
      <c r="A869" s="30" t="inlineStr">
        <is>
          <t>ITG</t>
        </is>
      </c>
      <c r="B869" s="30" t="inlineStr">
        <is>
          <t>Itaguai</t>
        </is>
      </c>
      <c r="C869" s="30" t="n">
        <v>77699740</v>
      </c>
      <c r="D869" s="30">
        <f>"32171472000101"</f>
        <v/>
      </c>
      <c r="E869" s="30" t="inlineStr">
        <is>
          <t>PERENYI SERVICOS TECNICOS DE LIMPEZA INDUSTRIAL LTDA</t>
        </is>
      </c>
      <c r="F869" s="40" t="n">
        <v>16974.51</v>
      </c>
      <c r="G869" s="40" t="n">
        <v>11048.14</v>
      </c>
      <c r="H869" s="40" t="n">
        <v>11180.03</v>
      </c>
      <c r="I869" s="40" t="n">
        <v>0</v>
      </c>
      <c r="J869" s="40" t="n">
        <v>0</v>
      </c>
      <c r="K869" s="40" t="n">
        <v>0</v>
      </c>
      <c r="L869" s="40" t="n">
        <v>0</v>
      </c>
    </row>
    <row r="870" ht="12" customHeight="1">
      <c r="A870" s="30" t="inlineStr">
        <is>
          <t>ITG</t>
        </is>
      </c>
      <c r="B870" s="30" t="inlineStr">
        <is>
          <t>Itaguai</t>
        </is>
      </c>
      <c r="C870" s="30" t="n">
        <v>77700501</v>
      </c>
      <c r="D870" s="30">
        <f>"71208516017140"</f>
        <v/>
      </c>
      <c r="E870" s="30" t="inlineStr">
        <is>
          <t>ALGAR TELECOM S A</t>
        </is>
      </c>
      <c r="F870" s="40" t="n">
        <v>80648.53</v>
      </c>
      <c r="G870" s="40" t="n">
        <v>68481.21000000001</v>
      </c>
      <c r="H870" s="40" t="n">
        <v>79421.22</v>
      </c>
      <c r="I870" s="40" t="n">
        <v>96967.64</v>
      </c>
      <c r="J870" s="40" t="n">
        <v>79154.85000000001</v>
      </c>
      <c r="K870" s="40" t="n">
        <v>181107.75</v>
      </c>
      <c r="L870" s="40" t="n">
        <v>195485.24</v>
      </c>
    </row>
    <row r="871" ht="12" customHeight="1">
      <c r="A871" s="30" t="inlineStr">
        <is>
          <t>ITG</t>
        </is>
      </c>
      <c r="B871" s="30" t="inlineStr">
        <is>
          <t>Itaguai</t>
        </is>
      </c>
      <c r="C871" s="30" t="n">
        <v>77700714</v>
      </c>
      <c r="D871" s="30">
        <f>"04846334000301"</f>
        <v/>
      </c>
      <c r="E871" s="30" t="inlineStr">
        <is>
          <t>RAPIDO FERNAO DIAS BH LTDA</t>
        </is>
      </c>
      <c r="F871" s="40" t="n">
        <v>0</v>
      </c>
      <c r="G871" s="40" t="n">
        <v>354849.94</v>
      </c>
      <c r="H871" s="40" t="n">
        <v>0</v>
      </c>
      <c r="I871" s="40" t="n">
        <v>0</v>
      </c>
      <c r="J871" s="40" t="n">
        <v>6000</v>
      </c>
      <c r="K871" s="40" t="n">
        <v>0</v>
      </c>
      <c r="L871" s="40" t="n">
        <v>0</v>
      </c>
    </row>
    <row r="872" ht="12" customHeight="1">
      <c r="A872" s="30" t="inlineStr">
        <is>
          <t>ITG</t>
        </is>
      </c>
      <c r="B872" s="30" t="inlineStr">
        <is>
          <t>Itaguai</t>
        </is>
      </c>
      <c r="C872" s="30" t="n">
        <v>77716866</v>
      </c>
      <c r="D872" s="30">
        <f>"06204928000174"</f>
        <v/>
      </c>
      <c r="E872" s="30" t="inlineStr">
        <is>
          <t>AMOR AOS FIOS DISTRIBUIDORA DE COSMETICOS LTDA ME</t>
        </is>
      </c>
      <c r="F872" s="40" t="n">
        <v>0</v>
      </c>
      <c r="G872" s="40" t="n">
        <v>0</v>
      </c>
      <c r="H872" s="40" t="n">
        <v>0</v>
      </c>
      <c r="I872" s="40" t="n">
        <v>0</v>
      </c>
      <c r="J872" s="40" t="n">
        <v>0</v>
      </c>
      <c r="K872" s="40" t="n">
        <v>0</v>
      </c>
      <c r="L872" s="40" t="n">
        <v>0</v>
      </c>
    </row>
    <row r="873" ht="12" customHeight="1">
      <c r="A873" s="30" t="inlineStr">
        <is>
          <t>ITG</t>
        </is>
      </c>
      <c r="B873" s="30" t="inlineStr">
        <is>
          <t>Itaguai</t>
        </is>
      </c>
      <c r="C873" s="30" t="n">
        <v>77717749</v>
      </c>
      <c r="D873" s="30">
        <f>"06073075000189"</f>
        <v/>
      </c>
      <c r="E873" s="30" t="inlineStr">
        <is>
          <t>TRANSPORTADORA RODO CLAM EIRELI - EPP</t>
        </is>
      </c>
      <c r="F873" s="40" t="n">
        <v>0</v>
      </c>
      <c r="G873" s="40" t="n">
        <v>77.70999999999999</v>
      </c>
      <c r="H873" s="40" t="n">
        <v>0</v>
      </c>
      <c r="I873" s="40" t="n">
        <v>0</v>
      </c>
      <c r="J873" s="40" t="n">
        <v>0</v>
      </c>
      <c r="K873" s="40" t="n">
        <v>56.2</v>
      </c>
      <c r="L873" s="40" t="n">
        <v>166.52</v>
      </c>
    </row>
    <row r="874" ht="12" customHeight="1">
      <c r="A874" s="30" t="inlineStr">
        <is>
          <t>ITG</t>
        </is>
      </c>
      <c r="B874" s="30" t="inlineStr">
        <is>
          <t>Itaguai</t>
        </is>
      </c>
      <c r="C874" s="30" t="n">
        <v>77719385</v>
      </c>
      <c r="D874" s="30">
        <f>"06204921000152"</f>
        <v/>
      </c>
      <c r="E874" s="30" t="inlineStr">
        <is>
          <t>SHEKINA PESCADOS LTDA</t>
        </is>
      </c>
      <c r="F874" s="40" t="n">
        <v>0</v>
      </c>
      <c r="G874" s="40" t="n">
        <v>0</v>
      </c>
      <c r="H874" s="40" t="n">
        <v>0</v>
      </c>
      <c r="I874" s="40" t="n">
        <v>0</v>
      </c>
      <c r="J874" s="40" t="n">
        <v>0</v>
      </c>
      <c r="K874" s="40" t="n">
        <v>0</v>
      </c>
      <c r="L874" s="40" t="n">
        <v>0</v>
      </c>
    </row>
    <row r="875" ht="12" customHeight="1">
      <c r="A875" s="30" t="inlineStr">
        <is>
          <t>ITG</t>
        </is>
      </c>
      <c r="B875" s="30" t="inlineStr">
        <is>
          <t>Itaguai</t>
        </is>
      </c>
      <c r="C875" s="30" t="n">
        <v>77730729</v>
      </c>
      <c r="D875" s="30">
        <f>"48740351000408"</f>
        <v/>
      </c>
      <c r="E875" s="30" t="inlineStr">
        <is>
          <t>BRASPRESS TRANSPORTES URGENTES LTDA</t>
        </is>
      </c>
      <c r="F875" s="40" t="n">
        <v>37848.34</v>
      </c>
      <c r="G875" s="40" t="n">
        <v>22221.29</v>
      </c>
      <c r="H875" s="40" t="n">
        <v>1966.71</v>
      </c>
      <c r="I875" s="40" t="n">
        <v>1812.04</v>
      </c>
      <c r="J875" s="40" t="n">
        <v>4327.39</v>
      </c>
      <c r="K875" s="40" t="n">
        <v>90951.48</v>
      </c>
      <c r="L875" s="40" t="n">
        <v>90077.31</v>
      </c>
    </row>
    <row r="876" ht="12" customHeight="1">
      <c r="A876" s="30" t="inlineStr">
        <is>
          <t>ITG</t>
        </is>
      </c>
      <c r="B876" s="30" t="inlineStr">
        <is>
          <t>Itaguai</t>
        </is>
      </c>
      <c r="C876" s="30" t="n">
        <v>77734686</v>
      </c>
      <c r="D876" s="30">
        <f>"48740351003008"</f>
        <v/>
      </c>
      <c r="E876" s="30" t="inlineStr">
        <is>
          <t>BRASPRESS TRANSPORTES URGENTES LTDA</t>
        </is>
      </c>
      <c r="F876" s="40" t="n">
        <v>5568.76</v>
      </c>
      <c r="G876" s="40" t="n">
        <v>6930.51</v>
      </c>
      <c r="H876" s="40" t="n">
        <v>0</v>
      </c>
      <c r="I876" s="40" t="n">
        <v>0</v>
      </c>
      <c r="J876" s="40" t="n">
        <v>0</v>
      </c>
      <c r="K876" s="40" t="n">
        <v>0</v>
      </c>
      <c r="L876" s="40" t="n">
        <v>0</v>
      </c>
    </row>
    <row r="877" ht="12" customHeight="1">
      <c r="A877" s="30" t="inlineStr">
        <is>
          <t>ITG</t>
        </is>
      </c>
      <c r="B877" s="30" t="inlineStr">
        <is>
          <t>Itaguai</t>
        </is>
      </c>
      <c r="C877" s="30" t="n">
        <v>77734708</v>
      </c>
      <c r="D877" s="30">
        <f>"48740351003261"</f>
        <v/>
      </c>
      <c r="E877" s="30" t="inlineStr">
        <is>
          <t>BRASPRESS TRANSPORTES URGENTES LTDA</t>
        </is>
      </c>
      <c r="F877" s="40" t="n">
        <v>695.73</v>
      </c>
      <c r="G877" s="40" t="n">
        <v>353.35</v>
      </c>
      <c r="H877" s="40" t="n">
        <v>142.3</v>
      </c>
      <c r="I877" s="40" t="n">
        <v>129.01</v>
      </c>
      <c r="J877" s="40" t="n">
        <v>0</v>
      </c>
      <c r="K877" s="40" t="n">
        <v>0</v>
      </c>
      <c r="L877" s="40" t="n">
        <v>0</v>
      </c>
    </row>
    <row r="878" ht="12" customHeight="1">
      <c r="A878" s="30" t="inlineStr">
        <is>
          <t>ITG</t>
        </is>
      </c>
      <c r="B878" s="30" t="inlineStr">
        <is>
          <t>Itaguai</t>
        </is>
      </c>
      <c r="C878" s="30" t="n">
        <v>77736832</v>
      </c>
      <c r="D878" s="30">
        <f>"21849120000308"</f>
        <v/>
      </c>
      <c r="E878" s="30" t="inlineStr">
        <is>
          <t>TRANSPEDROSA S/A</t>
        </is>
      </c>
      <c r="F878" s="40" t="n">
        <v>0</v>
      </c>
      <c r="G878" s="40" t="n">
        <v>0</v>
      </c>
      <c r="H878" s="40" t="n">
        <v>0</v>
      </c>
      <c r="I878" s="40" t="n">
        <v>479237.47</v>
      </c>
      <c r="J878" s="40" t="n">
        <v>508553.58</v>
      </c>
      <c r="K878" s="40" t="n">
        <v>176974.1</v>
      </c>
      <c r="L878" s="40" t="n">
        <v>597111.66</v>
      </c>
    </row>
    <row r="879" ht="12" customHeight="1">
      <c r="A879" s="30" t="inlineStr">
        <is>
          <t>ITG</t>
        </is>
      </c>
      <c r="B879" s="30" t="inlineStr">
        <is>
          <t>Itaguai</t>
        </is>
      </c>
      <c r="C879" s="30" t="n">
        <v>77751971</v>
      </c>
      <c r="D879" s="30">
        <f>"06347809000170"</f>
        <v/>
      </c>
      <c r="E879" s="30" t="inlineStr">
        <is>
          <t>SEPETIBA CARGO LTDA</t>
        </is>
      </c>
      <c r="F879" s="40" t="n">
        <v>0</v>
      </c>
      <c r="G879" s="40" t="n">
        <v>0</v>
      </c>
      <c r="H879" s="40" t="n">
        <v>0</v>
      </c>
      <c r="I879" s="40" t="n">
        <v>0</v>
      </c>
      <c r="J879" s="40" t="n">
        <v>0</v>
      </c>
      <c r="K879" s="40" t="n">
        <v>2023281.18</v>
      </c>
      <c r="L879" s="40" t="n">
        <v>0</v>
      </c>
    </row>
    <row r="880" ht="12" customHeight="1">
      <c r="A880" s="30" t="inlineStr">
        <is>
          <t>ITG</t>
        </is>
      </c>
      <c r="B880" s="30" t="inlineStr">
        <is>
          <t>Itaguai</t>
        </is>
      </c>
      <c r="C880" s="30" t="n">
        <v>77771930</v>
      </c>
      <c r="D880" s="30">
        <f>"06701081000133"</f>
        <v/>
      </c>
      <c r="E880" s="30" t="inlineStr">
        <is>
          <t>GOLD MILENIO TRANSPORTES LTDA ME</t>
        </is>
      </c>
      <c r="F880" s="40" t="n">
        <v>0</v>
      </c>
      <c r="G880" s="40" t="n">
        <v>230.76</v>
      </c>
      <c r="H880" s="40" t="n">
        <v>0</v>
      </c>
      <c r="I880" s="40" t="n">
        <v>0</v>
      </c>
      <c r="J880" s="40" t="n">
        <v>0</v>
      </c>
      <c r="K880" s="40" t="n">
        <v>0</v>
      </c>
      <c r="L880" s="40" t="n">
        <v>0</v>
      </c>
    </row>
    <row r="881" ht="12" customHeight="1">
      <c r="A881" s="30" t="inlineStr">
        <is>
          <t>ITG</t>
        </is>
      </c>
      <c r="B881" s="30" t="inlineStr">
        <is>
          <t>Itaguai</t>
        </is>
      </c>
      <c r="C881" s="30" t="n">
        <v>77785361</v>
      </c>
      <c r="D881" s="30">
        <f>"00972696000380"</f>
        <v/>
      </c>
      <c r="E881" s="30" t="inlineStr">
        <is>
          <t>V M RAMOS &amp; CIA LTDA</t>
        </is>
      </c>
      <c r="F881" s="40" t="n">
        <v>11223.03</v>
      </c>
      <c r="G881" s="40" t="n">
        <v>11769.16</v>
      </c>
      <c r="H881" s="40" t="n">
        <v>16926.91</v>
      </c>
      <c r="I881" s="40" t="n">
        <v>19366.96</v>
      </c>
      <c r="J881" s="40" t="n">
        <v>19365.88</v>
      </c>
      <c r="K881" s="40" t="n">
        <v>35605.52</v>
      </c>
      <c r="L881" s="40" t="n">
        <v>30045.88</v>
      </c>
    </row>
    <row r="882" ht="12" customHeight="1">
      <c r="A882" s="30" t="inlineStr">
        <is>
          <t>ITG</t>
        </is>
      </c>
      <c r="B882" s="30" t="inlineStr">
        <is>
          <t>Itaguai</t>
        </is>
      </c>
      <c r="C882" s="30" t="n">
        <v>77790241</v>
      </c>
      <c r="D882" s="30">
        <f>"06957675000100"</f>
        <v/>
      </c>
      <c r="E882" s="30" t="inlineStr">
        <is>
          <t>LOG IN RIO TRANSPORTES LTDA</t>
        </is>
      </c>
      <c r="F882" s="40" t="n">
        <v>0</v>
      </c>
      <c r="G882" s="40" t="n">
        <v>0</v>
      </c>
      <c r="H882" s="40" t="n">
        <v>0</v>
      </c>
      <c r="I882" s="40" t="n">
        <v>0</v>
      </c>
      <c r="J882" s="40" t="n">
        <v>0</v>
      </c>
      <c r="K882" s="40" t="n">
        <v>0</v>
      </c>
      <c r="L882" s="40" t="n">
        <v>194.46</v>
      </c>
    </row>
    <row r="883" ht="12" customHeight="1">
      <c r="A883" s="30" t="inlineStr">
        <is>
          <t>ITG</t>
        </is>
      </c>
      <c r="B883" s="30" t="inlineStr">
        <is>
          <t>Itaguai</t>
        </is>
      </c>
      <c r="C883" s="30" t="n">
        <v>77791167</v>
      </c>
      <c r="D883" s="30">
        <f>"03839188000154"</f>
        <v/>
      </c>
      <c r="E883" s="30" t="inlineStr">
        <is>
          <t>ROSANGELA APARECIDA ANDRADE ROCHA</t>
        </is>
      </c>
      <c r="F883" s="40" t="n">
        <v>0</v>
      </c>
      <c r="G883" s="40" t="n">
        <v>0</v>
      </c>
      <c r="H883" s="40" t="n">
        <v>0</v>
      </c>
      <c r="I883" s="40" t="n">
        <v>0</v>
      </c>
      <c r="J883" s="40" t="n">
        <v>0</v>
      </c>
      <c r="K883" s="40" t="n">
        <v>0</v>
      </c>
      <c r="L883" s="40" t="n">
        <v>0</v>
      </c>
    </row>
    <row r="884" ht="12" customHeight="1">
      <c r="A884" s="30" t="inlineStr">
        <is>
          <t>ITG</t>
        </is>
      </c>
      <c r="B884" s="30" t="inlineStr">
        <is>
          <t>Itaguai</t>
        </is>
      </c>
      <c r="C884" s="30" t="n">
        <v>77796070</v>
      </c>
      <c r="D884" s="30">
        <f>"07013237000156"</f>
        <v/>
      </c>
      <c r="E884" s="30" t="inlineStr">
        <is>
          <t>LU BABY COMERCIO DE ROUPA INFANTIL LTDA</t>
        </is>
      </c>
      <c r="F884" s="40" t="n">
        <v>0</v>
      </c>
      <c r="G884" s="40" t="n">
        <v>0</v>
      </c>
      <c r="H884" s="40" t="n">
        <v>0</v>
      </c>
      <c r="I884" s="40" t="n">
        <v>0</v>
      </c>
      <c r="J884" s="40" t="n">
        <v>0</v>
      </c>
      <c r="K884" s="40" t="n">
        <v>0</v>
      </c>
      <c r="L884" s="40" t="n">
        <v>0</v>
      </c>
    </row>
    <row r="885" ht="12" customHeight="1">
      <c r="A885" s="30" t="inlineStr">
        <is>
          <t>ITG</t>
        </is>
      </c>
      <c r="B885" s="30" t="inlineStr">
        <is>
          <t>Itaguai</t>
        </is>
      </c>
      <c r="C885" s="30" t="n">
        <v>77812393</v>
      </c>
      <c r="D885" s="30">
        <f>"00972696000207"</f>
        <v/>
      </c>
      <c r="E885" s="30" t="inlineStr">
        <is>
          <t>V M RAMOS &amp; CIA LTDA</t>
        </is>
      </c>
      <c r="F885" s="40" t="n">
        <v>0</v>
      </c>
      <c r="G885" s="40" t="n">
        <v>0</v>
      </c>
      <c r="H885" s="40" t="n">
        <v>0</v>
      </c>
      <c r="I885" s="40" t="n">
        <v>0</v>
      </c>
      <c r="J885" s="40" t="n">
        <v>0</v>
      </c>
      <c r="K885" s="40" t="n">
        <v>372.02</v>
      </c>
      <c r="L885" s="40" t="n">
        <v>0</v>
      </c>
    </row>
    <row r="886" ht="12" customHeight="1">
      <c r="A886" s="30" t="inlineStr">
        <is>
          <t>ITG</t>
        </is>
      </c>
      <c r="B886" s="30" t="inlineStr">
        <is>
          <t>Itaguai</t>
        </is>
      </c>
      <c r="C886" s="30" t="n">
        <v>77812814</v>
      </c>
      <c r="D886" s="30">
        <f>"06371265000182"</f>
        <v/>
      </c>
      <c r="E886" s="30" t="inlineStr">
        <is>
          <t>MP 2019 TRANSPORTES LTDA</t>
        </is>
      </c>
      <c r="F886" s="40" t="n">
        <v>0</v>
      </c>
      <c r="G886" s="40" t="n">
        <v>0</v>
      </c>
      <c r="H886" s="40" t="n">
        <v>0</v>
      </c>
      <c r="I886" s="40" t="n">
        <v>0</v>
      </c>
      <c r="J886" s="40" t="n">
        <v>2568.41</v>
      </c>
      <c r="K886" s="40" t="n">
        <v>0</v>
      </c>
      <c r="L886" s="40" t="n">
        <v>0</v>
      </c>
    </row>
    <row r="887" ht="12" customHeight="1">
      <c r="A887" s="30" t="inlineStr">
        <is>
          <t>ITG</t>
        </is>
      </c>
      <c r="B887" s="30" t="inlineStr">
        <is>
          <t>Itaguai</t>
        </is>
      </c>
      <c r="C887" s="30" t="n">
        <v>77836349</v>
      </c>
      <c r="D887" s="30">
        <f>"03708458000279"</f>
        <v/>
      </c>
      <c r="E887" s="30" t="inlineStr">
        <is>
          <t>REDIVIX TRANSPORTES LTDA</t>
        </is>
      </c>
      <c r="F887" s="40" t="n">
        <v>0</v>
      </c>
      <c r="G887" s="40" t="n">
        <v>0</v>
      </c>
      <c r="H887" s="40" t="n">
        <v>0</v>
      </c>
      <c r="I887" s="40" t="n">
        <v>593.83</v>
      </c>
      <c r="J887" s="40" t="n">
        <v>689.5</v>
      </c>
      <c r="K887" s="40" t="n">
        <v>712.52</v>
      </c>
      <c r="L887" s="40" t="n">
        <v>3787.69</v>
      </c>
    </row>
    <row r="888" ht="12" customHeight="1">
      <c r="A888" s="30" t="inlineStr">
        <is>
          <t>ITG</t>
        </is>
      </c>
      <c r="B888" s="30" t="inlineStr">
        <is>
          <t>Itaguai</t>
        </is>
      </c>
      <c r="C888" s="30" t="n">
        <v>77838406</v>
      </c>
      <c r="D888" s="30">
        <f>"07118913000156"</f>
        <v/>
      </c>
      <c r="E888" s="30" t="inlineStr">
        <is>
          <t>TRANSPORTADORA BONS AMIGOS E M LOGISTICA LTDA EPP</t>
        </is>
      </c>
      <c r="F888" s="40" t="n">
        <v>911.39</v>
      </c>
      <c r="G888" s="40" t="n">
        <v>233.87</v>
      </c>
      <c r="H888" s="40" t="n">
        <v>8694.48</v>
      </c>
      <c r="I888" s="40" t="n">
        <v>4909.31</v>
      </c>
      <c r="J888" s="40" t="n">
        <v>0</v>
      </c>
      <c r="K888" s="40" t="n">
        <v>0</v>
      </c>
      <c r="L888" s="40" t="n">
        <v>0</v>
      </c>
    </row>
    <row r="889" ht="12" customHeight="1">
      <c r="A889" s="30" t="inlineStr">
        <is>
          <t>ITG</t>
        </is>
      </c>
      <c r="B889" s="30" t="inlineStr">
        <is>
          <t>Itaguai</t>
        </is>
      </c>
      <c r="C889" s="30" t="n">
        <v>77838635</v>
      </c>
      <c r="D889" s="30">
        <f>"07134567000108"</f>
        <v/>
      </c>
      <c r="E889" s="30" t="inlineStr">
        <is>
          <t>H. MORAES PEREIRA LOCACÕES &amp; TRANSPORTES EIRELI</t>
        </is>
      </c>
      <c r="F889" s="40" t="n">
        <v>0</v>
      </c>
      <c r="G889" s="40" t="n">
        <v>0</v>
      </c>
      <c r="H889" s="40" t="n">
        <v>0</v>
      </c>
      <c r="I889" s="40" t="n">
        <v>0</v>
      </c>
      <c r="J889" s="40" t="n">
        <v>0</v>
      </c>
      <c r="K889" s="40" t="n">
        <v>0</v>
      </c>
      <c r="L889" s="40" t="n">
        <v>0</v>
      </c>
    </row>
    <row r="890" ht="12" customHeight="1">
      <c r="A890" s="30" t="inlineStr">
        <is>
          <t>ITG</t>
        </is>
      </c>
      <c r="B890" s="30" t="inlineStr">
        <is>
          <t>Itaguai</t>
        </is>
      </c>
      <c r="C890" s="30" t="n">
        <v>77842187</v>
      </c>
      <c r="D890" s="30">
        <f>"31910037000180"</f>
        <v/>
      </c>
      <c r="E890" s="30" t="inlineStr">
        <is>
          <t>DELCI DE FREITAS RIBEIRO SERRALHERIA</t>
        </is>
      </c>
      <c r="F890" s="40" t="n">
        <v>0</v>
      </c>
      <c r="G890" s="40" t="n">
        <v>0</v>
      </c>
      <c r="H890" s="40" t="n">
        <v>0</v>
      </c>
      <c r="I890" s="40" t="n">
        <v>0</v>
      </c>
      <c r="J890" s="40" t="n">
        <v>0</v>
      </c>
      <c r="K890" s="40" t="n">
        <v>0</v>
      </c>
      <c r="L890" s="40" t="n">
        <v>0</v>
      </c>
    </row>
    <row r="891" ht="12" customHeight="1">
      <c r="A891" s="30" t="inlineStr">
        <is>
          <t>ITG</t>
        </is>
      </c>
      <c r="B891" s="30" t="inlineStr">
        <is>
          <t>Itaguai</t>
        </is>
      </c>
      <c r="C891" s="30" t="n">
        <v>77848606</v>
      </c>
      <c r="D891" s="30">
        <f>"07098894000143"</f>
        <v/>
      </c>
      <c r="E891" s="30" t="inlineStr">
        <is>
          <t>POSTO DE GASOLINA PORTAL DO PORTO LTDA</t>
        </is>
      </c>
      <c r="F891" s="40" t="n">
        <v>30945.54</v>
      </c>
      <c r="G891" s="40" t="n">
        <v>0</v>
      </c>
      <c r="H891" s="40" t="n">
        <v>245265.58</v>
      </c>
      <c r="I891" s="40" t="n">
        <v>2504194.47</v>
      </c>
      <c r="J891" s="40" t="n">
        <v>1017071.27</v>
      </c>
      <c r="K891" s="40" t="n">
        <v>0</v>
      </c>
      <c r="L891" s="40" t="n">
        <v>0</v>
      </c>
    </row>
    <row r="892" ht="12" customHeight="1">
      <c r="A892" s="30" t="inlineStr">
        <is>
          <t>ITG</t>
        </is>
      </c>
      <c r="B892" s="30" t="inlineStr">
        <is>
          <t>Itaguai</t>
        </is>
      </c>
      <c r="C892" s="30" t="n">
        <v>77883517</v>
      </c>
      <c r="D892" s="30">
        <f>"07228365000117"</f>
        <v/>
      </c>
      <c r="E892" s="30" t="inlineStr">
        <is>
          <t>POLIBETUME SERVICOS DE PAVIMENTACAO LTDA</t>
        </is>
      </c>
      <c r="F892" s="40" t="n">
        <v>0</v>
      </c>
      <c r="G892" s="40" t="n">
        <v>0</v>
      </c>
      <c r="H892" s="40" t="n">
        <v>0</v>
      </c>
      <c r="I892" s="40" t="n">
        <v>0</v>
      </c>
      <c r="J892" s="40" t="n">
        <v>0</v>
      </c>
      <c r="K892" s="40" t="n">
        <v>0</v>
      </c>
      <c r="L892" s="40" t="n">
        <v>0</v>
      </c>
    </row>
    <row r="893" ht="12" customHeight="1">
      <c r="A893" s="30" t="inlineStr">
        <is>
          <t>ITG</t>
        </is>
      </c>
      <c r="B893" s="30" t="inlineStr">
        <is>
          <t>Itaguai</t>
        </is>
      </c>
      <c r="C893" s="30" t="n">
        <v>77883568</v>
      </c>
      <c r="D893" s="30">
        <f>"07274618000199"</f>
        <v/>
      </c>
      <c r="E893" s="30" t="inlineStr">
        <is>
          <t>J A DE ITAGUAI VEICULOS LTDA</t>
        </is>
      </c>
      <c r="F893" s="40" t="n">
        <v>418234</v>
      </c>
      <c r="G893" s="40" t="n">
        <v>914060.77</v>
      </c>
      <c r="H893" s="40" t="n">
        <v>441621.92</v>
      </c>
      <c r="I893" s="40" t="n">
        <v>996088.11</v>
      </c>
      <c r="J893" s="40" t="n">
        <v>291279.92</v>
      </c>
      <c r="K893" s="40" t="n">
        <v>1167953.64</v>
      </c>
      <c r="L893" s="40" t="n">
        <v>229127.05</v>
      </c>
    </row>
    <row r="894" ht="12" customHeight="1">
      <c r="A894" s="30" t="inlineStr">
        <is>
          <t>ITG</t>
        </is>
      </c>
      <c r="B894" s="30" t="inlineStr">
        <is>
          <t>Itaguai</t>
        </is>
      </c>
      <c r="C894" s="30" t="n">
        <v>77892001</v>
      </c>
      <c r="D894" s="30">
        <f>"07304874000181"</f>
        <v/>
      </c>
      <c r="E894" s="30" t="inlineStr">
        <is>
          <t>WWW ROSA BAZAR LTDA ME</t>
        </is>
      </c>
      <c r="F894" s="40" t="n">
        <v>0</v>
      </c>
      <c r="G894" s="40" t="n">
        <v>0</v>
      </c>
      <c r="H894" s="40" t="n">
        <v>0</v>
      </c>
      <c r="I894" s="40" t="n">
        <v>0</v>
      </c>
      <c r="J894" s="40" t="n">
        <v>0</v>
      </c>
      <c r="K894" s="40" t="n">
        <v>0</v>
      </c>
      <c r="L894" s="40" t="n">
        <v>0</v>
      </c>
    </row>
    <row r="895" ht="12" customHeight="1">
      <c r="A895" s="30" t="inlineStr">
        <is>
          <t>ITG</t>
        </is>
      </c>
      <c r="B895" s="30" t="inlineStr">
        <is>
          <t>Itaguai</t>
        </is>
      </c>
      <c r="C895" s="30" t="n">
        <v>77907912</v>
      </c>
      <c r="D895" s="30">
        <f>"31562358000131"</f>
        <v/>
      </c>
      <c r="E895" s="30" t="inlineStr">
        <is>
          <t>R R DA SILVA MERCEARIA ME</t>
        </is>
      </c>
      <c r="F895" s="40" t="n">
        <v>0</v>
      </c>
      <c r="G895" s="40" t="n">
        <v>0</v>
      </c>
      <c r="H895" s="40" t="n">
        <v>0</v>
      </c>
      <c r="I895" s="40" t="n">
        <v>0</v>
      </c>
      <c r="J895" s="40" t="n">
        <v>0</v>
      </c>
      <c r="K895" s="40" t="n">
        <v>0</v>
      </c>
      <c r="L895" s="40" t="n">
        <v>0</v>
      </c>
    </row>
    <row r="896" ht="12" customHeight="1">
      <c r="A896" s="30" t="inlineStr">
        <is>
          <t>ITG</t>
        </is>
      </c>
      <c r="B896" s="30" t="inlineStr">
        <is>
          <t>Itaguai</t>
        </is>
      </c>
      <c r="C896" s="30" t="n">
        <v>77909028</v>
      </c>
      <c r="D896" s="30">
        <f>"03558055001009"</f>
        <v/>
      </c>
      <c r="E896" s="30" t="inlineStr">
        <is>
          <t>INTERMODAL BRASIL LOGISTICA LTDA</t>
        </is>
      </c>
      <c r="F896" s="40" t="n">
        <v>83.98</v>
      </c>
      <c r="G896" s="40" t="n">
        <v>2609.44</v>
      </c>
      <c r="H896" s="40" t="n">
        <v>0</v>
      </c>
      <c r="I896" s="40" t="n">
        <v>259.71</v>
      </c>
      <c r="J896" s="40" t="n">
        <v>0</v>
      </c>
      <c r="K896" s="40" t="n">
        <v>0</v>
      </c>
      <c r="L896" s="40" t="n">
        <v>0</v>
      </c>
    </row>
    <row r="897" ht="12" customHeight="1">
      <c r="A897" s="30" t="inlineStr">
        <is>
          <t>ITG</t>
        </is>
      </c>
      <c r="B897" s="30" t="inlineStr">
        <is>
          <t>Itaguai</t>
        </is>
      </c>
      <c r="C897" s="30" t="n">
        <v>77910042</v>
      </c>
      <c r="D897" s="30">
        <f>"07244182000195"</f>
        <v/>
      </c>
      <c r="E897" s="30" t="inlineStr">
        <is>
          <t>CARGO ONIX RIO LOGISTICA DE TRANSPORTE DE CARGAS LTDA</t>
        </is>
      </c>
      <c r="F897" s="40" t="n">
        <v>0</v>
      </c>
      <c r="G897" s="40" t="n">
        <v>2903.75</v>
      </c>
      <c r="H897" s="40" t="n">
        <v>0</v>
      </c>
      <c r="I897" s="40" t="n">
        <v>0</v>
      </c>
      <c r="J897" s="40" t="n">
        <v>0</v>
      </c>
      <c r="K897" s="40" t="n">
        <v>267499.7</v>
      </c>
      <c r="L897" s="40" t="n">
        <v>171626.83</v>
      </c>
    </row>
    <row r="898" ht="12" customHeight="1">
      <c r="A898" s="30" t="inlineStr">
        <is>
          <t>ITG</t>
        </is>
      </c>
      <c r="B898" s="30" t="inlineStr">
        <is>
          <t>Itaguai</t>
        </is>
      </c>
      <c r="C898" s="30" t="n">
        <v>77916040</v>
      </c>
      <c r="D898" s="30">
        <f>"07406991000156"</f>
        <v/>
      </c>
      <c r="E898" s="30" t="inlineStr">
        <is>
          <t>DROGARIAS ATUAL DA COSTA VERDE LTDA</t>
        </is>
      </c>
      <c r="F898" s="40" t="n">
        <v>831176.7</v>
      </c>
      <c r="G898" s="40" t="n">
        <v>2360567.4</v>
      </c>
      <c r="H898" s="40" t="n">
        <v>0</v>
      </c>
      <c r="I898" s="40" t="n">
        <v>1367217.08</v>
      </c>
      <c r="J898" s="40" t="n">
        <v>37834.73</v>
      </c>
      <c r="K898" s="40" t="n">
        <v>1150167.29</v>
      </c>
      <c r="L898" s="40" t="n">
        <v>0</v>
      </c>
    </row>
    <row r="899" ht="12" customHeight="1">
      <c r="A899" s="30" t="inlineStr">
        <is>
          <t>ITG</t>
        </is>
      </c>
      <c r="B899" s="30" t="inlineStr">
        <is>
          <t>Itaguai</t>
        </is>
      </c>
      <c r="C899" s="30" t="n">
        <v>77922563</v>
      </c>
      <c r="D899" s="30">
        <f>"73749335000180"</f>
        <v/>
      </c>
      <c r="E899" s="30" t="inlineStr">
        <is>
          <t>YRUAMA RIO TRANSPORTES FRETAMENTO E TURISMO LTDA ME</t>
        </is>
      </c>
      <c r="F899" s="40" t="n">
        <v>0</v>
      </c>
      <c r="G899" s="40" t="n">
        <v>0</v>
      </c>
      <c r="H899" s="40" t="n">
        <v>0</v>
      </c>
      <c r="I899" s="40" t="n">
        <v>0</v>
      </c>
      <c r="J899" s="40" t="n">
        <v>0</v>
      </c>
      <c r="K899" s="40" t="n">
        <v>41250</v>
      </c>
      <c r="L899" s="40" t="n">
        <v>132.5</v>
      </c>
    </row>
    <row r="900" ht="12" customHeight="1">
      <c r="A900" s="30" t="inlineStr">
        <is>
          <t>ITG</t>
        </is>
      </c>
      <c r="B900" s="30" t="inlineStr">
        <is>
          <t>Itaguai</t>
        </is>
      </c>
      <c r="C900" s="30" t="n">
        <v>77926658</v>
      </c>
      <c r="D900" s="30">
        <f>"07431383000100"</f>
        <v/>
      </c>
      <c r="E900" s="30" t="inlineStr">
        <is>
          <t>SILVA RANGEL COMERCIO E SERVI?OS LTDA</t>
        </is>
      </c>
      <c r="F900" s="40" t="n">
        <v>0</v>
      </c>
      <c r="G900" s="40" t="n">
        <v>0</v>
      </c>
      <c r="H900" s="40" t="n">
        <v>0</v>
      </c>
      <c r="I900" s="40" t="n">
        <v>0</v>
      </c>
      <c r="J900" s="40" t="n">
        <v>0</v>
      </c>
      <c r="K900" s="40" t="n">
        <v>0</v>
      </c>
      <c r="L900" s="40" t="n">
        <v>0</v>
      </c>
    </row>
    <row r="901" ht="12" customHeight="1">
      <c r="A901" s="30" t="inlineStr">
        <is>
          <t>ITG</t>
        </is>
      </c>
      <c r="B901" s="30" t="inlineStr">
        <is>
          <t>Itaguai</t>
        </is>
      </c>
      <c r="C901" s="30" t="n">
        <v>77939156</v>
      </c>
      <c r="D901" s="30">
        <f>"07478921000103"</f>
        <v/>
      </c>
      <c r="E901" s="30" t="inlineStr">
        <is>
          <t>ACEROS TRANSPORTES LTDA</t>
        </is>
      </c>
      <c r="F901" s="40" t="n">
        <v>0</v>
      </c>
      <c r="G901" s="40" t="n">
        <v>6466.5</v>
      </c>
      <c r="H901" s="40" t="n">
        <v>0</v>
      </c>
      <c r="I901" s="40" t="n">
        <v>0</v>
      </c>
      <c r="J901" s="40" t="n">
        <v>0</v>
      </c>
      <c r="K901" s="40" t="n">
        <v>0</v>
      </c>
      <c r="L901" s="40" t="n">
        <v>0</v>
      </c>
    </row>
    <row r="902" ht="12" customHeight="1">
      <c r="A902" s="30" t="inlineStr">
        <is>
          <t>ITG</t>
        </is>
      </c>
      <c r="B902" s="30" t="inlineStr">
        <is>
          <t>Itaguai</t>
        </is>
      </c>
      <c r="C902" s="30" t="n">
        <v>77953299</v>
      </c>
      <c r="D902" s="30">
        <f>"29138302001346"</f>
        <v/>
      </c>
      <c r="E902" s="30" t="inlineStr">
        <is>
          <t>PREFEITURA MUNICIPAL DE ITAGUAI</t>
        </is>
      </c>
      <c r="F902" s="40" t="n">
        <v>0</v>
      </c>
      <c r="G902" s="40" t="n">
        <v>0</v>
      </c>
      <c r="H902" s="40" t="n">
        <v>0</v>
      </c>
      <c r="I902" s="40" t="n">
        <v>0</v>
      </c>
      <c r="J902" s="40" t="n">
        <v>0</v>
      </c>
      <c r="K902" s="40" t="n">
        <v>0</v>
      </c>
      <c r="L902" s="40" t="n">
        <v>0</v>
      </c>
    </row>
    <row r="903" ht="12" customHeight="1">
      <c r="A903" s="30" t="inlineStr">
        <is>
          <t>ITG</t>
        </is>
      </c>
      <c r="B903" s="30" t="inlineStr">
        <is>
          <t>Itaguai</t>
        </is>
      </c>
      <c r="C903" s="30" t="n">
        <v>77954198</v>
      </c>
      <c r="D903" s="30">
        <f>"05169278000291"</f>
        <v/>
      </c>
      <c r="E903" s="30" t="inlineStr">
        <is>
          <t>MAGUI LUAN UTILIDADES LTDA</t>
        </is>
      </c>
      <c r="F903" s="40" t="n">
        <v>0</v>
      </c>
      <c r="G903" s="40" t="n">
        <v>0</v>
      </c>
      <c r="H903" s="40" t="n">
        <v>0</v>
      </c>
      <c r="I903" s="40" t="n">
        <v>0</v>
      </c>
      <c r="J903" s="40" t="n">
        <v>0</v>
      </c>
      <c r="K903" s="40" t="n">
        <v>0</v>
      </c>
      <c r="L903" s="40" t="n">
        <v>0</v>
      </c>
    </row>
    <row r="904" ht="12" customHeight="1">
      <c r="A904" s="30" t="inlineStr">
        <is>
          <t>ITG</t>
        </is>
      </c>
      <c r="B904" s="30" t="inlineStr">
        <is>
          <t>Itaguai</t>
        </is>
      </c>
      <c r="C904" s="30" t="n">
        <v>77957731</v>
      </c>
      <c r="D904" s="30">
        <f>"38856126000305"</f>
        <v/>
      </c>
      <c r="E904" s="30" t="inlineStr">
        <is>
          <t>TRANSPALLET TRANSPORTES E LOGISTICA LTDA</t>
        </is>
      </c>
      <c r="F904" s="40" t="n">
        <v>0</v>
      </c>
      <c r="G904" s="40" t="n">
        <v>0</v>
      </c>
      <c r="H904" s="40" t="n">
        <v>0</v>
      </c>
      <c r="I904" s="40" t="n">
        <v>0</v>
      </c>
      <c r="J904" s="40" t="n">
        <v>0</v>
      </c>
      <c r="K904" s="40" t="n">
        <v>4801</v>
      </c>
      <c r="L904" s="40" t="n">
        <v>0</v>
      </c>
    </row>
    <row r="905" ht="12" customHeight="1">
      <c r="A905" s="30" t="inlineStr">
        <is>
          <t>ITG</t>
        </is>
      </c>
      <c r="B905" s="30" t="inlineStr">
        <is>
          <t>Itaguai</t>
        </is>
      </c>
      <c r="C905" s="30" t="n">
        <v>77962140</v>
      </c>
      <c r="D905" s="30">
        <f>"07536703000188"</f>
        <v/>
      </c>
      <c r="E905" s="30" t="inlineStr">
        <is>
          <t>PORTOFER DE ITAGUAI COMERCIO DE FERRO E ACO LTDA</t>
        </is>
      </c>
      <c r="F905" s="40" t="n">
        <v>559247.4</v>
      </c>
      <c r="G905" s="40" t="n">
        <v>667111.53</v>
      </c>
      <c r="H905" s="40" t="n">
        <v>677384.45</v>
      </c>
      <c r="I905" s="40" t="n">
        <v>557512.95</v>
      </c>
      <c r="J905" s="40" t="n">
        <v>994919.6</v>
      </c>
      <c r="K905" s="40" t="n">
        <v>944918.77</v>
      </c>
      <c r="L905" s="40" t="n">
        <v>760857.97</v>
      </c>
    </row>
    <row r="906" ht="12" customHeight="1">
      <c r="A906" s="30" t="inlineStr">
        <is>
          <t>ITG</t>
        </is>
      </c>
      <c r="B906" s="30" t="inlineStr">
        <is>
          <t>Itaguai</t>
        </is>
      </c>
      <c r="C906" s="30" t="n">
        <v>77968938</v>
      </c>
      <c r="D906" s="30">
        <f>"22447684000883"</f>
        <v/>
      </c>
      <c r="E906" s="30" t="inlineStr">
        <is>
          <t>DGRA NEL TRANSPORTES E COMERCIO LTDA</t>
        </is>
      </c>
      <c r="F906" s="40" t="n">
        <v>2261702.69</v>
      </c>
      <c r="G906" s="40" t="n">
        <v>0</v>
      </c>
      <c r="H906" s="40" t="n">
        <v>2576096.33</v>
      </c>
      <c r="I906" s="40" t="n">
        <v>192454.01</v>
      </c>
      <c r="J906" s="40" t="n">
        <v>0</v>
      </c>
      <c r="K906" s="40" t="n">
        <v>0</v>
      </c>
      <c r="L906" s="40" t="n">
        <v>0</v>
      </c>
    </row>
    <row r="907" ht="12" customHeight="1">
      <c r="A907" s="30" t="inlineStr">
        <is>
          <t>ITG</t>
        </is>
      </c>
      <c r="B907" s="30" t="inlineStr">
        <is>
          <t>Itaguai</t>
        </is>
      </c>
      <c r="C907" s="30" t="n">
        <v>77983139</v>
      </c>
      <c r="D907" s="30">
        <f>"02543119000136"</f>
        <v/>
      </c>
      <c r="E907" s="30" t="inlineStr">
        <is>
          <t>ECO RJ GESTAO AMBIENTAL LTDA ¿ ME</t>
        </is>
      </c>
      <c r="F907" s="40" t="n">
        <v>0</v>
      </c>
      <c r="G907" s="40" t="n">
        <v>0</v>
      </c>
      <c r="H907" s="40" t="n">
        <v>0</v>
      </c>
      <c r="I907" s="40" t="n">
        <v>0</v>
      </c>
      <c r="J907" s="40" t="n">
        <v>0</v>
      </c>
      <c r="K907" s="40" t="n">
        <v>0</v>
      </c>
      <c r="L907" s="40" t="n">
        <v>0</v>
      </c>
    </row>
    <row r="908" ht="12" customHeight="1">
      <c r="A908" s="30" t="inlineStr">
        <is>
          <t>ITG</t>
        </is>
      </c>
      <c r="B908" s="30" t="inlineStr">
        <is>
          <t>Itaguai</t>
        </is>
      </c>
      <c r="C908" s="30" t="n">
        <v>77985450</v>
      </c>
      <c r="D908" s="30">
        <f>"05214323000100"</f>
        <v/>
      </c>
      <c r="E908" s="30" t="inlineStr">
        <is>
          <t>RESTAURANTE LECASA DE ITAGUAI LTDA</t>
        </is>
      </c>
      <c r="F908" s="40" t="n">
        <v>0</v>
      </c>
      <c r="G908" s="40" t="n">
        <v>0</v>
      </c>
      <c r="H908" s="40" t="n">
        <v>0</v>
      </c>
      <c r="I908" s="40" t="n">
        <v>0</v>
      </c>
      <c r="J908" s="40" t="n">
        <v>0</v>
      </c>
      <c r="K908" s="40" t="n">
        <v>0</v>
      </c>
      <c r="L908" s="40" t="n">
        <v>0</v>
      </c>
    </row>
    <row r="909" ht="12" customHeight="1">
      <c r="A909" s="30" t="inlineStr">
        <is>
          <t>ITG</t>
        </is>
      </c>
      <c r="B909" s="30" t="inlineStr">
        <is>
          <t>Itaguai</t>
        </is>
      </c>
      <c r="C909" s="30" t="n">
        <v>77997946</v>
      </c>
      <c r="D909" s="30">
        <f>"03570345000179"</f>
        <v/>
      </c>
      <c r="E909" s="30" t="inlineStr">
        <is>
          <t>TSE TRANSPORTES,LOCAÇÕES E EQUIPAMENTOS EIRELI</t>
        </is>
      </c>
      <c r="F909" s="40" t="n">
        <v>0</v>
      </c>
      <c r="G909" s="40" t="n">
        <v>0</v>
      </c>
      <c r="H909" s="40" t="n">
        <v>0</v>
      </c>
      <c r="I909" s="40" t="n">
        <v>0</v>
      </c>
      <c r="J909" s="40" t="n">
        <v>0</v>
      </c>
      <c r="K909" s="40" t="n">
        <v>409</v>
      </c>
      <c r="L909" s="40" t="n">
        <v>0</v>
      </c>
    </row>
    <row r="910" ht="12" customHeight="1">
      <c r="A910" s="30" t="inlineStr">
        <is>
          <t>ITG</t>
        </is>
      </c>
      <c r="B910" s="30" t="inlineStr">
        <is>
          <t>Itaguai</t>
        </is>
      </c>
      <c r="C910" s="30" t="n">
        <v>78002840</v>
      </c>
      <c r="D910" s="30">
        <f>"40432544006269"</f>
        <v/>
      </c>
      <c r="E910" s="30" t="inlineStr">
        <is>
          <t>CLARO S/A</t>
        </is>
      </c>
      <c r="F910" s="40" t="n">
        <v>52611225.71</v>
      </c>
      <c r="G910" s="40" t="n">
        <v>47329561.98</v>
      </c>
      <c r="H910" s="40" t="n">
        <v>44662157.32</v>
      </c>
      <c r="I910" s="40" t="n">
        <v>45132083.16</v>
      </c>
      <c r="J910" s="40" t="n">
        <v>37494925.61</v>
      </c>
      <c r="K910" s="40" t="n">
        <v>23140022.94</v>
      </c>
      <c r="L910" s="40" t="n">
        <v>23481209.74</v>
      </c>
    </row>
    <row r="911" ht="12" customHeight="1">
      <c r="A911" s="30" t="inlineStr">
        <is>
          <t>ITG</t>
        </is>
      </c>
      <c r="B911" s="30" t="inlineStr">
        <is>
          <t>Itaguai</t>
        </is>
      </c>
      <c r="C911" s="30" t="n">
        <v>78004320</v>
      </c>
      <c r="D911" s="30">
        <f>"02906213000102"</f>
        <v/>
      </c>
      <c r="E911" s="30" t="inlineStr">
        <is>
          <t>ARKITEC BRASIL SERVICOS DE MANUTENCAO PREDIAL - EIRELI</t>
        </is>
      </c>
      <c r="F911" s="40" t="n">
        <v>0</v>
      </c>
      <c r="G911" s="40" t="n">
        <v>0</v>
      </c>
      <c r="H911" s="40" t="n">
        <v>0</v>
      </c>
      <c r="I911" s="40" t="n">
        <v>0</v>
      </c>
      <c r="J911" s="40" t="n">
        <v>0</v>
      </c>
      <c r="K911" s="40" t="n">
        <v>0</v>
      </c>
      <c r="L911" s="40" t="n">
        <v>0</v>
      </c>
    </row>
    <row r="912" ht="12" customHeight="1">
      <c r="A912" s="30" t="inlineStr">
        <is>
          <t>ITG</t>
        </is>
      </c>
      <c r="B912" s="30" t="inlineStr">
        <is>
          <t>Itaguai</t>
        </is>
      </c>
      <c r="C912" s="30" t="n">
        <v>78013133</v>
      </c>
      <c r="D912" s="30">
        <f>"07685434000111"</f>
        <v/>
      </c>
      <c r="E912" s="30" t="inlineStr">
        <is>
          <t>E M VIEIRA BAZAR ME</t>
        </is>
      </c>
      <c r="F912" s="40" t="n">
        <v>642230.28</v>
      </c>
      <c r="G912" s="40" t="n">
        <v>151404.48</v>
      </c>
      <c r="H912" s="40" t="n">
        <v>309499.9</v>
      </c>
      <c r="I912" s="40" t="n">
        <v>413420.19</v>
      </c>
      <c r="J912" s="40" t="n">
        <v>761863.85</v>
      </c>
      <c r="K912" s="40" t="n">
        <v>692013.02</v>
      </c>
      <c r="L912" s="40" t="n">
        <v>0</v>
      </c>
    </row>
    <row r="913" ht="12" customHeight="1">
      <c r="A913" s="30" t="inlineStr">
        <is>
          <t>ITG</t>
        </is>
      </c>
      <c r="B913" s="30" t="inlineStr">
        <is>
          <t>Itaguai</t>
        </is>
      </c>
      <c r="C913" s="30" t="n">
        <v>78016019</v>
      </c>
      <c r="D913" s="30">
        <f>"07629779000158"</f>
        <v/>
      </c>
      <c r="E913" s="30" t="inlineStr">
        <is>
          <t>E G LOURENCO DISTRIBUIDORA DE GAS GLP LTDA ME</t>
        </is>
      </c>
      <c r="F913" s="40" t="n">
        <v>115928.57</v>
      </c>
      <c r="G913" s="40" t="n">
        <v>0.06</v>
      </c>
      <c r="H913" s="40" t="n">
        <v>0</v>
      </c>
      <c r="I913" s="40" t="n">
        <v>0</v>
      </c>
      <c r="J913" s="40" t="n">
        <v>9052.5</v>
      </c>
      <c r="K913" s="40" t="n">
        <v>0</v>
      </c>
      <c r="L913" s="40" t="n">
        <v>0</v>
      </c>
    </row>
    <row r="914" ht="12" customHeight="1">
      <c r="A914" s="30" t="inlineStr">
        <is>
          <t>ITG</t>
        </is>
      </c>
      <c r="B914" s="30" t="inlineStr">
        <is>
          <t>Itaguai</t>
        </is>
      </c>
      <c r="C914" s="30" t="n">
        <v>78023430</v>
      </c>
      <c r="D914" s="30">
        <f>"07711370000186"</f>
        <v/>
      </c>
      <c r="E914" s="30" t="inlineStr">
        <is>
          <t>ELETRIZANTE ECCARD ELETRICA E HIDRAULICA LTDA ME</t>
        </is>
      </c>
      <c r="F914" s="40" t="n">
        <v>0</v>
      </c>
      <c r="G914" s="40" t="n">
        <v>0</v>
      </c>
      <c r="H914" s="40" t="n">
        <v>0</v>
      </c>
      <c r="I914" s="40" t="n">
        <v>0</v>
      </c>
      <c r="J914" s="40" t="n">
        <v>0</v>
      </c>
      <c r="K914" s="40" t="n">
        <v>600246.73</v>
      </c>
      <c r="L914" s="40" t="n">
        <v>839826.84</v>
      </c>
    </row>
    <row r="915" ht="12" customHeight="1">
      <c r="A915" s="30" t="inlineStr">
        <is>
          <t>ITG</t>
        </is>
      </c>
      <c r="B915" s="30" t="inlineStr">
        <is>
          <t>Itaguai</t>
        </is>
      </c>
      <c r="C915" s="30" t="n">
        <v>78030844</v>
      </c>
      <c r="D915" s="30">
        <f>"07714104000107"</f>
        <v/>
      </c>
      <c r="E915" s="30" t="inlineStr">
        <is>
          <t>VM OPENLINK COMUNICAÇÃO MULTIMIDIA S.A.</t>
        </is>
      </c>
      <c r="F915" s="40" t="n">
        <v>0</v>
      </c>
      <c r="G915" s="40" t="n">
        <v>0</v>
      </c>
      <c r="H915" s="40" t="n">
        <v>0</v>
      </c>
      <c r="I915" s="40" t="n">
        <v>18.99</v>
      </c>
      <c r="J915" s="40" t="n">
        <v>0</v>
      </c>
      <c r="K915" s="40" t="n">
        <v>114.3</v>
      </c>
      <c r="L915" s="40" t="n">
        <v>0</v>
      </c>
    </row>
    <row r="916" ht="12" customHeight="1">
      <c r="A916" s="30" t="inlineStr">
        <is>
          <t>ITG</t>
        </is>
      </c>
      <c r="B916" s="30" t="inlineStr">
        <is>
          <t>Itaguai</t>
        </is>
      </c>
      <c r="C916" s="30" t="n">
        <v>78034602</v>
      </c>
      <c r="D916" s="30">
        <f>"05316196000222"</f>
        <v/>
      </c>
      <c r="E916" s="30" t="inlineStr">
        <is>
          <t>DTRABAIOLLI LOGISTICA E SERVICOS LTDA</t>
        </is>
      </c>
      <c r="F916" s="40" t="n">
        <v>0</v>
      </c>
      <c r="G916" s="40" t="n">
        <v>0</v>
      </c>
      <c r="H916" s="40" t="n">
        <v>0</v>
      </c>
      <c r="I916" s="40" t="n">
        <v>0</v>
      </c>
      <c r="J916" s="40" t="n">
        <v>116.81</v>
      </c>
      <c r="K916" s="40" t="n">
        <v>8135.91</v>
      </c>
      <c r="L916" s="40" t="n">
        <v>560</v>
      </c>
    </row>
    <row r="917" ht="12" customHeight="1">
      <c r="A917" s="30" t="inlineStr">
        <is>
          <t>ITG</t>
        </is>
      </c>
      <c r="B917" s="30" t="inlineStr">
        <is>
          <t>Itaguai</t>
        </is>
      </c>
      <c r="C917" s="30" t="n">
        <v>78034947</v>
      </c>
      <c r="D917" s="30">
        <f>"07752950000111"</f>
        <v/>
      </c>
      <c r="E917" s="30" t="inlineStr">
        <is>
          <t>DELPETRO LOGISTICA E TRANSPORTES LTDA</t>
        </is>
      </c>
      <c r="F917" s="40" t="n">
        <v>0</v>
      </c>
      <c r="G917" s="40" t="n">
        <v>0</v>
      </c>
      <c r="H917" s="40" t="n">
        <v>937.5</v>
      </c>
      <c r="I917" s="40" t="n">
        <v>0</v>
      </c>
      <c r="J917" s="40" t="n">
        <v>0</v>
      </c>
      <c r="K917" s="40" t="n">
        <v>0</v>
      </c>
      <c r="L917" s="40" t="n">
        <v>0</v>
      </c>
    </row>
    <row r="918" ht="12" customHeight="1">
      <c r="A918" s="30" t="inlineStr">
        <is>
          <t>ITG</t>
        </is>
      </c>
      <c r="B918" s="30" t="inlineStr">
        <is>
          <t>Itaguai</t>
        </is>
      </c>
      <c r="C918" s="30" t="n">
        <v>78039817</v>
      </c>
      <c r="D918" s="30">
        <f>"07506628000102"</f>
        <v/>
      </c>
      <c r="E918" s="30" t="inlineStr">
        <is>
          <t>ANGETEC SOLUCOES TECNICAS INDUSTRIAL EIRELI ME</t>
        </is>
      </c>
      <c r="F918" s="40" t="n">
        <v>1291742.88</v>
      </c>
      <c r="G918" s="40" t="n">
        <v>399607.51</v>
      </c>
      <c r="H918" s="40" t="n">
        <v>65945.32000000001</v>
      </c>
      <c r="I918" s="40" t="n">
        <v>623558.7</v>
      </c>
      <c r="J918" s="40" t="n">
        <v>0</v>
      </c>
      <c r="K918" s="40" t="n">
        <v>0</v>
      </c>
      <c r="L918" s="40" t="n">
        <v>89011.17999999999</v>
      </c>
    </row>
    <row r="919" ht="12" customHeight="1">
      <c r="A919" s="30" t="inlineStr">
        <is>
          <t>ITG</t>
        </is>
      </c>
      <c r="B919" s="30" t="inlineStr">
        <is>
          <t>Itaguai</t>
        </is>
      </c>
      <c r="C919" s="30" t="n">
        <v>78048654</v>
      </c>
      <c r="D919" s="30">
        <f>"07792269000105"</f>
        <v/>
      </c>
      <c r="E919" s="30" t="inlineStr">
        <is>
          <t>CONSTRUTORA LYTORANEA S A</t>
        </is>
      </c>
      <c r="F919" s="40" t="n">
        <v>0</v>
      </c>
      <c r="G919" s="40" t="n">
        <v>0</v>
      </c>
      <c r="H919" s="40" t="n">
        <v>0</v>
      </c>
      <c r="I919" s="40" t="n">
        <v>0</v>
      </c>
      <c r="J919" s="40" t="n">
        <v>0</v>
      </c>
      <c r="K919" s="40" t="n">
        <v>0</v>
      </c>
      <c r="L919" s="40" t="n">
        <v>0</v>
      </c>
    </row>
    <row r="920" ht="12" customHeight="1">
      <c r="A920" s="30" t="inlineStr">
        <is>
          <t>ITG</t>
        </is>
      </c>
      <c r="B920" s="30" t="inlineStr">
        <is>
          <t>Itaguai</t>
        </is>
      </c>
      <c r="C920" s="30" t="n">
        <v>78052260</v>
      </c>
      <c r="D920" s="30">
        <f>"07805442000154"</f>
        <v/>
      </c>
      <c r="E920" s="30" t="inlineStr">
        <is>
          <t>DENMAR LOGISTICA E TRANSPORTES LTDA</t>
        </is>
      </c>
      <c r="F920" s="40" t="n">
        <v>0</v>
      </c>
      <c r="G920" s="40" t="n">
        <v>0</v>
      </c>
      <c r="H920" s="40" t="n">
        <v>320078.75</v>
      </c>
      <c r="I920" s="40" t="n">
        <v>39397.5</v>
      </c>
      <c r="J920" s="40" t="n">
        <v>96630.75</v>
      </c>
      <c r="K920" s="40" t="n">
        <v>235870.17</v>
      </c>
      <c r="L920" s="40" t="n">
        <v>52010.13</v>
      </c>
    </row>
    <row r="921" ht="12" customHeight="1">
      <c r="A921" s="30" t="inlineStr">
        <is>
          <t>ITG</t>
        </is>
      </c>
      <c r="B921" s="30" t="inlineStr">
        <is>
          <t>Itaguai</t>
        </is>
      </c>
      <c r="C921" s="30" t="n">
        <v>78077921</v>
      </c>
      <c r="D921" s="30">
        <f>"24314792000137"</f>
        <v/>
      </c>
      <c r="E921" s="30" t="inlineStr">
        <is>
          <t>AUTO POSTO DO TRABALHO ITAGUAI II LTDA</t>
        </is>
      </c>
      <c r="F921" s="40" t="n">
        <v>0</v>
      </c>
      <c r="G921" s="40" t="n">
        <v>0</v>
      </c>
      <c r="H921" s="40" t="n">
        <v>52972.53</v>
      </c>
      <c r="I921" s="40" t="n">
        <v>3355866.84</v>
      </c>
      <c r="J921" s="40" t="n">
        <v>6334460.65</v>
      </c>
      <c r="K921" s="40" t="n">
        <v>5953369.64</v>
      </c>
      <c r="L921" s="40" t="n">
        <v>12132.38</v>
      </c>
    </row>
    <row r="922" ht="12" customHeight="1">
      <c r="A922" s="30" t="inlineStr">
        <is>
          <t>ITG</t>
        </is>
      </c>
      <c r="B922" s="30" t="inlineStr">
        <is>
          <t>Itaguai</t>
        </is>
      </c>
      <c r="C922" s="30" t="n">
        <v>78078740</v>
      </c>
      <c r="D922" s="30">
        <f>"07897147000175"</f>
        <v/>
      </c>
      <c r="E922" s="30" t="inlineStr">
        <is>
          <t>OLIVEIR COMERCIO DE VEICULOS - EIRELI</t>
        </is>
      </c>
      <c r="F922" s="40" t="n">
        <v>10371.47</v>
      </c>
      <c r="G922" s="40" t="n">
        <v>109875.22</v>
      </c>
      <c r="H922" s="40" t="n">
        <v>0</v>
      </c>
      <c r="I922" s="40" t="n">
        <v>290657.51</v>
      </c>
      <c r="J922" s="40" t="n">
        <v>283300</v>
      </c>
      <c r="K922" s="40" t="n">
        <v>0</v>
      </c>
      <c r="L922" s="40" t="n">
        <v>0</v>
      </c>
    </row>
    <row r="923" ht="12" customHeight="1">
      <c r="A923" s="30" t="inlineStr">
        <is>
          <t>ITG</t>
        </is>
      </c>
      <c r="B923" s="30" t="inlineStr">
        <is>
          <t>Itaguai</t>
        </is>
      </c>
      <c r="C923" s="30" t="n">
        <v>78089105</v>
      </c>
      <c r="D923" s="30">
        <f>"06067117000250"</f>
        <v/>
      </c>
      <c r="E923" s="30" t="inlineStr">
        <is>
          <t>MARCIO ANTONIO DOS SANTOS MACHADO TRANSPORTE</t>
        </is>
      </c>
      <c r="F923" s="40" t="n">
        <v>0</v>
      </c>
      <c r="G923" s="40" t="n">
        <v>0</v>
      </c>
      <c r="H923" s="40" t="n">
        <v>0</v>
      </c>
      <c r="I923" s="40" t="n">
        <v>2800</v>
      </c>
      <c r="J923" s="40" t="n">
        <v>0</v>
      </c>
      <c r="K923" s="40" t="n">
        <v>0</v>
      </c>
      <c r="L923" s="40" t="n">
        <v>0</v>
      </c>
    </row>
    <row r="924" ht="12" customHeight="1">
      <c r="A924" s="30" t="inlineStr">
        <is>
          <t>ITG</t>
        </is>
      </c>
      <c r="B924" s="30" t="inlineStr">
        <is>
          <t>Itaguai</t>
        </is>
      </c>
      <c r="C924" s="30" t="n">
        <v>78106352</v>
      </c>
      <c r="D924" s="30">
        <f>"03669753000263"</f>
        <v/>
      </c>
      <c r="E924" s="30" t="inlineStr">
        <is>
          <t>ESTALEIRO BRASFELS LTDA</t>
        </is>
      </c>
      <c r="F924" s="40" t="n">
        <v>0</v>
      </c>
      <c r="G924" s="40" t="n">
        <v>0</v>
      </c>
      <c r="H924" s="40" t="n">
        <v>0</v>
      </c>
      <c r="I924" s="40" t="n">
        <v>0</v>
      </c>
      <c r="J924" s="40" t="n">
        <v>0</v>
      </c>
      <c r="K924" s="40" t="n">
        <v>0</v>
      </c>
      <c r="L924" s="40" t="n">
        <v>0</v>
      </c>
    </row>
    <row r="925" ht="12" customHeight="1">
      <c r="A925" s="30" t="inlineStr">
        <is>
          <t>ITG</t>
        </is>
      </c>
      <c r="B925" s="30" t="inlineStr">
        <is>
          <t>Itaguai</t>
        </is>
      </c>
      <c r="C925" s="30" t="n">
        <v>78107944</v>
      </c>
      <c r="D925" s="30">
        <f>"04425426000229"</f>
        <v/>
      </c>
      <c r="E925" s="30" t="inlineStr">
        <is>
          <t>RADIO E TELEVISAO MODELO PAULISTA</t>
        </is>
      </c>
      <c r="F925" s="40" t="n">
        <v>51275.25</v>
      </c>
      <c r="G925" s="40" t="n">
        <v>50224.91</v>
      </c>
      <c r="H925" s="40" t="n">
        <v>46904.98</v>
      </c>
      <c r="I925" s="40" t="n">
        <v>41377.21</v>
      </c>
      <c r="J925" s="40" t="n">
        <v>36577.4</v>
      </c>
      <c r="K925" s="40" t="n">
        <v>34644.64</v>
      </c>
      <c r="L925" s="40" t="n">
        <v>31189.93</v>
      </c>
    </row>
    <row r="926" ht="12" customHeight="1">
      <c r="A926" s="30" t="inlineStr">
        <is>
          <t>ITG</t>
        </is>
      </c>
      <c r="B926" s="30" t="inlineStr">
        <is>
          <t>Itaguai</t>
        </is>
      </c>
      <c r="C926" s="30" t="n">
        <v>78115254</v>
      </c>
      <c r="D926" s="30">
        <f>"08057492000163"</f>
        <v/>
      </c>
      <c r="E926" s="30" t="inlineStr">
        <is>
          <t>J F DE AZEVEDO ?TICA - EIRELI</t>
        </is>
      </c>
      <c r="F926" s="40" t="n">
        <v>0</v>
      </c>
      <c r="G926" s="40" t="n">
        <v>0</v>
      </c>
      <c r="H926" s="40" t="n">
        <v>0</v>
      </c>
      <c r="I926" s="40" t="n">
        <v>0</v>
      </c>
      <c r="J926" s="40" t="n">
        <v>0</v>
      </c>
      <c r="K926" s="40" t="n">
        <v>0</v>
      </c>
      <c r="L926" s="40" t="n">
        <v>0</v>
      </c>
    </row>
    <row r="927" ht="12" customHeight="1">
      <c r="A927" s="30" t="inlineStr">
        <is>
          <t>ITG</t>
        </is>
      </c>
      <c r="B927" s="30" t="inlineStr">
        <is>
          <t>Itaguai</t>
        </is>
      </c>
      <c r="C927" s="30" t="n">
        <v>78116013</v>
      </c>
      <c r="D927" s="30">
        <f>"08053208000180"</f>
        <v/>
      </c>
      <c r="E927" s="30" t="inlineStr">
        <is>
          <t>PLANETA GRILL ITAGUAI RESTAURANTE LTDA</t>
        </is>
      </c>
      <c r="F927" s="40" t="n">
        <v>0</v>
      </c>
      <c r="G927" s="40" t="n">
        <v>0</v>
      </c>
      <c r="H927" s="40" t="n">
        <v>0</v>
      </c>
      <c r="I927" s="40" t="n">
        <v>0</v>
      </c>
      <c r="J927" s="40" t="n">
        <v>0</v>
      </c>
      <c r="K927" s="40" t="n">
        <v>0</v>
      </c>
      <c r="L927" s="40" t="n">
        <v>0</v>
      </c>
    </row>
    <row r="928" ht="12" customHeight="1">
      <c r="A928" s="30" t="inlineStr">
        <is>
          <t>ITG</t>
        </is>
      </c>
      <c r="B928" s="30" t="inlineStr">
        <is>
          <t>Itaguai</t>
        </is>
      </c>
      <c r="C928" s="30" t="n">
        <v>78138220</v>
      </c>
      <c r="D928" s="30">
        <f>"88668298003179"</f>
        <v/>
      </c>
      <c r="E928" s="30" t="inlineStr">
        <is>
          <t>IRAPURU TRANSPORTES LTDA</t>
        </is>
      </c>
      <c r="F928" s="40" t="n">
        <v>24211.22</v>
      </c>
      <c r="G928" s="40" t="n">
        <v>910953.58</v>
      </c>
      <c r="H928" s="40" t="n">
        <v>417257.36</v>
      </c>
      <c r="I928" s="40" t="n">
        <v>0</v>
      </c>
      <c r="J928" s="40" t="n">
        <v>0</v>
      </c>
      <c r="K928" s="40" t="n">
        <v>0</v>
      </c>
      <c r="L928" s="40" t="n">
        <v>0</v>
      </c>
    </row>
    <row r="929" ht="12" customHeight="1">
      <c r="A929" s="30" t="inlineStr">
        <is>
          <t>ITG</t>
        </is>
      </c>
      <c r="B929" s="30" t="inlineStr">
        <is>
          <t>Itaguai</t>
        </is>
      </c>
      <c r="C929" s="30" t="n">
        <v>78139587</v>
      </c>
      <c r="D929" s="30">
        <f>"26178616000302"</f>
        <v/>
      </c>
      <c r="E929" s="30" t="inlineStr">
        <is>
          <t>EMPREENDIMENTOS RODEIRO S/A</t>
        </is>
      </c>
      <c r="F929" s="40" t="n">
        <v>0</v>
      </c>
      <c r="G929" s="40" t="n">
        <v>0</v>
      </c>
      <c r="H929" s="40" t="n">
        <v>129382.39</v>
      </c>
      <c r="I929" s="40" t="n">
        <v>0</v>
      </c>
      <c r="J929" s="40" t="n">
        <v>46452.96</v>
      </c>
      <c r="K929" s="40" t="n">
        <v>0</v>
      </c>
      <c r="L929" s="40" t="n">
        <v>182649.36</v>
      </c>
    </row>
    <row r="930" ht="12" customHeight="1">
      <c r="A930" s="30" t="inlineStr">
        <is>
          <t>ITG</t>
        </is>
      </c>
      <c r="B930" s="30" t="inlineStr">
        <is>
          <t>Itaguai</t>
        </is>
      </c>
      <c r="C930" s="30" t="n">
        <v>78143983</v>
      </c>
      <c r="D930" s="30">
        <f>"06051223000245"</f>
        <v/>
      </c>
      <c r="E930" s="30" t="inlineStr">
        <is>
          <t>THIAGO A LAMBERTI &amp; CIA LTDA</t>
        </is>
      </c>
      <c r="F930" s="40" t="n">
        <v>0</v>
      </c>
      <c r="G930" s="40" t="n">
        <v>0</v>
      </c>
      <c r="H930" s="40" t="n">
        <v>0</v>
      </c>
      <c r="I930" s="40" t="n">
        <v>536.36</v>
      </c>
      <c r="J930" s="40" t="n">
        <v>0</v>
      </c>
      <c r="K930" s="40" t="n">
        <v>0</v>
      </c>
      <c r="L930" s="40" t="n">
        <v>0</v>
      </c>
    </row>
    <row r="931" ht="12" customHeight="1">
      <c r="A931" s="30" t="inlineStr">
        <is>
          <t>ITG</t>
        </is>
      </c>
      <c r="B931" s="30" t="inlineStr">
        <is>
          <t>Itaguai</t>
        </is>
      </c>
      <c r="C931" s="30" t="n">
        <v>78145153</v>
      </c>
      <c r="D931" s="30">
        <f>"08004247000198"</f>
        <v/>
      </c>
      <c r="E931" s="30" t="inlineStr">
        <is>
          <t>PENA &amp; MENEGHITTI 2006 TRANSPORTES LTDA EPP</t>
        </is>
      </c>
      <c r="F931" s="40" t="n">
        <v>0</v>
      </c>
      <c r="G931" s="40" t="n">
        <v>0</v>
      </c>
      <c r="H931" s="40" t="n">
        <v>0</v>
      </c>
      <c r="I931" s="40" t="n">
        <v>7.55</v>
      </c>
      <c r="J931" s="40" t="n">
        <v>10.8</v>
      </c>
      <c r="K931" s="40" t="n">
        <v>133.44</v>
      </c>
      <c r="L931" s="40" t="n">
        <v>0</v>
      </c>
    </row>
    <row r="932" ht="12" customHeight="1">
      <c r="A932" s="30" t="inlineStr">
        <is>
          <t>ITG</t>
        </is>
      </c>
      <c r="B932" s="30" t="inlineStr">
        <is>
          <t>Itaguai</t>
        </is>
      </c>
      <c r="C932" s="30" t="n">
        <v>78145528</v>
      </c>
      <c r="D932" s="30">
        <f>"08186591000145"</f>
        <v/>
      </c>
      <c r="E932" s="30" t="inlineStr">
        <is>
          <t>GIANNONE TRANSPORTES LTDA</t>
        </is>
      </c>
      <c r="F932" s="40" t="n">
        <v>0</v>
      </c>
      <c r="G932" s="40" t="n">
        <v>0</v>
      </c>
      <c r="H932" s="40" t="n">
        <v>77.75</v>
      </c>
      <c r="I932" s="40" t="n">
        <v>0.03</v>
      </c>
      <c r="J932" s="40" t="n">
        <v>71.11</v>
      </c>
      <c r="K932" s="40" t="n">
        <v>0</v>
      </c>
      <c r="L932" s="40" t="n">
        <v>0</v>
      </c>
    </row>
    <row r="933" ht="12" customHeight="1">
      <c r="A933" s="30" t="inlineStr">
        <is>
          <t>ITG</t>
        </is>
      </c>
      <c r="B933" s="30" t="inlineStr">
        <is>
          <t>Itaguai</t>
        </is>
      </c>
      <c r="C933" s="30" t="n">
        <v>78156090</v>
      </c>
      <c r="D933" s="30">
        <f>"08239521000108"</f>
        <v/>
      </c>
      <c r="E933" s="30" t="inlineStr">
        <is>
          <t>QUATRO IRMAOS SERVICOS DE TRANSPORTES LTDA EPP</t>
        </is>
      </c>
      <c r="F933" s="40" t="n">
        <v>0</v>
      </c>
      <c r="G933" s="40" t="n">
        <v>31.16</v>
      </c>
      <c r="H933" s="40" t="n">
        <v>0</v>
      </c>
      <c r="I933" s="40" t="n">
        <v>0</v>
      </c>
      <c r="J933" s="40" t="n">
        <v>0</v>
      </c>
      <c r="K933" s="40" t="n">
        <v>0</v>
      </c>
      <c r="L933" s="40" t="n">
        <v>133.68</v>
      </c>
    </row>
    <row r="934" ht="12" customHeight="1">
      <c r="A934" s="30" t="inlineStr">
        <is>
          <t>ITG</t>
        </is>
      </c>
      <c r="B934" s="30" t="inlineStr">
        <is>
          <t>Itaguai</t>
        </is>
      </c>
      <c r="C934" s="30" t="n">
        <v>78156287</v>
      </c>
      <c r="D934" s="30">
        <f>"02565955000111"</f>
        <v/>
      </c>
      <c r="E934" s="30" t="inlineStr">
        <is>
          <t>MATRIX GLOBAL LOGISTICA EIRELI</t>
        </is>
      </c>
      <c r="F934" s="40" t="n">
        <v>0</v>
      </c>
      <c r="G934" s="40" t="n">
        <v>0</v>
      </c>
      <c r="H934" s="40" t="n">
        <v>0</v>
      </c>
      <c r="I934" s="40" t="n">
        <v>0</v>
      </c>
      <c r="J934" s="40" t="n">
        <v>0</v>
      </c>
      <c r="K934" s="40" t="n">
        <v>0</v>
      </c>
      <c r="L934" s="40" t="n">
        <v>0</v>
      </c>
    </row>
    <row r="935" ht="12" customHeight="1">
      <c r="A935" s="30" t="inlineStr">
        <is>
          <t>ITG</t>
        </is>
      </c>
      <c r="B935" s="30" t="inlineStr">
        <is>
          <t>Itaguai</t>
        </is>
      </c>
      <c r="C935" s="30" t="n">
        <v>78160462</v>
      </c>
      <c r="D935" s="30">
        <f>"44349199000729"</f>
        <v/>
      </c>
      <c r="E935" s="30" t="inlineStr">
        <is>
          <t>LAURIMAR TRANSPORTES GERAIS LTDA</t>
        </is>
      </c>
      <c r="F935" s="40" t="n">
        <v>0</v>
      </c>
      <c r="G935" s="40" t="n">
        <v>0</v>
      </c>
      <c r="H935" s="40" t="n">
        <v>0</v>
      </c>
      <c r="I935" s="40" t="n">
        <v>575.97</v>
      </c>
      <c r="J935" s="40" t="n">
        <v>0</v>
      </c>
      <c r="K935" s="40" t="n">
        <v>0</v>
      </c>
      <c r="L935" s="40" t="n">
        <v>0</v>
      </c>
    </row>
    <row r="936" ht="12" customHeight="1">
      <c r="A936" s="30" t="inlineStr">
        <is>
          <t>ITG</t>
        </is>
      </c>
      <c r="B936" s="30" t="inlineStr">
        <is>
          <t>Itaguai</t>
        </is>
      </c>
      <c r="C936" s="30" t="n">
        <v>78171979</v>
      </c>
      <c r="D936" s="30">
        <f>"05263069000121"</f>
        <v/>
      </c>
      <c r="E936" s="30" t="inlineStr">
        <is>
          <t>TCML TRANSPORTES E TURISMO LTDA ME</t>
        </is>
      </c>
      <c r="F936" s="40" t="n">
        <v>0</v>
      </c>
      <c r="G936" s="40" t="n">
        <v>0</v>
      </c>
      <c r="H936" s="40" t="n">
        <v>0</v>
      </c>
      <c r="I936" s="40" t="n">
        <v>0</v>
      </c>
      <c r="J936" s="40" t="n">
        <v>0</v>
      </c>
      <c r="K936" s="40" t="n">
        <v>0</v>
      </c>
      <c r="L936" s="40" t="n">
        <v>490</v>
      </c>
    </row>
    <row r="937" ht="12" customHeight="1">
      <c r="A937" s="30" t="inlineStr">
        <is>
          <t>ITG</t>
        </is>
      </c>
      <c r="B937" s="30" t="inlineStr">
        <is>
          <t>Itaguai</t>
        </is>
      </c>
      <c r="C937" s="30" t="n">
        <v>78188324</v>
      </c>
      <c r="D937" s="30">
        <f>"08306629000176"</f>
        <v/>
      </c>
      <c r="E937" s="30" t="inlineStr">
        <is>
          <t>C M MARTINS DE OLIVEIRA PADARIA E MERCEARIA</t>
        </is>
      </c>
      <c r="F937" s="40" t="n">
        <v>0</v>
      </c>
      <c r="G937" s="40" t="n">
        <v>0</v>
      </c>
      <c r="H937" s="40" t="n">
        <v>0</v>
      </c>
      <c r="I937" s="40" t="n">
        <v>0</v>
      </c>
      <c r="J937" s="40" t="n">
        <v>0</v>
      </c>
      <c r="K937" s="40" t="n">
        <v>0</v>
      </c>
      <c r="L937" s="40" t="n">
        <v>0</v>
      </c>
    </row>
    <row r="938" ht="12" customHeight="1">
      <c r="A938" s="30" t="inlineStr">
        <is>
          <t>ITG</t>
        </is>
      </c>
      <c r="B938" s="30" t="inlineStr">
        <is>
          <t>Itaguai</t>
        </is>
      </c>
      <c r="C938" s="30" t="n">
        <v>78194367</v>
      </c>
      <c r="D938" s="30">
        <f>"08168884000108"</f>
        <v/>
      </c>
      <c r="E938" s="30" t="inlineStr">
        <is>
          <t>NOVA UNIAO LOGISTICA E TRANSPORTES LTDA</t>
        </is>
      </c>
      <c r="F938" s="40" t="n">
        <v>0</v>
      </c>
      <c r="G938" s="40" t="n">
        <v>603.6900000000001</v>
      </c>
      <c r="H938" s="40" t="n">
        <v>0</v>
      </c>
      <c r="I938" s="40" t="n">
        <v>0</v>
      </c>
      <c r="J938" s="40" t="n">
        <v>0</v>
      </c>
      <c r="K938" s="40" t="n">
        <v>0</v>
      </c>
      <c r="L938" s="40" t="n">
        <v>0</v>
      </c>
    </row>
    <row r="939" ht="12" customHeight="1">
      <c r="A939" s="30" t="inlineStr">
        <is>
          <t>ITG</t>
        </is>
      </c>
      <c r="B939" s="30" t="inlineStr">
        <is>
          <t>Itaguai</t>
        </is>
      </c>
      <c r="C939" s="30" t="n">
        <v>78195754</v>
      </c>
      <c r="D939" s="30">
        <f>"58526690000520"</f>
        <v/>
      </c>
      <c r="E939" s="30" t="inlineStr">
        <is>
          <t>IDT BRASIL TELECOMUNICACOES LTDA</t>
        </is>
      </c>
      <c r="F939" s="40" t="n">
        <v>2122.22</v>
      </c>
      <c r="G939" s="40" t="n">
        <v>1872.42</v>
      </c>
      <c r="H939" s="40" t="n">
        <v>0</v>
      </c>
      <c r="I939" s="40" t="n">
        <v>0</v>
      </c>
      <c r="J939" s="40" t="n">
        <v>12314.28</v>
      </c>
      <c r="K939" s="40" t="n">
        <v>0</v>
      </c>
      <c r="L939" s="40" t="n">
        <v>30575.15</v>
      </c>
    </row>
    <row r="940" ht="12" customHeight="1">
      <c r="A940" s="30" t="inlineStr">
        <is>
          <t>ITG</t>
        </is>
      </c>
      <c r="B940" s="30" t="inlineStr">
        <is>
          <t>Itaguai</t>
        </is>
      </c>
      <c r="C940" s="30" t="n">
        <v>78196475</v>
      </c>
      <c r="D940" s="30">
        <f>"76642743001603"</f>
        <v/>
      </c>
      <c r="E940" s="30" t="inlineStr">
        <is>
          <t>DEL POZO TRANSPORTES RODOVIARIOS LTDA</t>
        </is>
      </c>
      <c r="F940" s="40" t="n">
        <v>0</v>
      </c>
      <c r="G940" s="40" t="n">
        <v>0</v>
      </c>
      <c r="H940" s="40" t="n">
        <v>76796.72</v>
      </c>
      <c r="I940" s="40" t="n">
        <v>0</v>
      </c>
      <c r="J940" s="40" t="n">
        <v>0</v>
      </c>
      <c r="K940" s="40" t="n">
        <v>0</v>
      </c>
      <c r="L940" s="40" t="n">
        <v>0</v>
      </c>
    </row>
    <row r="941" ht="12" customHeight="1">
      <c r="A941" s="30" t="inlineStr">
        <is>
          <t>ITG</t>
        </is>
      </c>
      <c r="B941" s="30" t="inlineStr">
        <is>
          <t>Itaguai</t>
        </is>
      </c>
      <c r="C941" s="30" t="n">
        <v>78207370</v>
      </c>
      <c r="D941" s="30">
        <f>"00785977000161"</f>
        <v/>
      </c>
      <c r="E941" s="30" t="inlineStr">
        <is>
          <t>SILPER DIESEL LTDA</t>
        </is>
      </c>
      <c r="F941" s="40" t="n">
        <v>0</v>
      </c>
      <c r="G941" s="40" t="n">
        <v>0</v>
      </c>
      <c r="H941" s="40" t="n">
        <v>0</v>
      </c>
      <c r="I941" s="40" t="n">
        <v>0</v>
      </c>
      <c r="J941" s="40" t="n">
        <v>0</v>
      </c>
      <c r="K941" s="40" t="n">
        <v>0</v>
      </c>
      <c r="L941" s="40" t="n">
        <v>0</v>
      </c>
    </row>
    <row r="942" ht="12" customHeight="1">
      <c r="A942" s="30" t="inlineStr">
        <is>
          <t>ITG</t>
        </is>
      </c>
      <c r="B942" s="30" t="inlineStr">
        <is>
          <t>Itaguai</t>
        </is>
      </c>
      <c r="C942" s="30" t="n">
        <v>78211008</v>
      </c>
      <c r="D942" s="30">
        <f>"08476351000185"</f>
        <v/>
      </c>
      <c r="E942" s="30" t="inlineStr">
        <is>
          <t>T M DE OLIVEIRA COMERCIO VAREJISTA DE BICICLETAS EIRELI ME</t>
        </is>
      </c>
      <c r="F942" s="40" t="n">
        <v>0</v>
      </c>
      <c r="G942" s="40" t="n">
        <v>0</v>
      </c>
      <c r="H942" s="40" t="n">
        <v>0</v>
      </c>
      <c r="I942" s="40" t="n">
        <v>0</v>
      </c>
      <c r="J942" s="40" t="n">
        <v>358229.68</v>
      </c>
      <c r="K942" s="40" t="n">
        <v>0</v>
      </c>
      <c r="L942" s="40" t="n">
        <v>0</v>
      </c>
    </row>
    <row r="943" ht="12" customHeight="1">
      <c r="A943" s="30" t="inlineStr">
        <is>
          <t>ITG</t>
        </is>
      </c>
      <c r="B943" s="30" t="inlineStr">
        <is>
          <t>Itaguai</t>
        </is>
      </c>
      <c r="C943" s="30" t="n">
        <v>78213809</v>
      </c>
      <c r="D943" s="30">
        <f>"08360383000110"</f>
        <v/>
      </c>
      <c r="E943" s="30" t="inlineStr">
        <is>
          <t>TROPICAL BUS TRANSPORTE E TURISMO LTDA ME</t>
        </is>
      </c>
      <c r="F943" s="40" t="n">
        <v>0</v>
      </c>
      <c r="G943" s="40" t="n">
        <v>0</v>
      </c>
      <c r="H943" s="40" t="n">
        <v>0</v>
      </c>
      <c r="I943" s="40" t="n">
        <v>0</v>
      </c>
      <c r="J943" s="40" t="n">
        <v>0</v>
      </c>
      <c r="K943" s="40" t="n">
        <v>485.3</v>
      </c>
      <c r="L943" s="40" t="n">
        <v>350</v>
      </c>
    </row>
    <row r="944" ht="12" customHeight="1">
      <c r="A944" s="30" t="inlineStr">
        <is>
          <t>ITG</t>
        </is>
      </c>
      <c r="B944" s="30" t="inlineStr">
        <is>
          <t>Itaguai</t>
        </is>
      </c>
      <c r="C944" s="30" t="n">
        <v>78219165</v>
      </c>
      <c r="D944" s="30">
        <f>"03109593000389"</f>
        <v/>
      </c>
      <c r="E944" s="30" t="inlineStr">
        <is>
          <t>SCS SERVICOS LTDA</t>
        </is>
      </c>
      <c r="F944" s="40" t="n">
        <v>0</v>
      </c>
      <c r="G944" s="40" t="n">
        <v>0</v>
      </c>
      <c r="H944" s="40" t="n">
        <v>0</v>
      </c>
      <c r="I944" s="40" t="n">
        <v>0</v>
      </c>
      <c r="J944" s="40" t="n">
        <v>0</v>
      </c>
      <c r="K944" s="40" t="n">
        <v>0</v>
      </c>
      <c r="L944" s="40" t="n">
        <v>0</v>
      </c>
    </row>
    <row r="945" ht="12" customHeight="1">
      <c r="A945" s="30" t="inlineStr">
        <is>
          <t>ITG</t>
        </is>
      </c>
      <c r="B945" s="30" t="inlineStr">
        <is>
          <t>Itaguai</t>
        </is>
      </c>
      <c r="C945" s="30" t="n">
        <v>78224533</v>
      </c>
      <c r="D945" s="30">
        <f>"05132549000153"</f>
        <v/>
      </c>
      <c r="E945" s="30" t="inlineStr">
        <is>
          <t>S O DO BRASIL TELECOMUNICACOES LTDA EPP</t>
        </is>
      </c>
      <c r="F945" s="40" t="n">
        <v>699</v>
      </c>
      <c r="G945" s="40" t="n">
        <v>1659.89</v>
      </c>
      <c r="H945" s="40" t="n">
        <v>2230.52</v>
      </c>
      <c r="I945" s="40" t="n">
        <v>83.88</v>
      </c>
      <c r="J945" s="40" t="n">
        <v>0</v>
      </c>
      <c r="K945" s="40" t="n">
        <v>33832</v>
      </c>
      <c r="L945" s="40" t="n">
        <v>5460</v>
      </c>
    </row>
    <row r="946" ht="12" customHeight="1">
      <c r="A946" s="30" t="inlineStr">
        <is>
          <t>ITG</t>
        </is>
      </c>
      <c r="B946" s="30" t="inlineStr">
        <is>
          <t>Itaguai</t>
        </is>
      </c>
      <c r="C946" s="30" t="n">
        <v>78235403</v>
      </c>
      <c r="D946" s="30">
        <f>"08111564000103"</f>
        <v/>
      </c>
      <c r="E946" s="30" t="inlineStr">
        <is>
          <t>ASTRAL CAR TRANSPORTES VEICULOS E LOCACAO EIRELI EPP</t>
        </is>
      </c>
      <c r="F946" s="40" t="n">
        <v>0</v>
      </c>
      <c r="G946" s="40" t="n">
        <v>0</v>
      </c>
      <c r="H946" s="40" t="n">
        <v>600</v>
      </c>
      <c r="I946" s="40" t="n">
        <v>0</v>
      </c>
      <c r="J946" s="40" t="n">
        <v>1000</v>
      </c>
      <c r="K946" s="40" t="n">
        <v>0</v>
      </c>
      <c r="L946" s="40" t="n">
        <v>0</v>
      </c>
    </row>
    <row r="947" ht="12" customHeight="1">
      <c r="A947" s="30" t="inlineStr">
        <is>
          <t>ITG</t>
        </is>
      </c>
      <c r="B947" s="30" t="inlineStr">
        <is>
          <t>Itaguai</t>
        </is>
      </c>
      <c r="C947" s="30" t="n">
        <v>78235802</v>
      </c>
      <c r="D947" s="30">
        <f>"08599033000101"</f>
        <v/>
      </c>
      <c r="E947" s="30" t="inlineStr">
        <is>
          <t>TRANSMQ DA SERRA SERVICOS DE TRANSPORTES LTDA</t>
        </is>
      </c>
      <c r="F947" s="40" t="n">
        <v>0</v>
      </c>
      <c r="G947" s="40" t="n">
        <v>1736</v>
      </c>
      <c r="H947" s="40" t="n">
        <v>0</v>
      </c>
      <c r="I947" s="40" t="n">
        <v>0</v>
      </c>
      <c r="J947" s="40" t="n">
        <v>0</v>
      </c>
      <c r="K947" s="40" t="n">
        <v>0</v>
      </c>
      <c r="L947" s="40" t="n">
        <v>0</v>
      </c>
    </row>
    <row r="948" ht="12" customHeight="1">
      <c r="A948" s="30" t="inlineStr">
        <is>
          <t>ITG</t>
        </is>
      </c>
      <c r="B948" s="30" t="inlineStr">
        <is>
          <t>Itaguai</t>
        </is>
      </c>
      <c r="C948" s="30" t="n">
        <v>78236647</v>
      </c>
      <c r="D948" s="30">
        <f>"42502492000244"</f>
        <v/>
      </c>
      <c r="E948" s="30" t="inlineStr">
        <is>
          <t>REAL VEICULOS COMERCIO E SERVICOS LTDA</t>
        </is>
      </c>
      <c r="F948" s="40" t="n">
        <v>7266714.38</v>
      </c>
      <c r="G948" s="40" t="n">
        <v>6184885.65</v>
      </c>
      <c r="H948" s="40" t="n">
        <v>7014572.65</v>
      </c>
      <c r="I948" s="40" t="n">
        <v>5308231.57</v>
      </c>
      <c r="J948" s="40" t="n">
        <v>7402097.63</v>
      </c>
      <c r="K948" s="40" t="n">
        <v>0</v>
      </c>
      <c r="L948" s="40" t="n">
        <v>5459249.86</v>
      </c>
    </row>
    <row r="949" ht="12" customHeight="1">
      <c r="A949" s="30" t="inlineStr">
        <is>
          <t>ITG</t>
        </is>
      </c>
      <c r="B949" s="30" t="inlineStr">
        <is>
          <t>Itaguai</t>
        </is>
      </c>
      <c r="C949" s="30" t="n">
        <v>78246596</v>
      </c>
      <c r="D949" s="30">
        <f>"08140951000178"</f>
        <v/>
      </c>
      <c r="E949" s="30" t="inlineStr">
        <is>
          <t>INFO COLUMBIA COMERCIO E SERVICOS LTDA ME</t>
        </is>
      </c>
      <c r="F949" s="40" t="n">
        <v>0</v>
      </c>
      <c r="G949" s="40" t="n">
        <v>0</v>
      </c>
      <c r="H949" s="40" t="n">
        <v>0</v>
      </c>
      <c r="I949" s="40" t="n">
        <v>0</v>
      </c>
      <c r="J949" s="40" t="n">
        <v>0</v>
      </c>
      <c r="K949" s="40" t="n">
        <v>0</v>
      </c>
      <c r="L949" s="40" t="n">
        <v>0</v>
      </c>
    </row>
    <row r="950" ht="12" customHeight="1">
      <c r="A950" s="30" t="inlineStr">
        <is>
          <t>ITG</t>
        </is>
      </c>
      <c r="B950" s="30" t="inlineStr">
        <is>
          <t>Itaguai</t>
        </is>
      </c>
      <c r="C950" s="30" t="n">
        <v>78258950</v>
      </c>
      <c r="D950" s="30">
        <f>"08219203000690"</f>
        <v/>
      </c>
      <c r="E950" s="30" t="inlineStr">
        <is>
          <t>DIRECIONAL TRANSPORTE E LOGISTICA S A</t>
        </is>
      </c>
      <c r="F950" s="40" t="n">
        <v>328.27</v>
      </c>
      <c r="G950" s="40" t="n">
        <v>713.55</v>
      </c>
      <c r="H950" s="40" t="n">
        <v>785.1900000000001</v>
      </c>
      <c r="I950" s="40" t="n">
        <v>2628.41</v>
      </c>
      <c r="J950" s="40" t="n">
        <v>450.46</v>
      </c>
      <c r="K950" s="40" t="n">
        <v>0</v>
      </c>
      <c r="L950" s="40" t="n">
        <v>0</v>
      </c>
    </row>
    <row r="951" ht="12" customHeight="1">
      <c r="A951" s="30" t="inlineStr">
        <is>
          <t>ITG</t>
        </is>
      </c>
      <c r="B951" s="30" t="inlineStr">
        <is>
          <t>Itaguai</t>
        </is>
      </c>
      <c r="C951" s="30" t="n">
        <v>78271906</v>
      </c>
      <c r="D951" s="30">
        <f>"07040886000146"</f>
        <v/>
      </c>
      <c r="E951" s="30" t="inlineStr">
        <is>
          <t>S S FERNANDES COMERCIO DE PERFIS E ACESSORIOS DE ALUMINIO</t>
        </is>
      </c>
      <c r="F951" s="40" t="n">
        <v>0</v>
      </c>
      <c r="G951" s="40" t="n">
        <v>0</v>
      </c>
      <c r="H951" s="40" t="n">
        <v>0</v>
      </c>
      <c r="I951" s="40" t="n">
        <v>0</v>
      </c>
      <c r="J951" s="40" t="n">
        <v>0</v>
      </c>
      <c r="K951" s="40" t="n">
        <v>0</v>
      </c>
      <c r="L951" s="40" t="n">
        <v>0</v>
      </c>
    </row>
    <row r="952" ht="12" customHeight="1">
      <c r="A952" s="30" t="inlineStr">
        <is>
          <t>ITG</t>
        </is>
      </c>
      <c r="B952" s="30" t="inlineStr">
        <is>
          <t>Itaguai</t>
        </is>
      </c>
      <c r="C952" s="30" t="n">
        <v>78275650</v>
      </c>
      <c r="D952" s="30">
        <f>"07625852000113"</f>
        <v/>
      </c>
      <c r="E952" s="30" t="inlineStr">
        <is>
          <t>TELEXPERTS TELECOMUNICACOES LTDA</t>
        </is>
      </c>
      <c r="F952" s="40" t="n">
        <v>0</v>
      </c>
      <c r="G952" s="40" t="n">
        <v>9794.190000000001</v>
      </c>
      <c r="H952" s="40" t="n">
        <v>37551.12</v>
      </c>
      <c r="I952" s="40" t="n">
        <v>117127.91</v>
      </c>
      <c r="J952" s="40" t="n">
        <v>91.62</v>
      </c>
      <c r="K952" s="40" t="n">
        <v>2040.5</v>
      </c>
      <c r="L952" s="40" t="n">
        <v>3031.38</v>
      </c>
    </row>
    <row r="953" ht="12" customHeight="1">
      <c r="A953" s="30" t="inlineStr">
        <is>
          <t>ITG</t>
        </is>
      </c>
      <c r="B953" s="30" t="inlineStr">
        <is>
          <t>Itaguai</t>
        </is>
      </c>
      <c r="C953" s="30" t="n">
        <v>78280115</v>
      </c>
      <c r="D953" s="30">
        <f>"08587110000103"</f>
        <v/>
      </c>
      <c r="E953" s="30" t="inlineStr">
        <is>
          <t>LUCKY MONEY X INFORMATICA COMERCIO E SERVICOS LTDA ME</t>
        </is>
      </c>
      <c r="F953" s="40" t="n">
        <v>0</v>
      </c>
      <c r="G953" s="40" t="n">
        <v>0</v>
      </c>
      <c r="H953" s="40" t="n">
        <v>0</v>
      </c>
      <c r="I953" s="40" t="n">
        <v>0</v>
      </c>
      <c r="J953" s="40" t="n">
        <v>0</v>
      </c>
      <c r="K953" s="40" t="n">
        <v>0</v>
      </c>
      <c r="L953" s="40" t="n">
        <v>0</v>
      </c>
    </row>
    <row r="954" ht="12" customHeight="1">
      <c r="A954" s="30" t="inlineStr">
        <is>
          <t>ITG</t>
        </is>
      </c>
      <c r="B954" s="30" t="inlineStr">
        <is>
          <t>Itaguai</t>
        </is>
      </c>
      <c r="C954" s="30" t="n">
        <v>78284242</v>
      </c>
      <c r="D954" s="30">
        <f>"93949899000336"</f>
        <v/>
      </c>
      <c r="E954" s="30" t="inlineStr">
        <is>
          <t>VENETOSUL TRANSPORTES LTDA</t>
        </is>
      </c>
      <c r="F954" s="40" t="n">
        <v>0</v>
      </c>
      <c r="G954" s="40" t="n">
        <v>0</v>
      </c>
      <c r="H954" s="40" t="n">
        <v>0</v>
      </c>
      <c r="I954" s="40" t="n">
        <v>0</v>
      </c>
      <c r="J954" s="40" t="n">
        <v>200</v>
      </c>
      <c r="K954" s="40" t="n">
        <v>0</v>
      </c>
      <c r="L954" s="40" t="n">
        <v>0</v>
      </c>
    </row>
    <row r="955" ht="12" customHeight="1">
      <c r="A955" s="30" t="inlineStr">
        <is>
          <t>ITG</t>
        </is>
      </c>
      <c r="B955" s="30" t="inlineStr">
        <is>
          <t>Itaguai</t>
        </is>
      </c>
      <c r="C955" s="30" t="n">
        <v>78285974</v>
      </c>
      <c r="D955" s="30">
        <f>"08772052000198"</f>
        <v/>
      </c>
      <c r="E955" s="30" t="inlineStr">
        <is>
          <t>JW BRASIL LOCACAO DE MAQUINAS E EQUIPAMENTOS LTDA ME</t>
        </is>
      </c>
      <c r="F955" s="40" t="n">
        <v>0</v>
      </c>
      <c r="G955" s="40" t="n">
        <v>0</v>
      </c>
      <c r="H955" s="40" t="n">
        <v>0</v>
      </c>
      <c r="I955" s="40" t="n">
        <v>0</v>
      </c>
      <c r="J955" s="40" t="n">
        <v>0</v>
      </c>
      <c r="K955" s="40" t="n">
        <v>0</v>
      </c>
      <c r="L955" s="40" t="n">
        <v>0</v>
      </c>
    </row>
    <row r="956" ht="12" customHeight="1">
      <c r="A956" s="30" t="inlineStr">
        <is>
          <t>ITG</t>
        </is>
      </c>
      <c r="B956" s="30" t="inlineStr">
        <is>
          <t>Itaguai</t>
        </is>
      </c>
      <c r="C956" s="30" t="n">
        <v>78286067</v>
      </c>
      <c r="D956" s="30">
        <f>"08768619000152"</f>
        <v/>
      </c>
      <c r="E956" s="30" t="inlineStr">
        <is>
          <t>REDE CARGA AGENCIAMENTO E TRANSPORTE DE CARGAS LTDA EPP</t>
        </is>
      </c>
      <c r="F956" s="40" t="n">
        <v>0</v>
      </c>
      <c r="G956" s="40" t="n">
        <v>0</v>
      </c>
      <c r="H956" s="40" t="n">
        <v>0</v>
      </c>
      <c r="I956" s="40" t="n">
        <v>100.36</v>
      </c>
      <c r="J956" s="40" t="n">
        <v>0</v>
      </c>
      <c r="K956" s="40" t="n">
        <v>0</v>
      </c>
      <c r="L956" s="40" t="n">
        <v>0</v>
      </c>
    </row>
    <row r="957" ht="12" customHeight="1">
      <c r="A957" s="30" t="inlineStr">
        <is>
          <t>ITG</t>
        </is>
      </c>
      <c r="B957" s="30" t="inlineStr">
        <is>
          <t>Itaguai</t>
        </is>
      </c>
      <c r="C957" s="30" t="n">
        <v>78288841</v>
      </c>
      <c r="D957" s="30">
        <f>"75785675000516"</f>
        <v/>
      </c>
      <c r="E957" s="30" t="inlineStr">
        <is>
          <t>TRANSPORTADORA OCIANI LTDA</t>
        </is>
      </c>
      <c r="F957" s="40" t="n">
        <v>1365.16</v>
      </c>
      <c r="G957" s="40" t="n">
        <v>66.69</v>
      </c>
      <c r="H957" s="40" t="n">
        <v>74.55</v>
      </c>
      <c r="I957" s="40" t="n">
        <v>115.74</v>
      </c>
      <c r="J957" s="40" t="n">
        <v>221.45</v>
      </c>
      <c r="K957" s="40" t="n">
        <v>0</v>
      </c>
      <c r="L957" s="40" t="n">
        <v>0</v>
      </c>
    </row>
    <row r="958" ht="12" customHeight="1">
      <c r="A958" s="30" t="inlineStr">
        <is>
          <t>ITG</t>
        </is>
      </c>
      <c r="B958" s="30" t="inlineStr">
        <is>
          <t>Itaguai</t>
        </is>
      </c>
      <c r="C958" s="30" t="n">
        <v>78290188</v>
      </c>
      <c r="D958" s="30">
        <f>"01009876000242"</f>
        <v/>
      </c>
      <c r="E958" s="30" t="inlineStr">
        <is>
          <t>FALKLAND TECNOLOGIA EM TELECOMUNICACOES S/A</t>
        </is>
      </c>
      <c r="F958" s="40" t="n">
        <v>148220.59</v>
      </c>
      <c r="G958" s="40" t="n">
        <v>100942.64</v>
      </c>
      <c r="H958" s="40" t="n">
        <v>14968.18</v>
      </c>
      <c r="I958" s="40" t="n">
        <v>64.38</v>
      </c>
      <c r="J958" s="40" t="n">
        <v>0</v>
      </c>
      <c r="K958" s="40" t="n">
        <v>0</v>
      </c>
      <c r="L958" s="40" t="n">
        <v>0</v>
      </c>
    </row>
    <row r="959" ht="12" customHeight="1">
      <c r="A959" s="30" t="inlineStr">
        <is>
          <t>ITG</t>
        </is>
      </c>
      <c r="B959" s="30" t="inlineStr">
        <is>
          <t>Itaguai</t>
        </is>
      </c>
      <c r="C959" s="30" t="n">
        <v>78314079</v>
      </c>
      <c r="D959" s="30">
        <f>"08912871000193"</f>
        <v/>
      </c>
      <c r="E959" s="30" t="inlineStr">
        <is>
          <t>PLANETA KIDS DE ITAGUAI ROUPAS LTDA</t>
        </is>
      </c>
      <c r="F959" s="40" t="n">
        <v>0</v>
      </c>
      <c r="G959" s="40" t="n">
        <v>0</v>
      </c>
      <c r="H959" s="40" t="n">
        <v>0</v>
      </c>
      <c r="I959" s="40" t="n">
        <v>0</v>
      </c>
      <c r="J959" s="40" t="n">
        <v>0</v>
      </c>
      <c r="K959" s="40" t="n">
        <v>0</v>
      </c>
      <c r="L959" s="40" t="n">
        <v>0</v>
      </c>
    </row>
    <row r="960" ht="12" customHeight="1">
      <c r="A960" s="30" t="inlineStr">
        <is>
          <t>ITG</t>
        </is>
      </c>
      <c r="B960" s="30" t="inlineStr">
        <is>
          <t>Itaguai</t>
        </is>
      </c>
      <c r="C960" s="30" t="n">
        <v>78324686</v>
      </c>
      <c r="D960" s="30">
        <f>"08934302000149"</f>
        <v/>
      </c>
      <c r="E960" s="30" t="inlineStr">
        <is>
          <t>LPA PRIMOR TRANSPORTES RODOVIARIO E AEREO DE CARGAS E LOCACAO DE</t>
        </is>
      </c>
      <c r="F960" s="40" t="n">
        <v>0</v>
      </c>
      <c r="G960" s="40" t="n">
        <v>2318.64</v>
      </c>
      <c r="H960" s="40" t="n">
        <v>1172.68</v>
      </c>
      <c r="I960" s="40" t="n">
        <v>820.74</v>
      </c>
      <c r="J960" s="40" t="n">
        <v>0</v>
      </c>
      <c r="K960" s="40" t="n">
        <v>0</v>
      </c>
      <c r="L960" s="40" t="n">
        <v>0</v>
      </c>
    </row>
    <row r="961" ht="12" customHeight="1">
      <c r="A961" s="30" t="inlineStr">
        <is>
          <t>ITG</t>
        </is>
      </c>
      <c r="B961" s="30" t="inlineStr">
        <is>
          <t>Itaguai</t>
        </is>
      </c>
      <c r="C961" s="30" t="n">
        <v>78325038</v>
      </c>
      <c r="D961" s="30">
        <f>"04112022000285"</f>
        <v/>
      </c>
      <c r="E961" s="30" t="inlineStr">
        <is>
          <t>STEULER DO BRASIL LTDA</t>
        </is>
      </c>
      <c r="F961" s="40" t="n">
        <v>0</v>
      </c>
      <c r="G961" s="40" t="n">
        <v>0</v>
      </c>
      <c r="H961" s="40" t="n">
        <v>0</v>
      </c>
      <c r="I961" s="40" t="n">
        <v>0</v>
      </c>
      <c r="J961" s="40" t="n">
        <v>0</v>
      </c>
      <c r="K961" s="40" t="n">
        <v>0</v>
      </c>
      <c r="L961" s="40" t="n">
        <v>0</v>
      </c>
    </row>
    <row r="962" ht="12" customHeight="1">
      <c r="A962" s="30" t="inlineStr">
        <is>
          <t>ITG</t>
        </is>
      </c>
      <c r="B962" s="30" t="inlineStr">
        <is>
          <t>Itaguai</t>
        </is>
      </c>
      <c r="C962" s="30" t="n">
        <v>78325160</v>
      </c>
      <c r="D962" s="30">
        <f>"05029926000123"</f>
        <v/>
      </c>
      <c r="E962" s="30" t="inlineStr">
        <is>
          <t>COOPERNOVA COOPERATIVA DE MOTORISTAS AUTONOMOS DO TRANSPORTE COMPLEMENTAR DE PASSAGEIROS FRETAMENTO E TURISMO LTDA</t>
        </is>
      </c>
      <c r="F962" s="40" t="n">
        <v>0</v>
      </c>
      <c r="G962" s="40" t="n">
        <v>0</v>
      </c>
      <c r="H962" s="40" t="n">
        <v>1400</v>
      </c>
      <c r="I962" s="40" t="n">
        <v>0</v>
      </c>
      <c r="J962" s="40" t="n">
        <v>900</v>
      </c>
      <c r="K962" s="40" t="n">
        <v>3290</v>
      </c>
      <c r="L962" s="40" t="n">
        <v>3950</v>
      </c>
    </row>
    <row r="963" ht="12" customHeight="1">
      <c r="A963" s="30" t="inlineStr">
        <is>
          <t>ITG</t>
        </is>
      </c>
      <c r="B963" s="30" t="inlineStr">
        <is>
          <t>Itaguai</t>
        </is>
      </c>
      <c r="C963" s="30" t="n">
        <v>78336820</v>
      </c>
      <c r="D963" s="30">
        <f>"08964218000178"</f>
        <v/>
      </c>
      <c r="E963" s="30" t="inlineStr">
        <is>
          <t>J S FERREIRA FRIGORIFICO LTDA</t>
        </is>
      </c>
      <c r="F963" s="40" t="n">
        <v>0</v>
      </c>
      <c r="G963" s="40" t="n">
        <v>0</v>
      </c>
      <c r="H963" s="40" t="n">
        <v>229058.21</v>
      </c>
      <c r="I963" s="40" t="n">
        <v>6785.81</v>
      </c>
      <c r="J963" s="40" t="n">
        <v>299663.33</v>
      </c>
      <c r="K963" s="40" t="n">
        <v>272934.39</v>
      </c>
      <c r="L963" s="40" t="n">
        <v>117179.82</v>
      </c>
    </row>
    <row r="964" ht="12" customHeight="1">
      <c r="A964" s="30" t="inlineStr">
        <is>
          <t>ITG</t>
        </is>
      </c>
      <c r="B964" s="30" t="inlineStr">
        <is>
          <t>Itaguai</t>
        </is>
      </c>
      <c r="C964" s="30" t="n">
        <v>78342480</v>
      </c>
      <c r="D964" s="30">
        <f>"08980148000141"</f>
        <v/>
      </c>
      <c r="E964" s="30" t="inlineStr">
        <is>
          <t>ADAPT LINK SERVIÇOS DE COMUNICAÇÃO MULTIMÍDIA EIRELI</t>
        </is>
      </c>
      <c r="F964" s="40" t="n">
        <v>0</v>
      </c>
      <c r="G964" s="40" t="n">
        <v>0</v>
      </c>
      <c r="H964" s="40" t="n">
        <v>0</v>
      </c>
      <c r="I964" s="40" t="n">
        <v>0</v>
      </c>
      <c r="J964" s="40" t="n">
        <v>71180.91</v>
      </c>
      <c r="K964" s="40" t="n">
        <v>109177.68</v>
      </c>
      <c r="L964" s="40" t="n">
        <v>118583.13</v>
      </c>
    </row>
    <row r="965" ht="12" customHeight="1">
      <c r="A965" s="30" t="inlineStr">
        <is>
          <t>ITG</t>
        </is>
      </c>
      <c r="B965" s="30" t="inlineStr">
        <is>
          <t>Itaguai</t>
        </is>
      </c>
      <c r="C965" s="30" t="n">
        <v>78344261</v>
      </c>
      <c r="D965" s="30">
        <f>"08165642000233"</f>
        <v/>
      </c>
      <c r="E965" s="30" t="inlineStr">
        <is>
          <t>GAT LOGISTICAS LTDA</t>
        </is>
      </c>
      <c r="F965" s="40" t="n">
        <v>191.08</v>
      </c>
      <c r="G965" s="40" t="n">
        <v>11118.67</v>
      </c>
      <c r="H965" s="40" t="n">
        <v>3113.44</v>
      </c>
      <c r="I965" s="40" t="n">
        <v>0</v>
      </c>
      <c r="J965" s="40" t="n">
        <v>0</v>
      </c>
      <c r="K965" s="40" t="n">
        <v>2661.44</v>
      </c>
      <c r="L965" s="40" t="n">
        <v>1012.11</v>
      </c>
    </row>
    <row r="966" ht="12" customHeight="1">
      <c r="A966" s="30" t="inlineStr">
        <is>
          <t>ITG</t>
        </is>
      </c>
      <c r="B966" s="30" t="inlineStr">
        <is>
          <t>Itaguai</t>
        </is>
      </c>
      <c r="C966" s="30" t="n">
        <v>78347783</v>
      </c>
      <c r="D966" s="30">
        <f>"05353658000109"</f>
        <v/>
      </c>
      <c r="E966" s="30" t="inlineStr">
        <is>
          <t>J. E. MARQUES CURRAL DE APREENSÃO LTDA</t>
        </is>
      </c>
      <c r="F966" s="40" t="n">
        <v>0</v>
      </c>
      <c r="G966" s="40" t="n">
        <v>0</v>
      </c>
      <c r="H966" s="40" t="n">
        <v>0</v>
      </c>
      <c r="I966" s="40" t="n">
        <v>0</v>
      </c>
      <c r="J966" s="40" t="n">
        <v>0</v>
      </c>
      <c r="K966" s="40" t="n">
        <v>0</v>
      </c>
      <c r="L966" s="40" t="n">
        <v>0</v>
      </c>
    </row>
    <row r="967" ht="12" customHeight="1">
      <c r="A967" s="30" t="inlineStr">
        <is>
          <t>ITG</t>
        </is>
      </c>
      <c r="B967" s="30" t="inlineStr">
        <is>
          <t>Itaguai</t>
        </is>
      </c>
      <c r="C967" s="30" t="n">
        <v>78362111</v>
      </c>
      <c r="D967" s="30">
        <f>"36061646000126"</f>
        <v/>
      </c>
      <c r="E967" s="30" t="inlineStr">
        <is>
          <t>COOPERATIVA DOS MOTORISTAS ITAGUAIENSES DE TAXI LTDA COOMIT</t>
        </is>
      </c>
      <c r="F967" s="40" t="n">
        <v>816315.87</v>
      </c>
      <c r="G967" s="40" t="n">
        <v>315335.91</v>
      </c>
      <c r="H967" s="40" t="n">
        <v>1221531.21</v>
      </c>
      <c r="I967" s="40" t="n">
        <v>589455.22</v>
      </c>
      <c r="J967" s="40" t="n">
        <v>824360.34</v>
      </c>
      <c r="K967" s="40" t="n">
        <v>621480.6800000001</v>
      </c>
      <c r="L967" s="40" t="n">
        <v>1033664.09</v>
      </c>
    </row>
    <row r="968" ht="12" customHeight="1">
      <c r="A968" s="30" t="inlineStr">
        <is>
          <t>ITG</t>
        </is>
      </c>
      <c r="B968" s="30" t="inlineStr">
        <is>
          <t>Itaguai</t>
        </is>
      </c>
      <c r="C968" s="30" t="n">
        <v>78363444</v>
      </c>
      <c r="D968" s="30">
        <f>"09059896000159"</f>
        <v/>
      </c>
      <c r="E968" s="30" t="inlineStr">
        <is>
          <t>MINIMERCADO PAG LEV DE ITAGUAI - EIRELI</t>
        </is>
      </c>
      <c r="F968" s="40" t="n">
        <v>2902862.19</v>
      </c>
      <c r="G968" s="40" t="n">
        <v>2516985.71</v>
      </c>
      <c r="H968" s="40" t="n">
        <v>2517237.79</v>
      </c>
      <c r="I968" s="40" t="n">
        <v>2215978.46</v>
      </c>
      <c r="J968" s="40" t="n">
        <v>2841921.52</v>
      </c>
      <c r="K968" s="40" t="n">
        <v>3303400.82</v>
      </c>
      <c r="L968" s="40" t="n">
        <v>3732040.87</v>
      </c>
    </row>
    <row r="969" ht="12" customHeight="1">
      <c r="A969" s="30" t="inlineStr">
        <is>
          <t>ITG</t>
        </is>
      </c>
      <c r="B969" s="30" t="inlineStr">
        <is>
          <t>Itaguai</t>
        </is>
      </c>
      <c r="C969" s="30" t="n">
        <v>78367989</v>
      </c>
      <c r="D969" s="30">
        <f>"09077954000177"</f>
        <v/>
      </c>
      <c r="E969" s="30" t="inlineStr">
        <is>
          <t>RESTAURANTE NOVA RODOVIA 2007 LTDA EPP</t>
        </is>
      </c>
      <c r="F969" s="40" t="n">
        <v>0</v>
      </c>
      <c r="G969" s="40" t="n">
        <v>0</v>
      </c>
      <c r="H969" s="40" t="n">
        <v>0</v>
      </c>
      <c r="I969" s="40" t="n">
        <v>5577833.13</v>
      </c>
      <c r="J969" s="40" t="n">
        <v>7468824.16</v>
      </c>
      <c r="K969" s="40" t="n">
        <v>18715535.68</v>
      </c>
      <c r="L969" s="40" t="n">
        <v>41306754.86</v>
      </c>
    </row>
    <row r="970" ht="12" customHeight="1">
      <c r="A970" s="30" t="inlineStr">
        <is>
          <t>ITG</t>
        </is>
      </c>
      <c r="B970" s="30" t="inlineStr">
        <is>
          <t>Itaguai</t>
        </is>
      </c>
      <c r="C970" s="30" t="n">
        <v>78368594</v>
      </c>
      <c r="D970" s="30">
        <f>"09015688000158"</f>
        <v/>
      </c>
      <c r="E970" s="30" t="inlineStr">
        <is>
          <t>AVATAR INDUSTRIA MECANICA LTDA</t>
        </is>
      </c>
      <c r="F970" s="40" t="n">
        <v>0</v>
      </c>
      <c r="G970" s="40" t="n">
        <v>0</v>
      </c>
      <c r="H970" s="40" t="n">
        <v>31325.19</v>
      </c>
      <c r="I970" s="40" t="n">
        <v>0</v>
      </c>
      <c r="J970" s="40" t="n">
        <v>0</v>
      </c>
      <c r="K970" s="40" t="n">
        <v>0</v>
      </c>
      <c r="L970" s="40" t="n">
        <v>0</v>
      </c>
    </row>
    <row r="971" ht="12" customHeight="1">
      <c r="A971" s="30" t="inlineStr">
        <is>
          <t>ITG</t>
        </is>
      </c>
      <c r="B971" s="30" t="inlineStr">
        <is>
          <t>Itaguai</t>
        </is>
      </c>
      <c r="C971" s="30" t="n">
        <v>78372397</v>
      </c>
      <c r="D971" s="30">
        <f>"02424326000171"</f>
        <v/>
      </c>
      <c r="E971" s="30" t="inlineStr">
        <is>
          <t>SOUZA E FONTES DEMOLICOES EIRELI</t>
        </is>
      </c>
      <c r="F971" s="40" t="n">
        <v>10782.67</v>
      </c>
      <c r="G971" s="40" t="n">
        <v>0</v>
      </c>
      <c r="H971" s="40" t="n">
        <v>0</v>
      </c>
      <c r="I971" s="40" t="n">
        <v>0</v>
      </c>
      <c r="J971" s="40" t="n">
        <v>0</v>
      </c>
      <c r="K971" s="40" t="n">
        <v>0</v>
      </c>
      <c r="L971" s="40" t="n">
        <v>0</v>
      </c>
    </row>
    <row r="972" ht="12" customHeight="1">
      <c r="A972" s="30" t="inlineStr">
        <is>
          <t>ITG</t>
        </is>
      </c>
      <c r="B972" s="30" t="inlineStr">
        <is>
          <t>Itaguai</t>
        </is>
      </c>
      <c r="C972" s="30" t="n">
        <v>78373571</v>
      </c>
      <c r="D972" s="30">
        <f>"09059609000100"</f>
        <v/>
      </c>
      <c r="E972" s="30" t="inlineStr">
        <is>
          <t>MM TRANSPORTES LOGISTICA E ARMAZENS LTDA ME</t>
        </is>
      </c>
      <c r="F972" s="40" t="n">
        <v>0</v>
      </c>
      <c r="G972" s="40" t="n">
        <v>0</v>
      </c>
      <c r="H972" s="40" t="n">
        <v>0</v>
      </c>
      <c r="I972" s="40" t="n">
        <v>0</v>
      </c>
      <c r="J972" s="40" t="n">
        <v>0</v>
      </c>
      <c r="K972" s="40" t="n">
        <v>0</v>
      </c>
      <c r="L972" s="40" t="n">
        <v>67809.13</v>
      </c>
    </row>
    <row r="973" ht="12" customHeight="1">
      <c r="A973" s="30" t="inlineStr">
        <is>
          <t>ITG</t>
        </is>
      </c>
      <c r="B973" s="30" t="inlineStr">
        <is>
          <t>Itaguai</t>
        </is>
      </c>
      <c r="C973" s="30" t="n">
        <v>78377070</v>
      </c>
      <c r="D973" s="30">
        <f>"09100594000187"</f>
        <v/>
      </c>
      <c r="E973" s="30" t="inlineStr">
        <is>
          <t>THATHYLIA COMERCIO DE ARTIGOS DO VESTUARIO EM GERAL LTDA</t>
        </is>
      </c>
      <c r="F973" s="40" t="n">
        <v>0</v>
      </c>
      <c r="G973" s="40" t="n">
        <v>0</v>
      </c>
      <c r="H973" s="40" t="n">
        <v>0</v>
      </c>
      <c r="I973" s="40" t="n">
        <v>0</v>
      </c>
      <c r="J973" s="40" t="n">
        <v>0</v>
      </c>
      <c r="K973" s="40" t="n">
        <v>0</v>
      </c>
      <c r="L973" s="40" t="n">
        <v>0</v>
      </c>
    </row>
    <row r="974" ht="12" customHeight="1">
      <c r="A974" s="30" t="inlineStr">
        <is>
          <t>ITG</t>
        </is>
      </c>
      <c r="B974" s="30" t="inlineStr">
        <is>
          <t>Itaguai</t>
        </is>
      </c>
      <c r="C974" s="30" t="n">
        <v>78387548</v>
      </c>
      <c r="D974" s="30">
        <f>"09132659000176"</f>
        <v/>
      </c>
      <c r="E974" s="30" t="inlineStr">
        <is>
          <t>EMBRATEL TVSAT TELECOMUNICACOES S A</t>
        </is>
      </c>
      <c r="F974" s="40" t="n">
        <v>3171666.42</v>
      </c>
      <c r="G974" s="40" t="n">
        <v>2483192.83</v>
      </c>
      <c r="H974" s="40" t="n">
        <v>2254393.69</v>
      </c>
      <c r="I974" s="40" t="n">
        <v>1634319.75</v>
      </c>
      <c r="J974" s="40" t="n">
        <v>1290997.32</v>
      </c>
      <c r="K974" s="40" t="n">
        <v>1038096.9</v>
      </c>
      <c r="L974" s="40" t="n">
        <v>848843.04</v>
      </c>
    </row>
    <row r="975" ht="12" customHeight="1">
      <c r="A975" s="30" t="inlineStr">
        <is>
          <t>ITG</t>
        </is>
      </c>
      <c r="B975" s="30" t="inlineStr">
        <is>
          <t>Itaguai</t>
        </is>
      </c>
      <c r="C975" s="30" t="n">
        <v>78401524</v>
      </c>
      <c r="D975" s="30">
        <f>"09032695000168"</f>
        <v/>
      </c>
      <c r="E975" s="30" t="inlineStr">
        <is>
          <t>GLOBAL OPERACOES PORTUARIAS S A</t>
        </is>
      </c>
      <c r="F975" s="40" t="n">
        <v>0</v>
      </c>
      <c r="G975" s="40" t="n">
        <v>0</v>
      </c>
      <c r="H975" s="40" t="n">
        <v>0</v>
      </c>
      <c r="I975" s="40" t="n">
        <v>0</v>
      </c>
      <c r="J975" s="40" t="n">
        <v>0</v>
      </c>
      <c r="K975" s="40" t="n">
        <v>0</v>
      </c>
      <c r="L975" s="40" t="n">
        <v>0</v>
      </c>
    </row>
    <row r="976" ht="12" customHeight="1">
      <c r="A976" s="30" t="inlineStr">
        <is>
          <t>ITG</t>
        </is>
      </c>
      <c r="B976" s="30" t="inlineStr">
        <is>
          <t>Itaguai</t>
        </is>
      </c>
      <c r="C976" s="30" t="n">
        <v>78401923</v>
      </c>
      <c r="D976" s="30">
        <f>"09054570000139"</f>
        <v/>
      </c>
      <c r="E976" s="30" t="inlineStr">
        <is>
          <t>MARKO SISTEMAS METALICOS DE CONSTRUCAO LTDA</t>
        </is>
      </c>
      <c r="F976" s="40" t="n">
        <v>8489938.48</v>
      </c>
      <c r="G976" s="40" t="n">
        <v>7959771.39</v>
      </c>
      <c r="H976" s="40" t="n">
        <v>21943265.49</v>
      </c>
      <c r="I976" s="40" t="n">
        <v>36736172.79</v>
      </c>
      <c r="J976" s="40" t="n">
        <v>105498835.21</v>
      </c>
      <c r="K976" s="40" t="n">
        <v>99765888.38</v>
      </c>
      <c r="L976" s="40" t="n">
        <v>71209039.67</v>
      </c>
    </row>
    <row r="977" ht="12" customHeight="1">
      <c r="A977" s="30" t="inlineStr">
        <is>
          <t>ITG</t>
        </is>
      </c>
      <c r="B977" s="30" t="inlineStr">
        <is>
          <t>Itaguai</t>
        </is>
      </c>
      <c r="C977" s="30" t="n">
        <v>78402687</v>
      </c>
      <c r="D977" s="30">
        <f>"04884082000640"</f>
        <v/>
      </c>
      <c r="E977" s="30" t="inlineStr">
        <is>
          <t>JADLOG LOGISTICA S.A.</t>
        </is>
      </c>
      <c r="F977" s="40" t="n">
        <v>0</v>
      </c>
      <c r="G977" s="40" t="n">
        <v>68919.50999999999</v>
      </c>
      <c r="H977" s="40" t="n">
        <v>222081.15</v>
      </c>
      <c r="I977" s="40" t="n">
        <v>0</v>
      </c>
      <c r="J977" s="40" t="n">
        <v>0</v>
      </c>
      <c r="K977" s="40" t="n">
        <v>611509.8199999999</v>
      </c>
      <c r="L977" s="40" t="n">
        <v>59541.51</v>
      </c>
    </row>
    <row r="978" ht="12" customHeight="1">
      <c r="A978" s="30" t="inlineStr">
        <is>
          <t>ITG</t>
        </is>
      </c>
      <c r="B978" s="30" t="inlineStr">
        <is>
          <t>Itaguai</t>
        </is>
      </c>
      <c r="C978" s="30" t="n">
        <v>78416742</v>
      </c>
      <c r="D978" s="30">
        <f>"09193823000155"</f>
        <v/>
      </c>
      <c r="E978" s="30" t="inlineStr">
        <is>
          <t>START ONE TRANSPORTES DE RESIDUOS E LOCACOES EIRELI EPP</t>
        </is>
      </c>
      <c r="F978" s="40" t="n">
        <v>0</v>
      </c>
      <c r="G978" s="40" t="n">
        <v>0</v>
      </c>
      <c r="H978" s="40" t="n">
        <v>0</v>
      </c>
      <c r="I978" s="40" t="n">
        <v>0</v>
      </c>
      <c r="J978" s="40" t="n">
        <v>0</v>
      </c>
      <c r="K978" s="40" t="n">
        <v>0</v>
      </c>
      <c r="L978" s="40" t="n">
        <v>0</v>
      </c>
    </row>
    <row r="979" ht="12" customHeight="1">
      <c r="A979" s="30" t="inlineStr">
        <is>
          <t>ITG</t>
        </is>
      </c>
      <c r="B979" s="30" t="inlineStr">
        <is>
          <t>Itaguai</t>
        </is>
      </c>
      <c r="C979" s="30" t="n">
        <v>78419709</v>
      </c>
      <c r="D979" s="30">
        <f>"09229680000194"</f>
        <v/>
      </c>
      <c r="E979" s="30" t="inlineStr">
        <is>
          <t>MONTEIRO &amp; NASCIMENTO TRANSPORTADORA LTDA EPP</t>
        </is>
      </c>
      <c r="F979" s="40" t="n">
        <v>0</v>
      </c>
      <c r="G979" s="40" t="n">
        <v>0</v>
      </c>
      <c r="H979" s="40" t="n">
        <v>21638.15</v>
      </c>
      <c r="I979" s="40" t="n">
        <v>29861.81</v>
      </c>
      <c r="J979" s="40" t="n">
        <v>33310.4</v>
      </c>
      <c r="K979" s="40" t="n">
        <v>14609.92</v>
      </c>
      <c r="L979" s="40" t="n">
        <v>8959.74</v>
      </c>
    </row>
    <row r="980" ht="12" customHeight="1">
      <c r="A980" s="30" t="inlineStr">
        <is>
          <t>ITG</t>
        </is>
      </c>
      <c r="B980" s="30" t="inlineStr">
        <is>
          <t>Itaguai</t>
        </is>
      </c>
      <c r="C980" s="30" t="n">
        <v>78426438</v>
      </c>
      <c r="D980" s="30">
        <f>"09185485000100"</f>
        <v/>
      </c>
      <c r="E980" s="30" t="inlineStr">
        <is>
          <t>ENEVA COMERCIALIZADORA DE ENERGIA LTDA</t>
        </is>
      </c>
      <c r="F980" s="40" t="n">
        <v>0</v>
      </c>
      <c r="G980" s="40" t="n">
        <v>7806727.76</v>
      </c>
      <c r="H980" s="40" t="n">
        <v>0</v>
      </c>
      <c r="I980" s="40" t="n">
        <v>0</v>
      </c>
      <c r="J980" s="40" t="n">
        <v>0</v>
      </c>
      <c r="K980" s="40" t="n">
        <v>0</v>
      </c>
      <c r="L980" s="40" t="n">
        <v>0</v>
      </c>
    </row>
    <row r="981" ht="12" customHeight="1">
      <c r="A981" s="30" t="inlineStr">
        <is>
          <t>ITG</t>
        </is>
      </c>
      <c r="B981" s="30" t="inlineStr">
        <is>
          <t>Itaguai</t>
        </is>
      </c>
      <c r="C981" s="30" t="n">
        <v>78427221</v>
      </c>
      <c r="D981" s="30">
        <f>"09272239000195"</f>
        <v/>
      </c>
      <c r="E981" s="30" t="inlineStr">
        <is>
          <t>AUTO POSTO ITACOM LTDA</t>
        </is>
      </c>
      <c r="F981" s="40" t="n">
        <v>0</v>
      </c>
      <c r="G981" s="40" t="n">
        <v>0</v>
      </c>
      <c r="H981" s="40" t="n">
        <v>0</v>
      </c>
      <c r="I981" s="40" t="n">
        <v>0</v>
      </c>
      <c r="J981" s="40" t="n">
        <v>0</v>
      </c>
      <c r="K981" s="40" t="n">
        <v>0</v>
      </c>
      <c r="L981" s="40" t="n">
        <v>0</v>
      </c>
    </row>
    <row r="982" ht="12" customHeight="1">
      <c r="A982" s="30" t="inlineStr">
        <is>
          <t>ITG</t>
        </is>
      </c>
      <c r="B982" s="30" t="inlineStr">
        <is>
          <t>Itaguai</t>
        </is>
      </c>
      <c r="C982" s="30" t="n">
        <v>78432926</v>
      </c>
      <c r="D982" s="30">
        <f>"04931041000233"</f>
        <v/>
      </c>
      <c r="E982" s="30" t="inlineStr">
        <is>
          <t>TUTTA L"ORA PAVUNA COM?RCIO DE ALIMENTOS LTDA</t>
        </is>
      </c>
      <c r="F982" s="40" t="n">
        <v>0</v>
      </c>
      <c r="G982" s="40" t="n">
        <v>0</v>
      </c>
      <c r="H982" s="40" t="n">
        <v>0</v>
      </c>
      <c r="I982" s="40" t="n">
        <v>0</v>
      </c>
      <c r="J982" s="40" t="n">
        <v>0</v>
      </c>
      <c r="K982" s="40" t="n">
        <v>0</v>
      </c>
      <c r="L982" s="40" t="n">
        <v>0</v>
      </c>
    </row>
    <row r="983" ht="12" customHeight="1">
      <c r="A983" s="30" t="inlineStr">
        <is>
          <t>ITG</t>
        </is>
      </c>
      <c r="B983" s="30" t="inlineStr">
        <is>
          <t>Itaguai</t>
        </is>
      </c>
      <c r="C983" s="30" t="n">
        <v>78436379</v>
      </c>
      <c r="D983" s="30">
        <f>"39527817000239"</f>
        <v/>
      </c>
      <c r="E983" s="30" t="inlineStr">
        <is>
          <t>ACO RUBER COMERCIAL LTDA EPP</t>
        </is>
      </c>
      <c r="F983" s="40" t="n">
        <v>2776271.15</v>
      </c>
      <c r="G983" s="40" t="n">
        <v>3022236.08</v>
      </c>
      <c r="H983" s="40" t="n">
        <v>3550984.55</v>
      </c>
      <c r="I983" s="40" t="n">
        <v>3692457.29</v>
      </c>
      <c r="J983" s="40" t="n">
        <v>5247047.51</v>
      </c>
      <c r="K983" s="40" t="n">
        <v>5762933.06</v>
      </c>
      <c r="L983" s="40" t="n">
        <v>4709209.46</v>
      </c>
    </row>
    <row r="984" ht="12" customHeight="1">
      <c r="A984" s="30" t="inlineStr">
        <is>
          <t>ITG</t>
        </is>
      </c>
      <c r="B984" s="30" t="inlineStr">
        <is>
          <t>Itaguai</t>
        </is>
      </c>
      <c r="C984" s="30" t="n">
        <v>78451297</v>
      </c>
      <c r="D984" s="30">
        <f>"74508292000376"</f>
        <v/>
      </c>
      <c r="E984" s="30" t="inlineStr">
        <is>
          <t>REMOVECARGA COMERCIAL E TRANSPORTES LTDA</t>
        </is>
      </c>
      <c r="F984" s="40" t="n">
        <v>0</v>
      </c>
      <c r="G984" s="40" t="n">
        <v>261124.83</v>
      </c>
      <c r="H984" s="40" t="n">
        <v>0</v>
      </c>
      <c r="I984" s="40" t="n">
        <v>416104.9</v>
      </c>
      <c r="J984" s="40" t="n">
        <v>0</v>
      </c>
      <c r="K984" s="40" t="n">
        <v>0</v>
      </c>
      <c r="L984" s="40" t="n">
        <v>0</v>
      </c>
    </row>
    <row r="985" ht="12" customHeight="1">
      <c r="A985" s="30" t="inlineStr">
        <is>
          <t>ITG</t>
        </is>
      </c>
      <c r="B985" s="30" t="inlineStr">
        <is>
          <t>Itaguai</t>
        </is>
      </c>
      <c r="C985" s="30" t="n">
        <v>78454059</v>
      </c>
      <c r="D985" s="30">
        <f>"06041638000157"</f>
        <v/>
      </c>
      <c r="E985" s="30" t="inlineStr">
        <is>
          <t>COOTACOM COOPERATIVA DE TRANSPORTADORES E AMIGOS DO COLEGIO MILITAR LTDA</t>
        </is>
      </c>
      <c r="F985" s="40" t="n">
        <v>0</v>
      </c>
      <c r="G985" s="40" t="n">
        <v>0</v>
      </c>
      <c r="H985" s="40" t="n">
        <v>8750</v>
      </c>
      <c r="I985" s="40" t="n">
        <v>0</v>
      </c>
      <c r="J985" s="40" t="n">
        <v>2100</v>
      </c>
      <c r="K985" s="40" t="n">
        <v>0</v>
      </c>
      <c r="L985" s="40" t="n">
        <v>0</v>
      </c>
    </row>
    <row r="986" ht="12" customHeight="1">
      <c r="A986" s="30" t="inlineStr">
        <is>
          <t>ITG</t>
        </is>
      </c>
      <c r="B986" s="30" t="inlineStr">
        <is>
          <t>Itaguai</t>
        </is>
      </c>
      <c r="C986" s="30" t="n">
        <v>78464038</v>
      </c>
      <c r="D986" s="30">
        <f>"17638271001141"</f>
        <v/>
      </c>
      <c r="E986" s="30" t="inlineStr">
        <is>
          <t>SETE SERVICOS DE ENTREGA DE TITULOS E ENCOMENDAS LTDA</t>
        </is>
      </c>
      <c r="F986" s="40" t="n">
        <v>136.63</v>
      </c>
      <c r="G986" s="40" t="n">
        <v>107.81</v>
      </c>
      <c r="H986" s="40" t="n">
        <v>0</v>
      </c>
      <c r="I986" s="40" t="n">
        <v>0</v>
      </c>
      <c r="J986" s="40" t="n">
        <v>0</v>
      </c>
      <c r="K986" s="40" t="n">
        <v>0</v>
      </c>
      <c r="L986" s="40" t="n">
        <v>0</v>
      </c>
    </row>
    <row r="987" ht="12" customHeight="1">
      <c r="A987" s="30" t="inlineStr">
        <is>
          <t>ITG</t>
        </is>
      </c>
      <c r="B987" s="30" t="inlineStr">
        <is>
          <t>Itaguai</t>
        </is>
      </c>
      <c r="C987" s="30" t="n">
        <v>78465115</v>
      </c>
      <c r="D987" s="30">
        <f>"07508782000113"</f>
        <v/>
      </c>
      <c r="E987" s="30" t="inlineStr">
        <is>
          <t>COOPITAGUAI COOPERATIVA MISTA DE TRABALHO E CONSUMO DOS CONDUTORES DE TRANSPORTE TAXISTAS E AFINS DO MUNICIPIO DE ITAGUAI LTDA</t>
        </is>
      </c>
      <c r="F987" s="40" t="n">
        <v>343364.85</v>
      </c>
      <c r="G987" s="40" t="n">
        <v>0</v>
      </c>
      <c r="H987" s="40" t="n">
        <v>0</v>
      </c>
      <c r="I987" s="40" t="n">
        <v>0</v>
      </c>
      <c r="J987" s="40" t="n">
        <v>0</v>
      </c>
      <c r="K987" s="40" t="n">
        <v>0</v>
      </c>
      <c r="L987" s="40" t="n">
        <v>0</v>
      </c>
    </row>
    <row r="988" ht="12" customHeight="1">
      <c r="A988" s="30" t="inlineStr">
        <is>
          <t>ITG</t>
        </is>
      </c>
      <c r="B988" s="30" t="inlineStr">
        <is>
          <t>Itaguai</t>
        </is>
      </c>
      <c r="C988" s="30" t="n">
        <v>78466219</v>
      </c>
      <c r="D988" s="30">
        <f>"09373684000141"</f>
        <v/>
      </c>
      <c r="E988" s="30" t="inlineStr">
        <is>
          <t>RAPHAEL R SANTOS ME</t>
        </is>
      </c>
      <c r="F988" s="40" t="n">
        <v>0</v>
      </c>
      <c r="G988" s="40" t="n">
        <v>0</v>
      </c>
      <c r="H988" s="40" t="n">
        <v>0</v>
      </c>
      <c r="I988" s="40" t="n">
        <v>0</v>
      </c>
      <c r="J988" s="40" t="n">
        <v>0</v>
      </c>
      <c r="K988" s="40" t="n">
        <v>0</v>
      </c>
      <c r="L988" s="40" t="n">
        <v>0</v>
      </c>
    </row>
    <row r="989" ht="12" customHeight="1">
      <c r="A989" s="30" t="inlineStr">
        <is>
          <t>ITG</t>
        </is>
      </c>
      <c r="B989" s="30" t="inlineStr">
        <is>
          <t>Itaguai</t>
        </is>
      </c>
      <c r="C989" s="30" t="n">
        <v>78481269</v>
      </c>
      <c r="D989" s="30">
        <f>"09360018000179"</f>
        <v/>
      </c>
      <c r="E989" s="30" t="inlineStr">
        <is>
          <t>PEREIRA NUNES GOURMET EXPRESSO LTDA ME</t>
        </is>
      </c>
      <c r="F989" s="40" t="n">
        <v>220099.5</v>
      </c>
      <c r="G989" s="40" t="n">
        <v>255579</v>
      </c>
      <c r="H989" s="40" t="n">
        <v>210240</v>
      </c>
      <c r="I989" s="40" t="n">
        <v>204342.5</v>
      </c>
      <c r="J989" s="40" t="n">
        <v>0</v>
      </c>
      <c r="K989" s="40" t="n">
        <v>0</v>
      </c>
      <c r="L989" s="40" t="n">
        <v>0</v>
      </c>
    </row>
    <row r="990" ht="12" customHeight="1">
      <c r="A990" s="30" t="inlineStr">
        <is>
          <t>ITG</t>
        </is>
      </c>
      <c r="B990" s="30" t="inlineStr">
        <is>
          <t>Itaguai</t>
        </is>
      </c>
      <c r="C990" s="30" t="n">
        <v>78487941</v>
      </c>
      <c r="D990" s="30">
        <f>"09452341000172"</f>
        <v/>
      </c>
      <c r="E990" s="30" t="inlineStr">
        <is>
          <t>EXPRESSO ANGRENSE DE TURISMO LTDA EPP</t>
        </is>
      </c>
      <c r="F990" s="40" t="n">
        <v>6200</v>
      </c>
      <c r="G990" s="40" t="n">
        <v>14150</v>
      </c>
      <c r="H990" s="40" t="n">
        <v>23090.77</v>
      </c>
      <c r="I990" s="40" t="n">
        <v>7450</v>
      </c>
      <c r="J990" s="40" t="n">
        <v>1000</v>
      </c>
      <c r="K990" s="40" t="n">
        <v>8780</v>
      </c>
      <c r="L990" s="40" t="n">
        <v>0</v>
      </c>
    </row>
    <row r="991" ht="12" customHeight="1">
      <c r="A991" s="30" t="inlineStr">
        <is>
          <t>ITG</t>
        </is>
      </c>
      <c r="B991" s="30" t="inlineStr">
        <is>
          <t>Itaguai</t>
        </is>
      </c>
      <c r="C991" s="30" t="n">
        <v>78494506</v>
      </c>
      <c r="D991" s="30">
        <f>"00634453000846"</f>
        <v/>
      </c>
      <c r="E991" s="30" t="inlineStr">
        <is>
          <t>T S V TRANSPORTES RAPIDOS LTDA</t>
        </is>
      </c>
      <c r="F991" s="40" t="n">
        <v>1298.16</v>
      </c>
      <c r="G991" s="40" t="n">
        <v>983.78</v>
      </c>
      <c r="H991" s="40" t="n">
        <v>18952.61</v>
      </c>
      <c r="I991" s="40" t="n">
        <v>1354.68</v>
      </c>
      <c r="J991" s="40" t="n">
        <v>812.66</v>
      </c>
      <c r="K991" s="40" t="n">
        <v>581.02</v>
      </c>
      <c r="L991" s="40" t="n">
        <v>546.4299999999999</v>
      </c>
    </row>
    <row r="992" ht="12" customHeight="1">
      <c r="A992" s="30" t="inlineStr">
        <is>
          <t>ITG</t>
        </is>
      </c>
      <c r="B992" s="30" t="inlineStr">
        <is>
          <t>Itaguai</t>
        </is>
      </c>
      <c r="C992" s="30" t="n">
        <v>78498560</v>
      </c>
      <c r="D992" s="30">
        <f>"01107327000553"</f>
        <v/>
      </c>
      <c r="E992" s="30" t="inlineStr">
        <is>
          <t>BBM LOGISTICA SA</t>
        </is>
      </c>
      <c r="F992" s="40" t="n">
        <v>0</v>
      </c>
      <c r="G992" s="40" t="n">
        <v>2924.36</v>
      </c>
      <c r="H992" s="40" t="n">
        <v>0</v>
      </c>
      <c r="I992" s="40" t="n">
        <v>8960.35</v>
      </c>
      <c r="J992" s="40" t="n">
        <v>284652.73</v>
      </c>
      <c r="K992" s="40" t="n">
        <v>1577.78</v>
      </c>
      <c r="L992" s="40" t="n">
        <v>630.4299999999999</v>
      </c>
    </row>
    <row r="993" ht="12" customHeight="1">
      <c r="A993" s="30" t="inlineStr">
        <is>
          <t>ITG</t>
        </is>
      </c>
      <c r="B993" s="30" t="inlineStr">
        <is>
          <t>Itaguai</t>
        </is>
      </c>
      <c r="C993" s="30" t="n">
        <v>78513080</v>
      </c>
      <c r="D993" s="30">
        <f>"09540744000173"</f>
        <v/>
      </c>
      <c r="E993" s="30" t="inlineStr">
        <is>
          <t>CLEBER SOUZA DOS SANTOS</t>
        </is>
      </c>
      <c r="F993" s="40" t="n">
        <v>0</v>
      </c>
      <c r="G993" s="40" t="n">
        <v>0</v>
      </c>
      <c r="H993" s="40" t="n">
        <v>0</v>
      </c>
      <c r="I993" s="40" t="n">
        <v>0</v>
      </c>
      <c r="J993" s="40" t="n">
        <v>0</v>
      </c>
      <c r="K993" s="40" t="n">
        <v>0</v>
      </c>
      <c r="L993" s="40" t="n">
        <v>0</v>
      </c>
    </row>
    <row r="994" ht="12" customHeight="1">
      <c r="A994" s="30" t="inlineStr">
        <is>
          <t>ITG</t>
        </is>
      </c>
      <c r="B994" s="30" t="inlineStr">
        <is>
          <t>Itaguai</t>
        </is>
      </c>
      <c r="C994" s="30" t="n">
        <v>78520302</v>
      </c>
      <c r="D994" s="30">
        <f>"09366418000353"</f>
        <v/>
      </c>
      <c r="E994" s="30" t="inlineStr">
        <is>
          <t>RECREIO RIO MOTOS COMERCIO E REPRESENTACOES LTDA</t>
        </is>
      </c>
      <c r="F994" s="40" t="n">
        <v>1453539.66</v>
      </c>
      <c r="G994" s="40" t="n">
        <v>1815129.47</v>
      </c>
      <c r="H994" s="40" t="n">
        <v>2575383.55</v>
      </c>
      <c r="I994" s="40" t="n">
        <v>3389240.5</v>
      </c>
      <c r="J994" s="40" t="n">
        <v>5470453.65</v>
      </c>
      <c r="K994" s="40" t="n">
        <v>7267583.6</v>
      </c>
      <c r="L994" s="40" t="n">
        <v>8927485.800000001</v>
      </c>
    </row>
    <row r="995" ht="12" customHeight="1">
      <c r="A995" s="30" t="inlineStr">
        <is>
          <t>ITG</t>
        </is>
      </c>
      <c r="B995" s="30" t="inlineStr">
        <is>
          <t>Itaguai</t>
        </is>
      </c>
      <c r="C995" s="30" t="n">
        <v>78524251</v>
      </c>
      <c r="D995" s="30">
        <f>"03290982000191"</f>
        <v/>
      </c>
      <c r="E995" s="30" t="inlineStr">
        <is>
          <t>CASAPLAN EMPREENDIMENTOS IMOBILIARIOS LTDA</t>
        </is>
      </c>
      <c r="F995" s="40" t="n">
        <v>0</v>
      </c>
      <c r="G995" s="40" t="n">
        <v>0</v>
      </c>
      <c r="H995" s="40" t="n">
        <v>0</v>
      </c>
      <c r="I995" s="40" t="n">
        <v>0</v>
      </c>
      <c r="J995" s="40" t="n">
        <v>0</v>
      </c>
      <c r="K995" s="40" t="n">
        <v>0</v>
      </c>
      <c r="L995" s="40" t="n">
        <v>0</v>
      </c>
    </row>
    <row r="996" ht="12" customHeight="1">
      <c r="A996" s="30" t="inlineStr">
        <is>
          <t>ITG</t>
        </is>
      </c>
      <c r="B996" s="30" t="inlineStr">
        <is>
          <t>Itaguai</t>
        </is>
      </c>
      <c r="C996" s="30" t="n">
        <v>78545224</v>
      </c>
      <c r="D996" s="30">
        <f>"09676994000135"</f>
        <v/>
      </c>
      <c r="E996" s="30" t="inlineStr">
        <is>
          <t>AMP SIMETRIA MODAS LTDA</t>
        </is>
      </c>
      <c r="F996" s="40" t="n">
        <v>0</v>
      </c>
      <c r="G996" s="40" t="n">
        <v>0</v>
      </c>
      <c r="H996" s="40" t="n">
        <v>0</v>
      </c>
      <c r="I996" s="40" t="n">
        <v>0</v>
      </c>
      <c r="J996" s="40" t="n">
        <v>0</v>
      </c>
      <c r="K996" s="40" t="n">
        <v>0</v>
      </c>
      <c r="L996" s="40" t="n">
        <v>0</v>
      </c>
    </row>
    <row r="997" ht="12" customHeight="1">
      <c r="A997" s="30" t="inlineStr">
        <is>
          <t>ITG</t>
        </is>
      </c>
      <c r="B997" s="30" t="inlineStr">
        <is>
          <t>Itaguai</t>
        </is>
      </c>
      <c r="C997" s="30" t="n">
        <v>78552786</v>
      </c>
      <c r="D997" s="30">
        <f>"06913480000591"</f>
        <v/>
      </c>
      <c r="E997" s="30" t="inlineStr">
        <is>
          <t>DIMENSIONAL CENTELHA SOLUÇÕES LTDA</t>
        </is>
      </c>
      <c r="F997" s="40" t="n">
        <v>0</v>
      </c>
      <c r="G997" s="40" t="n">
        <v>0</v>
      </c>
      <c r="H997" s="40" t="n">
        <v>0</v>
      </c>
      <c r="I997" s="40" t="n">
        <v>0</v>
      </c>
      <c r="J997" s="40" t="n">
        <v>0</v>
      </c>
      <c r="K997" s="40" t="n">
        <v>0</v>
      </c>
      <c r="L997" s="40" t="n">
        <v>0</v>
      </c>
    </row>
    <row r="998" ht="12" customHeight="1">
      <c r="A998" s="30" t="inlineStr">
        <is>
          <t>ITG</t>
        </is>
      </c>
      <c r="B998" s="30" t="inlineStr">
        <is>
          <t>Itaguai</t>
        </is>
      </c>
      <c r="C998" s="30" t="n">
        <v>78560142</v>
      </c>
      <c r="D998" s="30">
        <f>"10247527000179"</f>
        <v/>
      </c>
      <c r="E998" s="30" t="inlineStr">
        <is>
          <t>RODOVIARIO FRETBUS FRETAMENTO DE ONIBUS E TURISMO LTDA-EPP</t>
        </is>
      </c>
      <c r="F998" s="40" t="n">
        <v>0</v>
      </c>
      <c r="G998" s="40" t="n">
        <v>0</v>
      </c>
      <c r="H998" s="40" t="n">
        <v>0</v>
      </c>
      <c r="I998" s="40" t="n">
        <v>0</v>
      </c>
      <c r="J998" s="40" t="n">
        <v>0</v>
      </c>
      <c r="K998" s="40" t="n">
        <v>0</v>
      </c>
      <c r="L998" s="40" t="n">
        <v>1600</v>
      </c>
    </row>
    <row r="999" ht="12" customHeight="1">
      <c r="A999" s="30" t="inlineStr">
        <is>
          <t>ITG</t>
        </is>
      </c>
      <c r="B999" s="30" t="inlineStr">
        <is>
          <t>Itaguai</t>
        </is>
      </c>
      <c r="C999" s="30" t="n">
        <v>78562749</v>
      </c>
      <c r="D999" s="30">
        <f>"04622116001608"</f>
        <v/>
      </c>
      <c r="E999" s="30" t="inlineStr">
        <is>
          <t>ALGAR MULTIMIDIA S/A</t>
        </is>
      </c>
      <c r="F999" s="40" t="n">
        <v>1166070.06</v>
      </c>
      <c r="G999" s="40" t="n">
        <v>1106978.17</v>
      </c>
      <c r="H999" s="40" t="n">
        <v>1014689.44</v>
      </c>
      <c r="I999" s="40" t="n">
        <v>672868.02</v>
      </c>
      <c r="J999" s="40" t="n">
        <v>450927.2</v>
      </c>
      <c r="K999" s="40" t="n">
        <v>336437.2</v>
      </c>
      <c r="L999" s="40" t="n">
        <v>304450.4</v>
      </c>
    </row>
    <row r="1000" ht="12" customHeight="1">
      <c r="A1000" s="30" t="inlineStr">
        <is>
          <t>ITG</t>
        </is>
      </c>
      <c r="B1000" s="30" t="inlineStr">
        <is>
          <t>Itaguai</t>
        </is>
      </c>
      <c r="C1000" s="30" t="n">
        <v>78579242</v>
      </c>
      <c r="D1000" s="30">
        <f>"19199348000269"</f>
        <v/>
      </c>
      <c r="E1000" s="30" t="inlineStr">
        <is>
          <t>SADA TRANSPORTES E ARMAZENAGENS S/A</t>
        </is>
      </c>
      <c r="F1000" s="40" t="n">
        <v>111674.9</v>
      </c>
      <c r="G1000" s="40" t="n">
        <v>16964.64</v>
      </c>
      <c r="H1000" s="40" t="n">
        <v>0</v>
      </c>
      <c r="I1000" s="40" t="n">
        <v>0</v>
      </c>
      <c r="J1000" s="40" t="n">
        <v>0</v>
      </c>
      <c r="K1000" s="40" t="n">
        <v>0</v>
      </c>
      <c r="L1000" s="40" t="n">
        <v>0</v>
      </c>
    </row>
    <row r="1001" ht="12" customHeight="1">
      <c r="A1001" s="30" t="inlineStr">
        <is>
          <t>ITG</t>
        </is>
      </c>
      <c r="B1001" s="30" t="inlineStr">
        <is>
          <t>Itaguai</t>
        </is>
      </c>
      <c r="C1001" s="30" t="n">
        <v>78579358</v>
      </c>
      <c r="D1001" s="30">
        <f>"10304682000180"</f>
        <v/>
      </c>
      <c r="E1001" s="30" t="inlineStr">
        <is>
          <t>MX SAMA ALIMENTOS LTDA EPP</t>
        </is>
      </c>
      <c r="F1001" s="40" t="n">
        <v>0</v>
      </c>
      <c r="G1001" s="40" t="n">
        <v>0</v>
      </c>
      <c r="H1001" s="40" t="n">
        <v>0</v>
      </c>
      <c r="I1001" s="40" t="n">
        <v>0</v>
      </c>
      <c r="J1001" s="40" t="n">
        <v>0</v>
      </c>
      <c r="K1001" s="40" t="n">
        <v>0</v>
      </c>
      <c r="L1001" s="40" t="n">
        <v>0</v>
      </c>
    </row>
    <row r="1002" ht="12" customHeight="1">
      <c r="A1002" s="30" t="inlineStr">
        <is>
          <t>ITG</t>
        </is>
      </c>
      <c r="B1002" s="30" t="inlineStr">
        <is>
          <t>Itaguai</t>
        </is>
      </c>
      <c r="C1002" s="30" t="n">
        <v>78581298</v>
      </c>
      <c r="D1002" s="30">
        <f>"13579271000780"</f>
        <v/>
      </c>
      <c r="E1002" s="30" t="inlineStr">
        <is>
          <t>RAJAN TRANSPORTES COM E IND LTDA</t>
        </is>
      </c>
      <c r="F1002" s="40" t="n">
        <v>0</v>
      </c>
      <c r="G1002" s="40" t="n">
        <v>0</v>
      </c>
      <c r="H1002" s="40" t="n">
        <v>0</v>
      </c>
      <c r="I1002" s="40" t="n">
        <v>0</v>
      </c>
      <c r="J1002" s="40" t="n">
        <v>1807.13</v>
      </c>
      <c r="K1002" s="40" t="n">
        <v>719.14</v>
      </c>
      <c r="L1002" s="40" t="n">
        <v>0</v>
      </c>
    </row>
    <row r="1003" ht="12" customHeight="1">
      <c r="A1003" s="30" t="inlineStr">
        <is>
          <t>ITG</t>
        </is>
      </c>
      <c r="B1003" s="30" t="inlineStr">
        <is>
          <t>Itaguai</t>
        </is>
      </c>
      <c r="C1003" s="30" t="n">
        <v>78581620</v>
      </c>
      <c r="D1003" s="30">
        <f>"10142068000169"</f>
        <v/>
      </c>
      <c r="E1003" s="30" t="inlineStr">
        <is>
          <t>FRIGOMIX INDUSTRIA E COMERCIO DE CARNES LTDA</t>
        </is>
      </c>
      <c r="F1003" s="40" t="n">
        <v>16566199.09</v>
      </c>
      <c r="G1003" s="40" t="n">
        <v>20580676.38</v>
      </c>
      <c r="H1003" s="40" t="n">
        <v>18664080.62</v>
      </c>
      <c r="I1003" s="40" t="n">
        <v>23006550.09</v>
      </c>
      <c r="J1003" s="40" t="n">
        <v>21459838.48</v>
      </c>
      <c r="K1003" s="40" t="n">
        <v>16780833.69</v>
      </c>
      <c r="L1003" s="40" t="n">
        <v>14347364.08</v>
      </c>
    </row>
    <row r="1004" ht="12" customHeight="1">
      <c r="A1004" s="30" t="inlineStr">
        <is>
          <t>ITG</t>
        </is>
      </c>
      <c r="B1004" s="30" t="inlineStr">
        <is>
          <t>Itaguai</t>
        </is>
      </c>
      <c r="C1004" s="30" t="n">
        <v>78583746</v>
      </c>
      <c r="D1004" s="30">
        <f>"10312737000101"</f>
        <v/>
      </c>
      <c r="E1004" s="30" t="inlineStr">
        <is>
          <t>N B TRANSPORTES DE MACAE LTDA</t>
        </is>
      </c>
      <c r="F1004" s="40" t="n">
        <v>0</v>
      </c>
      <c r="G1004" s="40" t="n">
        <v>0</v>
      </c>
      <c r="H1004" s="40" t="n">
        <v>0</v>
      </c>
      <c r="I1004" s="40" t="n">
        <v>0</v>
      </c>
      <c r="J1004" s="40" t="n">
        <v>0</v>
      </c>
      <c r="K1004" s="40" t="n">
        <v>0</v>
      </c>
      <c r="L1004" s="40" t="n">
        <v>2796</v>
      </c>
    </row>
    <row r="1005" ht="12" customHeight="1">
      <c r="A1005" s="30" t="inlineStr">
        <is>
          <t>ITG</t>
        </is>
      </c>
      <c r="B1005" s="30" t="inlineStr">
        <is>
          <t>Itaguai</t>
        </is>
      </c>
      <c r="C1005" s="30" t="n">
        <v>78587555</v>
      </c>
      <c r="D1005" s="30">
        <f>"10218686000145"</f>
        <v/>
      </c>
      <c r="E1005" s="30" t="inlineStr">
        <is>
          <t>MP SIMETRIA CALCADOS LTDA</t>
        </is>
      </c>
      <c r="F1005" s="40" t="n">
        <v>0</v>
      </c>
      <c r="G1005" s="40" t="n">
        <v>0</v>
      </c>
      <c r="H1005" s="40" t="n">
        <v>0</v>
      </c>
      <c r="I1005" s="40" t="n">
        <v>0</v>
      </c>
      <c r="J1005" s="40" t="n">
        <v>0</v>
      </c>
      <c r="K1005" s="40" t="n">
        <v>0</v>
      </c>
      <c r="L1005" s="40" t="n">
        <v>0</v>
      </c>
    </row>
    <row r="1006" ht="12" customHeight="1">
      <c r="A1006" s="30" t="inlineStr">
        <is>
          <t>ITG</t>
        </is>
      </c>
      <c r="B1006" s="30" t="inlineStr">
        <is>
          <t>Itaguai</t>
        </is>
      </c>
      <c r="C1006" s="30" t="n">
        <v>78604840</v>
      </c>
      <c r="D1006" s="30">
        <f>"10383159000196"</f>
        <v/>
      </c>
      <c r="E1006" s="30" t="inlineStr">
        <is>
          <t>DONATO TRANSPORTES LTDA</t>
        </is>
      </c>
      <c r="F1006" s="40" t="n">
        <v>10290</v>
      </c>
      <c r="G1006" s="40" t="n">
        <v>0</v>
      </c>
      <c r="H1006" s="40" t="n">
        <v>0</v>
      </c>
      <c r="I1006" s="40" t="n">
        <v>0</v>
      </c>
      <c r="J1006" s="40" t="n">
        <v>0</v>
      </c>
      <c r="K1006" s="40" t="n">
        <v>0</v>
      </c>
      <c r="L1006" s="40" t="n">
        <v>0</v>
      </c>
    </row>
    <row r="1007" ht="12" customHeight="1">
      <c r="A1007" s="30" t="inlineStr">
        <is>
          <t>ITG</t>
        </is>
      </c>
      <c r="B1007" s="30" t="inlineStr">
        <is>
          <t>Itaguai</t>
        </is>
      </c>
      <c r="C1007" s="30" t="n">
        <v>78613432</v>
      </c>
      <c r="D1007" s="30">
        <f>"10408064000180"</f>
        <v/>
      </c>
      <c r="E1007" s="30" t="inlineStr">
        <is>
          <t>TATY LACERDA MODAS LTDA ME</t>
        </is>
      </c>
      <c r="F1007" s="40" t="n">
        <v>0</v>
      </c>
      <c r="G1007" s="40" t="n">
        <v>0</v>
      </c>
      <c r="H1007" s="40" t="n">
        <v>0</v>
      </c>
      <c r="I1007" s="40" t="n">
        <v>0</v>
      </c>
      <c r="J1007" s="40" t="n">
        <v>0</v>
      </c>
      <c r="K1007" s="40" t="n">
        <v>0</v>
      </c>
      <c r="L1007" s="40" t="n">
        <v>0</v>
      </c>
    </row>
    <row r="1008" ht="12" customHeight="1">
      <c r="A1008" s="30" t="inlineStr">
        <is>
          <t>ITG</t>
        </is>
      </c>
      <c r="B1008" s="30" t="inlineStr">
        <is>
          <t>Itaguai</t>
        </is>
      </c>
      <c r="C1008" s="30" t="n">
        <v>78614200</v>
      </c>
      <c r="D1008" s="30">
        <f>"10290263000136"</f>
        <v/>
      </c>
      <c r="E1008" s="30" t="inlineStr">
        <is>
          <t>E LOURENCO EQUIPAMENTOS DE INFORMATICA LTDA ME</t>
        </is>
      </c>
      <c r="F1008" s="40" t="n">
        <v>0</v>
      </c>
      <c r="G1008" s="40" t="n">
        <v>0</v>
      </c>
      <c r="H1008" s="40" t="n">
        <v>0</v>
      </c>
      <c r="I1008" s="40" t="n">
        <v>0</v>
      </c>
      <c r="J1008" s="40" t="n">
        <v>0</v>
      </c>
      <c r="K1008" s="40" t="n">
        <v>0</v>
      </c>
      <c r="L1008" s="40" t="n">
        <v>0</v>
      </c>
    </row>
    <row r="1009" ht="12" customHeight="1">
      <c r="A1009" s="30" t="inlineStr">
        <is>
          <t>ITG</t>
        </is>
      </c>
      <c r="B1009" s="30" t="inlineStr">
        <is>
          <t>Itaguai</t>
        </is>
      </c>
      <c r="C1009" s="30" t="n">
        <v>78616326</v>
      </c>
      <c r="D1009" s="30">
        <f>"10393647000184"</f>
        <v/>
      </c>
      <c r="E1009" s="30" t="inlineStr">
        <is>
          <t>M A G TERRAPLANAGEM TRANSPORTE E LOGISTICA LTDA</t>
        </is>
      </c>
      <c r="F1009" s="40" t="n">
        <v>0</v>
      </c>
      <c r="G1009" s="40" t="n">
        <v>0</v>
      </c>
      <c r="H1009" s="40" t="n">
        <v>0</v>
      </c>
      <c r="I1009" s="40" t="n">
        <v>0</v>
      </c>
      <c r="J1009" s="40" t="n">
        <v>0</v>
      </c>
      <c r="K1009" s="40" t="n">
        <v>0</v>
      </c>
      <c r="L1009" s="40" t="n">
        <v>0</v>
      </c>
    </row>
    <row r="1010" ht="12" customHeight="1">
      <c r="A1010" s="30" t="inlineStr">
        <is>
          <t>ITG</t>
        </is>
      </c>
      <c r="B1010" s="30" t="inlineStr">
        <is>
          <t>Itaguai</t>
        </is>
      </c>
      <c r="C1010" s="30" t="n">
        <v>78632097</v>
      </c>
      <c r="D1010" s="30">
        <f>"07628915000195"</f>
        <v/>
      </c>
      <c r="E1010" s="30" t="inlineStr">
        <is>
          <t>TRANSPORTE RODOVIARIO CATUESA LTDA ME</t>
        </is>
      </c>
      <c r="F1010" s="40" t="n">
        <v>0</v>
      </c>
      <c r="G1010" s="40" t="n">
        <v>0</v>
      </c>
      <c r="H1010" s="40" t="n">
        <v>0</v>
      </c>
      <c r="I1010" s="40" t="n">
        <v>0</v>
      </c>
      <c r="J1010" s="40" t="n">
        <v>0</v>
      </c>
      <c r="K1010" s="40" t="n">
        <v>0</v>
      </c>
      <c r="L1010" s="40" t="n">
        <v>0</v>
      </c>
    </row>
    <row r="1011" ht="12" customHeight="1">
      <c r="A1011" s="30" t="inlineStr">
        <is>
          <t>ITG</t>
        </is>
      </c>
      <c r="B1011" s="30" t="inlineStr">
        <is>
          <t>Itaguai</t>
        </is>
      </c>
      <c r="C1011" s="30" t="n">
        <v>78633638</v>
      </c>
      <c r="D1011" s="30">
        <f>"10449779000180"</f>
        <v/>
      </c>
      <c r="E1011" s="30" t="inlineStr">
        <is>
          <t>MULTIFOX TRANSPORTES LTDA EPP</t>
        </is>
      </c>
      <c r="F1011" s="40" t="n">
        <v>1233.96</v>
      </c>
      <c r="G1011" s="40" t="n">
        <v>0</v>
      </c>
      <c r="H1011" s="40" t="n">
        <v>0</v>
      </c>
      <c r="I1011" s="40" t="n">
        <v>0</v>
      </c>
      <c r="J1011" s="40" t="n">
        <v>0</v>
      </c>
      <c r="K1011" s="40" t="n">
        <v>0</v>
      </c>
      <c r="L1011" s="40" t="n">
        <v>0</v>
      </c>
    </row>
    <row r="1012" ht="12" customHeight="1">
      <c r="A1012" s="30" t="inlineStr">
        <is>
          <t>ITG</t>
        </is>
      </c>
      <c r="B1012" s="30" t="inlineStr">
        <is>
          <t>Itaguai</t>
        </is>
      </c>
      <c r="C1012" s="30" t="n">
        <v>78643463</v>
      </c>
      <c r="D1012" s="30">
        <f>"00591531000368"</f>
        <v/>
      </c>
      <c r="E1012" s="30" t="inlineStr">
        <is>
          <t>E J DE SOUZA - TRANSPORTES</t>
        </is>
      </c>
      <c r="F1012" s="40" t="n">
        <v>0</v>
      </c>
      <c r="G1012" s="40" t="n">
        <v>0</v>
      </c>
      <c r="H1012" s="40" t="n">
        <v>266.51</v>
      </c>
      <c r="I1012" s="40" t="n">
        <v>70.73999999999999</v>
      </c>
      <c r="J1012" s="40" t="n">
        <v>0</v>
      </c>
      <c r="K1012" s="40" t="n">
        <v>0</v>
      </c>
      <c r="L1012" s="40" t="n">
        <v>0</v>
      </c>
    </row>
    <row r="1013" ht="12" customHeight="1">
      <c r="A1013" s="30" t="inlineStr">
        <is>
          <t>ITG</t>
        </is>
      </c>
      <c r="B1013" s="30" t="inlineStr">
        <is>
          <t>Itaguai</t>
        </is>
      </c>
      <c r="C1013" s="30" t="n">
        <v>78645288</v>
      </c>
      <c r="D1013" s="30">
        <f>"10386033000175"</f>
        <v/>
      </c>
      <c r="E1013" s="30" t="inlineStr">
        <is>
          <t>SHIVA TRANSPORTES LTDA</t>
        </is>
      </c>
      <c r="F1013" s="40" t="n">
        <v>0</v>
      </c>
      <c r="G1013" s="40" t="n">
        <v>0</v>
      </c>
      <c r="H1013" s="40" t="n">
        <v>0</v>
      </c>
      <c r="I1013" s="40" t="n">
        <v>0</v>
      </c>
      <c r="J1013" s="40" t="n">
        <v>0</v>
      </c>
      <c r="K1013" s="40" t="n">
        <v>0</v>
      </c>
      <c r="L1013" s="40" t="n">
        <v>8777.809999999999</v>
      </c>
    </row>
    <row r="1014" ht="12" customHeight="1">
      <c r="A1014" s="30" t="inlineStr">
        <is>
          <t>ITG</t>
        </is>
      </c>
      <c r="B1014" s="30" t="inlineStr">
        <is>
          <t>Itaguai</t>
        </is>
      </c>
      <c r="C1014" s="30" t="n">
        <v>78655747</v>
      </c>
      <c r="D1014" s="30">
        <f>"10520551000130"</f>
        <v/>
      </c>
      <c r="E1014" s="30" t="inlineStr">
        <is>
          <t>AGIFLEX TRANSPORTES DE CARGAS LTDA</t>
        </is>
      </c>
      <c r="F1014" s="40" t="n">
        <v>0</v>
      </c>
      <c r="G1014" s="40" t="n">
        <v>274.5</v>
      </c>
      <c r="H1014" s="40" t="n">
        <v>280.12</v>
      </c>
      <c r="I1014" s="40" t="n">
        <v>0</v>
      </c>
      <c r="J1014" s="40" t="n">
        <v>278.18</v>
      </c>
      <c r="K1014" s="40" t="n">
        <v>1147.73</v>
      </c>
      <c r="L1014" s="40" t="n">
        <v>5138.18</v>
      </c>
    </row>
    <row r="1015" ht="12" customHeight="1">
      <c r="A1015" s="30" t="inlineStr">
        <is>
          <t>ITG</t>
        </is>
      </c>
      <c r="B1015" s="30" t="inlineStr">
        <is>
          <t>Itaguai</t>
        </is>
      </c>
      <c r="C1015" s="30" t="n">
        <v>78666528</v>
      </c>
      <c r="D1015" s="30">
        <f>"10553018000174"</f>
        <v/>
      </c>
      <c r="E1015" s="30" t="inlineStr">
        <is>
          <t>RRLOG LOGISTICA E TRANSPORTADORA LTDA</t>
        </is>
      </c>
      <c r="F1015" s="40" t="n">
        <v>116.44</v>
      </c>
      <c r="G1015" s="40" t="n">
        <v>0</v>
      </c>
      <c r="H1015" s="40" t="n">
        <v>0</v>
      </c>
      <c r="I1015" s="40" t="n">
        <v>0</v>
      </c>
      <c r="J1015" s="40" t="n">
        <v>0</v>
      </c>
      <c r="K1015" s="40" t="n">
        <v>0</v>
      </c>
      <c r="L1015" s="40" t="n">
        <v>0</v>
      </c>
    </row>
    <row r="1016" ht="12" customHeight="1">
      <c r="A1016" s="30" t="inlineStr">
        <is>
          <t>ITG</t>
        </is>
      </c>
      <c r="B1016" s="30" t="inlineStr">
        <is>
          <t>Itaguai</t>
        </is>
      </c>
      <c r="C1016" s="30" t="n">
        <v>78672471</v>
      </c>
      <c r="D1016" s="30">
        <f>"10536388000101"</f>
        <v/>
      </c>
      <c r="E1016" s="30" t="inlineStr">
        <is>
          <t>CASIN CASA DA SINALIZACAO,INDUSTRIA  E COMERCIO DE PRODUTOS  DE</t>
        </is>
      </c>
      <c r="F1016" s="40" t="n">
        <v>46111.36</v>
      </c>
      <c r="G1016" s="40" t="n">
        <v>0</v>
      </c>
      <c r="H1016" s="40" t="n">
        <v>0</v>
      </c>
      <c r="I1016" s="40" t="n">
        <v>0</v>
      </c>
      <c r="J1016" s="40" t="n">
        <v>0</v>
      </c>
      <c r="K1016" s="40" t="n">
        <v>0</v>
      </c>
      <c r="L1016" s="40" t="n">
        <v>0</v>
      </c>
    </row>
    <row r="1017" ht="12" customHeight="1">
      <c r="A1017" s="30" t="inlineStr">
        <is>
          <t>ITG</t>
        </is>
      </c>
      <c r="B1017" s="30" t="inlineStr">
        <is>
          <t>Itaguai</t>
        </is>
      </c>
      <c r="C1017" s="30" t="n">
        <v>78675306</v>
      </c>
      <c r="D1017" s="30">
        <f>"10569074000105"</f>
        <v/>
      </c>
      <c r="E1017" s="30" t="inlineStr">
        <is>
          <t>DROGARIA RAMOS PIRES LTDA</t>
        </is>
      </c>
      <c r="F1017" s="40" t="n">
        <v>0</v>
      </c>
      <c r="G1017" s="40" t="n">
        <v>0</v>
      </c>
      <c r="H1017" s="40" t="n">
        <v>276100.05</v>
      </c>
      <c r="I1017" s="40" t="n">
        <v>97226.17</v>
      </c>
      <c r="J1017" s="40" t="n">
        <v>25006.71</v>
      </c>
      <c r="K1017" s="40" t="n">
        <v>0</v>
      </c>
      <c r="L1017" s="40" t="n">
        <v>0</v>
      </c>
    </row>
    <row r="1018" ht="12" customHeight="1">
      <c r="A1018" s="30" t="inlineStr">
        <is>
          <t>ITG</t>
        </is>
      </c>
      <c r="B1018" s="30" t="inlineStr">
        <is>
          <t>Itaguai</t>
        </is>
      </c>
      <c r="C1018" s="30" t="n">
        <v>78676850</v>
      </c>
      <c r="D1018" s="30">
        <f>"09296295000321"</f>
        <v/>
      </c>
      <c r="E1018" s="30" t="inlineStr">
        <is>
          <t>AZUL LINHAS AEREAS BRASILEIRAS S A</t>
        </is>
      </c>
      <c r="F1018" s="40" t="n">
        <v>1084.01</v>
      </c>
      <c r="G1018" s="40" t="n">
        <v>1092.11</v>
      </c>
      <c r="H1018" s="40" t="n">
        <v>0</v>
      </c>
      <c r="I1018" s="40" t="n">
        <v>0</v>
      </c>
      <c r="J1018" s="40" t="n">
        <v>0</v>
      </c>
      <c r="K1018" s="40" t="n">
        <v>0</v>
      </c>
      <c r="L1018" s="40" t="n">
        <v>0</v>
      </c>
    </row>
    <row r="1019" ht="12" customHeight="1">
      <c r="A1019" s="30" t="inlineStr">
        <is>
          <t>ITG</t>
        </is>
      </c>
      <c r="B1019" s="30" t="inlineStr">
        <is>
          <t>Itaguai</t>
        </is>
      </c>
      <c r="C1019" s="30" t="n">
        <v>78682566</v>
      </c>
      <c r="D1019" s="30">
        <f>"08599609000130"</f>
        <v/>
      </c>
      <c r="E1019" s="30" t="inlineStr">
        <is>
          <t>IGUANA ENROLAMENTO DE MOTORES LTDA</t>
        </is>
      </c>
      <c r="F1019" s="40" t="n">
        <v>0</v>
      </c>
      <c r="G1019" s="40" t="n">
        <v>0</v>
      </c>
      <c r="H1019" s="40" t="n">
        <v>0</v>
      </c>
      <c r="I1019" s="40" t="n">
        <v>0</v>
      </c>
      <c r="J1019" s="40" t="n">
        <v>0</v>
      </c>
      <c r="K1019" s="40" t="n">
        <v>0</v>
      </c>
      <c r="L1019" s="40" t="n">
        <v>0</v>
      </c>
    </row>
    <row r="1020" ht="12" customHeight="1">
      <c r="A1020" s="30" t="inlineStr">
        <is>
          <t>ITG</t>
        </is>
      </c>
      <c r="B1020" s="30" t="inlineStr">
        <is>
          <t>Itaguai</t>
        </is>
      </c>
      <c r="C1020" s="30" t="n">
        <v>78686111</v>
      </c>
      <c r="D1020" s="30">
        <f>"10526585000131"</f>
        <v/>
      </c>
      <c r="E1020" s="30" t="inlineStr">
        <is>
          <t>TILIM DISTRIBUIDORA DE ALIMENTOS LTDA</t>
        </is>
      </c>
      <c r="F1020" s="40" t="n">
        <v>0</v>
      </c>
      <c r="G1020" s="40" t="n">
        <v>0</v>
      </c>
      <c r="H1020" s="40" t="n">
        <v>0</v>
      </c>
      <c r="I1020" s="40" t="n">
        <v>0</v>
      </c>
      <c r="J1020" s="40" t="n">
        <v>0</v>
      </c>
      <c r="K1020" s="40" t="n">
        <v>409183.34</v>
      </c>
      <c r="L1020" s="40" t="n">
        <v>148797.57</v>
      </c>
    </row>
    <row r="1021" ht="12" customHeight="1">
      <c r="A1021" s="30" t="inlineStr">
        <is>
          <t>ITG</t>
        </is>
      </c>
      <c r="B1021" s="30" t="inlineStr">
        <is>
          <t>Itaguai</t>
        </is>
      </c>
      <c r="C1021" s="30" t="n">
        <v>78686707</v>
      </c>
      <c r="D1021" s="30">
        <f>"10505938000117"</f>
        <v/>
      </c>
      <c r="E1021" s="30" t="inlineStr">
        <is>
          <t>EMPRESA DE TRANSPORTES INVICTA X LTDA ME</t>
        </is>
      </c>
      <c r="F1021" s="40" t="n">
        <v>0</v>
      </c>
      <c r="G1021" s="40" t="n">
        <v>0</v>
      </c>
      <c r="H1021" s="40" t="n">
        <v>0</v>
      </c>
      <c r="I1021" s="40" t="n">
        <v>19262.78</v>
      </c>
      <c r="J1021" s="40" t="n">
        <v>0</v>
      </c>
      <c r="K1021" s="40" t="n">
        <v>0</v>
      </c>
      <c r="L1021" s="40" t="n">
        <v>0</v>
      </c>
    </row>
    <row r="1022" ht="12" customHeight="1">
      <c r="A1022" s="30" t="inlineStr">
        <is>
          <t>ITG</t>
        </is>
      </c>
      <c r="B1022" s="30" t="inlineStr">
        <is>
          <t>Itaguai</t>
        </is>
      </c>
      <c r="C1022" s="30" t="n">
        <v>78696362</v>
      </c>
      <c r="D1022" s="30">
        <f>"39777776000158"</f>
        <v/>
      </c>
      <c r="E1022" s="30" t="inlineStr">
        <is>
          <t>LASSAC REPRESENTACOES LTDA - ME</t>
        </is>
      </c>
      <c r="F1022" s="40" t="n">
        <v>0</v>
      </c>
      <c r="G1022" s="40" t="n">
        <v>0</v>
      </c>
      <c r="H1022" s="40" t="n">
        <v>0</v>
      </c>
      <c r="I1022" s="40" t="n">
        <v>114831.74</v>
      </c>
      <c r="J1022" s="40" t="n">
        <v>91847.99000000001</v>
      </c>
      <c r="K1022" s="40" t="n">
        <v>240456.27</v>
      </c>
      <c r="L1022" s="40" t="n">
        <v>0</v>
      </c>
    </row>
    <row r="1023" ht="12" customHeight="1">
      <c r="A1023" s="30" t="inlineStr">
        <is>
          <t>ITG</t>
        </is>
      </c>
      <c r="B1023" s="30" t="inlineStr">
        <is>
          <t>Itaguai</t>
        </is>
      </c>
      <c r="C1023" s="30" t="n">
        <v>78704284</v>
      </c>
      <c r="D1023" s="30">
        <f>"08512037000372"</f>
        <v/>
      </c>
      <c r="E1023" s="30" t="inlineStr">
        <is>
          <t>GHISOLFI LOGISTICA E TRANSPORTE LTDA</t>
        </is>
      </c>
      <c r="F1023" s="40" t="n">
        <v>0</v>
      </c>
      <c r="G1023" s="40" t="n">
        <v>0</v>
      </c>
      <c r="H1023" s="40" t="n">
        <v>0</v>
      </c>
      <c r="I1023" s="40" t="n">
        <v>0</v>
      </c>
      <c r="J1023" s="40" t="n">
        <v>7096.8</v>
      </c>
      <c r="K1023" s="40" t="n">
        <v>0</v>
      </c>
      <c r="L1023" s="40" t="n">
        <v>0</v>
      </c>
    </row>
    <row r="1024" ht="12" customHeight="1">
      <c r="A1024" s="30" t="inlineStr">
        <is>
          <t>ITG</t>
        </is>
      </c>
      <c r="B1024" s="30" t="inlineStr">
        <is>
          <t>Itaguai</t>
        </is>
      </c>
      <c r="C1024" s="30" t="n">
        <v>78718021</v>
      </c>
      <c r="D1024" s="30">
        <f>"74155052000416"</f>
        <v/>
      </c>
      <c r="E1024" s="30" t="inlineStr">
        <is>
          <t>UPS DO BRASIL REMESSAS EXPRESSAS LTDA</t>
        </is>
      </c>
      <c r="F1024" s="40" t="n">
        <v>737.03</v>
      </c>
      <c r="G1024" s="40" t="n">
        <v>304.12</v>
      </c>
      <c r="H1024" s="40" t="n">
        <v>199.5</v>
      </c>
      <c r="I1024" s="40" t="n">
        <v>86.27</v>
      </c>
      <c r="J1024" s="40" t="n">
        <v>479.45</v>
      </c>
      <c r="K1024" s="40" t="n">
        <v>519.88</v>
      </c>
      <c r="L1024" s="40" t="n">
        <v>533.73</v>
      </c>
    </row>
    <row r="1025" ht="12" customHeight="1">
      <c r="A1025" s="30" t="inlineStr">
        <is>
          <t>ITG</t>
        </is>
      </c>
      <c r="B1025" s="30" t="inlineStr">
        <is>
          <t>Itaguai</t>
        </is>
      </c>
      <c r="C1025" s="30" t="n">
        <v>78724226</v>
      </c>
      <c r="D1025" s="30">
        <f>"09452900000306"</f>
        <v/>
      </c>
      <c r="E1025" s="30" t="inlineStr">
        <is>
          <t>VIX TRANSPORTES DEDICADOS LTDA</t>
        </is>
      </c>
      <c r="F1025" s="40" t="n">
        <v>0</v>
      </c>
      <c r="G1025" s="40" t="n">
        <v>0</v>
      </c>
      <c r="H1025" s="40" t="n">
        <v>0</v>
      </c>
      <c r="I1025" s="40" t="n">
        <v>0</v>
      </c>
      <c r="J1025" s="40" t="n">
        <v>0</v>
      </c>
      <c r="K1025" s="40" t="n">
        <v>0</v>
      </c>
      <c r="L1025" s="40" t="n">
        <v>5718.19</v>
      </c>
    </row>
    <row r="1026" ht="12" customHeight="1">
      <c r="A1026" s="30" t="inlineStr">
        <is>
          <t>ITG</t>
        </is>
      </c>
      <c r="B1026" s="30" t="inlineStr">
        <is>
          <t>Itaguai</t>
        </is>
      </c>
      <c r="C1026" s="30" t="n">
        <v>78731451</v>
      </c>
      <c r="D1026" s="30">
        <f>"07360468000217"</f>
        <v/>
      </c>
      <c r="E1026" s="30" t="inlineStr">
        <is>
          <t>MTR LOGISTICA LTDA</t>
        </is>
      </c>
      <c r="F1026" s="40" t="n">
        <v>296.47</v>
      </c>
      <c r="G1026" s="40" t="n">
        <v>386.45</v>
      </c>
      <c r="H1026" s="40" t="n">
        <v>0</v>
      </c>
      <c r="I1026" s="40" t="n">
        <v>0</v>
      </c>
      <c r="J1026" s="40" t="n">
        <v>0</v>
      </c>
      <c r="K1026" s="40" t="n">
        <v>0</v>
      </c>
      <c r="L1026" s="40" t="n">
        <v>0</v>
      </c>
    </row>
    <row r="1027" ht="12" customHeight="1">
      <c r="A1027" s="30" t="inlineStr">
        <is>
          <t>ITG</t>
        </is>
      </c>
      <c r="B1027" s="30" t="inlineStr">
        <is>
          <t>Itaguai</t>
        </is>
      </c>
      <c r="C1027" s="30" t="n">
        <v>78754117</v>
      </c>
      <c r="D1027" s="30">
        <f>"60869336020657"</f>
        <v/>
      </c>
      <c r="E1027" s="30" t="inlineStr">
        <is>
          <t>LAFARGEHOLCIM (BRASIL) S A</t>
        </is>
      </c>
      <c r="F1027" s="40" t="n">
        <v>0</v>
      </c>
      <c r="G1027" s="40" t="n">
        <v>0</v>
      </c>
      <c r="H1027" s="40" t="n">
        <v>0</v>
      </c>
      <c r="I1027" s="40" t="n">
        <v>0</v>
      </c>
      <c r="J1027" s="40" t="n">
        <v>0</v>
      </c>
      <c r="K1027" s="40" t="n">
        <v>0</v>
      </c>
      <c r="L1027" s="40" t="n">
        <v>0</v>
      </c>
    </row>
    <row r="1028" ht="12" customHeight="1">
      <c r="A1028" s="30" t="inlineStr">
        <is>
          <t>ITG</t>
        </is>
      </c>
      <c r="B1028" s="30" t="inlineStr">
        <is>
          <t>Itaguai</t>
        </is>
      </c>
      <c r="C1028" s="30" t="n">
        <v>78760230</v>
      </c>
      <c r="D1028" s="30">
        <f>"08310839000138"</f>
        <v/>
      </c>
      <c r="E1028" s="30" t="inlineStr">
        <is>
          <t>PORTO SUDESTE DO BRASIL S A</t>
        </is>
      </c>
      <c r="F1028" s="40" t="n">
        <v>0</v>
      </c>
      <c r="G1028" s="40" t="n">
        <v>0</v>
      </c>
      <c r="H1028" s="40" t="n">
        <v>0</v>
      </c>
      <c r="I1028" s="40" t="n">
        <v>0</v>
      </c>
      <c r="J1028" s="40" t="n">
        <v>0</v>
      </c>
      <c r="K1028" s="40" t="n">
        <v>0</v>
      </c>
      <c r="L1028" s="40" t="n">
        <v>0</v>
      </c>
    </row>
    <row r="1029" ht="12" customHeight="1">
      <c r="A1029" s="30" t="inlineStr">
        <is>
          <t>ITG</t>
        </is>
      </c>
      <c r="B1029" s="30" t="inlineStr">
        <is>
          <t>Itaguai</t>
        </is>
      </c>
      <c r="C1029" s="30" t="n">
        <v>78775211</v>
      </c>
      <c r="D1029" s="30">
        <f>"10904999000157"</f>
        <v/>
      </c>
      <c r="E1029" s="30" t="inlineStr">
        <is>
          <t>FIGUEIRA &amp; CIA REPRESENTACAO COMERCIAL E SERVICOS TECNICOS LTDA</t>
        </is>
      </c>
      <c r="F1029" s="40" t="n">
        <v>0</v>
      </c>
      <c r="G1029" s="40" t="n">
        <v>0</v>
      </c>
      <c r="H1029" s="40" t="n">
        <v>0</v>
      </c>
      <c r="I1029" s="40" t="n">
        <v>0</v>
      </c>
      <c r="J1029" s="40" t="n">
        <v>0</v>
      </c>
      <c r="K1029" s="40" t="n">
        <v>0</v>
      </c>
      <c r="L1029" s="40" t="n">
        <v>0</v>
      </c>
    </row>
    <row r="1030" ht="12" customHeight="1">
      <c r="A1030" s="30" t="inlineStr">
        <is>
          <t>ITG</t>
        </is>
      </c>
      <c r="B1030" s="30" t="inlineStr">
        <is>
          <t>Itaguai</t>
        </is>
      </c>
      <c r="C1030" s="30" t="n">
        <v>78776323</v>
      </c>
      <c r="D1030" s="30">
        <f>"03098929000436"</f>
        <v/>
      </c>
      <c r="E1030" s="30" t="inlineStr">
        <is>
          <t>SETE LAGOAS TRANSPORTES LTDA ME</t>
        </is>
      </c>
      <c r="F1030" s="40" t="n">
        <v>1492.37</v>
      </c>
      <c r="G1030" s="40" t="n">
        <v>683.14</v>
      </c>
      <c r="H1030" s="40" t="n">
        <v>93.68000000000001</v>
      </c>
      <c r="I1030" s="40" t="n">
        <v>0</v>
      </c>
      <c r="J1030" s="40" t="n">
        <v>3581.13</v>
      </c>
      <c r="K1030" s="40" t="n">
        <v>1476.3</v>
      </c>
      <c r="L1030" s="40" t="n">
        <v>1026.77</v>
      </c>
    </row>
    <row r="1031" ht="12" customHeight="1">
      <c r="A1031" s="30" t="inlineStr">
        <is>
          <t>ITG</t>
        </is>
      </c>
      <c r="B1031" s="30" t="inlineStr">
        <is>
          <t>Itaguai</t>
        </is>
      </c>
      <c r="C1031" s="30" t="n">
        <v>78776633</v>
      </c>
      <c r="D1031" s="30">
        <f>"72189988000602"</f>
        <v/>
      </c>
      <c r="E1031" s="30" t="inlineStr">
        <is>
          <t>EMPRESA DE ONIBUS ROSA LTDA</t>
        </is>
      </c>
      <c r="F1031" s="40" t="n">
        <v>8784980.93</v>
      </c>
      <c r="G1031" s="40" t="n">
        <v>7908044.04</v>
      </c>
      <c r="H1031" s="40" t="n">
        <v>4005297.27</v>
      </c>
      <c r="I1031" s="40" t="n">
        <v>2541925.11</v>
      </c>
      <c r="J1031" s="40" t="n">
        <v>3195725.92</v>
      </c>
      <c r="K1031" s="40" t="n">
        <v>2912868.61</v>
      </c>
      <c r="L1031" s="40" t="n">
        <v>2540808.67</v>
      </c>
    </row>
    <row r="1032" ht="12" customHeight="1">
      <c r="A1032" s="30" t="inlineStr">
        <is>
          <t>ITG</t>
        </is>
      </c>
      <c r="B1032" s="30" t="inlineStr">
        <is>
          <t>Itaguai</t>
        </is>
      </c>
      <c r="C1032" s="30" t="n">
        <v>78779691</v>
      </c>
      <c r="D1032" s="30">
        <f>"10865047000171"</f>
        <v/>
      </c>
      <c r="E1032" s="30" t="inlineStr">
        <is>
          <t>POUSADA E LAZER CANTINHO DA ROÇA LTDA</t>
        </is>
      </c>
      <c r="F1032" s="40" t="n">
        <v>0</v>
      </c>
      <c r="G1032" s="40" t="n">
        <v>0</v>
      </c>
      <c r="H1032" s="40" t="n">
        <v>0</v>
      </c>
      <c r="I1032" s="40" t="n">
        <v>0</v>
      </c>
      <c r="J1032" s="40" t="n">
        <v>0</v>
      </c>
      <c r="K1032" s="40" t="n">
        <v>0</v>
      </c>
      <c r="L1032" s="40" t="n">
        <v>0</v>
      </c>
    </row>
    <row r="1033" ht="12" customHeight="1">
      <c r="A1033" s="30" t="inlineStr">
        <is>
          <t>ITG</t>
        </is>
      </c>
      <c r="B1033" s="30" t="inlineStr">
        <is>
          <t>Itaguai</t>
        </is>
      </c>
      <c r="C1033" s="30" t="n">
        <v>78782544</v>
      </c>
      <c r="D1033" s="30">
        <f>"10928631000129"</f>
        <v/>
      </c>
      <c r="E1033" s="30" t="inlineStr">
        <is>
          <t>RIVETTI COM?RCIO E SERVI?OS T?CNICOS LTDA</t>
        </is>
      </c>
      <c r="F1033" s="40" t="n">
        <v>0</v>
      </c>
      <c r="G1033" s="40" t="n">
        <v>0</v>
      </c>
      <c r="H1033" s="40" t="n">
        <v>0</v>
      </c>
      <c r="I1033" s="40" t="n">
        <v>0</v>
      </c>
      <c r="J1033" s="40" t="n">
        <v>0</v>
      </c>
      <c r="K1033" s="40" t="n">
        <v>0</v>
      </c>
      <c r="L1033" s="40" t="n">
        <v>0</v>
      </c>
    </row>
    <row r="1034" ht="12" customHeight="1">
      <c r="A1034" s="30" t="inlineStr">
        <is>
          <t>ITG</t>
        </is>
      </c>
      <c r="B1034" s="30" t="inlineStr">
        <is>
          <t>Itaguai</t>
        </is>
      </c>
      <c r="C1034" s="30" t="n">
        <v>78782986</v>
      </c>
      <c r="D1034" s="30">
        <f>"08472792000109"</f>
        <v/>
      </c>
      <c r="E1034" s="30" t="inlineStr">
        <is>
          <t>TERRAPLAN RJ LOCAÇÕES LTDA</t>
        </is>
      </c>
      <c r="F1034" s="40" t="n">
        <v>0</v>
      </c>
      <c r="G1034" s="40" t="n">
        <v>0</v>
      </c>
      <c r="H1034" s="40" t="n">
        <v>0</v>
      </c>
      <c r="I1034" s="40" t="n">
        <v>0</v>
      </c>
      <c r="J1034" s="40" t="n">
        <v>0</v>
      </c>
      <c r="K1034" s="40" t="n">
        <v>0</v>
      </c>
      <c r="L1034" s="40" t="n">
        <v>0</v>
      </c>
    </row>
    <row r="1035" ht="12" customHeight="1">
      <c r="A1035" s="30" t="inlineStr">
        <is>
          <t>ITG</t>
        </is>
      </c>
      <c r="B1035" s="30" t="inlineStr">
        <is>
          <t>Itaguai</t>
        </is>
      </c>
      <c r="C1035" s="30" t="n">
        <v>78788496</v>
      </c>
      <c r="D1035" s="30">
        <f>"10955881000158"</f>
        <v/>
      </c>
      <c r="E1035" s="30" t="inlineStr">
        <is>
          <t>CHACARA SANTA BARBARA DE ITAGUAI LTDA</t>
        </is>
      </c>
      <c r="F1035" s="40" t="n">
        <v>0</v>
      </c>
      <c r="G1035" s="40" t="n">
        <v>0</v>
      </c>
      <c r="H1035" s="40" t="n">
        <v>0</v>
      </c>
      <c r="I1035" s="40" t="n">
        <v>0</v>
      </c>
      <c r="J1035" s="40" t="n">
        <v>0</v>
      </c>
      <c r="K1035" s="40" t="n">
        <v>0</v>
      </c>
      <c r="L1035" s="40" t="n">
        <v>0</v>
      </c>
    </row>
    <row r="1036" ht="12" customHeight="1">
      <c r="A1036" s="30" t="inlineStr">
        <is>
          <t>ITG</t>
        </is>
      </c>
      <c r="B1036" s="30" t="inlineStr">
        <is>
          <t>Itaguai</t>
        </is>
      </c>
      <c r="C1036" s="30" t="n">
        <v>78790865</v>
      </c>
      <c r="D1036" s="30">
        <f>"10955352000154"</f>
        <v/>
      </c>
      <c r="E1036" s="30" t="inlineStr">
        <is>
          <t>PRS EMPRESA ADMINISTRADORA DE POSTOS DE COMBUSTIVEIS LTDA</t>
        </is>
      </c>
      <c r="F1036" s="40" t="n">
        <v>1581460.64</v>
      </c>
      <c r="G1036" s="40" t="n">
        <v>1107205.63</v>
      </c>
      <c r="H1036" s="40" t="n">
        <v>1767762.13</v>
      </c>
      <c r="I1036" s="40" t="n">
        <v>4627236.57</v>
      </c>
      <c r="J1036" s="40" t="n">
        <v>26500.51</v>
      </c>
      <c r="K1036" s="40" t="n">
        <v>2314617.94</v>
      </c>
      <c r="L1036" s="40" t="n">
        <v>2281007.18</v>
      </c>
    </row>
    <row r="1037" ht="12" customHeight="1">
      <c r="A1037" s="30" t="inlineStr">
        <is>
          <t>ITG</t>
        </is>
      </c>
      <c r="B1037" s="30" t="inlineStr">
        <is>
          <t>Itaguai</t>
        </is>
      </c>
      <c r="C1037" s="30" t="n">
        <v>78795700</v>
      </c>
      <c r="D1037" s="30">
        <f>"10914634000103"</f>
        <v/>
      </c>
      <c r="E1037" s="30" t="inlineStr">
        <is>
          <t>PEGADA FORTE INDUSTRIA DE ARGAMASSAS LTDA</t>
        </is>
      </c>
      <c r="F1037" s="40" t="n">
        <v>0</v>
      </c>
      <c r="G1037" s="40" t="n">
        <v>8911655.390000001</v>
      </c>
      <c r="H1037" s="40" t="n">
        <v>8935912.949999999</v>
      </c>
      <c r="I1037" s="40" t="n">
        <v>10199168.95</v>
      </c>
      <c r="J1037" s="40" t="n">
        <v>1650538</v>
      </c>
      <c r="K1037" s="40" t="n">
        <v>0</v>
      </c>
      <c r="L1037" s="40" t="n">
        <v>0</v>
      </c>
    </row>
    <row r="1038" ht="12" customHeight="1">
      <c r="A1038" s="30" t="inlineStr">
        <is>
          <t>ITG</t>
        </is>
      </c>
      <c r="B1038" s="30" t="inlineStr">
        <is>
          <t>Itaguai</t>
        </is>
      </c>
      <c r="C1038" s="30" t="n">
        <v>78797509</v>
      </c>
      <c r="D1038" s="30">
        <f>"08310839000308"</f>
        <v/>
      </c>
      <c r="E1038" s="30" t="inlineStr">
        <is>
          <t>PORTO SUDESTE DO BRASIL S A</t>
        </is>
      </c>
      <c r="F1038" s="40" t="n">
        <v>0</v>
      </c>
      <c r="G1038" s="40" t="n">
        <v>0</v>
      </c>
      <c r="H1038" s="40" t="n">
        <v>0</v>
      </c>
      <c r="I1038" s="40" t="n">
        <v>0</v>
      </c>
      <c r="J1038" s="40" t="n">
        <v>0</v>
      </c>
      <c r="K1038" s="40" t="n">
        <v>0</v>
      </c>
      <c r="L1038" s="40" t="n">
        <v>0</v>
      </c>
    </row>
    <row r="1039" ht="12" customHeight="1">
      <c r="A1039" s="30" t="inlineStr">
        <is>
          <t>ITG</t>
        </is>
      </c>
      <c r="B1039" s="30" t="inlineStr">
        <is>
          <t>Itaguai</t>
        </is>
      </c>
      <c r="C1039" s="30" t="n">
        <v>78797517</v>
      </c>
      <c r="D1039" s="30">
        <f>"08310839000219"</f>
        <v/>
      </c>
      <c r="E1039" s="30" t="inlineStr">
        <is>
          <t>PORTO SUDESTE DO BRASIL S A</t>
        </is>
      </c>
      <c r="F1039" s="40" t="n">
        <v>0</v>
      </c>
      <c r="G1039" s="40" t="n">
        <v>0</v>
      </c>
      <c r="H1039" s="40" t="n">
        <v>0</v>
      </c>
      <c r="I1039" s="40" t="n">
        <v>0</v>
      </c>
      <c r="J1039" s="40" t="n">
        <v>0</v>
      </c>
      <c r="K1039" s="40" t="n">
        <v>0</v>
      </c>
      <c r="L1039" s="40" t="n">
        <v>0</v>
      </c>
    </row>
    <row r="1040" ht="12" customHeight="1">
      <c r="A1040" s="30" t="inlineStr">
        <is>
          <t>ITG</t>
        </is>
      </c>
      <c r="B1040" s="30" t="inlineStr">
        <is>
          <t>Itaguai</t>
        </is>
      </c>
      <c r="C1040" s="30" t="n">
        <v>78802693</v>
      </c>
      <c r="D1040" s="30">
        <f>"10949805000130"</f>
        <v/>
      </c>
      <c r="E1040" s="30" t="inlineStr">
        <is>
          <t>C A A DOS S CANDIDA COMERCIO DE GAS ME</t>
        </is>
      </c>
      <c r="F1040" s="40" t="n">
        <v>565035.15</v>
      </c>
      <c r="G1040" s="40" t="n">
        <v>0</v>
      </c>
      <c r="H1040" s="40" t="n">
        <v>0</v>
      </c>
      <c r="I1040" s="40" t="n">
        <v>0</v>
      </c>
      <c r="J1040" s="40" t="n">
        <v>0</v>
      </c>
      <c r="K1040" s="40" t="n">
        <v>0</v>
      </c>
      <c r="L1040" s="40" t="n">
        <v>0</v>
      </c>
    </row>
    <row r="1041" ht="12" customHeight="1">
      <c r="A1041" s="30" t="inlineStr">
        <is>
          <t>ITG</t>
        </is>
      </c>
      <c r="B1041" s="30" t="inlineStr">
        <is>
          <t>Itaguai</t>
        </is>
      </c>
      <c r="C1041" s="30" t="n">
        <v>78808209</v>
      </c>
      <c r="D1041" s="30">
        <f>"11011612000104"</f>
        <v/>
      </c>
      <c r="E1041" s="30" t="inlineStr">
        <is>
          <t>ZL LOG LOGISTICA LTDA</t>
        </is>
      </c>
      <c r="F1041" s="40" t="n">
        <v>2210</v>
      </c>
      <c r="G1041" s="40" t="n">
        <v>2416603.8</v>
      </c>
      <c r="H1041" s="40" t="n">
        <v>0</v>
      </c>
      <c r="I1041" s="40" t="n">
        <v>0</v>
      </c>
      <c r="J1041" s="40" t="n">
        <v>0</v>
      </c>
      <c r="K1041" s="40" t="n">
        <v>0</v>
      </c>
      <c r="L1041" s="40" t="n">
        <v>0</v>
      </c>
    </row>
    <row r="1042" ht="12" customHeight="1">
      <c r="A1042" s="30" t="inlineStr">
        <is>
          <t>ITG</t>
        </is>
      </c>
      <c r="B1042" s="30" t="inlineStr">
        <is>
          <t>Itaguai</t>
        </is>
      </c>
      <c r="C1042" s="30" t="n">
        <v>78813997</v>
      </c>
      <c r="D1042" s="30">
        <f>"10861580000165"</f>
        <v/>
      </c>
      <c r="E1042" s="30" t="inlineStr">
        <is>
          <t>EUCLIDES JOSE DE CERQUEIRA FILHO</t>
        </is>
      </c>
      <c r="F1042" s="40" t="n">
        <v>0</v>
      </c>
      <c r="G1042" s="40" t="n">
        <v>0</v>
      </c>
      <c r="H1042" s="40" t="n">
        <v>0</v>
      </c>
      <c r="I1042" s="40" t="n">
        <v>0</v>
      </c>
      <c r="J1042" s="40" t="n">
        <v>0</v>
      </c>
      <c r="K1042" s="40" t="n">
        <v>0</v>
      </c>
      <c r="L1042" s="40" t="n">
        <v>0</v>
      </c>
    </row>
    <row r="1043" ht="12" customHeight="1">
      <c r="A1043" s="30" t="inlineStr">
        <is>
          <t>ITG</t>
        </is>
      </c>
      <c r="B1043" s="30" t="inlineStr">
        <is>
          <t>Itaguai</t>
        </is>
      </c>
      <c r="C1043" s="30" t="n">
        <v>78826266</v>
      </c>
      <c r="D1043" s="30">
        <f>"10957487000159"</f>
        <v/>
      </c>
      <c r="E1043" s="30" t="inlineStr">
        <is>
          <t>DAJA QUIOSQUE E MADEIRAS LTDA ME</t>
        </is>
      </c>
      <c r="F1043" s="40" t="n">
        <v>0</v>
      </c>
      <c r="G1043" s="40" t="n">
        <v>0</v>
      </c>
      <c r="H1043" s="40" t="n">
        <v>0</v>
      </c>
      <c r="I1043" s="40" t="n">
        <v>0</v>
      </c>
      <c r="J1043" s="40" t="n">
        <v>0</v>
      </c>
      <c r="K1043" s="40" t="n">
        <v>0</v>
      </c>
      <c r="L1043" s="40" t="n">
        <v>18856.81</v>
      </c>
    </row>
    <row r="1044" ht="12" customHeight="1">
      <c r="A1044" s="30" t="inlineStr">
        <is>
          <t>ITG</t>
        </is>
      </c>
      <c r="B1044" s="30" t="inlineStr">
        <is>
          <t>Itaguai</t>
        </is>
      </c>
      <c r="C1044" s="30" t="n">
        <v>78827661</v>
      </c>
      <c r="D1044" s="30">
        <f>"02303036000331"</f>
        <v/>
      </c>
      <c r="E1044" s="30" t="inlineStr">
        <is>
          <t>CLURCRI DISTRIBUIDORA DE GAS EIRELI ME</t>
        </is>
      </c>
      <c r="F1044" s="40" t="n">
        <v>17318.83</v>
      </c>
      <c r="G1044" s="40" t="n">
        <v>0</v>
      </c>
      <c r="H1044" s="40" t="n">
        <v>0</v>
      </c>
      <c r="I1044" s="40" t="n">
        <v>0</v>
      </c>
      <c r="J1044" s="40" t="n">
        <v>0</v>
      </c>
      <c r="K1044" s="40" t="n">
        <v>0</v>
      </c>
      <c r="L1044" s="40" t="n">
        <v>0</v>
      </c>
    </row>
    <row r="1045" ht="12" customHeight="1">
      <c r="A1045" s="30" t="inlineStr">
        <is>
          <t>ITG</t>
        </is>
      </c>
      <c r="B1045" s="30" t="inlineStr">
        <is>
          <t>Itaguai</t>
        </is>
      </c>
      <c r="C1045" s="30" t="n">
        <v>78828358</v>
      </c>
      <c r="D1045" s="30">
        <f>"11078742000156"</f>
        <v/>
      </c>
      <c r="E1045" s="30" t="inlineStr">
        <is>
          <t>G N P PREPARACAO E COMERCIO DE DERIVADOS DE CARNES LTDA</t>
        </is>
      </c>
      <c r="F1045" s="40" t="n">
        <v>0</v>
      </c>
      <c r="G1045" s="40" t="n">
        <v>0</v>
      </c>
      <c r="H1045" s="40" t="n">
        <v>0</v>
      </c>
      <c r="I1045" s="40" t="n">
        <v>0</v>
      </c>
      <c r="J1045" s="40" t="n">
        <v>0</v>
      </c>
      <c r="K1045" s="40" t="n">
        <v>0</v>
      </c>
      <c r="L1045" s="40" t="n">
        <v>0</v>
      </c>
    </row>
    <row r="1046" ht="12" customHeight="1">
      <c r="A1046" s="30" t="inlineStr">
        <is>
          <t>ITG</t>
        </is>
      </c>
      <c r="B1046" s="30" t="inlineStr">
        <is>
          <t>Itaguai</t>
        </is>
      </c>
      <c r="C1046" s="30" t="n">
        <v>78832410</v>
      </c>
      <c r="D1046" s="30">
        <f>"29502945001084"</f>
        <v/>
      </c>
      <c r="E1046" s="30" t="inlineStr">
        <is>
          <t>DISTAC DISTRIBUIDORA DE AUTOMOVEIS E COMERCIO LTDA</t>
        </is>
      </c>
      <c r="F1046" s="40" t="n">
        <v>0</v>
      </c>
      <c r="G1046" s="40" t="n">
        <v>0</v>
      </c>
      <c r="H1046" s="40" t="n">
        <v>0</v>
      </c>
      <c r="I1046" s="40" t="n">
        <v>0</v>
      </c>
      <c r="J1046" s="40" t="n">
        <v>0</v>
      </c>
      <c r="K1046" s="40" t="n">
        <v>0</v>
      </c>
      <c r="L1046" s="40" t="n">
        <v>0</v>
      </c>
    </row>
    <row r="1047" ht="12" customHeight="1">
      <c r="A1047" s="30" t="inlineStr">
        <is>
          <t>ITG</t>
        </is>
      </c>
      <c r="B1047" s="30" t="inlineStr">
        <is>
          <t>Itaguai</t>
        </is>
      </c>
      <c r="C1047" s="30" t="n">
        <v>78832584</v>
      </c>
      <c r="D1047" s="30">
        <f>"10827182000122"</f>
        <v/>
      </c>
      <c r="E1047" s="30" t="inlineStr">
        <is>
          <t>ITAGUAI CONSTRUCOES NAVAIS S/A</t>
        </is>
      </c>
      <c r="F1047" s="40" t="n">
        <v>0</v>
      </c>
      <c r="G1047" s="40" t="n">
        <v>0</v>
      </c>
      <c r="H1047" s="40" t="n">
        <v>0</v>
      </c>
      <c r="I1047" s="40" t="n">
        <v>0</v>
      </c>
      <c r="J1047" s="40" t="n">
        <v>0</v>
      </c>
      <c r="K1047" s="40" t="n">
        <v>704568054.77</v>
      </c>
      <c r="L1047" s="40" t="n">
        <v>0</v>
      </c>
    </row>
    <row r="1048" ht="12" customHeight="1">
      <c r="A1048" s="30" t="inlineStr">
        <is>
          <t>ITG</t>
        </is>
      </c>
      <c r="B1048" s="30" t="inlineStr">
        <is>
          <t>Itaguai</t>
        </is>
      </c>
      <c r="C1048" s="30" t="n">
        <v>78833319</v>
      </c>
      <c r="D1048" s="30">
        <f>"11091069000194"</f>
        <v/>
      </c>
      <c r="E1048" s="30" t="inlineStr">
        <is>
          <t>GREEN COAST COMERCIAL E REPRESENTACAO DE GEN ALIMENTICIOS LTDA</t>
        </is>
      </c>
      <c r="F1048" s="40" t="n">
        <v>0</v>
      </c>
      <c r="G1048" s="40" t="n">
        <v>0</v>
      </c>
      <c r="H1048" s="40" t="n">
        <v>0</v>
      </c>
      <c r="I1048" s="40" t="n">
        <v>0</v>
      </c>
      <c r="J1048" s="40" t="n">
        <v>0</v>
      </c>
      <c r="K1048" s="40" t="n">
        <v>0</v>
      </c>
      <c r="L1048" s="40" t="n">
        <v>0</v>
      </c>
    </row>
    <row r="1049" ht="12" customHeight="1">
      <c r="A1049" s="30" t="inlineStr">
        <is>
          <t>ITG</t>
        </is>
      </c>
      <c r="B1049" s="30" t="inlineStr">
        <is>
          <t>Itaguai</t>
        </is>
      </c>
      <c r="C1049" s="30" t="n">
        <v>78833327</v>
      </c>
      <c r="D1049" s="30">
        <f>"10317382000135"</f>
        <v/>
      </c>
      <c r="E1049" s="30" t="inlineStr">
        <is>
          <t>POSTO DE GASOLINA CIDADE DO PORTO LTDA</t>
        </is>
      </c>
      <c r="F1049" s="40" t="n">
        <v>1206364.07</v>
      </c>
      <c r="G1049" s="40" t="n">
        <v>1483752.91</v>
      </c>
      <c r="H1049" s="40" t="n">
        <v>1390640.41</v>
      </c>
      <c r="I1049" s="40" t="n">
        <v>3361403.82</v>
      </c>
      <c r="J1049" s="40" t="n">
        <v>6141251.69</v>
      </c>
      <c r="K1049" s="40" t="n">
        <v>2136406.72</v>
      </c>
      <c r="L1049" s="40" t="n">
        <v>5861667.56</v>
      </c>
    </row>
    <row r="1050" ht="12" customHeight="1">
      <c r="A1050" s="30" t="inlineStr">
        <is>
          <t>ITG</t>
        </is>
      </c>
      <c r="B1050" s="30" t="inlineStr">
        <is>
          <t>Itaguai</t>
        </is>
      </c>
      <c r="C1050" s="30" t="n">
        <v>78835516</v>
      </c>
      <c r="D1050" s="30">
        <f>"06933939000608"</f>
        <v/>
      </c>
      <c r="E1050" s="30" t="inlineStr">
        <is>
          <t>TRANSCHERRER TRANSPORTADORA LTDA</t>
        </is>
      </c>
      <c r="F1050" s="40" t="n">
        <v>0</v>
      </c>
      <c r="G1050" s="40" t="n">
        <v>0</v>
      </c>
      <c r="H1050" s="40" t="n">
        <v>0</v>
      </c>
      <c r="I1050" s="40" t="n">
        <v>43.49</v>
      </c>
      <c r="J1050" s="40" t="n">
        <v>0</v>
      </c>
      <c r="K1050" s="40" t="n">
        <v>0</v>
      </c>
      <c r="L1050" s="40" t="n">
        <v>0</v>
      </c>
    </row>
    <row r="1051" ht="12" customHeight="1">
      <c r="A1051" s="30" t="inlineStr">
        <is>
          <t>ITG</t>
        </is>
      </c>
      <c r="B1051" s="30" t="inlineStr">
        <is>
          <t>Itaguai</t>
        </is>
      </c>
      <c r="C1051" s="30" t="n">
        <v>78835630</v>
      </c>
      <c r="D1051" s="30">
        <f>"11064899000122"</f>
        <v/>
      </c>
      <c r="E1051" s="30" t="inlineStr">
        <is>
          <t>E R F RIOS SERRALHERIA ME</t>
        </is>
      </c>
      <c r="F1051" s="40" t="n">
        <v>0</v>
      </c>
      <c r="G1051" s="40" t="n">
        <v>0</v>
      </c>
      <c r="H1051" s="40" t="n">
        <v>0</v>
      </c>
      <c r="I1051" s="40" t="n">
        <v>0</v>
      </c>
      <c r="J1051" s="40" t="n">
        <v>0</v>
      </c>
      <c r="K1051" s="40" t="n">
        <v>0</v>
      </c>
      <c r="L1051" s="40" t="n">
        <v>0</v>
      </c>
    </row>
    <row r="1052" ht="12" customHeight="1">
      <c r="A1052" s="30" t="inlineStr">
        <is>
          <t>ITG</t>
        </is>
      </c>
      <c r="B1052" s="30" t="inlineStr">
        <is>
          <t>Itaguai</t>
        </is>
      </c>
      <c r="C1052" s="30" t="n">
        <v>78840110</v>
      </c>
      <c r="D1052" s="30">
        <f>"43368422002251"</f>
        <v/>
      </c>
      <c r="E1052" s="30" t="inlineStr">
        <is>
          <t>LOCAR GUINDASTES E TRANSPORTES INTERMODAIS LTDA</t>
        </is>
      </c>
      <c r="F1052" s="40" t="n">
        <v>0</v>
      </c>
      <c r="G1052" s="40" t="n">
        <v>0</v>
      </c>
      <c r="H1052" s="40" t="n">
        <v>0</v>
      </c>
      <c r="I1052" s="40" t="n">
        <v>4586.85</v>
      </c>
      <c r="J1052" s="40" t="n">
        <v>0</v>
      </c>
      <c r="K1052" s="40" t="n">
        <v>0</v>
      </c>
      <c r="L1052" s="40" t="n">
        <v>5000</v>
      </c>
    </row>
    <row r="1053" ht="12" customHeight="1">
      <c r="A1053" s="30" t="inlineStr">
        <is>
          <t>ITG</t>
        </is>
      </c>
      <c r="B1053" s="30" t="inlineStr">
        <is>
          <t>Itaguai</t>
        </is>
      </c>
      <c r="C1053" s="30" t="n">
        <v>78845988</v>
      </c>
      <c r="D1053" s="30">
        <f>"48740351010390"</f>
        <v/>
      </c>
      <c r="E1053" s="30" t="inlineStr">
        <is>
          <t>BRASPRESS TRANSPORTES URGENTES LTDA</t>
        </is>
      </c>
      <c r="F1053" s="40" t="n">
        <v>673.8099999999999</v>
      </c>
      <c r="G1053" s="40" t="n">
        <v>851.35</v>
      </c>
      <c r="H1053" s="40" t="n">
        <v>0</v>
      </c>
      <c r="I1053" s="40" t="n">
        <v>0</v>
      </c>
      <c r="J1053" s="40" t="n">
        <v>0</v>
      </c>
      <c r="K1053" s="40" t="n">
        <v>0</v>
      </c>
      <c r="L1053" s="40" t="n">
        <v>0</v>
      </c>
    </row>
    <row r="1054" ht="12" customHeight="1">
      <c r="A1054" s="30" t="inlineStr">
        <is>
          <t>ITG</t>
        </is>
      </c>
      <c r="B1054" s="30" t="inlineStr">
        <is>
          <t>Itaguai</t>
        </is>
      </c>
      <c r="C1054" s="30" t="n">
        <v>78854979</v>
      </c>
      <c r="D1054" s="30">
        <f>"10828536000153"</f>
        <v/>
      </c>
      <c r="E1054" s="30" t="inlineStr">
        <is>
          <t>M.A. DE FARIAS CONSTRU??ES E REFORMAS LTDA</t>
        </is>
      </c>
      <c r="F1054" s="40" t="n">
        <v>0</v>
      </c>
      <c r="G1054" s="40" t="n">
        <v>0</v>
      </c>
      <c r="H1054" s="40" t="n">
        <v>0</v>
      </c>
      <c r="I1054" s="40" t="n">
        <v>0</v>
      </c>
      <c r="J1054" s="40" t="n">
        <v>0</v>
      </c>
      <c r="K1054" s="40" t="n">
        <v>0</v>
      </c>
      <c r="L1054" s="40" t="n">
        <v>0</v>
      </c>
    </row>
    <row r="1055" ht="12" customHeight="1">
      <c r="A1055" s="30" t="inlineStr">
        <is>
          <t>ITG</t>
        </is>
      </c>
      <c r="B1055" s="30" t="inlineStr">
        <is>
          <t>Itaguai</t>
        </is>
      </c>
      <c r="C1055" s="30" t="n">
        <v>78855525</v>
      </c>
      <c r="D1055" s="30">
        <f>"29240660000121"</f>
        <v/>
      </c>
      <c r="E1055" s="30" t="inlineStr">
        <is>
          <t>J S AUTO ELETRICA COMERCIO DE PECAS E SERVICOS LTDA ME</t>
        </is>
      </c>
      <c r="F1055" s="40" t="n">
        <v>0</v>
      </c>
      <c r="G1055" s="40" t="n">
        <v>0</v>
      </c>
      <c r="H1055" s="40" t="n">
        <v>0</v>
      </c>
      <c r="I1055" s="40" t="n">
        <v>0</v>
      </c>
      <c r="J1055" s="40" t="n">
        <v>0</v>
      </c>
      <c r="K1055" s="40" t="n">
        <v>0</v>
      </c>
      <c r="L1055" s="40" t="n">
        <v>0</v>
      </c>
    </row>
    <row r="1056" ht="12" customHeight="1">
      <c r="A1056" s="30" t="inlineStr">
        <is>
          <t>ITG</t>
        </is>
      </c>
      <c r="B1056" s="30" t="inlineStr">
        <is>
          <t>Itaguai</t>
        </is>
      </c>
      <c r="C1056" s="30" t="n">
        <v>78873884</v>
      </c>
      <c r="D1056" s="30">
        <f>"86447224001214"</f>
        <v/>
      </c>
      <c r="E1056" s="30" t="inlineStr">
        <is>
          <t>LOGMIX TRANSPORTES LTDA</t>
        </is>
      </c>
      <c r="F1056" s="40" t="n">
        <v>3619.97</v>
      </c>
      <c r="G1056" s="40" t="n">
        <v>1069.43</v>
      </c>
      <c r="H1056" s="40" t="n">
        <v>0</v>
      </c>
      <c r="I1056" s="40" t="n">
        <v>0</v>
      </c>
      <c r="J1056" s="40" t="n">
        <v>9414.299999999999</v>
      </c>
      <c r="K1056" s="40" t="n">
        <v>0</v>
      </c>
      <c r="L1056" s="40" t="n">
        <v>0</v>
      </c>
    </row>
    <row r="1057" ht="12" customHeight="1">
      <c r="A1057" s="30" t="inlineStr">
        <is>
          <t>ITG</t>
        </is>
      </c>
      <c r="B1057" s="30" t="inlineStr">
        <is>
          <t>Itaguai</t>
        </is>
      </c>
      <c r="C1057" s="30" t="n">
        <v>78885416</v>
      </c>
      <c r="D1057" s="30">
        <f>"11203265000103"</f>
        <v/>
      </c>
      <c r="E1057" s="30" t="inlineStr">
        <is>
          <t>CCR DA SILVA COMERCIO DE GAS - EPP</t>
        </is>
      </c>
      <c r="F1057" s="40" t="n">
        <v>61971.92</v>
      </c>
      <c r="G1057" s="40" t="n">
        <v>59147.99</v>
      </c>
      <c r="H1057" s="40" t="n">
        <v>29633.61</v>
      </c>
      <c r="I1057" s="40" t="n">
        <v>51826.55</v>
      </c>
      <c r="J1057" s="40" t="n">
        <v>82481.67999999999</v>
      </c>
      <c r="K1057" s="40" t="n">
        <v>104511.5</v>
      </c>
      <c r="L1057" s="40" t="n">
        <v>0</v>
      </c>
    </row>
    <row r="1058" ht="12" customHeight="1">
      <c r="A1058" s="30" t="inlineStr">
        <is>
          <t>ITG</t>
        </is>
      </c>
      <c r="B1058" s="30" t="inlineStr">
        <is>
          <t>Itaguai</t>
        </is>
      </c>
      <c r="C1058" s="30" t="n">
        <v>78889365</v>
      </c>
      <c r="D1058" s="30">
        <f>"11114284002530"</f>
        <v/>
      </c>
      <c r="E1058" s="30" t="inlineStr">
        <is>
          <t>CASA &amp; VIDEO RIO DE JANEIRO S A</t>
        </is>
      </c>
      <c r="F1058" s="40" t="n">
        <v>3319666.55</v>
      </c>
      <c r="G1058" s="40" t="n">
        <v>3232823.19</v>
      </c>
      <c r="H1058" s="40" t="n">
        <v>3420829.41</v>
      </c>
      <c r="I1058" s="40" t="n">
        <v>4377646.72</v>
      </c>
      <c r="J1058" s="40" t="n">
        <v>3229857.39</v>
      </c>
      <c r="K1058" s="40" t="n">
        <v>3125149.78</v>
      </c>
      <c r="L1058" s="40" t="n">
        <v>3353941.66</v>
      </c>
    </row>
    <row r="1059" ht="12" customHeight="1">
      <c r="A1059" s="30" t="inlineStr">
        <is>
          <t>ITG</t>
        </is>
      </c>
      <c r="B1059" s="30" t="inlineStr">
        <is>
          <t>Itaguai</t>
        </is>
      </c>
      <c r="C1059" s="30" t="n">
        <v>78889659</v>
      </c>
      <c r="D1059" s="30">
        <f>"11016242000190"</f>
        <v/>
      </c>
      <c r="E1059" s="30" t="inlineStr">
        <is>
          <t>BERIT CAM EMPREENDIMENTOS SERVICOS LTDA ME</t>
        </is>
      </c>
      <c r="F1059" s="40" t="n">
        <v>0</v>
      </c>
      <c r="G1059" s="40" t="n">
        <v>0</v>
      </c>
      <c r="H1059" s="40" t="n">
        <v>0</v>
      </c>
      <c r="I1059" s="40" t="n">
        <v>0</v>
      </c>
      <c r="J1059" s="40" t="n">
        <v>0</v>
      </c>
      <c r="K1059" s="40" t="n">
        <v>0</v>
      </c>
      <c r="L1059" s="40" t="n">
        <v>0</v>
      </c>
    </row>
    <row r="1060" ht="12" customHeight="1">
      <c r="A1060" s="30" t="inlineStr">
        <is>
          <t>ITG</t>
        </is>
      </c>
      <c r="B1060" s="30" t="inlineStr">
        <is>
          <t>Itaguai</t>
        </is>
      </c>
      <c r="C1060" s="30" t="n">
        <v>78891220</v>
      </c>
      <c r="D1060" s="30">
        <f>"33337122003142"</f>
        <v/>
      </c>
      <c r="E1060" s="30" t="inlineStr">
        <is>
          <t>IPIRANGA PRODUTOS DE PETROLEO S A</t>
        </is>
      </c>
      <c r="F1060" s="40" t="n">
        <v>0</v>
      </c>
      <c r="G1060" s="40" t="n">
        <v>0</v>
      </c>
      <c r="H1060" s="40" t="n">
        <v>0</v>
      </c>
      <c r="I1060" s="40" t="n">
        <v>0</v>
      </c>
      <c r="J1060" s="40" t="n">
        <v>0</v>
      </c>
      <c r="K1060" s="40" t="n">
        <v>0</v>
      </c>
      <c r="L1060" s="40" t="n">
        <v>0</v>
      </c>
    </row>
    <row r="1061" ht="12" customHeight="1">
      <c r="A1061" s="30" t="inlineStr">
        <is>
          <t>ITG</t>
        </is>
      </c>
      <c r="B1061" s="30" t="inlineStr">
        <is>
          <t>Itaguai</t>
        </is>
      </c>
      <c r="C1061" s="30" t="n">
        <v>78892188</v>
      </c>
      <c r="D1061" s="30">
        <f>"10811717000177"</f>
        <v/>
      </c>
      <c r="E1061" s="30" t="inlineStr">
        <is>
          <t>VITORIA DE ITAGUAI CONFECCOES EIRELI- ME</t>
        </is>
      </c>
      <c r="F1061" s="40" t="n">
        <v>0</v>
      </c>
      <c r="G1061" s="40" t="n">
        <v>0</v>
      </c>
      <c r="H1061" s="40" t="n">
        <v>0</v>
      </c>
      <c r="I1061" s="40" t="n">
        <v>0</v>
      </c>
      <c r="J1061" s="40" t="n">
        <v>0</v>
      </c>
      <c r="K1061" s="40" t="n">
        <v>0</v>
      </c>
      <c r="L1061" s="40" t="n">
        <v>0</v>
      </c>
    </row>
    <row r="1062" ht="12" customHeight="1">
      <c r="A1062" s="30" t="inlineStr">
        <is>
          <t>ITG</t>
        </is>
      </c>
      <c r="B1062" s="30" t="inlineStr">
        <is>
          <t>Itaguai</t>
        </is>
      </c>
      <c r="C1062" s="30" t="n">
        <v>78892200</v>
      </c>
      <c r="D1062" s="30">
        <f>"07035062000188"</f>
        <v/>
      </c>
      <c r="E1062" s="30" t="inlineStr">
        <is>
          <t>PANDELLI TRANSPORTES LTDA ME</t>
        </is>
      </c>
      <c r="F1062" s="40" t="n">
        <v>0</v>
      </c>
      <c r="G1062" s="40" t="n">
        <v>20190</v>
      </c>
      <c r="H1062" s="40" t="n">
        <v>0</v>
      </c>
      <c r="I1062" s="40" t="n">
        <v>0</v>
      </c>
      <c r="J1062" s="40" t="n">
        <v>0</v>
      </c>
      <c r="K1062" s="40" t="n">
        <v>0</v>
      </c>
      <c r="L1062" s="40" t="n">
        <v>0</v>
      </c>
    </row>
    <row r="1063" ht="12" customHeight="1">
      <c r="A1063" s="30" t="inlineStr">
        <is>
          <t>ITG</t>
        </is>
      </c>
      <c r="B1063" s="30" t="inlineStr">
        <is>
          <t>Itaguai</t>
        </is>
      </c>
      <c r="C1063" s="30" t="n">
        <v>78903449</v>
      </c>
      <c r="D1063" s="30">
        <f>"08902291000387"</f>
        <v/>
      </c>
      <c r="E1063" s="30" t="inlineStr">
        <is>
          <t>CSN MINERACAO S A</t>
        </is>
      </c>
      <c r="F1063" s="40" t="n">
        <v>128077337.66</v>
      </c>
      <c r="G1063" s="40" t="n">
        <v>296710618.1</v>
      </c>
      <c r="H1063" s="40" t="n">
        <v>1734474077.92</v>
      </c>
      <c r="I1063" s="40" t="n">
        <v>2991178647.76</v>
      </c>
      <c r="J1063" s="40" t="n">
        <v>1480732192.48</v>
      </c>
      <c r="K1063" s="40" t="n">
        <v>2036551431.54</v>
      </c>
      <c r="L1063" s="40" t="n">
        <v>2054621169.65</v>
      </c>
    </row>
    <row r="1064" ht="12" customHeight="1">
      <c r="A1064" s="30" t="inlineStr">
        <is>
          <t>ITG</t>
        </is>
      </c>
      <c r="B1064" s="30" t="inlineStr">
        <is>
          <t>Itaguai</t>
        </is>
      </c>
      <c r="C1064" s="30" t="n">
        <v>78904593</v>
      </c>
      <c r="D1064" s="30">
        <f>"30006027000314"</f>
        <v/>
      </c>
      <c r="E1064" s="30" t="inlineStr">
        <is>
          <t>LIDER RIO VEICULOS S A</t>
        </is>
      </c>
      <c r="F1064" s="40" t="n">
        <v>917649.6899999999</v>
      </c>
      <c r="G1064" s="40" t="n">
        <v>1433168.52</v>
      </c>
      <c r="H1064" s="40" t="n">
        <v>487497.37</v>
      </c>
      <c r="I1064" s="40" t="n">
        <v>1219089.2</v>
      </c>
      <c r="J1064" s="40" t="n">
        <v>698522.8199999999</v>
      </c>
      <c r="K1064" s="40" t="n">
        <v>0</v>
      </c>
      <c r="L1064" s="40" t="n">
        <v>0</v>
      </c>
    </row>
    <row r="1065" ht="12" customHeight="1">
      <c r="A1065" s="30" t="inlineStr">
        <is>
          <t>ITG</t>
        </is>
      </c>
      <c r="B1065" s="30" t="inlineStr">
        <is>
          <t>Itaguai</t>
        </is>
      </c>
      <c r="C1065" s="30" t="n">
        <v>78911905</v>
      </c>
      <c r="D1065" s="30">
        <f>"87456562005272"</f>
        <v/>
      </c>
      <c r="E1065" s="30" t="inlineStr">
        <is>
          <t>JOSAPAR JOAQUIM OLIVEIRA S A PARTICIPACOES</t>
        </is>
      </c>
      <c r="F1065" s="40" t="n">
        <v>35264266.06</v>
      </c>
      <c r="G1065" s="40" t="n">
        <v>35526920.86</v>
      </c>
      <c r="H1065" s="40" t="n">
        <v>32194086.32</v>
      </c>
      <c r="I1065" s="40" t="n">
        <v>29933399.24</v>
      </c>
      <c r="J1065" s="40" t="n">
        <v>40316807.59</v>
      </c>
      <c r="K1065" s="40" t="n">
        <v>50030850.13</v>
      </c>
      <c r="L1065" s="40" t="n">
        <v>59722075.69</v>
      </c>
    </row>
    <row r="1066" ht="12" customHeight="1">
      <c r="A1066" s="30" t="inlineStr">
        <is>
          <t>ITG</t>
        </is>
      </c>
      <c r="B1066" s="30" t="inlineStr">
        <is>
          <t>Itaguai</t>
        </is>
      </c>
      <c r="C1066" s="30" t="n">
        <v>78916907</v>
      </c>
      <c r="D1066" s="30">
        <f>"11358292000155"</f>
        <v/>
      </c>
      <c r="E1066" s="30" t="inlineStr">
        <is>
          <t>ZIRANLOG LOGISTICA EIRELI</t>
        </is>
      </c>
      <c r="F1066" s="40" t="n">
        <v>0</v>
      </c>
      <c r="G1066" s="40" t="n">
        <v>0</v>
      </c>
      <c r="H1066" s="40" t="n">
        <v>692828.66</v>
      </c>
      <c r="I1066" s="40" t="n">
        <v>78860.13</v>
      </c>
      <c r="J1066" s="40" t="n">
        <v>0</v>
      </c>
      <c r="K1066" s="40" t="n">
        <v>0</v>
      </c>
      <c r="L1066" s="40" t="n">
        <v>0</v>
      </c>
    </row>
    <row r="1067" ht="12" customHeight="1">
      <c r="A1067" s="30" t="inlineStr">
        <is>
          <t>ITG</t>
        </is>
      </c>
      <c r="B1067" s="30" t="inlineStr">
        <is>
          <t>Itaguai</t>
        </is>
      </c>
      <c r="C1067" s="30" t="n">
        <v>78919655</v>
      </c>
      <c r="D1067" s="30">
        <f>"10925867000101"</f>
        <v/>
      </c>
      <c r="E1067" s="30" t="inlineStr">
        <is>
          <t>EXPRESSO FENIX TRANSPORTES LTDA</t>
        </is>
      </c>
      <c r="F1067" s="40" t="n">
        <v>0</v>
      </c>
      <c r="G1067" s="40" t="n">
        <v>0</v>
      </c>
      <c r="H1067" s="40" t="n">
        <v>0</v>
      </c>
      <c r="I1067" s="40" t="n">
        <v>1650</v>
      </c>
      <c r="J1067" s="40" t="n">
        <v>0</v>
      </c>
      <c r="K1067" s="40" t="n">
        <v>0</v>
      </c>
      <c r="L1067" s="40" t="n">
        <v>0</v>
      </c>
    </row>
    <row r="1068" ht="12" customHeight="1">
      <c r="A1068" s="30" t="inlineStr">
        <is>
          <t>ITG</t>
        </is>
      </c>
      <c r="B1068" s="30" t="inlineStr">
        <is>
          <t>Itaguai</t>
        </is>
      </c>
      <c r="C1068" s="30" t="n">
        <v>78926279</v>
      </c>
      <c r="D1068" s="30">
        <f>"21312434000440"</f>
        <v/>
      </c>
      <c r="E1068" s="30" t="inlineStr">
        <is>
          <t>METALURGICA LORENA LTDA</t>
        </is>
      </c>
      <c r="F1068" s="40" t="n">
        <v>0</v>
      </c>
      <c r="G1068" s="40" t="n">
        <v>0</v>
      </c>
      <c r="H1068" s="40" t="n">
        <v>0</v>
      </c>
      <c r="I1068" s="40" t="n">
        <v>0</v>
      </c>
      <c r="J1068" s="40" t="n">
        <v>0</v>
      </c>
      <c r="K1068" s="40" t="n">
        <v>179865.6</v>
      </c>
      <c r="L1068" s="40" t="n">
        <v>1669972.37</v>
      </c>
    </row>
    <row r="1069" ht="12" customHeight="1">
      <c r="A1069" s="30" t="inlineStr">
        <is>
          <t>ITG</t>
        </is>
      </c>
      <c r="B1069" s="30" t="inlineStr">
        <is>
          <t>Itaguai</t>
        </is>
      </c>
      <c r="C1069" s="30" t="n">
        <v>78943742</v>
      </c>
      <c r="D1069" s="30">
        <f>"79942140002697"</f>
        <v/>
      </c>
      <c r="E1069" s="30" t="inlineStr">
        <is>
          <t>TRANSMAGNA TRANSPORTES EIRELI</t>
        </is>
      </c>
      <c r="F1069" s="40" t="n">
        <v>465.44</v>
      </c>
      <c r="G1069" s="40" t="n">
        <v>0</v>
      </c>
      <c r="H1069" s="40" t="n">
        <v>492.9</v>
      </c>
      <c r="I1069" s="40" t="n">
        <v>269.22</v>
      </c>
      <c r="J1069" s="40" t="n">
        <v>213.93</v>
      </c>
      <c r="K1069" s="40" t="n">
        <v>0</v>
      </c>
      <c r="L1069" s="40" t="n">
        <v>0</v>
      </c>
    </row>
    <row r="1070" ht="12" customHeight="1">
      <c r="A1070" s="30" t="inlineStr">
        <is>
          <t>ITG</t>
        </is>
      </c>
      <c r="B1070" s="30" t="inlineStr">
        <is>
          <t>Itaguai</t>
        </is>
      </c>
      <c r="C1070" s="30" t="n">
        <v>78956070</v>
      </c>
      <c r="D1070" s="30">
        <f>"10992167000210"</f>
        <v/>
      </c>
      <c r="E1070" s="30" t="inlineStr">
        <is>
          <t>METAR LOGISTICA LTDA</t>
        </is>
      </c>
      <c r="F1070" s="40" t="n">
        <v>0</v>
      </c>
      <c r="G1070" s="40" t="n">
        <v>0</v>
      </c>
      <c r="H1070" s="40" t="n">
        <v>0</v>
      </c>
      <c r="I1070" s="40" t="n">
        <v>473.7</v>
      </c>
      <c r="J1070" s="40" t="n">
        <v>960.24</v>
      </c>
      <c r="K1070" s="40" t="n">
        <v>871.97</v>
      </c>
      <c r="L1070" s="40" t="n">
        <v>0</v>
      </c>
    </row>
    <row r="1071" ht="12" customHeight="1">
      <c r="A1071" s="30" t="inlineStr">
        <is>
          <t>ITG</t>
        </is>
      </c>
      <c r="B1071" s="30" t="inlineStr">
        <is>
          <t>Itaguai</t>
        </is>
      </c>
      <c r="C1071" s="30" t="n">
        <v>78961104</v>
      </c>
      <c r="D1071" s="30">
        <f>"11426289000393"</f>
        <v/>
      </c>
      <c r="E1071" s="30" t="inlineStr">
        <is>
          <t>ITVA RIO MOTOS LTDA</t>
        </is>
      </c>
      <c r="F1071" s="40" t="n">
        <v>0</v>
      </c>
      <c r="G1071" s="40" t="n">
        <v>0</v>
      </c>
      <c r="H1071" s="40" t="n">
        <v>0</v>
      </c>
      <c r="I1071" s="40" t="n">
        <v>0</v>
      </c>
      <c r="J1071" s="40" t="n">
        <v>0</v>
      </c>
      <c r="K1071" s="40" t="n">
        <v>0</v>
      </c>
      <c r="L1071" s="40" t="n">
        <v>0</v>
      </c>
    </row>
    <row r="1072" ht="12" customHeight="1">
      <c r="A1072" s="30" t="inlineStr">
        <is>
          <t>ITG</t>
        </is>
      </c>
      <c r="B1072" s="30" t="inlineStr">
        <is>
          <t>Itaguai</t>
        </is>
      </c>
      <c r="C1072" s="30" t="n">
        <v>78964332</v>
      </c>
      <c r="D1072" s="30">
        <f>"11304945000202"</f>
        <v/>
      </c>
      <c r="E1072" s="30" t="inlineStr">
        <is>
          <t>MERCADO SAO FERNANDO 10 LTDA ME</t>
        </is>
      </c>
      <c r="F1072" s="40" t="n">
        <v>1470258.32</v>
      </c>
      <c r="G1072" s="40" t="n">
        <v>86834.8</v>
      </c>
      <c r="H1072" s="40" t="n">
        <v>2889148.39</v>
      </c>
      <c r="I1072" s="40" t="n">
        <v>7299490.19</v>
      </c>
      <c r="J1072" s="40" t="n">
        <v>9357805.199999999</v>
      </c>
      <c r="K1072" s="40" t="n">
        <v>10334895.18</v>
      </c>
      <c r="L1072" s="40" t="n">
        <v>11031010.1</v>
      </c>
    </row>
    <row r="1073" ht="12" customHeight="1">
      <c r="A1073" s="30" t="inlineStr">
        <is>
          <t>ITG</t>
        </is>
      </c>
      <c r="B1073" s="30" t="inlineStr">
        <is>
          <t>Itaguai</t>
        </is>
      </c>
      <c r="C1073" s="30" t="n">
        <v>78968362</v>
      </c>
      <c r="D1073" s="30">
        <f>"11503663000145"</f>
        <v/>
      </c>
      <c r="E1073" s="30" t="inlineStr">
        <is>
          <t>PORTO VEICULOS DE ITAGUAI - EIRELI</t>
        </is>
      </c>
      <c r="F1073" s="40" t="n">
        <v>0</v>
      </c>
      <c r="G1073" s="40" t="n">
        <v>0</v>
      </c>
      <c r="H1073" s="40" t="n">
        <v>0</v>
      </c>
      <c r="I1073" s="40" t="n">
        <v>0</v>
      </c>
      <c r="J1073" s="40" t="n">
        <v>0</v>
      </c>
      <c r="K1073" s="40" t="n">
        <v>0</v>
      </c>
      <c r="L1073" s="40" t="n">
        <v>0</v>
      </c>
    </row>
    <row r="1074" ht="12" customHeight="1">
      <c r="A1074" s="30" t="inlineStr">
        <is>
          <t>ITG</t>
        </is>
      </c>
      <c r="B1074" s="30" t="inlineStr">
        <is>
          <t>Itaguai</t>
        </is>
      </c>
      <c r="C1074" s="30" t="n">
        <v>78976217</v>
      </c>
      <c r="D1074" s="30">
        <f>"11505209000123"</f>
        <v/>
      </c>
      <c r="E1074" s="30" t="inlineStr">
        <is>
          <t>M L J TRIGO 117 COMERCIO DE ALIMENTOS LTDA ME</t>
        </is>
      </c>
      <c r="F1074" s="40" t="n">
        <v>0</v>
      </c>
      <c r="G1074" s="40" t="n">
        <v>0</v>
      </c>
      <c r="H1074" s="40" t="n">
        <v>0</v>
      </c>
      <c r="I1074" s="40" t="n">
        <v>0</v>
      </c>
      <c r="J1074" s="40" t="n">
        <v>0</v>
      </c>
      <c r="K1074" s="40" t="n">
        <v>0</v>
      </c>
      <c r="L1074" s="40" t="n">
        <v>0</v>
      </c>
    </row>
    <row r="1075" ht="12" customHeight="1">
      <c r="A1075" s="30" t="inlineStr">
        <is>
          <t>ITG</t>
        </is>
      </c>
      <c r="B1075" s="30" t="inlineStr">
        <is>
          <t>Itaguai</t>
        </is>
      </c>
      <c r="C1075" s="30" t="n">
        <v>78978902</v>
      </c>
      <c r="D1075" s="30">
        <f>"02448002000254"</f>
        <v/>
      </c>
      <c r="E1075" s="30" t="inlineStr">
        <is>
          <t>GP TRANSPORTES E SERVIÇOS EIRELI</t>
        </is>
      </c>
      <c r="F1075" s="40" t="n">
        <v>0</v>
      </c>
      <c r="G1075" s="40" t="n">
        <v>0</v>
      </c>
      <c r="H1075" s="40" t="n">
        <v>195.49</v>
      </c>
      <c r="I1075" s="40" t="n">
        <v>0</v>
      </c>
      <c r="J1075" s="40" t="n">
        <v>43.97</v>
      </c>
      <c r="K1075" s="40" t="n">
        <v>0</v>
      </c>
      <c r="L1075" s="40" t="n">
        <v>0</v>
      </c>
    </row>
    <row r="1076" ht="12" customHeight="1">
      <c r="A1076" s="30" t="inlineStr">
        <is>
          <t>ITG</t>
        </is>
      </c>
      <c r="B1076" s="30" t="inlineStr">
        <is>
          <t>Itaguai</t>
        </is>
      </c>
      <c r="C1076" s="30" t="n">
        <v>78982926</v>
      </c>
      <c r="D1076" s="30">
        <f>"03505701000170"</f>
        <v/>
      </c>
      <c r="E1076" s="30" t="inlineStr">
        <is>
          <t>J I DISTRIBUIDORA DE BEBIDAS E DESCARTAVEIS LTDA ME</t>
        </is>
      </c>
      <c r="F1076" s="40" t="n">
        <v>0</v>
      </c>
      <c r="G1076" s="40" t="n">
        <v>0</v>
      </c>
      <c r="H1076" s="40" t="n">
        <v>0</v>
      </c>
      <c r="I1076" s="40" t="n">
        <v>0</v>
      </c>
      <c r="J1076" s="40" t="n">
        <v>0</v>
      </c>
      <c r="K1076" s="40" t="n">
        <v>0</v>
      </c>
      <c r="L1076" s="40" t="n">
        <v>0</v>
      </c>
    </row>
    <row r="1077" ht="12" customHeight="1">
      <c r="A1077" s="30" t="inlineStr">
        <is>
          <t>ITG</t>
        </is>
      </c>
      <c r="B1077" s="30" t="inlineStr">
        <is>
          <t>Itaguai</t>
        </is>
      </c>
      <c r="C1077" s="30" t="n">
        <v>78991437</v>
      </c>
      <c r="D1077" s="30">
        <f>"11497152000168"</f>
        <v/>
      </c>
      <c r="E1077" s="30" t="inlineStr">
        <is>
          <t>GRILL-RIO PRODUTOS ALIMENTÍCIOS EIRELI</t>
        </is>
      </c>
      <c r="F1077" s="40" t="n">
        <v>1036415.84</v>
      </c>
      <c r="G1077" s="40" t="n">
        <v>671362.86</v>
      </c>
      <c r="H1077" s="40" t="n">
        <v>738711.73</v>
      </c>
      <c r="I1077" s="40" t="n">
        <v>0</v>
      </c>
      <c r="J1077" s="40" t="n">
        <v>0</v>
      </c>
      <c r="K1077" s="40" t="n">
        <v>0</v>
      </c>
      <c r="L1077" s="40" t="n">
        <v>0</v>
      </c>
    </row>
    <row r="1078" ht="12" customHeight="1">
      <c r="A1078" s="30" t="inlineStr">
        <is>
          <t>ITG</t>
        </is>
      </c>
      <c r="B1078" s="30" t="inlineStr">
        <is>
          <t>Itaguai</t>
        </is>
      </c>
      <c r="C1078" s="30" t="n">
        <v>78991674</v>
      </c>
      <c r="D1078" s="30">
        <f>"01778972000336"</f>
        <v/>
      </c>
      <c r="E1078" s="30" t="inlineStr">
        <is>
          <t>AMERICA NET LTDA</t>
        </is>
      </c>
      <c r="F1078" s="40" t="n">
        <v>0</v>
      </c>
      <c r="G1078" s="40" t="n">
        <v>0</v>
      </c>
      <c r="H1078" s="40" t="n">
        <v>0</v>
      </c>
      <c r="I1078" s="40" t="n">
        <v>0</v>
      </c>
      <c r="J1078" s="40" t="n">
        <v>1472.01</v>
      </c>
      <c r="K1078" s="40" t="n">
        <v>2385.19</v>
      </c>
      <c r="L1078" s="40" t="n">
        <v>0</v>
      </c>
    </row>
    <row r="1079" ht="12" customHeight="1">
      <c r="A1079" s="30" t="inlineStr">
        <is>
          <t>ITG</t>
        </is>
      </c>
      <c r="B1079" s="30" t="inlineStr">
        <is>
          <t>Itaguai</t>
        </is>
      </c>
      <c r="C1079" s="30" t="n">
        <v>78998121</v>
      </c>
      <c r="D1079" s="30">
        <f>"01489122000407"</f>
        <v/>
      </c>
      <c r="E1079" s="30" t="inlineStr">
        <is>
          <t>TJ4 TRANSPORTES EIRELI</t>
        </is>
      </c>
      <c r="F1079" s="40" t="n">
        <v>0</v>
      </c>
      <c r="G1079" s="40" t="n">
        <v>0</v>
      </c>
      <c r="H1079" s="40" t="n">
        <v>0</v>
      </c>
      <c r="I1079" s="40" t="n">
        <v>0</v>
      </c>
      <c r="J1079" s="40" t="n">
        <v>684.02</v>
      </c>
      <c r="K1079" s="40" t="n">
        <v>1770.13</v>
      </c>
      <c r="L1079" s="40" t="n">
        <v>705.41</v>
      </c>
    </row>
    <row r="1080" ht="12" customHeight="1">
      <c r="A1080" s="30" t="inlineStr">
        <is>
          <t>ITG</t>
        </is>
      </c>
      <c r="B1080" s="30" t="inlineStr">
        <is>
          <t>Itaguai</t>
        </is>
      </c>
      <c r="C1080" s="30" t="n">
        <v>79010570</v>
      </c>
      <c r="D1080" s="30">
        <f>"09256422000105"</f>
        <v/>
      </c>
      <c r="E1080" s="30" t="inlineStr">
        <is>
          <t>MP TRANSPORTES, MONTAGENS INDUSTRIAIS, REFORMA E MANUTENÇÃO EIRELI</t>
        </is>
      </c>
      <c r="F1080" s="40" t="n">
        <v>0</v>
      </c>
      <c r="G1080" s="40" t="n">
        <v>0</v>
      </c>
      <c r="H1080" s="40" t="n">
        <v>0</v>
      </c>
      <c r="I1080" s="40" t="n">
        <v>0</v>
      </c>
      <c r="J1080" s="40" t="n">
        <v>0</v>
      </c>
      <c r="K1080" s="40" t="n">
        <v>0</v>
      </c>
      <c r="L1080" s="40" t="n">
        <v>0</v>
      </c>
    </row>
    <row r="1081" ht="12" customHeight="1">
      <c r="A1081" s="30" t="inlineStr">
        <is>
          <t>ITG</t>
        </is>
      </c>
      <c r="B1081" s="30" t="inlineStr">
        <is>
          <t>Itaguai</t>
        </is>
      </c>
      <c r="C1081" s="30" t="n">
        <v>79010685</v>
      </c>
      <c r="D1081" s="30">
        <f>"05944440000110"</f>
        <v/>
      </c>
      <c r="E1081" s="30" t="inlineStr">
        <is>
          <t>BRENDA COMERCIO E SERVICOS LTDA ME</t>
        </is>
      </c>
      <c r="F1081" s="40" t="n">
        <v>0</v>
      </c>
      <c r="G1081" s="40" t="n">
        <v>0</v>
      </c>
      <c r="H1081" s="40" t="n">
        <v>0</v>
      </c>
      <c r="I1081" s="40" t="n">
        <v>0</v>
      </c>
      <c r="J1081" s="40" t="n">
        <v>0</v>
      </c>
      <c r="K1081" s="40" t="n">
        <v>0</v>
      </c>
      <c r="L1081" s="40" t="n">
        <v>0</v>
      </c>
    </row>
    <row r="1082" ht="12" customHeight="1">
      <c r="A1082" s="30" t="inlineStr">
        <is>
          <t>ITG</t>
        </is>
      </c>
      <c r="B1082" s="30" t="inlineStr">
        <is>
          <t>Itaguai</t>
        </is>
      </c>
      <c r="C1082" s="30" t="n">
        <v>79010731</v>
      </c>
      <c r="D1082" s="30">
        <f>"03961747000102"</f>
        <v/>
      </c>
      <c r="E1082" s="30" t="inlineStr">
        <is>
          <t>C S F J M IDIOMAS LTDA ME</t>
        </is>
      </c>
      <c r="F1082" s="40" t="n">
        <v>0</v>
      </c>
      <c r="G1082" s="40" t="n">
        <v>0</v>
      </c>
      <c r="H1082" s="40" t="n">
        <v>0</v>
      </c>
      <c r="I1082" s="40" t="n">
        <v>0</v>
      </c>
      <c r="J1082" s="40" t="n">
        <v>0</v>
      </c>
      <c r="K1082" s="40" t="n">
        <v>0</v>
      </c>
      <c r="L1082" s="40" t="n">
        <v>0</v>
      </c>
    </row>
    <row r="1083" ht="12" customHeight="1">
      <c r="A1083" s="30" t="inlineStr">
        <is>
          <t>ITG</t>
        </is>
      </c>
      <c r="B1083" s="30" t="inlineStr">
        <is>
          <t>Itaguai</t>
        </is>
      </c>
      <c r="C1083" s="30" t="n">
        <v>79017329</v>
      </c>
      <c r="D1083" s="30">
        <f>"00747102000256"</f>
        <v/>
      </c>
      <c r="E1083" s="30" t="inlineStr">
        <is>
          <t>AREAL DO FUTURO EXTRACAO DE AREIA LTDA EPP</t>
        </is>
      </c>
      <c r="F1083" s="40" t="n">
        <v>0</v>
      </c>
      <c r="G1083" s="40" t="n">
        <v>0</v>
      </c>
      <c r="H1083" s="40" t="n">
        <v>0</v>
      </c>
      <c r="I1083" s="40" t="n">
        <v>0</v>
      </c>
      <c r="J1083" s="40" t="n">
        <v>0</v>
      </c>
      <c r="K1083" s="40" t="n">
        <v>0</v>
      </c>
      <c r="L1083" s="40" t="n">
        <v>0</v>
      </c>
    </row>
    <row r="1084" ht="12" customHeight="1">
      <c r="A1084" s="30" t="inlineStr">
        <is>
          <t>ITG</t>
        </is>
      </c>
      <c r="B1084" s="30" t="inlineStr">
        <is>
          <t>Itaguai</t>
        </is>
      </c>
      <c r="C1084" s="30" t="n">
        <v>79020354</v>
      </c>
      <c r="D1084" s="30">
        <f>"06236452000234"</f>
        <v/>
      </c>
      <c r="E1084" s="30" t="inlineStr">
        <is>
          <t>PH 2009 RECICLAGEM LTDA</t>
        </is>
      </c>
      <c r="F1084" s="40" t="n">
        <v>0</v>
      </c>
      <c r="G1084" s="40" t="n">
        <v>0</v>
      </c>
      <c r="H1084" s="40" t="n">
        <v>0</v>
      </c>
      <c r="I1084" s="40" t="n">
        <v>0</v>
      </c>
      <c r="J1084" s="40" t="n">
        <v>0</v>
      </c>
      <c r="K1084" s="40" t="n">
        <v>0</v>
      </c>
      <c r="L1084" s="40" t="n">
        <v>28140</v>
      </c>
    </row>
    <row r="1085" ht="12" customHeight="1">
      <c r="A1085" s="30" t="inlineStr">
        <is>
          <t>ITG</t>
        </is>
      </c>
      <c r="B1085" s="30" t="inlineStr">
        <is>
          <t>Itaguai</t>
        </is>
      </c>
      <c r="C1085" s="30" t="n">
        <v>79024554</v>
      </c>
      <c r="D1085" s="30">
        <f>"78531000105"</f>
        <v/>
      </c>
      <c r="E1085" s="30" t="inlineStr">
        <is>
          <t>MTECH LOCAÇÕES E SERVIÇOS LTDA</t>
        </is>
      </c>
      <c r="F1085" s="40" t="n">
        <v>0</v>
      </c>
      <c r="G1085" s="40" t="n">
        <v>0</v>
      </c>
      <c r="H1085" s="40" t="n">
        <v>0</v>
      </c>
      <c r="I1085" s="40" t="n">
        <v>0</v>
      </c>
      <c r="J1085" s="40" t="n">
        <v>0</v>
      </c>
      <c r="K1085" s="40" t="n">
        <v>0</v>
      </c>
      <c r="L1085" s="40" t="n">
        <v>0</v>
      </c>
    </row>
    <row r="1086" ht="12" customHeight="1">
      <c r="A1086" s="30" t="inlineStr">
        <is>
          <t>ITG</t>
        </is>
      </c>
      <c r="B1086" s="30" t="inlineStr">
        <is>
          <t>Itaguai</t>
        </is>
      </c>
      <c r="C1086" s="30" t="n">
        <v>79024597</v>
      </c>
      <c r="D1086" s="30">
        <f>"01491379000142"</f>
        <v/>
      </c>
      <c r="E1086" s="30" t="inlineStr">
        <is>
          <t>CORBO PIZZAS E SERVICOS LTDA ME</t>
        </is>
      </c>
      <c r="F1086" s="40" t="n">
        <v>21984.56</v>
      </c>
      <c r="G1086" s="40" t="n">
        <v>0</v>
      </c>
      <c r="H1086" s="40" t="n">
        <v>0</v>
      </c>
      <c r="I1086" s="40" t="n">
        <v>0</v>
      </c>
      <c r="J1086" s="40" t="n">
        <v>0</v>
      </c>
      <c r="K1086" s="40" t="n">
        <v>0</v>
      </c>
      <c r="L1086" s="40" t="n">
        <v>0</v>
      </c>
    </row>
    <row r="1087" ht="12" customHeight="1">
      <c r="A1087" s="30" t="inlineStr">
        <is>
          <t>ITG</t>
        </is>
      </c>
      <c r="B1087" s="30" t="inlineStr">
        <is>
          <t>Itaguai</t>
        </is>
      </c>
      <c r="C1087" s="30" t="n">
        <v>79027782</v>
      </c>
      <c r="D1087" s="30">
        <f>"66702325001600"</f>
        <v/>
      </c>
      <c r="E1087" s="30" t="inlineStr">
        <is>
          <t>TORA LOGISTICA ARMAZENS E TERMINAIS MULTIMODAIS S/A</t>
        </is>
      </c>
      <c r="F1087" s="40" t="n">
        <v>0</v>
      </c>
      <c r="G1087" s="40" t="n">
        <v>0</v>
      </c>
      <c r="H1087" s="40" t="n">
        <v>0</v>
      </c>
      <c r="I1087" s="40" t="n">
        <v>0</v>
      </c>
      <c r="J1087" s="40" t="n">
        <v>0</v>
      </c>
      <c r="K1087" s="40" t="n">
        <v>0</v>
      </c>
      <c r="L1087" s="40" t="n">
        <v>0</v>
      </c>
    </row>
    <row r="1088" ht="12" customHeight="1">
      <c r="A1088" s="30" t="inlineStr">
        <is>
          <t>ITG</t>
        </is>
      </c>
      <c r="B1088" s="30" t="inlineStr">
        <is>
          <t>Itaguai</t>
        </is>
      </c>
      <c r="C1088" s="30" t="n">
        <v>79029076</v>
      </c>
      <c r="D1088" s="30">
        <f>"11824706000194"</f>
        <v/>
      </c>
      <c r="E1088" s="30" t="inlineStr">
        <is>
          <t>MENOS E MAIS INDUSTRIA E COMERCIO DE ROUPAS LTDA ME</t>
        </is>
      </c>
      <c r="F1088" s="40" t="n">
        <v>0</v>
      </c>
      <c r="G1088" s="40" t="n">
        <v>0</v>
      </c>
      <c r="H1088" s="40" t="n">
        <v>0</v>
      </c>
      <c r="I1088" s="40" t="n">
        <v>0</v>
      </c>
      <c r="J1088" s="40" t="n">
        <v>0</v>
      </c>
      <c r="K1088" s="40" t="n">
        <v>0</v>
      </c>
      <c r="L1088" s="40" t="n">
        <v>0</v>
      </c>
    </row>
    <row r="1089" ht="12" customHeight="1">
      <c r="A1089" s="30" t="inlineStr">
        <is>
          <t>ITG</t>
        </is>
      </c>
      <c r="B1089" s="30" t="inlineStr">
        <is>
          <t>Itaguai</t>
        </is>
      </c>
      <c r="C1089" s="30" t="n">
        <v>79032557</v>
      </c>
      <c r="D1089" s="30">
        <f>"33014556056906"</f>
        <v/>
      </c>
      <c r="E1089" s="30" t="inlineStr">
        <is>
          <t>LOJAS AMERICANAS S.A.</t>
        </is>
      </c>
      <c r="F1089" s="40" t="n">
        <v>2428163.09</v>
      </c>
      <c r="G1089" s="40" t="n">
        <v>2208804.75</v>
      </c>
      <c r="H1089" s="40" t="n">
        <v>2163553.11</v>
      </c>
      <c r="I1089" s="40" t="n">
        <v>1520579.29</v>
      </c>
      <c r="J1089" s="40" t="n">
        <v>0</v>
      </c>
      <c r="K1089" s="40" t="n">
        <v>0</v>
      </c>
      <c r="L1089" s="40" t="n">
        <v>0</v>
      </c>
    </row>
    <row r="1090" ht="12" customHeight="1">
      <c r="A1090" s="30" t="inlineStr">
        <is>
          <t>ITG</t>
        </is>
      </c>
      <c r="B1090" s="30" t="inlineStr">
        <is>
          <t>Itaguai</t>
        </is>
      </c>
      <c r="C1090" s="30" t="n">
        <v>79038849</v>
      </c>
      <c r="D1090" s="30">
        <f>"11395515000154"</f>
        <v/>
      </c>
      <c r="E1090" s="30" t="inlineStr">
        <is>
          <t>RODRIGUES E CORREDOR COMERCIO E CONFECCAO DE ROUPAS LTDA ME</t>
        </is>
      </c>
      <c r="F1090" s="40" t="n">
        <v>0</v>
      </c>
      <c r="G1090" s="40" t="n">
        <v>0</v>
      </c>
      <c r="H1090" s="40" t="n">
        <v>0</v>
      </c>
      <c r="I1090" s="40" t="n">
        <v>0</v>
      </c>
      <c r="J1090" s="40" t="n">
        <v>0</v>
      </c>
      <c r="K1090" s="40" t="n">
        <v>0</v>
      </c>
      <c r="L1090" s="40" t="n">
        <v>0</v>
      </c>
    </row>
    <row r="1091" ht="12" customHeight="1">
      <c r="A1091" s="30" t="inlineStr">
        <is>
          <t>ITG</t>
        </is>
      </c>
      <c r="B1091" s="30" t="inlineStr">
        <is>
          <t>Itaguai</t>
        </is>
      </c>
      <c r="C1091" s="30" t="n">
        <v>79038857</v>
      </c>
      <c r="D1091" s="30">
        <f>"11836157000178"</f>
        <v/>
      </c>
      <c r="E1091" s="30" t="inlineStr">
        <is>
          <t>DROGARIA SANTOS &amp; PIRES LTDA ME</t>
        </is>
      </c>
      <c r="F1091" s="40" t="n">
        <v>0</v>
      </c>
      <c r="G1091" s="40" t="n">
        <v>0</v>
      </c>
      <c r="H1091" s="40" t="n">
        <v>137047.87</v>
      </c>
      <c r="I1091" s="40" t="n">
        <v>62822.07</v>
      </c>
      <c r="J1091" s="40" t="n">
        <v>22957.18</v>
      </c>
      <c r="K1091" s="40" t="n">
        <v>0</v>
      </c>
      <c r="L1091" s="40" t="n">
        <v>0</v>
      </c>
    </row>
    <row r="1092" ht="12" customHeight="1">
      <c r="A1092" s="30" t="inlineStr">
        <is>
          <t>ITG</t>
        </is>
      </c>
      <c r="B1092" s="30" t="inlineStr">
        <is>
          <t>Itaguai</t>
        </is>
      </c>
      <c r="C1092" s="30" t="n">
        <v>79041777</v>
      </c>
      <c r="D1092" s="30">
        <f>"11884885000155"</f>
        <v/>
      </c>
      <c r="E1092" s="30" t="inlineStr">
        <is>
          <t>DROGARIA SILVA DE ITAGUAI LTDA EPP</t>
        </is>
      </c>
      <c r="F1092" s="40" t="n">
        <v>0</v>
      </c>
      <c r="G1092" s="40" t="n">
        <v>3050861.54</v>
      </c>
      <c r="H1092" s="40" t="n">
        <v>876355.33</v>
      </c>
      <c r="I1092" s="40" t="n">
        <v>484807.47</v>
      </c>
      <c r="J1092" s="40" t="n">
        <v>1357204.39</v>
      </c>
      <c r="K1092" s="40" t="n">
        <v>0</v>
      </c>
      <c r="L1092" s="40" t="n">
        <v>0</v>
      </c>
    </row>
    <row r="1093" ht="12" customHeight="1">
      <c r="A1093" s="30" t="inlineStr">
        <is>
          <t>ITG</t>
        </is>
      </c>
      <c r="B1093" s="30" t="inlineStr">
        <is>
          <t>Itaguai</t>
        </is>
      </c>
      <c r="C1093" s="30" t="n">
        <v>79065668</v>
      </c>
      <c r="D1093" s="30">
        <f>"33355207000723"</f>
        <v/>
      </c>
      <c r="E1093" s="30" t="inlineStr">
        <is>
          <t>DROGARIA SANTO AGOSTINHO LTDA</t>
        </is>
      </c>
      <c r="F1093" s="40" t="n">
        <v>2139121.49</v>
      </c>
      <c r="G1093" s="40" t="n">
        <v>2061933.91</v>
      </c>
      <c r="H1093" s="40" t="n">
        <v>2640874.76</v>
      </c>
      <c r="I1093" s="40" t="n">
        <v>2943865.63</v>
      </c>
      <c r="J1093" s="40" t="n">
        <v>4270421.26</v>
      </c>
      <c r="K1093" s="40" t="n">
        <v>4123002.79</v>
      </c>
      <c r="L1093" s="40" t="n">
        <v>3500380.39</v>
      </c>
    </row>
    <row r="1094" ht="12" customHeight="1">
      <c r="A1094" s="30" t="inlineStr">
        <is>
          <t>ITG</t>
        </is>
      </c>
      <c r="B1094" s="30" t="inlineStr">
        <is>
          <t>Itaguai</t>
        </is>
      </c>
      <c r="C1094" s="30" t="n">
        <v>79065684</v>
      </c>
      <c r="D1094" s="30">
        <f>"33355207000804"</f>
        <v/>
      </c>
      <c r="E1094" s="30" t="inlineStr">
        <is>
          <t>DROGARIA SANTO AGOSTINHO LTDA</t>
        </is>
      </c>
      <c r="F1094" s="40" t="n">
        <v>1087151.31</v>
      </c>
      <c r="G1094" s="40" t="n">
        <v>1034790.82</v>
      </c>
      <c r="H1094" s="40" t="n">
        <v>1199083.79</v>
      </c>
      <c r="I1094" s="40" t="n">
        <v>982706.03</v>
      </c>
      <c r="J1094" s="40" t="n">
        <v>1696314.2</v>
      </c>
      <c r="K1094" s="40" t="n">
        <v>1275212.49</v>
      </c>
      <c r="L1094" s="40" t="n">
        <v>1297470.43</v>
      </c>
    </row>
    <row r="1095" ht="12" customHeight="1">
      <c r="A1095" s="30" t="inlineStr">
        <is>
          <t>ITG</t>
        </is>
      </c>
      <c r="B1095" s="30" t="inlineStr">
        <is>
          <t>Itaguai</t>
        </is>
      </c>
      <c r="C1095" s="30" t="n">
        <v>79091111</v>
      </c>
      <c r="D1095" s="30">
        <f>"12104312000124"</f>
        <v/>
      </c>
      <c r="E1095" s="30" t="inlineStr">
        <is>
          <t>DROGA-FARMA RIO DE ITAGUAI LTDA - ME</t>
        </is>
      </c>
      <c r="F1095" s="40" t="n">
        <v>0</v>
      </c>
      <c r="G1095" s="40" t="n">
        <v>0</v>
      </c>
      <c r="H1095" s="40" t="n">
        <v>0</v>
      </c>
      <c r="I1095" s="40" t="n">
        <v>0</v>
      </c>
      <c r="J1095" s="40" t="n">
        <v>0</v>
      </c>
      <c r="K1095" s="40" t="n">
        <v>2888123.64</v>
      </c>
      <c r="L1095" s="40" t="n">
        <v>0</v>
      </c>
    </row>
    <row r="1096" ht="12" customHeight="1">
      <c r="A1096" s="30" t="inlineStr">
        <is>
          <t>ITG</t>
        </is>
      </c>
      <c r="B1096" s="30" t="inlineStr">
        <is>
          <t>Itaguai</t>
        </is>
      </c>
      <c r="C1096" s="30" t="n">
        <v>79092959</v>
      </c>
      <c r="D1096" s="30">
        <f>"08955576000203"</f>
        <v/>
      </c>
      <c r="E1096" s="30" t="inlineStr">
        <is>
          <t>WINSTON TRANSPORTES LTDA</t>
        </is>
      </c>
      <c r="F1096" s="40" t="n">
        <v>2000</v>
      </c>
      <c r="G1096" s="40" t="n">
        <v>0</v>
      </c>
      <c r="H1096" s="40" t="n">
        <v>0</v>
      </c>
      <c r="I1096" s="40" t="n">
        <v>0</v>
      </c>
      <c r="J1096" s="40" t="n">
        <v>0</v>
      </c>
      <c r="K1096" s="40" t="n">
        <v>0</v>
      </c>
      <c r="L1096" s="40" t="n">
        <v>0</v>
      </c>
    </row>
    <row r="1097" ht="12" customHeight="1">
      <c r="A1097" s="30" t="inlineStr">
        <is>
          <t>ITG</t>
        </is>
      </c>
      <c r="B1097" s="30" t="inlineStr">
        <is>
          <t>Itaguai</t>
        </is>
      </c>
      <c r="C1097" s="30" t="n">
        <v>79094714</v>
      </c>
      <c r="D1097" s="30">
        <f>"45242914024039"</f>
        <v/>
      </c>
      <c r="E1097" s="30" t="inlineStr">
        <is>
          <t>C&amp;A MODAS S.A.</t>
        </is>
      </c>
      <c r="F1097" s="40" t="n">
        <v>4674316.46</v>
      </c>
      <c r="G1097" s="40" t="n">
        <v>4602988.7</v>
      </c>
      <c r="H1097" s="40" t="n">
        <v>6055412.71</v>
      </c>
      <c r="I1097" s="40" t="n">
        <v>3277691.47</v>
      </c>
      <c r="J1097" s="40" t="n">
        <v>4854639</v>
      </c>
      <c r="K1097" s="40" t="n">
        <v>4757819.62</v>
      </c>
      <c r="L1097" s="40" t="n">
        <v>5918244.79</v>
      </c>
    </row>
    <row r="1098" ht="12" customHeight="1">
      <c r="A1098" s="30" t="inlineStr">
        <is>
          <t>ITG</t>
        </is>
      </c>
      <c r="B1098" s="30" t="inlineStr">
        <is>
          <t>Itaguai</t>
        </is>
      </c>
      <c r="C1098" s="30" t="n">
        <v>79095346</v>
      </c>
      <c r="D1098" s="30">
        <f>"20520862004069"</f>
        <v/>
      </c>
      <c r="E1098" s="30" t="inlineStr">
        <is>
          <t>A R G LTDA</t>
        </is>
      </c>
      <c r="F1098" s="40" t="n">
        <v>0</v>
      </c>
      <c r="G1098" s="40" t="n">
        <v>0</v>
      </c>
      <c r="H1098" s="40" t="n">
        <v>0</v>
      </c>
      <c r="I1098" s="40" t="n">
        <v>0</v>
      </c>
      <c r="J1098" s="40" t="n">
        <v>0</v>
      </c>
      <c r="K1098" s="40" t="n">
        <v>0</v>
      </c>
      <c r="L1098" s="40" t="n">
        <v>0</v>
      </c>
    </row>
    <row r="1099" ht="12" customHeight="1">
      <c r="A1099" s="30" t="inlineStr">
        <is>
          <t>ITG</t>
        </is>
      </c>
      <c r="B1099" s="30" t="inlineStr">
        <is>
          <t>Itaguai</t>
        </is>
      </c>
      <c r="C1099" s="30" t="n">
        <v>79095524</v>
      </c>
      <c r="D1099" s="30">
        <f>"06979577000688"</f>
        <v/>
      </c>
      <c r="E1099" s="30" t="inlineStr">
        <is>
          <t>JC THEDIN TRANSPORTES LTDA</t>
        </is>
      </c>
      <c r="F1099" s="40" t="n">
        <v>581.04</v>
      </c>
      <c r="G1099" s="40" t="n">
        <v>0</v>
      </c>
      <c r="H1099" s="40" t="n">
        <v>920.51</v>
      </c>
      <c r="I1099" s="40" t="n">
        <v>1313.15</v>
      </c>
      <c r="J1099" s="40" t="n">
        <v>887.61</v>
      </c>
      <c r="K1099" s="40" t="n">
        <v>0</v>
      </c>
      <c r="L1099" s="40" t="n">
        <v>338.68</v>
      </c>
    </row>
    <row r="1100" ht="12" customHeight="1">
      <c r="A1100" s="30" t="inlineStr">
        <is>
          <t>ITG</t>
        </is>
      </c>
      <c r="B1100" s="30" t="inlineStr">
        <is>
          <t>Itaguai</t>
        </is>
      </c>
      <c r="C1100" s="30" t="n">
        <v>79111678</v>
      </c>
      <c r="D1100" s="30">
        <f>"60157377000504"</f>
        <v/>
      </c>
      <c r="E1100" s="30" t="inlineStr">
        <is>
          <t>TRANS WELL S EXPRESSO RODOVIARIO EIRELI</t>
        </is>
      </c>
      <c r="F1100" s="40" t="n">
        <v>0</v>
      </c>
      <c r="G1100" s="40" t="n">
        <v>5673.2</v>
      </c>
      <c r="H1100" s="40" t="n">
        <v>82.58</v>
      </c>
      <c r="I1100" s="40" t="n">
        <v>75.02</v>
      </c>
      <c r="J1100" s="40" t="n">
        <v>395.03</v>
      </c>
      <c r="K1100" s="40" t="n">
        <v>823.21</v>
      </c>
      <c r="L1100" s="40" t="n">
        <v>193.03</v>
      </c>
    </row>
    <row r="1101" ht="12" customHeight="1">
      <c r="A1101" s="30" t="inlineStr">
        <is>
          <t>ITG</t>
        </is>
      </c>
      <c r="B1101" s="30" t="inlineStr">
        <is>
          <t>Itaguai</t>
        </is>
      </c>
      <c r="C1101" s="30" t="n">
        <v>79113166</v>
      </c>
      <c r="D1101" s="30">
        <f>"12220768000150"</f>
        <v/>
      </c>
      <c r="E1101" s="30" t="inlineStr">
        <is>
          <t>PB2 RESTAURANTE E PIZZARIA EIRELI</t>
        </is>
      </c>
      <c r="F1101" s="40" t="n">
        <v>0</v>
      </c>
      <c r="G1101" s="40" t="n">
        <v>0</v>
      </c>
      <c r="H1101" s="40" t="n">
        <v>0</v>
      </c>
      <c r="I1101" s="40" t="n">
        <v>0</v>
      </c>
      <c r="J1101" s="40" t="n">
        <v>0</v>
      </c>
      <c r="K1101" s="40" t="n">
        <v>0</v>
      </c>
      <c r="L1101" s="40" t="n">
        <v>0</v>
      </c>
    </row>
    <row r="1102" ht="12" customHeight="1">
      <c r="A1102" s="30" t="inlineStr">
        <is>
          <t>ITG</t>
        </is>
      </c>
      <c r="B1102" s="30" t="inlineStr">
        <is>
          <t>Itaguai</t>
        </is>
      </c>
      <c r="C1102" s="30" t="n">
        <v>79114693</v>
      </c>
      <c r="D1102" s="30">
        <f>"60541240000559"</f>
        <v/>
      </c>
      <c r="E1102" s="30" t="inlineStr">
        <is>
          <t>TECNOLOG TRANSPORTES RODO AEREO E LOGISTICA LTDA</t>
        </is>
      </c>
      <c r="F1102" s="40" t="n">
        <v>0</v>
      </c>
      <c r="G1102" s="40" t="n">
        <v>0</v>
      </c>
      <c r="H1102" s="40" t="n">
        <v>0</v>
      </c>
      <c r="I1102" s="40" t="n">
        <v>0</v>
      </c>
      <c r="J1102" s="40" t="n">
        <v>1501.94</v>
      </c>
      <c r="K1102" s="40" t="n">
        <v>0</v>
      </c>
      <c r="L1102" s="40" t="n">
        <v>0</v>
      </c>
    </row>
    <row r="1103" ht="12" customHeight="1">
      <c r="A1103" s="30" t="inlineStr">
        <is>
          <t>ITG</t>
        </is>
      </c>
      <c r="B1103" s="30" t="inlineStr">
        <is>
          <t>Itaguai</t>
        </is>
      </c>
      <c r="C1103" s="30" t="n">
        <v>79121320</v>
      </c>
      <c r="D1103" s="30">
        <f>"12186855000138"</f>
        <v/>
      </c>
      <c r="E1103" s="30" t="inlineStr">
        <is>
          <t>K LOG TRANSPORTES EIRELI</t>
        </is>
      </c>
      <c r="F1103" s="40" t="n">
        <v>0</v>
      </c>
      <c r="G1103" s="40" t="n">
        <v>124210.46</v>
      </c>
      <c r="H1103" s="40" t="n">
        <v>691239.36</v>
      </c>
      <c r="I1103" s="40" t="n">
        <v>306351.19</v>
      </c>
      <c r="J1103" s="40" t="n">
        <v>93885.14</v>
      </c>
      <c r="K1103" s="40" t="n">
        <v>0</v>
      </c>
      <c r="L1103" s="40" t="n">
        <v>0</v>
      </c>
    </row>
    <row r="1104" ht="12" customHeight="1">
      <c r="A1104" s="30" t="inlineStr">
        <is>
          <t>ITG</t>
        </is>
      </c>
      <c r="B1104" s="30" t="inlineStr">
        <is>
          <t>Itaguai</t>
        </is>
      </c>
      <c r="C1104" s="30" t="n">
        <v>79121800</v>
      </c>
      <c r="D1104" s="30">
        <f>"05593147000237"</f>
        <v/>
      </c>
      <c r="E1104" s="30" t="inlineStr">
        <is>
          <t>VELTEN LOGISTICA E TRANSPORTE LTDA EPP</t>
        </is>
      </c>
      <c r="F1104" s="40" t="n">
        <v>3.51</v>
      </c>
      <c r="G1104" s="40" t="n">
        <v>0</v>
      </c>
      <c r="H1104" s="40" t="n">
        <v>0</v>
      </c>
      <c r="I1104" s="40" t="n">
        <v>0</v>
      </c>
      <c r="J1104" s="40" t="n">
        <v>0</v>
      </c>
      <c r="K1104" s="40" t="n">
        <v>0</v>
      </c>
      <c r="L1104" s="40" t="n">
        <v>0</v>
      </c>
    </row>
    <row r="1105" ht="12" customHeight="1">
      <c r="A1105" s="30" t="inlineStr">
        <is>
          <t>ITG</t>
        </is>
      </c>
      <c r="B1105" s="30" t="inlineStr">
        <is>
          <t>Itaguai</t>
        </is>
      </c>
      <c r="C1105" s="30" t="n">
        <v>79123927</v>
      </c>
      <c r="D1105" s="30">
        <f>"12137130000150"</f>
        <v/>
      </c>
      <c r="E1105" s="30" t="inlineStr">
        <is>
          <t>REINO VEGETAL PLANTAS E JARDINS LTDA ME</t>
        </is>
      </c>
      <c r="F1105" s="40" t="n">
        <v>0</v>
      </c>
      <c r="G1105" s="40" t="n">
        <v>0</v>
      </c>
      <c r="H1105" s="40" t="n">
        <v>0</v>
      </c>
      <c r="I1105" s="40" t="n">
        <v>0</v>
      </c>
      <c r="J1105" s="40" t="n">
        <v>0</v>
      </c>
      <c r="K1105" s="40" t="n">
        <v>0</v>
      </c>
      <c r="L1105" s="40" t="n">
        <v>0</v>
      </c>
    </row>
    <row r="1106" ht="12" customHeight="1">
      <c r="A1106" s="30" t="inlineStr">
        <is>
          <t>ITG</t>
        </is>
      </c>
      <c r="B1106" s="30" t="inlineStr">
        <is>
          <t>Itaguai</t>
        </is>
      </c>
      <c r="C1106" s="30" t="n">
        <v>79130508</v>
      </c>
      <c r="D1106" s="30">
        <f>"12330142000104"</f>
        <v/>
      </c>
      <c r="E1106" s="30" t="inlineStr">
        <is>
          <t>MABA V MANIPULACAO FARMACEUTICA EIRELI EPP</t>
        </is>
      </c>
      <c r="F1106" s="40" t="n">
        <v>0</v>
      </c>
      <c r="G1106" s="40" t="n">
        <v>0</v>
      </c>
      <c r="H1106" s="40" t="n">
        <v>0</v>
      </c>
      <c r="I1106" s="40" t="n">
        <v>0</v>
      </c>
      <c r="J1106" s="40" t="n">
        <v>0</v>
      </c>
      <c r="K1106" s="40" t="n">
        <v>61739.18</v>
      </c>
      <c r="L1106" s="40" t="n">
        <v>0</v>
      </c>
    </row>
    <row r="1107" ht="12" customHeight="1">
      <c r="A1107" s="30" t="inlineStr">
        <is>
          <t>ITG</t>
        </is>
      </c>
      <c r="B1107" s="30" t="inlineStr">
        <is>
          <t>Itaguai</t>
        </is>
      </c>
      <c r="C1107" s="30" t="n">
        <v>79133108</v>
      </c>
      <c r="D1107" s="30">
        <f>"11682198000157"</f>
        <v/>
      </c>
      <c r="E1107" s="30" t="inlineStr">
        <is>
          <t>TRANSMAGNOLOG SERVICOS LOGISTICOS LTDA</t>
        </is>
      </c>
      <c r="F1107" s="40" t="n">
        <v>285304.47</v>
      </c>
      <c r="G1107" s="40" t="n">
        <v>0</v>
      </c>
      <c r="H1107" s="40" t="n">
        <v>0</v>
      </c>
      <c r="I1107" s="40" t="n">
        <v>0</v>
      </c>
      <c r="J1107" s="40" t="n">
        <v>0</v>
      </c>
      <c r="K1107" s="40" t="n">
        <v>0</v>
      </c>
      <c r="L1107" s="40" t="n">
        <v>0</v>
      </c>
    </row>
    <row r="1108" ht="12" customHeight="1">
      <c r="A1108" s="30" t="inlineStr">
        <is>
          <t>ITG</t>
        </is>
      </c>
      <c r="B1108" s="30" t="inlineStr">
        <is>
          <t>Itaguai</t>
        </is>
      </c>
      <c r="C1108" s="30" t="n">
        <v>79142166</v>
      </c>
      <c r="D1108" s="30">
        <f>"12334748000100"</f>
        <v/>
      </c>
      <c r="E1108" s="30" t="inlineStr">
        <is>
          <t>DEVOC COMERCIO DE ALIMENTOS LTDA</t>
        </is>
      </c>
      <c r="F1108" s="40" t="n">
        <v>3745019.11</v>
      </c>
      <c r="G1108" s="40" t="n">
        <v>4110531.57</v>
      </c>
      <c r="H1108" s="40" t="n">
        <v>2553699.95</v>
      </c>
      <c r="I1108" s="40" t="n">
        <v>3997332.54</v>
      </c>
      <c r="J1108" s="40" t="n">
        <v>5014741.75</v>
      </c>
      <c r="K1108" s="40" t="n">
        <v>6229497.74</v>
      </c>
      <c r="L1108" s="40" t="n">
        <v>6796153.45</v>
      </c>
    </row>
    <row r="1109" ht="12" customHeight="1">
      <c r="A1109" s="30" t="inlineStr">
        <is>
          <t>ITG</t>
        </is>
      </c>
      <c r="B1109" s="30" t="inlineStr">
        <is>
          <t>Itaguai</t>
        </is>
      </c>
      <c r="C1109" s="30" t="n">
        <v>79145866</v>
      </c>
      <c r="D1109" s="30">
        <f>"12382566000104"</f>
        <v/>
      </c>
      <c r="E1109" s="30" t="inlineStr">
        <is>
          <t>BOTIMIX LTDA EPP</t>
        </is>
      </c>
      <c r="F1109" s="40" t="n">
        <v>468425.33</v>
      </c>
      <c r="G1109" s="40" t="n">
        <v>269887.99</v>
      </c>
      <c r="H1109" s="40" t="n">
        <v>248380.61</v>
      </c>
      <c r="I1109" s="40" t="n">
        <v>0</v>
      </c>
      <c r="J1109" s="40" t="n">
        <v>0</v>
      </c>
      <c r="K1109" s="40" t="n">
        <v>0</v>
      </c>
      <c r="L1109" s="40" t="n">
        <v>0</v>
      </c>
    </row>
    <row r="1110" ht="12" customHeight="1">
      <c r="A1110" s="30" t="inlineStr">
        <is>
          <t>ITG</t>
        </is>
      </c>
      <c r="B1110" s="30" t="inlineStr">
        <is>
          <t>Itaguai</t>
        </is>
      </c>
      <c r="C1110" s="30" t="n">
        <v>79145963</v>
      </c>
      <c r="D1110" s="30">
        <f>"12382533000164"</f>
        <v/>
      </c>
      <c r="E1110" s="30" t="inlineStr">
        <is>
          <t>LU BOTICA LTDA EPP</t>
        </is>
      </c>
      <c r="F1110" s="40" t="n">
        <v>400076.28</v>
      </c>
      <c r="G1110" s="40" t="n">
        <v>387285.56</v>
      </c>
      <c r="H1110" s="40" t="n">
        <v>378575.66</v>
      </c>
      <c r="I1110" s="40" t="n">
        <v>362223.74</v>
      </c>
      <c r="J1110" s="40" t="n">
        <v>410352.2</v>
      </c>
      <c r="K1110" s="40" t="n">
        <v>539818.02</v>
      </c>
      <c r="L1110" s="40" t="n">
        <v>507621.04</v>
      </c>
    </row>
    <row r="1111" ht="12" customHeight="1">
      <c r="A1111" s="30" t="inlineStr">
        <is>
          <t>ITG</t>
        </is>
      </c>
      <c r="B1111" s="30" t="inlineStr">
        <is>
          <t>Itaguai</t>
        </is>
      </c>
      <c r="C1111" s="30" t="n">
        <v>79146641</v>
      </c>
      <c r="D1111" s="30">
        <f>"60960473001304"</f>
        <v/>
      </c>
      <c r="E1111" s="30" t="inlineStr">
        <is>
          <t>RODOGARCIA TRANSPORTES RODOVIARIOS LTDA</t>
        </is>
      </c>
      <c r="F1111" s="40" t="n">
        <v>0</v>
      </c>
      <c r="G1111" s="40" t="n">
        <v>0</v>
      </c>
      <c r="H1111" s="40" t="n">
        <v>0</v>
      </c>
      <c r="I1111" s="40" t="n">
        <v>0</v>
      </c>
      <c r="J1111" s="40" t="n">
        <v>0</v>
      </c>
      <c r="K1111" s="40" t="n">
        <v>0</v>
      </c>
      <c r="L1111" s="40" t="n">
        <v>435.94</v>
      </c>
    </row>
    <row r="1112" ht="12" customHeight="1">
      <c r="A1112" s="30" t="inlineStr">
        <is>
          <t>ITG</t>
        </is>
      </c>
      <c r="B1112" s="30" t="inlineStr">
        <is>
          <t>Itaguai</t>
        </is>
      </c>
      <c r="C1112" s="30" t="n">
        <v>79147222</v>
      </c>
      <c r="D1112" s="30">
        <f>"59530832001487"</f>
        <v/>
      </c>
      <c r="E1112" s="30" t="inlineStr">
        <is>
          <t>BRASILMAXI LOGISTICA LTDA</t>
        </is>
      </c>
      <c r="F1112" s="40" t="n">
        <v>18157.92</v>
      </c>
      <c r="G1112" s="40" t="n">
        <v>0</v>
      </c>
      <c r="H1112" s="40" t="n">
        <v>0</v>
      </c>
      <c r="I1112" s="40" t="n">
        <v>0</v>
      </c>
      <c r="J1112" s="40" t="n">
        <v>0</v>
      </c>
      <c r="K1112" s="40" t="n">
        <v>0</v>
      </c>
      <c r="L1112" s="40" t="n">
        <v>0</v>
      </c>
    </row>
    <row r="1113" ht="12" customHeight="1">
      <c r="A1113" s="30" t="inlineStr">
        <is>
          <t>ITG</t>
        </is>
      </c>
      <c r="B1113" s="30" t="inlineStr">
        <is>
          <t>Itaguai</t>
        </is>
      </c>
      <c r="C1113" s="30" t="n">
        <v>79148474</v>
      </c>
      <c r="D1113" s="30">
        <f>"00202759000157"</f>
        <v/>
      </c>
      <c r="E1113" s="30" t="inlineStr">
        <is>
          <t>SUPERPESA MARITIMA LTDA</t>
        </is>
      </c>
      <c r="F1113" s="40" t="n">
        <v>0</v>
      </c>
      <c r="G1113" s="40" t="n">
        <v>0</v>
      </c>
      <c r="H1113" s="40" t="n">
        <v>0</v>
      </c>
      <c r="I1113" s="40" t="n">
        <v>0</v>
      </c>
      <c r="J1113" s="40" t="n">
        <v>0</v>
      </c>
      <c r="K1113" s="40" t="n">
        <v>0</v>
      </c>
      <c r="L1113" s="40" t="n">
        <v>836936.29</v>
      </c>
    </row>
    <row r="1114" ht="12" customHeight="1">
      <c r="A1114" s="30" t="inlineStr">
        <is>
          <t>ITG</t>
        </is>
      </c>
      <c r="B1114" s="30" t="inlineStr">
        <is>
          <t>Itaguai</t>
        </is>
      </c>
      <c r="C1114" s="30" t="n">
        <v>79153583</v>
      </c>
      <c r="D1114" s="30">
        <f>"11682198000238"</f>
        <v/>
      </c>
      <c r="E1114" s="30" t="inlineStr">
        <is>
          <t>TRANSMAGNOLOG SERVICOS LOGISTICOS LTDA</t>
        </is>
      </c>
      <c r="F1114" s="40" t="n">
        <v>1750.51</v>
      </c>
      <c r="G1114" s="40" t="n">
        <v>0</v>
      </c>
      <c r="H1114" s="40" t="n">
        <v>0</v>
      </c>
      <c r="I1114" s="40" t="n">
        <v>0</v>
      </c>
      <c r="J1114" s="40" t="n">
        <v>0</v>
      </c>
      <c r="K1114" s="40" t="n">
        <v>0</v>
      </c>
      <c r="L1114" s="40" t="n">
        <v>0</v>
      </c>
    </row>
    <row r="1115" ht="12" customHeight="1">
      <c r="A1115" s="30" t="inlineStr">
        <is>
          <t>ITG</t>
        </is>
      </c>
      <c r="B1115" s="30" t="inlineStr">
        <is>
          <t>Itaguai</t>
        </is>
      </c>
      <c r="C1115" s="30" t="n">
        <v>79159310</v>
      </c>
      <c r="D1115" s="30">
        <f>"12238412000224"</f>
        <v/>
      </c>
      <c r="E1115" s="30" t="inlineStr">
        <is>
          <t>CONSORCIO ARG-CIVILPORT-PORTO SUDESTE</t>
        </is>
      </c>
      <c r="F1115" s="40" t="n">
        <v>0</v>
      </c>
      <c r="G1115" s="40" t="n">
        <v>0</v>
      </c>
      <c r="H1115" s="40" t="n">
        <v>0</v>
      </c>
      <c r="I1115" s="40" t="n">
        <v>0</v>
      </c>
      <c r="J1115" s="40" t="n">
        <v>0</v>
      </c>
      <c r="K1115" s="40" t="n">
        <v>0</v>
      </c>
      <c r="L1115" s="40" t="n">
        <v>0</v>
      </c>
    </row>
    <row r="1116" ht="12" customHeight="1">
      <c r="A1116" s="30" t="inlineStr">
        <is>
          <t>ITG</t>
        </is>
      </c>
      <c r="B1116" s="30" t="inlineStr">
        <is>
          <t>Itaguai</t>
        </is>
      </c>
      <c r="C1116" s="30" t="n">
        <v>79167061</v>
      </c>
      <c r="D1116" s="30">
        <f>"05053441001309"</f>
        <v/>
      </c>
      <c r="E1116" s="30" t="inlineStr">
        <is>
          <t>RASTRECALL REPRESENTACOES COMERCIAIS DE TELECOMUNICACOES LTDA</t>
        </is>
      </c>
      <c r="F1116" s="40" t="n">
        <v>179421.38</v>
      </c>
      <c r="G1116" s="40" t="n">
        <v>0</v>
      </c>
      <c r="H1116" s="40" t="n">
        <v>0</v>
      </c>
      <c r="I1116" s="40" t="n">
        <v>0</v>
      </c>
      <c r="J1116" s="40" t="n">
        <v>0</v>
      </c>
      <c r="K1116" s="40" t="n">
        <v>0</v>
      </c>
      <c r="L1116" s="40" t="n">
        <v>0</v>
      </c>
    </row>
    <row r="1117" ht="12" customHeight="1">
      <c r="A1117" s="30" t="inlineStr">
        <is>
          <t>ITG</t>
        </is>
      </c>
      <c r="B1117" s="30" t="inlineStr">
        <is>
          <t>Itaguai</t>
        </is>
      </c>
      <c r="C1117" s="30" t="n">
        <v>79170089</v>
      </c>
      <c r="D1117" s="30">
        <f>"11058804000168"</f>
        <v/>
      </c>
      <c r="E1117" s="30" t="inlineStr">
        <is>
          <t>PETRO RIO O&amp;G EXPLORACAO E PRODUCAO DE PETROLEO LTDA</t>
        </is>
      </c>
      <c r="F1117" s="40" t="n">
        <v>860369.17</v>
      </c>
      <c r="G1117" s="40" t="n">
        <v>1468737.72</v>
      </c>
      <c r="H1117" s="40" t="n">
        <v>1316850.36</v>
      </c>
      <c r="I1117" s="40" t="n">
        <v>1445162.32</v>
      </c>
      <c r="J1117" s="40" t="n">
        <v>1337381.81</v>
      </c>
      <c r="K1117" s="40" t="n">
        <v>0</v>
      </c>
      <c r="L1117" s="40" t="n">
        <v>0</v>
      </c>
    </row>
    <row r="1118" ht="12" customHeight="1">
      <c r="A1118" s="30" t="inlineStr">
        <is>
          <t>ITG</t>
        </is>
      </c>
      <c r="B1118" s="30" t="inlineStr">
        <is>
          <t>Itaguai</t>
        </is>
      </c>
      <c r="C1118" s="30" t="n">
        <v>79179558</v>
      </c>
      <c r="D1118" s="30">
        <f>"07568880000146"</f>
        <v/>
      </c>
      <c r="E1118" s="30" t="inlineStr">
        <is>
          <t>EXPRESSO RECREIO TRANSPORTE DE PASSAGEIROS LTDA</t>
        </is>
      </c>
      <c r="F1118" s="40" t="n">
        <v>0</v>
      </c>
      <c r="G1118" s="40" t="n">
        <v>384315.63</v>
      </c>
      <c r="H1118" s="40" t="n">
        <v>1374455</v>
      </c>
      <c r="I1118" s="40" t="n">
        <v>0</v>
      </c>
      <c r="J1118" s="40" t="n">
        <v>0</v>
      </c>
      <c r="K1118" s="40" t="n">
        <v>0</v>
      </c>
      <c r="L1118" s="40" t="n">
        <v>0</v>
      </c>
    </row>
    <row r="1119" ht="12" customHeight="1">
      <c r="A1119" s="30" t="inlineStr">
        <is>
          <t>ITG</t>
        </is>
      </c>
      <c r="B1119" s="30" t="inlineStr">
        <is>
          <t>Itaguai</t>
        </is>
      </c>
      <c r="C1119" s="30" t="n">
        <v>79180297</v>
      </c>
      <c r="D1119" s="30">
        <f>"05699139000199"</f>
        <v/>
      </c>
      <c r="E1119" s="30" t="inlineStr">
        <is>
          <t>GUIOMAR TRANSPORTES LTDA ME</t>
        </is>
      </c>
      <c r="F1119" s="40" t="n">
        <v>4804774.15</v>
      </c>
      <c r="G1119" s="40" t="n">
        <v>1845032.66</v>
      </c>
      <c r="H1119" s="40" t="n">
        <v>27518.75</v>
      </c>
      <c r="I1119" s="40" t="n">
        <v>9180367.4</v>
      </c>
      <c r="J1119" s="40" t="n">
        <v>9166310.289999999</v>
      </c>
      <c r="K1119" s="40" t="n">
        <v>8614543.68</v>
      </c>
      <c r="L1119" s="40" t="n">
        <v>7771826.28</v>
      </c>
    </row>
    <row r="1120" ht="12" customHeight="1">
      <c r="A1120" s="30" t="inlineStr">
        <is>
          <t>ITG</t>
        </is>
      </c>
      <c r="B1120" s="30" t="inlineStr">
        <is>
          <t>Itaguai</t>
        </is>
      </c>
      <c r="C1120" s="30" t="n">
        <v>79180351</v>
      </c>
      <c r="D1120" s="30">
        <f>"12056613000634"</f>
        <v/>
      </c>
      <c r="E1120" s="30" t="inlineStr">
        <is>
          <t>MINERACAO USIMINAS S A</t>
        </is>
      </c>
      <c r="F1120" s="40" t="n">
        <v>0</v>
      </c>
      <c r="G1120" s="40" t="n">
        <v>0</v>
      </c>
      <c r="H1120" s="40" t="n">
        <v>0</v>
      </c>
      <c r="I1120" s="40" t="n">
        <v>0</v>
      </c>
      <c r="J1120" s="40" t="n">
        <v>0</v>
      </c>
      <c r="K1120" s="40" t="n">
        <v>0</v>
      </c>
      <c r="L1120" s="40" t="n">
        <v>0</v>
      </c>
    </row>
    <row r="1121" ht="12" customHeight="1">
      <c r="A1121" s="30" t="inlineStr">
        <is>
          <t>ITG</t>
        </is>
      </c>
      <c r="B1121" s="30" t="inlineStr">
        <is>
          <t>Itaguai</t>
        </is>
      </c>
      <c r="C1121" s="30" t="n">
        <v>79183989</v>
      </c>
      <c r="D1121" s="30">
        <f>"12489359000153"</f>
        <v/>
      </c>
      <c r="E1121" s="30" t="inlineStr">
        <is>
          <t>BOAS NOVAS DE ITAGUAI COMERCIO DE ROUPAS EIRELI EPP</t>
        </is>
      </c>
      <c r="F1121" s="40" t="n">
        <v>0</v>
      </c>
      <c r="G1121" s="40" t="n">
        <v>0</v>
      </c>
      <c r="H1121" s="40" t="n">
        <v>0</v>
      </c>
      <c r="I1121" s="40" t="n">
        <v>14301.76</v>
      </c>
      <c r="J1121" s="40" t="n">
        <v>0</v>
      </c>
      <c r="K1121" s="40" t="n">
        <v>0</v>
      </c>
      <c r="L1121" s="40" t="n">
        <v>0</v>
      </c>
    </row>
    <row r="1122" ht="12" customHeight="1">
      <c r="A1122" s="30" t="inlineStr">
        <is>
          <t>ITG</t>
        </is>
      </c>
      <c r="B1122" s="30" t="inlineStr">
        <is>
          <t>Itaguai</t>
        </is>
      </c>
      <c r="C1122" s="30" t="n">
        <v>79185280</v>
      </c>
      <c r="D1122" s="30">
        <f>"11824706000275"</f>
        <v/>
      </c>
      <c r="E1122" s="30" t="inlineStr">
        <is>
          <t>MENOS E MAIS INDUSTRIA E COMERCIO DE ROUPAS LTDA ME</t>
        </is>
      </c>
      <c r="F1122" s="40" t="n">
        <v>0</v>
      </c>
      <c r="G1122" s="40" t="n">
        <v>0</v>
      </c>
      <c r="H1122" s="40" t="n">
        <v>0</v>
      </c>
      <c r="I1122" s="40" t="n">
        <v>0</v>
      </c>
      <c r="J1122" s="40" t="n">
        <v>0</v>
      </c>
      <c r="K1122" s="40" t="n">
        <v>0</v>
      </c>
      <c r="L1122" s="40" t="n">
        <v>0</v>
      </c>
    </row>
    <row r="1123" ht="12" customHeight="1">
      <c r="A1123" s="30" t="inlineStr">
        <is>
          <t>ITG</t>
        </is>
      </c>
      <c r="B1123" s="30" t="inlineStr">
        <is>
          <t>Itaguai</t>
        </is>
      </c>
      <c r="C1123" s="30" t="n">
        <v>79192309</v>
      </c>
      <c r="D1123" s="30">
        <f>"12434161000172"</f>
        <v/>
      </c>
      <c r="E1123" s="30" t="inlineStr">
        <is>
          <t>R A DE OLIVEIRA COMERCIO DE RECICLAGEM LTDA ME</t>
        </is>
      </c>
      <c r="F1123" s="40" t="n">
        <v>0</v>
      </c>
      <c r="G1123" s="40" t="n">
        <v>0</v>
      </c>
      <c r="H1123" s="40" t="n">
        <v>0</v>
      </c>
      <c r="I1123" s="40" t="n">
        <v>0</v>
      </c>
      <c r="J1123" s="40" t="n">
        <v>0</v>
      </c>
      <c r="K1123" s="40" t="n">
        <v>0</v>
      </c>
      <c r="L1123" s="40" t="n">
        <v>0</v>
      </c>
    </row>
    <row r="1124" ht="12" customHeight="1">
      <c r="A1124" s="30" t="inlineStr">
        <is>
          <t>ITG</t>
        </is>
      </c>
      <c r="B1124" s="30" t="inlineStr">
        <is>
          <t>Itaguai</t>
        </is>
      </c>
      <c r="C1124" s="30" t="n">
        <v>79192317</v>
      </c>
      <c r="D1124" s="30">
        <f>"01748365000161"</f>
        <v/>
      </c>
      <c r="E1124" s="30" t="inlineStr">
        <is>
          <t>GRUPO NESTOR CAMPOS PAIVA COMERCIO E SERVICOS GRAFICOS LTDA ME</t>
        </is>
      </c>
      <c r="F1124" s="40" t="n">
        <v>0</v>
      </c>
      <c r="G1124" s="40" t="n">
        <v>0</v>
      </c>
      <c r="H1124" s="40" t="n">
        <v>0</v>
      </c>
      <c r="I1124" s="40" t="n">
        <v>0</v>
      </c>
      <c r="J1124" s="40" t="n">
        <v>0</v>
      </c>
      <c r="K1124" s="40" t="n">
        <v>0</v>
      </c>
      <c r="L1124" s="40" t="n">
        <v>0</v>
      </c>
    </row>
    <row r="1125" ht="12" customHeight="1">
      <c r="A1125" s="30" t="inlineStr">
        <is>
          <t>ITG</t>
        </is>
      </c>
      <c r="B1125" s="30" t="inlineStr">
        <is>
          <t>Itaguai</t>
        </is>
      </c>
      <c r="C1125" s="30" t="n">
        <v>79193941</v>
      </c>
      <c r="D1125" s="30">
        <f>"12609494000195"</f>
        <v/>
      </c>
      <c r="E1125" s="30" t="inlineStr">
        <is>
          <t>CONCRETO SANTA LUZIA LTDA</t>
        </is>
      </c>
      <c r="F1125" s="40" t="n">
        <v>0</v>
      </c>
      <c r="G1125" s="40" t="n">
        <v>0</v>
      </c>
      <c r="H1125" s="40" t="n">
        <v>0</v>
      </c>
      <c r="I1125" s="40" t="n">
        <v>0</v>
      </c>
      <c r="J1125" s="40" t="n">
        <v>0</v>
      </c>
      <c r="K1125" s="40" t="n">
        <v>0</v>
      </c>
      <c r="L1125" s="40" t="n">
        <v>0</v>
      </c>
    </row>
    <row r="1126" ht="12" customHeight="1">
      <c r="A1126" s="30" t="inlineStr">
        <is>
          <t>ITG</t>
        </is>
      </c>
      <c r="B1126" s="30" t="inlineStr">
        <is>
          <t>Itaguai</t>
        </is>
      </c>
      <c r="C1126" s="30" t="n">
        <v>79193976</v>
      </c>
      <c r="D1126" s="30">
        <f>"12609440000120"</f>
        <v/>
      </c>
      <c r="E1126" s="30" t="inlineStr">
        <is>
          <t>TRANSPORTES E LOGISTICA SANTA LUZIA LTDA</t>
        </is>
      </c>
      <c r="F1126" s="40" t="n">
        <v>0</v>
      </c>
      <c r="G1126" s="40" t="n">
        <v>0</v>
      </c>
      <c r="H1126" s="40" t="n">
        <v>0</v>
      </c>
      <c r="I1126" s="40" t="n">
        <v>0</v>
      </c>
      <c r="J1126" s="40" t="n">
        <v>0</v>
      </c>
      <c r="K1126" s="40" t="n">
        <v>0</v>
      </c>
      <c r="L1126" s="40" t="n">
        <v>0</v>
      </c>
    </row>
    <row r="1127" ht="12" customHeight="1">
      <c r="A1127" s="30" t="inlineStr">
        <is>
          <t>ITG</t>
        </is>
      </c>
      <c r="B1127" s="30" t="inlineStr">
        <is>
          <t>Itaguai</t>
        </is>
      </c>
      <c r="C1127" s="30" t="n">
        <v>79194670</v>
      </c>
      <c r="D1127" s="30">
        <f>"07605932000107"</f>
        <v/>
      </c>
      <c r="E1127" s="30" t="inlineStr">
        <is>
          <t>WLENET SERVICOS DE TELECOMINICACOES LTDA</t>
        </is>
      </c>
      <c r="F1127" s="40" t="n">
        <v>0</v>
      </c>
      <c r="G1127" s="40" t="n">
        <v>0</v>
      </c>
      <c r="H1127" s="40" t="n">
        <v>0</v>
      </c>
      <c r="I1127" s="40" t="n">
        <v>18206.9</v>
      </c>
      <c r="J1127" s="40" t="n">
        <v>69728</v>
      </c>
      <c r="K1127" s="40" t="n">
        <v>77115</v>
      </c>
      <c r="L1127" s="40" t="n">
        <v>43860</v>
      </c>
    </row>
    <row r="1128" ht="12" customHeight="1">
      <c r="A1128" s="30" t="inlineStr">
        <is>
          <t>ITG</t>
        </is>
      </c>
      <c r="B1128" s="30" t="inlineStr">
        <is>
          <t>Itaguai</t>
        </is>
      </c>
      <c r="C1128" s="30" t="n">
        <v>79198382</v>
      </c>
      <c r="D1128" s="30">
        <f>"02674023000107"</f>
        <v/>
      </c>
      <c r="E1128" s="30" t="inlineStr">
        <is>
          <t>JOANA DARC DO NASCIMENTO VALOIS ME</t>
        </is>
      </c>
      <c r="F1128" s="40" t="n">
        <v>0</v>
      </c>
      <c r="G1128" s="40" t="n">
        <v>0</v>
      </c>
      <c r="H1128" s="40" t="n">
        <v>0</v>
      </c>
      <c r="I1128" s="40" t="n">
        <v>0</v>
      </c>
      <c r="J1128" s="40" t="n">
        <v>0</v>
      </c>
      <c r="K1128" s="40" t="n">
        <v>0</v>
      </c>
      <c r="L1128" s="40" t="n">
        <v>0</v>
      </c>
    </row>
    <row r="1129" ht="12" customHeight="1">
      <c r="A1129" s="30" t="inlineStr">
        <is>
          <t>ITG</t>
        </is>
      </c>
      <c r="B1129" s="30" t="inlineStr">
        <is>
          <t>Itaguai</t>
        </is>
      </c>
      <c r="C1129" s="30" t="n">
        <v>79198595</v>
      </c>
      <c r="D1129" s="30">
        <f>"03222025000128"</f>
        <v/>
      </c>
      <c r="E1129" s="30" t="inlineStr">
        <is>
          <t>JH DE PAULA TRANSPORTE E TURISMO LTDA</t>
        </is>
      </c>
      <c r="F1129" s="40" t="n">
        <v>0</v>
      </c>
      <c r="G1129" s="40" t="n">
        <v>0</v>
      </c>
      <c r="H1129" s="40" t="n">
        <v>0</v>
      </c>
      <c r="I1129" s="40" t="n">
        <v>105639.72</v>
      </c>
      <c r="J1129" s="40" t="n">
        <v>62700</v>
      </c>
      <c r="K1129" s="40" t="n">
        <v>0</v>
      </c>
      <c r="L1129" s="40" t="n">
        <v>0</v>
      </c>
    </row>
    <row r="1130" ht="12" customHeight="1">
      <c r="A1130" s="30" t="inlineStr">
        <is>
          <t>ITG</t>
        </is>
      </c>
      <c r="B1130" s="30" t="inlineStr">
        <is>
          <t>Itaguai</t>
        </is>
      </c>
      <c r="C1130" s="30" t="n">
        <v>79201944</v>
      </c>
      <c r="D1130" s="30">
        <f>"61189288036884"</f>
        <v/>
      </c>
      <c r="E1130" s="30" t="inlineStr">
        <is>
          <t>MARISA LOJAS SA</t>
        </is>
      </c>
      <c r="F1130" s="40" t="n">
        <v>1049118.61</v>
      </c>
      <c r="G1130" s="40" t="n">
        <v>984855.22</v>
      </c>
      <c r="H1130" s="40" t="n">
        <v>0</v>
      </c>
      <c r="I1130" s="40" t="n">
        <v>0</v>
      </c>
      <c r="J1130" s="40" t="n">
        <v>0</v>
      </c>
      <c r="K1130" s="40" t="n">
        <v>0</v>
      </c>
      <c r="L1130" s="40" t="n">
        <v>0</v>
      </c>
    </row>
    <row r="1131" ht="12" customHeight="1">
      <c r="A1131" s="30" t="inlineStr">
        <is>
          <t>ITG</t>
        </is>
      </c>
      <c r="B1131" s="30" t="inlineStr">
        <is>
          <t>Itaguai</t>
        </is>
      </c>
      <c r="C1131" s="30" t="n">
        <v>79205567</v>
      </c>
      <c r="D1131" s="30">
        <f>"12689268000161"</f>
        <v/>
      </c>
      <c r="E1131" s="30" t="inlineStr">
        <is>
          <t>MAFRAL BAR E RESTAURANTE LTDA</t>
        </is>
      </c>
      <c r="F1131" s="40" t="n">
        <v>1692999.52</v>
      </c>
      <c r="G1131" s="40" t="n">
        <v>1376948.94</v>
      </c>
      <c r="H1131" s="40" t="n">
        <v>1893108.08</v>
      </c>
      <c r="I1131" s="40" t="n">
        <v>891247.33</v>
      </c>
      <c r="J1131" s="40" t="n">
        <v>1243492.26</v>
      </c>
      <c r="K1131" s="40" t="n">
        <v>1491053.09</v>
      </c>
      <c r="L1131" s="40" t="n">
        <v>1293322.17</v>
      </c>
    </row>
    <row r="1132" ht="12" customHeight="1">
      <c r="A1132" s="30" t="inlineStr">
        <is>
          <t>ITG</t>
        </is>
      </c>
      <c r="B1132" s="30" t="inlineStr">
        <is>
          <t>Itaguai</t>
        </is>
      </c>
      <c r="C1132" s="30" t="n">
        <v>79205869</v>
      </c>
      <c r="D1132" s="30">
        <f>"11908151000320"</f>
        <v/>
      </c>
      <c r="E1132" s="30" t="inlineStr">
        <is>
          <t>MORI ARTIGOS ESPORTIVOS LTDA</t>
        </is>
      </c>
      <c r="F1132" s="40" t="n">
        <v>0</v>
      </c>
      <c r="G1132" s="40" t="n">
        <v>464634.47</v>
      </c>
      <c r="H1132" s="40" t="n">
        <v>400738.13</v>
      </c>
      <c r="I1132" s="40" t="n">
        <v>325577.49</v>
      </c>
      <c r="J1132" s="40" t="n">
        <v>316390.52</v>
      </c>
      <c r="K1132" s="40" t="n">
        <v>0</v>
      </c>
      <c r="L1132" s="40" t="n">
        <v>0</v>
      </c>
    </row>
    <row r="1133" ht="12" customHeight="1">
      <c r="A1133" s="30" t="inlineStr">
        <is>
          <t>ITG</t>
        </is>
      </c>
      <c r="B1133" s="30" t="inlineStr">
        <is>
          <t>Itaguai</t>
        </is>
      </c>
      <c r="C1133" s="30" t="n">
        <v>79205877</v>
      </c>
      <c r="D1133" s="30">
        <f>"09633032000280"</f>
        <v/>
      </c>
      <c r="E1133" s="30" t="inlineStr">
        <is>
          <t>MERCADO LIBERDADE JOAO XXIII LTDA ME</t>
        </is>
      </c>
      <c r="F1133" s="40" t="n">
        <v>0</v>
      </c>
      <c r="G1133" s="40" t="n">
        <v>0</v>
      </c>
      <c r="H1133" s="40" t="n">
        <v>0</v>
      </c>
      <c r="I1133" s="40" t="n">
        <v>0</v>
      </c>
      <c r="J1133" s="40" t="n">
        <v>0</v>
      </c>
      <c r="K1133" s="40" t="n">
        <v>0</v>
      </c>
      <c r="L1133" s="40" t="n">
        <v>0</v>
      </c>
    </row>
    <row r="1134" ht="12" customHeight="1">
      <c r="A1134" s="30" t="inlineStr">
        <is>
          <t>ITG</t>
        </is>
      </c>
      <c r="B1134" s="30" t="inlineStr">
        <is>
          <t>Itaguai</t>
        </is>
      </c>
      <c r="C1134" s="30" t="n">
        <v>79213160</v>
      </c>
      <c r="D1134" s="30">
        <f>"52548435015524"</f>
        <v/>
      </c>
      <c r="E1134" s="30" t="inlineStr">
        <is>
          <t>JSL S/A</t>
        </is>
      </c>
      <c r="F1134" s="40" t="n">
        <v>0</v>
      </c>
      <c r="G1134" s="40" t="n">
        <v>0</v>
      </c>
      <c r="H1134" s="40" t="n">
        <v>0</v>
      </c>
      <c r="I1134" s="40" t="n">
        <v>283980.6</v>
      </c>
      <c r="J1134" s="40" t="n">
        <v>541812.29</v>
      </c>
      <c r="K1134" s="40" t="n">
        <v>293826.22</v>
      </c>
      <c r="L1134" s="40" t="n">
        <v>81801.63</v>
      </c>
    </row>
    <row r="1135" ht="12" customHeight="1">
      <c r="A1135" s="30" t="inlineStr">
        <is>
          <t>ITG</t>
        </is>
      </c>
      <c r="B1135" s="30" t="inlineStr">
        <is>
          <t>Itaguai</t>
        </is>
      </c>
      <c r="C1135" s="30" t="n">
        <v>79214043</v>
      </c>
      <c r="D1135" s="30">
        <f>"11755795000245"</f>
        <v/>
      </c>
      <c r="E1135" s="30" t="inlineStr">
        <is>
          <t>WM TRANSPORTADORA DE COMBUSTIVEL E CARGAS LTDA</t>
        </is>
      </c>
      <c r="F1135" s="40" t="n">
        <v>40577.74</v>
      </c>
      <c r="G1135" s="40" t="n">
        <v>25161.22</v>
      </c>
      <c r="H1135" s="40" t="n">
        <v>41536.3</v>
      </c>
      <c r="I1135" s="40" t="n">
        <v>0</v>
      </c>
      <c r="J1135" s="40" t="n">
        <v>0</v>
      </c>
      <c r="K1135" s="40" t="n">
        <v>0</v>
      </c>
      <c r="L1135" s="40" t="n">
        <v>0</v>
      </c>
    </row>
    <row r="1136" ht="12" customHeight="1">
      <c r="A1136" s="30" t="inlineStr">
        <is>
          <t>ITG</t>
        </is>
      </c>
      <c r="B1136" s="30" t="inlineStr">
        <is>
          <t>Itaguai</t>
        </is>
      </c>
      <c r="C1136" s="30" t="n">
        <v>79216933</v>
      </c>
      <c r="D1136" s="30">
        <f>"29853942000609"</f>
        <v/>
      </c>
      <c r="E1136" s="30" t="inlineStr">
        <is>
          <t>RIO ITA LTDA</t>
        </is>
      </c>
      <c r="F1136" s="40" t="n">
        <v>0</v>
      </c>
      <c r="G1136" s="40" t="n">
        <v>0</v>
      </c>
      <c r="H1136" s="40" t="n">
        <v>4880</v>
      </c>
      <c r="I1136" s="40" t="n">
        <v>0</v>
      </c>
      <c r="J1136" s="40" t="n">
        <v>0</v>
      </c>
      <c r="K1136" s="40" t="n">
        <v>3292</v>
      </c>
      <c r="L1136" s="40" t="n">
        <v>1120</v>
      </c>
    </row>
    <row r="1137" ht="12" customHeight="1">
      <c r="A1137" s="30" t="inlineStr">
        <is>
          <t>ITG</t>
        </is>
      </c>
      <c r="B1137" s="30" t="inlineStr">
        <is>
          <t>Itaguai</t>
        </is>
      </c>
      <c r="C1137" s="30" t="n">
        <v>79217220</v>
      </c>
      <c r="D1137" s="30">
        <f>"01515934000200"</f>
        <v/>
      </c>
      <c r="E1137" s="30" t="inlineStr">
        <is>
          <t>FRIBURGO TRANSPORTE E LOGISTICA LTDA</t>
        </is>
      </c>
      <c r="F1137" s="40" t="n">
        <v>0</v>
      </c>
      <c r="G1137" s="40" t="n">
        <v>145.88</v>
      </c>
      <c r="H1137" s="40" t="n">
        <v>0</v>
      </c>
      <c r="I1137" s="40" t="n">
        <v>0</v>
      </c>
      <c r="J1137" s="40" t="n">
        <v>0</v>
      </c>
      <c r="K1137" s="40" t="n">
        <v>0</v>
      </c>
      <c r="L1137" s="40" t="n">
        <v>0</v>
      </c>
    </row>
    <row r="1138" ht="12" customHeight="1">
      <c r="A1138" s="30" t="inlineStr">
        <is>
          <t>ITG</t>
        </is>
      </c>
      <c r="B1138" s="30" t="inlineStr">
        <is>
          <t>Itaguai</t>
        </is>
      </c>
      <c r="C1138" s="30" t="n">
        <v>79228940</v>
      </c>
      <c r="D1138" s="30">
        <f>"11356166000595"</f>
        <v/>
      </c>
      <c r="E1138" s="30" t="inlineStr">
        <is>
          <t>CAVAGUTI CAMINHOES PECAS E SERVICOS EIRELI</t>
        </is>
      </c>
      <c r="F1138" s="40" t="n">
        <v>0</v>
      </c>
      <c r="G1138" s="40" t="n">
        <v>1036486.38</v>
      </c>
      <c r="H1138" s="40" t="n">
        <v>326651.69</v>
      </c>
      <c r="I1138" s="40" t="n">
        <v>1871285.14</v>
      </c>
      <c r="J1138" s="40" t="n">
        <v>76100.34</v>
      </c>
      <c r="K1138" s="40" t="n">
        <v>0</v>
      </c>
      <c r="L1138" s="40" t="n">
        <v>0</v>
      </c>
    </row>
    <row r="1139" ht="12" customHeight="1">
      <c r="A1139" s="30" t="inlineStr">
        <is>
          <t>ITG</t>
        </is>
      </c>
      <c r="B1139" s="30" t="inlineStr">
        <is>
          <t>Itaguai</t>
        </is>
      </c>
      <c r="C1139" s="30" t="n">
        <v>79235652</v>
      </c>
      <c r="D1139" s="30">
        <f>"11146466001007"</f>
        <v/>
      </c>
      <c r="E1139" s="30" t="inlineStr">
        <is>
          <t>FLORIPA INDUSTRIA E COMERCIO DE ROUPAS LTDA</t>
        </is>
      </c>
      <c r="F1139" s="40" t="n">
        <v>216525.21</v>
      </c>
      <c r="G1139" s="40" t="n">
        <v>0</v>
      </c>
      <c r="H1139" s="40" t="n">
        <v>0</v>
      </c>
      <c r="I1139" s="40" t="n">
        <v>0</v>
      </c>
      <c r="J1139" s="40" t="n">
        <v>208128.69</v>
      </c>
      <c r="K1139" s="40" t="n">
        <v>627463.66</v>
      </c>
      <c r="L1139" s="40" t="n">
        <v>284062.38</v>
      </c>
    </row>
    <row r="1140" ht="12" customHeight="1">
      <c r="A1140" s="30" t="inlineStr">
        <is>
          <t>ITG</t>
        </is>
      </c>
      <c r="B1140" s="30" t="inlineStr">
        <is>
          <t>Itaguai</t>
        </is>
      </c>
      <c r="C1140" s="30" t="n">
        <v>79238651</v>
      </c>
      <c r="D1140" s="30">
        <f>"27045905000134"</f>
        <v/>
      </c>
      <c r="E1140" s="30" t="inlineStr">
        <is>
          <t>VALLE SUL TERRAPLENAGEM LTDA</t>
        </is>
      </c>
      <c r="F1140" s="40" t="n">
        <v>0</v>
      </c>
      <c r="G1140" s="40" t="n">
        <v>0</v>
      </c>
      <c r="H1140" s="40" t="n">
        <v>0</v>
      </c>
      <c r="I1140" s="40" t="n">
        <v>0</v>
      </c>
      <c r="J1140" s="40" t="n">
        <v>0</v>
      </c>
      <c r="K1140" s="40" t="n">
        <v>0</v>
      </c>
      <c r="L1140" s="40" t="n">
        <v>0</v>
      </c>
    </row>
    <row r="1141" ht="12" customHeight="1">
      <c r="A1141" s="30" t="inlineStr">
        <is>
          <t>ITG</t>
        </is>
      </c>
      <c r="B1141" s="30" t="inlineStr">
        <is>
          <t>Itaguai</t>
        </is>
      </c>
      <c r="C1141" s="30" t="n">
        <v>79253545</v>
      </c>
      <c r="D1141" s="30">
        <f>"13005146000171"</f>
        <v/>
      </c>
      <c r="E1141" s="30" t="inlineStr">
        <is>
          <t>SILVA &amp; ABREU COMERCIO OPTICO LTDA - ME</t>
        </is>
      </c>
      <c r="F1141" s="40" t="n">
        <v>36017</v>
      </c>
      <c r="G1141" s="40" t="n">
        <v>30158</v>
      </c>
      <c r="H1141" s="40" t="n">
        <v>72730</v>
      </c>
      <c r="I1141" s="40" t="n">
        <v>55045.99</v>
      </c>
      <c r="J1141" s="40" t="n">
        <v>123332.2</v>
      </c>
      <c r="K1141" s="40" t="n">
        <v>242313.38</v>
      </c>
      <c r="L1141" s="40" t="n">
        <v>27520.35</v>
      </c>
    </row>
    <row r="1142" ht="12" customHeight="1">
      <c r="A1142" s="30" t="inlineStr">
        <is>
          <t>ITG</t>
        </is>
      </c>
      <c r="B1142" s="30" t="inlineStr">
        <is>
          <t>Itaguai</t>
        </is>
      </c>
      <c r="C1142" s="30" t="n">
        <v>79261688</v>
      </c>
      <c r="D1142" s="30">
        <f>"40284663000523"</f>
        <v/>
      </c>
      <c r="E1142" s="30" t="inlineStr">
        <is>
          <t>ACORP DO BRASIL IMPORTACAO E EXPORTACAO LTDA</t>
        </is>
      </c>
      <c r="F1142" s="40" t="n">
        <v>0</v>
      </c>
      <c r="G1142" s="40" t="n">
        <v>0</v>
      </c>
      <c r="H1142" s="40" t="n">
        <v>2347235.39</v>
      </c>
      <c r="I1142" s="40" t="n">
        <v>0</v>
      </c>
      <c r="J1142" s="40" t="n">
        <v>5131674.73</v>
      </c>
      <c r="K1142" s="40" t="n">
        <v>0</v>
      </c>
      <c r="L1142" s="40" t="n">
        <v>8028.66</v>
      </c>
    </row>
    <row r="1143" ht="12" customHeight="1">
      <c r="A1143" s="30" t="inlineStr">
        <is>
          <t>ITG</t>
        </is>
      </c>
      <c r="B1143" s="30" t="inlineStr">
        <is>
          <t>Itaguai</t>
        </is>
      </c>
      <c r="C1143" s="30" t="n">
        <v>79263575</v>
      </c>
      <c r="D1143" s="30">
        <f>"13045627000100"</f>
        <v/>
      </c>
      <c r="E1143" s="30" t="inlineStr">
        <is>
          <t>LESSA COMERCIO DE BEBIDAS E DESCARTAVEIS LTDA ME</t>
        </is>
      </c>
      <c r="F1143" s="40" t="n">
        <v>155976.55</v>
      </c>
      <c r="G1143" s="40" t="n">
        <v>5046.5</v>
      </c>
      <c r="H1143" s="40" t="n">
        <v>0</v>
      </c>
      <c r="I1143" s="40" t="n">
        <v>0</v>
      </c>
      <c r="J1143" s="40" t="n">
        <v>0</v>
      </c>
      <c r="K1143" s="40" t="n">
        <v>0</v>
      </c>
      <c r="L1143" s="40" t="n">
        <v>0</v>
      </c>
    </row>
    <row r="1144" ht="12" customHeight="1">
      <c r="A1144" s="30" t="inlineStr">
        <is>
          <t>ITG</t>
        </is>
      </c>
      <c r="B1144" s="30" t="inlineStr">
        <is>
          <t>Itaguai</t>
        </is>
      </c>
      <c r="C1144" s="30" t="n">
        <v>79269085</v>
      </c>
      <c r="D1144" s="30">
        <f>"01625195001108"</f>
        <v/>
      </c>
      <c r="E1144" s="30" t="inlineStr">
        <is>
          <t>SCS COMERCIAL E SERVICOS QUIMICOS LTDA</t>
        </is>
      </c>
      <c r="F1144" s="40" t="n">
        <v>36958186.69</v>
      </c>
      <c r="G1144" s="40" t="n">
        <v>29022443.65</v>
      </c>
      <c r="H1144" s="40" t="n">
        <v>49528081.9</v>
      </c>
      <c r="I1144" s="40" t="n">
        <v>36846145.7</v>
      </c>
      <c r="J1144" s="40" t="n">
        <v>44154898.59</v>
      </c>
      <c r="K1144" s="40" t="n">
        <v>17734706.56</v>
      </c>
      <c r="L1144" s="40" t="n">
        <v>0</v>
      </c>
    </row>
    <row r="1145" ht="12" customHeight="1">
      <c r="A1145" s="30" t="inlineStr">
        <is>
          <t>ITG</t>
        </is>
      </c>
      <c r="B1145" s="30" t="inlineStr">
        <is>
          <t>Itaguai</t>
        </is>
      </c>
      <c r="C1145" s="30" t="n">
        <v>79273945</v>
      </c>
      <c r="D1145" s="30">
        <f>"49871213001583"</f>
        <v/>
      </c>
      <c r="E1145" s="30" t="inlineStr">
        <is>
          <t>IC TRANSPORTES LTDA</t>
        </is>
      </c>
      <c r="F1145" s="40" t="n">
        <v>0</v>
      </c>
      <c r="G1145" s="40" t="n">
        <v>0</v>
      </c>
      <c r="H1145" s="40" t="n">
        <v>0</v>
      </c>
      <c r="I1145" s="40" t="n">
        <v>0</v>
      </c>
      <c r="J1145" s="40" t="n">
        <v>0</v>
      </c>
      <c r="K1145" s="40" t="n">
        <v>0</v>
      </c>
      <c r="L1145" s="40" t="n">
        <v>0</v>
      </c>
    </row>
    <row r="1146" ht="12" customHeight="1">
      <c r="A1146" s="30" t="inlineStr">
        <is>
          <t>ITG</t>
        </is>
      </c>
      <c r="B1146" s="30" t="inlineStr">
        <is>
          <t>Itaguai</t>
        </is>
      </c>
      <c r="C1146" s="30" t="n">
        <v>79280313</v>
      </c>
      <c r="D1146" s="30">
        <f>"12892994000187"</f>
        <v/>
      </c>
      <c r="E1146" s="30" t="inlineStr">
        <is>
          <t>RECICLE RECICLAGEM E COLETA LTDA</t>
        </is>
      </c>
      <c r="F1146" s="40" t="n">
        <v>0</v>
      </c>
      <c r="G1146" s="40" t="n">
        <v>0</v>
      </c>
      <c r="H1146" s="40" t="n">
        <v>0</v>
      </c>
      <c r="I1146" s="40" t="n">
        <v>0</v>
      </c>
      <c r="J1146" s="40" t="n">
        <v>0</v>
      </c>
      <c r="K1146" s="40" t="n">
        <v>0</v>
      </c>
      <c r="L1146" s="40" t="n">
        <v>0</v>
      </c>
    </row>
    <row r="1147" ht="12" customHeight="1">
      <c r="A1147" s="30" t="inlineStr">
        <is>
          <t>ITG</t>
        </is>
      </c>
      <c r="B1147" s="30" t="inlineStr">
        <is>
          <t>Itaguai</t>
        </is>
      </c>
      <c r="C1147" s="30" t="n">
        <v>79280410</v>
      </c>
      <c r="D1147" s="30">
        <f>"12881139000170"</f>
        <v/>
      </c>
      <c r="E1147" s="30" t="inlineStr">
        <is>
          <t>PADARIA E CONFEITARIA NOVA BRISA MAR LTDA ME</t>
        </is>
      </c>
      <c r="F1147" s="40" t="n">
        <v>0</v>
      </c>
      <c r="G1147" s="40" t="n">
        <v>0</v>
      </c>
      <c r="H1147" s="40" t="n">
        <v>0</v>
      </c>
      <c r="I1147" s="40" t="n">
        <v>0</v>
      </c>
      <c r="J1147" s="40" t="n">
        <v>0</v>
      </c>
      <c r="K1147" s="40" t="n">
        <v>0</v>
      </c>
      <c r="L1147" s="40" t="n">
        <v>0</v>
      </c>
    </row>
    <row r="1148" ht="12" customHeight="1">
      <c r="A1148" s="30" t="inlineStr">
        <is>
          <t>ITG</t>
        </is>
      </c>
      <c r="B1148" s="30" t="inlineStr">
        <is>
          <t>Itaguai</t>
        </is>
      </c>
      <c r="C1148" s="30" t="n">
        <v>79282898</v>
      </c>
      <c r="D1148" s="30">
        <f>"13146095000106"</f>
        <v/>
      </c>
      <c r="E1148" s="30" t="inlineStr">
        <is>
          <t>AUTO POSTO JMX LTDA - ME</t>
        </is>
      </c>
      <c r="F1148" s="40" t="n">
        <v>506602.46</v>
      </c>
      <c r="G1148" s="40" t="n">
        <v>2246228.73</v>
      </c>
      <c r="H1148" s="40" t="n">
        <v>32677.1</v>
      </c>
      <c r="I1148" s="40" t="n">
        <v>89936.39</v>
      </c>
      <c r="J1148" s="40" t="n">
        <v>0</v>
      </c>
      <c r="K1148" s="40" t="n">
        <v>0</v>
      </c>
      <c r="L1148" s="40" t="n">
        <v>0</v>
      </c>
    </row>
    <row r="1149" ht="12" customHeight="1">
      <c r="A1149" s="30" t="inlineStr">
        <is>
          <t>ITG</t>
        </is>
      </c>
      <c r="B1149" s="30" t="inlineStr">
        <is>
          <t>Itaguai</t>
        </is>
      </c>
      <c r="C1149" s="30" t="n">
        <v>79292109</v>
      </c>
      <c r="D1149" s="30">
        <f>"11047649000265"</f>
        <v/>
      </c>
      <c r="E1149" s="30" t="inlineStr">
        <is>
          <t>VIACAO CAICARA LTDA</t>
        </is>
      </c>
      <c r="F1149" s="40" t="n">
        <v>105598.82</v>
      </c>
      <c r="G1149" s="40" t="n">
        <v>131994.92</v>
      </c>
      <c r="H1149" s="40" t="n">
        <v>232988.74</v>
      </c>
      <c r="I1149" s="40" t="n">
        <v>122555.28</v>
      </c>
      <c r="J1149" s="40" t="n">
        <v>0</v>
      </c>
      <c r="K1149" s="40" t="n">
        <v>0</v>
      </c>
      <c r="L1149" s="40" t="n">
        <v>0</v>
      </c>
    </row>
    <row r="1150" ht="12" customHeight="1">
      <c r="A1150" s="30" t="inlineStr">
        <is>
          <t>ITG</t>
        </is>
      </c>
      <c r="B1150" s="30" t="inlineStr">
        <is>
          <t>Itaguai</t>
        </is>
      </c>
      <c r="C1150" s="30" t="n">
        <v>79299294</v>
      </c>
      <c r="D1150" s="30">
        <f>"13203242000124"</f>
        <v/>
      </c>
      <c r="E1150" s="30" t="inlineStr">
        <is>
          <t>TATI RESTAURANTE E LANCHONETE LTDA - ME</t>
        </is>
      </c>
      <c r="F1150" s="40" t="n">
        <v>715328.28</v>
      </c>
      <c r="G1150" s="40" t="n">
        <v>8135450.32</v>
      </c>
      <c r="H1150" s="40" t="n">
        <v>4951124.03</v>
      </c>
      <c r="I1150" s="40" t="n">
        <v>0</v>
      </c>
      <c r="J1150" s="40" t="n">
        <v>0</v>
      </c>
      <c r="K1150" s="40" t="n">
        <v>0</v>
      </c>
      <c r="L1150" s="40" t="n">
        <v>0</v>
      </c>
    </row>
    <row r="1151" ht="12" customHeight="1">
      <c r="A1151" s="30" t="inlineStr">
        <is>
          <t>ITG</t>
        </is>
      </c>
      <c r="B1151" s="30" t="inlineStr">
        <is>
          <t>Itaguai</t>
        </is>
      </c>
      <c r="C1151" s="30" t="n">
        <v>79310166</v>
      </c>
      <c r="D1151" s="30">
        <f>"13203282000176"</f>
        <v/>
      </c>
      <c r="E1151" s="30" t="inlineStr">
        <is>
          <t>EMPORIO DO DOM LTDA ME</t>
        </is>
      </c>
      <c r="F1151" s="40" t="n">
        <v>0</v>
      </c>
      <c r="G1151" s="40" t="n">
        <v>0</v>
      </c>
      <c r="H1151" s="40" t="n">
        <v>0</v>
      </c>
      <c r="I1151" s="40" t="n">
        <v>0</v>
      </c>
      <c r="J1151" s="40" t="n">
        <v>0</v>
      </c>
      <c r="K1151" s="40" t="n">
        <v>0</v>
      </c>
      <c r="L1151" s="40" t="n">
        <v>0</v>
      </c>
    </row>
    <row r="1152" ht="12" customHeight="1">
      <c r="A1152" s="30" t="inlineStr">
        <is>
          <t>ITG</t>
        </is>
      </c>
      <c r="B1152" s="30" t="inlineStr">
        <is>
          <t>Itaguai</t>
        </is>
      </c>
      <c r="C1152" s="30" t="n">
        <v>79310700</v>
      </c>
      <c r="D1152" s="30">
        <f>"05055714000110"</f>
        <v/>
      </c>
      <c r="E1152" s="30" t="inlineStr">
        <is>
          <t>MARVIN - TRANSPORTES E LOCACAO DE MAQUINAS LTDA</t>
        </is>
      </c>
      <c r="F1152" s="40" t="n">
        <v>0</v>
      </c>
      <c r="G1152" s="40" t="n">
        <v>0</v>
      </c>
      <c r="H1152" s="40" t="n">
        <v>0</v>
      </c>
      <c r="I1152" s="40" t="n">
        <v>77368.69</v>
      </c>
      <c r="J1152" s="40" t="n">
        <v>0</v>
      </c>
      <c r="K1152" s="40" t="n">
        <v>0</v>
      </c>
      <c r="L1152" s="40" t="n">
        <v>0</v>
      </c>
    </row>
    <row r="1153" ht="12" customHeight="1">
      <c r="A1153" s="30" t="inlineStr">
        <is>
          <t>ITG</t>
        </is>
      </c>
      <c r="B1153" s="30" t="inlineStr">
        <is>
          <t>Itaguai</t>
        </is>
      </c>
      <c r="C1153" s="30" t="n">
        <v>79317870</v>
      </c>
      <c r="D1153" s="30">
        <f>"13345892000104"</f>
        <v/>
      </c>
      <c r="E1153" s="30" t="inlineStr">
        <is>
          <t>ASSOCIACAO MISTA DE PRODUTORES RURAIS DA AGRICULTURA FAMILIAR</t>
        </is>
      </c>
      <c r="F1153" s="40" t="n">
        <v>0</v>
      </c>
      <c r="G1153" s="40" t="n">
        <v>0</v>
      </c>
      <c r="H1153" s="40" t="n">
        <v>0</v>
      </c>
      <c r="I1153" s="40" t="n">
        <v>0</v>
      </c>
      <c r="J1153" s="40" t="n">
        <v>0</v>
      </c>
      <c r="K1153" s="40" t="n">
        <v>0</v>
      </c>
      <c r="L1153" s="40" t="n">
        <v>0</v>
      </c>
    </row>
    <row r="1154" ht="12" customHeight="1">
      <c r="A1154" s="30" t="inlineStr">
        <is>
          <t>ITG</t>
        </is>
      </c>
      <c r="B1154" s="30" t="inlineStr">
        <is>
          <t>Itaguai</t>
        </is>
      </c>
      <c r="C1154" s="30" t="n">
        <v>79337471</v>
      </c>
      <c r="D1154" s="30">
        <f>"13447161000170"</f>
        <v/>
      </c>
      <c r="E1154" s="30" t="inlineStr">
        <is>
          <t>R C RANGEL TRANSPORTES LTDA ME</t>
        </is>
      </c>
      <c r="F1154" s="40" t="n">
        <v>0</v>
      </c>
      <c r="G1154" s="40" t="n">
        <v>0</v>
      </c>
      <c r="H1154" s="40" t="n">
        <v>0</v>
      </c>
      <c r="I1154" s="40" t="n">
        <v>0</v>
      </c>
      <c r="J1154" s="40" t="n">
        <v>0</v>
      </c>
      <c r="K1154" s="40" t="n">
        <v>19765.38</v>
      </c>
      <c r="L1154" s="40" t="n">
        <v>0</v>
      </c>
    </row>
    <row r="1155" ht="12" customHeight="1">
      <c r="A1155" s="30" t="inlineStr">
        <is>
          <t>ITG</t>
        </is>
      </c>
      <c r="B1155" s="30" t="inlineStr">
        <is>
          <t>Itaguai</t>
        </is>
      </c>
      <c r="C1155" s="30" t="n">
        <v>79338931</v>
      </c>
      <c r="D1155" s="30">
        <f>"13461436000120"</f>
        <v/>
      </c>
      <c r="E1155" s="30" t="inlineStr">
        <is>
          <t>AUDAX LOGISTICA TRANSPORTES &amp; TURISMO LTDA</t>
        </is>
      </c>
      <c r="F1155" s="40" t="n">
        <v>0</v>
      </c>
      <c r="G1155" s="40" t="n">
        <v>972.23</v>
      </c>
      <c r="H1155" s="40" t="n">
        <v>737.71</v>
      </c>
      <c r="I1155" s="40" t="n">
        <v>15502.12</v>
      </c>
      <c r="J1155" s="40" t="n">
        <v>23908.77</v>
      </c>
      <c r="K1155" s="40" t="n">
        <v>90618.31</v>
      </c>
      <c r="L1155" s="40" t="n">
        <v>57507.96</v>
      </c>
    </row>
    <row r="1156" ht="12" customHeight="1">
      <c r="A1156" s="30" t="inlineStr">
        <is>
          <t>ITG</t>
        </is>
      </c>
      <c r="B1156" s="30" t="inlineStr">
        <is>
          <t>Itaguai</t>
        </is>
      </c>
      <c r="C1156" s="30" t="n">
        <v>79340839</v>
      </c>
      <c r="D1156" s="30">
        <f>"33247271001177"</f>
        <v/>
      </c>
      <c r="E1156" s="30" t="inlineStr">
        <is>
          <t>EMPRESA BRASILEIRA DE ENGENHARIA S/A</t>
        </is>
      </c>
      <c r="F1156" s="40" t="n">
        <v>0</v>
      </c>
      <c r="G1156" s="40" t="n">
        <v>0</v>
      </c>
      <c r="H1156" s="40" t="n">
        <v>0</v>
      </c>
      <c r="I1156" s="40" t="n">
        <v>0</v>
      </c>
      <c r="J1156" s="40" t="n">
        <v>0</v>
      </c>
      <c r="K1156" s="40" t="n">
        <v>0</v>
      </c>
      <c r="L1156" s="40" t="n">
        <v>0</v>
      </c>
    </row>
    <row r="1157" ht="12" customHeight="1">
      <c r="A1157" s="30" t="inlineStr">
        <is>
          <t>ITG</t>
        </is>
      </c>
      <c r="B1157" s="30" t="inlineStr">
        <is>
          <t>Itaguai</t>
        </is>
      </c>
      <c r="C1157" s="30" t="n">
        <v>79341789</v>
      </c>
      <c r="D1157" s="30">
        <f>"30094114006735"</f>
        <v/>
      </c>
      <c r="E1157" s="30" t="inlineStr">
        <is>
          <t>UNIAO DE LOJAS LEADER S/A</t>
        </is>
      </c>
      <c r="F1157" s="40" t="n">
        <v>5912716.58</v>
      </c>
      <c r="G1157" s="40" t="n">
        <v>5500097.05</v>
      </c>
      <c r="H1157" s="40" t="n">
        <v>6525120.65</v>
      </c>
      <c r="I1157" s="40" t="n">
        <v>1948741.78</v>
      </c>
      <c r="J1157" s="40" t="n">
        <v>3626971.7</v>
      </c>
      <c r="K1157" s="40" t="n">
        <v>1868338.13</v>
      </c>
      <c r="L1157" s="40" t="n">
        <v>0</v>
      </c>
    </row>
    <row r="1158" ht="12" customHeight="1">
      <c r="A1158" s="30" t="inlineStr">
        <is>
          <t>ITG</t>
        </is>
      </c>
      <c r="B1158" s="30" t="inlineStr">
        <is>
          <t>Itaguai</t>
        </is>
      </c>
      <c r="C1158" s="30" t="n">
        <v>79345091</v>
      </c>
      <c r="D1158" s="30">
        <f>"48740351012252"</f>
        <v/>
      </c>
      <c r="E1158" s="30" t="inlineStr">
        <is>
          <t>BRASPRESS TRANSPORTES URGENTES LTDA</t>
        </is>
      </c>
      <c r="F1158" s="40" t="n">
        <v>0</v>
      </c>
      <c r="G1158" s="40" t="n">
        <v>1126.99</v>
      </c>
      <c r="H1158" s="40" t="n">
        <v>2720.34</v>
      </c>
      <c r="I1158" s="40" t="n">
        <v>1718.7</v>
      </c>
      <c r="J1158" s="40" t="n">
        <v>166.13</v>
      </c>
      <c r="K1158" s="40" t="n">
        <v>0</v>
      </c>
      <c r="L1158" s="40" t="n">
        <v>61.83</v>
      </c>
    </row>
    <row r="1159" ht="12" customHeight="1">
      <c r="A1159" s="30" t="inlineStr">
        <is>
          <t>ITG</t>
        </is>
      </c>
      <c r="B1159" s="30" t="inlineStr">
        <is>
          <t>Itaguai</t>
        </is>
      </c>
      <c r="C1159" s="30" t="n">
        <v>79360651</v>
      </c>
      <c r="D1159" s="30">
        <f>"19451038003477"</f>
        <v/>
      </c>
      <c r="E1159" s="30" t="inlineStr">
        <is>
          <t>RODOVIARIO CAMILO DOS SANTOS FILHO LTDA</t>
        </is>
      </c>
      <c r="F1159" s="40" t="n">
        <v>0</v>
      </c>
      <c r="G1159" s="40" t="n">
        <v>0</v>
      </c>
      <c r="H1159" s="40" t="n">
        <v>0</v>
      </c>
      <c r="I1159" s="40" t="n">
        <v>137.5</v>
      </c>
      <c r="J1159" s="40" t="n">
        <v>0</v>
      </c>
      <c r="K1159" s="40" t="n">
        <v>0</v>
      </c>
      <c r="L1159" s="40" t="n">
        <v>0</v>
      </c>
    </row>
    <row r="1160" ht="12" customHeight="1">
      <c r="A1160" s="30" t="inlineStr">
        <is>
          <t>ITG</t>
        </is>
      </c>
      <c r="B1160" s="30" t="inlineStr">
        <is>
          <t>Itaguai</t>
        </is>
      </c>
      <c r="C1160" s="30" t="n">
        <v>79370991</v>
      </c>
      <c r="D1160" s="30">
        <f>"13632836000150"</f>
        <v/>
      </c>
      <c r="E1160" s="30" t="inlineStr">
        <is>
          <t>QUEIJARIA E ADEGA SANTA EDWIGES COMERCIO EIRELI EPP</t>
        </is>
      </c>
      <c r="F1160" s="40" t="n">
        <v>2300</v>
      </c>
      <c r="G1160" s="40" t="n">
        <v>0</v>
      </c>
      <c r="H1160" s="40" t="n">
        <v>0</v>
      </c>
      <c r="I1160" s="40" t="n">
        <v>0</v>
      </c>
      <c r="J1160" s="40" t="n">
        <v>0</v>
      </c>
      <c r="K1160" s="40" t="n">
        <v>0</v>
      </c>
      <c r="L1160" s="40" t="n">
        <v>0</v>
      </c>
    </row>
    <row r="1161" ht="12" customHeight="1">
      <c r="A1161" s="30" t="inlineStr">
        <is>
          <t>ITG</t>
        </is>
      </c>
      <c r="B1161" s="30" t="inlineStr">
        <is>
          <t>Itaguai</t>
        </is>
      </c>
      <c r="C1161" s="30" t="n">
        <v>79373095</v>
      </c>
      <c r="D1161" s="30">
        <f>"13647980000160"</f>
        <v/>
      </c>
      <c r="E1161" s="30" t="inlineStr">
        <is>
          <t>PROGRESSO ARMAZENS E LOGISTICA EIRELI EPP</t>
        </is>
      </c>
      <c r="F1161" s="40" t="n">
        <v>0</v>
      </c>
      <c r="G1161" s="40" t="n">
        <v>113881.01</v>
      </c>
      <c r="H1161" s="40" t="n">
        <v>188951.73</v>
      </c>
      <c r="I1161" s="40" t="n">
        <v>12506234.11</v>
      </c>
      <c r="J1161" s="40" t="n">
        <v>9619977.1</v>
      </c>
      <c r="K1161" s="40" t="n">
        <v>0</v>
      </c>
      <c r="L1161" s="40" t="n">
        <v>0</v>
      </c>
    </row>
    <row r="1162" ht="12" customHeight="1">
      <c r="A1162" s="30" t="inlineStr">
        <is>
          <t>ITG</t>
        </is>
      </c>
      <c r="B1162" s="30" t="inlineStr">
        <is>
          <t>Itaguai</t>
        </is>
      </c>
      <c r="C1162" s="30" t="n">
        <v>79376019</v>
      </c>
      <c r="D1162" s="30">
        <f>"13653577000144"</f>
        <v/>
      </c>
      <c r="E1162" s="30" t="inlineStr">
        <is>
          <t>SUPER GELO SISTEMAS LTDA</t>
        </is>
      </c>
      <c r="F1162" s="40" t="n">
        <v>0</v>
      </c>
      <c r="G1162" s="40" t="n">
        <v>0</v>
      </c>
      <c r="H1162" s="40" t="n">
        <v>0</v>
      </c>
      <c r="I1162" s="40" t="n">
        <v>0</v>
      </c>
      <c r="J1162" s="40" t="n">
        <v>0</v>
      </c>
      <c r="K1162" s="40" t="n">
        <v>0</v>
      </c>
      <c r="L1162" s="40" t="n">
        <v>0</v>
      </c>
    </row>
    <row r="1163" ht="12" customHeight="1">
      <c r="A1163" s="30" t="inlineStr">
        <is>
          <t>ITG</t>
        </is>
      </c>
      <c r="B1163" s="30" t="inlineStr">
        <is>
          <t>Itaguai</t>
        </is>
      </c>
      <c r="C1163" s="30" t="n">
        <v>79379190</v>
      </c>
      <c r="D1163" s="30">
        <f>"13682031000111"</f>
        <v/>
      </c>
      <c r="E1163" s="30" t="inlineStr">
        <is>
          <t>F DE ALMEIDA MINI MERCADO ME</t>
        </is>
      </c>
      <c r="F1163" s="40" t="n">
        <v>0</v>
      </c>
      <c r="G1163" s="40" t="n">
        <v>0</v>
      </c>
      <c r="H1163" s="40" t="n">
        <v>0</v>
      </c>
      <c r="I1163" s="40" t="n">
        <v>0</v>
      </c>
      <c r="J1163" s="40" t="n">
        <v>0</v>
      </c>
      <c r="K1163" s="40" t="n">
        <v>0</v>
      </c>
      <c r="L1163" s="40" t="n">
        <v>7378.35</v>
      </c>
    </row>
    <row r="1164" ht="12" customHeight="1">
      <c r="A1164" s="30" t="inlineStr">
        <is>
          <t>ITG</t>
        </is>
      </c>
      <c r="B1164" s="30" t="inlineStr">
        <is>
          <t>Itaguai</t>
        </is>
      </c>
      <c r="C1164" s="30" t="n">
        <v>79384232</v>
      </c>
      <c r="D1164" s="30">
        <f>"12500309000120"</f>
        <v/>
      </c>
      <c r="E1164" s="30" t="inlineStr">
        <is>
          <t>FLAVIA DA SILVA ZAMBONI CABELEIREIRA</t>
        </is>
      </c>
      <c r="F1164" s="40" t="n">
        <v>0</v>
      </c>
      <c r="G1164" s="40" t="n">
        <v>0</v>
      </c>
      <c r="H1164" s="40" t="n">
        <v>0</v>
      </c>
      <c r="I1164" s="40" t="n">
        <v>0</v>
      </c>
      <c r="J1164" s="40" t="n">
        <v>0</v>
      </c>
      <c r="K1164" s="40" t="n">
        <v>0</v>
      </c>
      <c r="L1164" s="40" t="n">
        <v>0</v>
      </c>
    </row>
    <row r="1165" ht="12" customHeight="1">
      <c r="A1165" s="30" t="inlineStr">
        <is>
          <t>ITG</t>
        </is>
      </c>
      <c r="B1165" s="30" t="inlineStr">
        <is>
          <t>Itaguai</t>
        </is>
      </c>
      <c r="C1165" s="30" t="n">
        <v>79393789</v>
      </c>
      <c r="D1165" s="30">
        <f>"09044235019098"</f>
        <v/>
      </c>
      <c r="E1165" s="30" t="inlineStr">
        <is>
          <t>Q1 COMERCIAL DE ROUPAS S A</t>
        </is>
      </c>
      <c r="F1165" s="40" t="n">
        <v>0</v>
      </c>
      <c r="G1165" s="40" t="n">
        <v>198987.1</v>
      </c>
      <c r="H1165" s="40" t="n">
        <v>47886.36</v>
      </c>
      <c r="I1165" s="40" t="n">
        <v>0</v>
      </c>
      <c r="J1165" s="40" t="n">
        <v>0</v>
      </c>
      <c r="K1165" s="40" t="n">
        <v>0</v>
      </c>
      <c r="L1165" s="40" t="n">
        <v>0</v>
      </c>
    </row>
    <row r="1166" ht="12" customHeight="1">
      <c r="A1166" s="30" t="inlineStr">
        <is>
          <t>ITG</t>
        </is>
      </c>
      <c r="B1166" s="30" t="inlineStr">
        <is>
          <t>Itaguai</t>
        </is>
      </c>
      <c r="C1166" s="30" t="n">
        <v>79394203</v>
      </c>
      <c r="D1166" s="30">
        <f>"33014556068742"</f>
        <v/>
      </c>
      <c r="E1166" s="30" t="inlineStr">
        <is>
          <t>LOJAS AMERICANAS S.A.</t>
        </is>
      </c>
      <c r="F1166" s="40" t="n">
        <v>1667820.14</v>
      </c>
      <c r="G1166" s="40" t="n">
        <v>1456198.35</v>
      </c>
      <c r="H1166" s="40" t="n">
        <v>1410950.26</v>
      </c>
      <c r="I1166" s="40" t="n">
        <v>1636291.09</v>
      </c>
      <c r="J1166" s="40" t="n">
        <v>0</v>
      </c>
      <c r="K1166" s="40" t="n">
        <v>0</v>
      </c>
      <c r="L1166" s="40" t="n">
        <v>0</v>
      </c>
    </row>
    <row r="1167" ht="12" customHeight="1">
      <c r="A1167" s="30" t="inlineStr">
        <is>
          <t>ITG</t>
        </is>
      </c>
      <c r="B1167" s="30" t="inlineStr">
        <is>
          <t>Itaguai</t>
        </is>
      </c>
      <c r="C1167" s="30" t="n">
        <v>79394521</v>
      </c>
      <c r="D1167" s="30">
        <f>"13759684000151"</f>
        <v/>
      </c>
      <c r="E1167" s="30" t="inlineStr">
        <is>
          <t>PRESERVE SOLUCOES AMBIENTAIS EIRELI</t>
        </is>
      </c>
      <c r="F1167" s="40" t="n">
        <v>219297</v>
      </c>
      <c r="G1167" s="40" t="n">
        <v>0</v>
      </c>
      <c r="H1167" s="40" t="n">
        <v>0</v>
      </c>
      <c r="I1167" s="40" t="n">
        <v>0</v>
      </c>
      <c r="J1167" s="40" t="n">
        <v>0</v>
      </c>
      <c r="K1167" s="40" t="n">
        <v>794.48</v>
      </c>
      <c r="L1167" s="40" t="n">
        <v>0</v>
      </c>
    </row>
    <row r="1168" ht="12" customHeight="1">
      <c r="A1168" s="30" t="inlineStr">
        <is>
          <t>ITG</t>
        </is>
      </c>
      <c r="B1168" s="30" t="inlineStr">
        <is>
          <t>Itaguai</t>
        </is>
      </c>
      <c r="C1168" s="30" t="n">
        <v>79395595</v>
      </c>
      <c r="D1168" s="30">
        <f>"13725103000160"</f>
        <v/>
      </c>
      <c r="E1168" s="30" t="inlineStr">
        <is>
          <t>INTALOG LOGISTICA TRANSPORTES LTDA</t>
        </is>
      </c>
      <c r="F1168" s="40" t="n">
        <v>399526.41</v>
      </c>
      <c r="G1168" s="40" t="n">
        <v>1729370.62</v>
      </c>
      <c r="H1168" s="40" t="n">
        <v>1959487.02</v>
      </c>
      <c r="I1168" s="40" t="n">
        <v>0</v>
      </c>
      <c r="J1168" s="40" t="n">
        <v>1126783.62</v>
      </c>
      <c r="K1168" s="40" t="n">
        <v>3537704.46</v>
      </c>
      <c r="L1168" s="40" t="n">
        <v>2698686.18</v>
      </c>
    </row>
    <row r="1169" ht="12" customHeight="1">
      <c r="A1169" s="30" t="inlineStr">
        <is>
          <t>ITG</t>
        </is>
      </c>
      <c r="B1169" s="30" t="inlineStr">
        <is>
          <t>Itaguai</t>
        </is>
      </c>
      <c r="C1169" s="30" t="n">
        <v>79402605</v>
      </c>
      <c r="D1169" s="30">
        <f>"13742011000199"</f>
        <v/>
      </c>
      <c r="E1169" s="30" t="inlineStr">
        <is>
          <t>TRANSLUC TRANSPORTES E SERVICOS EIRELI EPP</t>
        </is>
      </c>
      <c r="F1169" s="40" t="n">
        <v>0</v>
      </c>
      <c r="G1169" s="40" t="n">
        <v>0</v>
      </c>
      <c r="H1169" s="40" t="n">
        <v>0</v>
      </c>
      <c r="I1169" s="40" t="n">
        <v>0</v>
      </c>
      <c r="J1169" s="40" t="n">
        <v>0</v>
      </c>
      <c r="K1169" s="40" t="n">
        <v>13387.5</v>
      </c>
      <c r="L1169" s="40" t="n">
        <v>0</v>
      </c>
    </row>
    <row r="1170" ht="12" customHeight="1">
      <c r="A1170" s="30" t="inlineStr">
        <is>
          <t>ITG</t>
        </is>
      </c>
      <c r="B1170" s="30" t="inlineStr">
        <is>
          <t>Itaguai</t>
        </is>
      </c>
      <c r="C1170" s="30" t="n">
        <v>79421707</v>
      </c>
      <c r="D1170" s="30">
        <f>"13847255000136"</f>
        <v/>
      </c>
      <c r="E1170" s="30" t="inlineStr">
        <is>
          <t>BAZAR O AMIGAO DE ITAGUAI LTDA EPP</t>
        </is>
      </c>
      <c r="F1170" s="40" t="n">
        <v>4378790.71</v>
      </c>
      <c r="G1170" s="40" t="n">
        <v>4684352.87</v>
      </c>
      <c r="H1170" s="40" t="n">
        <v>5313907.8</v>
      </c>
      <c r="I1170" s="40" t="n">
        <v>5121341.42</v>
      </c>
      <c r="J1170" s="40" t="n">
        <v>5397770.21</v>
      </c>
      <c r="K1170" s="40" t="n">
        <v>6514656.79</v>
      </c>
      <c r="L1170" s="40" t="n">
        <v>7886171.65</v>
      </c>
    </row>
    <row r="1171" ht="12" customHeight="1">
      <c r="A1171" s="30" t="inlineStr">
        <is>
          <t>ITG</t>
        </is>
      </c>
      <c r="B1171" s="30" t="inlineStr">
        <is>
          <t>Itaguai</t>
        </is>
      </c>
      <c r="C1171" s="30" t="n">
        <v>79424862</v>
      </c>
      <c r="D1171" s="30">
        <f>"13481309005402"</f>
        <v/>
      </c>
      <c r="E1171" s="30" t="inlineStr">
        <is>
          <t>RN COMERCIO VAREJISTA S/A</t>
        </is>
      </c>
      <c r="F1171" s="40" t="n">
        <v>948417</v>
      </c>
      <c r="G1171" s="40" t="n">
        <v>546764.87</v>
      </c>
      <c r="H1171" s="40" t="n">
        <v>594050.73</v>
      </c>
      <c r="I1171" s="40" t="n">
        <v>0</v>
      </c>
      <c r="J1171" s="40" t="n">
        <v>0</v>
      </c>
      <c r="K1171" s="40" t="n">
        <v>0</v>
      </c>
      <c r="L1171" s="40" t="n">
        <v>0</v>
      </c>
    </row>
    <row r="1172" ht="12" customHeight="1">
      <c r="A1172" s="30" t="inlineStr">
        <is>
          <t>ITG</t>
        </is>
      </c>
      <c r="B1172" s="30" t="inlineStr">
        <is>
          <t>Itaguai</t>
        </is>
      </c>
      <c r="C1172" s="30" t="n">
        <v>79425532</v>
      </c>
      <c r="D1172" s="30">
        <f>"13481309009149"</f>
        <v/>
      </c>
      <c r="E1172" s="30" t="inlineStr">
        <is>
          <t>RN COMERCIO VAREJISTA S/A</t>
        </is>
      </c>
      <c r="F1172" s="40" t="n">
        <v>0</v>
      </c>
      <c r="G1172" s="40" t="n">
        <v>0</v>
      </c>
      <c r="H1172" s="40" t="n">
        <v>0</v>
      </c>
      <c r="I1172" s="40" t="n">
        <v>0</v>
      </c>
      <c r="J1172" s="40" t="n">
        <v>0</v>
      </c>
      <c r="K1172" s="40" t="n">
        <v>0</v>
      </c>
      <c r="L1172" s="40" t="n">
        <v>0</v>
      </c>
    </row>
    <row r="1173" ht="12" customHeight="1">
      <c r="A1173" s="30" t="inlineStr">
        <is>
          <t>ITG</t>
        </is>
      </c>
      <c r="B1173" s="30" t="inlineStr">
        <is>
          <t>Itaguai</t>
        </is>
      </c>
      <c r="C1173" s="30" t="n">
        <v>79427047</v>
      </c>
      <c r="D1173" s="30">
        <f>"10334588000173"</f>
        <v/>
      </c>
      <c r="E1173" s="30" t="inlineStr">
        <is>
          <t>FENIX TRANSPORTES RODOVIARIOS LTDA EPP</t>
        </is>
      </c>
      <c r="F1173" s="40" t="n">
        <v>0</v>
      </c>
      <c r="G1173" s="40" t="n">
        <v>0</v>
      </c>
      <c r="H1173" s="40" t="n">
        <v>0</v>
      </c>
      <c r="I1173" s="40" t="n">
        <v>0</v>
      </c>
      <c r="J1173" s="40" t="n">
        <v>9.59</v>
      </c>
      <c r="K1173" s="40" t="n">
        <v>0</v>
      </c>
      <c r="L1173" s="40" t="n">
        <v>0</v>
      </c>
    </row>
    <row r="1174" ht="12" customHeight="1">
      <c r="A1174" s="30" t="inlineStr">
        <is>
          <t>ITG</t>
        </is>
      </c>
      <c r="B1174" s="30" t="inlineStr">
        <is>
          <t>Itaguai</t>
        </is>
      </c>
      <c r="C1174" s="30" t="n">
        <v>79433802</v>
      </c>
      <c r="D1174" s="30">
        <f>"13982428000129"</f>
        <v/>
      </c>
      <c r="E1174" s="30" t="inlineStr">
        <is>
          <t>FORTE - GLASS SERRALHERIA E VIDRAÇARIA EIRELI</t>
        </is>
      </c>
      <c r="F1174" s="40" t="n">
        <v>0</v>
      </c>
      <c r="G1174" s="40" t="n">
        <v>0</v>
      </c>
      <c r="H1174" s="40" t="n">
        <v>0</v>
      </c>
      <c r="I1174" s="40" t="n">
        <v>0</v>
      </c>
      <c r="J1174" s="40" t="n">
        <v>0</v>
      </c>
      <c r="K1174" s="40" t="n">
        <v>0</v>
      </c>
      <c r="L1174" s="40" t="n">
        <v>0</v>
      </c>
    </row>
    <row r="1175" ht="12" customHeight="1">
      <c r="A1175" s="30" t="inlineStr">
        <is>
          <t>ITG</t>
        </is>
      </c>
      <c r="B1175" s="30" t="inlineStr">
        <is>
          <t>Itaguai</t>
        </is>
      </c>
      <c r="C1175" s="30" t="n">
        <v>79438111</v>
      </c>
      <c r="D1175" s="30">
        <f>"49025695000660"</f>
        <v/>
      </c>
      <c r="E1175" s="30" t="inlineStr">
        <is>
          <t>JD COCENZO &amp; CIA LTDA</t>
        </is>
      </c>
      <c r="F1175" s="40" t="n">
        <v>0</v>
      </c>
      <c r="G1175" s="40" t="n">
        <v>1687.5</v>
      </c>
      <c r="H1175" s="40" t="n">
        <v>0</v>
      </c>
      <c r="I1175" s="40" t="n">
        <v>0</v>
      </c>
      <c r="J1175" s="40" t="n">
        <v>0</v>
      </c>
      <c r="K1175" s="40" t="n">
        <v>0</v>
      </c>
      <c r="L1175" s="40" t="n">
        <v>16530.4</v>
      </c>
    </row>
    <row r="1176" ht="12" customHeight="1">
      <c r="A1176" s="30" t="inlineStr">
        <is>
          <t>ITG</t>
        </is>
      </c>
      <c r="B1176" s="30" t="inlineStr">
        <is>
          <t>Itaguai</t>
        </is>
      </c>
      <c r="C1176" s="30" t="n">
        <v>79442178</v>
      </c>
      <c r="D1176" s="30">
        <f>"14000190000151"</f>
        <v/>
      </c>
      <c r="E1176" s="30" t="inlineStr">
        <is>
          <t>MG RODRIGUES TRANSPORTES LTDA ME</t>
        </is>
      </c>
      <c r="F1176" s="40" t="n">
        <v>0</v>
      </c>
      <c r="G1176" s="40" t="n">
        <v>8700</v>
      </c>
      <c r="H1176" s="40" t="n">
        <v>40035.51</v>
      </c>
      <c r="I1176" s="40" t="n">
        <v>0</v>
      </c>
      <c r="J1176" s="40" t="n">
        <v>0</v>
      </c>
      <c r="K1176" s="40" t="n">
        <v>0</v>
      </c>
      <c r="L1176" s="40" t="n">
        <v>0</v>
      </c>
    </row>
    <row r="1177" ht="12" customHeight="1">
      <c r="A1177" s="30" t="inlineStr">
        <is>
          <t>ITG</t>
        </is>
      </c>
      <c r="B1177" s="30" t="inlineStr">
        <is>
          <t>Itaguai</t>
        </is>
      </c>
      <c r="C1177" s="30" t="n">
        <v>79444634</v>
      </c>
      <c r="D1177" s="30">
        <f>"13648760000151"</f>
        <v/>
      </c>
      <c r="E1177" s="30" t="inlineStr">
        <is>
          <t>TRANSPORTES PITASSI RJ EIRELI</t>
        </is>
      </c>
      <c r="F1177" s="40" t="n">
        <v>0</v>
      </c>
      <c r="G1177" s="40" t="n">
        <v>10993</v>
      </c>
      <c r="H1177" s="40" t="n">
        <v>0</v>
      </c>
      <c r="I1177" s="40" t="n">
        <v>24</v>
      </c>
      <c r="J1177" s="40" t="n">
        <v>0</v>
      </c>
      <c r="K1177" s="40" t="n">
        <v>4039332.88</v>
      </c>
      <c r="L1177" s="40" t="n">
        <v>0</v>
      </c>
    </row>
    <row r="1178" ht="12" customHeight="1">
      <c r="A1178" s="30" t="inlineStr">
        <is>
          <t>ITG</t>
        </is>
      </c>
      <c r="B1178" s="30" t="inlineStr">
        <is>
          <t>Itaguai</t>
        </is>
      </c>
      <c r="C1178" s="30" t="n">
        <v>79446610</v>
      </c>
      <c r="D1178" s="30">
        <f>"44384832001449"</f>
        <v/>
      </c>
      <c r="E1178" s="30" t="inlineStr">
        <is>
          <t>TOME EQUIPAMENTOS E TRANSPORTES S A</t>
        </is>
      </c>
      <c r="F1178" s="40" t="n">
        <v>0</v>
      </c>
      <c r="G1178" s="40" t="n">
        <v>0</v>
      </c>
      <c r="H1178" s="40" t="n">
        <v>0</v>
      </c>
      <c r="I1178" s="40" t="n">
        <v>4480</v>
      </c>
      <c r="J1178" s="40" t="n">
        <v>0</v>
      </c>
      <c r="K1178" s="40" t="n">
        <v>0</v>
      </c>
      <c r="L1178" s="40" t="n">
        <v>0</v>
      </c>
    </row>
    <row r="1179" ht="12" customHeight="1">
      <c r="A1179" s="30" t="inlineStr">
        <is>
          <t>ITG</t>
        </is>
      </c>
      <c r="B1179" s="30" t="inlineStr">
        <is>
          <t>Itaguai</t>
        </is>
      </c>
      <c r="C1179" s="30" t="n">
        <v>79449393</v>
      </c>
      <c r="D1179" s="30">
        <f>"14084886000103"</f>
        <v/>
      </c>
      <c r="E1179" s="30" t="inlineStr">
        <is>
          <t>EXPRESSO GUARANI ARMAZÉNS GERAIS E LOGISTICA EIRELI</t>
        </is>
      </c>
      <c r="F1179" s="40" t="n">
        <v>0</v>
      </c>
      <c r="G1179" s="40" t="n">
        <v>0</v>
      </c>
      <c r="H1179" s="40" t="n">
        <v>17058.54</v>
      </c>
      <c r="I1179" s="40" t="n">
        <v>0</v>
      </c>
      <c r="J1179" s="40" t="n">
        <v>18735.24</v>
      </c>
      <c r="K1179" s="40" t="n">
        <v>901539.27</v>
      </c>
      <c r="L1179" s="40" t="n">
        <v>0</v>
      </c>
    </row>
    <row r="1180" ht="12" customHeight="1">
      <c r="A1180" s="30" t="inlineStr">
        <is>
          <t>ITG</t>
        </is>
      </c>
      <c r="B1180" s="30" t="inlineStr">
        <is>
          <t>Itaguai</t>
        </is>
      </c>
      <c r="C1180" s="30" t="n">
        <v>79451100</v>
      </c>
      <c r="D1180" s="30">
        <f>"30245542000276"</f>
        <v/>
      </c>
      <c r="E1180" s="30" t="inlineStr">
        <is>
          <t>FRIGORIFICO BEIJA FLOR COM ATAC E VAR DE PROD ALIM LTDA EPP</t>
        </is>
      </c>
      <c r="F1180" s="40" t="n">
        <v>0</v>
      </c>
      <c r="G1180" s="40" t="n">
        <v>60282.52</v>
      </c>
      <c r="H1180" s="40" t="n">
        <v>0</v>
      </c>
      <c r="I1180" s="40" t="n">
        <v>0</v>
      </c>
      <c r="J1180" s="40" t="n">
        <v>0</v>
      </c>
      <c r="K1180" s="40" t="n">
        <v>211062.27</v>
      </c>
      <c r="L1180" s="40" t="n">
        <v>459443.11</v>
      </c>
    </row>
    <row r="1181" ht="12" customHeight="1">
      <c r="A1181" s="30" t="inlineStr">
        <is>
          <t>ITG</t>
        </is>
      </c>
      <c r="B1181" s="30" t="inlineStr">
        <is>
          <t>Itaguai</t>
        </is>
      </c>
      <c r="C1181" s="30" t="n">
        <v>79451142</v>
      </c>
      <c r="D1181" s="30">
        <f>"12334748000290"</f>
        <v/>
      </c>
      <c r="E1181" s="30" t="inlineStr">
        <is>
          <t>DEVOC COMERCIO DE ALIMENTOS LTDA</t>
        </is>
      </c>
      <c r="F1181" s="40" t="n">
        <v>637994.5</v>
      </c>
      <c r="G1181" s="40" t="n">
        <v>669059.8</v>
      </c>
      <c r="H1181" s="40" t="n">
        <v>647333.62</v>
      </c>
      <c r="I1181" s="40" t="n">
        <v>356712.94</v>
      </c>
      <c r="J1181" s="40" t="n">
        <v>380138.86</v>
      </c>
      <c r="K1181" s="40" t="n">
        <v>413540.11</v>
      </c>
      <c r="L1181" s="40" t="n">
        <v>523880.67</v>
      </c>
    </row>
    <row r="1182" ht="12" customHeight="1">
      <c r="A1182" s="30" t="inlineStr">
        <is>
          <t>ITG</t>
        </is>
      </c>
      <c r="B1182" s="30" t="inlineStr">
        <is>
          <t>Itaguai</t>
        </is>
      </c>
      <c r="C1182" s="30" t="n">
        <v>79456748</v>
      </c>
      <c r="D1182" s="30">
        <f>"14120369000142"</f>
        <v/>
      </c>
      <c r="E1182" s="30" t="inlineStr">
        <is>
          <t>JARBAS GONCALVES DIAS EIRELI</t>
        </is>
      </c>
      <c r="F1182" s="40" t="n">
        <v>0</v>
      </c>
      <c r="G1182" s="40" t="n">
        <v>136.5</v>
      </c>
      <c r="H1182" s="40" t="n">
        <v>0</v>
      </c>
      <c r="I1182" s="40" t="n">
        <v>0</v>
      </c>
      <c r="J1182" s="40" t="n">
        <v>0</v>
      </c>
      <c r="K1182" s="40" t="n">
        <v>0</v>
      </c>
      <c r="L1182" s="40" t="n">
        <v>0</v>
      </c>
    </row>
    <row r="1183" ht="12" customHeight="1">
      <c r="A1183" s="30" t="inlineStr">
        <is>
          <t>ITG</t>
        </is>
      </c>
      <c r="B1183" s="30" t="inlineStr">
        <is>
          <t>Itaguai</t>
        </is>
      </c>
      <c r="C1183" s="30" t="n">
        <v>79461911</v>
      </c>
      <c r="D1183" s="30">
        <f>"14135440000160"</f>
        <v/>
      </c>
      <c r="E1183" s="30" t="inlineStr">
        <is>
          <t>RODOMAX TRANSPORTES E SERVICOS DE LOGISTICA LTDA EPP</t>
        </is>
      </c>
      <c r="F1183" s="40" t="n">
        <v>129000</v>
      </c>
      <c r="G1183" s="40" t="n">
        <v>0</v>
      </c>
      <c r="H1183" s="40" t="n">
        <v>0</v>
      </c>
      <c r="I1183" s="40" t="n">
        <v>0</v>
      </c>
      <c r="J1183" s="40" t="n">
        <v>0</v>
      </c>
      <c r="K1183" s="40" t="n">
        <v>0</v>
      </c>
      <c r="L1183" s="40" t="n">
        <v>0</v>
      </c>
    </row>
    <row r="1184" ht="12" customHeight="1">
      <c r="A1184" s="30" t="inlineStr">
        <is>
          <t>ITG</t>
        </is>
      </c>
      <c r="B1184" s="30" t="inlineStr">
        <is>
          <t>Itaguai</t>
        </is>
      </c>
      <c r="C1184" s="30" t="n">
        <v>79470597</v>
      </c>
      <c r="D1184" s="30">
        <f>"14207276000150"</f>
        <v/>
      </c>
      <c r="E1184" s="30" t="inlineStr">
        <is>
          <t>MAREVE DISTRIBUIDORA DE GAS LIQUEFEITO LTDA ME</t>
        </is>
      </c>
      <c r="F1184" s="40" t="n">
        <v>0</v>
      </c>
      <c r="G1184" s="40" t="n">
        <v>0</v>
      </c>
      <c r="H1184" s="40" t="n">
        <v>106936.37</v>
      </c>
      <c r="I1184" s="40" t="n">
        <v>247645.83</v>
      </c>
      <c r="J1184" s="40" t="n">
        <v>342491.01</v>
      </c>
      <c r="K1184" s="40" t="n">
        <v>1404374.45</v>
      </c>
      <c r="L1184" s="40" t="n">
        <v>367734.89</v>
      </c>
    </row>
    <row r="1185" ht="12" customHeight="1">
      <c r="A1185" s="30" t="inlineStr">
        <is>
          <t>ITG</t>
        </is>
      </c>
      <c r="B1185" s="30" t="inlineStr">
        <is>
          <t>Itaguai</t>
        </is>
      </c>
      <c r="C1185" s="30" t="n">
        <v>79482358</v>
      </c>
      <c r="D1185" s="30">
        <f>"14248013000199"</f>
        <v/>
      </c>
      <c r="E1185" s="30" t="inlineStr">
        <is>
          <t>ESTRELAR WEB SERVICOS DE INTERNET LTDA ME</t>
        </is>
      </c>
      <c r="F1185" s="40" t="n">
        <v>0</v>
      </c>
      <c r="G1185" s="40" t="n">
        <v>0</v>
      </c>
      <c r="H1185" s="40" t="n">
        <v>0</v>
      </c>
      <c r="I1185" s="40" t="n">
        <v>342382.35</v>
      </c>
      <c r="J1185" s="40" t="n">
        <v>481024.68</v>
      </c>
      <c r="K1185" s="40" t="n">
        <v>529925.92</v>
      </c>
      <c r="L1185" s="40" t="n">
        <v>512884</v>
      </c>
    </row>
    <row r="1186" ht="12" customHeight="1">
      <c r="A1186" s="30" t="inlineStr">
        <is>
          <t>ITG</t>
        </is>
      </c>
      <c r="B1186" s="30" t="inlineStr">
        <is>
          <t>Itaguai</t>
        </is>
      </c>
      <c r="C1186" s="30" t="n">
        <v>79495808</v>
      </c>
      <c r="D1186" s="30">
        <f>"14232190000187"</f>
        <v/>
      </c>
      <c r="E1186" s="30" t="inlineStr">
        <is>
          <t>ROBERTO DOS SANTOS BAR E RESTAURANTE ME</t>
        </is>
      </c>
      <c r="F1186" s="40" t="n">
        <v>0</v>
      </c>
      <c r="G1186" s="40" t="n">
        <v>0</v>
      </c>
      <c r="H1186" s="40" t="n">
        <v>0</v>
      </c>
      <c r="I1186" s="40" t="n">
        <v>0</v>
      </c>
      <c r="J1186" s="40" t="n">
        <v>0</v>
      </c>
      <c r="K1186" s="40" t="n">
        <v>0</v>
      </c>
      <c r="L1186" s="40" t="n">
        <v>0</v>
      </c>
    </row>
    <row r="1187" ht="12" customHeight="1">
      <c r="A1187" s="30" t="inlineStr">
        <is>
          <t>ITG</t>
        </is>
      </c>
      <c r="B1187" s="30" t="inlineStr">
        <is>
          <t>Itaguai</t>
        </is>
      </c>
      <c r="C1187" s="30" t="n">
        <v>79495930</v>
      </c>
      <c r="D1187" s="30">
        <f>"06334771000363"</f>
        <v/>
      </c>
      <c r="E1187" s="30" t="inlineStr">
        <is>
          <t>J M EUROFLEX COMERCIO E SERVICOS DE ARTIGOS INDUSTRIAIS LTDA</t>
        </is>
      </c>
      <c r="F1187" s="40" t="n">
        <v>0</v>
      </c>
      <c r="G1187" s="40" t="n">
        <v>0</v>
      </c>
      <c r="H1187" s="40" t="n">
        <v>0</v>
      </c>
      <c r="I1187" s="40" t="n">
        <v>0</v>
      </c>
      <c r="J1187" s="40" t="n">
        <v>0</v>
      </c>
      <c r="K1187" s="40" t="n">
        <v>0</v>
      </c>
      <c r="L1187" s="40" t="n">
        <v>0</v>
      </c>
    </row>
    <row r="1188" ht="12" customHeight="1">
      <c r="A1188" s="30" t="inlineStr">
        <is>
          <t>ITG</t>
        </is>
      </c>
      <c r="B1188" s="30" t="inlineStr">
        <is>
          <t>Itaguai</t>
        </is>
      </c>
      <c r="C1188" s="30" t="n">
        <v>79500178</v>
      </c>
      <c r="D1188" s="30">
        <f>"91382000882"</f>
        <v/>
      </c>
      <c r="E1188" s="30" t="inlineStr">
        <is>
          <t>OPCAO JCA TURISMO E FRETAMENTO LTDA</t>
        </is>
      </c>
      <c r="F1188" s="40" t="n">
        <v>9990</v>
      </c>
      <c r="G1188" s="40" t="n">
        <v>0</v>
      </c>
      <c r="H1188" s="40" t="n">
        <v>0</v>
      </c>
      <c r="I1188" s="40" t="n">
        <v>0</v>
      </c>
      <c r="J1188" s="40" t="n">
        <v>0</v>
      </c>
      <c r="K1188" s="40" t="n">
        <v>0</v>
      </c>
      <c r="L1188" s="40" t="n">
        <v>0</v>
      </c>
    </row>
    <row r="1189" ht="12" customHeight="1">
      <c r="A1189" s="30" t="inlineStr">
        <is>
          <t>ITG</t>
        </is>
      </c>
      <c r="B1189" s="30" t="inlineStr">
        <is>
          <t>Itaguai</t>
        </is>
      </c>
      <c r="C1189" s="30" t="n">
        <v>79500208</v>
      </c>
      <c r="D1189" s="30">
        <f>"33220880000837"</f>
        <v/>
      </c>
      <c r="E1189" s="30" t="inlineStr">
        <is>
          <t>EBSE ENGENHARIA DE SOLU??ES S.A</t>
        </is>
      </c>
      <c r="F1189" s="40" t="n">
        <v>0</v>
      </c>
      <c r="G1189" s="40" t="n">
        <v>0</v>
      </c>
      <c r="H1189" s="40" t="n">
        <v>0</v>
      </c>
      <c r="I1189" s="40" t="n">
        <v>0</v>
      </c>
      <c r="J1189" s="40" t="n">
        <v>0</v>
      </c>
      <c r="K1189" s="40" t="n">
        <v>0</v>
      </c>
      <c r="L1189" s="40" t="n">
        <v>0</v>
      </c>
    </row>
    <row r="1190" ht="12" customHeight="1">
      <c r="A1190" s="30" t="inlineStr">
        <is>
          <t>ITG</t>
        </is>
      </c>
      <c r="B1190" s="30" t="inlineStr">
        <is>
          <t>Itaguai</t>
        </is>
      </c>
      <c r="C1190" s="30" t="n">
        <v>79508284</v>
      </c>
      <c r="D1190" s="30">
        <f>"42278291002763"</f>
        <v/>
      </c>
      <c r="E1190" s="30" t="inlineStr">
        <is>
          <t>LOG IN LOGISTICA INTERMODAL S/A</t>
        </is>
      </c>
      <c r="F1190" s="40" t="n">
        <v>8597708.779999999</v>
      </c>
      <c r="G1190" s="40" t="n">
        <v>10821498.8</v>
      </c>
      <c r="H1190" s="40" t="n">
        <v>11535352.1</v>
      </c>
      <c r="I1190" s="40" t="n">
        <v>11472651.09</v>
      </c>
      <c r="J1190" s="40" t="n">
        <v>7892794.71</v>
      </c>
      <c r="K1190" s="40" t="n">
        <v>5648298.42</v>
      </c>
      <c r="L1190" s="40" t="n">
        <v>50926.84</v>
      </c>
    </row>
    <row r="1191" ht="12" customHeight="1">
      <c r="A1191" s="30" t="inlineStr">
        <is>
          <t>ITG</t>
        </is>
      </c>
      <c r="B1191" s="30" t="inlineStr">
        <is>
          <t>Itaguai</t>
        </is>
      </c>
      <c r="C1191" s="30" t="n">
        <v>79510688</v>
      </c>
      <c r="D1191" s="30">
        <f>"10839911000322"</f>
        <v/>
      </c>
      <c r="E1191" s="30" t="inlineStr">
        <is>
          <t>TG LOGISTICA E TRANSPORTES LTDA</t>
        </is>
      </c>
      <c r="F1191" s="40" t="n">
        <v>0</v>
      </c>
      <c r="G1191" s="40" t="n">
        <v>0</v>
      </c>
      <c r="H1191" s="40" t="n">
        <v>0</v>
      </c>
      <c r="I1191" s="40" t="n">
        <v>0</v>
      </c>
      <c r="J1191" s="40" t="n">
        <v>0</v>
      </c>
      <c r="K1191" s="40" t="n">
        <v>19356.09</v>
      </c>
      <c r="L1191" s="40" t="n">
        <v>5864.56</v>
      </c>
    </row>
    <row r="1192" ht="12" customHeight="1">
      <c r="A1192" s="30" t="inlineStr">
        <is>
          <t>ITG</t>
        </is>
      </c>
      <c r="B1192" s="30" t="inlineStr">
        <is>
          <t>Itaguai</t>
        </is>
      </c>
      <c r="C1192" s="30" t="n">
        <v>79514420</v>
      </c>
      <c r="D1192" s="30">
        <f>"14424528000100"</f>
        <v/>
      </c>
      <c r="E1192" s="30" t="inlineStr">
        <is>
          <t>BAR DO ANDRE COMERCIO DE BEBIDAS LTDA ME</t>
        </is>
      </c>
      <c r="F1192" s="40" t="n">
        <v>0</v>
      </c>
      <c r="G1192" s="40" t="n">
        <v>0</v>
      </c>
      <c r="H1192" s="40" t="n">
        <v>0</v>
      </c>
      <c r="I1192" s="40" t="n">
        <v>0</v>
      </c>
      <c r="J1192" s="40" t="n">
        <v>0</v>
      </c>
      <c r="K1192" s="40" t="n">
        <v>0</v>
      </c>
      <c r="L1192" s="40" t="n">
        <v>0</v>
      </c>
    </row>
    <row r="1193" ht="12" customHeight="1">
      <c r="A1193" s="30" t="inlineStr">
        <is>
          <t>ITG</t>
        </is>
      </c>
      <c r="B1193" s="30" t="inlineStr">
        <is>
          <t>Itaguai</t>
        </is>
      </c>
      <c r="C1193" s="30" t="n">
        <v>79522554</v>
      </c>
      <c r="D1193" s="30">
        <f>"14493773000161"</f>
        <v/>
      </c>
      <c r="E1193" s="30" t="inlineStr">
        <is>
          <t>SOLUÇÃO LOCAÇÃO E TRANSPORTES EIRELI</t>
        </is>
      </c>
      <c r="F1193" s="40" t="n">
        <v>967.1799999999999</v>
      </c>
      <c r="G1193" s="40" t="n">
        <v>2245.43</v>
      </c>
      <c r="H1193" s="40" t="n">
        <v>39.86</v>
      </c>
      <c r="I1193" s="40" t="n">
        <v>144.05</v>
      </c>
      <c r="J1193" s="40" t="n">
        <v>0</v>
      </c>
      <c r="K1193" s="40" t="n">
        <v>10</v>
      </c>
      <c r="L1193" s="40" t="n">
        <v>716.16</v>
      </c>
    </row>
    <row r="1194" ht="12" customHeight="1">
      <c r="A1194" s="30" t="inlineStr">
        <is>
          <t>ITG</t>
        </is>
      </c>
      <c r="B1194" s="30" t="inlineStr">
        <is>
          <t>Itaguai</t>
        </is>
      </c>
      <c r="C1194" s="30" t="n">
        <v>79523500</v>
      </c>
      <c r="D1194" s="30">
        <f>"10375294000270"</f>
        <v/>
      </c>
      <c r="E1194" s="30" t="inlineStr">
        <is>
          <t>TRANS LOGISTIC TRANSPORTES LTDA-EPP</t>
        </is>
      </c>
      <c r="F1194" s="40" t="n">
        <v>3949.51</v>
      </c>
      <c r="G1194" s="40" t="n">
        <v>28640.3</v>
      </c>
      <c r="H1194" s="40" t="n">
        <v>0</v>
      </c>
      <c r="I1194" s="40" t="n">
        <v>0</v>
      </c>
      <c r="J1194" s="40" t="n">
        <v>0</v>
      </c>
      <c r="K1194" s="40" t="n">
        <v>0</v>
      </c>
      <c r="L1194" s="40" t="n">
        <v>0</v>
      </c>
    </row>
    <row r="1195" ht="12" customHeight="1">
      <c r="A1195" s="30" t="inlineStr">
        <is>
          <t>ITG</t>
        </is>
      </c>
      <c r="B1195" s="30" t="inlineStr">
        <is>
          <t>Itaguai</t>
        </is>
      </c>
      <c r="C1195" s="30" t="n">
        <v>79525596</v>
      </c>
      <c r="D1195" s="30">
        <f>"14395944000110"</f>
        <v/>
      </c>
      <c r="E1195" s="30" t="inlineStr">
        <is>
          <t>BA LOG LOGISTICA E LOCACAO LTDA ME</t>
        </is>
      </c>
      <c r="F1195" s="40" t="n">
        <v>1315.86</v>
      </c>
      <c r="G1195" s="40" t="n">
        <v>0</v>
      </c>
      <c r="H1195" s="40" t="n">
        <v>0</v>
      </c>
      <c r="I1195" s="40" t="n">
        <v>12444.83</v>
      </c>
      <c r="J1195" s="40" t="n">
        <v>0</v>
      </c>
      <c r="K1195" s="40" t="n">
        <v>14325.89</v>
      </c>
      <c r="L1195" s="40" t="n">
        <v>26219.48</v>
      </c>
    </row>
    <row r="1196" ht="12" customHeight="1">
      <c r="A1196" s="30" t="inlineStr">
        <is>
          <t>ITG</t>
        </is>
      </c>
      <c r="B1196" s="30" t="inlineStr">
        <is>
          <t>Itaguai</t>
        </is>
      </c>
      <c r="C1196" s="30" t="n">
        <v>79529095</v>
      </c>
      <c r="D1196" s="30">
        <f>"02564963000224"</f>
        <v/>
      </c>
      <c r="E1196" s="30" t="inlineStr">
        <is>
          <t>HEBER TRANSPORTADORA LTDA</t>
        </is>
      </c>
      <c r="F1196" s="40" t="n">
        <v>15.03</v>
      </c>
      <c r="G1196" s="40" t="n">
        <v>0</v>
      </c>
      <c r="H1196" s="40" t="n">
        <v>0</v>
      </c>
      <c r="I1196" s="40" t="n">
        <v>0</v>
      </c>
      <c r="J1196" s="40" t="n">
        <v>0</v>
      </c>
      <c r="K1196" s="40" t="n">
        <v>0</v>
      </c>
      <c r="L1196" s="40" t="n">
        <v>0</v>
      </c>
    </row>
    <row r="1197" ht="12" customHeight="1">
      <c r="A1197" s="30" t="inlineStr">
        <is>
          <t>ITG</t>
        </is>
      </c>
      <c r="B1197" s="30" t="inlineStr">
        <is>
          <t>Itaguai</t>
        </is>
      </c>
      <c r="C1197" s="30" t="n">
        <v>79535400</v>
      </c>
      <c r="D1197" s="30">
        <f>"07406991000318"</f>
        <v/>
      </c>
      <c r="E1197" s="30" t="inlineStr">
        <is>
          <t>DROGARIAS ATUAL DA COSTA VERDE LTDA</t>
        </is>
      </c>
      <c r="F1197" s="40" t="n">
        <v>1303489.7</v>
      </c>
      <c r="G1197" s="40" t="n">
        <v>2966913.14</v>
      </c>
      <c r="H1197" s="40" t="n">
        <v>1308415.88</v>
      </c>
      <c r="I1197" s="40" t="n">
        <v>1058495.62</v>
      </c>
      <c r="J1197" s="40" t="n">
        <v>2208174.56</v>
      </c>
      <c r="K1197" s="40" t="n">
        <v>4485580.33</v>
      </c>
      <c r="L1197" s="40" t="n">
        <v>0</v>
      </c>
    </row>
    <row r="1198" ht="12" customHeight="1">
      <c r="A1198" s="30" t="inlineStr">
        <is>
          <t>ITG</t>
        </is>
      </c>
      <c r="B1198" s="30" t="inlineStr">
        <is>
          <t>Itaguai</t>
        </is>
      </c>
      <c r="C1198" s="30" t="n">
        <v>79536644</v>
      </c>
      <c r="D1198" s="30">
        <f>"50935436003751"</f>
        <v/>
      </c>
      <c r="E1198" s="30" t="inlineStr">
        <is>
          <t>EXPRESSO JUNDIAI LOGISTICA E TRANSPORTE LTDA</t>
        </is>
      </c>
      <c r="F1198" s="40" t="n">
        <v>2269.56</v>
      </c>
      <c r="G1198" s="40" t="n">
        <v>0</v>
      </c>
      <c r="H1198" s="40" t="n">
        <v>0</v>
      </c>
      <c r="I1198" s="40" t="n">
        <v>0</v>
      </c>
      <c r="J1198" s="40" t="n">
        <v>0</v>
      </c>
      <c r="K1198" s="40" t="n">
        <v>0</v>
      </c>
      <c r="L1198" s="40" t="n">
        <v>0</v>
      </c>
    </row>
    <row r="1199" ht="12" customHeight="1">
      <c r="A1199" s="30" t="inlineStr">
        <is>
          <t>ITG</t>
        </is>
      </c>
      <c r="B1199" s="30" t="inlineStr">
        <is>
          <t>Itaguai</t>
        </is>
      </c>
      <c r="C1199" s="30" t="n">
        <v>79541575</v>
      </c>
      <c r="D1199" s="30">
        <f>"04915315001434"</f>
        <v/>
      </c>
      <c r="E1199" s="30" t="inlineStr">
        <is>
          <t>VENTANA SERRA DO BRASIL AGENCIAMENTO DE CARGAS LTDA</t>
        </is>
      </c>
      <c r="F1199" s="40" t="n">
        <v>121597.08</v>
      </c>
      <c r="G1199" s="40" t="n">
        <v>0</v>
      </c>
      <c r="H1199" s="40" t="n">
        <v>0</v>
      </c>
      <c r="I1199" s="40" t="n">
        <v>0</v>
      </c>
      <c r="J1199" s="40" t="n">
        <v>0</v>
      </c>
      <c r="K1199" s="40" t="n">
        <v>6854.65</v>
      </c>
      <c r="L1199" s="40" t="n">
        <v>7539.77</v>
      </c>
    </row>
    <row r="1200" ht="12" customHeight="1">
      <c r="A1200" s="30" t="inlineStr">
        <is>
          <t>ITG</t>
        </is>
      </c>
      <c r="B1200" s="30" t="inlineStr">
        <is>
          <t>Itaguai</t>
        </is>
      </c>
      <c r="C1200" s="30" t="n">
        <v>79543411</v>
      </c>
      <c r="D1200" s="30">
        <f>"68639251001550"</f>
        <v/>
      </c>
      <c r="E1200" s="30" t="inlineStr">
        <is>
          <t>PREMIUM RIO VEICULOS LTDA</t>
        </is>
      </c>
      <c r="F1200" s="40" t="n">
        <v>0</v>
      </c>
      <c r="G1200" s="40" t="n">
        <v>0</v>
      </c>
      <c r="H1200" s="40" t="n">
        <v>0</v>
      </c>
      <c r="I1200" s="40" t="n">
        <v>0</v>
      </c>
      <c r="J1200" s="40" t="n">
        <v>0</v>
      </c>
      <c r="K1200" s="40" t="n">
        <v>0</v>
      </c>
      <c r="L1200" s="40" t="n">
        <v>0</v>
      </c>
    </row>
    <row r="1201" ht="12" customHeight="1">
      <c r="A1201" s="30" t="inlineStr">
        <is>
          <t>ITG</t>
        </is>
      </c>
      <c r="B1201" s="30" t="inlineStr">
        <is>
          <t>Itaguai</t>
        </is>
      </c>
      <c r="C1201" s="30" t="n">
        <v>79545660</v>
      </c>
      <c r="D1201" s="30">
        <f>"05294609000304"</f>
        <v/>
      </c>
      <c r="E1201" s="30" t="inlineStr">
        <is>
          <t>ZIRANLOG ARMAZENS GERAIS E TRANSPORTES EIRELI</t>
        </is>
      </c>
      <c r="F1201" s="40" t="n">
        <v>0</v>
      </c>
      <c r="G1201" s="40" t="n">
        <v>0</v>
      </c>
      <c r="H1201" s="40" t="n">
        <v>0</v>
      </c>
      <c r="I1201" s="40" t="n">
        <v>0</v>
      </c>
      <c r="J1201" s="40" t="n">
        <v>0</v>
      </c>
      <c r="K1201" s="40" t="n">
        <v>0</v>
      </c>
      <c r="L1201" s="40" t="n">
        <v>0</v>
      </c>
    </row>
    <row r="1202" ht="12" customHeight="1">
      <c r="A1202" s="30" t="inlineStr">
        <is>
          <t>ITG</t>
        </is>
      </c>
      <c r="B1202" s="30" t="inlineStr">
        <is>
          <t>Itaguai</t>
        </is>
      </c>
      <c r="C1202" s="30" t="n">
        <v>79554332</v>
      </c>
      <c r="D1202" s="30">
        <f>"14744388000140"</f>
        <v/>
      </c>
      <c r="E1202" s="30" t="inlineStr">
        <is>
          <t>RICAL COMERCIO DE VEICULOS - EIRELI</t>
        </is>
      </c>
      <c r="F1202" s="40" t="n">
        <v>64134.3</v>
      </c>
      <c r="G1202" s="40" t="n">
        <v>8220</v>
      </c>
      <c r="H1202" s="40" t="n">
        <v>0</v>
      </c>
      <c r="I1202" s="40" t="n">
        <v>0</v>
      </c>
      <c r="J1202" s="40" t="n">
        <v>0</v>
      </c>
      <c r="K1202" s="40" t="n">
        <v>0</v>
      </c>
      <c r="L1202" s="40" t="n">
        <v>0</v>
      </c>
    </row>
    <row r="1203" ht="12" customHeight="1">
      <c r="A1203" s="30" t="inlineStr">
        <is>
          <t>ITG</t>
        </is>
      </c>
      <c r="B1203" s="30" t="inlineStr">
        <is>
          <t>Itaguai</t>
        </is>
      </c>
      <c r="C1203" s="30" t="n">
        <v>79556637</v>
      </c>
      <c r="D1203" s="30">
        <f>"14758652000102"</f>
        <v/>
      </c>
      <c r="E1203" s="30" t="inlineStr">
        <is>
          <t>POSTO DE SERVICOS GIGANTE DE CAXIAS LTDA</t>
        </is>
      </c>
      <c r="F1203" s="40" t="n">
        <v>1267670.53</v>
      </c>
      <c r="G1203" s="40" t="n">
        <v>632017.62</v>
      </c>
      <c r="H1203" s="40" t="n">
        <v>544618.12</v>
      </c>
      <c r="I1203" s="40" t="n">
        <v>441902.88</v>
      </c>
      <c r="J1203" s="40" t="n">
        <v>407239.26</v>
      </c>
      <c r="K1203" s="40" t="n">
        <v>0</v>
      </c>
      <c r="L1203" s="40" t="n">
        <v>730692.47</v>
      </c>
    </row>
    <row r="1204" ht="12" customHeight="1">
      <c r="A1204" s="30" t="inlineStr">
        <is>
          <t>ITG</t>
        </is>
      </c>
      <c r="B1204" s="30" t="inlineStr">
        <is>
          <t>Itaguai</t>
        </is>
      </c>
      <c r="C1204" s="30" t="n">
        <v>79558630</v>
      </c>
      <c r="D1204" s="30">
        <f>"00991619000105"</f>
        <v/>
      </c>
      <c r="E1204" s="30" t="inlineStr">
        <is>
          <t>FRANCISCO C FREITAS RESTAURANTE E BAR ME</t>
        </is>
      </c>
      <c r="F1204" s="40" t="n">
        <v>0</v>
      </c>
      <c r="G1204" s="40" t="n">
        <v>0</v>
      </c>
      <c r="H1204" s="40" t="n">
        <v>0</v>
      </c>
      <c r="I1204" s="40" t="n">
        <v>0</v>
      </c>
      <c r="J1204" s="40" t="n">
        <v>0</v>
      </c>
      <c r="K1204" s="40" t="n">
        <v>0</v>
      </c>
      <c r="L1204" s="40" t="n">
        <v>0</v>
      </c>
    </row>
    <row r="1205" ht="12" customHeight="1">
      <c r="A1205" s="30" t="inlineStr">
        <is>
          <t>ITG</t>
        </is>
      </c>
      <c r="B1205" s="30" t="inlineStr">
        <is>
          <t>Itaguai</t>
        </is>
      </c>
      <c r="C1205" s="30" t="n">
        <v>79559938</v>
      </c>
      <c r="D1205" s="30">
        <f>"13106255000185"</f>
        <v/>
      </c>
      <c r="E1205" s="30" t="inlineStr">
        <is>
          <t>JULIA TRANSPORTE SERVICOS DE TRANSPORTE DE CARGAS LTDA ME</t>
        </is>
      </c>
      <c r="F1205" s="40" t="n">
        <v>0</v>
      </c>
      <c r="G1205" s="40" t="n">
        <v>0</v>
      </c>
      <c r="H1205" s="40" t="n">
        <v>0</v>
      </c>
      <c r="I1205" s="40" t="n">
        <v>0</v>
      </c>
      <c r="J1205" s="40" t="n">
        <v>9307.41</v>
      </c>
      <c r="K1205" s="40" t="n">
        <v>0</v>
      </c>
      <c r="L1205" s="40" t="n">
        <v>0</v>
      </c>
    </row>
    <row r="1206" ht="12" customHeight="1">
      <c r="A1206" s="30" t="inlineStr">
        <is>
          <t>ITG</t>
        </is>
      </c>
      <c r="B1206" s="30" t="inlineStr">
        <is>
          <t>Itaguai</t>
        </is>
      </c>
      <c r="C1206" s="30" t="n">
        <v>79561126</v>
      </c>
      <c r="D1206" s="30">
        <f>"21483615000862"</f>
        <v/>
      </c>
      <c r="E1206" s="30" t="inlineStr">
        <is>
          <t>ORLY VEICULOS E PECAS S/A</t>
        </is>
      </c>
      <c r="F1206" s="40" t="n">
        <v>968589.65</v>
      </c>
      <c r="G1206" s="40" t="n">
        <v>788994.3199999999</v>
      </c>
      <c r="H1206" s="40" t="n">
        <v>328830.28</v>
      </c>
      <c r="I1206" s="40" t="n">
        <v>866281.4300000001</v>
      </c>
      <c r="J1206" s="40" t="n">
        <v>1508330.57</v>
      </c>
      <c r="K1206" s="40" t="n">
        <v>1878897.33</v>
      </c>
      <c r="L1206" s="40" t="n">
        <v>1706857.9</v>
      </c>
    </row>
    <row r="1207" ht="12" customHeight="1">
      <c r="A1207" s="30" t="inlineStr">
        <is>
          <t>ITG</t>
        </is>
      </c>
      <c r="B1207" s="30" t="inlineStr">
        <is>
          <t>Itaguai</t>
        </is>
      </c>
      <c r="C1207" s="30" t="n">
        <v>79568228</v>
      </c>
      <c r="D1207" s="30">
        <f>"14752255000115"</f>
        <v/>
      </c>
      <c r="E1207" s="30" t="inlineStr">
        <is>
          <t>TRANZIRAN LOGISTICS PROJECTS LTDA</t>
        </is>
      </c>
      <c r="F1207" s="40" t="n">
        <v>0</v>
      </c>
      <c r="G1207" s="40" t="n">
        <v>0</v>
      </c>
      <c r="H1207" s="40" t="n">
        <v>7179.36</v>
      </c>
      <c r="I1207" s="40" t="n">
        <v>0</v>
      </c>
      <c r="J1207" s="40" t="n">
        <v>0</v>
      </c>
      <c r="K1207" s="40" t="n">
        <v>0</v>
      </c>
      <c r="L1207" s="40" t="n">
        <v>0</v>
      </c>
    </row>
    <row r="1208" ht="12" customHeight="1">
      <c r="A1208" s="30" t="inlineStr">
        <is>
          <t>ITG</t>
        </is>
      </c>
      <c r="B1208" s="30" t="inlineStr">
        <is>
          <t>Itaguai</t>
        </is>
      </c>
      <c r="C1208" s="30" t="n">
        <v>79568287</v>
      </c>
      <c r="D1208" s="30">
        <f>"77024644000225"</f>
        <v/>
      </c>
      <c r="E1208" s="30" t="inlineStr">
        <is>
          <t>JORGE MANCHUR &amp; CIA LTDA</t>
        </is>
      </c>
      <c r="F1208" s="40" t="n">
        <v>0</v>
      </c>
      <c r="G1208" s="40" t="n">
        <v>10370.33</v>
      </c>
      <c r="H1208" s="40" t="n">
        <v>807.47</v>
      </c>
      <c r="I1208" s="40" t="n">
        <v>7672.5</v>
      </c>
      <c r="J1208" s="40" t="n">
        <v>2636.26</v>
      </c>
      <c r="K1208" s="40" t="n">
        <v>11884.79</v>
      </c>
      <c r="L1208" s="40" t="n">
        <v>17588.89</v>
      </c>
    </row>
    <row r="1209" ht="12" customHeight="1">
      <c r="A1209" s="30" t="inlineStr">
        <is>
          <t>ITG</t>
        </is>
      </c>
      <c r="B1209" s="30" t="inlineStr">
        <is>
          <t>Itaguai</t>
        </is>
      </c>
      <c r="C1209" s="30" t="n">
        <v>79571806</v>
      </c>
      <c r="D1209" s="30">
        <f>"14801701000134"</f>
        <v/>
      </c>
      <c r="E1209" s="30" t="inlineStr">
        <is>
          <t>PREDES BAZAR LTDA ME</t>
        </is>
      </c>
      <c r="F1209" s="40" t="n">
        <v>0</v>
      </c>
      <c r="G1209" s="40" t="n">
        <v>0</v>
      </c>
      <c r="H1209" s="40" t="n">
        <v>0</v>
      </c>
      <c r="I1209" s="40" t="n">
        <v>0</v>
      </c>
      <c r="J1209" s="40" t="n">
        <v>0</v>
      </c>
      <c r="K1209" s="40" t="n">
        <v>0</v>
      </c>
      <c r="L1209" s="40" t="n">
        <v>0</v>
      </c>
    </row>
    <row r="1210" ht="12" customHeight="1">
      <c r="A1210" s="30" t="inlineStr">
        <is>
          <t>ITG</t>
        </is>
      </c>
      <c r="B1210" s="30" t="inlineStr">
        <is>
          <t>Itaguai</t>
        </is>
      </c>
      <c r="C1210" s="30" t="n">
        <v>79577936</v>
      </c>
      <c r="D1210" s="30">
        <f>"08809288000313"</f>
        <v/>
      </c>
      <c r="E1210" s="30" t="inlineStr">
        <is>
          <t>LIBRA TERMINAL VALONGO S A</t>
        </is>
      </c>
      <c r="F1210" s="40" t="n">
        <v>6859.76</v>
      </c>
      <c r="G1210" s="40" t="n">
        <v>0</v>
      </c>
      <c r="H1210" s="40" t="n">
        <v>0</v>
      </c>
      <c r="I1210" s="40" t="n">
        <v>0</v>
      </c>
      <c r="J1210" s="40" t="n">
        <v>0</v>
      </c>
      <c r="K1210" s="40" t="n">
        <v>0</v>
      </c>
      <c r="L1210" s="40" t="n">
        <v>0</v>
      </c>
    </row>
    <row r="1211" ht="12" customHeight="1">
      <c r="A1211" s="30" t="inlineStr">
        <is>
          <t>ITG</t>
        </is>
      </c>
      <c r="B1211" s="30" t="inlineStr">
        <is>
          <t>Itaguai</t>
        </is>
      </c>
      <c r="C1211" s="30" t="n">
        <v>79582980</v>
      </c>
      <c r="D1211" s="30">
        <f>"78815958001280"</f>
        <v/>
      </c>
      <c r="E1211" s="30" t="inlineStr">
        <is>
          <t>JOSE OSVALDO DE OLIVEIRA EIRELI</t>
        </is>
      </c>
      <c r="F1211" s="40" t="n">
        <v>1881.18</v>
      </c>
      <c r="G1211" s="40" t="n">
        <v>2446.15</v>
      </c>
      <c r="H1211" s="40" t="n">
        <v>5231.03</v>
      </c>
      <c r="I1211" s="40" t="n">
        <v>3457.68</v>
      </c>
      <c r="J1211" s="40" t="n">
        <v>4605.44</v>
      </c>
      <c r="K1211" s="40" t="n">
        <v>5386.46</v>
      </c>
      <c r="L1211" s="40" t="n">
        <v>3570.71</v>
      </c>
    </row>
    <row r="1212" ht="12" customHeight="1">
      <c r="A1212" s="30" t="inlineStr">
        <is>
          <t>ITG</t>
        </is>
      </c>
      <c r="B1212" s="30" t="inlineStr">
        <is>
          <t>Itaguai</t>
        </is>
      </c>
      <c r="C1212" s="30" t="n">
        <v>79594571</v>
      </c>
      <c r="D1212" s="30">
        <f>"08628629001750"</f>
        <v/>
      </c>
      <c r="E1212" s="30" t="inlineStr">
        <is>
          <t>CONCORDIA LOGISTICA S A</t>
        </is>
      </c>
      <c r="F1212" s="40" t="n">
        <v>0</v>
      </c>
      <c r="G1212" s="40" t="n">
        <v>0</v>
      </c>
      <c r="H1212" s="40" t="n">
        <v>0</v>
      </c>
      <c r="I1212" s="40" t="n">
        <v>0</v>
      </c>
      <c r="J1212" s="40" t="n">
        <v>0</v>
      </c>
      <c r="K1212" s="40" t="n">
        <v>0</v>
      </c>
      <c r="L1212" s="40" t="n">
        <v>0</v>
      </c>
    </row>
    <row r="1213" ht="12" customHeight="1">
      <c r="A1213" s="30" t="inlineStr">
        <is>
          <t>ITG</t>
        </is>
      </c>
      <c r="B1213" s="30" t="inlineStr">
        <is>
          <t>Itaguai</t>
        </is>
      </c>
      <c r="C1213" s="30" t="n">
        <v>79602604</v>
      </c>
      <c r="D1213" s="30">
        <f>"15025071000116"</f>
        <v/>
      </c>
      <c r="E1213" s="30" t="inlineStr">
        <is>
          <t>TRACKER SERVICO DE ARMAZENAGEM EIRELI</t>
        </is>
      </c>
      <c r="F1213" s="40" t="n">
        <v>0</v>
      </c>
      <c r="G1213" s="40" t="n">
        <v>0</v>
      </c>
      <c r="H1213" s="40" t="n">
        <v>0</v>
      </c>
      <c r="I1213" s="40" t="n">
        <v>0</v>
      </c>
      <c r="J1213" s="40" t="n">
        <v>186343.83</v>
      </c>
      <c r="K1213" s="40" t="n">
        <v>0</v>
      </c>
      <c r="L1213" s="40" t="n">
        <v>0</v>
      </c>
    </row>
    <row r="1214" ht="12" customHeight="1">
      <c r="A1214" s="30" t="inlineStr">
        <is>
          <t>ITG</t>
        </is>
      </c>
      <c r="B1214" s="30" t="inlineStr">
        <is>
          <t>Itaguai</t>
        </is>
      </c>
      <c r="C1214" s="30" t="n">
        <v>79602922</v>
      </c>
      <c r="D1214" s="30">
        <f>"11069547000240"</f>
        <v/>
      </c>
      <c r="E1214" s="30" t="inlineStr">
        <is>
          <t>LOGMAM TRANSPORTES LTDA</t>
        </is>
      </c>
      <c r="F1214" s="40" t="n">
        <v>0</v>
      </c>
      <c r="G1214" s="40" t="n">
        <v>0</v>
      </c>
      <c r="H1214" s="40" t="n">
        <v>2612.84</v>
      </c>
      <c r="I1214" s="40" t="n">
        <v>432</v>
      </c>
      <c r="J1214" s="40" t="n">
        <v>0</v>
      </c>
      <c r="K1214" s="40" t="n">
        <v>0</v>
      </c>
      <c r="L1214" s="40" t="n">
        <v>0</v>
      </c>
    </row>
    <row r="1215" ht="12" customHeight="1">
      <c r="A1215" s="30" t="inlineStr">
        <is>
          <t>ITG</t>
        </is>
      </c>
      <c r="B1215" s="30" t="inlineStr">
        <is>
          <t>Itaguai</t>
        </is>
      </c>
      <c r="C1215" s="30" t="n">
        <v>79607975</v>
      </c>
      <c r="D1215" s="30">
        <f>"52548435019783"</f>
        <v/>
      </c>
      <c r="E1215" s="30" t="inlineStr">
        <is>
          <t>JSL S/A</t>
        </is>
      </c>
      <c r="F1215" s="40" t="n">
        <v>0</v>
      </c>
      <c r="G1215" s="40" t="n">
        <v>927.35</v>
      </c>
      <c r="H1215" s="40" t="n">
        <v>0</v>
      </c>
      <c r="I1215" s="40" t="n">
        <v>2141.91</v>
      </c>
      <c r="J1215" s="40" t="n">
        <v>1755.58</v>
      </c>
      <c r="K1215" s="40" t="n">
        <v>2644.8</v>
      </c>
      <c r="L1215" s="40" t="n">
        <v>0</v>
      </c>
    </row>
    <row r="1216" ht="12" customHeight="1">
      <c r="A1216" s="30" t="inlineStr">
        <is>
          <t>ITG</t>
        </is>
      </c>
      <c r="B1216" s="30" t="inlineStr">
        <is>
          <t>Itaguai</t>
        </is>
      </c>
      <c r="C1216" s="30" t="n">
        <v>79609323</v>
      </c>
      <c r="D1216" s="30">
        <f>"15143710000148"</f>
        <v/>
      </c>
      <c r="E1216" s="30" t="inlineStr">
        <is>
          <t>J A CRUZ BAR E LANCHONETE - ME</t>
        </is>
      </c>
      <c r="F1216" s="40" t="n">
        <v>0</v>
      </c>
      <c r="G1216" s="40" t="n">
        <v>0</v>
      </c>
      <c r="H1216" s="40" t="n">
        <v>0</v>
      </c>
      <c r="I1216" s="40" t="n">
        <v>0</v>
      </c>
      <c r="J1216" s="40" t="n">
        <v>0</v>
      </c>
      <c r="K1216" s="40" t="n">
        <v>0</v>
      </c>
      <c r="L1216" s="40" t="n">
        <v>0</v>
      </c>
    </row>
    <row r="1217" ht="12" customHeight="1">
      <c r="A1217" s="30" t="inlineStr">
        <is>
          <t>ITG</t>
        </is>
      </c>
      <c r="B1217" s="30" t="inlineStr">
        <is>
          <t>Itaguai</t>
        </is>
      </c>
      <c r="C1217" s="30" t="n">
        <v>79611395</v>
      </c>
      <c r="D1217" s="30">
        <f>"13747117000185"</f>
        <v/>
      </c>
      <c r="E1217" s="30" t="inlineStr">
        <is>
          <t>CLADTEK DO BRASIL INDUSTRIA E COMERCIO DE TUBOS E REVESTIMENTOS LTDA</t>
        </is>
      </c>
      <c r="F1217" s="40" t="n">
        <v>0</v>
      </c>
      <c r="G1217" s="40" t="n">
        <v>0</v>
      </c>
      <c r="H1217" s="40" t="n">
        <v>0</v>
      </c>
      <c r="I1217" s="40" t="n">
        <v>0</v>
      </c>
      <c r="J1217" s="40" t="n">
        <v>0</v>
      </c>
      <c r="K1217" s="40" t="n">
        <v>0</v>
      </c>
      <c r="L1217" s="40" t="n">
        <v>0</v>
      </c>
    </row>
    <row r="1218" ht="12" customHeight="1">
      <c r="A1218" s="30" t="inlineStr">
        <is>
          <t>ITG</t>
        </is>
      </c>
      <c r="B1218" s="30" t="inlineStr">
        <is>
          <t>Itaguai</t>
        </is>
      </c>
      <c r="C1218" s="30" t="n">
        <v>79612391</v>
      </c>
      <c r="D1218" s="30">
        <f>"15089282000112"</f>
        <v/>
      </c>
      <c r="E1218" s="30" t="inlineStr">
        <is>
          <t>FIBERGIL FABRICACAO COMERCIO E REPAROS DE CARROCERIAS LTDA ME</t>
        </is>
      </c>
      <c r="F1218" s="40" t="n">
        <v>0</v>
      </c>
      <c r="G1218" s="40" t="n">
        <v>0</v>
      </c>
      <c r="H1218" s="40" t="n">
        <v>0</v>
      </c>
      <c r="I1218" s="40" t="n">
        <v>0</v>
      </c>
      <c r="J1218" s="40" t="n">
        <v>0</v>
      </c>
      <c r="K1218" s="40" t="n">
        <v>0</v>
      </c>
      <c r="L1218" s="40" t="n">
        <v>0</v>
      </c>
    </row>
    <row r="1219" ht="12" customHeight="1">
      <c r="A1219" s="30" t="inlineStr">
        <is>
          <t>ITG</t>
        </is>
      </c>
      <c r="B1219" s="30" t="inlineStr">
        <is>
          <t>Itaguai</t>
        </is>
      </c>
      <c r="C1219" s="30" t="n">
        <v>79619159</v>
      </c>
      <c r="D1219" s="30">
        <f>"11426289001527"</f>
        <v/>
      </c>
      <c r="E1219" s="30" t="inlineStr">
        <is>
          <t>ITVA RIO MOTOS LTDA</t>
        </is>
      </c>
      <c r="F1219" s="40" t="n">
        <v>0</v>
      </c>
      <c r="G1219" s="40" t="n">
        <v>0</v>
      </c>
      <c r="H1219" s="40" t="n">
        <v>0</v>
      </c>
      <c r="I1219" s="40" t="n">
        <v>0</v>
      </c>
      <c r="J1219" s="40" t="n">
        <v>0</v>
      </c>
      <c r="K1219" s="40" t="n">
        <v>0</v>
      </c>
      <c r="L1219" s="40" t="n">
        <v>0</v>
      </c>
    </row>
    <row r="1220" ht="12" customHeight="1">
      <c r="A1220" s="30" t="inlineStr">
        <is>
          <t>ITG</t>
        </is>
      </c>
      <c r="B1220" s="30" t="inlineStr">
        <is>
          <t>Itaguai</t>
        </is>
      </c>
      <c r="C1220" s="30" t="n">
        <v>79635219</v>
      </c>
      <c r="D1220" s="30">
        <f>"52502507001895"</f>
        <v/>
      </c>
      <c r="E1220" s="30" t="inlineStr">
        <is>
          <t>MOCOCA S/A PRODUTOS ALIMENTICIOS</t>
        </is>
      </c>
      <c r="F1220" s="40" t="n">
        <v>0</v>
      </c>
      <c r="G1220" s="40" t="n">
        <v>793595.8</v>
      </c>
      <c r="H1220" s="40" t="n">
        <v>0</v>
      </c>
      <c r="I1220" s="40" t="n">
        <v>0</v>
      </c>
      <c r="J1220" s="40" t="n">
        <v>0</v>
      </c>
      <c r="K1220" s="40" t="n">
        <v>0</v>
      </c>
      <c r="L1220" s="40" t="n">
        <v>0</v>
      </c>
    </row>
    <row r="1221" ht="12" customHeight="1">
      <c r="A1221" s="30" t="inlineStr">
        <is>
          <t>ITG</t>
        </is>
      </c>
      <c r="B1221" s="30" t="inlineStr">
        <is>
          <t>Itaguai</t>
        </is>
      </c>
      <c r="C1221" s="30" t="n">
        <v>79639990</v>
      </c>
      <c r="D1221" s="30">
        <f>"04605519000235"</f>
        <v/>
      </c>
      <c r="E1221" s="30" t="inlineStr">
        <is>
          <t>TRANS TRUCK LOGISTICA E TRANSPORTES LTDA</t>
        </is>
      </c>
      <c r="F1221" s="40" t="n">
        <v>67.67</v>
      </c>
      <c r="G1221" s="40" t="n">
        <v>0.5600000000000001</v>
      </c>
      <c r="H1221" s="40" t="n">
        <v>42.14</v>
      </c>
      <c r="I1221" s="40" t="n">
        <v>0</v>
      </c>
      <c r="J1221" s="40" t="n">
        <v>44.6</v>
      </c>
      <c r="K1221" s="40" t="n">
        <v>0</v>
      </c>
      <c r="L1221" s="40" t="n">
        <v>0</v>
      </c>
    </row>
    <row r="1222" ht="12" customHeight="1">
      <c r="A1222" s="30" t="inlineStr">
        <is>
          <t>ITG</t>
        </is>
      </c>
      <c r="B1222" s="30" t="inlineStr">
        <is>
          <t>Itaguai</t>
        </is>
      </c>
      <c r="C1222" s="30" t="n">
        <v>79658910</v>
      </c>
      <c r="D1222" s="30">
        <f>"10397711000448"</f>
        <v/>
      </c>
      <c r="E1222" s="30" t="inlineStr">
        <is>
          <t>GTX COMERCIO DE TINTAS LTDA</t>
        </is>
      </c>
      <c r="F1222" s="40" t="n">
        <v>275148.14</v>
      </c>
      <c r="G1222" s="40" t="n">
        <v>0</v>
      </c>
      <c r="H1222" s="40" t="n">
        <v>0</v>
      </c>
      <c r="I1222" s="40" t="n">
        <v>0</v>
      </c>
      <c r="J1222" s="40" t="n">
        <v>0</v>
      </c>
      <c r="K1222" s="40" t="n">
        <v>0</v>
      </c>
      <c r="L1222" s="40" t="n">
        <v>0</v>
      </c>
    </row>
    <row r="1223" ht="12" customHeight="1">
      <c r="A1223" s="30" t="inlineStr">
        <is>
          <t>ITG</t>
        </is>
      </c>
      <c r="B1223" s="30" t="inlineStr">
        <is>
          <t>Itaguai</t>
        </is>
      </c>
      <c r="C1223" s="30" t="n">
        <v>79665479</v>
      </c>
      <c r="D1223" s="30">
        <f>"09354773000221"</f>
        <v/>
      </c>
      <c r="E1223" s="30" t="inlineStr">
        <is>
          <t>PREMAX ENGENHARIA E COMERCIO LTDA</t>
        </is>
      </c>
      <c r="F1223" s="40" t="n">
        <v>0</v>
      </c>
      <c r="G1223" s="40" t="n">
        <v>0</v>
      </c>
      <c r="H1223" s="40" t="n">
        <v>0</v>
      </c>
      <c r="I1223" s="40" t="n">
        <v>0</v>
      </c>
      <c r="J1223" s="40" t="n">
        <v>8228</v>
      </c>
      <c r="K1223" s="40" t="n">
        <v>0</v>
      </c>
      <c r="L1223" s="40" t="n">
        <v>5100</v>
      </c>
    </row>
    <row r="1224" ht="12" customHeight="1">
      <c r="A1224" s="30" t="inlineStr">
        <is>
          <t>ITG</t>
        </is>
      </c>
      <c r="B1224" s="30" t="inlineStr">
        <is>
          <t>Itaguai</t>
        </is>
      </c>
      <c r="C1224" s="30" t="n">
        <v>79667277</v>
      </c>
      <c r="D1224" s="30">
        <f>"03176142000445"</f>
        <v/>
      </c>
      <c r="E1224" s="30" t="inlineStr">
        <is>
          <t>PLAMONT PLANEJAMENTO MONTAGEM E ENGENHARIA LTDA</t>
        </is>
      </c>
      <c r="F1224" s="40" t="n">
        <v>221268.91</v>
      </c>
      <c r="G1224" s="40" t="n">
        <v>0</v>
      </c>
      <c r="H1224" s="40" t="n">
        <v>0</v>
      </c>
      <c r="I1224" s="40" t="n">
        <v>0</v>
      </c>
      <c r="J1224" s="40" t="n">
        <v>0</v>
      </c>
      <c r="K1224" s="40" t="n">
        <v>0</v>
      </c>
      <c r="L1224" s="40" t="n">
        <v>0</v>
      </c>
    </row>
    <row r="1225" ht="12" customHeight="1">
      <c r="A1225" s="30" t="inlineStr">
        <is>
          <t>ITG</t>
        </is>
      </c>
      <c r="B1225" s="30" t="inlineStr">
        <is>
          <t>Itaguai</t>
        </is>
      </c>
      <c r="C1225" s="30" t="n">
        <v>79668630</v>
      </c>
      <c r="D1225" s="30">
        <f>"15401022000130"</f>
        <v/>
      </c>
      <c r="E1225" s="30" t="inlineStr">
        <is>
          <t>DLR LOGÍSTICA E TRANSPORTES LTDA</t>
        </is>
      </c>
      <c r="F1225" s="40" t="n">
        <v>7530.59</v>
      </c>
      <c r="G1225" s="40" t="n">
        <v>0</v>
      </c>
      <c r="H1225" s="40" t="n">
        <v>0</v>
      </c>
      <c r="I1225" s="40" t="n">
        <v>0</v>
      </c>
      <c r="J1225" s="40" t="n">
        <v>0</v>
      </c>
      <c r="K1225" s="40" t="n">
        <v>0</v>
      </c>
      <c r="L1225" s="40" t="n">
        <v>0</v>
      </c>
    </row>
    <row r="1226" ht="12" customHeight="1">
      <c r="A1226" s="30" t="inlineStr">
        <is>
          <t>ITG</t>
        </is>
      </c>
      <c r="B1226" s="30" t="inlineStr">
        <is>
          <t>Itaguai</t>
        </is>
      </c>
      <c r="C1226" s="30" t="n">
        <v>79670847</v>
      </c>
      <c r="D1226" s="30">
        <f>"27975648000130"</f>
        <v/>
      </c>
      <c r="E1226" s="30" t="inlineStr">
        <is>
          <t>FM LOCACAO, COMERCIO E ENTRETENIMENTO EIRELI ME</t>
        </is>
      </c>
      <c r="F1226" s="40" t="n">
        <v>0</v>
      </c>
      <c r="G1226" s="40" t="n">
        <v>0</v>
      </c>
      <c r="H1226" s="40" t="n">
        <v>0</v>
      </c>
      <c r="I1226" s="40" t="n">
        <v>0</v>
      </c>
      <c r="J1226" s="40" t="n">
        <v>0</v>
      </c>
      <c r="K1226" s="40" t="n">
        <v>0</v>
      </c>
      <c r="L1226" s="40" t="n">
        <v>0</v>
      </c>
    </row>
    <row r="1227" ht="12" customHeight="1">
      <c r="A1227" s="30" t="inlineStr">
        <is>
          <t>ITG</t>
        </is>
      </c>
      <c r="B1227" s="30" t="inlineStr">
        <is>
          <t>Itaguai</t>
        </is>
      </c>
      <c r="C1227" s="30" t="n">
        <v>79671029</v>
      </c>
      <c r="D1227" s="30">
        <f>"13574594005074"</f>
        <v/>
      </c>
      <c r="E1227" s="30" t="inlineStr">
        <is>
          <t>BK BRASIL OPERACAO E ASSESSORIA A RESTAURANTES S.A.</t>
        </is>
      </c>
      <c r="F1227" s="40" t="n">
        <v>1518810.25</v>
      </c>
      <c r="G1227" s="40" t="n">
        <v>1825122.13</v>
      </c>
      <c r="H1227" s="40" t="n">
        <v>1920286.88</v>
      </c>
      <c r="I1227" s="40" t="n">
        <v>1206701.16</v>
      </c>
      <c r="J1227" s="40" t="n">
        <v>1453680.85</v>
      </c>
      <c r="K1227" s="40" t="n">
        <v>2013338.06</v>
      </c>
      <c r="L1227" s="40" t="n">
        <v>2375744.19</v>
      </c>
    </row>
    <row r="1228" ht="12" customHeight="1">
      <c r="A1228" s="30" t="inlineStr">
        <is>
          <t>ITG</t>
        </is>
      </c>
      <c r="B1228" s="30" t="inlineStr">
        <is>
          <t>Itaguai</t>
        </is>
      </c>
      <c r="C1228" s="30" t="n">
        <v>79671100</v>
      </c>
      <c r="D1228" s="30">
        <f>"13574594005740"</f>
        <v/>
      </c>
      <c r="E1228" s="30" t="inlineStr">
        <is>
          <t>BK BRASIL OPERACAO E ASSESSORIA A RESTAURANTES S.A.</t>
        </is>
      </c>
      <c r="F1228" s="40" t="n">
        <v>851587.7</v>
      </c>
      <c r="G1228" s="40" t="n">
        <v>245839.37</v>
      </c>
      <c r="H1228" s="40" t="n">
        <v>363802.07</v>
      </c>
      <c r="I1228" s="40" t="n">
        <v>243385.06</v>
      </c>
      <c r="J1228" s="40" t="n">
        <v>254328.56</v>
      </c>
      <c r="K1228" s="40" t="n">
        <v>445156.57</v>
      </c>
      <c r="L1228" s="40" t="n">
        <v>515926.5</v>
      </c>
    </row>
    <row r="1229" ht="12" customHeight="1">
      <c r="A1229" s="30" t="inlineStr">
        <is>
          <t>ITG</t>
        </is>
      </c>
      <c r="B1229" s="30" t="inlineStr">
        <is>
          <t>Itaguai</t>
        </is>
      </c>
      <c r="C1229" s="30" t="n">
        <v>79681059</v>
      </c>
      <c r="D1229" s="30">
        <f>"97523000000299"</f>
        <v/>
      </c>
      <c r="E1229" s="30" t="inlineStr">
        <is>
          <t>TOP FLA ARTIGOS DO VESTUARIO E ACESSORIOS ESPORTIVOS EIRELI EPP</t>
        </is>
      </c>
      <c r="F1229" s="40" t="n">
        <v>0</v>
      </c>
      <c r="G1229" s="40" t="n">
        <v>0</v>
      </c>
      <c r="H1229" s="40" t="n">
        <v>0</v>
      </c>
      <c r="I1229" s="40" t="n">
        <v>0</v>
      </c>
      <c r="J1229" s="40" t="n">
        <v>0</v>
      </c>
      <c r="K1229" s="40" t="n">
        <v>0</v>
      </c>
      <c r="L1229" s="40" t="n">
        <v>0</v>
      </c>
    </row>
    <row r="1230" ht="12" customHeight="1">
      <c r="A1230" s="30" t="inlineStr">
        <is>
          <t>ITG</t>
        </is>
      </c>
      <c r="B1230" s="30" t="inlineStr">
        <is>
          <t>Itaguai</t>
        </is>
      </c>
      <c r="C1230" s="30" t="n">
        <v>79691011</v>
      </c>
      <c r="D1230" s="30">
        <f>"15916439000136"</f>
        <v/>
      </c>
      <c r="E1230" s="30" t="inlineStr">
        <is>
          <t>O S ARAGÃO CALÇADOS LTDA</t>
        </is>
      </c>
      <c r="F1230" s="40" t="n">
        <v>0</v>
      </c>
      <c r="G1230" s="40" t="n">
        <v>0</v>
      </c>
      <c r="H1230" s="40" t="n">
        <v>0</v>
      </c>
      <c r="I1230" s="40" t="n">
        <v>0</v>
      </c>
      <c r="J1230" s="40" t="n">
        <v>0</v>
      </c>
      <c r="K1230" s="40" t="n">
        <v>0</v>
      </c>
      <c r="L1230" s="40" t="n">
        <v>0</v>
      </c>
    </row>
    <row r="1231" ht="12" customHeight="1">
      <c r="A1231" s="30" t="inlineStr">
        <is>
          <t>ITG</t>
        </is>
      </c>
      <c r="B1231" s="30" t="inlineStr">
        <is>
          <t>Itaguai</t>
        </is>
      </c>
      <c r="C1231" s="30" t="n">
        <v>79691631</v>
      </c>
      <c r="D1231" s="30">
        <f>"15701591000100"</f>
        <v/>
      </c>
      <c r="E1231" s="30" t="inlineStr">
        <is>
          <t>ZANATA DISTRIBUIDORA EIRELI EPP</t>
        </is>
      </c>
      <c r="F1231" s="40" t="n">
        <v>0</v>
      </c>
      <c r="G1231" s="40" t="n">
        <v>0</v>
      </c>
      <c r="H1231" s="40" t="n">
        <v>0</v>
      </c>
      <c r="I1231" s="40" t="n">
        <v>0</v>
      </c>
      <c r="J1231" s="40" t="n">
        <v>0</v>
      </c>
      <c r="K1231" s="40" t="n">
        <v>0</v>
      </c>
      <c r="L1231" s="40" t="n">
        <v>0</v>
      </c>
    </row>
    <row r="1232" ht="12" customHeight="1">
      <c r="A1232" s="30" t="inlineStr">
        <is>
          <t>ITG</t>
        </is>
      </c>
      <c r="B1232" s="30" t="inlineStr">
        <is>
          <t>Itaguai</t>
        </is>
      </c>
      <c r="C1232" s="30" t="n">
        <v>79693197</v>
      </c>
      <c r="D1232" s="30">
        <f>"00436042016505"</f>
        <v/>
      </c>
      <c r="E1232" s="30" t="inlineStr">
        <is>
          <t>POLIMPORT - COMERCIO E EXPORTACAO LTDA</t>
        </is>
      </c>
      <c r="F1232" s="40" t="n">
        <v>487851.71</v>
      </c>
      <c r="G1232" s="40" t="n">
        <v>562196.79</v>
      </c>
      <c r="H1232" s="40" t="n">
        <v>106722.88</v>
      </c>
      <c r="I1232" s="40" t="n">
        <v>0</v>
      </c>
      <c r="J1232" s="40" t="n">
        <v>0</v>
      </c>
      <c r="K1232" s="40" t="n">
        <v>0</v>
      </c>
      <c r="L1232" s="40" t="n">
        <v>0</v>
      </c>
    </row>
    <row r="1233" ht="12" customHeight="1">
      <c r="A1233" s="30" t="inlineStr">
        <is>
          <t>ITG</t>
        </is>
      </c>
      <c r="B1233" s="30" t="inlineStr">
        <is>
          <t>Itaguai</t>
        </is>
      </c>
      <c r="C1233" s="30" t="n">
        <v>79698253</v>
      </c>
      <c r="D1233" s="30">
        <f>"15803249000102"</f>
        <v/>
      </c>
      <c r="E1233" s="30" t="inlineStr">
        <is>
          <t>LEONCIO E CELIA COMERCIO E SERVICOS LTDA ME</t>
        </is>
      </c>
      <c r="F1233" s="40" t="n">
        <v>0</v>
      </c>
      <c r="G1233" s="40" t="n">
        <v>0</v>
      </c>
      <c r="H1233" s="40" t="n">
        <v>0</v>
      </c>
      <c r="I1233" s="40" t="n">
        <v>0</v>
      </c>
      <c r="J1233" s="40" t="n">
        <v>0</v>
      </c>
      <c r="K1233" s="40" t="n">
        <v>0</v>
      </c>
      <c r="L1233" s="40" t="n">
        <v>0</v>
      </c>
    </row>
    <row r="1234" ht="12" customHeight="1">
      <c r="A1234" s="30" t="inlineStr">
        <is>
          <t>ITG</t>
        </is>
      </c>
      <c r="B1234" s="30" t="inlineStr">
        <is>
          <t>Itaguai</t>
        </is>
      </c>
      <c r="C1234" s="30" t="n">
        <v>79699039</v>
      </c>
      <c r="D1234" s="30">
        <f>"15805459000130"</f>
        <v/>
      </c>
      <c r="E1234" s="30" t="inlineStr">
        <is>
          <t>RIO SOFT ICE DO BRASIL TRANSPORTES E COMERCIO DE ALIMENTOS CONGELADOS LTDA</t>
        </is>
      </c>
      <c r="F1234" s="40" t="n">
        <v>12975</v>
      </c>
      <c r="G1234" s="40" t="n">
        <v>0</v>
      </c>
      <c r="H1234" s="40" t="n">
        <v>0</v>
      </c>
      <c r="I1234" s="40" t="n">
        <v>0</v>
      </c>
      <c r="J1234" s="40" t="n">
        <v>0</v>
      </c>
      <c r="K1234" s="40" t="n">
        <v>0</v>
      </c>
      <c r="L1234" s="40" t="n">
        <v>0</v>
      </c>
    </row>
    <row r="1235" ht="12" customHeight="1">
      <c r="A1235" s="30" t="inlineStr">
        <is>
          <t>ITG</t>
        </is>
      </c>
      <c r="B1235" s="30" t="inlineStr">
        <is>
          <t>Itaguai</t>
        </is>
      </c>
      <c r="C1235" s="30" t="n">
        <v>79701777</v>
      </c>
      <c r="D1235" s="30">
        <f>"16506823000123"</f>
        <v/>
      </c>
      <c r="E1235" s="30" t="inlineStr">
        <is>
          <t>EXPRESSO COMERCIO ATACADISTA DE ROUPAS PROFISSIONAIS E SERVIÇOS DE ENTREGA RÁPIDA EIRELI</t>
        </is>
      </c>
      <c r="F1235" s="40" t="n">
        <v>22976.2</v>
      </c>
      <c r="G1235" s="40" t="n">
        <v>0</v>
      </c>
      <c r="H1235" s="40" t="n">
        <v>0</v>
      </c>
      <c r="I1235" s="40" t="n">
        <v>0</v>
      </c>
      <c r="J1235" s="40" t="n">
        <v>0</v>
      </c>
      <c r="K1235" s="40" t="n">
        <v>0</v>
      </c>
      <c r="L1235" s="40" t="n">
        <v>0</v>
      </c>
    </row>
    <row r="1236" ht="12" customHeight="1">
      <c r="A1236" s="30" t="inlineStr">
        <is>
          <t>ITG</t>
        </is>
      </c>
      <c r="B1236" s="30" t="inlineStr">
        <is>
          <t>Itaguai</t>
        </is>
      </c>
      <c r="C1236" s="30" t="n">
        <v>79702722</v>
      </c>
      <c r="D1236" s="30">
        <f>"16101133000194"</f>
        <v/>
      </c>
      <c r="E1236" s="30" t="inlineStr">
        <is>
          <t>MERCEARIA SUPERANGRA LTDA</t>
        </is>
      </c>
      <c r="F1236" s="40" t="n">
        <v>4199774.62</v>
      </c>
      <c r="G1236" s="40" t="n">
        <v>0</v>
      </c>
      <c r="H1236" s="40" t="n">
        <v>0</v>
      </c>
      <c r="I1236" s="40" t="n">
        <v>0</v>
      </c>
      <c r="J1236" s="40" t="n">
        <v>0</v>
      </c>
      <c r="K1236" s="40" t="n">
        <v>0</v>
      </c>
      <c r="L1236" s="40" t="n">
        <v>0</v>
      </c>
    </row>
    <row r="1237" ht="12" customHeight="1">
      <c r="A1237" s="30" t="inlineStr">
        <is>
          <t>ITG</t>
        </is>
      </c>
      <c r="B1237" s="30" t="inlineStr">
        <is>
          <t>Itaguai</t>
        </is>
      </c>
      <c r="C1237" s="30" t="n">
        <v>79708798</v>
      </c>
      <c r="D1237" s="30">
        <f>"16566597000176"</f>
        <v/>
      </c>
      <c r="E1237" s="30" t="inlineStr">
        <is>
          <t>RESTAURANTE ALEVAN LTDA ME</t>
        </is>
      </c>
      <c r="F1237" s="40" t="n">
        <v>0</v>
      </c>
      <c r="G1237" s="40" t="n">
        <v>0</v>
      </c>
      <c r="H1237" s="40" t="n">
        <v>0</v>
      </c>
      <c r="I1237" s="40" t="n">
        <v>0</v>
      </c>
      <c r="J1237" s="40" t="n">
        <v>0</v>
      </c>
      <c r="K1237" s="40" t="n">
        <v>0</v>
      </c>
      <c r="L1237" s="40" t="n">
        <v>0</v>
      </c>
    </row>
    <row r="1238" ht="12" customHeight="1">
      <c r="A1238" s="30" t="inlineStr">
        <is>
          <t>ITG</t>
        </is>
      </c>
      <c r="B1238" s="30" t="inlineStr">
        <is>
          <t>Itaguai</t>
        </is>
      </c>
      <c r="C1238" s="30" t="n">
        <v>79710555</v>
      </c>
      <c r="D1238" s="30">
        <f>"16457523000100"</f>
        <v/>
      </c>
      <c r="E1238" s="30" t="inlineStr">
        <is>
          <t>TRANSPORTADORA HERMINIO DE CARGAS E PRODUTOS PERIGOSOS LTDA - ME</t>
        </is>
      </c>
      <c r="F1238" s="40" t="n">
        <v>0</v>
      </c>
      <c r="G1238" s="40" t="n">
        <v>0</v>
      </c>
      <c r="H1238" s="40" t="n">
        <v>0</v>
      </c>
      <c r="I1238" s="40" t="n">
        <v>0</v>
      </c>
      <c r="J1238" s="40" t="n">
        <v>0</v>
      </c>
      <c r="K1238" s="40" t="n">
        <v>0</v>
      </c>
      <c r="L1238" s="40" t="n">
        <v>0</v>
      </c>
    </row>
    <row r="1239" ht="12" customHeight="1">
      <c r="A1239" s="30" t="inlineStr">
        <is>
          <t>ITG</t>
        </is>
      </c>
      <c r="B1239" s="30" t="inlineStr">
        <is>
          <t>Itaguai</t>
        </is>
      </c>
      <c r="C1239" s="30" t="n">
        <v>79714429</v>
      </c>
      <c r="D1239" s="30">
        <f>"16559240000160"</f>
        <v/>
      </c>
      <c r="E1239" s="30" t="inlineStr">
        <is>
          <t>MC SERVICOS AUTOMOTIVOS LTDA ME</t>
        </is>
      </c>
      <c r="F1239" s="40" t="n">
        <v>0</v>
      </c>
      <c r="G1239" s="40" t="n">
        <v>0</v>
      </c>
      <c r="H1239" s="40" t="n">
        <v>0</v>
      </c>
      <c r="I1239" s="40" t="n">
        <v>0</v>
      </c>
      <c r="J1239" s="40" t="n">
        <v>0</v>
      </c>
      <c r="K1239" s="40" t="n">
        <v>0</v>
      </c>
      <c r="L1239" s="40" t="n">
        <v>0</v>
      </c>
    </row>
    <row r="1240" ht="12" customHeight="1">
      <c r="A1240" s="30" t="inlineStr">
        <is>
          <t>ITG</t>
        </is>
      </c>
      <c r="B1240" s="30" t="inlineStr">
        <is>
          <t>Itaguai</t>
        </is>
      </c>
      <c r="C1240" s="30" t="n">
        <v>79720631</v>
      </c>
      <c r="D1240" s="30">
        <f>"13172241000160"</f>
        <v/>
      </c>
      <c r="E1240" s="30" t="inlineStr">
        <is>
          <t>TULIP ITAGUAI HOTELARIA SPE S A</t>
        </is>
      </c>
      <c r="F1240" s="40" t="n">
        <v>0</v>
      </c>
      <c r="G1240" s="40" t="n">
        <v>0</v>
      </c>
      <c r="H1240" s="40" t="n">
        <v>46828.81</v>
      </c>
      <c r="I1240" s="40" t="n">
        <v>0</v>
      </c>
      <c r="J1240" s="40" t="n">
        <v>0</v>
      </c>
      <c r="K1240" s="40" t="n">
        <v>0</v>
      </c>
      <c r="L1240" s="40" t="n">
        <v>0</v>
      </c>
    </row>
    <row r="1241" ht="12" customHeight="1">
      <c r="A1241" s="30" t="inlineStr">
        <is>
          <t>ITG</t>
        </is>
      </c>
      <c r="B1241" s="30" t="inlineStr">
        <is>
          <t>Itaguai</t>
        </is>
      </c>
      <c r="C1241" s="30" t="n">
        <v>79730980</v>
      </c>
      <c r="D1241" s="30">
        <f>"02905424006676"</f>
        <v/>
      </c>
      <c r="E1241" s="30" t="inlineStr">
        <is>
          <t>AGV LOGISTICA S A</t>
        </is>
      </c>
      <c r="F1241" s="40" t="n">
        <v>0</v>
      </c>
      <c r="G1241" s="40" t="n">
        <v>0</v>
      </c>
      <c r="H1241" s="40" t="n">
        <v>0</v>
      </c>
      <c r="I1241" s="40" t="n">
        <v>0</v>
      </c>
      <c r="J1241" s="40" t="n">
        <v>50.4</v>
      </c>
      <c r="K1241" s="40" t="n">
        <v>0</v>
      </c>
      <c r="L1241" s="40" t="n">
        <v>0</v>
      </c>
    </row>
    <row r="1242" ht="12" customHeight="1">
      <c r="A1242" s="30" t="inlineStr">
        <is>
          <t>ITG</t>
        </is>
      </c>
      <c r="B1242" s="30" t="inlineStr">
        <is>
          <t>Itaguai</t>
        </is>
      </c>
      <c r="C1242" s="30" t="n">
        <v>79734438</v>
      </c>
      <c r="D1242" s="30">
        <f>"09216022000168"</f>
        <v/>
      </c>
      <c r="E1242" s="30" t="inlineStr">
        <is>
          <t>AGS LOCACAO DE MAQUINAS E EQUIPAMENTOS EIRELI</t>
        </is>
      </c>
      <c r="F1242" s="40" t="n">
        <v>0</v>
      </c>
      <c r="G1242" s="40" t="n">
        <v>0</v>
      </c>
      <c r="H1242" s="40" t="n">
        <v>0</v>
      </c>
      <c r="I1242" s="40" t="n">
        <v>0</v>
      </c>
      <c r="J1242" s="40" t="n">
        <v>0</v>
      </c>
      <c r="K1242" s="40" t="n">
        <v>0</v>
      </c>
      <c r="L1242" s="40" t="n">
        <v>0</v>
      </c>
    </row>
    <row r="1243" ht="12" customHeight="1">
      <c r="A1243" s="30" t="inlineStr">
        <is>
          <t>ITG</t>
        </is>
      </c>
      <c r="B1243" s="30" t="inlineStr">
        <is>
          <t>Itaguai</t>
        </is>
      </c>
      <c r="C1243" s="30" t="n">
        <v>79735230</v>
      </c>
      <c r="D1243" s="30">
        <f>"02737654004700"</f>
        <v/>
      </c>
      <c r="E1243" s="30" t="inlineStr">
        <is>
          <t>TAC FRANQUIA INDUSTRIA E COMERCIO LTDA</t>
        </is>
      </c>
      <c r="F1243" s="40" t="n">
        <v>616851.36</v>
      </c>
      <c r="G1243" s="40" t="n">
        <v>163974.91</v>
      </c>
      <c r="H1243" s="40" t="n">
        <v>0</v>
      </c>
      <c r="I1243" s="40" t="n">
        <v>0</v>
      </c>
      <c r="J1243" s="40" t="n">
        <v>0</v>
      </c>
      <c r="K1243" s="40" t="n">
        <v>0</v>
      </c>
      <c r="L1243" s="40" t="n">
        <v>0</v>
      </c>
    </row>
    <row r="1244" ht="12" customHeight="1">
      <c r="A1244" s="30" t="inlineStr">
        <is>
          <t>ITG</t>
        </is>
      </c>
      <c r="B1244" s="30" t="inlineStr">
        <is>
          <t>Itaguai</t>
        </is>
      </c>
      <c r="C1244" s="30" t="n">
        <v>79738050</v>
      </c>
      <c r="D1244" s="30">
        <f>"15291437000107"</f>
        <v/>
      </c>
      <c r="E1244" s="30" t="inlineStr">
        <is>
          <t>IDEAL SOLUCOES E SERVICOS EIRELI ME</t>
        </is>
      </c>
      <c r="F1244" s="40" t="n">
        <v>0</v>
      </c>
      <c r="G1244" s="40" t="n">
        <v>0</v>
      </c>
      <c r="H1244" s="40" t="n">
        <v>0</v>
      </c>
      <c r="I1244" s="40" t="n">
        <v>0</v>
      </c>
      <c r="J1244" s="40" t="n">
        <v>0</v>
      </c>
      <c r="K1244" s="40" t="n">
        <v>0</v>
      </c>
      <c r="L1244" s="40" t="n">
        <v>0</v>
      </c>
    </row>
    <row r="1245" ht="12" customHeight="1">
      <c r="A1245" s="30" t="inlineStr">
        <is>
          <t>ITG</t>
        </is>
      </c>
      <c r="B1245" s="30" t="inlineStr">
        <is>
          <t>Itaguai</t>
        </is>
      </c>
      <c r="C1245" s="30" t="n">
        <v>79741582</v>
      </c>
      <c r="D1245" s="30">
        <f>"16672790000191"</f>
        <v/>
      </c>
      <c r="E1245" s="30" t="inlineStr">
        <is>
          <t>A D AZAMOR EDITORA E COMERCIO DE JORNAIS ME</t>
        </is>
      </c>
      <c r="F1245" s="40" t="n">
        <v>0</v>
      </c>
      <c r="G1245" s="40" t="n">
        <v>0</v>
      </c>
      <c r="H1245" s="40" t="n">
        <v>280</v>
      </c>
      <c r="I1245" s="40" t="n">
        <v>0</v>
      </c>
      <c r="J1245" s="40" t="n">
        <v>0</v>
      </c>
      <c r="K1245" s="40" t="n">
        <v>0</v>
      </c>
      <c r="L1245" s="40" t="n">
        <v>0</v>
      </c>
    </row>
    <row r="1246" ht="12" customHeight="1">
      <c r="A1246" s="30" t="inlineStr">
        <is>
          <t>ITG</t>
        </is>
      </c>
      <c r="B1246" s="30" t="inlineStr">
        <is>
          <t>Itaguai</t>
        </is>
      </c>
      <c r="C1246" s="30" t="n">
        <v>79743828</v>
      </c>
      <c r="D1246" s="30">
        <f>"10827182000203"</f>
        <v/>
      </c>
      <c r="E1246" s="30" t="inlineStr">
        <is>
          <t>ITAGUAI CONSTRUCOES NAVAIS S/A</t>
        </is>
      </c>
      <c r="F1246" s="40" t="n">
        <v>0</v>
      </c>
      <c r="G1246" s="40" t="n">
        <v>0</v>
      </c>
      <c r="H1246" s="40" t="n">
        <v>0</v>
      </c>
      <c r="I1246" s="40" t="n">
        <v>0</v>
      </c>
      <c r="J1246" s="40" t="n">
        <v>0</v>
      </c>
      <c r="K1246" s="40" t="n">
        <v>0</v>
      </c>
      <c r="L1246" s="40" t="n">
        <v>0</v>
      </c>
    </row>
    <row r="1247" ht="12" customHeight="1">
      <c r="A1247" s="30" t="inlineStr">
        <is>
          <t>ITG</t>
        </is>
      </c>
      <c r="B1247" s="30" t="inlineStr">
        <is>
          <t>Itaguai</t>
        </is>
      </c>
      <c r="C1247" s="30" t="n">
        <v>79748277</v>
      </c>
      <c r="D1247" s="30">
        <f>"78391612004137"</f>
        <v/>
      </c>
      <c r="E1247" s="30" t="inlineStr">
        <is>
          <t>IBQ - INDUSTRIAS QUIMICAS S/A</t>
        </is>
      </c>
      <c r="F1247" s="40" t="n">
        <v>2103.51</v>
      </c>
      <c r="G1247" s="40" t="n">
        <v>0</v>
      </c>
      <c r="H1247" s="40" t="n">
        <v>0</v>
      </c>
      <c r="I1247" s="40" t="n">
        <v>0</v>
      </c>
      <c r="J1247" s="40" t="n">
        <v>0</v>
      </c>
      <c r="K1247" s="40" t="n">
        <v>0</v>
      </c>
      <c r="L1247" s="40" t="n">
        <v>0</v>
      </c>
    </row>
    <row r="1248" ht="12" customHeight="1">
      <c r="A1248" s="30" t="inlineStr">
        <is>
          <t>ITG</t>
        </is>
      </c>
      <c r="B1248" s="30" t="inlineStr">
        <is>
          <t>Itaguai</t>
        </is>
      </c>
      <c r="C1248" s="30" t="n">
        <v>79757055</v>
      </c>
      <c r="D1248" s="30">
        <f>"20468310010024"</f>
        <v/>
      </c>
      <c r="E1248" s="30" t="inlineStr">
        <is>
          <t>TORA TRANSPORTES INDUSTRIAIS LTDA</t>
        </is>
      </c>
      <c r="F1248" s="40" t="n">
        <v>216340.35</v>
      </c>
      <c r="G1248" s="40" t="n">
        <v>174517.09</v>
      </c>
      <c r="H1248" s="40" t="n">
        <v>78773.60000000001</v>
      </c>
      <c r="I1248" s="40" t="n">
        <v>132631.06</v>
      </c>
      <c r="J1248" s="40" t="n">
        <v>125532.85</v>
      </c>
      <c r="K1248" s="40" t="n">
        <v>27091.12</v>
      </c>
      <c r="L1248" s="40" t="n">
        <v>101641.77</v>
      </c>
    </row>
    <row r="1249" ht="12" customHeight="1">
      <c r="A1249" s="30" t="inlineStr">
        <is>
          <t>ITG</t>
        </is>
      </c>
      <c r="B1249" s="30" t="inlineStr">
        <is>
          <t>Itaguai</t>
        </is>
      </c>
      <c r="C1249" s="30" t="n">
        <v>79757357</v>
      </c>
      <c r="D1249" s="30">
        <f>"16865493000162"</f>
        <v/>
      </c>
      <c r="E1249" s="30" t="inlineStr">
        <is>
          <t>AGRO VERDE COOPERATIVA DE PRODUTORES RURAIS LTDA</t>
        </is>
      </c>
      <c r="F1249" s="40" t="n">
        <v>2004496.98</v>
      </c>
      <c r="G1249" s="40" t="n">
        <v>0</v>
      </c>
      <c r="H1249" s="40" t="n">
        <v>0</v>
      </c>
      <c r="I1249" s="40" t="n">
        <v>0</v>
      </c>
      <c r="J1249" s="40" t="n">
        <v>0</v>
      </c>
      <c r="K1249" s="40" t="n">
        <v>0</v>
      </c>
      <c r="L1249" s="40" t="n">
        <v>0</v>
      </c>
    </row>
    <row r="1250" ht="12" customHeight="1">
      <c r="A1250" s="30" t="inlineStr">
        <is>
          <t>ITG</t>
        </is>
      </c>
      <c r="B1250" s="30" t="inlineStr">
        <is>
          <t>Itaguai</t>
        </is>
      </c>
      <c r="C1250" s="30" t="n">
        <v>79769029</v>
      </c>
      <c r="D1250" s="30">
        <f>"00419947000131"</f>
        <v/>
      </c>
      <c r="E1250" s="30" t="inlineStr">
        <is>
          <t>AC NA ROCHA VEICULOS EIRELI</t>
        </is>
      </c>
      <c r="F1250" s="40" t="n">
        <v>0</v>
      </c>
      <c r="G1250" s="40" t="n">
        <v>0</v>
      </c>
      <c r="H1250" s="40" t="n">
        <v>0</v>
      </c>
      <c r="I1250" s="40" t="n">
        <v>0</v>
      </c>
      <c r="J1250" s="40" t="n">
        <v>0</v>
      </c>
      <c r="K1250" s="40" t="n">
        <v>0</v>
      </c>
      <c r="L1250" s="40" t="n">
        <v>0</v>
      </c>
    </row>
    <row r="1251" ht="12" customHeight="1">
      <c r="A1251" s="30" t="inlineStr">
        <is>
          <t>ITG</t>
        </is>
      </c>
      <c r="B1251" s="30" t="inlineStr">
        <is>
          <t>Itaguai</t>
        </is>
      </c>
      <c r="C1251" s="30" t="n">
        <v>79774820</v>
      </c>
      <c r="D1251" s="30">
        <f>"16971064000170"</f>
        <v/>
      </c>
      <c r="E1251" s="30" t="inlineStr">
        <is>
          <t>M C DOS SANTOS MAQUINA E TERRAPLANAGEM EIRELI</t>
        </is>
      </c>
      <c r="F1251" s="40" t="n">
        <v>0</v>
      </c>
      <c r="G1251" s="40" t="n">
        <v>0</v>
      </c>
      <c r="H1251" s="40" t="n">
        <v>0</v>
      </c>
      <c r="I1251" s="40" t="n">
        <v>0</v>
      </c>
      <c r="J1251" s="40" t="n">
        <v>0</v>
      </c>
      <c r="K1251" s="40" t="n">
        <v>0</v>
      </c>
      <c r="L1251" s="40" t="n">
        <v>0</v>
      </c>
    </row>
    <row r="1252" ht="12" customHeight="1">
      <c r="A1252" s="30" t="inlineStr">
        <is>
          <t>ITG</t>
        </is>
      </c>
      <c r="B1252" s="30" t="inlineStr">
        <is>
          <t>Itaguai</t>
        </is>
      </c>
      <c r="C1252" s="30" t="n">
        <v>79781754</v>
      </c>
      <c r="D1252" s="30">
        <f>"17056562000150"</f>
        <v/>
      </c>
      <c r="E1252" s="30" t="inlineStr">
        <is>
          <t>TRANSCOMB TRANSPORTADORA LTDA</t>
        </is>
      </c>
      <c r="F1252" s="40" t="n">
        <v>0</v>
      </c>
      <c r="G1252" s="40" t="n">
        <v>0</v>
      </c>
      <c r="H1252" s="40" t="n">
        <v>0</v>
      </c>
      <c r="I1252" s="40" t="n">
        <v>0</v>
      </c>
      <c r="J1252" s="40" t="n">
        <v>0</v>
      </c>
      <c r="K1252" s="40" t="n">
        <v>0</v>
      </c>
      <c r="L1252" s="40" t="n">
        <v>0</v>
      </c>
    </row>
    <row r="1253" ht="12" customHeight="1">
      <c r="A1253" s="30" t="inlineStr">
        <is>
          <t>ITG</t>
        </is>
      </c>
      <c r="B1253" s="30" t="inlineStr">
        <is>
          <t>Itaguai</t>
        </is>
      </c>
      <c r="C1253" s="30" t="n">
        <v>79789240</v>
      </c>
      <c r="D1253" s="30">
        <f>"17095502000146"</f>
        <v/>
      </c>
      <c r="E1253" s="30" t="inlineStr">
        <is>
          <t>A ALPHA MANUTENCAO E MONTAGEM LTDA ME</t>
        </is>
      </c>
      <c r="F1253" s="40" t="n">
        <v>0</v>
      </c>
      <c r="G1253" s="40" t="n">
        <v>0</v>
      </c>
      <c r="H1253" s="40" t="n">
        <v>0</v>
      </c>
      <c r="I1253" s="40" t="n">
        <v>0</v>
      </c>
      <c r="J1253" s="40" t="n">
        <v>0</v>
      </c>
      <c r="K1253" s="40" t="n">
        <v>0</v>
      </c>
      <c r="L1253" s="40" t="n">
        <v>0</v>
      </c>
    </row>
    <row r="1254" ht="12" customHeight="1">
      <c r="A1254" s="30" t="inlineStr">
        <is>
          <t>ITG</t>
        </is>
      </c>
      <c r="B1254" s="30" t="inlineStr">
        <is>
          <t>Itaguai</t>
        </is>
      </c>
      <c r="C1254" s="30" t="n">
        <v>79789410</v>
      </c>
      <c r="D1254" s="30">
        <f>"13725103000241"</f>
        <v/>
      </c>
      <c r="E1254" s="30" t="inlineStr">
        <is>
          <t>INTALOG LOGISTICA TRANSPORTES LTDA</t>
        </is>
      </c>
      <c r="F1254" s="40" t="n">
        <v>0</v>
      </c>
      <c r="G1254" s="40" t="n">
        <v>0</v>
      </c>
      <c r="H1254" s="40" t="n">
        <v>0</v>
      </c>
      <c r="I1254" s="40" t="n">
        <v>0</v>
      </c>
      <c r="J1254" s="40" t="n">
        <v>0</v>
      </c>
      <c r="K1254" s="40" t="n">
        <v>0</v>
      </c>
      <c r="L1254" s="40" t="n">
        <v>0</v>
      </c>
    </row>
    <row r="1255" ht="12" customHeight="1">
      <c r="A1255" s="30" t="inlineStr">
        <is>
          <t>ITG</t>
        </is>
      </c>
      <c r="B1255" s="30" t="inlineStr">
        <is>
          <t>Itaguai</t>
        </is>
      </c>
      <c r="C1255" s="30" t="n">
        <v>79792349</v>
      </c>
      <c r="D1255" s="30">
        <f>"11875065000440"</f>
        <v/>
      </c>
      <c r="E1255" s="30" t="inlineStr">
        <is>
          <t>COMERCIAL ESTRELA SANTA CRUZ LTDA</t>
        </is>
      </c>
      <c r="F1255" s="40" t="n">
        <v>2023910.91</v>
      </c>
      <c r="G1255" s="40" t="n">
        <v>1322256.01</v>
      </c>
      <c r="H1255" s="40" t="n">
        <v>1489473.51</v>
      </c>
      <c r="I1255" s="40" t="n">
        <v>1186723.45</v>
      </c>
      <c r="J1255" s="40" t="n">
        <v>1431669.7</v>
      </c>
      <c r="K1255" s="40" t="n">
        <v>567552.75</v>
      </c>
      <c r="L1255" s="40" t="n">
        <v>0</v>
      </c>
    </row>
    <row r="1256" ht="12" customHeight="1">
      <c r="A1256" s="30" t="inlineStr">
        <is>
          <t>ITG</t>
        </is>
      </c>
      <c r="B1256" s="30" t="inlineStr">
        <is>
          <t>Itaguai</t>
        </is>
      </c>
      <c r="C1256" s="30" t="n">
        <v>79798177</v>
      </c>
      <c r="D1256" s="30">
        <f>"14474037000166"</f>
        <v/>
      </c>
      <c r="E1256" s="30" t="inlineStr">
        <is>
          <t>D R BARBOSA SUPLEMENTOS ME</t>
        </is>
      </c>
      <c r="F1256" s="40" t="n">
        <v>0</v>
      </c>
      <c r="G1256" s="40" t="n">
        <v>0</v>
      </c>
      <c r="H1256" s="40" t="n">
        <v>0</v>
      </c>
      <c r="I1256" s="40" t="n">
        <v>0</v>
      </c>
      <c r="J1256" s="40" t="n">
        <v>0</v>
      </c>
      <c r="K1256" s="40" t="n">
        <v>0</v>
      </c>
      <c r="L1256" s="40" t="n">
        <v>0</v>
      </c>
    </row>
    <row r="1257" ht="12" customHeight="1">
      <c r="A1257" s="30" t="inlineStr">
        <is>
          <t>ITG</t>
        </is>
      </c>
      <c r="B1257" s="30" t="inlineStr">
        <is>
          <t>Itaguai</t>
        </is>
      </c>
      <c r="C1257" s="30" t="n">
        <v>79798460</v>
      </c>
      <c r="D1257" s="30">
        <f>"05597965000470"</f>
        <v/>
      </c>
      <c r="E1257" s="30" t="inlineStr">
        <is>
          <t>KR TRANSPORTES E LOGISTICA LTDA</t>
        </is>
      </c>
      <c r="F1257" s="40" t="n">
        <v>0</v>
      </c>
      <c r="G1257" s="40" t="n">
        <v>0</v>
      </c>
      <c r="H1257" s="40" t="n">
        <v>0</v>
      </c>
      <c r="I1257" s="40" t="n">
        <v>0</v>
      </c>
      <c r="J1257" s="40" t="n">
        <v>0</v>
      </c>
      <c r="K1257" s="40" t="n">
        <v>90.14</v>
      </c>
      <c r="L1257" s="40" t="n">
        <v>374.37</v>
      </c>
    </row>
    <row r="1258" ht="12" customHeight="1">
      <c r="A1258" s="30" t="inlineStr">
        <is>
          <t>ITG</t>
        </is>
      </c>
      <c r="B1258" s="30" t="inlineStr">
        <is>
          <t>Itaguai</t>
        </is>
      </c>
      <c r="C1258" s="30" t="n">
        <v>79807486</v>
      </c>
      <c r="D1258" s="30">
        <f>"16883862000140"</f>
        <v/>
      </c>
      <c r="E1258" s="30" t="inlineStr">
        <is>
          <t>L C M ROMANO PERFUMARIA - EIRELI - EPP</t>
        </is>
      </c>
      <c r="F1258" s="40" t="n">
        <v>963380.24</v>
      </c>
      <c r="G1258" s="40" t="n">
        <v>971374.35</v>
      </c>
      <c r="H1258" s="40" t="n">
        <v>1120732.82</v>
      </c>
      <c r="I1258" s="40" t="n">
        <v>1484337.66</v>
      </c>
      <c r="J1258" s="40" t="n">
        <v>1892174.49</v>
      </c>
      <c r="K1258" s="40" t="n">
        <v>2800852.29</v>
      </c>
      <c r="L1258" s="40" t="n">
        <v>3698050.54</v>
      </c>
    </row>
    <row r="1259" ht="12" customHeight="1">
      <c r="A1259" s="30" t="inlineStr">
        <is>
          <t>ITG</t>
        </is>
      </c>
      <c r="B1259" s="30" t="inlineStr">
        <is>
          <t>Itaguai</t>
        </is>
      </c>
      <c r="C1259" s="30" t="n">
        <v>79810169</v>
      </c>
      <c r="D1259" s="30">
        <f>"01838723041311"</f>
        <v/>
      </c>
      <c r="E1259" s="30" t="inlineStr">
        <is>
          <t>BRF S A</t>
        </is>
      </c>
      <c r="F1259" s="40" t="n">
        <v>0</v>
      </c>
      <c r="G1259" s="40" t="n">
        <v>0</v>
      </c>
      <c r="H1259" s="40" t="n">
        <v>0</v>
      </c>
      <c r="I1259" s="40" t="n">
        <v>0</v>
      </c>
      <c r="J1259" s="40" t="n">
        <v>0</v>
      </c>
      <c r="K1259" s="40" t="n">
        <v>705109.42</v>
      </c>
      <c r="L1259" s="40" t="n">
        <v>1678082.3</v>
      </c>
    </row>
    <row r="1260" ht="12" customHeight="1">
      <c r="A1260" s="30" t="inlineStr">
        <is>
          <t>ITG</t>
        </is>
      </c>
      <c r="B1260" s="30" t="inlineStr">
        <is>
          <t>Itaguai</t>
        </is>
      </c>
      <c r="C1260" s="30" t="n">
        <v>79812927</v>
      </c>
      <c r="D1260" s="30">
        <f>"12591548000213"</f>
        <v/>
      </c>
      <c r="E1260" s="30" t="inlineStr">
        <is>
          <t>EFX TRANSPORTES E LOGISTICA LTDA</t>
        </is>
      </c>
      <c r="F1260" s="40" t="n">
        <v>173.68</v>
      </c>
      <c r="G1260" s="40" t="n">
        <v>13678.07</v>
      </c>
      <c r="H1260" s="40" t="n">
        <v>0</v>
      </c>
      <c r="I1260" s="40" t="n">
        <v>0</v>
      </c>
      <c r="J1260" s="40" t="n">
        <v>988.5700000000001</v>
      </c>
      <c r="K1260" s="40" t="n">
        <v>110.98</v>
      </c>
      <c r="L1260" s="40" t="n">
        <v>0</v>
      </c>
    </row>
    <row r="1261" ht="12" customHeight="1">
      <c r="A1261" s="30" t="inlineStr">
        <is>
          <t>ITG</t>
        </is>
      </c>
      <c r="B1261" s="30" t="inlineStr">
        <is>
          <t>Itaguai</t>
        </is>
      </c>
      <c r="C1261" s="30" t="n">
        <v>79813630</v>
      </c>
      <c r="D1261" s="30">
        <f>"14475692000139"</f>
        <v/>
      </c>
      <c r="E1261" s="30" t="inlineStr">
        <is>
          <t>LX INSTALAÇÕES E MONTAGEM EIRELI</t>
        </is>
      </c>
      <c r="F1261" s="40" t="n">
        <v>0</v>
      </c>
      <c r="G1261" s="40" t="n">
        <v>0</v>
      </c>
      <c r="H1261" s="40" t="n">
        <v>0</v>
      </c>
      <c r="I1261" s="40" t="n">
        <v>0</v>
      </c>
      <c r="J1261" s="40" t="n">
        <v>0</v>
      </c>
      <c r="K1261" s="40" t="n">
        <v>0</v>
      </c>
      <c r="L1261" s="40" t="n">
        <v>0</v>
      </c>
    </row>
    <row r="1262" ht="12" customHeight="1">
      <c r="A1262" s="30" t="inlineStr">
        <is>
          <t>ITG</t>
        </is>
      </c>
      <c r="B1262" s="30" t="inlineStr">
        <is>
          <t>Itaguai</t>
        </is>
      </c>
      <c r="C1262" s="30" t="n">
        <v>79813826</v>
      </c>
      <c r="D1262" s="30">
        <f>"13872808000100"</f>
        <v/>
      </c>
      <c r="E1262" s="30" t="inlineStr">
        <is>
          <t>G R V RESTAURANTES</t>
        </is>
      </c>
      <c r="F1262" s="40" t="n">
        <v>0</v>
      </c>
      <c r="G1262" s="40" t="n">
        <v>0</v>
      </c>
      <c r="H1262" s="40" t="n">
        <v>0</v>
      </c>
      <c r="I1262" s="40" t="n">
        <v>0</v>
      </c>
      <c r="J1262" s="40" t="n">
        <v>0</v>
      </c>
      <c r="K1262" s="40" t="n">
        <v>0</v>
      </c>
      <c r="L1262" s="40" t="n">
        <v>0</v>
      </c>
    </row>
    <row r="1263" ht="12" customHeight="1">
      <c r="A1263" s="30" t="inlineStr">
        <is>
          <t>ITG</t>
        </is>
      </c>
      <c r="B1263" s="30" t="inlineStr">
        <is>
          <t>Itaguai</t>
        </is>
      </c>
      <c r="C1263" s="30" t="n">
        <v>79814024</v>
      </c>
      <c r="D1263" s="30">
        <f>"12500309000200"</f>
        <v/>
      </c>
      <c r="E1263" s="30" t="inlineStr">
        <is>
          <t>FLAVIA DA SILVA ZAMBONI CABELEIREIRA</t>
        </is>
      </c>
      <c r="F1263" s="40" t="n">
        <v>0</v>
      </c>
      <c r="G1263" s="40" t="n">
        <v>0</v>
      </c>
      <c r="H1263" s="40" t="n">
        <v>0</v>
      </c>
      <c r="I1263" s="40" t="n">
        <v>0</v>
      </c>
      <c r="J1263" s="40" t="n">
        <v>0</v>
      </c>
      <c r="K1263" s="40" t="n">
        <v>0</v>
      </c>
      <c r="L1263" s="40" t="n">
        <v>0</v>
      </c>
    </row>
    <row r="1264" ht="12" customHeight="1">
      <c r="A1264" s="30" t="inlineStr">
        <is>
          <t>ITG</t>
        </is>
      </c>
      <c r="B1264" s="30" t="inlineStr">
        <is>
          <t>Itaguai</t>
        </is>
      </c>
      <c r="C1264" s="30" t="n">
        <v>79816930</v>
      </c>
      <c r="D1264" s="30">
        <f>"05423963013361"</f>
        <v/>
      </c>
      <c r="E1264" s="30" t="inlineStr">
        <is>
          <t>OI MOVEL S.A. - EM RECUPERACAO JUDICIAL</t>
        </is>
      </c>
      <c r="F1264" s="40" t="n">
        <v>5558106.57</v>
      </c>
      <c r="G1264" s="40" t="n">
        <v>5070760.44</v>
      </c>
      <c r="H1264" s="40" t="n">
        <v>4597446.71</v>
      </c>
      <c r="I1264" s="40" t="n">
        <v>4666436.38</v>
      </c>
      <c r="J1264" s="40" t="n">
        <v>4872480.4</v>
      </c>
      <c r="K1264" s="40" t="n">
        <v>394639.95</v>
      </c>
      <c r="L1264" s="40" t="n">
        <v>0</v>
      </c>
    </row>
    <row r="1265" ht="12" customHeight="1">
      <c r="A1265" s="30" t="inlineStr">
        <is>
          <t>ITG</t>
        </is>
      </c>
      <c r="B1265" s="30" t="inlineStr">
        <is>
          <t>Itaguai</t>
        </is>
      </c>
      <c r="C1265" s="30" t="n">
        <v>79817988</v>
      </c>
      <c r="D1265" s="30">
        <f>"11146466007129"</f>
        <v/>
      </c>
      <c r="E1265" s="30" t="inlineStr">
        <is>
          <t>FLORIPA INDUSTRIA E COMERCIO DE ROUPAS LTDA</t>
        </is>
      </c>
      <c r="F1265" s="40" t="n">
        <v>313550.79</v>
      </c>
      <c r="G1265" s="40" t="n">
        <v>0</v>
      </c>
      <c r="H1265" s="40" t="n">
        <v>0</v>
      </c>
      <c r="I1265" s="40" t="n">
        <v>0</v>
      </c>
      <c r="J1265" s="40" t="n">
        <v>1345713.81</v>
      </c>
      <c r="K1265" s="40" t="n">
        <v>281629.82</v>
      </c>
      <c r="L1265" s="40" t="n">
        <v>1551091.26</v>
      </c>
    </row>
    <row r="1266" ht="12" customHeight="1">
      <c r="A1266" s="30" t="inlineStr">
        <is>
          <t>ITG</t>
        </is>
      </c>
      <c r="B1266" s="30" t="inlineStr">
        <is>
          <t>Itaguai</t>
        </is>
      </c>
      <c r="C1266" s="30" t="n">
        <v>79822523</v>
      </c>
      <c r="D1266" s="30">
        <f>"17134890000127"</f>
        <v/>
      </c>
      <c r="E1266" s="30" t="inlineStr">
        <is>
          <t>ACOFERRO COMERCIO DE METAIS LTDA - ME</t>
        </is>
      </c>
      <c r="F1266" s="40" t="n">
        <v>0</v>
      </c>
      <c r="G1266" s="40" t="n">
        <v>0</v>
      </c>
      <c r="H1266" s="40" t="n">
        <v>0</v>
      </c>
      <c r="I1266" s="40" t="n">
        <v>0</v>
      </c>
      <c r="J1266" s="40" t="n">
        <v>958274.05</v>
      </c>
      <c r="K1266" s="40" t="n">
        <v>1092614.95</v>
      </c>
      <c r="L1266" s="40" t="n">
        <v>898447.98</v>
      </c>
    </row>
    <row r="1267" ht="12" customHeight="1">
      <c r="A1267" s="30" t="inlineStr">
        <is>
          <t>ITG</t>
        </is>
      </c>
      <c r="B1267" s="30" t="inlineStr">
        <is>
          <t>Itaguai</t>
        </is>
      </c>
      <c r="C1267" s="30" t="n">
        <v>79823058</v>
      </c>
      <c r="D1267" s="30">
        <f>"17245072000100"</f>
        <v/>
      </c>
      <c r="E1267" s="30" t="inlineStr">
        <is>
          <t>J.S TRANSPORTE E SERVIÇO LTDA</t>
        </is>
      </c>
      <c r="F1267" s="40" t="n">
        <v>0</v>
      </c>
      <c r="G1267" s="40" t="n">
        <v>0</v>
      </c>
      <c r="H1267" s="40" t="n">
        <v>0</v>
      </c>
      <c r="I1267" s="40" t="n">
        <v>0</v>
      </c>
      <c r="J1267" s="40" t="n">
        <v>0</v>
      </c>
      <c r="K1267" s="40" t="n">
        <v>0</v>
      </c>
      <c r="L1267" s="40" t="n">
        <v>5200</v>
      </c>
    </row>
    <row r="1268" ht="12" customHeight="1">
      <c r="A1268" s="30" t="inlineStr">
        <is>
          <t>ITG</t>
        </is>
      </c>
      <c r="B1268" s="30" t="inlineStr">
        <is>
          <t>Itaguai</t>
        </is>
      </c>
      <c r="C1268" s="30" t="n">
        <v>79825026</v>
      </c>
      <c r="D1268" s="30">
        <f>"17317345000176"</f>
        <v/>
      </c>
      <c r="E1268" s="30" t="inlineStr">
        <is>
          <t>BRASIL DIGITAL SAT COMERCIO E SERVICOS LTDA ME</t>
        </is>
      </c>
      <c r="F1268" s="40" t="n">
        <v>0</v>
      </c>
      <c r="G1268" s="40" t="n">
        <v>0</v>
      </c>
      <c r="H1268" s="40" t="n">
        <v>0</v>
      </c>
      <c r="I1268" s="40" t="n">
        <v>0</v>
      </c>
      <c r="J1268" s="40" t="n">
        <v>0</v>
      </c>
      <c r="K1268" s="40" t="n">
        <v>0</v>
      </c>
      <c r="L1268" s="40" t="n">
        <v>0</v>
      </c>
    </row>
    <row r="1269" ht="12" customHeight="1">
      <c r="A1269" s="30" t="inlineStr">
        <is>
          <t>ITG</t>
        </is>
      </c>
      <c r="B1269" s="30" t="inlineStr">
        <is>
          <t>Itaguai</t>
        </is>
      </c>
      <c r="C1269" s="30" t="n">
        <v>79825719</v>
      </c>
      <c r="D1269" s="30">
        <f>"11040609000100"</f>
        <v/>
      </c>
      <c r="E1269" s="30" t="inlineStr">
        <is>
          <t>H D LOG TRANSPORTES LTDA ME</t>
        </is>
      </c>
      <c r="F1269" s="40" t="n">
        <v>230.99</v>
      </c>
      <c r="G1269" s="40" t="n">
        <v>33.14</v>
      </c>
      <c r="H1269" s="40" t="n">
        <v>0</v>
      </c>
      <c r="I1269" s="40" t="n">
        <v>0</v>
      </c>
      <c r="J1269" s="40" t="n">
        <v>0</v>
      </c>
      <c r="K1269" s="40" t="n">
        <v>10909.88</v>
      </c>
      <c r="L1269" s="40" t="n">
        <v>12625.95</v>
      </c>
    </row>
    <row r="1270" ht="12" customHeight="1">
      <c r="A1270" s="30" t="inlineStr">
        <is>
          <t>ITG</t>
        </is>
      </c>
      <c r="B1270" s="30" t="inlineStr">
        <is>
          <t>Itaguai</t>
        </is>
      </c>
      <c r="C1270" s="30" t="n">
        <v>79829110</v>
      </c>
      <c r="D1270" s="30">
        <f>"17332857000101"</f>
        <v/>
      </c>
      <c r="E1270" s="30" t="inlineStr">
        <is>
          <t>ESGO JET AMBIENTAL LTDA EPP</t>
        </is>
      </c>
      <c r="F1270" s="40" t="n">
        <v>0</v>
      </c>
      <c r="G1270" s="40" t="n">
        <v>100700.9</v>
      </c>
      <c r="H1270" s="40" t="n">
        <v>0</v>
      </c>
      <c r="I1270" s="40" t="n">
        <v>0</v>
      </c>
      <c r="J1270" s="40" t="n">
        <v>0</v>
      </c>
      <c r="K1270" s="40" t="n">
        <v>0</v>
      </c>
      <c r="L1270" s="40" t="n">
        <v>216888.22</v>
      </c>
    </row>
    <row r="1271" ht="12" customHeight="1">
      <c r="A1271" s="30" t="inlineStr">
        <is>
          <t>ITG</t>
        </is>
      </c>
      <c r="B1271" s="30" t="inlineStr">
        <is>
          <t>Itaguai</t>
        </is>
      </c>
      <c r="C1271" s="30" t="n">
        <v>79835099</v>
      </c>
      <c r="D1271" s="30">
        <f>"33041260080508"</f>
        <v/>
      </c>
      <c r="E1271" s="30" t="inlineStr">
        <is>
          <t>VIA VAREJO S/A</t>
        </is>
      </c>
      <c r="F1271" s="40" t="n">
        <v>4220308.67</v>
      </c>
      <c r="G1271" s="40" t="n">
        <v>4065098.22</v>
      </c>
      <c r="H1271" s="40" t="n">
        <v>4078759.99</v>
      </c>
      <c r="I1271" s="40" t="n">
        <v>4492367.12</v>
      </c>
      <c r="J1271" s="40" t="n">
        <v>2143462.11</v>
      </c>
      <c r="K1271" s="40" t="n">
        <v>1721695.47</v>
      </c>
      <c r="L1271" s="40" t="n">
        <v>1834609.25</v>
      </c>
    </row>
    <row r="1272" ht="12" customHeight="1">
      <c r="A1272" s="30" t="inlineStr">
        <is>
          <t>ITG</t>
        </is>
      </c>
      <c r="B1272" s="30" t="inlineStr">
        <is>
          <t>Itaguai</t>
        </is>
      </c>
      <c r="C1272" s="30" t="n">
        <v>79835668</v>
      </c>
      <c r="D1272" s="30">
        <f>"17364748000176"</f>
        <v/>
      </c>
      <c r="E1272" s="30" t="inlineStr">
        <is>
          <t>FRANCISCO DE ASSIS FIDELIS OLIVEIRA ME</t>
        </is>
      </c>
      <c r="F1272" s="40" t="n">
        <v>0</v>
      </c>
      <c r="G1272" s="40" t="n">
        <v>0</v>
      </c>
      <c r="H1272" s="40" t="n">
        <v>0</v>
      </c>
      <c r="I1272" s="40" t="n">
        <v>0</v>
      </c>
      <c r="J1272" s="40" t="n">
        <v>0</v>
      </c>
      <c r="K1272" s="40" t="n">
        <v>0</v>
      </c>
      <c r="L1272" s="40" t="n">
        <v>0</v>
      </c>
    </row>
    <row r="1273" ht="12" customHeight="1">
      <c r="A1273" s="30" t="inlineStr">
        <is>
          <t>ITG</t>
        </is>
      </c>
      <c r="B1273" s="30" t="inlineStr">
        <is>
          <t>Itaguai</t>
        </is>
      </c>
      <c r="C1273" s="30" t="n">
        <v>79835862</v>
      </c>
      <c r="D1273" s="30">
        <f>"02351144003648"</f>
        <v/>
      </c>
      <c r="E1273" s="30" t="inlineStr">
        <is>
          <t>TEGMA GESTAO LOGISTICA S/A</t>
        </is>
      </c>
      <c r="F1273" s="40" t="n">
        <v>0</v>
      </c>
      <c r="G1273" s="40" t="n">
        <v>0</v>
      </c>
      <c r="H1273" s="40" t="n">
        <v>60348.24</v>
      </c>
      <c r="I1273" s="40" t="n">
        <v>7465.95</v>
      </c>
      <c r="J1273" s="40" t="n">
        <v>0</v>
      </c>
      <c r="K1273" s="40" t="n">
        <v>0</v>
      </c>
      <c r="L1273" s="40" t="n">
        <v>0</v>
      </c>
    </row>
    <row r="1274" ht="12" customHeight="1">
      <c r="A1274" s="30" t="inlineStr">
        <is>
          <t>ITG</t>
        </is>
      </c>
      <c r="B1274" s="30" t="inlineStr">
        <is>
          <t>Itaguai</t>
        </is>
      </c>
      <c r="C1274" s="30" t="n">
        <v>79843555</v>
      </c>
      <c r="D1274" s="30">
        <f>"17431450000131"</f>
        <v/>
      </c>
      <c r="E1274" s="30" t="inlineStr">
        <is>
          <t>MERCADO COSTA DO SOL EIRELI</t>
        </is>
      </c>
      <c r="F1274" s="40" t="n">
        <v>78561.14</v>
      </c>
      <c r="G1274" s="40" t="n">
        <v>44912.88</v>
      </c>
      <c r="H1274" s="40" t="n">
        <v>125373.64</v>
      </c>
      <c r="I1274" s="40" t="n">
        <v>117518.71</v>
      </c>
      <c r="J1274" s="40" t="n">
        <v>33553.72</v>
      </c>
      <c r="K1274" s="40" t="n">
        <v>0</v>
      </c>
      <c r="L1274" s="40" t="n">
        <v>0</v>
      </c>
    </row>
    <row r="1275" ht="12" customHeight="1">
      <c r="A1275" s="30" t="inlineStr">
        <is>
          <t>ITG</t>
        </is>
      </c>
      <c r="B1275" s="30" t="inlineStr">
        <is>
          <t>Itaguai</t>
        </is>
      </c>
      <c r="C1275" s="30" t="n">
        <v>79851604</v>
      </c>
      <c r="D1275" s="30">
        <f>"17466692000160"</f>
        <v/>
      </c>
      <c r="E1275" s="30" t="inlineStr">
        <is>
          <t>SANIBAN - LOCA??O DE SANIT?RIOS QUIMICOS - LTDA</t>
        </is>
      </c>
      <c r="F1275" s="40" t="n">
        <v>0</v>
      </c>
      <c r="G1275" s="40" t="n">
        <v>0</v>
      </c>
      <c r="H1275" s="40" t="n">
        <v>0</v>
      </c>
      <c r="I1275" s="40" t="n">
        <v>0</v>
      </c>
      <c r="J1275" s="40" t="n">
        <v>8442</v>
      </c>
      <c r="K1275" s="40" t="n">
        <v>0</v>
      </c>
      <c r="L1275" s="40" t="n">
        <v>0</v>
      </c>
    </row>
    <row r="1276" ht="12" customHeight="1">
      <c r="A1276" s="30" t="inlineStr">
        <is>
          <t>ITG</t>
        </is>
      </c>
      <c r="B1276" s="30" t="inlineStr">
        <is>
          <t>Itaguai</t>
        </is>
      </c>
      <c r="C1276" s="30" t="n">
        <v>79852120</v>
      </c>
      <c r="D1276" s="30">
        <f>"09174577000780"</f>
        <v/>
      </c>
      <c r="E1276" s="30" t="inlineStr">
        <is>
          <t>BCUBE LOGISTIC LTDA</t>
        </is>
      </c>
      <c r="F1276" s="40" t="n">
        <v>129365.84</v>
      </c>
      <c r="G1276" s="40" t="n">
        <v>17290.35</v>
      </c>
      <c r="H1276" s="40" t="n">
        <v>0</v>
      </c>
      <c r="I1276" s="40" t="n">
        <v>0</v>
      </c>
      <c r="J1276" s="40" t="n">
        <v>0</v>
      </c>
      <c r="K1276" s="40" t="n">
        <v>0</v>
      </c>
      <c r="L1276" s="40" t="n">
        <v>0</v>
      </c>
    </row>
    <row r="1277" ht="12" customHeight="1">
      <c r="A1277" s="30" t="inlineStr">
        <is>
          <t>ITG</t>
        </is>
      </c>
      <c r="B1277" s="30" t="inlineStr">
        <is>
          <t>Itaguai</t>
        </is>
      </c>
      <c r="C1277" s="30" t="n">
        <v>79855049</v>
      </c>
      <c r="D1277" s="30">
        <f>"17483170000177"</f>
        <v/>
      </c>
      <c r="E1277" s="30" t="inlineStr">
        <is>
          <t>PROMAR NAUTICA FIBRAS LTDA ME</t>
        </is>
      </c>
      <c r="F1277" s="40" t="n">
        <v>0</v>
      </c>
      <c r="G1277" s="40" t="n">
        <v>0</v>
      </c>
      <c r="H1277" s="40" t="n">
        <v>0</v>
      </c>
      <c r="I1277" s="40" t="n">
        <v>0</v>
      </c>
      <c r="J1277" s="40" t="n">
        <v>0</v>
      </c>
      <c r="K1277" s="40" t="n">
        <v>0</v>
      </c>
      <c r="L1277" s="40" t="n">
        <v>0</v>
      </c>
    </row>
    <row r="1278" ht="12" customHeight="1">
      <c r="A1278" s="30" t="inlineStr">
        <is>
          <t>ITG</t>
        </is>
      </c>
      <c r="B1278" s="30" t="inlineStr">
        <is>
          <t>Itaguai</t>
        </is>
      </c>
      <c r="C1278" s="30" t="n">
        <v>79857548</v>
      </c>
      <c r="D1278" s="30">
        <f>"17573902000110"</f>
        <v/>
      </c>
      <c r="E1278" s="30" t="inlineStr">
        <is>
          <t>TOP 1000 AUTOPECAS LTDA</t>
        </is>
      </c>
      <c r="F1278" s="40" t="n">
        <v>888182.16</v>
      </c>
      <c r="G1278" s="40" t="n">
        <v>0</v>
      </c>
      <c r="H1278" s="40" t="n">
        <v>0</v>
      </c>
      <c r="I1278" s="40" t="n">
        <v>0</v>
      </c>
      <c r="J1278" s="40" t="n">
        <v>0</v>
      </c>
      <c r="K1278" s="40" t="n">
        <v>0</v>
      </c>
      <c r="L1278" s="40" t="n">
        <v>0</v>
      </c>
    </row>
    <row r="1279" ht="12" customHeight="1">
      <c r="A1279" s="30" t="inlineStr">
        <is>
          <t>ITG</t>
        </is>
      </c>
      <c r="B1279" s="30" t="inlineStr">
        <is>
          <t>Itaguai</t>
        </is>
      </c>
      <c r="C1279" s="30" t="n">
        <v>79858161</v>
      </c>
      <c r="D1279" s="30">
        <f>"17577262000116"</f>
        <v/>
      </c>
      <c r="E1279" s="30" t="inlineStr">
        <is>
          <t>DUARTE - COMERCIO DE PISCINAS LTDA</t>
        </is>
      </c>
      <c r="F1279" s="40" t="n">
        <v>0</v>
      </c>
      <c r="G1279" s="40" t="n">
        <v>0</v>
      </c>
      <c r="H1279" s="40" t="n">
        <v>0</v>
      </c>
      <c r="I1279" s="40" t="n">
        <v>0</v>
      </c>
      <c r="J1279" s="40" t="n">
        <v>0</v>
      </c>
      <c r="K1279" s="40" t="n">
        <v>0</v>
      </c>
      <c r="L1279" s="40" t="n">
        <v>0</v>
      </c>
    </row>
    <row r="1280" ht="12" customHeight="1">
      <c r="A1280" s="30" t="inlineStr">
        <is>
          <t>ITG</t>
        </is>
      </c>
      <c r="B1280" s="30" t="inlineStr">
        <is>
          <t>Itaguai</t>
        </is>
      </c>
      <c r="C1280" s="30" t="n">
        <v>79869295</v>
      </c>
      <c r="D1280" s="30">
        <f>"14553384000184"</f>
        <v/>
      </c>
      <c r="E1280" s="30" t="inlineStr">
        <is>
          <t>CLOCK SHOW BRASIL LTDA ME</t>
        </is>
      </c>
      <c r="F1280" s="40" t="n">
        <v>0</v>
      </c>
      <c r="G1280" s="40" t="n">
        <v>0</v>
      </c>
      <c r="H1280" s="40" t="n">
        <v>0</v>
      </c>
      <c r="I1280" s="40" t="n">
        <v>0</v>
      </c>
      <c r="J1280" s="40" t="n">
        <v>0</v>
      </c>
      <c r="K1280" s="40" t="n">
        <v>0</v>
      </c>
      <c r="L1280" s="40" t="n">
        <v>0</v>
      </c>
    </row>
    <row r="1281" ht="12" customHeight="1">
      <c r="A1281" s="30" t="inlineStr">
        <is>
          <t>ITG</t>
        </is>
      </c>
      <c r="B1281" s="30" t="inlineStr">
        <is>
          <t>Itaguai</t>
        </is>
      </c>
      <c r="C1281" s="30" t="n">
        <v>79869988</v>
      </c>
      <c r="D1281" s="30">
        <f>"60541240000710"</f>
        <v/>
      </c>
      <c r="E1281" s="30" t="inlineStr">
        <is>
          <t>TECNOLOG TRANSPORTES RODO AEREO E LOGISTICA LTDA</t>
        </is>
      </c>
      <c r="F1281" s="40" t="n">
        <v>0</v>
      </c>
      <c r="G1281" s="40" t="n">
        <v>0</v>
      </c>
      <c r="H1281" s="40" t="n">
        <v>5449.55</v>
      </c>
      <c r="I1281" s="40" t="n">
        <v>93583.92</v>
      </c>
      <c r="J1281" s="40" t="n">
        <v>71311.92</v>
      </c>
      <c r="K1281" s="40" t="n">
        <v>78678.2</v>
      </c>
      <c r="L1281" s="40" t="n">
        <v>18773.91</v>
      </c>
    </row>
    <row r="1282" ht="12" customHeight="1">
      <c r="A1282" s="30" t="inlineStr">
        <is>
          <t>ITG</t>
        </is>
      </c>
      <c r="B1282" s="30" t="inlineStr">
        <is>
          <t>Itaguai</t>
        </is>
      </c>
      <c r="C1282" s="30" t="n">
        <v>79874000</v>
      </c>
      <c r="D1282" s="30">
        <f>"17712960000187"</f>
        <v/>
      </c>
      <c r="E1282" s="30" t="inlineStr">
        <is>
          <t>JULIANO MADEIRAS E TELHAS COMERCIO LTDA EPP</t>
        </is>
      </c>
      <c r="F1282" s="40" t="n">
        <v>0</v>
      </c>
      <c r="G1282" s="40" t="n">
        <v>0</v>
      </c>
      <c r="H1282" s="40" t="n">
        <v>0</v>
      </c>
      <c r="I1282" s="40" t="n">
        <v>0</v>
      </c>
      <c r="J1282" s="40" t="n">
        <v>403922.64</v>
      </c>
      <c r="K1282" s="40" t="n">
        <v>8040055</v>
      </c>
      <c r="L1282" s="40" t="n">
        <v>9788701.68</v>
      </c>
    </row>
    <row r="1283" ht="12" customHeight="1">
      <c r="A1283" s="30" t="inlineStr">
        <is>
          <t>ITG</t>
        </is>
      </c>
      <c r="B1283" s="30" t="inlineStr">
        <is>
          <t>Itaguai</t>
        </is>
      </c>
      <c r="C1283" s="30" t="n">
        <v>79886602</v>
      </c>
      <c r="D1283" s="30">
        <f>"16734288000168"</f>
        <v/>
      </c>
      <c r="E1283" s="30" t="inlineStr">
        <is>
          <t>RT MULTI SERVICE LTDA ME</t>
        </is>
      </c>
      <c r="F1283" s="40" t="n">
        <v>0</v>
      </c>
      <c r="G1283" s="40" t="n">
        <v>0</v>
      </c>
      <c r="H1283" s="40" t="n">
        <v>0</v>
      </c>
      <c r="I1283" s="40" t="n">
        <v>0</v>
      </c>
      <c r="J1283" s="40" t="n">
        <v>0</v>
      </c>
      <c r="K1283" s="40" t="n">
        <v>0</v>
      </c>
      <c r="L1283" s="40" t="n">
        <v>11291.28</v>
      </c>
    </row>
    <row r="1284" ht="12" customHeight="1">
      <c r="A1284" s="30" t="inlineStr">
        <is>
          <t>ITG</t>
        </is>
      </c>
      <c r="B1284" s="30" t="inlineStr">
        <is>
          <t>Itaguai</t>
        </is>
      </c>
      <c r="C1284" s="30" t="n">
        <v>79889180</v>
      </c>
      <c r="D1284" s="30">
        <f>"33355207001614"</f>
        <v/>
      </c>
      <c r="E1284" s="30" t="inlineStr">
        <is>
          <t>DROGARIA SANTO AGOSTINHO LTDA</t>
        </is>
      </c>
      <c r="F1284" s="40" t="n">
        <v>869546.5</v>
      </c>
      <c r="G1284" s="40" t="n">
        <v>816276.84</v>
      </c>
      <c r="H1284" s="40" t="n">
        <v>1034397.3</v>
      </c>
      <c r="I1284" s="40" t="n">
        <v>1941775.61</v>
      </c>
      <c r="J1284" s="40" t="n">
        <v>2275820.01</v>
      </c>
      <c r="K1284" s="40" t="n">
        <v>1809665.91</v>
      </c>
      <c r="L1284" s="40" t="n">
        <v>1868253.3</v>
      </c>
    </row>
    <row r="1285" ht="12" customHeight="1">
      <c r="A1285" s="30" t="inlineStr">
        <is>
          <t>ITG</t>
        </is>
      </c>
      <c r="B1285" s="30" t="inlineStr">
        <is>
          <t>Itaguai</t>
        </is>
      </c>
      <c r="C1285" s="30" t="n">
        <v>79897876</v>
      </c>
      <c r="D1285" s="30">
        <f>"17913685000160"</f>
        <v/>
      </c>
      <c r="E1285" s="30" t="inlineStr">
        <is>
          <t>JOVINTER RIO TRANSPORTE DE CARGAS LTDA</t>
        </is>
      </c>
      <c r="F1285" s="40" t="n">
        <v>1567134.41</v>
      </c>
      <c r="G1285" s="40" t="n">
        <v>0</v>
      </c>
      <c r="H1285" s="40" t="n">
        <v>0</v>
      </c>
      <c r="I1285" s="40" t="n">
        <v>0</v>
      </c>
      <c r="J1285" s="40" t="n">
        <v>0</v>
      </c>
      <c r="K1285" s="40" t="n">
        <v>0</v>
      </c>
      <c r="L1285" s="40" t="n">
        <v>0</v>
      </c>
    </row>
    <row r="1286" ht="12" customHeight="1">
      <c r="A1286" s="30" t="inlineStr">
        <is>
          <t>ITG</t>
        </is>
      </c>
      <c r="B1286" s="30" t="inlineStr">
        <is>
          <t>Itaguai</t>
        </is>
      </c>
      <c r="C1286" s="30" t="n">
        <v>79897957</v>
      </c>
      <c r="D1286" s="30">
        <f>"32466732001210"</f>
        <v/>
      </c>
      <c r="E1286" s="30" t="inlineStr">
        <is>
          <t>TRANSUICA LOCACAO E PRESTACAO DE SERVICOS LTDA</t>
        </is>
      </c>
      <c r="F1286" s="40" t="n">
        <v>60894.48</v>
      </c>
      <c r="G1286" s="40" t="n">
        <v>0</v>
      </c>
      <c r="H1286" s="40" t="n">
        <v>0</v>
      </c>
      <c r="I1286" s="40" t="n">
        <v>0</v>
      </c>
      <c r="J1286" s="40" t="n">
        <v>0</v>
      </c>
      <c r="K1286" s="40" t="n">
        <v>0</v>
      </c>
      <c r="L1286" s="40" t="n">
        <v>0</v>
      </c>
    </row>
    <row r="1287" ht="12" customHeight="1">
      <c r="A1287" s="30" t="inlineStr">
        <is>
          <t>ITG</t>
        </is>
      </c>
      <c r="B1287" s="30" t="inlineStr">
        <is>
          <t>Itaguai</t>
        </is>
      </c>
      <c r="C1287" s="30" t="n">
        <v>79900168</v>
      </c>
      <c r="D1287" s="30">
        <f>"08286565000270"</f>
        <v/>
      </c>
      <c r="E1287" s="30" t="inlineStr">
        <is>
          <t>MOV CARGO LOCACAO DE EQUIPAMENTOS  LTDA</t>
        </is>
      </c>
      <c r="F1287" s="40" t="n">
        <v>0</v>
      </c>
      <c r="G1287" s="40" t="n">
        <v>0</v>
      </c>
      <c r="H1287" s="40" t="n">
        <v>0</v>
      </c>
      <c r="I1287" s="40" t="n">
        <v>0</v>
      </c>
      <c r="J1287" s="40" t="n">
        <v>0</v>
      </c>
      <c r="K1287" s="40" t="n">
        <v>0</v>
      </c>
      <c r="L1287" s="40" t="n">
        <v>0</v>
      </c>
    </row>
    <row r="1288" ht="12" customHeight="1">
      <c r="A1288" s="30" t="inlineStr">
        <is>
          <t>ITG</t>
        </is>
      </c>
      <c r="B1288" s="30" t="inlineStr">
        <is>
          <t>Itaguai</t>
        </is>
      </c>
      <c r="C1288" s="30" t="n">
        <v>79900575</v>
      </c>
      <c r="D1288" s="30">
        <f>"31954621000138"</f>
        <v/>
      </c>
      <c r="E1288" s="30" t="inlineStr">
        <is>
          <t>LOCTECH LOCACAO DE MAQUINAS E EQUIPAMENTOS LTDA - EPP</t>
        </is>
      </c>
      <c r="F1288" s="40" t="n">
        <v>0</v>
      </c>
      <c r="G1288" s="40" t="n">
        <v>0</v>
      </c>
      <c r="H1288" s="40" t="n">
        <v>0</v>
      </c>
      <c r="I1288" s="40" t="n">
        <v>0</v>
      </c>
      <c r="J1288" s="40" t="n">
        <v>0</v>
      </c>
      <c r="K1288" s="40" t="n">
        <v>0</v>
      </c>
      <c r="L1288" s="40" t="n">
        <v>0</v>
      </c>
    </row>
    <row r="1289" ht="12" customHeight="1">
      <c r="A1289" s="30" t="inlineStr">
        <is>
          <t>ITG</t>
        </is>
      </c>
      <c r="B1289" s="30" t="inlineStr">
        <is>
          <t>Itaguai</t>
        </is>
      </c>
      <c r="C1289" s="30" t="n">
        <v>79907758</v>
      </c>
      <c r="D1289" s="30">
        <f>"68814532000104"</f>
        <v/>
      </c>
      <c r="E1289" s="30" t="inlineStr">
        <is>
          <t>CONCORDE EXPRESS DO BRASIL TRANSPORTE E LOGISTICA LTDA-ME</t>
        </is>
      </c>
      <c r="F1289" s="40" t="n">
        <v>0</v>
      </c>
      <c r="G1289" s="40" t="n">
        <v>306527.62</v>
      </c>
      <c r="H1289" s="40" t="n">
        <v>0</v>
      </c>
      <c r="I1289" s="40" t="n">
        <v>0</v>
      </c>
      <c r="J1289" s="40" t="n">
        <v>0</v>
      </c>
      <c r="K1289" s="40" t="n">
        <v>0</v>
      </c>
      <c r="L1289" s="40" t="n">
        <v>0</v>
      </c>
    </row>
    <row r="1290" ht="12" customHeight="1">
      <c r="A1290" s="30" t="inlineStr">
        <is>
          <t>ITG</t>
        </is>
      </c>
      <c r="B1290" s="30" t="inlineStr">
        <is>
          <t>Itaguai</t>
        </is>
      </c>
      <c r="C1290" s="30" t="n">
        <v>79910520</v>
      </c>
      <c r="D1290" s="30">
        <f>"11676676000116"</f>
        <v/>
      </c>
      <c r="E1290" s="30" t="inlineStr">
        <is>
          <t>ENGE SERVICE ENGENHARIA E SERVICOS LTDA EPP</t>
        </is>
      </c>
      <c r="F1290" s="40" t="n">
        <v>0</v>
      </c>
      <c r="G1290" s="40" t="n">
        <v>0</v>
      </c>
      <c r="H1290" s="40" t="n">
        <v>0</v>
      </c>
      <c r="I1290" s="40" t="n">
        <v>0</v>
      </c>
      <c r="J1290" s="40" t="n">
        <v>0</v>
      </c>
      <c r="K1290" s="40" t="n">
        <v>0</v>
      </c>
      <c r="L1290" s="40" t="n">
        <v>873.12</v>
      </c>
    </row>
    <row r="1291" ht="12" customHeight="1">
      <c r="A1291" s="30" t="inlineStr">
        <is>
          <t>ITG</t>
        </is>
      </c>
      <c r="B1291" s="30" t="inlineStr">
        <is>
          <t>Itaguai</t>
        </is>
      </c>
      <c r="C1291" s="30" t="n">
        <v>79914231</v>
      </c>
      <c r="D1291" s="30">
        <f>"17488619000190"</f>
        <v/>
      </c>
      <c r="E1291" s="30" t="inlineStr">
        <is>
          <t>ALDA CRISTINE DE ARAUJO DROGARIA EIRELI ME</t>
        </is>
      </c>
      <c r="F1291" s="40" t="n">
        <v>0</v>
      </c>
      <c r="G1291" s="40" t="n">
        <v>0</v>
      </c>
      <c r="H1291" s="40" t="n">
        <v>0</v>
      </c>
      <c r="I1291" s="40" t="n">
        <v>0</v>
      </c>
      <c r="J1291" s="40" t="n">
        <v>0</v>
      </c>
      <c r="K1291" s="40" t="n">
        <v>0</v>
      </c>
      <c r="L1291" s="40" t="n">
        <v>0</v>
      </c>
    </row>
    <row r="1292" ht="12" customHeight="1">
      <c r="A1292" s="30" t="inlineStr">
        <is>
          <t>ITG</t>
        </is>
      </c>
      <c r="B1292" s="30" t="inlineStr">
        <is>
          <t>Itaguai</t>
        </is>
      </c>
      <c r="C1292" s="30" t="n">
        <v>79916447</v>
      </c>
      <c r="D1292" s="30">
        <f>"10675555000863"</f>
        <v/>
      </c>
      <c r="E1292" s="30" t="inlineStr">
        <is>
          <t>TECNOMONT MONTAGENS INDUSTRIAIS LTDA</t>
        </is>
      </c>
      <c r="F1292" s="40" t="n">
        <v>0</v>
      </c>
      <c r="G1292" s="40" t="n">
        <v>0</v>
      </c>
      <c r="H1292" s="40" t="n">
        <v>0</v>
      </c>
      <c r="I1292" s="40" t="n">
        <v>0</v>
      </c>
      <c r="J1292" s="40" t="n">
        <v>0</v>
      </c>
      <c r="K1292" s="40" t="n">
        <v>0</v>
      </c>
      <c r="L1292" s="40" t="n">
        <v>0</v>
      </c>
    </row>
    <row r="1293" ht="12" customHeight="1">
      <c r="A1293" s="30" t="inlineStr">
        <is>
          <t>ITG</t>
        </is>
      </c>
      <c r="B1293" s="30" t="inlineStr">
        <is>
          <t>Itaguai</t>
        </is>
      </c>
      <c r="C1293" s="30" t="n">
        <v>79918768</v>
      </c>
      <c r="D1293" s="30">
        <f>"17636490000110"</f>
        <v/>
      </c>
      <c r="E1293" s="30" t="inlineStr">
        <is>
          <t>TMA TRANSPORTE LOTACAO E LOGISTICA LTDA</t>
        </is>
      </c>
      <c r="F1293" s="40" t="n">
        <v>0</v>
      </c>
      <c r="G1293" s="40" t="n">
        <v>1619.26</v>
      </c>
      <c r="H1293" s="40" t="n">
        <v>4567.56</v>
      </c>
      <c r="I1293" s="40" t="n">
        <v>1596.96</v>
      </c>
      <c r="J1293" s="40" t="n">
        <v>128.4</v>
      </c>
      <c r="K1293" s="40" t="n">
        <v>0</v>
      </c>
      <c r="L1293" s="40" t="n">
        <v>0</v>
      </c>
    </row>
    <row r="1294" ht="12" customHeight="1">
      <c r="A1294" s="30" t="inlineStr">
        <is>
          <t>ITG</t>
        </is>
      </c>
      <c r="B1294" s="30" t="inlineStr">
        <is>
          <t>Itaguai</t>
        </is>
      </c>
      <c r="C1294" s="30" t="n">
        <v>79923532</v>
      </c>
      <c r="D1294" s="30">
        <f>"08147623000101"</f>
        <v/>
      </c>
      <c r="E1294" s="30" t="inlineStr">
        <is>
          <t>S R DE ITAGUAI SERVICOS DE LOCACAO LTDA</t>
        </is>
      </c>
      <c r="F1294" s="40" t="n">
        <v>3000</v>
      </c>
      <c r="G1294" s="40" t="n">
        <v>0</v>
      </c>
      <c r="H1294" s="40" t="n">
        <v>1400</v>
      </c>
      <c r="I1294" s="40" t="n">
        <v>0</v>
      </c>
      <c r="J1294" s="40" t="n">
        <v>0</v>
      </c>
      <c r="K1294" s="40" t="n">
        <v>0</v>
      </c>
      <c r="L1294" s="40" t="n">
        <v>0</v>
      </c>
    </row>
    <row r="1295" ht="12" customHeight="1">
      <c r="A1295" s="30" t="inlineStr">
        <is>
          <t>ITG</t>
        </is>
      </c>
      <c r="B1295" s="30" t="inlineStr">
        <is>
          <t>Itaguai</t>
        </is>
      </c>
      <c r="C1295" s="30" t="n">
        <v>79926477</v>
      </c>
      <c r="D1295" s="30">
        <f>"07792269000288"</f>
        <v/>
      </c>
      <c r="E1295" s="30" t="inlineStr">
        <is>
          <t>CONSTRUTORA LYTORANEA S A</t>
        </is>
      </c>
      <c r="F1295" s="40" t="n">
        <v>0</v>
      </c>
      <c r="G1295" s="40" t="n">
        <v>0</v>
      </c>
      <c r="H1295" s="40" t="n">
        <v>0</v>
      </c>
      <c r="I1295" s="40" t="n">
        <v>0</v>
      </c>
      <c r="J1295" s="40" t="n">
        <v>0</v>
      </c>
      <c r="K1295" s="40" t="n">
        <v>0</v>
      </c>
      <c r="L1295" s="40" t="n">
        <v>0</v>
      </c>
    </row>
    <row r="1296" ht="12" customHeight="1">
      <c r="A1296" s="30" t="inlineStr">
        <is>
          <t>ITG</t>
        </is>
      </c>
      <c r="B1296" s="30" t="inlineStr">
        <is>
          <t>Itaguai</t>
        </is>
      </c>
      <c r="C1296" s="30" t="n">
        <v>79935964</v>
      </c>
      <c r="D1296" s="30">
        <f>"18189900000194"</f>
        <v/>
      </c>
      <c r="E1296" s="30" t="inlineStr">
        <is>
          <t>DEPP MODA ITAGUAI LTDA EPP</t>
        </is>
      </c>
      <c r="F1296" s="40" t="n">
        <v>0</v>
      </c>
      <c r="G1296" s="40" t="n">
        <v>0</v>
      </c>
      <c r="H1296" s="40" t="n">
        <v>0</v>
      </c>
      <c r="I1296" s="40" t="n">
        <v>0</v>
      </c>
      <c r="J1296" s="40" t="n">
        <v>0</v>
      </c>
      <c r="K1296" s="40" t="n">
        <v>0</v>
      </c>
      <c r="L1296" s="40" t="n">
        <v>0</v>
      </c>
    </row>
    <row r="1297" ht="12" customHeight="1">
      <c r="A1297" s="30" t="inlineStr">
        <is>
          <t>ITG</t>
        </is>
      </c>
      <c r="B1297" s="30" t="inlineStr">
        <is>
          <t>Itaguai</t>
        </is>
      </c>
      <c r="C1297" s="30" t="n">
        <v>79940020</v>
      </c>
      <c r="D1297" s="30">
        <f>"18316740000105"</f>
        <v/>
      </c>
      <c r="E1297" s="30" t="inlineStr">
        <is>
          <t>SS FIGUEIREDO ALIMENTOS EIRELI</t>
        </is>
      </c>
      <c r="F1297" s="40" t="n">
        <v>0</v>
      </c>
      <c r="G1297" s="40" t="n">
        <v>0</v>
      </c>
      <c r="H1297" s="40" t="n">
        <v>0</v>
      </c>
      <c r="I1297" s="40" t="n">
        <v>0</v>
      </c>
      <c r="J1297" s="40" t="n">
        <v>0</v>
      </c>
      <c r="K1297" s="40" t="n">
        <v>0</v>
      </c>
      <c r="L1297" s="40" t="n">
        <v>0</v>
      </c>
    </row>
    <row r="1298" ht="12" customHeight="1">
      <c r="A1298" s="30" t="inlineStr">
        <is>
          <t>ITG</t>
        </is>
      </c>
      <c r="B1298" s="30" t="inlineStr">
        <is>
          <t>Itaguai</t>
        </is>
      </c>
      <c r="C1298" s="30" t="n">
        <v>79942642</v>
      </c>
      <c r="D1298" s="30">
        <f>"18210737000102"</f>
        <v/>
      </c>
      <c r="E1298" s="30" t="inlineStr">
        <is>
          <t>ST SANTOS LOCACOES E EQUIPAMENTOS EIRELI</t>
        </is>
      </c>
      <c r="F1298" s="40" t="n">
        <v>0</v>
      </c>
      <c r="G1298" s="40" t="n">
        <v>0</v>
      </c>
      <c r="H1298" s="40" t="n">
        <v>0</v>
      </c>
      <c r="I1298" s="40" t="n">
        <v>0</v>
      </c>
      <c r="J1298" s="40" t="n">
        <v>0</v>
      </c>
      <c r="K1298" s="40" t="n">
        <v>0</v>
      </c>
      <c r="L1298" s="40" t="n">
        <v>0</v>
      </c>
    </row>
    <row r="1299" ht="12" customHeight="1">
      <c r="A1299" s="30" t="inlineStr">
        <is>
          <t>ITG</t>
        </is>
      </c>
      <c r="B1299" s="30" t="inlineStr">
        <is>
          <t>Itaguai</t>
        </is>
      </c>
      <c r="C1299" s="30" t="n">
        <v>79952737</v>
      </c>
      <c r="D1299" s="30">
        <f>"18413598000106"</f>
        <v/>
      </c>
      <c r="E1299" s="30" t="inlineStr">
        <is>
          <t>M &amp; C CONSTRU??ES IMOBILI?RIAS LTDA</t>
        </is>
      </c>
      <c r="F1299" s="40" t="n">
        <v>0</v>
      </c>
      <c r="G1299" s="40" t="n">
        <v>0</v>
      </c>
      <c r="H1299" s="40" t="n">
        <v>0</v>
      </c>
      <c r="I1299" s="40" t="n">
        <v>0</v>
      </c>
      <c r="J1299" s="40" t="n">
        <v>0</v>
      </c>
      <c r="K1299" s="40" t="n">
        <v>0</v>
      </c>
      <c r="L1299" s="40" t="n">
        <v>0</v>
      </c>
    </row>
    <row r="1300" ht="12" customHeight="1">
      <c r="A1300" s="30" t="inlineStr">
        <is>
          <t>ITG</t>
        </is>
      </c>
      <c r="B1300" s="30" t="inlineStr">
        <is>
          <t>Itaguai</t>
        </is>
      </c>
      <c r="C1300" s="30" t="n">
        <v>79953911</v>
      </c>
      <c r="D1300" s="30">
        <f>"18410271000180"</f>
        <v/>
      </c>
      <c r="E1300" s="30" t="inlineStr">
        <is>
          <t>EXPRESSO GIBB TRANSPORTES EIRELI</t>
        </is>
      </c>
      <c r="F1300" s="40" t="n">
        <v>0</v>
      </c>
      <c r="G1300" s="40" t="n">
        <v>1211.4</v>
      </c>
      <c r="H1300" s="40" t="n">
        <v>0</v>
      </c>
      <c r="I1300" s="40" t="n">
        <v>0</v>
      </c>
      <c r="J1300" s="40" t="n">
        <v>0</v>
      </c>
      <c r="K1300" s="40" t="n">
        <v>0</v>
      </c>
      <c r="L1300" s="40" t="n">
        <v>0</v>
      </c>
    </row>
    <row r="1301" ht="12" customHeight="1">
      <c r="A1301" s="30" t="inlineStr">
        <is>
          <t>ITG</t>
        </is>
      </c>
      <c r="B1301" s="30" t="inlineStr">
        <is>
          <t>Itaguai</t>
        </is>
      </c>
      <c r="C1301" s="30" t="n">
        <v>79967688</v>
      </c>
      <c r="D1301" s="30">
        <f>"18517849000100"</f>
        <v/>
      </c>
      <c r="E1301" s="30" t="inlineStr">
        <is>
          <t>N L C CORREA</t>
        </is>
      </c>
      <c r="F1301" s="40" t="n">
        <v>0</v>
      </c>
      <c r="G1301" s="40" t="n">
        <v>0</v>
      </c>
      <c r="H1301" s="40" t="n">
        <v>0</v>
      </c>
      <c r="I1301" s="40" t="n">
        <v>0</v>
      </c>
      <c r="J1301" s="40" t="n">
        <v>0</v>
      </c>
      <c r="K1301" s="40" t="n">
        <v>0</v>
      </c>
      <c r="L1301" s="40" t="n">
        <v>0</v>
      </c>
    </row>
    <row r="1302" ht="12" customHeight="1">
      <c r="A1302" s="30" t="inlineStr">
        <is>
          <t>ITG</t>
        </is>
      </c>
      <c r="B1302" s="30" t="inlineStr">
        <is>
          <t>Itaguai</t>
        </is>
      </c>
      <c r="C1302" s="30" t="n">
        <v>79972436</v>
      </c>
      <c r="D1302" s="30">
        <f>"12621274000934"</f>
        <v/>
      </c>
      <c r="E1302" s="30" t="inlineStr">
        <is>
          <t>PACER TRANSPORTE E LOGISTICA LTDA</t>
        </is>
      </c>
      <c r="F1302" s="40" t="n">
        <v>0</v>
      </c>
      <c r="G1302" s="40" t="n">
        <v>0</v>
      </c>
      <c r="H1302" s="40" t="n">
        <v>0</v>
      </c>
      <c r="I1302" s="40" t="n">
        <v>0</v>
      </c>
      <c r="J1302" s="40" t="n">
        <v>177.91</v>
      </c>
      <c r="K1302" s="40" t="n">
        <v>1869.09</v>
      </c>
      <c r="L1302" s="40" t="n">
        <v>0</v>
      </c>
    </row>
    <row r="1303" ht="12" customHeight="1">
      <c r="A1303" s="30" t="inlineStr">
        <is>
          <t>ITG</t>
        </is>
      </c>
      <c r="B1303" s="30" t="inlineStr">
        <is>
          <t>Itaguai</t>
        </is>
      </c>
      <c r="C1303" s="30" t="n">
        <v>79973661</v>
      </c>
      <c r="D1303" s="30">
        <f>"17771646001490"</f>
        <v/>
      </c>
      <c r="E1303" s="30" t="inlineStr">
        <is>
          <t>QUEBRA VENTO INDUSTRIA E COMERCIO DE ROUPAS LTDA</t>
        </is>
      </c>
      <c r="F1303" s="40" t="n">
        <v>43415.72</v>
      </c>
      <c r="G1303" s="40" t="n">
        <v>0</v>
      </c>
      <c r="H1303" s="40" t="n">
        <v>0</v>
      </c>
      <c r="I1303" s="40" t="n">
        <v>0</v>
      </c>
      <c r="J1303" s="40" t="n">
        <v>0</v>
      </c>
      <c r="K1303" s="40" t="n">
        <v>0</v>
      </c>
      <c r="L1303" s="40" t="n">
        <v>0</v>
      </c>
    </row>
    <row r="1304" ht="12" customHeight="1">
      <c r="A1304" s="30" t="inlineStr">
        <is>
          <t>ITG</t>
        </is>
      </c>
      <c r="B1304" s="30" t="inlineStr">
        <is>
          <t>Itaguai</t>
        </is>
      </c>
      <c r="C1304" s="30" t="n">
        <v>79980447</v>
      </c>
      <c r="D1304" s="30">
        <f>"09637385000258"</f>
        <v/>
      </c>
      <c r="E1304" s="30" t="inlineStr">
        <is>
          <t>MULTIMARCAS PECAS DIESEL LTDA</t>
        </is>
      </c>
      <c r="F1304" s="40" t="n">
        <v>0</v>
      </c>
      <c r="G1304" s="40" t="n">
        <v>0</v>
      </c>
      <c r="H1304" s="40" t="n">
        <v>0</v>
      </c>
      <c r="I1304" s="40" t="n">
        <v>0</v>
      </c>
      <c r="J1304" s="40" t="n">
        <v>0</v>
      </c>
      <c r="K1304" s="40" t="n">
        <v>0</v>
      </c>
      <c r="L1304" s="40" t="n">
        <v>0</v>
      </c>
    </row>
    <row r="1305" ht="12" customHeight="1">
      <c r="A1305" s="30" t="inlineStr">
        <is>
          <t>ITG</t>
        </is>
      </c>
      <c r="B1305" s="30" t="inlineStr">
        <is>
          <t>Itaguai</t>
        </is>
      </c>
      <c r="C1305" s="30" t="n">
        <v>79985279</v>
      </c>
      <c r="D1305" s="30">
        <f>"35899111000166"</f>
        <v/>
      </c>
      <c r="E1305" s="30" t="inlineStr">
        <is>
          <t>LANCHONETE EXPRESSO ITAGUAI LTDA ME</t>
        </is>
      </c>
      <c r="F1305" s="40" t="n">
        <v>0</v>
      </c>
      <c r="G1305" s="40" t="n">
        <v>0</v>
      </c>
      <c r="H1305" s="40" t="n">
        <v>0</v>
      </c>
      <c r="I1305" s="40" t="n">
        <v>0</v>
      </c>
      <c r="J1305" s="40" t="n">
        <v>0</v>
      </c>
      <c r="K1305" s="40" t="n">
        <v>0</v>
      </c>
      <c r="L1305" s="40" t="n">
        <v>0</v>
      </c>
    </row>
    <row r="1306" ht="12" customHeight="1">
      <c r="A1306" s="30" t="inlineStr">
        <is>
          <t>ITG</t>
        </is>
      </c>
      <c r="B1306" s="30" t="inlineStr">
        <is>
          <t>Itaguai</t>
        </is>
      </c>
      <c r="C1306" s="30" t="n">
        <v>79987921</v>
      </c>
      <c r="D1306" s="30">
        <f>"00474075000104"</f>
        <v/>
      </c>
      <c r="E1306" s="30" t="inlineStr">
        <is>
          <t>RHAVIJU FIXAÇÃO SERVIÇOS DE COSTURA E FACÇÃO LTDA</t>
        </is>
      </c>
      <c r="F1306" s="40" t="n">
        <v>0</v>
      </c>
      <c r="G1306" s="40" t="n">
        <v>0</v>
      </c>
      <c r="H1306" s="40" t="n">
        <v>0</v>
      </c>
      <c r="I1306" s="40" t="n">
        <v>0</v>
      </c>
      <c r="J1306" s="40" t="n">
        <v>0</v>
      </c>
      <c r="K1306" s="40" t="n">
        <v>0</v>
      </c>
      <c r="L1306" s="40" t="n">
        <v>0</v>
      </c>
    </row>
    <row r="1307" ht="12" customHeight="1">
      <c r="A1307" s="30" t="inlineStr">
        <is>
          <t>ITG</t>
        </is>
      </c>
      <c r="B1307" s="30" t="inlineStr">
        <is>
          <t>Itaguai</t>
        </is>
      </c>
      <c r="C1307" s="30" t="n">
        <v>79990159</v>
      </c>
      <c r="D1307" s="30">
        <f>"18465808000100"</f>
        <v/>
      </c>
      <c r="E1307" s="30" t="inlineStr">
        <is>
          <t>OLIVEIRAS SSDR MATERIAL DE CONSTRUCAO LTDA - ME</t>
        </is>
      </c>
      <c r="F1307" s="40" t="n">
        <v>0</v>
      </c>
      <c r="G1307" s="40" t="n">
        <v>0</v>
      </c>
      <c r="H1307" s="40" t="n">
        <v>0</v>
      </c>
      <c r="I1307" s="40" t="n">
        <v>0</v>
      </c>
      <c r="J1307" s="40" t="n">
        <v>0</v>
      </c>
      <c r="K1307" s="40" t="n">
        <v>0</v>
      </c>
      <c r="L1307" s="40" t="n">
        <v>0</v>
      </c>
    </row>
    <row r="1308" ht="12" customHeight="1">
      <c r="A1308" s="30" t="inlineStr">
        <is>
          <t>ITG</t>
        </is>
      </c>
      <c r="B1308" s="30" t="inlineStr">
        <is>
          <t>Itaguai</t>
        </is>
      </c>
      <c r="C1308" s="30" t="n">
        <v>79994650</v>
      </c>
      <c r="D1308" s="30">
        <f>"51718724000459"</f>
        <v/>
      </c>
      <c r="E1308" s="30" t="inlineStr">
        <is>
          <t>GUINDASTEC GUINDASTES E SERVICOS TECNICOS LTDA</t>
        </is>
      </c>
      <c r="F1308" s="40" t="n">
        <v>0</v>
      </c>
      <c r="G1308" s="40" t="n">
        <v>0</v>
      </c>
      <c r="H1308" s="40" t="n">
        <v>0</v>
      </c>
      <c r="I1308" s="40" t="n">
        <v>0</v>
      </c>
      <c r="J1308" s="40" t="n">
        <v>0</v>
      </c>
      <c r="K1308" s="40" t="n">
        <v>0</v>
      </c>
      <c r="L1308" s="40" t="n">
        <v>0</v>
      </c>
    </row>
    <row r="1309" ht="12" customHeight="1">
      <c r="A1309" s="30" t="inlineStr">
        <is>
          <t>ITG</t>
        </is>
      </c>
      <c r="B1309" s="30" t="inlineStr">
        <is>
          <t>Itaguai</t>
        </is>
      </c>
      <c r="C1309" s="30" t="n">
        <v>79999989</v>
      </c>
      <c r="D1309" s="30">
        <f>"05296590001480"</f>
        <v/>
      </c>
      <c r="E1309" s="30" t="inlineStr">
        <is>
          <t>UNILOG UNIVERSO LOGISTICA LTDA</t>
        </is>
      </c>
      <c r="F1309" s="40" t="n">
        <v>0</v>
      </c>
      <c r="G1309" s="40" t="n">
        <v>0</v>
      </c>
      <c r="H1309" s="40" t="n">
        <v>24.23</v>
      </c>
      <c r="I1309" s="40" t="n">
        <v>129.4</v>
      </c>
      <c r="J1309" s="40" t="n">
        <v>0</v>
      </c>
      <c r="K1309" s="40" t="n">
        <v>0</v>
      </c>
      <c r="L1309" s="40" t="n">
        <v>0</v>
      </c>
    </row>
    <row r="1310" ht="12" customHeight="1">
      <c r="A1310" s="30" t="inlineStr">
        <is>
          <t>ITG</t>
        </is>
      </c>
      <c r="B1310" s="30" t="inlineStr">
        <is>
          <t>Itaguai</t>
        </is>
      </c>
      <c r="C1310" s="30" t="n">
        <v>80048068</v>
      </c>
      <c r="D1310" s="30">
        <f>"30069314000101"</f>
        <v/>
      </c>
      <c r="E1310" s="30" t="inlineStr">
        <is>
          <t>AUTO VIACAO 1001 LTDA</t>
        </is>
      </c>
      <c r="F1310" s="40" t="n">
        <v>0</v>
      </c>
      <c r="G1310" s="40" t="n">
        <v>0</v>
      </c>
      <c r="H1310" s="40" t="n">
        <v>5450</v>
      </c>
      <c r="I1310" s="40" t="n">
        <v>0</v>
      </c>
      <c r="J1310" s="40" t="n">
        <v>0</v>
      </c>
      <c r="K1310" s="40" t="n">
        <v>13200</v>
      </c>
      <c r="L1310" s="40" t="n">
        <v>2240</v>
      </c>
    </row>
    <row r="1311" ht="12" customHeight="1">
      <c r="A1311" s="30" t="inlineStr">
        <is>
          <t>ITG</t>
        </is>
      </c>
      <c r="B1311" s="30" t="inlineStr">
        <is>
          <t>Itaguai</t>
        </is>
      </c>
      <c r="C1311" s="30" t="n">
        <v>80150636</v>
      </c>
      <c r="D1311" s="30">
        <f>"29853942000102"</f>
        <v/>
      </c>
      <c r="E1311" s="30" t="inlineStr">
        <is>
          <t>RIO ITA LTDA</t>
        </is>
      </c>
      <c r="F1311" s="40" t="n">
        <v>5295</v>
      </c>
      <c r="G1311" s="40" t="n">
        <v>0</v>
      </c>
      <c r="H1311" s="40" t="n">
        <v>1260</v>
      </c>
      <c r="I1311" s="40" t="n">
        <v>0</v>
      </c>
      <c r="J1311" s="40" t="n">
        <v>3490</v>
      </c>
      <c r="K1311" s="40" t="n">
        <v>6650</v>
      </c>
      <c r="L1311" s="40" t="n">
        <v>2880</v>
      </c>
    </row>
    <row r="1312" ht="12" customHeight="1">
      <c r="A1312" s="30" t="inlineStr">
        <is>
          <t>ITG</t>
        </is>
      </c>
      <c r="B1312" s="30" t="inlineStr">
        <is>
          <t>Itaguai</t>
        </is>
      </c>
      <c r="C1312" s="30" t="n">
        <v>80219431</v>
      </c>
      <c r="D1312" s="30">
        <f>"29336278000116"</f>
        <v/>
      </c>
      <c r="E1312" s="30" t="inlineStr">
        <is>
          <t>AUTO VIACAO REGINAS LTDA</t>
        </is>
      </c>
      <c r="F1312" s="40" t="n">
        <v>0</v>
      </c>
      <c r="G1312" s="40" t="n">
        <v>2532349.69</v>
      </c>
      <c r="H1312" s="40" t="n">
        <v>3497201.49</v>
      </c>
      <c r="I1312" s="40" t="n">
        <v>3798376.9</v>
      </c>
      <c r="J1312" s="40" t="n">
        <v>6975937.31</v>
      </c>
      <c r="K1312" s="40" t="n">
        <v>8782701.77</v>
      </c>
      <c r="L1312" s="40" t="n">
        <v>9071563.699999999</v>
      </c>
    </row>
    <row r="1313" ht="12" customHeight="1">
      <c r="A1313" s="30" t="inlineStr">
        <is>
          <t>ITG</t>
        </is>
      </c>
      <c r="B1313" s="30" t="inlineStr">
        <is>
          <t>Itaguai</t>
        </is>
      </c>
      <c r="C1313" s="30" t="n">
        <v>80284446</v>
      </c>
      <c r="D1313" s="30">
        <f>"31918535000170"</f>
        <v/>
      </c>
      <c r="E1313" s="30" t="inlineStr">
        <is>
          <t>TRANSTURISMO TRANSPORTADORA ORIENTAL LTDA</t>
        </is>
      </c>
      <c r="F1313" s="40" t="n">
        <v>3187973.26</v>
      </c>
      <c r="G1313" s="40" t="n">
        <v>3466507.18</v>
      </c>
      <c r="H1313" s="40" t="n">
        <v>0</v>
      </c>
      <c r="I1313" s="40" t="n">
        <v>0</v>
      </c>
      <c r="J1313" s="40" t="n">
        <v>0</v>
      </c>
      <c r="K1313" s="40" t="n">
        <v>0</v>
      </c>
      <c r="L1313" s="40" t="n">
        <v>0</v>
      </c>
    </row>
    <row r="1314" ht="12" customHeight="1">
      <c r="A1314" s="30" t="inlineStr">
        <is>
          <t>ITG</t>
        </is>
      </c>
      <c r="B1314" s="30" t="inlineStr">
        <is>
          <t>Itaguai</t>
        </is>
      </c>
      <c r="C1314" s="30" t="n">
        <v>80394012</v>
      </c>
      <c r="D1314" s="30">
        <f>"29663762000150"</f>
        <v/>
      </c>
      <c r="E1314" s="30" t="inlineStr">
        <is>
          <t>LANCHONETE E RESTAURANTE COSTA VERDE LTDA</t>
        </is>
      </c>
      <c r="F1314" s="40" t="n">
        <v>0</v>
      </c>
      <c r="G1314" s="40" t="n">
        <v>0</v>
      </c>
      <c r="H1314" s="40" t="n">
        <v>0</v>
      </c>
      <c r="I1314" s="40" t="n">
        <v>0</v>
      </c>
      <c r="J1314" s="40" t="n">
        <v>1961478.63</v>
      </c>
      <c r="K1314" s="40" t="n">
        <v>816078.47</v>
      </c>
      <c r="L1314" s="40" t="n">
        <v>0</v>
      </c>
    </row>
    <row r="1315" ht="12" customHeight="1">
      <c r="A1315" s="30" t="inlineStr">
        <is>
          <t>ITG</t>
        </is>
      </c>
      <c r="B1315" s="30" t="inlineStr">
        <is>
          <t>Itaguai</t>
        </is>
      </c>
      <c r="C1315" s="30" t="n">
        <v>80394780</v>
      </c>
      <c r="D1315" s="30">
        <f>"29085206000143"</f>
        <v/>
      </c>
      <c r="E1315" s="30" t="inlineStr">
        <is>
          <t>CANNES MOTEL LTDA ME</t>
        </is>
      </c>
      <c r="F1315" s="40" t="n">
        <v>0</v>
      </c>
      <c r="G1315" s="40" t="n">
        <v>0</v>
      </c>
      <c r="H1315" s="40" t="n">
        <v>0</v>
      </c>
      <c r="I1315" s="40" t="n">
        <v>0</v>
      </c>
      <c r="J1315" s="40" t="n">
        <v>0</v>
      </c>
      <c r="K1315" s="40" t="n">
        <v>0</v>
      </c>
      <c r="L1315" s="40" t="n">
        <v>0</v>
      </c>
    </row>
    <row r="1316" ht="12" customHeight="1">
      <c r="A1316" s="30" t="inlineStr">
        <is>
          <t>ITG</t>
        </is>
      </c>
      <c r="B1316" s="30" t="inlineStr">
        <is>
          <t>Itaguai</t>
        </is>
      </c>
      <c r="C1316" s="30" t="n">
        <v>80398239</v>
      </c>
      <c r="D1316" s="30">
        <f>"30225668000106"</f>
        <v/>
      </c>
      <c r="E1316" s="30" t="inlineStr">
        <is>
          <t>N A DA SILVA DROGARIAS LTDA EPP</t>
        </is>
      </c>
      <c r="F1316" s="40" t="n">
        <v>0</v>
      </c>
      <c r="G1316" s="40" t="n">
        <v>3709815.25</v>
      </c>
      <c r="H1316" s="40" t="n">
        <v>880575.03</v>
      </c>
      <c r="I1316" s="40" t="n">
        <v>246921.08</v>
      </c>
      <c r="J1316" s="40" t="n">
        <v>1071570.68</v>
      </c>
      <c r="K1316" s="40" t="n">
        <v>1596885.9</v>
      </c>
      <c r="L1316" s="40" t="n">
        <v>0</v>
      </c>
    </row>
    <row r="1317" ht="12" customHeight="1">
      <c r="A1317" s="30" t="inlineStr">
        <is>
          <t>ITG</t>
        </is>
      </c>
      <c r="B1317" s="30" t="inlineStr">
        <is>
          <t>Itaguai</t>
        </is>
      </c>
      <c r="C1317" s="30" t="n">
        <v>80400462</v>
      </c>
      <c r="D1317" s="30">
        <f>"42515882000330"</f>
        <v/>
      </c>
      <c r="E1317" s="30" t="inlineStr">
        <is>
          <t>NUCLEBRAS EQUIPAMENTOS PESADOS S/A NUCLEP</t>
        </is>
      </c>
      <c r="F1317" s="40" t="n">
        <v>340429.43</v>
      </c>
      <c r="G1317" s="40" t="n">
        <v>49359170.44</v>
      </c>
      <c r="H1317" s="40" t="n">
        <v>115320249.12</v>
      </c>
      <c r="I1317" s="40" t="n">
        <v>65012276.03</v>
      </c>
      <c r="J1317" s="40" t="n">
        <v>85434.92999999999</v>
      </c>
      <c r="K1317" s="40" t="n">
        <v>0</v>
      </c>
      <c r="L1317" s="40" t="n">
        <v>662251.1</v>
      </c>
    </row>
    <row r="1318" ht="12" customHeight="1">
      <c r="A1318" s="30" t="inlineStr">
        <is>
          <t>ITG</t>
        </is>
      </c>
      <c r="B1318" s="30" t="inlineStr">
        <is>
          <t>Itaguai</t>
        </is>
      </c>
      <c r="C1318" s="30" t="n">
        <v>80400489</v>
      </c>
      <c r="D1318" s="30">
        <f>"30245542000195"</f>
        <v/>
      </c>
      <c r="E1318" s="30" t="inlineStr">
        <is>
          <t>FRIGORIFICO BEIJA FLOR COM ATAC E VAR DE PROD ALIM LTDA EPP</t>
        </is>
      </c>
      <c r="F1318" s="40" t="n">
        <v>511976.77</v>
      </c>
      <c r="G1318" s="40" t="n">
        <v>1276879.77</v>
      </c>
      <c r="H1318" s="40" t="n">
        <v>1097104.87</v>
      </c>
      <c r="I1318" s="40" t="n">
        <v>0</v>
      </c>
      <c r="J1318" s="40" t="n">
        <v>550679.92</v>
      </c>
      <c r="K1318" s="40" t="n">
        <v>1045528.37</v>
      </c>
      <c r="L1318" s="40" t="n">
        <v>326347.82</v>
      </c>
    </row>
    <row r="1319" ht="12" customHeight="1">
      <c r="A1319" s="30" t="inlineStr">
        <is>
          <t>ITG</t>
        </is>
      </c>
      <c r="B1319" s="30" t="inlineStr">
        <is>
          <t>Itaguai</t>
        </is>
      </c>
      <c r="C1319" s="30" t="n">
        <v>80404336</v>
      </c>
      <c r="D1319" s="30">
        <f>"30612030000110"</f>
        <v/>
      </c>
      <c r="E1319" s="30" t="inlineStr">
        <is>
          <t>COMPASSOS BAZAR E DISTRIBUIDORA LTDA</t>
        </is>
      </c>
      <c r="F1319" s="40" t="n">
        <v>619155.66</v>
      </c>
      <c r="G1319" s="40" t="n">
        <v>1536990.53</v>
      </c>
      <c r="H1319" s="40" t="n">
        <v>1418807.51</v>
      </c>
      <c r="I1319" s="40" t="n">
        <v>560012.62</v>
      </c>
      <c r="J1319" s="40" t="n">
        <v>1819537.43</v>
      </c>
      <c r="K1319" s="40" t="n">
        <v>1964905</v>
      </c>
      <c r="L1319" s="40" t="n">
        <v>2718223.72</v>
      </c>
    </row>
    <row r="1320" ht="12" customHeight="1">
      <c r="A1320" s="30" t="inlineStr">
        <is>
          <t>ITG</t>
        </is>
      </c>
      <c r="B1320" s="30" t="inlineStr">
        <is>
          <t>Itaguai</t>
        </is>
      </c>
      <c r="C1320" s="30" t="n">
        <v>80404565</v>
      </c>
      <c r="D1320" s="30">
        <f>"30933311000174"</f>
        <v/>
      </c>
      <c r="E1320" s="30" t="inlineStr">
        <is>
          <t>COMERCIO DE DERIVADOS DE PETROLEO VANILDA LTDA</t>
        </is>
      </c>
      <c r="F1320" s="40" t="n">
        <v>4941241.12</v>
      </c>
      <c r="G1320" s="40" t="n">
        <v>4676877.42</v>
      </c>
      <c r="H1320" s="40" t="n">
        <v>6233339.11</v>
      </c>
      <c r="I1320" s="40" t="n">
        <v>5205963.62</v>
      </c>
      <c r="J1320" s="40" t="n">
        <v>6489193.95</v>
      </c>
      <c r="K1320" s="40" t="n">
        <v>7333982.59</v>
      </c>
      <c r="L1320" s="40" t="n">
        <v>5444754.18</v>
      </c>
    </row>
    <row r="1321" ht="12" customHeight="1">
      <c r="A1321" s="30" t="inlineStr">
        <is>
          <t>ITG</t>
        </is>
      </c>
      <c r="B1321" s="30" t="inlineStr">
        <is>
          <t>Itaguai</t>
        </is>
      </c>
      <c r="C1321" s="30" t="n">
        <v>80404646</v>
      </c>
      <c r="D1321" s="30">
        <f>"27802222000184"</f>
        <v/>
      </c>
      <c r="E1321" s="30" t="inlineStr">
        <is>
          <t>SAKURA PRESENTES EIRELI</t>
        </is>
      </c>
      <c r="F1321" s="40" t="n">
        <v>6955955.62</v>
      </c>
      <c r="G1321" s="40" t="n">
        <v>6426641.22</v>
      </c>
      <c r="H1321" s="40" t="n">
        <v>7533283.29</v>
      </c>
      <c r="I1321" s="40" t="n">
        <v>6982822.45</v>
      </c>
      <c r="J1321" s="40" t="n">
        <v>4320190.63</v>
      </c>
      <c r="K1321" s="40" t="n">
        <v>7292566.66</v>
      </c>
      <c r="L1321" s="40" t="n">
        <v>9653029.130000001</v>
      </c>
    </row>
    <row r="1322" ht="12" customHeight="1">
      <c r="A1322" s="30" t="inlineStr">
        <is>
          <t>ITG</t>
        </is>
      </c>
      <c r="B1322" s="30" t="inlineStr">
        <is>
          <t>Itaguai</t>
        </is>
      </c>
      <c r="C1322" s="30" t="n">
        <v>80405189</v>
      </c>
      <c r="D1322" s="30">
        <f>"27195650000196"</f>
        <v/>
      </c>
      <c r="E1322" s="30" t="inlineStr">
        <is>
          <t>CEFL COMERCIO ELETRO GAS FUKAMATI LTDA</t>
        </is>
      </c>
      <c r="F1322" s="40" t="n">
        <v>0</v>
      </c>
      <c r="G1322" s="40" t="n">
        <v>0</v>
      </c>
      <c r="H1322" s="40" t="n">
        <v>0</v>
      </c>
      <c r="I1322" s="40" t="n">
        <v>5026905.1</v>
      </c>
      <c r="J1322" s="40" t="n">
        <v>4363907.44</v>
      </c>
      <c r="K1322" s="40" t="n">
        <v>4301161.81</v>
      </c>
      <c r="L1322" s="40" t="n">
        <v>5551095.89</v>
      </c>
    </row>
    <row r="1323" ht="12" customHeight="1">
      <c r="A1323" s="30" t="inlineStr">
        <is>
          <t>ITG</t>
        </is>
      </c>
      <c r="B1323" s="30" t="inlineStr">
        <is>
          <t>Itaguai</t>
        </is>
      </c>
      <c r="C1323" s="30" t="n">
        <v>80462751</v>
      </c>
      <c r="D1323" s="30">
        <f>"32350746000111"</f>
        <v/>
      </c>
      <c r="E1323" s="30" t="inlineStr">
        <is>
          <t>COOPERATIVA MISTA DE VALENCA DE RESPONSABILIDADE LTDA</t>
        </is>
      </c>
      <c r="F1323" s="40" t="n">
        <v>727112.17</v>
      </c>
      <c r="G1323" s="40" t="n">
        <v>357700.46</v>
      </c>
      <c r="H1323" s="40" t="n">
        <v>81954.5</v>
      </c>
      <c r="I1323" s="40" t="n">
        <v>49593.65</v>
      </c>
      <c r="J1323" s="40" t="n">
        <v>0</v>
      </c>
      <c r="K1323" s="40" t="n">
        <v>0</v>
      </c>
      <c r="L1323" s="40" t="n">
        <v>0</v>
      </c>
    </row>
    <row r="1324" ht="12" customHeight="1">
      <c r="A1324" s="30" t="inlineStr">
        <is>
          <t>ITG</t>
        </is>
      </c>
      <c r="B1324" s="30" t="inlineStr">
        <is>
          <t>Itaguai</t>
        </is>
      </c>
      <c r="C1324" s="30" t="n">
        <v>80525745</v>
      </c>
      <c r="D1324" s="30">
        <f>"29453826000198"</f>
        <v/>
      </c>
      <c r="E1324" s="30" t="inlineStr">
        <is>
          <t>TRANSPORTE GENEROSO LTDA</t>
        </is>
      </c>
      <c r="F1324" s="40" t="n">
        <v>0</v>
      </c>
      <c r="G1324" s="40" t="n">
        <v>0</v>
      </c>
      <c r="H1324" s="40" t="n">
        <v>0</v>
      </c>
      <c r="I1324" s="40" t="n">
        <v>0</v>
      </c>
      <c r="J1324" s="40" t="n">
        <v>289.72</v>
      </c>
      <c r="K1324" s="40" t="n">
        <v>0</v>
      </c>
      <c r="L1324" s="40" t="n">
        <v>0</v>
      </c>
    </row>
    <row r="1325" ht="12" customHeight="1">
      <c r="A1325" s="30" t="inlineStr">
        <is>
          <t>ITG</t>
        </is>
      </c>
      <c r="B1325" s="30" t="inlineStr">
        <is>
          <t>Itaguai</t>
        </is>
      </c>
      <c r="C1325" s="30" t="n">
        <v>80615132</v>
      </c>
      <c r="D1325" s="30">
        <f>"29832318000110"</f>
        <v/>
      </c>
      <c r="E1325" s="30" t="inlineStr">
        <is>
          <t>HOTEP - HOTEIS E EMPREENDIMENTOS TURISTICOS PEREQUE LTDA</t>
        </is>
      </c>
      <c r="F1325" s="40" t="n">
        <v>0</v>
      </c>
      <c r="G1325" s="40" t="n">
        <v>2963.02</v>
      </c>
      <c r="H1325" s="40" t="n">
        <v>0</v>
      </c>
      <c r="I1325" s="40" t="n">
        <v>0</v>
      </c>
      <c r="J1325" s="40" t="n">
        <v>0</v>
      </c>
      <c r="K1325" s="40" t="n">
        <v>0</v>
      </c>
      <c r="L1325" s="40" t="n">
        <v>0</v>
      </c>
    </row>
    <row r="1326" ht="12" customHeight="1">
      <c r="A1326" s="30" t="inlineStr">
        <is>
          <t>ITG</t>
        </is>
      </c>
      <c r="B1326" s="30" t="inlineStr">
        <is>
          <t>Itaguai</t>
        </is>
      </c>
      <c r="C1326" s="30" t="n">
        <v>80735936</v>
      </c>
      <c r="D1326" s="30">
        <f>"49930514002693"</f>
        <v/>
      </c>
      <c r="E1326" s="30" t="inlineStr">
        <is>
          <t>SODEXO DO BRASIL COMERCIAL S A</t>
        </is>
      </c>
      <c r="F1326" s="40" t="n">
        <v>0</v>
      </c>
      <c r="G1326" s="40" t="n">
        <v>0</v>
      </c>
      <c r="H1326" s="40" t="n">
        <v>0</v>
      </c>
      <c r="I1326" s="40" t="n">
        <v>284600.26</v>
      </c>
      <c r="J1326" s="40" t="n">
        <v>2468037.27</v>
      </c>
      <c r="K1326" s="40" t="n">
        <v>1189100.12</v>
      </c>
      <c r="L1326" s="40" t="n">
        <v>1537265.67</v>
      </c>
    </row>
    <row r="1327" ht="12" customHeight="1">
      <c r="A1327" s="30" t="inlineStr">
        <is>
          <t>ITG</t>
        </is>
      </c>
      <c r="B1327" s="30" t="inlineStr">
        <is>
          <t>Itaguai</t>
        </is>
      </c>
      <c r="C1327" s="30" t="n">
        <v>80752903</v>
      </c>
      <c r="D1327" s="30">
        <f>"29347887000170"</f>
        <v/>
      </c>
      <c r="E1327" s="30" t="inlineStr">
        <is>
          <t>TRANS TURISMO RIO MINHO LTDA</t>
        </is>
      </c>
      <c r="F1327" s="40" t="n">
        <v>15325</v>
      </c>
      <c r="G1327" s="40" t="n">
        <v>0</v>
      </c>
      <c r="H1327" s="40" t="n">
        <v>4885.04</v>
      </c>
      <c r="I1327" s="40" t="n">
        <v>4890</v>
      </c>
      <c r="J1327" s="40" t="n">
        <v>2520</v>
      </c>
      <c r="K1327" s="40" t="n">
        <v>1250</v>
      </c>
      <c r="L1327" s="40" t="n">
        <v>0</v>
      </c>
    </row>
    <row r="1328" ht="12" customHeight="1">
      <c r="A1328" s="30" t="inlineStr">
        <is>
          <t>ITG</t>
        </is>
      </c>
      <c r="B1328" s="30" t="inlineStr">
        <is>
          <t>Itaguai</t>
        </is>
      </c>
      <c r="C1328" s="30" t="n">
        <v>80781431</v>
      </c>
      <c r="D1328" s="30">
        <f>"32285454000142"</f>
        <v/>
      </c>
      <c r="E1328" s="30" t="inlineStr">
        <is>
          <t>VIACAO SALUTARIS E TURISMO SA</t>
        </is>
      </c>
      <c r="F1328" s="40" t="n">
        <v>0</v>
      </c>
      <c r="G1328" s="40" t="n">
        <v>0</v>
      </c>
      <c r="H1328" s="40" t="n">
        <v>0</v>
      </c>
      <c r="I1328" s="40" t="n">
        <v>0</v>
      </c>
      <c r="J1328" s="40" t="n">
        <v>0</v>
      </c>
      <c r="K1328" s="40" t="n">
        <v>4934.72</v>
      </c>
      <c r="L1328" s="40" t="n">
        <v>0</v>
      </c>
    </row>
    <row r="1329" ht="12" customHeight="1">
      <c r="A1329" s="30" t="inlineStr">
        <is>
          <t>ITG</t>
        </is>
      </c>
      <c r="B1329" s="30" t="inlineStr">
        <is>
          <t>Itaguai</t>
        </is>
      </c>
      <c r="C1329" s="30" t="n">
        <v>80829795</v>
      </c>
      <c r="D1329" s="30">
        <f>"32404063000108"</f>
        <v/>
      </c>
      <c r="E1329" s="30" t="inlineStr">
        <is>
          <t>VIACAO PROGRESSO E TURISMO S/A</t>
        </is>
      </c>
      <c r="F1329" s="40" t="n">
        <v>2601.27</v>
      </c>
      <c r="G1329" s="40" t="n">
        <v>1787.55</v>
      </c>
      <c r="H1329" s="40" t="n">
        <v>3366.29</v>
      </c>
      <c r="I1329" s="40" t="n">
        <v>1140.92</v>
      </c>
      <c r="J1329" s="40" t="n">
        <v>333.14</v>
      </c>
      <c r="K1329" s="40" t="n">
        <v>0</v>
      </c>
      <c r="L1329" s="40" t="n">
        <v>0</v>
      </c>
    </row>
    <row r="1330" ht="12" customHeight="1">
      <c r="A1330" s="30" t="inlineStr">
        <is>
          <t>ITG</t>
        </is>
      </c>
      <c r="B1330" s="30" t="inlineStr">
        <is>
          <t>Itaguai</t>
        </is>
      </c>
      <c r="C1330" s="30" t="n">
        <v>80978006</v>
      </c>
      <c r="D1330" s="30">
        <f>"02224206000120"</f>
        <v/>
      </c>
      <c r="E1330" s="30" t="inlineStr">
        <is>
          <t>TRANSPORTADORA MACABU LTDA</t>
        </is>
      </c>
      <c r="F1330" s="40" t="n">
        <v>14667.25</v>
      </c>
      <c r="G1330" s="40" t="n">
        <v>0</v>
      </c>
      <c r="H1330" s="40" t="n">
        <v>0</v>
      </c>
      <c r="I1330" s="40" t="n">
        <v>0</v>
      </c>
      <c r="J1330" s="40" t="n">
        <v>0</v>
      </c>
      <c r="K1330" s="40" t="n">
        <v>0</v>
      </c>
      <c r="L1330" s="40" t="n">
        <v>0</v>
      </c>
    </row>
    <row r="1331" ht="12" customHeight="1">
      <c r="A1331" s="30" t="inlineStr">
        <is>
          <t>ITG</t>
        </is>
      </c>
      <c r="B1331" s="30" t="inlineStr">
        <is>
          <t>Itaguai</t>
        </is>
      </c>
      <c r="C1331" s="30" t="n">
        <v>81146853</v>
      </c>
      <c r="D1331" s="30">
        <f>"19632116005807"</f>
        <v/>
      </c>
      <c r="E1331" s="30" t="inlineStr">
        <is>
          <t>VIACAO RIODOCE LTDA</t>
        </is>
      </c>
      <c r="F1331" s="40" t="n">
        <v>148639.22</v>
      </c>
      <c r="G1331" s="40" t="n">
        <v>159795.92</v>
      </c>
      <c r="H1331" s="40" t="n">
        <v>155304.39</v>
      </c>
      <c r="I1331" s="40" t="n">
        <v>65271.39</v>
      </c>
      <c r="J1331" s="40" t="n">
        <v>122866.64</v>
      </c>
      <c r="K1331" s="40" t="n">
        <v>137330.11</v>
      </c>
      <c r="L1331" s="40" t="n">
        <v>143117.74</v>
      </c>
    </row>
    <row r="1332" ht="12" customHeight="1">
      <c r="A1332" s="30" t="inlineStr">
        <is>
          <t>ITG</t>
        </is>
      </c>
      <c r="B1332" s="30" t="inlineStr">
        <is>
          <t>Itaguai</t>
        </is>
      </c>
      <c r="C1332" s="30" t="n">
        <v>81215006</v>
      </c>
      <c r="D1332" s="30">
        <f>"42182949000108"</f>
        <v/>
      </c>
      <c r="E1332" s="30" t="inlineStr">
        <is>
          <t>TRANSPORTES SANTA PAULA LTDA</t>
        </is>
      </c>
      <c r="F1332" s="40" t="n">
        <v>88430.32000000001</v>
      </c>
      <c r="G1332" s="40" t="n">
        <v>414397.05</v>
      </c>
      <c r="H1332" s="40" t="n">
        <v>0</v>
      </c>
      <c r="I1332" s="40" t="n">
        <v>0</v>
      </c>
      <c r="J1332" s="40" t="n">
        <v>0</v>
      </c>
      <c r="K1332" s="40" t="n">
        <v>0</v>
      </c>
      <c r="L1332" s="40" t="n">
        <v>0</v>
      </c>
    </row>
    <row r="1333" ht="12" customHeight="1">
      <c r="A1333" s="30" t="inlineStr">
        <is>
          <t>ITG</t>
        </is>
      </c>
      <c r="B1333" s="30" t="inlineStr">
        <is>
          <t>Itaguai</t>
        </is>
      </c>
      <c r="C1333" s="30" t="n">
        <v>81239592</v>
      </c>
      <c r="D1333" s="30">
        <f>"58890252000202"</f>
        <v/>
      </c>
      <c r="E1333" s="30" t="inlineStr">
        <is>
          <t>DHL EXPRESS BRASIL LTDA</t>
        </is>
      </c>
      <c r="F1333" s="40" t="n">
        <v>13255.38</v>
      </c>
      <c r="G1333" s="40" t="n">
        <v>50415.32</v>
      </c>
      <c r="H1333" s="40" t="n">
        <v>25396.03</v>
      </c>
      <c r="I1333" s="40" t="n">
        <v>14106.92</v>
      </c>
      <c r="J1333" s="40" t="n">
        <v>22586.58</v>
      </c>
      <c r="K1333" s="40" t="n">
        <v>26989.63</v>
      </c>
      <c r="L1333" s="40" t="n">
        <v>28129.44</v>
      </c>
    </row>
    <row r="1334" ht="12" customHeight="1">
      <c r="A1334" s="30" t="inlineStr">
        <is>
          <t>ITG</t>
        </is>
      </c>
      <c r="B1334" s="30" t="inlineStr">
        <is>
          <t>Itaguai</t>
        </is>
      </c>
      <c r="C1334" s="30" t="n">
        <v>81258872</v>
      </c>
      <c r="D1334" s="30">
        <f>"87183570000738"</f>
        <v/>
      </c>
      <c r="E1334" s="30" t="inlineStr">
        <is>
          <t>TRANSPORTADORA MINUANO LTDA</t>
        </is>
      </c>
      <c r="F1334" s="40" t="n">
        <v>3062.88</v>
      </c>
      <c r="G1334" s="40" t="n">
        <v>4792.76</v>
      </c>
      <c r="H1334" s="40" t="n">
        <v>3853.09</v>
      </c>
      <c r="I1334" s="40" t="n">
        <v>1428.46</v>
      </c>
      <c r="J1334" s="40" t="n">
        <v>2444.27</v>
      </c>
      <c r="K1334" s="40" t="n">
        <v>4501.59</v>
      </c>
      <c r="L1334" s="40" t="n">
        <v>4440.95</v>
      </c>
    </row>
    <row r="1335" ht="12" customHeight="1">
      <c r="A1335" s="30" t="inlineStr">
        <is>
          <t>ITG</t>
        </is>
      </c>
      <c r="B1335" s="30" t="inlineStr">
        <is>
          <t>Itaguai</t>
        </is>
      </c>
      <c r="C1335" s="30" t="n">
        <v>81330174</v>
      </c>
      <c r="D1335" s="30">
        <f>"02905110001957"</f>
        <v/>
      </c>
      <c r="E1335" s="30" t="inlineStr">
        <is>
          <t>GR SERVICOS E ALIMENTACAO LTDA</t>
        </is>
      </c>
      <c r="F1335" s="40" t="n">
        <v>3590263.71</v>
      </c>
      <c r="G1335" s="40" t="n">
        <v>3545196.11</v>
      </c>
      <c r="H1335" s="40" t="n">
        <v>3861792.64</v>
      </c>
      <c r="I1335" s="40" t="n">
        <v>3463525.63</v>
      </c>
      <c r="J1335" s="40" t="n">
        <v>0</v>
      </c>
      <c r="K1335" s="40" t="n">
        <v>0</v>
      </c>
      <c r="L1335" s="40" t="n">
        <v>0</v>
      </c>
    </row>
    <row r="1336" ht="12" customHeight="1">
      <c r="A1336" s="30" t="inlineStr">
        <is>
          <t>ITG</t>
        </is>
      </c>
      <c r="B1336" s="30" t="inlineStr">
        <is>
          <t>Itaguai</t>
        </is>
      </c>
      <c r="C1336" s="30" t="n">
        <v>81380023</v>
      </c>
      <c r="D1336" s="30">
        <f>"60444437000146"</f>
        <v/>
      </c>
      <c r="E1336" s="30" t="inlineStr">
        <is>
          <t>LIGHT SERVICOS DE ELETRICIDADE S A</t>
        </is>
      </c>
      <c r="F1336" s="40" t="n">
        <v>162547270.68</v>
      </c>
      <c r="G1336" s="40" t="n">
        <v>185690305.16</v>
      </c>
      <c r="H1336" s="40" t="n">
        <v>217425131.02</v>
      </c>
      <c r="I1336" s="40" t="n">
        <v>202761202.82</v>
      </c>
      <c r="J1336" s="40" t="n">
        <v>251530304.51</v>
      </c>
      <c r="K1336" s="40" t="n">
        <v>252406486.05</v>
      </c>
      <c r="L1336" s="40" t="n">
        <v>249495459.85</v>
      </c>
    </row>
    <row r="1337" ht="12" customHeight="1">
      <c r="A1337" s="30" t="inlineStr">
        <is>
          <t>ITG</t>
        </is>
      </c>
      <c r="B1337" s="30" t="inlineStr">
        <is>
          <t>Itaguai</t>
        </is>
      </c>
      <c r="C1337" s="30" t="n">
        <v>81425906</v>
      </c>
      <c r="D1337" s="30">
        <f>"42278291000124"</f>
        <v/>
      </c>
      <c r="E1337" s="30" t="inlineStr">
        <is>
          <t>LOG IN LOGISTICA INTERMODAL S/A</t>
        </is>
      </c>
      <c r="F1337" s="40" t="n">
        <v>0</v>
      </c>
      <c r="G1337" s="40" t="n">
        <v>0</v>
      </c>
      <c r="H1337" s="40" t="n">
        <v>0</v>
      </c>
      <c r="I1337" s="40" t="n">
        <v>13084.28</v>
      </c>
      <c r="J1337" s="40" t="n">
        <v>1514100.8</v>
      </c>
      <c r="K1337" s="40" t="n">
        <v>0</v>
      </c>
      <c r="L1337" s="40" t="n">
        <v>911422.35</v>
      </c>
    </row>
    <row r="1338" ht="12" customHeight="1">
      <c r="A1338" s="30" t="inlineStr">
        <is>
          <t>ITG</t>
        </is>
      </c>
      <c r="B1338" s="30" t="inlineStr">
        <is>
          <t>Itaguai</t>
        </is>
      </c>
      <c r="C1338" s="30" t="n">
        <v>81432279</v>
      </c>
      <c r="D1338" s="30">
        <f>"33130543003955"</f>
        <v/>
      </c>
      <c r="E1338" s="30" t="inlineStr">
        <is>
          <t>CASAS GUANABARA COMESTIVEIS LTDA</t>
        </is>
      </c>
      <c r="F1338" s="40" t="n">
        <v>45874062.63</v>
      </c>
      <c r="G1338" s="40" t="n">
        <v>43627108.95</v>
      </c>
      <c r="H1338" s="40" t="n">
        <v>45416564.19</v>
      </c>
      <c r="I1338" s="40" t="n">
        <v>51483748.86</v>
      </c>
      <c r="J1338" s="40" t="n">
        <v>48010630.21</v>
      </c>
      <c r="K1338" s="40" t="n">
        <v>48584171.93</v>
      </c>
      <c r="L1338" s="40" t="n">
        <v>50825737.34</v>
      </c>
    </row>
    <row r="1339" ht="12" customHeight="1">
      <c r="A1339" s="30" t="inlineStr">
        <is>
          <t>ITG</t>
        </is>
      </c>
      <c r="B1339" s="30" t="inlineStr">
        <is>
          <t>Itaguai</t>
        </is>
      </c>
      <c r="C1339" s="30" t="n">
        <v>81432430</v>
      </c>
      <c r="D1339" s="30">
        <f>"24314862000157"</f>
        <v/>
      </c>
      <c r="E1339" s="30" t="inlineStr">
        <is>
          <t>AUTO POSTO DO TRABALHO ITAGUAI I LTDA</t>
        </is>
      </c>
      <c r="F1339" s="40" t="n">
        <v>1447932.58</v>
      </c>
      <c r="G1339" s="40" t="n">
        <v>2209646.43</v>
      </c>
      <c r="H1339" s="40" t="n">
        <v>1637233.4</v>
      </c>
      <c r="I1339" s="40" t="n">
        <v>915540.35</v>
      </c>
      <c r="J1339" s="40" t="n">
        <v>1080166.63</v>
      </c>
      <c r="K1339" s="40" t="n">
        <v>3967948.79</v>
      </c>
      <c r="L1339" s="40" t="n">
        <v>2005925.45</v>
      </c>
    </row>
    <row r="1340" ht="12" customHeight="1">
      <c r="A1340" s="30" t="inlineStr">
        <is>
          <t>ITG</t>
        </is>
      </c>
      <c r="B1340" s="30" t="inlineStr">
        <is>
          <t>Itaguai</t>
        </is>
      </c>
      <c r="C1340" s="30" t="n">
        <v>81433763</v>
      </c>
      <c r="D1340" s="30">
        <f>"28027340000125"</f>
        <v/>
      </c>
      <c r="E1340" s="30" t="inlineStr">
        <is>
          <t>INDUSTRIA E COMERCIO CASTRO EIRELI</t>
        </is>
      </c>
      <c r="F1340" s="40" t="n">
        <v>11146.5</v>
      </c>
      <c r="G1340" s="40" t="n">
        <v>0</v>
      </c>
      <c r="H1340" s="40" t="n">
        <v>0</v>
      </c>
      <c r="I1340" s="40" t="n">
        <v>0</v>
      </c>
      <c r="J1340" s="40" t="n">
        <v>0</v>
      </c>
      <c r="K1340" s="40" t="n">
        <v>0</v>
      </c>
      <c r="L1340" s="40" t="n">
        <v>0</v>
      </c>
    </row>
    <row r="1341" ht="12" customHeight="1">
      <c r="A1341" s="30" t="inlineStr">
        <is>
          <t>ITG</t>
        </is>
      </c>
      <c r="B1341" s="30" t="inlineStr">
        <is>
          <t>Itaguai</t>
        </is>
      </c>
      <c r="C1341" s="30" t="n">
        <v>81439397</v>
      </c>
      <c r="D1341" s="30">
        <f>"30069314003127"</f>
        <v/>
      </c>
      <c r="E1341" s="30" t="inlineStr">
        <is>
          <t>AUTO VIACAO 1001 LTDA</t>
        </is>
      </c>
      <c r="F1341" s="40" t="n">
        <v>0</v>
      </c>
      <c r="G1341" s="40" t="n">
        <v>0</v>
      </c>
      <c r="H1341" s="40" t="n">
        <v>0</v>
      </c>
      <c r="I1341" s="40" t="n">
        <v>1047</v>
      </c>
      <c r="J1341" s="40" t="n">
        <v>0</v>
      </c>
      <c r="K1341" s="40" t="n">
        <v>0</v>
      </c>
      <c r="L1341" s="40" t="n">
        <v>0</v>
      </c>
    </row>
    <row r="1342" ht="12" customHeight="1">
      <c r="A1342" s="30" t="inlineStr">
        <is>
          <t>ITG</t>
        </is>
      </c>
      <c r="B1342" s="30" t="inlineStr">
        <is>
          <t>Itaguai</t>
        </is>
      </c>
      <c r="C1342" s="30" t="n">
        <v>81613419</v>
      </c>
      <c r="D1342" s="30">
        <f>"33841370000100"</f>
        <v/>
      </c>
      <c r="E1342" s="30" t="inlineStr">
        <is>
          <t>TRANSPORTADORA PEDRO ERNESTO LTDA EPP</t>
        </is>
      </c>
      <c r="F1342" s="40" t="n">
        <v>127650.31</v>
      </c>
      <c r="G1342" s="40" t="n">
        <v>0</v>
      </c>
      <c r="H1342" s="40" t="n">
        <v>0</v>
      </c>
      <c r="I1342" s="40" t="n">
        <v>0</v>
      </c>
      <c r="J1342" s="40" t="n">
        <v>0</v>
      </c>
      <c r="K1342" s="40" t="n">
        <v>41110.2</v>
      </c>
      <c r="L1342" s="40" t="n">
        <v>0</v>
      </c>
    </row>
    <row r="1343" ht="12" customHeight="1">
      <c r="A1343" s="30" t="inlineStr">
        <is>
          <t>ITG</t>
        </is>
      </c>
      <c r="B1343" s="30" t="inlineStr">
        <is>
          <t>Itaguai</t>
        </is>
      </c>
      <c r="C1343" s="30" t="n">
        <v>81613524</v>
      </c>
      <c r="D1343" s="30">
        <f>"34028316000294"</f>
        <v/>
      </c>
      <c r="E1343" s="30" t="inlineStr">
        <is>
          <t>EMPRESA BRASILEIRA DE CORREIOS E TELEGRAFOS</t>
        </is>
      </c>
      <c r="F1343" s="40" t="n">
        <v>12882.54</v>
      </c>
      <c r="G1343" s="40" t="n">
        <v>12231.96</v>
      </c>
      <c r="H1343" s="40" t="n">
        <v>43124.97</v>
      </c>
      <c r="I1343" s="40" t="n">
        <v>44430.84</v>
      </c>
      <c r="J1343" s="40" t="n">
        <v>49541.08</v>
      </c>
      <c r="K1343" s="40" t="n">
        <v>71842.94</v>
      </c>
      <c r="L1343" s="40" t="n">
        <v>51282.32</v>
      </c>
    </row>
    <row r="1344" ht="12" customHeight="1">
      <c r="A1344" s="30" t="inlineStr">
        <is>
          <t>ITG</t>
        </is>
      </c>
      <c r="B1344" s="30" t="inlineStr">
        <is>
          <t>Itaguai</t>
        </is>
      </c>
      <c r="C1344" s="30" t="n">
        <v>81614466</v>
      </c>
      <c r="D1344" s="30">
        <f>"33400219000137"</f>
        <v/>
      </c>
      <c r="E1344" s="30" t="inlineStr">
        <is>
          <t>EMPRESA DE TRANSPORTES SAO JORGE LTDA</t>
        </is>
      </c>
      <c r="F1344" s="40" t="n">
        <v>0</v>
      </c>
      <c r="G1344" s="40" t="n">
        <v>0</v>
      </c>
      <c r="H1344" s="40" t="n">
        <v>3620.4</v>
      </c>
      <c r="I1344" s="40" t="n">
        <v>0</v>
      </c>
      <c r="J1344" s="40" t="n">
        <v>3435.67</v>
      </c>
      <c r="K1344" s="40" t="n">
        <v>22380.03</v>
      </c>
      <c r="L1344" s="40" t="n">
        <v>0</v>
      </c>
    </row>
    <row r="1345" ht="12" customHeight="1">
      <c r="A1345" s="30" t="inlineStr">
        <is>
          <t>ITG</t>
        </is>
      </c>
      <c r="B1345" s="30" t="inlineStr">
        <is>
          <t>Itaguai</t>
        </is>
      </c>
      <c r="C1345" s="30" t="n">
        <v>81615470</v>
      </c>
      <c r="D1345" s="30">
        <f>"28141158000281"</f>
        <v/>
      </c>
      <c r="E1345" s="30" t="inlineStr">
        <is>
          <t>TRANSPORTADORA CONTINENTAL LTDA</t>
        </is>
      </c>
      <c r="F1345" s="40" t="n">
        <v>64.52</v>
      </c>
      <c r="G1345" s="40" t="n">
        <v>69.89</v>
      </c>
      <c r="H1345" s="40" t="n">
        <v>183.58</v>
      </c>
      <c r="I1345" s="40" t="n">
        <v>0</v>
      </c>
      <c r="J1345" s="40" t="n">
        <v>16.14</v>
      </c>
      <c r="K1345" s="40" t="n">
        <v>0</v>
      </c>
      <c r="L1345" s="40" t="n">
        <v>243.56</v>
      </c>
    </row>
    <row r="1346" ht="12" customHeight="1">
      <c r="A1346" s="30" t="inlineStr">
        <is>
          <t>ITG</t>
        </is>
      </c>
      <c r="B1346" s="30" t="inlineStr">
        <is>
          <t>Itaguai</t>
        </is>
      </c>
      <c r="C1346" s="30" t="n">
        <v>81621233</v>
      </c>
      <c r="D1346" s="30">
        <f>"46435293003580"</f>
        <v/>
      </c>
      <c r="E1346" s="30" t="inlineStr">
        <is>
          <t>ANDORINHA TRANSPORTADORA LTDA</t>
        </is>
      </c>
      <c r="F1346" s="40" t="n">
        <v>0</v>
      </c>
      <c r="G1346" s="40" t="n">
        <v>0</v>
      </c>
      <c r="H1346" s="40" t="n">
        <v>0</v>
      </c>
      <c r="I1346" s="40" t="n">
        <v>0</v>
      </c>
      <c r="J1346" s="40" t="n">
        <v>0</v>
      </c>
      <c r="K1346" s="40" t="n">
        <v>1260</v>
      </c>
      <c r="L1346" s="40" t="n">
        <v>0</v>
      </c>
    </row>
    <row r="1347" ht="12" customHeight="1">
      <c r="A1347" s="30" t="inlineStr">
        <is>
          <t>ITG</t>
        </is>
      </c>
      <c r="B1347" s="30" t="inlineStr">
        <is>
          <t>Itaguai</t>
        </is>
      </c>
      <c r="C1347" s="30" t="n">
        <v>81680469</v>
      </c>
      <c r="D1347" s="30">
        <f>"33000118000179"</f>
        <v/>
      </c>
      <c r="E1347" s="30" t="inlineStr">
        <is>
          <t>TELEMAR NORTE LESTE S/A EM RECUPERACAO JUDICIAL</t>
        </is>
      </c>
      <c r="F1347" s="40" t="n">
        <v>11799719</v>
      </c>
      <c r="G1347" s="40" t="n">
        <v>9373506.35</v>
      </c>
      <c r="H1347" s="40" t="n">
        <v>7677417.05</v>
      </c>
      <c r="I1347" s="40" t="n">
        <v>6410182.06</v>
      </c>
      <c r="J1347" s="40" t="n">
        <v>1789324.82</v>
      </c>
      <c r="K1347" s="40" t="n">
        <v>0</v>
      </c>
      <c r="L1347" s="40" t="n">
        <v>0</v>
      </c>
    </row>
    <row r="1348" ht="12" customHeight="1">
      <c r="A1348" s="30" t="inlineStr">
        <is>
          <t>ITG</t>
        </is>
      </c>
      <c r="B1348" s="30" t="inlineStr">
        <is>
          <t>Itaguai</t>
        </is>
      </c>
      <c r="C1348" s="30" t="n">
        <v>81754403</v>
      </c>
      <c r="D1348" s="30">
        <f>"33106642000129"</f>
        <v/>
      </c>
      <c r="E1348" s="30" t="inlineStr">
        <is>
          <t>MATERIAIS DE CONSTRUCAO SANTA LUZIA LTDA</t>
        </is>
      </c>
      <c r="F1348" s="40" t="n">
        <v>0</v>
      </c>
      <c r="G1348" s="40" t="n">
        <v>0</v>
      </c>
      <c r="H1348" s="40" t="n">
        <v>0</v>
      </c>
      <c r="I1348" s="40" t="n">
        <v>0</v>
      </c>
      <c r="J1348" s="40" t="n">
        <v>0</v>
      </c>
      <c r="K1348" s="40" t="n">
        <v>0</v>
      </c>
      <c r="L1348" s="40" t="n">
        <v>0</v>
      </c>
    </row>
    <row r="1349" ht="12" customHeight="1">
      <c r="A1349" s="30" t="inlineStr">
        <is>
          <t>ITG</t>
        </is>
      </c>
      <c r="B1349" s="30" t="inlineStr">
        <is>
          <t>Itaguai</t>
        </is>
      </c>
      <c r="C1349" s="30" t="n">
        <v>81760179</v>
      </c>
      <c r="D1349" s="30">
        <f>"61084018005253"</f>
        <v/>
      </c>
      <c r="E1349" s="30" t="inlineStr">
        <is>
          <t>VIACAO COMETA S/A</t>
        </is>
      </c>
      <c r="F1349" s="40" t="n">
        <v>5000</v>
      </c>
      <c r="G1349" s="40" t="n">
        <v>0</v>
      </c>
      <c r="H1349" s="40" t="n">
        <v>0</v>
      </c>
      <c r="I1349" s="40" t="n">
        <v>0</v>
      </c>
      <c r="J1349" s="40" t="n">
        <v>0</v>
      </c>
      <c r="K1349" s="40" t="n">
        <v>0</v>
      </c>
      <c r="L1349" s="40" t="n">
        <v>0</v>
      </c>
    </row>
    <row r="1350" ht="12" customHeight="1">
      <c r="A1350" s="30" t="inlineStr">
        <is>
          <t>ITG</t>
        </is>
      </c>
      <c r="B1350" s="30" t="inlineStr">
        <is>
          <t>Itaguai</t>
        </is>
      </c>
      <c r="C1350" s="30" t="n">
        <v>81797013</v>
      </c>
      <c r="D1350" s="30">
        <f>"33570797000111"</f>
        <v/>
      </c>
      <c r="E1350" s="30" t="inlineStr">
        <is>
          <t>TRANSPORTES CARVALHO LTDA</t>
        </is>
      </c>
      <c r="F1350" s="40" t="n">
        <v>3844.87</v>
      </c>
      <c r="G1350" s="40" t="n">
        <v>1126051.43</v>
      </c>
      <c r="H1350" s="40" t="n">
        <v>1470252.76</v>
      </c>
      <c r="I1350" s="40" t="n">
        <v>3004598.11</v>
      </c>
      <c r="J1350" s="40" t="n">
        <v>2455229.21</v>
      </c>
      <c r="K1350" s="40" t="n">
        <v>1273643.61</v>
      </c>
      <c r="L1350" s="40" t="n">
        <v>843491.6800000001</v>
      </c>
    </row>
    <row r="1351" ht="12" customHeight="1">
      <c r="A1351" s="30" t="inlineStr">
        <is>
          <t>ITG</t>
        </is>
      </c>
      <c r="B1351" s="30" t="inlineStr">
        <is>
          <t>Itaguai</t>
        </is>
      </c>
      <c r="C1351" s="30" t="n">
        <v>81825017</v>
      </c>
      <c r="D1351" s="30">
        <f>"33337007000152"</f>
        <v/>
      </c>
      <c r="E1351" s="30" t="inlineStr">
        <is>
          <t>UTIL - UNIAO TRANSPORTE INTERESTADUAL DE LUXO LTDA</t>
        </is>
      </c>
      <c r="F1351" s="40" t="n">
        <v>35838.18</v>
      </c>
      <c r="G1351" s="40" t="n">
        <v>244229.76</v>
      </c>
      <c r="H1351" s="40" t="n">
        <v>162265.41</v>
      </c>
      <c r="I1351" s="40" t="n">
        <v>76614.99000000001</v>
      </c>
      <c r="J1351" s="40" t="n">
        <v>102727.97</v>
      </c>
      <c r="K1351" s="40" t="n">
        <v>58776.44</v>
      </c>
      <c r="L1351" s="40" t="n">
        <v>194944.91</v>
      </c>
    </row>
    <row r="1352" ht="12" customHeight="1">
      <c r="A1352" s="30" t="inlineStr">
        <is>
          <t>ITG</t>
        </is>
      </c>
      <c r="B1352" s="30" t="inlineStr">
        <is>
          <t>Itaguai</t>
        </is>
      </c>
      <c r="C1352" s="30" t="n">
        <v>81826528</v>
      </c>
      <c r="D1352" s="30">
        <f>"60510583005604"</f>
        <v/>
      </c>
      <c r="E1352" s="30" t="inlineStr">
        <is>
          <t>RAPIDO 900 DE TRANSPORTES RODOVIARIOS LTDA</t>
        </is>
      </c>
      <c r="F1352" s="40" t="n">
        <v>831.62</v>
      </c>
      <c r="G1352" s="40" t="n">
        <v>243.89</v>
      </c>
      <c r="H1352" s="40" t="n">
        <v>0</v>
      </c>
      <c r="I1352" s="40" t="n">
        <v>0</v>
      </c>
      <c r="J1352" s="40" t="n">
        <v>0</v>
      </c>
      <c r="K1352" s="40" t="n">
        <v>0</v>
      </c>
      <c r="L1352" s="40" t="n">
        <v>0</v>
      </c>
    </row>
    <row r="1353" ht="12" customHeight="1">
      <c r="A1353" s="30" t="inlineStr">
        <is>
          <t>ITG</t>
        </is>
      </c>
      <c r="B1353" s="30" t="inlineStr">
        <is>
          <t>Itaguai</t>
        </is>
      </c>
      <c r="C1353" s="30" t="n">
        <v>81827028</v>
      </c>
      <c r="D1353" s="30">
        <f>"21570775000172"</f>
        <v/>
      </c>
      <c r="E1353" s="30" t="inlineStr">
        <is>
          <t>PICORELLI S/A TRANSPORTES</t>
        </is>
      </c>
      <c r="F1353" s="40" t="n">
        <v>0</v>
      </c>
      <c r="G1353" s="40" t="n">
        <v>7042.33</v>
      </c>
      <c r="H1353" s="40" t="n">
        <v>1406.68</v>
      </c>
      <c r="I1353" s="40" t="n">
        <v>0</v>
      </c>
      <c r="J1353" s="40" t="n">
        <v>157.03</v>
      </c>
      <c r="K1353" s="40" t="n">
        <v>0</v>
      </c>
      <c r="L1353" s="40" t="n">
        <v>2341.13</v>
      </c>
    </row>
    <row r="1354" ht="12" customHeight="1">
      <c r="A1354" s="30" t="inlineStr">
        <is>
          <t>ITG</t>
        </is>
      </c>
      <c r="B1354" s="30" t="inlineStr">
        <is>
          <t>Itaguai</t>
        </is>
      </c>
      <c r="C1354" s="30" t="n">
        <v>81830010</v>
      </c>
      <c r="D1354" s="30">
        <f>"29516838000114"</f>
        <v/>
      </c>
      <c r="E1354" s="30" t="inlineStr">
        <is>
          <t>RIO LOPES TRANSPORTES LTDA</t>
        </is>
      </c>
      <c r="F1354" s="40" t="n">
        <v>2525.96</v>
      </c>
      <c r="G1354" s="40" t="n">
        <v>6279.6</v>
      </c>
      <c r="H1354" s="40" t="n">
        <v>7071.61</v>
      </c>
      <c r="I1354" s="40" t="n">
        <v>2583.3</v>
      </c>
      <c r="J1354" s="40" t="n">
        <v>72085.53999999999</v>
      </c>
      <c r="K1354" s="40" t="n">
        <v>64644.14</v>
      </c>
      <c r="L1354" s="40" t="n">
        <v>0</v>
      </c>
    </row>
    <row r="1355" ht="12" customHeight="1">
      <c r="A1355" s="30" t="inlineStr">
        <is>
          <t>ITG</t>
        </is>
      </c>
      <c r="B1355" s="30" t="inlineStr">
        <is>
          <t>Itaguai</t>
        </is>
      </c>
      <c r="C1355" s="30" t="n">
        <v>81832331</v>
      </c>
      <c r="D1355" s="30">
        <f>"43025774000503"</f>
        <v/>
      </c>
      <c r="E1355" s="30" t="inlineStr">
        <is>
          <t>RODOVIARIO BEDIN LTDA</t>
        </is>
      </c>
      <c r="F1355" s="40" t="n">
        <v>255.48</v>
      </c>
      <c r="G1355" s="40" t="n">
        <v>3897.49</v>
      </c>
      <c r="H1355" s="40" t="n">
        <v>25100.87</v>
      </c>
      <c r="I1355" s="40" t="n">
        <v>28586</v>
      </c>
      <c r="J1355" s="40" t="n">
        <v>4887.87</v>
      </c>
      <c r="K1355" s="40" t="n">
        <v>19571.32</v>
      </c>
      <c r="L1355" s="40" t="n">
        <v>4982.94</v>
      </c>
    </row>
    <row r="1356" ht="12" customHeight="1">
      <c r="A1356" s="30" t="inlineStr">
        <is>
          <t>ITG</t>
        </is>
      </c>
      <c r="B1356" s="30" t="inlineStr">
        <is>
          <t>Itaguai</t>
        </is>
      </c>
      <c r="C1356" s="30" t="n">
        <v>81834148</v>
      </c>
      <c r="D1356" s="30">
        <f>"16848731000474"</f>
        <v/>
      </c>
      <c r="E1356" s="30" t="inlineStr">
        <is>
          <t>TRANSPORTES NIQUINI LTDA</t>
        </is>
      </c>
      <c r="F1356" s="40" t="n">
        <v>2397.49</v>
      </c>
      <c r="G1356" s="40" t="n">
        <v>18177.67</v>
      </c>
      <c r="H1356" s="40" t="n">
        <v>0</v>
      </c>
      <c r="I1356" s="40" t="n">
        <v>0</v>
      </c>
      <c r="J1356" s="40" t="n">
        <v>0</v>
      </c>
      <c r="K1356" s="40" t="n">
        <v>0</v>
      </c>
      <c r="L1356" s="40" t="n">
        <v>0</v>
      </c>
    </row>
    <row r="1357" ht="12" customHeight="1">
      <c r="A1357" s="30" t="inlineStr">
        <is>
          <t>ITG</t>
        </is>
      </c>
      <c r="B1357" s="30" t="inlineStr">
        <is>
          <t>Itaguai</t>
        </is>
      </c>
      <c r="C1357" s="30" t="n">
        <v>81834393</v>
      </c>
      <c r="D1357" s="30">
        <f>"34004978000143"</f>
        <v/>
      </c>
      <c r="E1357" s="30" t="inlineStr">
        <is>
          <t>EMPRESA DE TRANSPORTES IRMAOS SILVA LTDA - EPP</t>
        </is>
      </c>
      <c r="F1357" s="40" t="n">
        <v>0</v>
      </c>
      <c r="G1357" s="40" t="n">
        <v>0</v>
      </c>
      <c r="H1357" s="40" t="n">
        <v>0</v>
      </c>
      <c r="I1357" s="40" t="n">
        <v>0</v>
      </c>
      <c r="J1357" s="40" t="n">
        <v>0</v>
      </c>
      <c r="K1357" s="40" t="n">
        <v>0</v>
      </c>
      <c r="L1357" s="40" t="n">
        <v>5500</v>
      </c>
    </row>
    <row r="1358" ht="12" customHeight="1">
      <c r="A1358" s="30" t="inlineStr">
        <is>
          <t>ITG</t>
        </is>
      </c>
      <c r="B1358" s="30" t="inlineStr">
        <is>
          <t>Itaguai</t>
        </is>
      </c>
      <c r="C1358" s="30" t="n">
        <v>81853053</v>
      </c>
      <c r="D1358" s="30">
        <f>"17463456000271"</f>
        <v/>
      </c>
      <c r="E1358" s="30" t="inlineStr">
        <is>
          <t>PATRUS TRANSPORTES LTDA</t>
        </is>
      </c>
      <c r="F1358" s="40" t="n">
        <v>9517.559999999999</v>
      </c>
      <c r="G1358" s="40" t="n">
        <v>6687.76</v>
      </c>
      <c r="H1358" s="40" t="n">
        <v>7823.4</v>
      </c>
      <c r="I1358" s="40" t="n">
        <v>13966.72</v>
      </c>
      <c r="J1358" s="40" t="n">
        <v>7982.27</v>
      </c>
      <c r="K1358" s="40" t="n">
        <v>11301.29</v>
      </c>
      <c r="L1358" s="40" t="n">
        <v>5783.21</v>
      </c>
    </row>
    <row r="1359" ht="12" customHeight="1">
      <c r="A1359" s="30" t="inlineStr">
        <is>
          <t>ITG</t>
        </is>
      </c>
      <c r="B1359" s="30" t="inlineStr">
        <is>
          <t>Itaguai</t>
        </is>
      </c>
      <c r="C1359" s="30" t="n">
        <v>81874948</v>
      </c>
      <c r="D1359" s="30">
        <f>"33489352000101"</f>
        <v/>
      </c>
      <c r="E1359" s="30" t="inlineStr">
        <is>
          <t>G SILVA TRANSPORTES E LOGISTICA LTDA</t>
        </is>
      </c>
      <c r="F1359" s="40" t="n">
        <v>0</v>
      </c>
      <c r="G1359" s="40" t="n">
        <v>0</v>
      </c>
      <c r="H1359" s="40" t="n">
        <v>4595004.01</v>
      </c>
      <c r="I1359" s="40" t="n">
        <v>0</v>
      </c>
      <c r="J1359" s="40" t="n">
        <v>5861785.77</v>
      </c>
      <c r="K1359" s="40" t="n">
        <v>4603927</v>
      </c>
      <c r="L1359" s="40" t="n">
        <v>3107796.13</v>
      </c>
    </row>
    <row r="1360" ht="12" customHeight="1">
      <c r="A1360" s="30" t="inlineStr">
        <is>
          <t>ITG</t>
        </is>
      </c>
      <c r="B1360" s="30" t="inlineStr">
        <is>
          <t>Itaguai</t>
        </is>
      </c>
      <c r="C1360" s="30" t="n">
        <v>81909032</v>
      </c>
      <c r="D1360" s="30">
        <f>"95591723001190"</f>
        <v/>
      </c>
      <c r="E1360" s="30" t="inlineStr">
        <is>
          <t>TNT MERCURIO CARGAS E ENCOMENDAS EXPRESSAS LTDA</t>
        </is>
      </c>
      <c r="F1360" s="40" t="n">
        <v>15505.8</v>
      </c>
      <c r="G1360" s="40" t="n">
        <v>29855.76</v>
      </c>
      <c r="H1360" s="40" t="n">
        <v>67481.7</v>
      </c>
      <c r="I1360" s="40" t="n">
        <v>53427.07</v>
      </c>
      <c r="J1360" s="40" t="n">
        <v>8014.84</v>
      </c>
      <c r="K1360" s="40" t="n">
        <v>15966.76</v>
      </c>
      <c r="L1360" s="40" t="n">
        <v>9480.959999999999</v>
      </c>
    </row>
    <row r="1361" ht="12" customHeight="1">
      <c r="A1361" s="30" t="inlineStr">
        <is>
          <t>ITG</t>
        </is>
      </c>
      <c r="B1361" s="30" t="inlineStr">
        <is>
          <t>Itaguai</t>
        </is>
      </c>
      <c r="C1361" s="30" t="n">
        <v>81910685</v>
      </c>
      <c r="D1361" s="30">
        <f>"61737391000205"</f>
        <v/>
      </c>
      <c r="E1361" s="30" t="inlineStr">
        <is>
          <t>TRANSITA TRANSPORTES LTDA</t>
        </is>
      </c>
      <c r="F1361" s="40" t="n">
        <v>0</v>
      </c>
      <c r="G1361" s="40" t="n">
        <v>0</v>
      </c>
      <c r="H1361" s="40" t="n">
        <v>0</v>
      </c>
      <c r="I1361" s="40" t="n">
        <v>0</v>
      </c>
      <c r="J1361" s="40" t="n">
        <v>0</v>
      </c>
      <c r="K1361" s="40" t="n">
        <v>0</v>
      </c>
      <c r="L1361" s="40" t="n">
        <v>133.18</v>
      </c>
    </row>
    <row r="1362" ht="12" customHeight="1">
      <c r="A1362" s="30" t="inlineStr">
        <is>
          <t>ITG</t>
        </is>
      </c>
      <c r="B1362" s="30" t="inlineStr">
        <is>
          <t>Itaguai</t>
        </is>
      </c>
      <c r="C1362" s="30" t="n">
        <v>81918813</v>
      </c>
      <c r="D1362" s="30">
        <f>"33059684000156"</f>
        <v/>
      </c>
      <c r="E1362" s="30" t="inlineStr">
        <is>
          <t>BREDA TRANSPORTES E TURISMO RIO EIRELI</t>
        </is>
      </c>
      <c r="F1362" s="40" t="n">
        <v>11505</v>
      </c>
      <c r="G1362" s="40" t="n">
        <v>0</v>
      </c>
      <c r="H1362" s="40" t="n">
        <v>0</v>
      </c>
      <c r="I1362" s="40" t="n">
        <v>0</v>
      </c>
      <c r="J1362" s="40" t="n">
        <v>0</v>
      </c>
      <c r="K1362" s="40" t="n">
        <v>0</v>
      </c>
      <c r="L1362" s="40" t="n">
        <v>0</v>
      </c>
    </row>
    <row r="1363" ht="12" customHeight="1">
      <c r="A1363" s="30" t="inlineStr">
        <is>
          <t>ITG</t>
        </is>
      </c>
      <c r="B1363" s="30" t="inlineStr">
        <is>
          <t>Itaguai</t>
        </is>
      </c>
      <c r="C1363" s="30" t="n">
        <v>81919852</v>
      </c>
      <c r="D1363" s="30">
        <f>"76728385000412"</f>
        <v/>
      </c>
      <c r="E1363" s="30" t="inlineStr">
        <is>
          <t>TRANSPORTES DIAMANTE LTDA</t>
        </is>
      </c>
      <c r="F1363" s="40" t="n">
        <v>0</v>
      </c>
      <c r="G1363" s="40" t="n">
        <v>0</v>
      </c>
      <c r="H1363" s="40" t="n">
        <v>0</v>
      </c>
      <c r="I1363" s="40" t="n">
        <v>0</v>
      </c>
      <c r="J1363" s="40" t="n">
        <v>11395.98</v>
      </c>
      <c r="K1363" s="40" t="n">
        <v>0</v>
      </c>
      <c r="L1363" s="40" t="n">
        <v>0</v>
      </c>
    </row>
    <row r="1364" ht="12" customHeight="1">
      <c r="A1364" s="30" t="inlineStr">
        <is>
          <t>ITG</t>
        </is>
      </c>
      <c r="B1364" s="30" t="inlineStr">
        <is>
          <t>Itaguai</t>
        </is>
      </c>
      <c r="C1364" s="30" t="n">
        <v>81920184</v>
      </c>
      <c r="D1364" s="30">
        <f>"29291184000259"</f>
        <v/>
      </c>
      <c r="E1364" s="30" t="inlineStr">
        <is>
          <t>TRANSPORTES TONIATO LTDA</t>
        </is>
      </c>
      <c r="F1364" s="40" t="n">
        <v>51440.98</v>
      </c>
      <c r="G1364" s="40" t="n">
        <v>169278.59</v>
      </c>
      <c r="H1364" s="40" t="n">
        <v>401816.17</v>
      </c>
      <c r="I1364" s="40" t="n">
        <v>220599.79</v>
      </c>
      <c r="J1364" s="40" t="n">
        <v>219148.69</v>
      </c>
      <c r="K1364" s="40" t="n">
        <v>21264</v>
      </c>
      <c r="L1364" s="40" t="n">
        <v>2596.74</v>
      </c>
    </row>
    <row r="1365" ht="12" customHeight="1">
      <c r="A1365" s="30" t="inlineStr">
        <is>
          <t>ITG</t>
        </is>
      </c>
      <c r="B1365" s="30" t="inlineStr">
        <is>
          <t>Itaguai</t>
        </is>
      </c>
      <c r="C1365" s="30" t="n">
        <v>81921490</v>
      </c>
      <c r="D1365" s="30">
        <f>"10970887000870"</f>
        <v/>
      </c>
      <c r="E1365" s="30" t="inlineStr">
        <is>
          <t>FEDEX BRASIL LOGISTICA E TRANSPORTE LTDA</t>
        </is>
      </c>
      <c r="F1365" s="40" t="n">
        <v>16764.53</v>
      </c>
      <c r="G1365" s="40" t="n">
        <v>18045.88</v>
      </c>
      <c r="H1365" s="40" t="n">
        <v>0</v>
      </c>
      <c r="I1365" s="40" t="n">
        <v>0</v>
      </c>
      <c r="J1365" s="40" t="n">
        <v>0</v>
      </c>
      <c r="K1365" s="40" t="n">
        <v>0</v>
      </c>
      <c r="L1365" s="40" t="n">
        <v>0</v>
      </c>
    </row>
    <row r="1366" ht="12" customHeight="1">
      <c r="A1366" s="30" t="inlineStr">
        <is>
          <t>ITG</t>
        </is>
      </c>
      <c r="B1366" s="30" t="inlineStr">
        <is>
          <t>Itaguai</t>
        </is>
      </c>
      <c r="C1366" s="30" t="n">
        <v>81923930</v>
      </c>
      <c r="D1366" s="30">
        <f>"29863420000426"</f>
        <v/>
      </c>
      <c r="E1366" s="30" t="inlineStr">
        <is>
          <t>EXPRESSO PREDILETO, TRANSPORTES, LOGISTICA E ARMAZENAGEM LTDA EPP</t>
        </is>
      </c>
      <c r="F1366" s="40" t="n">
        <v>11879.79</v>
      </c>
      <c r="G1366" s="40" t="n">
        <v>1796.13</v>
      </c>
      <c r="H1366" s="40" t="n">
        <v>283.15</v>
      </c>
      <c r="I1366" s="40" t="n">
        <v>19151.63</v>
      </c>
      <c r="J1366" s="40" t="n">
        <v>18822.41</v>
      </c>
      <c r="K1366" s="40" t="n">
        <v>11343.08</v>
      </c>
      <c r="L1366" s="40" t="n">
        <v>33360.45</v>
      </c>
    </row>
    <row r="1367" ht="12" customHeight="1">
      <c r="A1367" s="30" t="inlineStr">
        <is>
          <t>ITG</t>
        </is>
      </c>
      <c r="B1367" s="30" t="inlineStr">
        <is>
          <t>Itaguai</t>
        </is>
      </c>
      <c r="C1367" s="30" t="n">
        <v>81925372</v>
      </c>
      <c r="D1367" s="30">
        <f>"27175975008000"</f>
        <v/>
      </c>
      <c r="E1367" s="30" t="inlineStr">
        <is>
          <t>VIACAO ITAPEMIRIM LTDA - EM RECUPERACAO JUDICIAL EM RECUPERACAO</t>
        </is>
      </c>
      <c r="F1367" s="40" t="n">
        <v>23017.96</v>
      </c>
      <c r="G1367" s="40" t="n">
        <v>98101.08</v>
      </c>
      <c r="H1367" s="40" t="n">
        <v>62858.41</v>
      </c>
      <c r="I1367" s="40" t="n">
        <v>59095.47</v>
      </c>
      <c r="J1367" s="40" t="n">
        <v>0</v>
      </c>
      <c r="K1367" s="40" t="n">
        <v>0</v>
      </c>
      <c r="L1367" s="40" t="n">
        <v>0</v>
      </c>
    </row>
    <row r="1368" ht="12" customHeight="1">
      <c r="A1368" s="30" t="inlineStr">
        <is>
          <t>ITG</t>
        </is>
      </c>
      <c r="B1368" s="30" t="inlineStr">
        <is>
          <t>Itaguai</t>
        </is>
      </c>
      <c r="C1368" s="30" t="n">
        <v>81926743</v>
      </c>
      <c r="D1368" s="30">
        <f>"20147617001113"</f>
        <v/>
      </c>
      <c r="E1368" s="30" t="inlineStr">
        <is>
          <t>JAMEF TRANSPORTES EIRELI</t>
        </is>
      </c>
      <c r="F1368" s="40" t="n">
        <v>14738.76</v>
      </c>
      <c r="G1368" s="40" t="n">
        <v>19670.06</v>
      </c>
      <c r="H1368" s="40" t="n">
        <v>11848.1</v>
      </c>
      <c r="I1368" s="40" t="n">
        <v>19757.82</v>
      </c>
      <c r="J1368" s="40" t="n">
        <v>14445.17</v>
      </c>
      <c r="K1368" s="40" t="n">
        <v>15934.16</v>
      </c>
      <c r="L1368" s="40" t="n">
        <v>15685.99</v>
      </c>
    </row>
    <row r="1369" ht="12" customHeight="1">
      <c r="A1369" s="30" t="inlineStr">
        <is>
          <t>ITG</t>
        </is>
      </c>
      <c r="B1369" s="30" t="inlineStr">
        <is>
          <t>Itaguai</t>
        </is>
      </c>
      <c r="C1369" s="30" t="n">
        <v>81955018</v>
      </c>
      <c r="D1369" s="30">
        <f>"29370103000125"</f>
        <v/>
      </c>
      <c r="E1369" s="30" t="inlineStr">
        <is>
          <t>SILTRAN RODOVIARIO EIRELI</t>
        </is>
      </c>
      <c r="F1369" s="40" t="n">
        <v>305.83</v>
      </c>
      <c r="G1369" s="40" t="n">
        <v>0</v>
      </c>
      <c r="H1369" s="40" t="n">
        <v>0</v>
      </c>
      <c r="I1369" s="40" t="n">
        <v>0</v>
      </c>
      <c r="J1369" s="40" t="n">
        <v>0</v>
      </c>
      <c r="K1369" s="40" t="n">
        <v>0</v>
      </c>
      <c r="L1369" s="40" t="n">
        <v>0</v>
      </c>
    </row>
    <row r="1370" ht="12" customHeight="1">
      <c r="A1370" s="30" t="inlineStr">
        <is>
          <t>ITG</t>
        </is>
      </c>
      <c r="B1370" s="30" t="inlineStr">
        <is>
          <t>Itaguai</t>
        </is>
      </c>
      <c r="C1370" s="30" t="n">
        <v>82050663</v>
      </c>
      <c r="D1370" s="30">
        <f>"33669888000109"</f>
        <v/>
      </c>
      <c r="E1370" s="30" t="inlineStr">
        <is>
          <t>BARANO COMERCIO DE ALIMENTOS LTDA</t>
        </is>
      </c>
      <c r="F1370" s="40" t="n">
        <v>0</v>
      </c>
      <c r="G1370" s="40" t="n">
        <v>1790</v>
      </c>
      <c r="H1370" s="40" t="n">
        <v>1760</v>
      </c>
      <c r="I1370" s="40" t="n">
        <v>0</v>
      </c>
      <c r="J1370" s="40" t="n">
        <v>0</v>
      </c>
      <c r="K1370" s="40" t="n">
        <v>0</v>
      </c>
      <c r="L1370" s="40" t="n">
        <v>0</v>
      </c>
    </row>
    <row r="1371" ht="12" customHeight="1">
      <c r="A1371" s="30" t="inlineStr">
        <is>
          <t>ITG</t>
        </is>
      </c>
      <c r="B1371" s="30" t="inlineStr">
        <is>
          <t>Itaguai</t>
        </is>
      </c>
      <c r="C1371" s="30" t="n">
        <v>82346864</v>
      </c>
      <c r="D1371" s="30">
        <f>"27134535000101"</f>
        <v/>
      </c>
      <c r="E1371" s="30" t="inlineStr">
        <is>
          <t>MEGA CONCRETO PREMOLDADO LTDA ME</t>
        </is>
      </c>
      <c r="F1371" s="40" t="n">
        <v>0</v>
      </c>
      <c r="G1371" s="40" t="n">
        <v>0</v>
      </c>
      <c r="H1371" s="40" t="n">
        <v>0</v>
      </c>
      <c r="I1371" s="40" t="n">
        <v>0</v>
      </c>
      <c r="J1371" s="40" t="n">
        <v>0</v>
      </c>
      <c r="K1371" s="40" t="n">
        <v>0</v>
      </c>
      <c r="L1371" s="40" t="n">
        <v>0</v>
      </c>
    </row>
    <row r="1372" ht="12" customHeight="1">
      <c r="A1372" s="30" t="inlineStr">
        <is>
          <t>ITG</t>
        </is>
      </c>
      <c r="B1372" s="30" t="inlineStr">
        <is>
          <t>Itaguai</t>
        </is>
      </c>
      <c r="C1372" s="30" t="n">
        <v>82407197</v>
      </c>
      <c r="D1372" s="30">
        <f>"30621890000110"</f>
        <v/>
      </c>
      <c r="E1372" s="30" t="inlineStr">
        <is>
          <t>TRANSPORTE FABIO'S LTDA</t>
        </is>
      </c>
      <c r="F1372" s="40" t="n">
        <v>0</v>
      </c>
      <c r="G1372" s="40" t="n">
        <v>1877.2</v>
      </c>
      <c r="H1372" s="40" t="n">
        <v>0</v>
      </c>
      <c r="I1372" s="40" t="n">
        <v>0</v>
      </c>
      <c r="J1372" s="40" t="n">
        <v>0</v>
      </c>
      <c r="K1372" s="40" t="n">
        <v>0</v>
      </c>
      <c r="L1372" s="40" t="n">
        <v>0</v>
      </c>
    </row>
    <row r="1373" ht="12" customHeight="1">
      <c r="A1373" s="30" t="inlineStr">
        <is>
          <t>ITG</t>
        </is>
      </c>
      <c r="B1373" s="30" t="inlineStr">
        <is>
          <t>Itaguai</t>
        </is>
      </c>
      <c r="C1373" s="30" t="n">
        <v>82604138</v>
      </c>
      <c r="D1373" s="30">
        <f>"29863420000507"</f>
        <v/>
      </c>
      <c r="E1373" s="30" t="inlineStr">
        <is>
          <t>EXPRESSO PREDILETO, TRANSPORTES, LOGISTICA E ARMAZENAGEM LTDA EPP</t>
        </is>
      </c>
      <c r="F1373" s="40" t="n">
        <v>137.63</v>
      </c>
      <c r="G1373" s="40" t="n">
        <v>0</v>
      </c>
      <c r="H1373" s="40" t="n">
        <v>0</v>
      </c>
      <c r="I1373" s="40" t="n">
        <v>0</v>
      </c>
      <c r="J1373" s="40" t="n">
        <v>0</v>
      </c>
      <c r="K1373" s="40" t="n">
        <v>0</v>
      </c>
      <c r="L1373" s="40" t="n">
        <v>0</v>
      </c>
    </row>
    <row r="1374" ht="12" customHeight="1">
      <c r="A1374" s="30" t="inlineStr">
        <is>
          <t>ITG</t>
        </is>
      </c>
      <c r="B1374" s="30" t="inlineStr">
        <is>
          <t>Itaguai</t>
        </is>
      </c>
      <c r="C1374" s="30" t="n">
        <v>82628878</v>
      </c>
      <c r="D1374" s="30">
        <f>"28670958000109"</f>
        <v/>
      </c>
      <c r="E1374" s="30" t="inlineStr">
        <is>
          <t>VIACAO CIDADE DO ACO LTDA</t>
        </is>
      </c>
      <c r="F1374" s="40" t="n">
        <v>467421.3</v>
      </c>
      <c r="G1374" s="40" t="n">
        <v>557460.16</v>
      </c>
      <c r="H1374" s="40" t="n">
        <v>705856.4300000001</v>
      </c>
      <c r="I1374" s="40" t="n">
        <v>242757</v>
      </c>
      <c r="J1374" s="40" t="n">
        <v>343951.17</v>
      </c>
      <c r="K1374" s="40" t="n">
        <v>463732.6</v>
      </c>
      <c r="L1374" s="40" t="n">
        <v>617586.73</v>
      </c>
    </row>
    <row r="1375" ht="12" customHeight="1">
      <c r="A1375" s="30" t="inlineStr">
        <is>
          <t>ITG</t>
        </is>
      </c>
      <c r="B1375" s="30" t="inlineStr">
        <is>
          <t>Itaguai</t>
        </is>
      </c>
      <c r="C1375" s="30" t="n">
        <v>82692398</v>
      </c>
      <c r="D1375" s="30">
        <f>"28299386000101"</f>
        <v/>
      </c>
      <c r="E1375" s="30" t="inlineStr">
        <is>
          <t>TRANSMAGNO TRANSPORTES RODOVIARIOS LTDA</t>
        </is>
      </c>
      <c r="F1375" s="40" t="n">
        <v>2785.84</v>
      </c>
      <c r="G1375" s="40" t="n">
        <v>0</v>
      </c>
      <c r="H1375" s="40" t="n">
        <v>0</v>
      </c>
      <c r="I1375" s="40" t="n">
        <v>0</v>
      </c>
      <c r="J1375" s="40" t="n">
        <v>0</v>
      </c>
      <c r="K1375" s="40" t="n">
        <v>0</v>
      </c>
      <c r="L1375" s="40" t="n">
        <v>0</v>
      </c>
    </row>
    <row r="1376" ht="12" customHeight="1">
      <c r="A1376" s="30" t="inlineStr">
        <is>
          <t>ITG</t>
        </is>
      </c>
      <c r="B1376" s="30" t="inlineStr">
        <is>
          <t>Itaguai</t>
        </is>
      </c>
      <c r="C1376" s="30" t="n">
        <v>82849831</v>
      </c>
      <c r="D1376" s="30">
        <f>"31238678000130"</f>
        <v/>
      </c>
      <c r="E1376" s="30" t="inlineStr">
        <is>
          <t>MERCEARIA MARVI DE ITAGUAI LTDA</t>
        </is>
      </c>
      <c r="F1376" s="40" t="n">
        <v>645828.9300000001</v>
      </c>
      <c r="G1376" s="40" t="n">
        <v>0</v>
      </c>
      <c r="H1376" s="40" t="n">
        <v>0</v>
      </c>
      <c r="I1376" s="40" t="n">
        <v>0</v>
      </c>
      <c r="J1376" s="40" t="n">
        <v>0</v>
      </c>
      <c r="K1376" s="40" t="n">
        <v>0</v>
      </c>
      <c r="L1376" s="40" t="n">
        <v>0</v>
      </c>
    </row>
    <row r="1377" ht="12" customHeight="1">
      <c r="A1377" s="30" t="inlineStr">
        <is>
          <t>ITG</t>
        </is>
      </c>
      <c r="B1377" s="30" t="inlineStr">
        <is>
          <t>Itaguai</t>
        </is>
      </c>
      <c r="C1377" s="30" t="n">
        <v>82850120</v>
      </c>
      <c r="D1377" s="30">
        <f>"29931417000150"</f>
        <v/>
      </c>
      <c r="E1377" s="30" t="inlineStr">
        <is>
          <t>G L J HOTEIS LTDA ME</t>
        </is>
      </c>
      <c r="F1377" s="40" t="n">
        <v>0</v>
      </c>
      <c r="G1377" s="40" t="n">
        <v>0</v>
      </c>
      <c r="H1377" s="40" t="n">
        <v>0</v>
      </c>
      <c r="I1377" s="40" t="n">
        <v>0</v>
      </c>
      <c r="J1377" s="40" t="n">
        <v>0</v>
      </c>
      <c r="K1377" s="40" t="n">
        <v>0</v>
      </c>
      <c r="L1377" s="40" t="n">
        <v>0</v>
      </c>
    </row>
    <row r="1378" ht="12" customHeight="1">
      <c r="A1378" s="30" t="inlineStr">
        <is>
          <t>ITG</t>
        </is>
      </c>
      <c r="B1378" s="30" t="inlineStr">
        <is>
          <t>Itaguai</t>
        </is>
      </c>
      <c r="C1378" s="30" t="n">
        <v>82854657</v>
      </c>
      <c r="D1378" s="30">
        <f>"20628152003328"</f>
        <v/>
      </c>
      <c r="E1378" s="30" t="inlineStr">
        <is>
          <t>VALADARES TECIDOS LTDA</t>
        </is>
      </c>
      <c r="F1378" s="40" t="n">
        <v>830196.61</v>
      </c>
      <c r="G1378" s="40" t="n">
        <v>67004.66</v>
      </c>
      <c r="H1378" s="40" t="n">
        <v>0</v>
      </c>
      <c r="I1378" s="40" t="n">
        <v>0</v>
      </c>
      <c r="J1378" s="40" t="n">
        <v>0</v>
      </c>
      <c r="K1378" s="40" t="n">
        <v>0</v>
      </c>
      <c r="L1378" s="40" t="n">
        <v>0</v>
      </c>
    </row>
    <row r="1379" ht="12" customHeight="1">
      <c r="A1379" s="30" t="inlineStr">
        <is>
          <t>ITG</t>
        </is>
      </c>
      <c r="B1379" s="30" t="inlineStr">
        <is>
          <t>Itaguai</t>
        </is>
      </c>
      <c r="C1379" s="30" t="n">
        <v>82854924</v>
      </c>
      <c r="D1379" s="30">
        <f>"31060726000143"</f>
        <v/>
      </c>
      <c r="E1379" s="30" t="inlineStr">
        <is>
          <t>L P DOS SANTOS LANCHONETE</t>
        </is>
      </c>
      <c r="F1379" s="40" t="n">
        <v>0</v>
      </c>
      <c r="G1379" s="40" t="n">
        <v>0</v>
      </c>
      <c r="H1379" s="40" t="n">
        <v>0</v>
      </c>
      <c r="I1379" s="40" t="n">
        <v>0</v>
      </c>
      <c r="J1379" s="40" t="n">
        <v>0</v>
      </c>
      <c r="K1379" s="40" t="n">
        <v>0</v>
      </c>
      <c r="L1379" s="40" t="n">
        <v>0</v>
      </c>
    </row>
    <row r="1380" ht="12" customHeight="1">
      <c r="A1380" s="30" t="inlineStr">
        <is>
          <t>ITG</t>
        </is>
      </c>
      <c r="B1380" s="30" t="inlineStr">
        <is>
          <t>Itaguai</t>
        </is>
      </c>
      <c r="C1380" s="30" t="n">
        <v>83031891</v>
      </c>
      <c r="D1380" s="30">
        <f>"28170322000106"</f>
        <v/>
      </c>
      <c r="E1380" s="30" t="inlineStr">
        <is>
          <t>ENSEG SERVICOS DE ENGENHARIA E SEGURANCA LTDA</t>
        </is>
      </c>
      <c r="F1380" s="40" t="n">
        <v>0</v>
      </c>
      <c r="G1380" s="40" t="n">
        <v>5686</v>
      </c>
      <c r="H1380" s="40" t="n">
        <v>253995.02</v>
      </c>
      <c r="I1380" s="40" t="n">
        <v>0</v>
      </c>
      <c r="J1380" s="40" t="n">
        <v>217864.77</v>
      </c>
      <c r="K1380" s="40" t="n">
        <v>0</v>
      </c>
      <c r="L1380" s="40" t="n">
        <v>0</v>
      </c>
    </row>
    <row r="1381" ht="12" customHeight="1">
      <c r="A1381" s="30" t="inlineStr">
        <is>
          <t>ITG</t>
        </is>
      </c>
      <c r="B1381" s="30" t="inlineStr">
        <is>
          <t>Itaguai</t>
        </is>
      </c>
      <c r="C1381" s="30" t="n">
        <v>83119470</v>
      </c>
      <c r="D1381" s="30">
        <f>"44191880000287"</f>
        <v/>
      </c>
      <c r="E1381" s="30" t="inlineStr">
        <is>
          <t>TRANSPORTADORA AJOFER LTDA</t>
        </is>
      </c>
      <c r="F1381" s="40" t="n">
        <v>0</v>
      </c>
      <c r="G1381" s="40" t="n">
        <v>62.5</v>
      </c>
      <c r="H1381" s="40" t="n">
        <v>0</v>
      </c>
      <c r="I1381" s="40" t="n">
        <v>0</v>
      </c>
      <c r="J1381" s="40" t="n">
        <v>0</v>
      </c>
      <c r="K1381" s="40" t="n">
        <v>125.1</v>
      </c>
      <c r="L1381" s="40" t="n">
        <v>0</v>
      </c>
    </row>
    <row r="1382" ht="12" customHeight="1">
      <c r="A1382" s="30" t="inlineStr">
        <is>
          <t>ITG</t>
        </is>
      </c>
      <c r="B1382" s="30" t="inlineStr">
        <is>
          <t>Itaguai</t>
        </is>
      </c>
      <c r="C1382" s="30" t="n">
        <v>83178612</v>
      </c>
      <c r="D1382" s="30">
        <f>"31548241000101"</f>
        <v/>
      </c>
      <c r="E1382" s="30" t="inlineStr">
        <is>
          <t>MARICA TAXI AEREO LTDA</t>
        </is>
      </c>
      <c r="F1382" s="40" t="n">
        <v>3000</v>
      </c>
      <c r="G1382" s="40" t="n">
        <v>3750</v>
      </c>
      <c r="H1382" s="40" t="n">
        <v>0</v>
      </c>
      <c r="I1382" s="40" t="n">
        <v>0</v>
      </c>
      <c r="J1382" s="40" t="n">
        <v>0</v>
      </c>
      <c r="K1382" s="40" t="n">
        <v>0</v>
      </c>
      <c r="L1382" s="40" t="n">
        <v>0</v>
      </c>
    </row>
    <row r="1383" ht="12" customHeight="1">
      <c r="A1383" s="30" t="inlineStr">
        <is>
          <t>ITG</t>
        </is>
      </c>
      <c r="B1383" s="30" t="inlineStr">
        <is>
          <t>Itaguai</t>
        </is>
      </c>
      <c r="C1383" s="30" t="n">
        <v>83388285</v>
      </c>
      <c r="D1383" s="30">
        <f>"31943954000161"</f>
        <v/>
      </c>
      <c r="E1383" s="30" t="inlineStr">
        <is>
          <t>ITAGEL INDUSTRIA E COMERCIO DE PRODUTOS ALIMENTICIOS LTDA</t>
        </is>
      </c>
      <c r="F1383" s="40" t="n">
        <v>0</v>
      </c>
      <c r="G1383" s="40" t="n">
        <v>0</v>
      </c>
      <c r="H1383" s="40" t="n">
        <v>0</v>
      </c>
      <c r="I1383" s="40" t="n">
        <v>0</v>
      </c>
      <c r="J1383" s="40" t="n">
        <v>0</v>
      </c>
      <c r="K1383" s="40" t="n">
        <v>0</v>
      </c>
      <c r="L1383" s="40" t="n">
        <v>0</v>
      </c>
    </row>
    <row r="1384" ht="12" customHeight="1">
      <c r="A1384" s="30" t="inlineStr">
        <is>
          <t>ITG</t>
        </is>
      </c>
      <c r="B1384" s="30" t="inlineStr">
        <is>
          <t>Itaguai</t>
        </is>
      </c>
      <c r="C1384" s="30" t="n">
        <v>83409738</v>
      </c>
      <c r="D1384" s="30">
        <f>"33938119000240"</f>
        <v/>
      </c>
      <c r="E1384" s="30" t="inlineStr">
        <is>
          <t>COMPANHIA DISTRIBUIDORA DE GAS DO RIO DE JANEIRO - CEG</t>
        </is>
      </c>
      <c r="F1384" s="40" t="n">
        <v>2570498.25</v>
      </c>
      <c r="G1384" s="40" t="n">
        <v>2384227.9</v>
      </c>
      <c r="H1384" s="40" t="n">
        <v>3446133.17</v>
      </c>
      <c r="I1384" s="40" t="n">
        <v>3097896.19</v>
      </c>
      <c r="J1384" s="40" t="n">
        <v>3626930.31</v>
      </c>
      <c r="K1384" s="40" t="n">
        <v>1676966.27</v>
      </c>
      <c r="L1384" s="40" t="n">
        <v>1047871.42</v>
      </c>
    </row>
    <row r="1385" ht="12" customHeight="1">
      <c r="A1385" s="30" t="inlineStr">
        <is>
          <t>ITG</t>
        </is>
      </c>
      <c r="B1385" s="30" t="inlineStr">
        <is>
          <t>Itaguai</t>
        </is>
      </c>
      <c r="C1385" s="30" t="n">
        <v>83485191</v>
      </c>
      <c r="D1385" s="30">
        <f>"31667298000111"</f>
        <v/>
      </c>
      <c r="E1385" s="30" t="inlineStr">
        <is>
          <t>TRANSHIP TRANSPORTES MARITIMOS LTDA</t>
        </is>
      </c>
      <c r="F1385" s="40" t="n">
        <v>0</v>
      </c>
      <c r="G1385" s="40" t="n">
        <v>0</v>
      </c>
      <c r="H1385" s="40" t="n">
        <v>0</v>
      </c>
      <c r="I1385" s="40" t="n">
        <v>210000</v>
      </c>
      <c r="J1385" s="40" t="n">
        <v>0</v>
      </c>
      <c r="K1385" s="40" t="n">
        <v>0</v>
      </c>
      <c r="L1385" s="40" t="n">
        <v>0</v>
      </c>
    </row>
    <row r="1386" ht="12" customHeight="1">
      <c r="A1386" s="30" t="inlineStr">
        <is>
          <t>ITG</t>
        </is>
      </c>
      <c r="B1386" s="30" t="inlineStr">
        <is>
          <t>Itaguai</t>
        </is>
      </c>
      <c r="C1386" s="30" t="n">
        <v>83573376</v>
      </c>
      <c r="D1386" s="30">
        <f>"31442759000158"</f>
        <v/>
      </c>
      <c r="E1386" s="30" t="inlineStr">
        <is>
          <t>P G P ENGENHARIA LTDA</t>
        </is>
      </c>
      <c r="F1386" s="40" t="n">
        <v>0</v>
      </c>
      <c r="G1386" s="40" t="n">
        <v>0</v>
      </c>
      <c r="H1386" s="40" t="n">
        <v>0</v>
      </c>
      <c r="I1386" s="40" t="n">
        <v>0</v>
      </c>
      <c r="J1386" s="40" t="n">
        <v>0</v>
      </c>
      <c r="K1386" s="40" t="n">
        <v>0</v>
      </c>
      <c r="L1386" s="40" t="n">
        <v>0</v>
      </c>
    </row>
    <row r="1387" ht="12" customHeight="1">
      <c r="A1387" s="30" t="inlineStr">
        <is>
          <t>ITG</t>
        </is>
      </c>
      <c r="B1387" s="30" t="inlineStr">
        <is>
          <t>Itaguai</t>
        </is>
      </c>
      <c r="C1387" s="30" t="n">
        <v>83620412</v>
      </c>
      <c r="D1387" s="30">
        <f>"32125858000179"</f>
        <v/>
      </c>
      <c r="E1387" s="30" t="inlineStr">
        <is>
          <t>JB GAZZONI RESTAURANTE INDUSTRIAL LTDA -EPP</t>
        </is>
      </c>
      <c r="F1387" s="40" t="n">
        <v>0</v>
      </c>
      <c r="G1387" s="40" t="n">
        <v>0</v>
      </c>
      <c r="H1387" s="40" t="n">
        <v>0</v>
      </c>
      <c r="I1387" s="40" t="n">
        <v>0</v>
      </c>
      <c r="J1387" s="40" t="n">
        <v>0</v>
      </c>
      <c r="K1387" s="40" t="n">
        <v>0</v>
      </c>
      <c r="L1387" s="40" t="n">
        <v>0</v>
      </c>
    </row>
    <row r="1388" ht="12" customHeight="1">
      <c r="A1388" s="30" t="inlineStr">
        <is>
          <t>ITG</t>
        </is>
      </c>
      <c r="B1388" s="30" t="inlineStr">
        <is>
          <t>Itaguai</t>
        </is>
      </c>
      <c r="C1388" s="30" t="n">
        <v>83620935</v>
      </c>
      <c r="D1388" s="30">
        <f>"32121469000175"</f>
        <v/>
      </c>
      <c r="E1388" s="30" t="inlineStr">
        <is>
          <t>COMESE COMERCIO DE EQUIPAMENTOS DE SEGURANCA LTDA</t>
        </is>
      </c>
      <c r="F1388" s="40" t="n">
        <v>0</v>
      </c>
      <c r="G1388" s="40" t="n">
        <v>0</v>
      </c>
      <c r="H1388" s="40" t="n">
        <v>0</v>
      </c>
      <c r="I1388" s="40" t="n">
        <v>0</v>
      </c>
      <c r="J1388" s="40" t="n">
        <v>1756860.07</v>
      </c>
      <c r="K1388" s="40" t="n">
        <v>0</v>
      </c>
      <c r="L1388" s="40" t="n">
        <v>0</v>
      </c>
    </row>
    <row r="1389" ht="12" customHeight="1">
      <c r="A1389" s="30" t="inlineStr">
        <is>
          <t>ITG</t>
        </is>
      </c>
      <c r="B1389" s="30" t="inlineStr">
        <is>
          <t>Itaguai</t>
        </is>
      </c>
      <c r="C1389" s="30" t="n">
        <v>83621575</v>
      </c>
      <c r="D1389" s="30">
        <f>"32148793000187"</f>
        <v/>
      </c>
      <c r="E1389" s="30" t="inlineStr">
        <is>
          <t>AREAL FERNANDES E LIMA LTDA</t>
        </is>
      </c>
      <c r="F1389" s="40" t="n">
        <v>0</v>
      </c>
      <c r="G1389" s="40" t="n">
        <v>0</v>
      </c>
      <c r="H1389" s="40" t="n">
        <v>0</v>
      </c>
      <c r="I1389" s="40" t="n">
        <v>0</v>
      </c>
      <c r="J1389" s="40" t="n">
        <v>970592.92</v>
      </c>
      <c r="K1389" s="40" t="n">
        <v>0</v>
      </c>
      <c r="L1389" s="40" t="n">
        <v>0</v>
      </c>
    </row>
    <row r="1390" ht="12" customHeight="1">
      <c r="A1390" s="30" t="inlineStr">
        <is>
          <t>ITG</t>
        </is>
      </c>
      <c r="B1390" s="30" t="inlineStr">
        <is>
          <t>Itaguai</t>
        </is>
      </c>
      <c r="C1390" s="30" t="n">
        <v>83622547</v>
      </c>
      <c r="D1390" s="30">
        <f>"32239493000103"</f>
        <v/>
      </c>
      <c r="E1390" s="30" t="inlineStr">
        <is>
          <t>AREAL SANTA HELENA DE Itaguai EIRELI</t>
        </is>
      </c>
      <c r="F1390" s="40" t="n">
        <v>0</v>
      </c>
      <c r="G1390" s="40" t="n">
        <v>0</v>
      </c>
      <c r="H1390" s="40" t="n">
        <v>0</v>
      </c>
      <c r="I1390" s="40" t="n">
        <v>0</v>
      </c>
      <c r="J1390" s="40" t="n">
        <v>0</v>
      </c>
      <c r="K1390" s="40" t="n">
        <v>0</v>
      </c>
      <c r="L1390" s="40" t="n">
        <v>0</v>
      </c>
    </row>
    <row r="1391" ht="12" customHeight="1">
      <c r="A1391" s="30" t="inlineStr">
        <is>
          <t>ITG</t>
        </is>
      </c>
      <c r="B1391" s="30" t="inlineStr">
        <is>
          <t>Itaguai</t>
        </is>
      </c>
      <c r="C1391" s="30" t="n">
        <v>83622946</v>
      </c>
      <c r="D1391" s="30">
        <f>"35774611000171"</f>
        <v/>
      </c>
      <c r="E1391" s="30" t="inlineStr">
        <is>
          <t>PECITA PECAS ITAGUAI LTDA</t>
        </is>
      </c>
      <c r="F1391" s="40" t="n">
        <v>1713538.17</v>
      </c>
      <c r="G1391" s="40" t="n">
        <v>0</v>
      </c>
      <c r="H1391" s="40" t="n">
        <v>0</v>
      </c>
      <c r="I1391" s="40" t="n">
        <v>3519905.85</v>
      </c>
      <c r="J1391" s="40" t="n">
        <v>0</v>
      </c>
      <c r="K1391" s="40" t="n">
        <v>7351943.32</v>
      </c>
      <c r="L1391" s="40" t="n">
        <v>4979294.74</v>
      </c>
    </row>
    <row r="1392" ht="12" customHeight="1">
      <c r="A1392" s="30" t="inlineStr">
        <is>
          <t>ITG</t>
        </is>
      </c>
      <c r="B1392" s="30" t="inlineStr">
        <is>
          <t>Itaguai</t>
        </is>
      </c>
      <c r="C1392" s="30" t="n">
        <v>83623470</v>
      </c>
      <c r="D1392" s="30">
        <f>"31334691000193"</f>
        <v/>
      </c>
      <c r="E1392" s="30" t="inlineStr">
        <is>
          <t>EXPRESSO REAL RIO LTDA</t>
        </is>
      </c>
      <c r="F1392" s="40" t="n">
        <v>17868526.6</v>
      </c>
      <c r="G1392" s="40" t="n">
        <v>17717335.35</v>
      </c>
      <c r="H1392" s="40" t="n">
        <v>17857638.9</v>
      </c>
      <c r="I1392" s="40" t="n">
        <v>9496055.15</v>
      </c>
      <c r="J1392" s="40" t="n">
        <v>11062513.95</v>
      </c>
      <c r="K1392" s="40" t="n">
        <v>14693088.35</v>
      </c>
      <c r="L1392" s="40" t="n">
        <v>14244370.6</v>
      </c>
    </row>
    <row r="1393" ht="12" customHeight="1">
      <c r="A1393" s="30" t="inlineStr">
        <is>
          <t>ITG</t>
        </is>
      </c>
      <c r="B1393" s="30" t="inlineStr">
        <is>
          <t>Itaguai</t>
        </is>
      </c>
      <c r="C1393" s="30" t="n">
        <v>83649569</v>
      </c>
      <c r="D1393" s="30">
        <f>"21562418000324"</f>
        <v/>
      </c>
      <c r="E1393" s="30" t="inlineStr">
        <is>
          <t>COOPERATIVA TRANSPORTADORA DE PETROLEO E DERIVADOS LTDA</t>
        </is>
      </c>
      <c r="F1393" s="40" t="n">
        <v>0</v>
      </c>
      <c r="G1393" s="40" t="n">
        <v>0</v>
      </c>
      <c r="H1393" s="40" t="n">
        <v>0</v>
      </c>
      <c r="I1393" s="40" t="n">
        <v>0</v>
      </c>
      <c r="J1393" s="40" t="n">
        <v>18673.44</v>
      </c>
      <c r="K1393" s="40" t="n">
        <v>93454.07000000001</v>
      </c>
      <c r="L1393" s="40" t="n">
        <v>15711.5</v>
      </c>
    </row>
    <row r="1394" ht="12" customHeight="1">
      <c r="A1394" s="30" t="inlineStr">
        <is>
          <t>ITG</t>
        </is>
      </c>
      <c r="B1394" s="30" t="inlineStr">
        <is>
          <t>Itaguai</t>
        </is>
      </c>
      <c r="C1394" s="30" t="n">
        <v>83664401</v>
      </c>
      <c r="D1394" s="30">
        <f>"43035146001157"</f>
        <v/>
      </c>
      <c r="E1394" s="30" t="inlineStr">
        <is>
          <t>PROTEGE SOCIEDADE ANONIMA PROTECAO E TRANSPORTE DE VALORES</t>
        </is>
      </c>
      <c r="F1394" s="40" t="n">
        <v>437178</v>
      </c>
      <c r="G1394" s="40" t="n">
        <v>469354.8</v>
      </c>
      <c r="H1394" s="40" t="n">
        <v>526839.3</v>
      </c>
      <c r="I1394" s="40" t="n">
        <v>380971.35</v>
      </c>
      <c r="J1394" s="40" t="n">
        <v>528473.8</v>
      </c>
      <c r="K1394" s="40" t="n">
        <v>551792.29</v>
      </c>
      <c r="L1394" s="40" t="n">
        <v>545803.3</v>
      </c>
    </row>
    <row r="1395" ht="12" customHeight="1">
      <c r="A1395" s="30" t="inlineStr">
        <is>
          <t>ITG</t>
        </is>
      </c>
      <c r="B1395" s="30" t="inlineStr">
        <is>
          <t>Itaguai</t>
        </is>
      </c>
      <c r="C1395" s="30" t="n">
        <v>83680342</v>
      </c>
      <c r="D1395" s="30">
        <f>"07358761026206"</f>
        <v/>
      </c>
      <c r="E1395" s="30" t="inlineStr">
        <is>
          <t>GERDAU ACOS LONGOS S/A</t>
        </is>
      </c>
      <c r="F1395" s="40" t="n">
        <v>0</v>
      </c>
      <c r="G1395" s="40" t="n">
        <v>0</v>
      </c>
      <c r="H1395" s="40" t="n">
        <v>0</v>
      </c>
      <c r="I1395" s="40" t="n">
        <v>0</v>
      </c>
      <c r="J1395" s="40" t="n">
        <v>0</v>
      </c>
      <c r="K1395" s="40" t="n">
        <v>0</v>
      </c>
      <c r="L1395" s="40" t="n">
        <v>11664.46</v>
      </c>
    </row>
    <row r="1396" ht="12" customHeight="1">
      <c r="A1396" s="30" t="inlineStr">
        <is>
          <t>ITG</t>
        </is>
      </c>
      <c r="B1396" s="30" t="inlineStr">
        <is>
          <t>Itaguai</t>
        </is>
      </c>
      <c r="C1396" s="30" t="n">
        <v>83694912</v>
      </c>
      <c r="D1396" s="30">
        <f>"91302331000808"</f>
        <v/>
      </c>
      <c r="E1396" s="30" t="inlineStr">
        <is>
          <t>TRANSPORTES BEBBER LTDA</t>
        </is>
      </c>
      <c r="F1396" s="40" t="n">
        <v>500</v>
      </c>
      <c r="G1396" s="40" t="n">
        <v>0</v>
      </c>
      <c r="H1396" s="40" t="n">
        <v>0</v>
      </c>
      <c r="I1396" s="40" t="n">
        <v>0</v>
      </c>
      <c r="J1396" s="40" t="n">
        <v>0</v>
      </c>
      <c r="K1396" s="40" t="n">
        <v>0</v>
      </c>
      <c r="L1396" s="40" t="n">
        <v>0</v>
      </c>
    </row>
    <row r="1397" ht="12" customHeight="1">
      <c r="A1397" s="30" t="inlineStr">
        <is>
          <t>ITG</t>
        </is>
      </c>
      <c r="B1397" s="30" t="inlineStr">
        <is>
          <t>Itaguai</t>
        </is>
      </c>
      <c r="C1397" s="30" t="n">
        <v>83695943</v>
      </c>
      <c r="D1397" s="30">
        <f>"56764822000446"</f>
        <v/>
      </c>
      <c r="E1397" s="30" t="inlineStr">
        <is>
          <t>T H V TRANSPORTES LTDA</t>
        </is>
      </c>
      <c r="F1397" s="40" t="n">
        <v>0</v>
      </c>
      <c r="G1397" s="40" t="n">
        <v>187940.57</v>
      </c>
      <c r="H1397" s="40" t="n">
        <v>239159.78</v>
      </c>
      <c r="I1397" s="40" t="n">
        <v>512242.32</v>
      </c>
      <c r="J1397" s="40" t="n">
        <v>7229.36</v>
      </c>
      <c r="K1397" s="40" t="n">
        <v>0</v>
      </c>
      <c r="L1397" s="40" t="n">
        <v>0</v>
      </c>
    </row>
    <row r="1398" ht="12" customHeight="1">
      <c r="A1398" s="30" t="inlineStr">
        <is>
          <t>ITG</t>
        </is>
      </c>
      <c r="B1398" s="30" t="inlineStr">
        <is>
          <t>Itaguai</t>
        </is>
      </c>
      <c r="C1398" s="30" t="n">
        <v>83698942</v>
      </c>
      <c r="D1398" s="30">
        <f>"32169484000193"</f>
        <v/>
      </c>
      <c r="E1398" s="30" t="inlineStr">
        <is>
          <t>RODOPALAS TRANSPORTES RODOVIARIOS LTDA</t>
        </is>
      </c>
      <c r="F1398" s="40" t="n">
        <v>0</v>
      </c>
      <c r="G1398" s="40" t="n">
        <v>0</v>
      </c>
      <c r="H1398" s="40" t="n">
        <v>0</v>
      </c>
      <c r="I1398" s="40" t="n">
        <v>0</v>
      </c>
      <c r="J1398" s="40" t="n">
        <v>0</v>
      </c>
      <c r="K1398" s="40" t="n">
        <v>722.99</v>
      </c>
      <c r="L1398" s="40" t="n">
        <v>0</v>
      </c>
    </row>
    <row r="1399" ht="12" customHeight="1">
      <c r="A1399" s="30" t="inlineStr">
        <is>
          <t>ITG</t>
        </is>
      </c>
      <c r="B1399" s="30" t="inlineStr">
        <is>
          <t>Itaguai</t>
        </is>
      </c>
      <c r="C1399" s="30" t="n">
        <v>83699205</v>
      </c>
      <c r="D1399" s="30">
        <f>"61139432000253"</f>
        <v/>
      </c>
      <c r="E1399" s="30" t="inlineStr">
        <is>
          <t>TRANSPORTES DELLA VOLPE S A COMERCIO E INDUSTRIA</t>
        </is>
      </c>
      <c r="F1399" s="40" t="n">
        <v>191478.26</v>
      </c>
      <c r="G1399" s="40" t="n">
        <v>240776</v>
      </c>
      <c r="H1399" s="40" t="n">
        <v>776101.14</v>
      </c>
      <c r="I1399" s="40" t="n">
        <v>267023.96</v>
      </c>
      <c r="J1399" s="40" t="n">
        <v>50000</v>
      </c>
      <c r="K1399" s="40" t="n">
        <v>687387.36</v>
      </c>
      <c r="L1399" s="40" t="n">
        <v>402636.06</v>
      </c>
    </row>
    <row r="1400" ht="12" customHeight="1">
      <c r="A1400" s="30" t="inlineStr">
        <is>
          <t>ITG</t>
        </is>
      </c>
      <c r="B1400" s="30" t="inlineStr">
        <is>
          <t>Itaguai</t>
        </is>
      </c>
      <c r="C1400" s="30" t="n">
        <v>83788658</v>
      </c>
      <c r="D1400" s="30">
        <f>"29453826000279"</f>
        <v/>
      </c>
      <c r="E1400" s="30" t="inlineStr">
        <is>
          <t>TRANSPORTE GENEROSO LTDA</t>
        </is>
      </c>
      <c r="F1400" s="40" t="n">
        <v>0</v>
      </c>
      <c r="G1400" s="40" t="n">
        <v>0</v>
      </c>
      <c r="H1400" s="40" t="n">
        <v>3039</v>
      </c>
      <c r="I1400" s="40" t="n">
        <v>10791.21</v>
      </c>
      <c r="J1400" s="40" t="n">
        <v>6323.02</v>
      </c>
      <c r="K1400" s="40" t="n">
        <v>2324.39</v>
      </c>
      <c r="L1400" s="40" t="n">
        <v>8319.27</v>
      </c>
    </row>
    <row r="1401" ht="12" customHeight="1">
      <c r="A1401" s="30" t="inlineStr">
        <is>
          <t>ITG</t>
        </is>
      </c>
      <c r="B1401" s="30" t="inlineStr">
        <is>
          <t>Itaguai</t>
        </is>
      </c>
      <c r="C1401" s="30" t="n">
        <v>83798726</v>
      </c>
      <c r="D1401" s="30">
        <f>"19199348001311"</f>
        <v/>
      </c>
      <c r="E1401" s="30" t="inlineStr">
        <is>
          <t>SADA TRANSPORTES E ARMAZENAGENS S/A</t>
        </is>
      </c>
      <c r="F1401" s="40" t="n">
        <v>505.5</v>
      </c>
      <c r="G1401" s="40" t="n">
        <v>0</v>
      </c>
      <c r="H1401" s="40" t="n">
        <v>0</v>
      </c>
      <c r="I1401" s="40" t="n">
        <v>0</v>
      </c>
      <c r="J1401" s="40" t="n">
        <v>0</v>
      </c>
      <c r="K1401" s="40" t="n">
        <v>0</v>
      </c>
      <c r="L1401" s="40" t="n">
        <v>1081449.85</v>
      </c>
    </row>
    <row r="1402" ht="12" customHeight="1">
      <c r="A1402" s="30" t="inlineStr">
        <is>
          <t>ITG</t>
        </is>
      </c>
      <c r="B1402" s="30" t="inlineStr">
        <is>
          <t>Itaguai</t>
        </is>
      </c>
      <c r="C1402" s="30" t="n">
        <v>83799277</v>
      </c>
      <c r="D1402" s="30">
        <f>"24725764000455"</f>
        <v/>
      </c>
      <c r="E1402" s="30" t="inlineStr">
        <is>
          <t>EXPRESSO VERA CRUZ LTDA</t>
        </is>
      </c>
      <c r="F1402" s="40" t="n">
        <v>0</v>
      </c>
      <c r="G1402" s="40" t="n">
        <v>0</v>
      </c>
      <c r="H1402" s="40" t="n">
        <v>90.84</v>
      </c>
      <c r="I1402" s="40" t="n">
        <v>0</v>
      </c>
      <c r="J1402" s="40" t="n">
        <v>0</v>
      </c>
      <c r="K1402" s="40" t="n">
        <v>0</v>
      </c>
      <c r="L1402" s="40" t="n">
        <v>0</v>
      </c>
    </row>
    <row r="1403" ht="12" customHeight="1">
      <c r="A1403" s="30" t="inlineStr">
        <is>
          <t>ITG</t>
        </is>
      </c>
      <c r="B1403" s="30" t="inlineStr">
        <is>
          <t>Itaguai</t>
        </is>
      </c>
      <c r="C1403" s="30" t="n">
        <v>83799366</v>
      </c>
      <c r="D1403" s="30">
        <f>"60860087000360"</f>
        <v/>
      </c>
      <c r="E1403" s="30" t="inlineStr">
        <is>
          <t>BRINK"S SEGURANCA E TRANSPORTE DE VALORES LTDA</t>
        </is>
      </c>
      <c r="F1403" s="40" t="n">
        <v>209221.94</v>
      </c>
      <c r="G1403" s="40" t="n">
        <v>280707.13</v>
      </c>
      <c r="H1403" s="40" t="n">
        <v>257500.58</v>
      </c>
      <c r="I1403" s="40" t="n">
        <v>194151.41</v>
      </c>
      <c r="J1403" s="40" t="n">
        <v>241015.82</v>
      </c>
      <c r="K1403" s="40" t="n">
        <v>252795.8</v>
      </c>
      <c r="L1403" s="40" t="n">
        <v>141184.56</v>
      </c>
    </row>
    <row r="1404" ht="12" customHeight="1">
      <c r="A1404" s="30" t="inlineStr">
        <is>
          <t>ITG</t>
        </is>
      </c>
      <c r="B1404" s="30" t="inlineStr">
        <is>
          <t>Itaguai</t>
        </is>
      </c>
      <c r="C1404" s="30" t="n">
        <v>83800364</v>
      </c>
      <c r="D1404" s="30">
        <f>"44993632007009"</f>
        <v/>
      </c>
      <c r="E1404" s="30" t="inlineStr">
        <is>
          <t>EMPRESAS REUNIDAS PAULISTA DE TRANSPORTES LTDA</t>
        </is>
      </c>
      <c r="F1404" s="40" t="n">
        <v>73531.73</v>
      </c>
      <c r="G1404" s="40" t="n">
        <v>89997.75999999999</v>
      </c>
      <c r="H1404" s="40" t="n">
        <v>90285.94</v>
      </c>
      <c r="I1404" s="40" t="n">
        <v>56364.86</v>
      </c>
      <c r="J1404" s="40" t="n">
        <v>174546.33</v>
      </c>
      <c r="K1404" s="40" t="n">
        <v>0</v>
      </c>
      <c r="L1404" s="40" t="n">
        <v>83659.39</v>
      </c>
    </row>
    <row r="1405" ht="12" customHeight="1">
      <c r="A1405" s="30" t="inlineStr">
        <is>
          <t>ITG</t>
        </is>
      </c>
      <c r="B1405" s="30" t="inlineStr">
        <is>
          <t>Itaguai</t>
        </is>
      </c>
      <c r="C1405" s="30" t="n">
        <v>83824735</v>
      </c>
      <c r="D1405" s="30">
        <f>"34146175000123"</f>
        <v/>
      </c>
      <c r="E1405" s="30" t="inlineStr">
        <is>
          <t>EMPRESA DE TRANSPORTE ANGELA LTDA ME</t>
        </is>
      </c>
      <c r="F1405" s="40" t="n">
        <v>1300</v>
      </c>
      <c r="G1405" s="40" t="n">
        <v>0</v>
      </c>
      <c r="H1405" s="40" t="n">
        <v>0</v>
      </c>
      <c r="I1405" s="40" t="n">
        <v>0</v>
      </c>
      <c r="J1405" s="40" t="n">
        <v>0</v>
      </c>
      <c r="K1405" s="40" t="n">
        <v>8000</v>
      </c>
      <c r="L1405" s="40" t="n">
        <v>0</v>
      </c>
    </row>
    <row r="1406" ht="12" customHeight="1">
      <c r="A1406" s="30" t="inlineStr">
        <is>
          <t>ITG</t>
        </is>
      </c>
      <c r="B1406" s="30" t="inlineStr">
        <is>
          <t>Itaguai</t>
        </is>
      </c>
      <c r="C1406" s="30" t="n">
        <v>83827327</v>
      </c>
      <c r="D1406" s="30">
        <f>"33498551000186"</f>
        <v/>
      </c>
      <c r="E1406" s="30" t="inlineStr">
        <is>
          <t>TURISMO TRES AMIGOS LTDA</t>
        </is>
      </c>
      <c r="F1406" s="40" t="n">
        <v>0</v>
      </c>
      <c r="G1406" s="40" t="n">
        <v>0</v>
      </c>
      <c r="H1406" s="40" t="n">
        <v>2289</v>
      </c>
      <c r="I1406" s="40" t="n">
        <v>0</v>
      </c>
      <c r="J1406" s="40" t="n">
        <v>0</v>
      </c>
      <c r="K1406" s="40" t="n">
        <v>0</v>
      </c>
      <c r="L1406" s="40" t="n">
        <v>3800</v>
      </c>
    </row>
    <row r="1407" ht="12" customHeight="1">
      <c r="A1407" s="30" t="inlineStr">
        <is>
          <t>ITG</t>
        </is>
      </c>
      <c r="B1407" s="30" t="inlineStr">
        <is>
          <t>Itaguai</t>
        </is>
      </c>
      <c r="C1407" s="30" t="n">
        <v>83834218</v>
      </c>
      <c r="D1407" s="30">
        <f>"33087859000139"</f>
        <v/>
      </c>
      <c r="E1407" s="30" t="inlineStr">
        <is>
          <t>BEL TOUR TURISMO E TRANSPORTES LTDA</t>
        </is>
      </c>
      <c r="F1407" s="40" t="n">
        <v>0</v>
      </c>
      <c r="G1407" s="40" t="n">
        <v>0</v>
      </c>
      <c r="H1407" s="40" t="n">
        <v>0</v>
      </c>
      <c r="I1407" s="40" t="n">
        <v>0</v>
      </c>
      <c r="J1407" s="40" t="n">
        <v>4707479.11</v>
      </c>
      <c r="K1407" s="40" t="n">
        <v>3670545.48</v>
      </c>
      <c r="L1407" s="40" t="n">
        <v>839272.4</v>
      </c>
    </row>
    <row r="1408" ht="12" customHeight="1">
      <c r="A1408" s="30" t="inlineStr">
        <is>
          <t>ITG</t>
        </is>
      </c>
      <c r="B1408" s="30" t="inlineStr">
        <is>
          <t>Itaguai</t>
        </is>
      </c>
      <c r="C1408" s="30" t="n">
        <v>83858664</v>
      </c>
      <c r="D1408" s="30">
        <f>"29108107000130"</f>
        <v/>
      </c>
      <c r="E1408" s="30" t="inlineStr">
        <is>
          <t>SOLAZER TRANSPORTES E TURISMO LTDA</t>
        </is>
      </c>
      <c r="F1408" s="40" t="n">
        <v>2946527.2</v>
      </c>
      <c r="G1408" s="40" t="n">
        <v>8680</v>
      </c>
      <c r="H1408" s="40" t="n">
        <v>97473</v>
      </c>
      <c r="I1408" s="40" t="n">
        <v>375249.05</v>
      </c>
      <c r="J1408" s="40" t="n">
        <v>1633243.44</v>
      </c>
      <c r="K1408" s="40" t="n">
        <v>1540184.52</v>
      </c>
      <c r="L1408" s="40" t="n">
        <v>1563193.06</v>
      </c>
    </row>
    <row r="1409" ht="12" customHeight="1">
      <c r="A1409" s="30" t="inlineStr">
        <is>
          <t>ITG</t>
        </is>
      </c>
      <c r="B1409" s="30" t="inlineStr">
        <is>
          <t>Itaguai</t>
        </is>
      </c>
      <c r="C1409" s="30" t="n">
        <v>83868244</v>
      </c>
      <c r="D1409" s="30">
        <f>"07358761028500"</f>
        <v/>
      </c>
      <c r="E1409" s="30" t="inlineStr">
        <is>
          <t>GERDAU ACOS LONGOS S/A</t>
        </is>
      </c>
      <c r="F1409" s="40" t="n">
        <v>0</v>
      </c>
      <c r="G1409" s="40" t="n">
        <v>0</v>
      </c>
      <c r="H1409" s="40" t="n">
        <v>0</v>
      </c>
      <c r="I1409" s="40" t="n">
        <v>0</v>
      </c>
      <c r="J1409" s="40" t="n">
        <v>0</v>
      </c>
      <c r="K1409" s="40" t="n">
        <v>0</v>
      </c>
      <c r="L1409" s="40" t="n">
        <v>506.09</v>
      </c>
    </row>
    <row r="1410" ht="12" customHeight="1">
      <c r="A1410" s="30" t="inlineStr">
        <is>
          <t>ITG</t>
        </is>
      </c>
      <c r="B1410" s="30" t="inlineStr">
        <is>
          <t>Itaguai</t>
        </is>
      </c>
      <c r="C1410" s="30" t="n">
        <v>83918748</v>
      </c>
      <c r="D1410" s="30">
        <f>"31096068000301"</f>
        <v/>
      </c>
      <c r="E1410" s="30" t="inlineStr">
        <is>
          <t>MULTITERMINAIS ALFANDEGADOS DO BRASIL S A</t>
        </is>
      </c>
      <c r="F1410" s="40" t="n">
        <v>120914.85</v>
      </c>
      <c r="G1410" s="40" t="n">
        <v>0</v>
      </c>
      <c r="H1410" s="40" t="n">
        <v>0</v>
      </c>
      <c r="I1410" s="40" t="n">
        <v>481684.61</v>
      </c>
      <c r="J1410" s="40" t="n">
        <v>371996.84</v>
      </c>
      <c r="K1410" s="40" t="n">
        <v>536022.86</v>
      </c>
      <c r="L1410" s="40" t="n">
        <v>238477.06</v>
      </c>
    </row>
    <row r="1411" ht="12" customHeight="1">
      <c r="A1411" s="30" t="inlineStr">
        <is>
          <t>ITG</t>
        </is>
      </c>
      <c r="B1411" s="30" t="inlineStr">
        <is>
          <t>Itaguai</t>
        </is>
      </c>
      <c r="C1411" s="30" t="n">
        <v>83951257</v>
      </c>
      <c r="D1411" s="30">
        <f>"35826361000176"</f>
        <v/>
      </c>
      <c r="E1411" s="30" t="inlineStr">
        <is>
          <t>J D SANTOS CARVOARIA EPP</t>
        </is>
      </c>
      <c r="F1411" s="40" t="n">
        <v>822861.24</v>
      </c>
      <c r="G1411" s="40" t="n">
        <v>0</v>
      </c>
      <c r="H1411" s="40" t="n">
        <v>0</v>
      </c>
      <c r="I1411" s="40" t="n">
        <v>0</v>
      </c>
      <c r="J1411" s="40" t="n">
        <v>0</v>
      </c>
      <c r="K1411" s="40" t="n">
        <v>0</v>
      </c>
      <c r="L1411" s="40" t="n">
        <v>1032651.2</v>
      </c>
    </row>
    <row r="1412" ht="12" customHeight="1">
      <c r="A1412" s="30" t="inlineStr">
        <is>
          <t>ITG</t>
        </is>
      </c>
      <c r="B1412" s="30" t="inlineStr">
        <is>
          <t>Itaguai</t>
        </is>
      </c>
      <c r="C1412" s="30" t="n">
        <v>83953276</v>
      </c>
      <c r="D1412" s="30">
        <f>"36061604000195"</f>
        <v/>
      </c>
      <c r="E1412" s="30" t="inlineStr">
        <is>
          <t>PRISMA DE ITAGUAI COMERCIO E INDUSTRIA EIRELI ME</t>
        </is>
      </c>
      <c r="F1412" s="40" t="n">
        <v>0</v>
      </c>
      <c r="G1412" s="40" t="n">
        <v>0</v>
      </c>
      <c r="H1412" s="40" t="n">
        <v>0</v>
      </c>
      <c r="I1412" s="40" t="n">
        <v>0</v>
      </c>
      <c r="J1412" s="40" t="n">
        <v>0</v>
      </c>
      <c r="K1412" s="40" t="n">
        <v>0</v>
      </c>
      <c r="L1412" s="40" t="n">
        <v>0</v>
      </c>
    </row>
    <row r="1413" ht="12" customHeight="1">
      <c r="A1413" s="30" t="inlineStr">
        <is>
          <t>ITG</t>
        </is>
      </c>
      <c r="B1413" s="30" t="inlineStr">
        <is>
          <t>Itaguai</t>
        </is>
      </c>
      <c r="C1413" s="30" t="n">
        <v>83953314</v>
      </c>
      <c r="D1413" s="30">
        <f>"39114822000139"</f>
        <v/>
      </c>
      <c r="E1413" s="30" t="inlineStr">
        <is>
          <t>RETIFICA DE MOTORES BRISAMAR LTDA</t>
        </is>
      </c>
      <c r="F1413" s="40" t="n">
        <v>0</v>
      </c>
      <c r="G1413" s="40" t="n">
        <v>0</v>
      </c>
      <c r="H1413" s="40" t="n">
        <v>0</v>
      </c>
      <c r="I1413" s="40" t="n">
        <v>0</v>
      </c>
      <c r="J1413" s="40" t="n">
        <v>0</v>
      </c>
      <c r="K1413" s="40" t="n">
        <v>0</v>
      </c>
      <c r="L1413" s="40" t="n">
        <v>0</v>
      </c>
    </row>
    <row r="1414" ht="12" customHeight="1">
      <c r="A1414" s="30" t="inlineStr">
        <is>
          <t>ITG</t>
        </is>
      </c>
      <c r="B1414" s="30" t="inlineStr">
        <is>
          <t>Itaguai</t>
        </is>
      </c>
      <c r="C1414" s="30" t="n">
        <v>83953829</v>
      </c>
      <c r="D1414" s="30">
        <f>"36061620000188"</f>
        <v/>
      </c>
      <c r="E1414" s="30" t="inlineStr">
        <is>
          <t>V VEICULOS LTDA</t>
        </is>
      </c>
      <c r="F1414" s="40" t="n">
        <v>224639.59</v>
      </c>
      <c r="G1414" s="40" t="n">
        <v>186837.77</v>
      </c>
      <c r="H1414" s="40" t="n">
        <v>775061.3100000001</v>
      </c>
      <c r="I1414" s="40" t="n">
        <v>74508.41</v>
      </c>
      <c r="J1414" s="40" t="n">
        <v>206266.47</v>
      </c>
      <c r="K1414" s="40" t="n">
        <v>68819.84</v>
      </c>
      <c r="L1414" s="40" t="n">
        <v>0</v>
      </c>
    </row>
    <row r="1415" ht="12" customHeight="1">
      <c r="A1415" s="30" t="inlineStr">
        <is>
          <t>ITG</t>
        </is>
      </c>
      <c r="B1415" s="30" t="inlineStr">
        <is>
          <t>Itaguai</t>
        </is>
      </c>
      <c r="C1415" s="30" t="n">
        <v>83953993</v>
      </c>
      <c r="D1415" s="30">
        <f>"36062321000168"</f>
        <v/>
      </c>
      <c r="E1415" s="30" t="inlineStr">
        <is>
          <t>VALMIR S GOMES BAZAR ME</t>
        </is>
      </c>
      <c r="F1415" s="40" t="n">
        <v>0</v>
      </c>
      <c r="G1415" s="40" t="n">
        <v>0</v>
      </c>
      <c r="H1415" s="40" t="n">
        <v>0</v>
      </c>
      <c r="I1415" s="40" t="n">
        <v>0</v>
      </c>
      <c r="J1415" s="40" t="n">
        <v>0</v>
      </c>
      <c r="K1415" s="40" t="n">
        <v>0</v>
      </c>
      <c r="L1415" s="40" t="n">
        <v>0</v>
      </c>
    </row>
    <row r="1416" ht="12" customHeight="1">
      <c r="A1416" s="30" t="inlineStr">
        <is>
          <t>ITG</t>
        </is>
      </c>
      <c r="B1416" s="30" t="inlineStr">
        <is>
          <t>Itaguai</t>
        </is>
      </c>
      <c r="C1416" s="30" t="n">
        <v>83954388</v>
      </c>
      <c r="D1416" s="30">
        <f>"36437093000163"</f>
        <v/>
      </c>
      <c r="E1416" s="30" t="inlineStr">
        <is>
          <t>R A CORREA DISTRIBUIDORA DE PECAS AUTOMOTIVAS LTDA ME</t>
        </is>
      </c>
      <c r="F1416" s="40" t="n">
        <v>0</v>
      </c>
      <c r="G1416" s="40" t="n">
        <v>0</v>
      </c>
      <c r="H1416" s="40" t="n">
        <v>0</v>
      </c>
      <c r="I1416" s="40" t="n">
        <v>0</v>
      </c>
      <c r="J1416" s="40" t="n">
        <v>0</v>
      </c>
      <c r="K1416" s="40" t="n">
        <v>1491150.93</v>
      </c>
      <c r="L1416" s="40" t="n">
        <v>0</v>
      </c>
    </row>
    <row r="1417" ht="12" customHeight="1">
      <c r="A1417" s="30" t="inlineStr">
        <is>
          <t>ITG</t>
        </is>
      </c>
      <c r="B1417" s="30" t="inlineStr">
        <is>
          <t>Itaguai</t>
        </is>
      </c>
      <c r="C1417" s="30" t="n">
        <v>84088544</v>
      </c>
      <c r="D1417" s="30">
        <f>"28361483000179"</f>
        <v/>
      </c>
      <c r="E1417" s="30" t="inlineStr">
        <is>
          <t>DOM BOSCO TURISMO E TRANSPORTES LTDA</t>
        </is>
      </c>
      <c r="F1417" s="40" t="n">
        <v>14050</v>
      </c>
      <c r="G1417" s="40" t="n">
        <v>14975</v>
      </c>
      <c r="H1417" s="40" t="n">
        <v>73021.95</v>
      </c>
      <c r="I1417" s="40" t="n">
        <v>1200</v>
      </c>
      <c r="J1417" s="40" t="n">
        <v>75950</v>
      </c>
      <c r="K1417" s="40" t="n">
        <v>21900</v>
      </c>
      <c r="L1417" s="40" t="n">
        <v>39300</v>
      </c>
    </row>
    <row r="1418" ht="12" customHeight="1">
      <c r="A1418" s="30" t="inlineStr">
        <is>
          <t>ITG</t>
        </is>
      </c>
      <c r="B1418" s="30" t="inlineStr">
        <is>
          <t>Itaguai</t>
        </is>
      </c>
      <c r="C1418" s="30" t="n">
        <v>84089109</v>
      </c>
      <c r="D1418" s="30">
        <f>"17191172000516"</f>
        <v/>
      </c>
      <c r="E1418" s="30" t="inlineStr">
        <is>
          <t>EMPRESA DE TRANSPORTES MARTINS LTDA</t>
        </is>
      </c>
      <c r="F1418" s="40" t="n">
        <v>21051.32</v>
      </c>
      <c r="G1418" s="40" t="n">
        <v>67392.19</v>
      </c>
      <c r="H1418" s="40" t="n">
        <v>15350.76</v>
      </c>
      <c r="I1418" s="40" t="n">
        <v>14491.12</v>
      </c>
      <c r="J1418" s="40" t="n">
        <v>31661.25</v>
      </c>
      <c r="K1418" s="40" t="n">
        <v>29416.25</v>
      </c>
      <c r="L1418" s="40" t="n">
        <v>33153.45</v>
      </c>
    </row>
    <row r="1419" ht="12" customHeight="1">
      <c r="A1419" s="30" t="inlineStr">
        <is>
          <t>ITG</t>
        </is>
      </c>
      <c r="B1419" s="30" t="inlineStr">
        <is>
          <t>Itaguai</t>
        </is>
      </c>
      <c r="C1419" s="30" t="n">
        <v>84200395</v>
      </c>
      <c r="D1419" s="30">
        <f>"17676693000130"</f>
        <v/>
      </c>
      <c r="E1419" s="30" t="inlineStr">
        <is>
          <t>M W TRANSPORTES LTDA</t>
        </is>
      </c>
      <c r="F1419" s="40" t="n">
        <v>0</v>
      </c>
      <c r="G1419" s="40" t="n">
        <v>1459.02</v>
      </c>
      <c r="H1419" s="40" t="n">
        <v>4870.21</v>
      </c>
      <c r="I1419" s="40" t="n">
        <v>1569.83</v>
      </c>
      <c r="J1419" s="40" t="n">
        <v>924.9299999999999</v>
      </c>
      <c r="K1419" s="40" t="n">
        <v>1073.42</v>
      </c>
      <c r="L1419" s="40" t="n">
        <v>1232.77</v>
      </c>
    </row>
    <row r="1420" ht="12" customHeight="1">
      <c r="A1420" s="30" t="inlineStr">
        <is>
          <t>ITG</t>
        </is>
      </c>
      <c r="B1420" s="30" t="inlineStr">
        <is>
          <t>Itaguai</t>
        </is>
      </c>
      <c r="C1420" s="30" t="n">
        <v>84321869</v>
      </c>
      <c r="D1420" s="30">
        <f>"33041260014700"</f>
        <v/>
      </c>
      <c r="E1420" s="30" t="inlineStr">
        <is>
          <t>VIA VAREJO S/A</t>
        </is>
      </c>
      <c r="F1420" s="40" t="n">
        <v>2885524.22</v>
      </c>
      <c r="G1420" s="40" t="n">
        <v>2500385.05</v>
      </c>
      <c r="H1420" s="40" t="n">
        <v>2279757.9</v>
      </c>
      <c r="I1420" s="40" t="n">
        <v>2677768.23</v>
      </c>
      <c r="J1420" s="40" t="n">
        <v>940621.37</v>
      </c>
      <c r="K1420" s="40" t="n">
        <v>652411.86</v>
      </c>
      <c r="L1420" s="40" t="n">
        <v>937901.63</v>
      </c>
    </row>
    <row r="1421" ht="12" customHeight="1">
      <c r="A1421" s="30" t="inlineStr">
        <is>
          <t>ITG</t>
        </is>
      </c>
      <c r="B1421" s="30" t="inlineStr">
        <is>
          <t>Itaguai</t>
        </is>
      </c>
      <c r="C1421" s="30" t="n">
        <v>84321982</v>
      </c>
      <c r="D1421" s="30">
        <f>"40388480000124"</f>
        <v/>
      </c>
      <c r="E1421" s="30" t="inlineStr">
        <is>
          <t>OTICA EL SHADAY LTDA</t>
        </is>
      </c>
      <c r="F1421" s="40" t="n">
        <v>0</v>
      </c>
      <c r="G1421" s="40" t="n">
        <v>0</v>
      </c>
      <c r="H1421" s="40" t="n">
        <v>0</v>
      </c>
      <c r="I1421" s="40" t="n">
        <v>0</v>
      </c>
      <c r="J1421" s="40" t="n">
        <v>0</v>
      </c>
      <c r="K1421" s="40" t="n">
        <v>0</v>
      </c>
      <c r="L1421" s="40" t="n">
        <v>0</v>
      </c>
    </row>
    <row r="1422" ht="12" customHeight="1">
      <c r="A1422" s="30" t="inlineStr">
        <is>
          <t>ITG</t>
        </is>
      </c>
      <c r="B1422" s="30" t="inlineStr">
        <is>
          <t>Itaguai</t>
        </is>
      </c>
      <c r="C1422" s="30" t="n">
        <v>84322350</v>
      </c>
      <c r="D1422" s="30">
        <f>"31094667000124"</f>
        <v/>
      </c>
      <c r="E1422" s="30" t="inlineStr">
        <is>
          <t>O M C COMERCIO DE FERRAMENTAS E MAQUINAS LTDA ME</t>
        </is>
      </c>
      <c r="F1422" s="40" t="n">
        <v>0</v>
      </c>
      <c r="G1422" s="40" t="n">
        <v>0</v>
      </c>
      <c r="H1422" s="40" t="n">
        <v>0</v>
      </c>
      <c r="I1422" s="40" t="n">
        <v>0</v>
      </c>
      <c r="J1422" s="40" t="n">
        <v>1081543.16</v>
      </c>
      <c r="K1422" s="40" t="n">
        <v>0</v>
      </c>
      <c r="L1422" s="40" t="n">
        <v>939398.98</v>
      </c>
    </row>
    <row r="1423" ht="12" customHeight="1">
      <c r="A1423" s="30" t="inlineStr">
        <is>
          <t>ITG</t>
        </is>
      </c>
      <c r="B1423" s="30" t="inlineStr">
        <is>
          <t>Itaguai</t>
        </is>
      </c>
      <c r="C1423" s="30" t="n">
        <v>84325767</v>
      </c>
      <c r="D1423" s="30">
        <f>"40160558000159"</f>
        <v/>
      </c>
      <c r="E1423" s="30" t="inlineStr">
        <is>
          <t>TRANSPORTE E TURISMO REAL BRASIL LTDA</t>
        </is>
      </c>
      <c r="F1423" s="40" t="n">
        <v>24700</v>
      </c>
      <c r="G1423" s="40" t="n">
        <v>43100</v>
      </c>
      <c r="H1423" s="40" t="n">
        <v>17850</v>
      </c>
      <c r="I1423" s="40" t="n">
        <v>139950</v>
      </c>
      <c r="J1423" s="40" t="n">
        <v>331200</v>
      </c>
      <c r="K1423" s="40" t="n">
        <v>4586626.54</v>
      </c>
      <c r="L1423" s="40" t="n">
        <v>7563935.01</v>
      </c>
    </row>
    <row r="1424" ht="12" customHeight="1">
      <c r="A1424" s="30" t="inlineStr">
        <is>
          <t>ITG</t>
        </is>
      </c>
      <c r="B1424" s="30" t="inlineStr">
        <is>
          <t>Itaguai</t>
        </is>
      </c>
      <c r="C1424" s="30" t="n">
        <v>84326992</v>
      </c>
      <c r="D1424" s="30">
        <f>"32314247000179"</f>
        <v/>
      </c>
      <c r="E1424" s="30" t="inlineStr">
        <is>
          <t>MTD TRANSPORTES LTDA</t>
        </is>
      </c>
      <c r="F1424" s="40" t="n">
        <v>149.6</v>
      </c>
      <c r="G1424" s="40" t="n">
        <v>56.69</v>
      </c>
      <c r="H1424" s="40" t="n">
        <v>0</v>
      </c>
      <c r="I1424" s="40" t="n">
        <v>0</v>
      </c>
      <c r="J1424" s="40" t="n">
        <v>0</v>
      </c>
      <c r="K1424" s="40" t="n">
        <v>228.84</v>
      </c>
      <c r="L1424" s="40" t="n">
        <v>99.16</v>
      </c>
    </row>
    <row r="1425" ht="12" customHeight="1">
      <c r="A1425" s="30" t="inlineStr">
        <is>
          <t>ITG</t>
        </is>
      </c>
      <c r="B1425" s="30" t="inlineStr">
        <is>
          <t>Itaguai</t>
        </is>
      </c>
      <c r="C1425" s="30" t="n">
        <v>84327093</v>
      </c>
      <c r="D1425" s="30">
        <f>"66199068000311"</f>
        <v/>
      </c>
      <c r="E1425" s="30" t="inlineStr">
        <is>
          <t>RAPIDO ALEM PARAIBA LTDA</t>
        </is>
      </c>
      <c r="F1425" s="40" t="n">
        <v>365</v>
      </c>
      <c r="G1425" s="40" t="n">
        <v>989</v>
      </c>
      <c r="H1425" s="40" t="n">
        <v>737</v>
      </c>
      <c r="I1425" s="40" t="n">
        <v>1140</v>
      </c>
      <c r="J1425" s="40" t="n">
        <v>420</v>
      </c>
      <c r="K1425" s="40" t="n">
        <v>123</v>
      </c>
      <c r="L1425" s="40" t="n">
        <v>1611.01</v>
      </c>
    </row>
    <row r="1426" ht="12" customHeight="1">
      <c r="A1426" s="30" t="inlineStr">
        <is>
          <t>ITG</t>
        </is>
      </c>
      <c r="B1426" s="30" t="inlineStr">
        <is>
          <t>Itaguai</t>
        </is>
      </c>
      <c r="C1426" s="30" t="n">
        <v>84327239</v>
      </c>
      <c r="D1426" s="30">
        <f>"43399567000276"</f>
        <v/>
      </c>
      <c r="E1426" s="30" t="inlineStr">
        <is>
          <t>TRANSPORTADORA PORTO FERREIRA LTDA</t>
        </is>
      </c>
      <c r="F1426" s="40" t="n">
        <v>1470471.3</v>
      </c>
      <c r="G1426" s="40" t="n">
        <v>655875.89</v>
      </c>
      <c r="H1426" s="40" t="n">
        <v>1243287.57</v>
      </c>
      <c r="I1426" s="40" t="n">
        <v>964681.62</v>
      </c>
      <c r="J1426" s="40" t="n">
        <v>1158143.89</v>
      </c>
      <c r="K1426" s="40" t="n">
        <v>3103568.61</v>
      </c>
      <c r="L1426" s="40" t="n">
        <v>2990300.9</v>
      </c>
    </row>
    <row r="1427" ht="12" customHeight="1">
      <c r="A1427" s="30" t="inlineStr">
        <is>
          <t>ITG</t>
        </is>
      </c>
      <c r="B1427" s="30" t="inlineStr">
        <is>
          <t>Itaguai</t>
        </is>
      </c>
      <c r="C1427" s="30" t="n">
        <v>84327565</v>
      </c>
      <c r="D1427" s="30">
        <f>"19451038000370"</f>
        <v/>
      </c>
      <c r="E1427" s="30" t="inlineStr">
        <is>
          <t>RODOVIARIO CAMILO DOS SANTOS FILHO LTDA</t>
        </is>
      </c>
      <c r="F1427" s="40" t="n">
        <v>0</v>
      </c>
      <c r="G1427" s="40" t="n">
        <v>1155.64</v>
      </c>
      <c r="H1427" s="40" t="n">
        <v>0</v>
      </c>
      <c r="I1427" s="40" t="n">
        <v>827.48</v>
      </c>
      <c r="J1427" s="40" t="n">
        <v>1686.35</v>
      </c>
      <c r="K1427" s="40" t="n">
        <v>8308.34</v>
      </c>
      <c r="L1427" s="40" t="n">
        <v>4347.27</v>
      </c>
    </row>
    <row r="1428" ht="12" customHeight="1">
      <c r="A1428" s="30" t="inlineStr">
        <is>
          <t>ITG</t>
        </is>
      </c>
      <c r="B1428" s="30" t="inlineStr">
        <is>
          <t>Itaguai</t>
        </is>
      </c>
      <c r="C1428" s="30" t="n">
        <v>84327603</v>
      </c>
      <c r="D1428" s="30">
        <f>"31334691000274"</f>
        <v/>
      </c>
      <c r="E1428" s="30" t="inlineStr">
        <is>
          <t>EXPRESSO REAL RIO LTDA</t>
        </is>
      </c>
      <c r="F1428" s="40" t="n">
        <v>0</v>
      </c>
      <c r="G1428" s="40" t="n">
        <v>0</v>
      </c>
      <c r="H1428" s="40" t="n">
        <v>0</v>
      </c>
      <c r="I1428" s="40" t="n">
        <v>0</v>
      </c>
      <c r="J1428" s="40" t="n">
        <v>0</v>
      </c>
      <c r="K1428" s="40" t="n">
        <v>0</v>
      </c>
      <c r="L1428" s="40" t="n">
        <v>0</v>
      </c>
    </row>
    <row r="1429" ht="12" customHeight="1">
      <c r="A1429" s="30" t="inlineStr">
        <is>
          <t>ITG</t>
        </is>
      </c>
      <c r="B1429" s="30" t="inlineStr">
        <is>
          <t>Itaguai</t>
        </is>
      </c>
      <c r="C1429" s="30" t="n">
        <v>84510874</v>
      </c>
      <c r="D1429" s="30">
        <f>"40442949000166"</f>
        <v/>
      </c>
      <c r="E1429" s="30" t="inlineStr">
        <is>
          <t>TRANSPORTADORA XARA RIO EIRELI</t>
        </is>
      </c>
      <c r="F1429" s="40" t="n">
        <v>50</v>
      </c>
      <c r="G1429" s="40" t="n">
        <v>0</v>
      </c>
      <c r="H1429" s="40" t="n">
        <v>0</v>
      </c>
      <c r="I1429" s="40" t="n">
        <v>0</v>
      </c>
      <c r="J1429" s="40" t="n">
        <v>1081.6</v>
      </c>
      <c r="K1429" s="40" t="n">
        <v>0</v>
      </c>
      <c r="L1429" s="40" t="n">
        <v>0</v>
      </c>
    </row>
    <row r="1430" ht="12" customHeight="1">
      <c r="A1430" s="30" t="inlineStr">
        <is>
          <t>ITG</t>
        </is>
      </c>
      <c r="B1430" s="30" t="inlineStr">
        <is>
          <t>Itaguai</t>
        </is>
      </c>
      <c r="C1430" s="30" t="n">
        <v>84511161</v>
      </c>
      <c r="D1430" s="30">
        <f>"28816270000194"</f>
        <v/>
      </c>
      <c r="E1430" s="30" t="inlineStr">
        <is>
          <t>DOCE RIO FRETAMENTO E TURISMO LTDA</t>
        </is>
      </c>
      <c r="F1430" s="40" t="n">
        <v>10600</v>
      </c>
      <c r="G1430" s="40" t="n">
        <v>5200</v>
      </c>
      <c r="H1430" s="40" t="n">
        <v>21350</v>
      </c>
      <c r="I1430" s="40" t="n">
        <v>4200</v>
      </c>
      <c r="J1430" s="40" t="n">
        <v>3300</v>
      </c>
      <c r="K1430" s="40" t="n">
        <v>12350</v>
      </c>
      <c r="L1430" s="40" t="n">
        <v>21600</v>
      </c>
    </row>
    <row r="1431" ht="12" customHeight="1">
      <c r="A1431" s="30" t="inlineStr">
        <is>
          <t>ITG</t>
        </is>
      </c>
      <c r="B1431" s="30" t="inlineStr">
        <is>
          <t>Itaguai</t>
        </is>
      </c>
      <c r="C1431" s="30" t="n">
        <v>84511277</v>
      </c>
      <c r="D1431" s="30">
        <f>"40433401000150"</f>
        <v/>
      </c>
      <c r="E1431" s="30" t="inlineStr">
        <is>
          <t>BWA TRANSPORTES ESPECIALIZADOS LTDA</t>
        </is>
      </c>
      <c r="F1431" s="40" t="n">
        <v>2322.17</v>
      </c>
      <c r="G1431" s="40" t="n">
        <v>0</v>
      </c>
      <c r="H1431" s="40" t="n">
        <v>0</v>
      </c>
      <c r="I1431" s="40" t="n">
        <v>0</v>
      </c>
      <c r="J1431" s="40" t="n">
        <v>0</v>
      </c>
      <c r="K1431" s="40" t="n">
        <v>0</v>
      </c>
      <c r="L1431" s="40" t="n">
        <v>0</v>
      </c>
    </row>
    <row r="1432" ht="12" customHeight="1">
      <c r="A1432" s="30" t="inlineStr">
        <is>
          <t>ITG</t>
        </is>
      </c>
      <c r="B1432" s="30" t="inlineStr">
        <is>
          <t>Itaguai</t>
        </is>
      </c>
      <c r="C1432" s="30" t="n">
        <v>84511684</v>
      </c>
      <c r="D1432" s="30">
        <f>"36578458000170"</f>
        <v/>
      </c>
      <c r="E1432" s="30" t="inlineStr">
        <is>
          <t>RODOMAC DE MACAE RODOVIARIO LTDA</t>
        </is>
      </c>
      <c r="F1432" s="40" t="n">
        <v>0</v>
      </c>
      <c r="G1432" s="40" t="n">
        <v>0</v>
      </c>
      <c r="H1432" s="40" t="n">
        <v>0</v>
      </c>
      <c r="I1432" s="40" t="n">
        <v>0</v>
      </c>
      <c r="J1432" s="40" t="n">
        <v>0</v>
      </c>
      <c r="K1432" s="40" t="n">
        <v>0</v>
      </c>
      <c r="L1432" s="40" t="n">
        <v>6025.7</v>
      </c>
    </row>
    <row r="1433" ht="12" customHeight="1">
      <c r="A1433" s="30" t="inlineStr">
        <is>
          <t>ITG</t>
        </is>
      </c>
      <c r="B1433" s="30" t="inlineStr">
        <is>
          <t>Itaguai</t>
        </is>
      </c>
      <c r="C1433" s="30" t="n">
        <v>84634395</v>
      </c>
      <c r="D1433" s="30">
        <f>"36541373000117"</f>
        <v/>
      </c>
      <c r="E1433" s="30" t="inlineStr">
        <is>
          <t>ESTANCIA TURISTICA JONOSAKE EIRELI ME</t>
        </is>
      </c>
      <c r="F1433" s="40" t="n">
        <v>0</v>
      </c>
      <c r="G1433" s="40" t="n">
        <v>0</v>
      </c>
      <c r="H1433" s="40" t="n">
        <v>0</v>
      </c>
      <c r="I1433" s="40" t="n">
        <v>0</v>
      </c>
      <c r="J1433" s="40" t="n">
        <v>11568.61</v>
      </c>
      <c r="K1433" s="40" t="n">
        <v>762937.67</v>
      </c>
      <c r="L1433" s="40" t="n">
        <v>969923.64</v>
      </c>
    </row>
    <row r="1434" ht="12" customHeight="1">
      <c r="A1434" s="30" t="inlineStr">
        <is>
          <t>ITG</t>
        </is>
      </c>
      <c r="B1434" s="30" t="inlineStr">
        <is>
          <t>Itaguai</t>
        </is>
      </c>
      <c r="C1434" s="30" t="n">
        <v>84634557</v>
      </c>
      <c r="D1434" s="30">
        <f>"27195650001087"</f>
        <v/>
      </c>
      <c r="E1434" s="30" t="inlineStr">
        <is>
          <t>CEFL COMERCIO ELETRO GAS FUKAMATI LTDA</t>
        </is>
      </c>
      <c r="F1434" s="40" t="n">
        <v>352658.67</v>
      </c>
      <c r="G1434" s="40" t="n">
        <v>593004.12</v>
      </c>
      <c r="H1434" s="40" t="n">
        <v>658622.45</v>
      </c>
      <c r="I1434" s="40" t="n">
        <v>672813.22</v>
      </c>
      <c r="J1434" s="40" t="n">
        <v>704649.36</v>
      </c>
      <c r="K1434" s="40" t="n">
        <v>0</v>
      </c>
      <c r="L1434" s="40" t="n">
        <v>1231739.29</v>
      </c>
    </row>
    <row r="1435" ht="12" customHeight="1">
      <c r="A1435" s="30" t="inlineStr">
        <is>
          <t>ITG</t>
        </is>
      </c>
      <c r="B1435" s="30" t="inlineStr">
        <is>
          <t>Itaguai</t>
        </is>
      </c>
      <c r="C1435" s="30" t="n">
        <v>84634611</v>
      </c>
      <c r="D1435" s="30">
        <f>"36086783000115"</f>
        <v/>
      </c>
      <c r="E1435" s="30" t="inlineStr">
        <is>
          <t>AREAL BARROSO EIRELI</t>
        </is>
      </c>
      <c r="F1435" s="40" t="n">
        <v>0</v>
      </c>
      <c r="G1435" s="40" t="n">
        <v>29689</v>
      </c>
      <c r="H1435" s="40" t="n">
        <v>43272.32</v>
      </c>
      <c r="I1435" s="40" t="n">
        <v>48063.57</v>
      </c>
      <c r="J1435" s="40" t="n">
        <v>0</v>
      </c>
      <c r="K1435" s="40" t="n">
        <v>0</v>
      </c>
      <c r="L1435" s="40" t="n">
        <v>0</v>
      </c>
    </row>
    <row r="1436" ht="12" customHeight="1">
      <c r="A1436" s="30" t="inlineStr">
        <is>
          <t>ITG</t>
        </is>
      </c>
      <c r="B1436" s="30" t="inlineStr">
        <is>
          <t>Itaguai</t>
        </is>
      </c>
      <c r="C1436" s="30" t="n">
        <v>84635146</v>
      </c>
      <c r="D1436" s="30">
        <f>"68691237000108"</f>
        <v/>
      </c>
      <c r="E1436" s="30" t="inlineStr">
        <is>
          <t>RPIL RENOVADORA DE PNEUS ITAGUAI LTDA</t>
        </is>
      </c>
      <c r="F1436" s="40" t="n">
        <v>1790057.78</v>
      </c>
      <c r="G1436" s="40" t="n">
        <v>1225455.63</v>
      </c>
      <c r="H1436" s="40" t="n">
        <v>2132864.37</v>
      </c>
      <c r="I1436" s="40" t="n">
        <v>2884011.18</v>
      </c>
      <c r="J1436" s="40" t="n">
        <v>3698235.41</v>
      </c>
      <c r="K1436" s="40" t="n">
        <v>1023104.07</v>
      </c>
      <c r="L1436" s="40" t="n">
        <v>2335855.67</v>
      </c>
    </row>
    <row r="1437" ht="12" customHeight="1">
      <c r="A1437" s="30" t="inlineStr">
        <is>
          <t>ITG</t>
        </is>
      </c>
      <c r="B1437" s="30" t="inlineStr">
        <is>
          <t>Itaguai</t>
        </is>
      </c>
      <c r="C1437" s="30" t="n">
        <v>84635685</v>
      </c>
      <c r="D1437" s="30">
        <f>"72037641000121"</f>
        <v/>
      </c>
      <c r="E1437" s="30" t="inlineStr">
        <is>
          <t>R MARTINS DA SILVA RESTAURANTE - ME</t>
        </is>
      </c>
      <c r="F1437" s="40" t="n">
        <v>0</v>
      </c>
      <c r="G1437" s="40" t="n">
        <v>0</v>
      </c>
      <c r="H1437" s="40" t="n">
        <v>0</v>
      </c>
      <c r="I1437" s="40" t="n">
        <v>0</v>
      </c>
      <c r="J1437" s="40" t="n">
        <v>0</v>
      </c>
      <c r="K1437" s="40" t="n">
        <v>0</v>
      </c>
      <c r="L1437" s="40" t="n">
        <v>0</v>
      </c>
    </row>
    <row r="1438" ht="12" customHeight="1">
      <c r="A1438" s="30" t="inlineStr">
        <is>
          <t>ITG</t>
        </is>
      </c>
      <c r="B1438" s="30" t="inlineStr">
        <is>
          <t>Itaguai</t>
        </is>
      </c>
      <c r="C1438" s="30" t="n">
        <v>84636568</v>
      </c>
      <c r="D1438" s="30">
        <f>"36438687000199"</f>
        <v/>
      </c>
      <c r="E1438" s="30" t="inlineStr">
        <is>
          <t>AREAL SANTA ROSA DE ITAGUAI LTDA</t>
        </is>
      </c>
      <c r="F1438" s="40" t="n">
        <v>0</v>
      </c>
      <c r="G1438" s="40" t="n">
        <v>0</v>
      </c>
      <c r="H1438" s="40" t="n">
        <v>0</v>
      </c>
      <c r="I1438" s="40" t="n">
        <v>0</v>
      </c>
      <c r="J1438" s="40" t="n">
        <v>0</v>
      </c>
      <c r="K1438" s="40" t="n">
        <v>0</v>
      </c>
      <c r="L1438" s="40" t="n">
        <v>1187878.72</v>
      </c>
    </row>
    <row r="1439" ht="12" customHeight="1">
      <c r="A1439" s="30" t="inlineStr">
        <is>
          <t>ITG</t>
        </is>
      </c>
      <c r="B1439" s="30" t="inlineStr">
        <is>
          <t>Itaguai</t>
        </is>
      </c>
      <c r="C1439" s="30" t="n">
        <v>84636754</v>
      </c>
      <c r="D1439" s="30">
        <f>"36542934000100"</f>
        <v/>
      </c>
      <c r="E1439" s="30" t="inlineStr">
        <is>
          <t>ELETRO MAQUINAS E FERRAGENS LTDA ME</t>
        </is>
      </c>
      <c r="F1439" s="40" t="n">
        <v>0</v>
      </c>
      <c r="G1439" s="40" t="n">
        <v>0</v>
      </c>
      <c r="H1439" s="40" t="n">
        <v>987806.64</v>
      </c>
      <c r="I1439" s="40" t="n">
        <v>1390320.29</v>
      </c>
      <c r="J1439" s="40" t="n">
        <v>1367138.19</v>
      </c>
      <c r="K1439" s="40" t="n">
        <v>0</v>
      </c>
      <c r="L1439" s="40" t="n">
        <v>68559.53</v>
      </c>
    </row>
    <row r="1440" ht="12" customHeight="1">
      <c r="A1440" s="30" t="inlineStr">
        <is>
          <t>ITG</t>
        </is>
      </c>
      <c r="B1440" s="30" t="inlineStr">
        <is>
          <t>Itaguai</t>
        </is>
      </c>
      <c r="C1440" s="30" t="n">
        <v>84637114</v>
      </c>
      <c r="D1440" s="30">
        <f>"33042730011572"</f>
        <v/>
      </c>
      <c r="E1440" s="30" t="inlineStr">
        <is>
          <t>COMPANHIA SIDERURGICA NACIONAL</t>
        </is>
      </c>
      <c r="F1440" s="40" t="n">
        <v>0</v>
      </c>
      <c r="G1440" s="40" t="n">
        <v>0</v>
      </c>
      <c r="H1440" s="40" t="n">
        <v>0</v>
      </c>
      <c r="I1440" s="40" t="n">
        <v>0</v>
      </c>
      <c r="J1440" s="40" t="n">
        <v>0</v>
      </c>
      <c r="K1440" s="40" t="n">
        <v>0</v>
      </c>
      <c r="L1440" s="40" t="n">
        <v>0</v>
      </c>
    </row>
    <row r="1441" ht="12" customHeight="1">
      <c r="A1441" s="30" t="inlineStr">
        <is>
          <t>ITG</t>
        </is>
      </c>
      <c r="B1441" s="30" t="inlineStr">
        <is>
          <t>Itaguai</t>
        </is>
      </c>
      <c r="C1441" s="30" t="n">
        <v>84701254</v>
      </c>
      <c r="D1441" s="30">
        <f>"17689837000273"</f>
        <v/>
      </c>
      <c r="E1441" s="30" t="inlineStr">
        <is>
          <t>IBOR TRANSPORTE RODOVIARIO LTDA</t>
        </is>
      </c>
      <c r="F1441" s="40" t="n">
        <v>0</v>
      </c>
      <c r="G1441" s="40" t="n">
        <v>0</v>
      </c>
      <c r="H1441" s="40" t="n">
        <v>0</v>
      </c>
      <c r="I1441" s="40" t="n">
        <v>7669.75</v>
      </c>
      <c r="J1441" s="40" t="n">
        <v>0</v>
      </c>
      <c r="K1441" s="40" t="n">
        <v>11360</v>
      </c>
      <c r="L1441" s="40" t="n">
        <v>3270</v>
      </c>
    </row>
    <row r="1442" ht="12" customHeight="1">
      <c r="A1442" s="30" t="inlineStr">
        <is>
          <t>ITG</t>
        </is>
      </c>
      <c r="B1442" s="30" t="inlineStr">
        <is>
          <t>Itaguai</t>
        </is>
      </c>
      <c r="C1442" s="30" t="n">
        <v>84718092</v>
      </c>
      <c r="D1442" s="30">
        <f>"39162235000115"</f>
        <v/>
      </c>
      <c r="E1442" s="30" t="inlineStr">
        <is>
          <t>SUPERIMAGEM TECNOLOGIA EM ELETRONICA LTDA</t>
        </is>
      </c>
      <c r="F1442" s="40" t="n">
        <v>6080.87</v>
      </c>
      <c r="G1442" s="40" t="n">
        <v>13961.57</v>
      </c>
      <c r="H1442" s="40" t="n">
        <v>81536.72</v>
      </c>
      <c r="I1442" s="40" t="n">
        <v>136002.15</v>
      </c>
      <c r="J1442" s="40" t="n">
        <v>149540.53</v>
      </c>
      <c r="K1442" s="40" t="n">
        <v>143063.36</v>
      </c>
      <c r="L1442" s="40" t="n">
        <v>229123.8</v>
      </c>
    </row>
    <row r="1443" ht="12" customHeight="1">
      <c r="A1443" s="30" t="inlineStr">
        <is>
          <t>ITG</t>
        </is>
      </c>
      <c r="B1443" s="30" t="inlineStr">
        <is>
          <t>Itaguai</t>
        </is>
      </c>
      <c r="C1443" s="30" t="n">
        <v>84780707</v>
      </c>
      <c r="D1443" s="30">
        <f>"33352394000104"</f>
        <v/>
      </c>
      <c r="E1443" s="30" t="inlineStr">
        <is>
          <t>COMPANHIA ESTADUAL DE AGUAS E ESGOTOS CEDAE</t>
        </is>
      </c>
      <c r="F1443" s="40" t="n">
        <v>29708931.31</v>
      </c>
      <c r="G1443" s="40" t="n">
        <v>34477035.84</v>
      </c>
      <c r="H1443" s="40" t="n">
        <v>37008975.74</v>
      </c>
      <c r="I1443" s="40" t="n">
        <v>0</v>
      </c>
      <c r="J1443" s="40" t="n">
        <v>0</v>
      </c>
      <c r="K1443" s="40" t="n">
        <v>0</v>
      </c>
      <c r="L1443" s="40" t="n">
        <v>0</v>
      </c>
    </row>
    <row r="1444" ht="12" customHeight="1">
      <c r="A1444" s="30" t="inlineStr">
        <is>
          <t>ITG</t>
        </is>
      </c>
      <c r="B1444" s="30" t="inlineStr">
        <is>
          <t>Itaguai</t>
        </is>
      </c>
      <c r="C1444" s="30" t="n">
        <v>85094122</v>
      </c>
      <c r="D1444" s="30">
        <f>"39459839000128"</f>
        <v/>
      </c>
      <c r="E1444" s="30" t="inlineStr">
        <is>
          <t>TITAL ALUMINIO E FERRO EIRELI</t>
        </is>
      </c>
      <c r="F1444" s="40" t="n">
        <v>0</v>
      </c>
      <c r="G1444" s="40" t="n">
        <v>183793.8</v>
      </c>
      <c r="H1444" s="40" t="n">
        <v>481726.99</v>
      </c>
      <c r="I1444" s="40" t="n">
        <v>0</v>
      </c>
      <c r="J1444" s="40" t="n">
        <v>0</v>
      </c>
      <c r="K1444" s="40" t="n">
        <v>0</v>
      </c>
      <c r="L1444" s="40" t="n">
        <v>0</v>
      </c>
    </row>
    <row r="1445" ht="12" customHeight="1">
      <c r="A1445" s="30" t="inlineStr">
        <is>
          <t>ITG</t>
        </is>
      </c>
      <c r="B1445" s="30" t="inlineStr">
        <is>
          <t>Itaguai</t>
        </is>
      </c>
      <c r="C1445" s="30" t="n">
        <v>85102729</v>
      </c>
      <c r="D1445" s="30">
        <f>"87858361000402"</f>
        <v/>
      </c>
      <c r="E1445" s="30" t="inlineStr">
        <is>
          <t>RAPIDO GARIBALDI DE TRANSPORTES LTDA</t>
        </is>
      </c>
      <c r="F1445" s="40" t="n">
        <v>0</v>
      </c>
      <c r="G1445" s="40" t="n">
        <v>163.78</v>
      </c>
      <c r="H1445" s="40" t="n">
        <v>495.73</v>
      </c>
      <c r="I1445" s="40" t="n">
        <v>0</v>
      </c>
      <c r="J1445" s="40" t="n">
        <v>0</v>
      </c>
      <c r="K1445" s="40" t="n">
        <v>0</v>
      </c>
      <c r="L1445" s="40" t="n">
        <v>0</v>
      </c>
    </row>
    <row r="1446" ht="12" customHeight="1">
      <c r="A1446" s="30" t="inlineStr">
        <is>
          <t>ITG</t>
        </is>
      </c>
      <c r="B1446" s="30" t="inlineStr">
        <is>
          <t>Itaguai</t>
        </is>
      </c>
      <c r="C1446" s="30" t="n">
        <v>85102923</v>
      </c>
      <c r="D1446" s="30">
        <f>"39041579000419"</f>
        <v/>
      </c>
      <c r="E1446" s="30" t="inlineStr">
        <is>
          <t>BRASPORT BRASIL TRANSPORTES LTDA</t>
        </is>
      </c>
      <c r="F1446" s="40" t="n">
        <v>0</v>
      </c>
      <c r="G1446" s="40" t="n">
        <v>18913.55</v>
      </c>
      <c r="H1446" s="40" t="n">
        <v>4915.26</v>
      </c>
      <c r="I1446" s="40" t="n">
        <v>14524.98</v>
      </c>
      <c r="J1446" s="40" t="n">
        <v>0</v>
      </c>
      <c r="K1446" s="40" t="n">
        <v>0</v>
      </c>
      <c r="L1446" s="40" t="n">
        <v>0</v>
      </c>
    </row>
    <row r="1447" ht="12" customHeight="1">
      <c r="A1447" s="30" t="inlineStr">
        <is>
          <t>ITG</t>
        </is>
      </c>
      <c r="B1447" s="30" t="inlineStr">
        <is>
          <t>Itaguai</t>
        </is>
      </c>
      <c r="C1447" s="30" t="n">
        <v>85105507</v>
      </c>
      <c r="D1447" s="30">
        <f>"66199068000400"</f>
        <v/>
      </c>
      <c r="E1447" s="30" t="inlineStr">
        <is>
          <t>RAPIDO ALEM PARAIBA LTDA</t>
        </is>
      </c>
      <c r="F1447" s="40" t="n">
        <v>0</v>
      </c>
      <c r="G1447" s="40" t="n">
        <v>79</v>
      </c>
      <c r="H1447" s="40" t="n">
        <v>71</v>
      </c>
      <c r="I1447" s="40" t="n">
        <v>0</v>
      </c>
      <c r="J1447" s="40" t="n">
        <v>0</v>
      </c>
      <c r="K1447" s="40" t="n">
        <v>0</v>
      </c>
      <c r="L1447" s="40" t="n">
        <v>0</v>
      </c>
    </row>
    <row r="1448" ht="12" customHeight="1">
      <c r="A1448" s="30" t="inlineStr">
        <is>
          <t>ITG</t>
        </is>
      </c>
      <c r="B1448" s="30" t="inlineStr">
        <is>
          <t>Itaguai</t>
        </is>
      </c>
      <c r="C1448" s="30" t="n">
        <v>85187732</v>
      </c>
      <c r="D1448" s="30">
        <f>"97091000125"</f>
        <v/>
      </c>
      <c r="E1448" s="30" t="inlineStr">
        <is>
          <t>AUTO POSTO CAPIXABA LTDA</t>
        </is>
      </c>
      <c r="F1448" s="40" t="n">
        <v>1361685.34</v>
      </c>
      <c r="G1448" s="40" t="n">
        <v>868623.87</v>
      </c>
      <c r="H1448" s="40" t="n">
        <v>1103987.06</v>
      </c>
      <c r="I1448" s="40" t="n">
        <v>1197123.81</v>
      </c>
      <c r="J1448" s="40" t="n">
        <v>523459.2</v>
      </c>
      <c r="K1448" s="40" t="n">
        <v>1227396.9</v>
      </c>
      <c r="L1448" s="40" t="n">
        <v>1971875.09</v>
      </c>
    </row>
    <row r="1449" ht="12" customHeight="1">
      <c r="A1449" s="30" t="inlineStr">
        <is>
          <t>ITG</t>
        </is>
      </c>
      <c r="B1449" s="30" t="inlineStr">
        <is>
          <t>Itaguai</t>
        </is>
      </c>
      <c r="C1449" s="30" t="n">
        <v>85206672</v>
      </c>
      <c r="D1449" s="30">
        <f>"88009030000452"</f>
        <v/>
      </c>
      <c r="E1449" s="30" t="inlineStr">
        <is>
          <t>MODULAR TRANSPORTES LTDA</t>
        </is>
      </c>
      <c r="F1449" s="40" t="n">
        <v>2788.73</v>
      </c>
      <c r="G1449" s="40" t="n">
        <v>653.21</v>
      </c>
      <c r="H1449" s="40" t="n">
        <v>515.21</v>
      </c>
      <c r="I1449" s="40" t="n">
        <v>1880.63</v>
      </c>
      <c r="J1449" s="40" t="n">
        <v>3034.99</v>
      </c>
      <c r="K1449" s="40" t="n">
        <v>5603.42</v>
      </c>
      <c r="L1449" s="40" t="n">
        <v>4239.26</v>
      </c>
    </row>
    <row r="1450" ht="12" customHeight="1">
      <c r="A1450" s="30" t="inlineStr">
        <is>
          <t>ITG</t>
        </is>
      </c>
      <c r="B1450" s="30" t="inlineStr">
        <is>
          <t>Itaguai</t>
        </is>
      </c>
      <c r="C1450" s="30" t="n">
        <v>85206729</v>
      </c>
      <c r="D1450" s="30">
        <f>"29553609000170"</f>
        <v/>
      </c>
      <c r="E1450" s="30" t="inlineStr">
        <is>
          <t>AUTO ONIBUS FAGUNDES LTDA</t>
        </is>
      </c>
      <c r="F1450" s="40" t="n">
        <v>1850</v>
      </c>
      <c r="G1450" s="40" t="n">
        <v>0</v>
      </c>
      <c r="H1450" s="40" t="n">
        <v>4780</v>
      </c>
      <c r="I1450" s="40" t="n">
        <v>0</v>
      </c>
      <c r="J1450" s="40" t="n">
        <v>3880</v>
      </c>
      <c r="K1450" s="40" t="n">
        <v>16310</v>
      </c>
      <c r="L1450" s="40" t="n">
        <v>6942</v>
      </c>
    </row>
    <row r="1451" ht="12" customHeight="1">
      <c r="A1451" s="30" t="inlineStr">
        <is>
          <t>ITG</t>
        </is>
      </c>
      <c r="B1451" s="30" t="inlineStr">
        <is>
          <t>Itaguai</t>
        </is>
      </c>
      <c r="C1451" s="30" t="n">
        <v>85206842</v>
      </c>
      <c r="D1451" s="30">
        <f>"36578458000250"</f>
        <v/>
      </c>
      <c r="E1451" s="30" t="inlineStr">
        <is>
          <t>RODOMAC DE MACAE RODOVIARIO LTDA</t>
        </is>
      </c>
      <c r="F1451" s="40" t="n">
        <v>3368.63</v>
      </c>
      <c r="G1451" s="40" t="n">
        <v>4362.42</v>
      </c>
      <c r="H1451" s="40" t="n">
        <v>6586.22</v>
      </c>
      <c r="I1451" s="40" t="n">
        <v>17039.74</v>
      </c>
      <c r="J1451" s="40" t="n">
        <v>11443.27</v>
      </c>
      <c r="K1451" s="40" t="n">
        <v>16429.88</v>
      </c>
      <c r="L1451" s="40" t="n">
        <v>17548.25</v>
      </c>
    </row>
    <row r="1452" ht="12" customHeight="1">
      <c r="A1452" s="30" t="inlineStr">
        <is>
          <t>ITG</t>
        </is>
      </c>
      <c r="B1452" s="30" t="inlineStr">
        <is>
          <t>Itaguai</t>
        </is>
      </c>
      <c r="C1452" s="30" t="n">
        <v>85208527</v>
      </c>
      <c r="D1452" s="30">
        <f>"23864838000633"</f>
        <v/>
      </c>
      <c r="E1452" s="30" t="inlineStr">
        <is>
          <t>MOVVI LOGISTICA LTDA</t>
        </is>
      </c>
      <c r="F1452" s="40" t="n">
        <v>5654.38</v>
      </c>
      <c r="G1452" s="40" t="n">
        <v>4736.07</v>
      </c>
      <c r="H1452" s="40" t="n">
        <v>5369.74</v>
      </c>
      <c r="I1452" s="40" t="n">
        <v>4349.28</v>
      </c>
      <c r="J1452" s="40" t="n">
        <v>2605.24</v>
      </c>
      <c r="K1452" s="40" t="n">
        <v>3816.26</v>
      </c>
      <c r="L1452" s="40" t="n">
        <v>5207.68</v>
      </c>
    </row>
    <row r="1453" ht="12" customHeight="1">
      <c r="A1453" s="30" t="inlineStr">
        <is>
          <t>ITG</t>
        </is>
      </c>
      <c r="B1453" s="30" t="inlineStr">
        <is>
          <t>Itaguai</t>
        </is>
      </c>
      <c r="C1453" s="30" t="n">
        <v>85297635</v>
      </c>
      <c r="D1453" s="30">
        <f>"02041460000355"</f>
        <v/>
      </c>
      <c r="E1453" s="30" t="inlineStr">
        <is>
          <t>BRASIL TELECOM COMUNICACAO MULTIMIDIA LTDA</t>
        </is>
      </c>
      <c r="F1453" s="40" t="n">
        <v>0</v>
      </c>
      <c r="G1453" s="40" t="n">
        <v>4241.95</v>
      </c>
      <c r="H1453" s="40" t="n">
        <v>0</v>
      </c>
      <c r="I1453" s="40" t="n">
        <v>0</v>
      </c>
      <c r="J1453" s="40" t="n">
        <v>0</v>
      </c>
      <c r="K1453" s="40" t="n">
        <v>0</v>
      </c>
      <c r="L1453" s="40" t="n">
        <v>0</v>
      </c>
    </row>
    <row r="1454" ht="12" customHeight="1">
      <c r="A1454" s="30" t="inlineStr">
        <is>
          <t>ITG</t>
        </is>
      </c>
      <c r="B1454" s="30" t="inlineStr">
        <is>
          <t>Itaguai</t>
        </is>
      </c>
      <c r="C1454" s="30" t="n">
        <v>85317687</v>
      </c>
      <c r="D1454" s="30">
        <f>"00482487000196"</f>
        <v/>
      </c>
      <c r="E1454" s="30" t="inlineStr">
        <is>
          <t>COSTA VERDE DIESEL LTDA</t>
        </is>
      </c>
      <c r="F1454" s="40" t="n">
        <v>4470</v>
      </c>
      <c r="G1454" s="40" t="n">
        <v>600</v>
      </c>
      <c r="H1454" s="40" t="n">
        <v>0</v>
      </c>
      <c r="I1454" s="40" t="n">
        <v>0</v>
      </c>
      <c r="J1454" s="40" t="n">
        <v>0</v>
      </c>
      <c r="K1454" s="40" t="n">
        <v>0</v>
      </c>
      <c r="L1454" s="40" t="n">
        <v>0</v>
      </c>
    </row>
    <row r="1455" ht="12" customHeight="1">
      <c r="A1455" s="30" t="inlineStr">
        <is>
          <t>ITG</t>
        </is>
      </c>
      <c r="B1455" s="30" t="inlineStr">
        <is>
          <t>Itaguai</t>
        </is>
      </c>
      <c r="C1455" s="30" t="n">
        <v>85317806</v>
      </c>
      <c r="D1455" s="30">
        <f>"00415856000128"</f>
        <v/>
      </c>
      <c r="E1455" s="30" t="inlineStr">
        <is>
          <t>J C CASTRILON COMERCIO DE PLANTAS E JARDINAGEM ME</t>
        </is>
      </c>
      <c r="F1455" s="40" t="n">
        <v>0</v>
      </c>
      <c r="G1455" s="40" t="n">
        <v>0</v>
      </c>
      <c r="H1455" s="40" t="n">
        <v>3760</v>
      </c>
      <c r="I1455" s="40" t="n">
        <v>0</v>
      </c>
      <c r="J1455" s="40" t="n">
        <v>0</v>
      </c>
      <c r="K1455" s="40" t="n">
        <v>0</v>
      </c>
      <c r="L1455" s="40" t="n">
        <v>0</v>
      </c>
    </row>
    <row r="1456" ht="12" customHeight="1">
      <c r="A1456" s="30" t="inlineStr">
        <is>
          <t>ITG</t>
        </is>
      </c>
      <c r="B1456" s="30" t="inlineStr">
        <is>
          <t>Itaguai</t>
        </is>
      </c>
      <c r="C1456" s="30" t="n">
        <v>85317873</v>
      </c>
      <c r="D1456" s="30">
        <f>"00505285000112"</f>
        <v/>
      </c>
      <c r="E1456" s="30" t="inlineStr">
        <is>
          <t>C &amp; F DE ITAGUAI LOCACOES LTDA EPP</t>
        </is>
      </c>
      <c r="F1456" s="40" t="n">
        <v>0</v>
      </c>
      <c r="G1456" s="40" t="n">
        <v>0</v>
      </c>
      <c r="H1456" s="40" t="n">
        <v>0</v>
      </c>
      <c r="I1456" s="40" t="n">
        <v>0</v>
      </c>
      <c r="J1456" s="40" t="n">
        <v>0</v>
      </c>
      <c r="K1456" s="40" t="n">
        <v>0</v>
      </c>
      <c r="L1456" s="40" t="n">
        <v>0</v>
      </c>
    </row>
    <row r="1457" ht="12" customHeight="1">
      <c r="A1457" s="30" t="inlineStr">
        <is>
          <t>ITG</t>
        </is>
      </c>
      <c r="B1457" s="30" t="inlineStr">
        <is>
          <t>Itaguai</t>
        </is>
      </c>
      <c r="C1457" s="30" t="n">
        <v>85390449</v>
      </c>
      <c r="D1457" s="30">
        <f>"17428731005447"</f>
        <v/>
      </c>
      <c r="E1457" s="30" t="inlineStr">
        <is>
          <t>PROSEGUR BRASIL S/A</t>
        </is>
      </c>
      <c r="F1457" s="40" t="n">
        <v>292050.99</v>
      </c>
      <c r="G1457" s="40" t="n">
        <v>351378.01</v>
      </c>
      <c r="H1457" s="40" t="n">
        <v>366603.58</v>
      </c>
      <c r="I1457" s="40" t="n">
        <v>375901.3</v>
      </c>
      <c r="J1457" s="40" t="n">
        <v>237988.83</v>
      </c>
      <c r="K1457" s="40" t="n">
        <v>12655.21</v>
      </c>
      <c r="L1457" s="40" t="n">
        <v>198635.64</v>
      </c>
    </row>
    <row r="1458" ht="12" customHeight="1">
      <c r="A1458" s="30" t="inlineStr">
        <is>
          <t>ITG</t>
        </is>
      </c>
      <c r="B1458" s="30" t="inlineStr">
        <is>
          <t>Itaguai</t>
        </is>
      </c>
      <c r="C1458" s="30" t="n">
        <v>85440357</v>
      </c>
      <c r="D1458" s="30">
        <f>"55184691000201"</f>
        <v/>
      </c>
      <c r="E1458" s="30" t="inlineStr">
        <is>
          <t>TRANSPORTADORA JULE LTDA</t>
        </is>
      </c>
      <c r="F1458" s="40" t="n">
        <v>567312.11</v>
      </c>
      <c r="G1458" s="40" t="n">
        <v>245095.26</v>
      </c>
      <c r="H1458" s="40" t="n">
        <v>124420.62</v>
      </c>
      <c r="I1458" s="40" t="n">
        <v>41615.32</v>
      </c>
      <c r="J1458" s="40" t="n">
        <v>0</v>
      </c>
      <c r="K1458" s="40" t="n">
        <v>0</v>
      </c>
      <c r="L1458" s="40" t="n">
        <v>0</v>
      </c>
    </row>
    <row r="1459" ht="12" customHeight="1">
      <c r="A1459" s="30" t="inlineStr">
        <is>
          <t>ITG</t>
        </is>
      </c>
      <c r="B1459" s="30" t="inlineStr">
        <is>
          <t>Itaguai</t>
        </is>
      </c>
      <c r="C1459" s="30" t="n">
        <v>85454455</v>
      </c>
      <c r="D1459" s="30">
        <f>"00468285000190"</f>
        <v/>
      </c>
      <c r="E1459" s="30" t="inlineStr">
        <is>
          <t>TRANZIRAN TRANSPORTES EIRELI</t>
        </is>
      </c>
      <c r="F1459" s="40" t="n">
        <v>1133635.98</v>
      </c>
      <c r="G1459" s="40" t="n">
        <v>0</v>
      </c>
      <c r="H1459" s="40" t="n">
        <v>2420250.06</v>
      </c>
      <c r="I1459" s="40" t="n">
        <v>1588092.03</v>
      </c>
      <c r="J1459" s="40" t="n">
        <v>1111583.2</v>
      </c>
      <c r="K1459" s="40" t="n">
        <v>573108.26</v>
      </c>
      <c r="L1459" s="40" t="n">
        <v>1680395.91</v>
      </c>
    </row>
    <row r="1460" ht="12" customHeight="1">
      <c r="A1460" s="30" t="inlineStr">
        <is>
          <t>ITG</t>
        </is>
      </c>
      <c r="B1460" s="30" t="inlineStr">
        <is>
          <t>Itaguai</t>
        </is>
      </c>
      <c r="C1460" s="30" t="n">
        <v>85454684</v>
      </c>
      <c r="D1460" s="30">
        <f>"81800849001032"</f>
        <v/>
      </c>
      <c r="E1460" s="30" t="inlineStr">
        <is>
          <t>COTRESC COOPERATIVA DE TRANSPORTE DE CARGAS DO ESTADO DE SC LTDA</t>
        </is>
      </c>
      <c r="F1460" s="40" t="n">
        <v>0</v>
      </c>
      <c r="G1460" s="40" t="n">
        <v>2579037.11</v>
      </c>
      <c r="H1460" s="40" t="n">
        <v>597546.41</v>
      </c>
      <c r="I1460" s="40" t="n">
        <v>2155760.48</v>
      </c>
      <c r="J1460" s="40" t="n">
        <v>3931227.29</v>
      </c>
      <c r="K1460" s="40" t="n">
        <v>8283115.04</v>
      </c>
      <c r="L1460" s="40" t="n">
        <v>6180902.89</v>
      </c>
    </row>
    <row r="1461" ht="12" customHeight="1">
      <c r="A1461" s="30" t="inlineStr">
        <is>
          <t>ITG</t>
        </is>
      </c>
      <c r="B1461" s="30" t="inlineStr">
        <is>
          <t>Itaguai</t>
        </is>
      </c>
      <c r="C1461" s="30" t="n">
        <v>85455109</v>
      </c>
      <c r="D1461" s="30">
        <f>"28299386000446"</f>
        <v/>
      </c>
      <c r="E1461" s="30" t="inlineStr">
        <is>
          <t>TRANSMAGNO TRANSPORTES RODOVIARIOS LTDA</t>
        </is>
      </c>
      <c r="F1461" s="40" t="n">
        <v>47542.15</v>
      </c>
      <c r="G1461" s="40" t="n">
        <v>63972.08</v>
      </c>
      <c r="H1461" s="40" t="n">
        <v>0</v>
      </c>
      <c r="I1461" s="40" t="n">
        <v>0</v>
      </c>
      <c r="J1461" s="40" t="n">
        <v>0</v>
      </c>
      <c r="K1461" s="40" t="n">
        <v>0</v>
      </c>
      <c r="L1461" s="40" t="n">
        <v>0</v>
      </c>
    </row>
    <row r="1462" ht="12" customHeight="1">
      <c r="A1462" s="30" t="inlineStr">
        <is>
          <t>ITG</t>
        </is>
      </c>
      <c r="B1462" s="30" t="inlineStr">
        <is>
          <t>Itaguai</t>
        </is>
      </c>
      <c r="C1462" s="30" t="n">
        <v>85455613</v>
      </c>
      <c r="D1462" s="30">
        <f>"00546164000119"</f>
        <v/>
      </c>
      <c r="E1462" s="30" t="inlineStr">
        <is>
          <t>TLM - TRANSPORTES E LOGISTICA MODERNA LTDA</t>
        </is>
      </c>
      <c r="F1462" s="40" t="n">
        <v>0</v>
      </c>
      <c r="G1462" s="40" t="n">
        <v>241.35</v>
      </c>
      <c r="H1462" s="40" t="n">
        <v>1255.19</v>
      </c>
      <c r="I1462" s="40" t="n">
        <v>376.98</v>
      </c>
      <c r="J1462" s="40" t="n">
        <v>78.83</v>
      </c>
      <c r="K1462" s="40" t="n">
        <v>0</v>
      </c>
      <c r="L1462" s="40" t="n">
        <v>0</v>
      </c>
    </row>
    <row r="1463" ht="12" customHeight="1">
      <c r="A1463" s="30" t="inlineStr">
        <is>
          <t>ITG</t>
        </is>
      </c>
      <c r="B1463" s="30" t="inlineStr">
        <is>
          <t>Itaguai</t>
        </is>
      </c>
      <c r="C1463" s="30" t="n">
        <v>85498053</v>
      </c>
      <c r="D1463" s="30">
        <f>"01341776000219"</f>
        <v/>
      </c>
      <c r="E1463" s="30" t="inlineStr">
        <is>
          <t>MERCOSUL LINE NAVEGACAO E LOGISTICA LTDA</t>
        </is>
      </c>
      <c r="F1463" s="40" t="n">
        <v>2501756.36</v>
      </c>
      <c r="G1463" s="40" t="n">
        <v>51844.22</v>
      </c>
      <c r="H1463" s="40" t="n">
        <v>23570419.79</v>
      </c>
      <c r="I1463" s="40" t="n">
        <v>0</v>
      </c>
      <c r="J1463" s="40" t="n">
        <v>33092060.3</v>
      </c>
      <c r="K1463" s="40" t="n">
        <v>11842106.91</v>
      </c>
      <c r="L1463" s="40" t="n">
        <v>0</v>
      </c>
    </row>
    <row r="1464" ht="12" customHeight="1">
      <c r="A1464" s="30" t="inlineStr">
        <is>
          <t>ITG</t>
        </is>
      </c>
      <c r="B1464" s="30" t="inlineStr">
        <is>
          <t>Itaguai</t>
        </is>
      </c>
      <c r="C1464" s="30" t="n">
        <v>85528211</v>
      </c>
      <c r="D1464" s="30">
        <f>"00185997000100"</f>
        <v/>
      </c>
      <c r="E1464" s="30" t="inlineStr">
        <is>
          <t>NOVO HORIZONTE JACAREPAGUA IMPORTA??O E EXPORTA??O S.A</t>
        </is>
      </c>
      <c r="F1464" s="40" t="n">
        <v>600</v>
      </c>
      <c r="G1464" s="40" t="n">
        <v>0</v>
      </c>
      <c r="H1464" s="40" t="n">
        <v>0</v>
      </c>
      <c r="I1464" s="40" t="n">
        <v>1530</v>
      </c>
      <c r="J1464" s="40" t="n">
        <v>792</v>
      </c>
      <c r="K1464" s="40" t="n">
        <v>3920</v>
      </c>
      <c r="L1464" s="40" t="n">
        <v>14720</v>
      </c>
    </row>
    <row r="1465" ht="12" customHeight="1">
      <c r="A1465" s="30" t="inlineStr">
        <is>
          <t>ITG</t>
        </is>
      </c>
      <c r="B1465" s="30" t="inlineStr">
        <is>
          <t>Itaguai</t>
        </is>
      </c>
      <c r="C1465" s="30" t="n">
        <v>85645722</v>
      </c>
      <c r="D1465" s="30">
        <f>"00747098000145"</f>
        <v/>
      </c>
      <c r="E1465" s="30" t="inlineStr">
        <is>
          <t>CLE O CAR TUR TRANSPORTES LTDA</t>
        </is>
      </c>
      <c r="F1465" s="40" t="n">
        <v>0</v>
      </c>
      <c r="G1465" s="40" t="n">
        <v>0</v>
      </c>
      <c r="H1465" s="40" t="n">
        <v>0</v>
      </c>
      <c r="I1465" s="40" t="n">
        <v>0</v>
      </c>
      <c r="J1465" s="40" t="n">
        <v>0</v>
      </c>
      <c r="K1465" s="40" t="n">
        <v>0</v>
      </c>
      <c r="L1465" s="40" t="n">
        <v>0</v>
      </c>
    </row>
    <row r="1466" ht="12" customHeight="1">
      <c r="A1466" s="30" t="inlineStr">
        <is>
          <t>ITG</t>
        </is>
      </c>
      <c r="B1466" s="30" t="inlineStr">
        <is>
          <t>Itaguai</t>
        </is>
      </c>
      <c r="C1466" s="30" t="n">
        <v>85646052</v>
      </c>
      <c r="D1466" s="30">
        <f>"73475303001025"</f>
        <v/>
      </c>
      <c r="E1466" s="30" t="inlineStr">
        <is>
          <t>TNT EXPRESS BRASIL LTDA</t>
        </is>
      </c>
      <c r="F1466" s="40" t="n">
        <v>1551.46</v>
      </c>
      <c r="G1466" s="40" t="n">
        <v>0</v>
      </c>
      <c r="H1466" s="40" t="n">
        <v>0</v>
      </c>
      <c r="I1466" s="40" t="n">
        <v>0</v>
      </c>
      <c r="J1466" s="40" t="n">
        <v>0</v>
      </c>
      <c r="K1466" s="40" t="n">
        <v>0</v>
      </c>
      <c r="L1466" s="40" t="n">
        <v>0</v>
      </c>
    </row>
    <row r="1467" ht="12" customHeight="1">
      <c r="A1467" s="30" t="inlineStr">
        <is>
          <t>ITG</t>
        </is>
      </c>
      <c r="B1467" s="30" t="inlineStr">
        <is>
          <t>Itaguai</t>
        </is>
      </c>
      <c r="C1467" s="30" t="n">
        <v>85646842</v>
      </c>
      <c r="D1467" s="30">
        <f>"00904848000145"</f>
        <v/>
      </c>
      <c r="E1467" s="30" t="inlineStr">
        <is>
          <t>TRANSCARAPIA TRANSPORTES LTDA</t>
        </is>
      </c>
      <c r="F1467" s="40" t="n">
        <v>0</v>
      </c>
      <c r="G1467" s="40" t="n">
        <v>0</v>
      </c>
      <c r="H1467" s="40" t="n">
        <v>0</v>
      </c>
      <c r="I1467" s="40" t="n">
        <v>0</v>
      </c>
      <c r="J1467" s="40" t="n">
        <v>2876.41</v>
      </c>
      <c r="K1467" s="40" t="n">
        <v>0</v>
      </c>
      <c r="L1467" s="40" t="n">
        <v>0</v>
      </c>
    </row>
    <row r="1468" ht="12" customHeight="1">
      <c r="A1468" s="30" t="inlineStr">
        <is>
          <t>ITG</t>
        </is>
      </c>
      <c r="B1468" s="30" t="inlineStr">
        <is>
          <t>Itaguai</t>
        </is>
      </c>
      <c r="C1468" s="30" t="n">
        <v>85647148</v>
      </c>
      <c r="D1468" s="30">
        <f>"09411448000504"</f>
        <v/>
      </c>
      <c r="E1468" s="30" t="inlineStr">
        <is>
          <t>LDB TRANSPORTES DE CARGAS LTDA</t>
        </is>
      </c>
      <c r="F1468" s="40" t="n">
        <v>0</v>
      </c>
      <c r="G1468" s="40" t="n">
        <v>0</v>
      </c>
      <c r="H1468" s="40" t="n">
        <v>0</v>
      </c>
      <c r="I1468" s="40" t="n">
        <v>227.26</v>
      </c>
      <c r="J1468" s="40" t="n">
        <v>0</v>
      </c>
      <c r="K1468" s="40" t="n">
        <v>0</v>
      </c>
      <c r="L1468" s="40" t="n">
        <v>26594.35</v>
      </c>
    </row>
    <row r="1469" ht="12" customHeight="1">
      <c r="A1469" s="30" t="inlineStr">
        <is>
          <t>ITG</t>
        </is>
      </c>
      <c r="B1469" s="30" t="inlineStr">
        <is>
          <t>Itaguai</t>
        </is>
      </c>
      <c r="C1469" s="30" t="n">
        <v>85669818</v>
      </c>
      <c r="D1469" s="30">
        <f>"86908795000156"</f>
        <v/>
      </c>
      <c r="E1469" s="30" t="inlineStr">
        <is>
          <t>MINERADORA IGUATU LTDA EPP</t>
        </is>
      </c>
      <c r="F1469" s="40" t="n">
        <v>0</v>
      </c>
      <c r="G1469" s="40" t="n">
        <v>0</v>
      </c>
      <c r="H1469" s="40" t="n">
        <v>0</v>
      </c>
      <c r="I1469" s="40" t="n">
        <v>0</v>
      </c>
      <c r="J1469" s="40" t="n">
        <v>0</v>
      </c>
      <c r="K1469" s="40" t="n">
        <v>1973395.44</v>
      </c>
      <c r="L1469" s="40" t="n">
        <v>0</v>
      </c>
    </row>
    <row r="1470" ht="12" customHeight="1">
      <c r="A1470" s="30" t="inlineStr">
        <is>
          <t>ITG</t>
        </is>
      </c>
      <c r="B1470" s="30" t="inlineStr">
        <is>
          <t>Itaguai</t>
        </is>
      </c>
      <c r="C1470" s="30" t="n">
        <v>85670069</v>
      </c>
      <c r="D1470" s="30">
        <f>"00747102000175"</f>
        <v/>
      </c>
      <c r="E1470" s="30" t="inlineStr">
        <is>
          <t>AREAL DO FUTURO EXTRACAO DE AREIA LTDA EPP</t>
        </is>
      </c>
      <c r="F1470" s="40" t="n">
        <v>0</v>
      </c>
      <c r="G1470" s="40" t="n">
        <v>364262.72</v>
      </c>
      <c r="H1470" s="40" t="n">
        <v>0</v>
      </c>
      <c r="I1470" s="40" t="n">
        <v>346878.33</v>
      </c>
      <c r="J1470" s="40" t="n">
        <v>0</v>
      </c>
      <c r="K1470" s="40" t="n">
        <v>0</v>
      </c>
      <c r="L1470" s="40" t="n">
        <v>0</v>
      </c>
    </row>
    <row r="1471" ht="12" customHeight="1">
      <c r="A1471" s="30" t="inlineStr">
        <is>
          <t>ITG</t>
        </is>
      </c>
      <c r="B1471" s="30" t="inlineStr">
        <is>
          <t>Itaguai</t>
        </is>
      </c>
      <c r="C1471" s="30" t="n">
        <v>85670239</v>
      </c>
      <c r="D1471" s="30">
        <f>"00947483000136"</f>
        <v/>
      </c>
      <c r="E1471" s="30" t="inlineStr">
        <is>
          <t>ACOUGUE SOMAR DE ITAGUAI LTDA ME</t>
        </is>
      </c>
      <c r="F1471" s="40" t="n">
        <v>0</v>
      </c>
      <c r="G1471" s="40" t="n">
        <v>0</v>
      </c>
      <c r="H1471" s="40" t="n">
        <v>0</v>
      </c>
      <c r="I1471" s="40" t="n">
        <v>0</v>
      </c>
      <c r="J1471" s="40" t="n">
        <v>0</v>
      </c>
      <c r="K1471" s="40" t="n">
        <v>0</v>
      </c>
      <c r="L1471" s="40" t="n">
        <v>0</v>
      </c>
    </row>
    <row r="1472" ht="12" customHeight="1">
      <c r="A1472" s="30" t="inlineStr">
        <is>
          <t>ITG</t>
        </is>
      </c>
      <c r="B1472" s="30" t="inlineStr">
        <is>
          <t>Itaguai</t>
        </is>
      </c>
      <c r="C1472" s="30" t="n">
        <v>85670409</v>
      </c>
      <c r="D1472" s="30">
        <f>"01042788000161"</f>
        <v/>
      </c>
      <c r="E1472" s="30" t="inlineStr">
        <is>
          <t>JOAO CAVALCANTE DE ARAUJO</t>
        </is>
      </c>
      <c r="F1472" s="40" t="n">
        <v>0</v>
      </c>
      <c r="G1472" s="40" t="n">
        <v>105591</v>
      </c>
      <c r="H1472" s="40" t="n">
        <v>0</v>
      </c>
      <c r="I1472" s="40" t="n">
        <v>0</v>
      </c>
      <c r="J1472" s="40" t="n">
        <v>0</v>
      </c>
      <c r="K1472" s="40" t="n">
        <v>0</v>
      </c>
      <c r="L1472" s="40" t="n">
        <v>0</v>
      </c>
    </row>
    <row r="1473" ht="12" customHeight="1">
      <c r="A1473" s="30" t="inlineStr">
        <is>
          <t>ITG</t>
        </is>
      </c>
      <c r="B1473" s="30" t="inlineStr">
        <is>
          <t>Itaguai</t>
        </is>
      </c>
      <c r="C1473" s="30" t="n">
        <v>85670476</v>
      </c>
      <c r="D1473" s="30">
        <f>"24314824000102"</f>
        <v/>
      </c>
      <c r="E1473" s="30" t="inlineStr">
        <is>
          <t>AUTO POSTO DO TRABALHO ITAGUAI III LTDA</t>
        </is>
      </c>
      <c r="F1473" s="40" t="n">
        <v>0</v>
      </c>
      <c r="G1473" s="40" t="n">
        <v>0</v>
      </c>
      <c r="H1473" s="40" t="n">
        <v>500257.52</v>
      </c>
      <c r="I1473" s="40" t="n">
        <v>763160.74</v>
      </c>
      <c r="J1473" s="40" t="n">
        <v>5019154.17</v>
      </c>
      <c r="K1473" s="40" t="n">
        <v>6771992.78</v>
      </c>
      <c r="L1473" s="40" t="n">
        <v>10567238.83</v>
      </c>
    </row>
    <row r="1474" ht="12" customHeight="1">
      <c r="A1474" s="30" t="inlineStr">
        <is>
          <t>ITG</t>
        </is>
      </c>
      <c r="B1474" s="30" t="inlineStr">
        <is>
          <t>Itaguai</t>
        </is>
      </c>
      <c r="C1474" s="30" t="n">
        <v>85727028</v>
      </c>
      <c r="D1474" s="30">
        <f>"66970229001139"</f>
        <v/>
      </c>
      <c r="E1474" s="30" t="inlineStr">
        <is>
          <t>NEXTEL TELECOMUNICACOES LTDA.</t>
        </is>
      </c>
      <c r="F1474" s="40" t="n">
        <v>11695826.11</v>
      </c>
      <c r="G1474" s="40" t="n">
        <v>11067709.16</v>
      </c>
      <c r="H1474" s="40" t="n">
        <v>9495949.699999999</v>
      </c>
      <c r="I1474" s="40" t="n">
        <v>8004881.08</v>
      </c>
      <c r="J1474" s="40" t="n">
        <v>10856224.81</v>
      </c>
      <c r="K1474" s="40" t="n">
        <v>18988242.14</v>
      </c>
      <c r="L1474" s="40" t="n">
        <v>18052340.03</v>
      </c>
    </row>
    <row r="1475" ht="12" customHeight="1">
      <c r="A1475" s="30" t="inlineStr">
        <is>
          <t>ITG</t>
        </is>
      </c>
      <c r="B1475" s="30" t="inlineStr">
        <is>
          <t>Itaguai</t>
        </is>
      </c>
      <c r="C1475" s="30" t="n">
        <v>85729829</v>
      </c>
      <c r="D1475" s="30">
        <f>"86613403000806"</f>
        <v/>
      </c>
      <c r="E1475" s="30" t="inlineStr">
        <is>
          <t>USIFAST LOGISTICA INDUSTRIAL SA</t>
        </is>
      </c>
      <c r="F1475" s="40" t="n">
        <v>0</v>
      </c>
      <c r="G1475" s="40" t="n">
        <v>0</v>
      </c>
      <c r="H1475" s="40" t="n">
        <v>33001.86</v>
      </c>
      <c r="I1475" s="40" t="n">
        <v>24211.34</v>
      </c>
      <c r="J1475" s="40" t="n">
        <v>0</v>
      </c>
      <c r="K1475" s="40" t="n">
        <v>0</v>
      </c>
      <c r="L1475" s="40" t="n">
        <v>0</v>
      </c>
    </row>
    <row r="1476" ht="12" customHeight="1">
      <c r="A1476" s="30" t="inlineStr">
        <is>
          <t>ITG</t>
        </is>
      </c>
      <c r="B1476" s="30" t="inlineStr">
        <is>
          <t>Itaguai</t>
        </is>
      </c>
      <c r="C1476" s="30" t="n">
        <v>85730169</v>
      </c>
      <c r="D1476" s="30">
        <f>"01114430000105"</f>
        <v/>
      </c>
      <c r="E1476" s="30" t="inlineStr">
        <is>
          <t>TRANSFUTURO TRANSPORTES LTDA</t>
        </is>
      </c>
      <c r="F1476" s="40" t="n">
        <v>328434.65</v>
      </c>
      <c r="G1476" s="40" t="n">
        <v>425849.57</v>
      </c>
      <c r="H1476" s="40" t="n">
        <v>756281.6</v>
      </c>
      <c r="I1476" s="40" t="n">
        <v>409331.96</v>
      </c>
      <c r="J1476" s="40" t="n">
        <v>346958.5</v>
      </c>
      <c r="K1476" s="40" t="n">
        <v>79958.55</v>
      </c>
      <c r="L1476" s="40" t="n">
        <v>463454.79</v>
      </c>
    </row>
    <row r="1477" ht="12" customHeight="1">
      <c r="A1477" s="30" t="inlineStr">
        <is>
          <t>ITG</t>
        </is>
      </c>
      <c r="B1477" s="30" t="inlineStr">
        <is>
          <t>Itaguai</t>
        </is>
      </c>
      <c r="C1477" s="30" t="n">
        <v>85730924</v>
      </c>
      <c r="D1477" s="30">
        <f>"25436130000283"</f>
        <v/>
      </c>
      <c r="E1477" s="30" t="inlineStr">
        <is>
          <t>AUTOSERVICE LOGISTICA LTDA</t>
        </is>
      </c>
      <c r="F1477" s="40" t="n">
        <v>330.18</v>
      </c>
      <c r="G1477" s="40" t="n">
        <v>1915</v>
      </c>
      <c r="H1477" s="40" t="n">
        <v>2829.55</v>
      </c>
      <c r="I1477" s="40" t="n">
        <v>1980</v>
      </c>
      <c r="J1477" s="40" t="n">
        <v>19566.55</v>
      </c>
      <c r="K1477" s="40" t="n">
        <v>9974.98</v>
      </c>
      <c r="L1477" s="40" t="n">
        <v>4304.22</v>
      </c>
    </row>
    <row r="1478" ht="12" customHeight="1">
      <c r="A1478" s="30" t="inlineStr">
        <is>
          <t>ITG</t>
        </is>
      </c>
      <c r="B1478" s="30" t="inlineStr">
        <is>
          <t>Itaguai</t>
        </is>
      </c>
      <c r="C1478" s="30" t="n">
        <v>85763482</v>
      </c>
      <c r="D1478" s="30">
        <f>"01355383000183"</f>
        <v/>
      </c>
      <c r="E1478" s="30" t="inlineStr">
        <is>
          <t>PROMO 3 IMPORTACAO E EXPORTACAO LTDA</t>
        </is>
      </c>
      <c r="F1478" s="40" t="n">
        <v>0</v>
      </c>
      <c r="G1478" s="40" t="n">
        <v>0</v>
      </c>
      <c r="H1478" s="40" t="n">
        <v>0</v>
      </c>
      <c r="I1478" s="40" t="n">
        <v>0</v>
      </c>
      <c r="J1478" s="40" t="n">
        <v>0</v>
      </c>
      <c r="K1478" s="40" t="n">
        <v>0</v>
      </c>
      <c r="L1478" s="40" t="n">
        <v>0</v>
      </c>
    </row>
    <row r="1479" ht="12" customHeight="1">
      <c r="A1479" s="30" t="inlineStr">
        <is>
          <t>ITG</t>
        </is>
      </c>
      <c r="B1479" s="30" t="inlineStr">
        <is>
          <t>Itaguai</t>
        </is>
      </c>
      <c r="C1479" s="30" t="n">
        <v>85763776</v>
      </c>
      <c r="D1479" s="30">
        <f>"01629814000152"</f>
        <v/>
      </c>
      <c r="E1479" s="30" t="inlineStr">
        <is>
          <t>AUTOCOL ITAGUAI AUTOMOVEIS COMERCIO LTDA</t>
        </is>
      </c>
      <c r="F1479" s="40" t="n">
        <v>0</v>
      </c>
      <c r="G1479" s="40" t="n">
        <v>0</v>
      </c>
      <c r="H1479" s="40" t="n">
        <v>0</v>
      </c>
      <c r="I1479" s="40" t="n">
        <v>0</v>
      </c>
      <c r="J1479" s="40" t="n">
        <v>0</v>
      </c>
      <c r="K1479" s="40" t="n">
        <v>0</v>
      </c>
      <c r="L1479" s="40" t="n">
        <v>0</v>
      </c>
    </row>
    <row r="1480" ht="12" customHeight="1">
      <c r="A1480" s="30" t="inlineStr">
        <is>
          <t>ITG</t>
        </is>
      </c>
      <c r="B1480" s="30" t="inlineStr">
        <is>
          <t>Itaguai</t>
        </is>
      </c>
      <c r="C1480" s="30" t="n">
        <v>85764411</v>
      </c>
      <c r="D1480" s="30">
        <f>"00473885000146"</f>
        <v/>
      </c>
      <c r="E1480" s="30" t="inlineStr">
        <is>
          <t>PADARIA CALIFORNIA DE ITAGUAI LTDA</t>
        </is>
      </c>
      <c r="F1480" s="40" t="n">
        <v>407472.41</v>
      </c>
      <c r="G1480" s="40" t="n">
        <v>668818.1899999999</v>
      </c>
      <c r="H1480" s="40" t="n">
        <v>0</v>
      </c>
      <c r="I1480" s="40" t="n">
        <v>0</v>
      </c>
      <c r="J1480" s="40" t="n">
        <v>311544.94</v>
      </c>
      <c r="K1480" s="40" t="n">
        <v>0</v>
      </c>
      <c r="L1480" s="40" t="n">
        <v>814814.86</v>
      </c>
    </row>
    <row r="1481" ht="12" customHeight="1">
      <c r="A1481" s="30" t="inlineStr">
        <is>
          <t>ITG</t>
        </is>
      </c>
      <c r="B1481" s="30" t="inlineStr">
        <is>
          <t>Itaguai</t>
        </is>
      </c>
      <c r="C1481" s="30" t="n">
        <v>85764721</v>
      </c>
      <c r="D1481" s="30">
        <f>"36437143000102"</f>
        <v/>
      </c>
      <c r="E1481" s="30" t="inlineStr">
        <is>
          <t>J MATSUNAGA INSTALA??O E MANUTEN??O EL?TRICA</t>
        </is>
      </c>
      <c r="F1481" s="40" t="n">
        <v>0</v>
      </c>
      <c r="G1481" s="40" t="n">
        <v>0</v>
      </c>
      <c r="H1481" s="40" t="n">
        <v>0</v>
      </c>
      <c r="I1481" s="40" t="n">
        <v>0</v>
      </c>
      <c r="J1481" s="40" t="n">
        <v>0</v>
      </c>
      <c r="K1481" s="40" t="n">
        <v>0</v>
      </c>
      <c r="L1481" s="40" t="n">
        <v>0</v>
      </c>
    </row>
    <row r="1482" ht="12" customHeight="1">
      <c r="A1482" s="30" t="inlineStr">
        <is>
          <t>ITG</t>
        </is>
      </c>
      <c r="B1482" s="30" t="inlineStr">
        <is>
          <t>Itaguai</t>
        </is>
      </c>
      <c r="C1482" s="30" t="n">
        <v>85764888</v>
      </c>
      <c r="D1482" s="30">
        <f>"33881301012994"</f>
        <v/>
      </c>
      <c r="E1482" s="30" t="inlineStr">
        <is>
          <t>LOJAS CITYCOL S/A</t>
        </is>
      </c>
      <c r="F1482" s="40" t="n">
        <v>788424.53</v>
      </c>
      <c r="G1482" s="40" t="n">
        <v>874281.0699999999</v>
      </c>
      <c r="H1482" s="40" t="n">
        <v>717426.16</v>
      </c>
      <c r="I1482" s="40" t="n">
        <v>611345.01</v>
      </c>
      <c r="J1482" s="40" t="n">
        <v>494214.33</v>
      </c>
      <c r="K1482" s="40" t="n">
        <v>622304.8</v>
      </c>
      <c r="L1482" s="40" t="n">
        <v>632528.42</v>
      </c>
    </row>
    <row r="1483" ht="12" customHeight="1">
      <c r="A1483" s="30" t="inlineStr">
        <is>
          <t>ITG</t>
        </is>
      </c>
      <c r="B1483" s="30" t="inlineStr">
        <is>
          <t>Itaguai</t>
        </is>
      </c>
      <c r="C1483" s="30" t="n">
        <v>85765051</v>
      </c>
      <c r="D1483" s="30">
        <f>"02198937000149"</f>
        <v/>
      </c>
      <c r="E1483" s="30" t="inlineStr">
        <is>
          <t>F J R COMERCIO DE CEREAIS LTDA ME</t>
        </is>
      </c>
      <c r="F1483" s="40" t="n">
        <v>2974721.04</v>
      </c>
      <c r="G1483" s="40" t="n">
        <v>3171212.14</v>
      </c>
      <c r="H1483" s="40" t="n">
        <v>2833383.99</v>
      </c>
      <c r="I1483" s="40" t="n">
        <v>2352574.32</v>
      </c>
      <c r="J1483" s="40" t="n">
        <v>2904226.55</v>
      </c>
      <c r="K1483" s="40" t="n">
        <v>1608554.46</v>
      </c>
      <c r="L1483" s="40" t="n">
        <v>3136524.7</v>
      </c>
    </row>
    <row r="1484" ht="12" customHeight="1">
      <c r="A1484" s="30" t="inlineStr">
        <is>
          <t>ITG</t>
        </is>
      </c>
      <c r="B1484" s="30" t="inlineStr">
        <is>
          <t>Itaguai</t>
        </is>
      </c>
      <c r="C1484" s="30" t="n">
        <v>85765388</v>
      </c>
      <c r="D1484" s="30">
        <f>"02313305000189"</f>
        <v/>
      </c>
      <c r="E1484" s="30" t="inlineStr">
        <is>
          <t>DROGARIA AVENIDA DE ITAGUAI LTDA</t>
        </is>
      </c>
      <c r="F1484" s="40" t="n">
        <v>0</v>
      </c>
      <c r="G1484" s="40" t="n">
        <v>0</v>
      </c>
      <c r="H1484" s="40" t="n">
        <v>0</v>
      </c>
      <c r="I1484" s="40" t="n">
        <v>0</v>
      </c>
      <c r="J1484" s="40" t="n">
        <v>0</v>
      </c>
      <c r="K1484" s="40" t="n">
        <v>0</v>
      </c>
      <c r="L1484" s="40" t="n">
        <v>119052.65</v>
      </c>
    </row>
    <row r="1485" ht="12" customHeight="1">
      <c r="A1485" s="30" t="inlineStr">
        <is>
          <t>ITG</t>
        </is>
      </c>
      <c r="B1485" s="30" t="inlineStr">
        <is>
          <t>Itaguai</t>
        </is>
      </c>
      <c r="C1485" s="30" t="n">
        <v>85787500</v>
      </c>
      <c r="D1485" s="30">
        <f>"00988053000162"</f>
        <v/>
      </c>
      <c r="E1485" s="30" t="inlineStr">
        <is>
          <t>L F SILVA INEZ SERVIÇOS DE LOGÍSTICA E EQUIPAMENTO EIRELI ME</t>
        </is>
      </c>
      <c r="F1485" s="40" t="n">
        <v>0</v>
      </c>
      <c r="G1485" s="40" t="n">
        <v>0</v>
      </c>
      <c r="H1485" s="40" t="n">
        <v>0</v>
      </c>
      <c r="I1485" s="40" t="n">
        <v>0</v>
      </c>
      <c r="J1485" s="40" t="n">
        <v>0</v>
      </c>
      <c r="K1485" s="40" t="n">
        <v>0</v>
      </c>
      <c r="L1485" s="40" t="n">
        <v>0</v>
      </c>
    </row>
    <row r="1486" ht="12" customHeight="1">
      <c r="A1486" s="30" t="inlineStr">
        <is>
          <t>ITG</t>
        </is>
      </c>
      <c r="B1486" s="30" t="inlineStr">
        <is>
          <t>Itaguai</t>
        </is>
      </c>
      <c r="C1486" s="30" t="n">
        <v>85804774</v>
      </c>
      <c r="D1486" s="30">
        <f>"67945071001029"</f>
        <v/>
      </c>
      <c r="E1486" s="30" t="inlineStr">
        <is>
          <t>SAPORE S.A</t>
        </is>
      </c>
      <c r="F1486" s="40" t="n">
        <v>0</v>
      </c>
      <c r="G1486" s="40" t="n">
        <v>2332040.68</v>
      </c>
      <c r="H1486" s="40" t="n">
        <v>1177820.04</v>
      </c>
      <c r="I1486" s="40" t="n">
        <v>1535334.22</v>
      </c>
      <c r="J1486" s="40" t="n">
        <v>2349921.22</v>
      </c>
      <c r="K1486" s="40" t="n">
        <v>0</v>
      </c>
      <c r="L1486" s="40" t="n">
        <v>1642021.4</v>
      </c>
    </row>
    <row r="1487" ht="12" customHeight="1">
      <c r="A1487" s="30" t="inlineStr">
        <is>
          <t>ITG</t>
        </is>
      </c>
      <c r="B1487" s="30" t="inlineStr">
        <is>
          <t>Itaguai</t>
        </is>
      </c>
      <c r="C1487" s="30" t="n">
        <v>85865447</v>
      </c>
      <c r="D1487" s="30">
        <f>"01518170000125"</f>
        <v/>
      </c>
      <c r="E1487" s="30" t="inlineStr">
        <is>
          <t>SEROPAREAL EXTRACAO DE AREIA LTDA EPP</t>
        </is>
      </c>
      <c r="F1487" s="40" t="n">
        <v>0</v>
      </c>
      <c r="G1487" s="40" t="n">
        <v>0</v>
      </c>
      <c r="H1487" s="40" t="n">
        <v>1500</v>
      </c>
      <c r="I1487" s="40" t="n">
        <v>197008.66</v>
      </c>
      <c r="J1487" s="40" t="n">
        <v>0</v>
      </c>
      <c r="K1487" s="40" t="n">
        <v>253915.4</v>
      </c>
      <c r="L1487" s="40" t="n">
        <v>0</v>
      </c>
    </row>
    <row r="1488" ht="12" customHeight="1">
      <c r="A1488" s="30" t="inlineStr">
        <is>
          <t>ITG</t>
        </is>
      </c>
      <c r="B1488" s="30" t="inlineStr">
        <is>
          <t>Itaguai</t>
        </is>
      </c>
      <c r="C1488" s="30" t="n">
        <v>85874314</v>
      </c>
      <c r="D1488" s="30">
        <f>"03094658000440"</f>
        <v/>
      </c>
      <c r="E1488" s="30" t="inlineStr">
        <is>
          <t>GEFCO LOGISTICA DO BRASIL LTDA</t>
        </is>
      </c>
      <c r="F1488" s="40" t="n">
        <v>0</v>
      </c>
      <c r="G1488" s="40" t="n">
        <v>0</v>
      </c>
      <c r="H1488" s="40" t="n">
        <v>0</v>
      </c>
      <c r="I1488" s="40" t="n">
        <v>12318.58</v>
      </c>
      <c r="J1488" s="40" t="n">
        <v>15028.94</v>
      </c>
      <c r="K1488" s="40" t="n">
        <v>10832.87</v>
      </c>
      <c r="L1488" s="40" t="n">
        <v>12331.08</v>
      </c>
    </row>
    <row r="1489" ht="12" customHeight="1">
      <c r="A1489" s="30" t="inlineStr">
        <is>
          <t>ITG</t>
        </is>
      </c>
      <c r="B1489" s="30" t="inlineStr">
        <is>
          <t>Itaguai</t>
        </is>
      </c>
      <c r="C1489" s="30" t="n">
        <v>85874500</v>
      </c>
      <c r="D1489" s="30">
        <f>"60395589000287"</f>
        <v/>
      </c>
      <c r="E1489" s="30" t="inlineStr">
        <is>
          <t>BRAZUL TRANSPORTE DE VEICULOS LTDA</t>
        </is>
      </c>
      <c r="F1489" s="40" t="n">
        <v>0</v>
      </c>
      <c r="G1489" s="40" t="n">
        <v>0</v>
      </c>
      <c r="H1489" s="40" t="n">
        <v>0</v>
      </c>
      <c r="I1489" s="40" t="n">
        <v>0</v>
      </c>
      <c r="J1489" s="40" t="n">
        <v>0</v>
      </c>
      <c r="K1489" s="40" t="n">
        <v>0</v>
      </c>
      <c r="L1489" s="40" t="n">
        <v>11192.69</v>
      </c>
    </row>
    <row r="1490" ht="12" customHeight="1">
      <c r="A1490" s="30" t="inlineStr">
        <is>
          <t>ITG</t>
        </is>
      </c>
      <c r="B1490" s="30" t="inlineStr">
        <is>
          <t>Itaguai</t>
        </is>
      </c>
      <c r="C1490" s="30" t="n">
        <v>85994964</v>
      </c>
      <c r="D1490" s="30">
        <f>"01417222000509"</f>
        <v/>
      </c>
      <c r="E1490" s="30" t="inlineStr">
        <is>
          <t>MRS LOGISTICA S/A</t>
        </is>
      </c>
      <c r="F1490" s="40" t="n">
        <v>108232029.67</v>
      </c>
      <c r="G1490" s="40" t="n">
        <v>118834690.29</v>
      </c>
      <c r="H1490" s="40" t="n">
        <v>117517202.88</v>
      </c>
      <c r="I1490" s="40" t="n">
        <v>154969650.23</v>
      </c>
      <c r="J1490" s="40" t="n">
        <v>172034211.57</v>
      </c>
      <c r="K1490" s="40" t="n">
        <v>189182373.3</v>
      </c>
      <c r="L1490" s="40" t="n">
        <v>194306423.54</v>
      </c>
    </row>
    <row r="1491" ht="12" customHeight="1">
      <c r="A1491" s="30" t="inlineStr">
        <is>
          <t>ITG</t>
        </is>
      </c>
      <c r="B1491" s="30" t="inlineStr">
        <is>
          <t>Itaguai</t>
        </is>
      </c>
      <c r="C1491" s="30" t="n">
        <v>85995146</v>
      </c>
      <c r="D1491" s="30">
        <f>"56764822001094"</f>
        <v/>
      </c>
      <c r="E1491" s="30" t="inlineStr">
        <is>
          <t>T H V TRANSPORTES LTDA</t>
        </is>
      </c>
      <c r="F1491" s="40" t="n">
        <v>0</v>
      </c>
      <c r="G1491" s="40" t="n">
        <v>0</v>
      </c>
      <c r="H1491" s="40" t="n">
        <v>0</v>
      </c>
      <c r="I1491" s="40" t="n">
        <v>0</v>
      </c>
      <c r="J1491" s="40" t="n">
        <v>0</v>
      </c>
      <c r="K1491" s="40" t="n">
        <v>0</v>
      </c>
      <c r="L1491" s="40" t="n">
        <v>0</v>
      </c>
    </row>
    <row r="1492" ht="12" customHeight="1">
      <c r="A1492" s="30" t="inlineStr">
        <is>
          <t>ITG</t>
        </is>
      </c>
      <c r="B1492" s="30" t="inlineStr">
        <is>
          <t>Itaguai</t>
        </is>
      </c>
      <c r="C1492" s="30" t="n">
        <v>85995634</v>
      </c>
      <c r="D1492" s="30">
        <f>"01486029000198"</f>
        <v/>
      </c>
      <c r="E1492" s="30" t="inlineStr">
        <is>
          <t>AVB 2004 TRANSPORTES LTDA</t>
        </is>
      </c>
      <c r="F1492" s="40" t="n">
        <v>13413.26</v>
      </c>
      <c r="G1492" s="40" t="n">
        <v>4097.3</v>
      </c>
      <c r="H1492" s="40" t="n">
        <v>0</v>
      </c>
      <c r="I1492" s="40" t="n">
        <v>0</v>
      </c>
      <c r="J1492" s="40" t="n">
        <v>0</v>
      </c>
      <c r="K1492" s="40" t="n">
        <v>0</v>
      </c>
      <c r="L1492" s="40" t="n">
        <v>0</v>
      </c>
    </row>
    <row r="1493" ht="12" customHeight="1">
      <c r="A1493" s="30" t="inlineStr">
        <is>
          <t>ITG</t>
        </is>
      </c>
      <c r="B1493" s="30" t="inlineStr">
        <is>
          <t>Itaguai</t>
        </is>
      </c>
      <c r="C1493" s="30" t="n">
        <v>86035057</v>
      </c>
      <c r="D1493" s="30">
        <f>"01716129000163"</f>
        <v/>
      </c>
      <c r="E1493" s="30" t="inlineStr">
        <is>
          <t>TRES M COMERCIO &amp; SERVICOS LTDA</t>
        </is>
      </c>
      <c r="F1493" s="40" t="n">
        <v>0</v>
      </c>
      <c r="G1493" s="40" t="n">
        <v>0</v>
      </c>
      <c r="H1493" s="40" t="n">
        <v>0</v>
      </c>
      <c r="I1493" s="40" t="n">
        <v>0</v>
      </c>
      <c r="J1493" s="40" t="n">
        <v>0</v>
      </c>
      <c r="K1493" s="40" t="n">
        <v>0</v>
      </c>
      <c r="L1493" s="40" t="n">
        <v>0</v>
      </c>
    </row>
    <row r="1494" ht="12" customHeight="1">
      <c r="A1494" s="30" t="inlineStr">
        <is>
          <t>ITG</t>
        </is>
      </c>
      <c r="B1494" s="30" t="inlineStr">
        <is>
          <t>Itaguai</t>
        </is>
      </c>
      <c r="C1494" s="30" t="n">
        <v>86038870</v>
      </c>
      <c r="D1494" s="30">
        <f>"01562471000156"</f>
        <v/>
      </c>
      <c r="E1494" s="30" t="inlineStr">
        <is>
          <t>LUCAS E JUNIOR TRANSPORTADORA LTDA</t>
        </is>
      </c>
      <c r="F1494" s="40" t="n">
        <v>0</v>
      </c>
      <c r="G1494" s="40" t="n">
        <v>0</v>
      </c>
      <c r="H1494" s="40" t="n">
        <v>0</v>
      </c>
      <c r="I1494" s="40" t="n">
        <v>0</v>
      </c>
      <c r="J1494" s="40" t="n">
        <v>4584.04</v>
      </c>
      <c r="K1494" s="40" t="n">
        <v>0</v>
      </c>
      <c r="L1494" s="40" t="n">
        <v>0</v>
      </c>
    </row>
    <row r="1495" ht="12" customHeight="1">
      <c r="A1495" s="30" t="inlineStr">
        <is>
          <t>ITG</t>
        </is>
      </c>
      <c r="B1495" s="30" t="inlineStr">
        <is>
          <t>Itaguai</t>
        </is>
      </c>
      <c r="C1495" s="30" t="n">
        <v>86039397</v>
      </c>
      <c r="D1495" s="30">
        <f>"57012098000467"</f>
        <v/>
      </c>
      <c r="E1495" s="30" t="inlineStr">
        <is>
          <t>TRANSLUTE TRANSPORTES RODOVIARIO LTDA</t>
        </is>
      </c>
      <c r="F1495" s="40" t="n">
        <v>0</v>
      </c>
      <c r="G1495" s="40" t="n">
        <v>2.69</v>
      </c>
      <c r="H1495" s="40" t="n">
        <v>0</v>
      </c>
      <c r="I1495" s="40" t="n">
        <v>0</v>
      </c>
      <c r="J1495" s="40" t="n">
        <v>196.86</v>
      </c>
      <c r="K1495" s="40" t="n">
        <v>0</v>
      </c>
      <c r="L1495" s="40" t="n">
        <v>0</v>
      </c>
    </row>
    <row r="1496" ht="12" customHeight="1">
      <c r="A1496" s="30" t="inlineStr">
        <is>
          <t>ITG</t>
        </is>
      </c>
      <c r="B1496" s="30" t="inlineStr">
        <is>
          <t>Itaguai</t>
        </is>
      </c>
      <c r="C1496" s="30" t="n">
        <v>86039494</v>
      </c>
      <c r="D1496" s="30">
        <f>"01695336000189"</f>
        <v/>
      </c>
      <c r="E1496" s="30" t="inlineStr">
        <is>
          <t>25 DE JULHO TRANSPORTES LTDA EPP</t>
        </is>
      </c>
      <c r="F1496" s="40" t="n">
        <v>0</v>
      </c>
      <c r="G1496" s="40" t="n">
        <v>0</v>
      </c>
      <c r="H1496" s="40" t="n">
        <v>0</v>
      </c>
      <c r="I1496" s="40" t="n">
        <v>17930.17</v>
      </c>
      <c r="J1496" s="40" t="n">
        <v>24832.44</v>
      </c>
      <c r="K1496" s="40" t="n">
        <v>14292.42</v>
      </c>
      <c r="L1496" s="40" t="n">
        <v>150280.42</v>
      </c>
    </row>
    <row r="1497" ht="12" customHeight="1">
      <c r="A1497" s="30" t="inlineStr">
        <is>
          <t>ITG</t>
        </is>
      </c>
      <c r="B1497" s="30" t="inlineStr">
        <is>
          <t>Itaguai</t>
        </is>
      </c>
      <c r="C1497" s="30" t="n">
        <v>86040034</v>
      </c>
      <c r="D1497" s="30">
        <f>"68577659000572"</f>
        <v/>
      </c>
      <c r="E1497" s="30" t="inlineStr">
        <is>
          <t>RODOREI TRANSPORTES LTDA</t>
        </is>
      </c>
      <c r="F1497" s="40" t="n">
        <v>51390.23</v>
      </c>
      <c r="G1497" s="40" t="n">
        <v>0</v>
      </c>
      <c r="H1497" s="40" t="n">
        <v>1192114.58</v>
      </c>
      <c r="I1497" s="40" t="n">
        <v>80867.42999999999</v>
      </c>
      <c r="J1497" s="40" t="n">
        <v>0</v>
      </c>
      <c r="K1497" s="40" t="n">
        <v>0</v>
      </c>
      <c r="L1497" s="40" t="n">
        <v>0</v>
      </c>
    </row>
    <row r="1498" ht="12" customHeight="1">
      <c r="A1498" s="30" t="inlineStr">
        <is>
          <t>ITG</t>
        </is>
      </c>
      <c r="B1498" s="30" t="inlineStr">
        <is>
          <t>Itaguai</t>
        </is>
      </c>
      <c r="C1498" s="30" t="n">
        <v>86062895</v>
      </c>
      <c r="D1498" s="30">
        <f>"72843212000222"</f>
        <v/>
      </c>
      <c r="E1498" s="30" t="inlineStr">
        <is>
          <t>CENTURYLINK COMUNICAÇÕES DO BRASIL LTDA</t>
        </is>
      </c>
      <c r="F1498" s="40" t="n">
        <v>77375.8</v>
      </c>
      <c r="G1498" s="40" t="n">
        <v>4335</v>
      </c>
      <c r="H1498" s="40" t="n">
        <v>0</v>
      </c>
      <c r="I1498" s="40" t="n">
        <v>42301.88</v>
      </c>
      <c r="J1498" s="40" t="n">
        <v>71091.27</v>
      </c>
      <c r="K1498" s="40" t="n">
        <v>97505.64</v>
      </c>
      <c r="L1498" s="40" t="n">
        <v>230006.13</v>
      </c>
    </row>
    <row r="1499" ht="12" customHeight="1">
      <c r="A1499" s="30" t="inlineStr">
        <is>
          <t>ITG</t>
        </is>
      </c>
      <c r="B1499" s="30" t="inlineStr">
        <is>
          <t>Itaguai</t>
        </is>
      </c>
      <c r="C1499" s="30" t="n">
        <v>86092085</v>
      </c>
      <c r="D1499" s="30">
        <f>"02421421000111"</f>
        <v/>
      </c>
      <c r="E1499" s="30" t="inlineStr">
        <is>
          <t>TIM S.A.</t>
        </is>
      </c>
      <c r="F1499" s="40" t="n">
        <v>1004193.12</v>
      </c>
      <c r="G1499" s="40" t="n">
        <v>2034000.67</v>
      </c>
      <c r="H1499" s="40" t="n">
        <v>7275001.41</v>
      </c>
      <c r="I1499" s="40" t="n">
        <v>7080809.52</v>
      </c>
      <c r="J1499" s="40" t="n">
        <v>9321369.9</v>
      </c>
      <c r="K1499" s="40" t="n">
        <v>8582003.720000001</v>
      </c>
      <c r="L1499" s="40" t="n">
        <v>13160615.27</v>
      </c>
    </row>
    <row r="1500" ht="12" customHeight="1">
      <c r="A1500" s="30" t="inlineStr">
        <is>
          <t>ITG</t>
        </is>
      </c>
      <c r="B1500" s="30" t="inlineStr">
        <is>
          <t>Itaguai</t>
        </is>
      </c>
      <c r="C1500" s="30" t="n">
        <v>86115220</v>
      </c>
      <c r="D1500" s="30">
        <f>"02231030000134"</f>
        <v/>
      </c>
      <c r="E1500" s="30" t="inlineStr">
        <is>
          <t>GLOBALSTAR DO BRASIL LTDA</t>
        </is>
      </c>
      <c r="F1500" s="40" t="n">
        <v>574</v>
      </c>
      <c r="G1500" s="40" t="n">
        <v>599</v>
      </c>
      <c r="H1500" s="40" t="n">
        <v>599</v>
      </c>
      <c r="I1500" s="40" t="n">
        <v>621.5</v>
      </c>
      <c r="J1500" s="40" t="n">
        <v>1683.5</v>
      </c>
      <c r="K1500" s="40" t="n">
        <v>0</v>
      </c>
      <c r="L1500" s="40" t="n">
        <v>0</v>
      </c>
    </row>
    <row r="1501" ht="12" customHeight="1">
      <c r="A1501" s="30" t="inlineStr">
        <is>
          <t>ITG</t>
        </is>
      </c>
      <c r="B1501" s="30" t="inlineStr">
        <is>
          <t>Itaguai</t>
        </is>
      </c>
      <c r="C1501" s="30" t="n">
        <v>86129817</v>
      </c>
      <c r="D1501" s="30">
        <f>"02012751000153"</f>
        <v/>
      </c>
      <c r="E1501" s="30" t="inlineStr">
        <is>
          <t>PESCARIMARCAR DISTRIBUIDORA DE PESCADOS LTDA</t>
        </is>
      </c>
      <c r="F1501" s="40" t="n">
        <v>0</v>
      </c>
      <c r="G1501" s="40" t="n">
        <v>0</v>
      </c>
      <c r="H1501" s="40" t="n">
        <v>0</v>
      </c>
      <c r="I1501" s="40" t="n">
        <v>0</v>
      </c>
      <c r="J1501" s="40" t="n">
        <v>0</v>
      </c>
      <c r="K1501" s="40" t="n">
        <v>721700</v>
      </c>
      <c r="L1501" s="40" t="n">
        <v>0</v>
      </c>
    </row>
    <row r="1502" ht="12" customHeight="1">
      <c r="A1502" s="30" t="inlineStr">
        <is>
          <t>ITG</t>
        </is>
      </c>
      <c r="B1502" s="30" t="inlineStr">
        <is>
          <t>Itaguai</t>
        </is>
      </c>
      <c r="C1502" s="30" t="n">
        <v>86143739</v>
      </c>
      <c r="D1502" s="30">
        <f>"02394276000208"</f>
        <v/>
      </c>
      <c r="E1502" s="30" t="inlineStr">
        <is>
          <t>SEPETIBA TECON S/A</t>
        </is>
      </c>
      <c r="F1502" s="40" t="n">
        <v>0</v>
      </c>
      <c r="G1502" s="40" t="n">
        <v>0.1</v>
      </c>
      <c r="H1502" s="40" t="n">
        <v>0</v>
      </c>
      <c r="I1502" s="40" t="n">
        <v>3327174.87</v>
      </c>
      <c r="J1502" s="40" t="n">
        <v>2225620.62</v>
      </c>
      <c r="K1502" s="40" t="n">
        <v>1024717.69</v>
      </c>
      <c r="L1502" s="40" t="n">
        <v>698366.0699999999</v>
      </c>
    </row>
    <row r="1503" ht="12" customHeight="1">
      <c r="A1503" s="30" t="inlineStr">
        <is>
          <t>ITG</t>
        </is>
      </c>
      <c r="B1503" s="30" t="inlineStr">
        <is>
          <t>Itaguai</t>
        </is>
      </c>
      <c r="C1503" s="30" t="n">
        <v>86144018</v>
      </c>
      <c r="D1503" s="30">
        <f>"03180152000101"</f>
        <v/>
      </c>
      <c r="E1503" s="30" t="inlineStr">
        <is>
          <t>EVAM TRANSPORTES SERVICOS E REPRESENTACOES LTDA</t>
        </is>
      </c>
      <c r="F1503" s="40" t="n">
        <v>0</v>
      </c>
      <c r="G1503" s="40" t="n">
        <v>0</v>
      </c>
      <c r="H1503" s="40" t="n">
        <v>0</v>
      </c>
      <c r="I1503" s="40" t="n">
        <v>0</v>
      </c>
      <c r="J1503" s="40" t="n">
        <v>0</v>
      </c>
      <c r="K1503" s="40" t="n">
        <v>0</v>
      </c>
      <c r="L1503" s="40" t="n">
        <v>0</v>
      </c>
    </row>
    <row r="1504" ht="12" customHeight="1">
      <c r="A1504" s="30" t="inlineStr">
        <is>
          <t>ITG</t>
        </is>
      </c>
      <c r="B1504" s="30" t="inlineStr">
        <is>
          <t>Itaguai</t>
        </is>
      </c>
      <c r="C1504" s="30" t="n">
        <v>86144859</v>
      </c>
      <c r="D1504" s="30">
        <f>"02444304000254"</f>
        <v/>
      </c>
      <c r="E1504" s="30" t="inlineStr">
        <is>
          <t>OTICA COR DOS OLHOS LTDA</t>
        </is>
      </c>
      <c r="F1504" s="40" t="n">
        <v>0</v>
      </c>
      <c r="G1504" s="40" t="n">
        <v>182933.91</v>
      </c>
      <c r="H1504" s="40" t="n">
        <v>273099.63</v>
      </c>
      <c r="I1504" s="40" t="n">
        <v>0</v>
      </c>
      <c r="J1504" s="40" t="n">
        <v>0</v>
      </c>
      <c r="K1504" s="40" t="n">
        <v>0</v>
      </c>
      <c r="L1504" s="40" t="n">
        <v>0</v>
      </c>
    </row>
    <row r="1505" ht="12" customHeight="1">
      <c r="A1505" s="30" t="inlineStr">
        <is>
          <t>ITG</t>
        </is>
      </c>
      <c r="B1505" s="30" t="inlineStr">
        <is>
          <t>Itaguai</t>
        </is>
      </c>
      <c r="C1505" s="30" t="n">
        <v>86144891</v>
      </c>
      <c r="D1505" s="30">
        <f>"02352264000130"</f>
        <v/>
      </c>
      <c r="E1505" s="30" t="inlineStr">
        <is>
          <t>RAPIDO TRIUNFO TRANSPORTES &amp; TURISMO LTDA</t>
        </is>
      </c>
      <c r="F1505" s="40" t="n">
        <v>0</v>
      </c>
      <c r="G1505" s="40" t="n">
        <v>0</v>
      </c>
      <c r="H1505" s="40" t="n">
        <v>0</v>
      </c>
      <c r="I1505" s="40" t="n">
        <v>0</v>
      </c>
      <c r="J1505" s="40" t="n">
        <v>0</v>
      </c>
      <c r="K1505" s="40" t="n">
        <v>0</v>
      </c>
      <c r="L1505" s="40" t="n">
        <v>0</v>
      </c>
    </row>
    <row r="1506" ht="12" customHeight="1">
      <c r="A1506" s="30" t="inlineStr">
        <is>
          <t>ITG</t>
        </is>
      </c>
      <c r="B1506" s="30" t="inlineStr">
        <is>
          <t>Itaguai</t>
        </is>
      </c>
      <c r="C1506" s="30" t="n">
        <v>86145057</v>
      </c>
      <c r="D1506" s="30">
        <f>"03526694000193"</f>
        <v/>
      </c>
      <c r="E1506" s="30" t="inlineStr">
        <is>
          <t>ITALIMP BAZAR EIRELI ME</t>
        </is>
      </c>
      <c r="F1506" s="40" t="n">
        <v>1473401.36</v>
      </c>
      <c r="G1506" s="40" t="n">
        <v>1312037.64</v>
      </c>
      <c r="H1506" s="40" t="n">
        <v>1873361.67</v>
      </c>
      <c r="I1506" s="40" t="n">
        <v>1184302.86</v>
      </c>
      <c r="J1506" s="40" t="n">
        <v>2016526.51</v>
      </c>
      <c r="K1506" s="40" t="n">
        <v>1046143.61</v>
      </c>
      <c r="L1506" s="40" t="n">
        <v>2181912.83</v>
      </c>
    </row>
    <row r="1507" ht="12" customHeight="1">
      <c r="A1507" s="30" t="inlineStr">
        <is>
          <t>ITG</t>
        </is>
      </c>
      <c r="B1507" s="30" t="inlineStr">
        <is>
          <t>Itaguai</t>
        </is>
      </c>
      <c r="C1507" s="30" t="n">
        <v>86145227</v>
      </c>
      <c r="D1507" s="30">
        <f>"03546620000119"</f>
        <v/>
      </c>
      <c r="E1507" s="30" t="inlineStr">
        <is>
          <t>BRASIL 2000 COMBUSTIVEIS LTDA</t>
        </is>
      </c>
      <c r="F1507" s="40" t="n">
        <v>1260489.02</v>
      </c>
      <c r="G1507" s="40" t="n">
        <v>2993288.41</v>
      </c>
      <c r="H1507" s="40" t="n">
        <v>1511019.23</v>
      </c>
      <c r="I1507" s="40" t="n">
        <v>1592555.43</v>
      </c>
      <c r="J1507" s="40" t="n">
        <v>2492074.48</v>
      </c>
      <c r="K1507" s="40" t="n">
        <v>2304498.23</v>
      </c>
      <c r="L1507" s="40" t="n">
        <v>1955492.59</v>
      </c>
    </row>
    <row r="1508" ht="12" customHeight="1">
      <c r="A1508" s="30" t="inlineStr">
        <is>
          <t>ITG</t>
        </is>
      </c>
      <c r="B1508" s="30" t="inlineStr">
        <is>
          <t>Itaguai</t>
        </is>
      </c>
      <c r="C1508" s="30" t="n">
        <v>86160919</v>
      </c>
      <c r="D1508" s="30">
        <f>"01682917000186"</f>
        <v/>
      </c>
      <c r="E1508" s="30" t="inlineStr">
        <is>
          <t>COUTRANS TRANSPORTES E SERVICOS LTDA</t>
        </is>
      </c>
      <c r="F1508" s="40" t="n">
        <v>0</v>
      </c>
      <c r="G1508" s="40" t="n">
        <v>0</v>
      </c>
      <c r="H1508" s="40" t="n">
        <v>4859.58</v>
      </c>
      <c r="I1508" s="40" t="n">
        <v>0</v>
      </c>
      <c r="J1508" s="40" t="n">
        <v>982.02</v>
      </c>
      <c r="K1508" s="40" t="n">
        <v>0</v>
      </c>
      <c r="L1508" s="40" t="n">
        <v>0</v>
      </c>
    </row>
    <row r="1509" ht="12" customHeight="1">
      <c r="A1509" s="30" t="inlineStr">
        <is>
          <t>ITG</t>
        </is>
      </c>
      <c r="B1509" s="30" t="inlineStr">
        <is>
          <t>Itaguai</t>
        </is>
      </c>
      <c r="C1509" s="30" t="n">
        <v>86161591</v>
      </c>
      <c r="D1509" s="30">
        <f>"02027952000124"</f>
        <v/>
      </c>
      <c r="E1509" s="30" t="inlineStr">
        <is>
          <t>COSTA VERDE TRANSPORTES LTDA</t>
        </is>
      </c>
      <c r="F1509" s="40" t="n">
        <v>5606912.27</v>
      </c>
      <c r="G1509" s="40" t="n">
        <v>4358391.14</v>
      </c>
      <c r="H1509" s="40" t="n">
        <v>4302390.65</v>
      </c>
      <c r="I1509" s="40" t="n">
        <v>1690075.81</v>
      </c>
      <c r="J1509" s="40" t="n">
        <v>1939835.44</v>
      </c>
      <c r="K1509" s="40" t="n">
        <v>312837.35</v>
      </c>
      <c r="L1509" s="40" t="n">
        <v>427772.44</v>
      </c>
    </row>
    <row r="1510" ht="12" customHeight="1">
      <c r="A1510" s="30" t="inlineStr">
        <is>
          <t>ITG</t>
        </is>
      </c>
      <c r="B1510" s="30" t="inlineStr">
        <is>
          <t>Itaguai</t>
        </is>
      </c>
      <c r="C1510" s="30" t="n">
        <v>86163233</v>
      </c>
      <c r="D1510" s="30">
        <f>"32579302000152"</f>
        <v/>
      </c>
      <c r="E1510" s="30" t="inlineStr">
        <is>
          <t>PEDREIRA SEPETIBA LTDA</t>
        </is>
      </c>
      <c r="F1510" s="40" t="n">
        <v>2902.16</v>
      </c>
      <c r="G1510" s="40" t="n">
        <v>99.17</v>
      </c>
      <c r="H1510" s="40" t="n">
        <v>3982.52</v>
      </c>
      <c r="I1510" s="40" t="n">
        <v>0</v>
      </c>
      <c r="J1510" s="40" t="n">
        <v>0</v>
      </c>
      <c r="K1510" s="40" t="n">
        <v>0</v>
      </c>
      <c r="L1510" s="40" t="n">
        <v>0</v>
      </c>
    </row>
    <row r="1511" ht="12" customHeight="1">
      <c r="A1511" s="30" t="inlineStr">
        <is>
          <t>ITG</t>
        </is>
      </c>
      <c r="B1511" s="30" t="inlineStr">
        <is>
          <t>Itaguai</t>
        </is>
      </c>
      <c r="C1511" s="30" t="n">
        <v>86168677</v>
      </c>
      <c r="D1511" s="30">
        <f>"01868396000156"</f>
        <v/>
      </c>
      <c r="E1511" s="30" t="inlineStr">
        <is>
          <t>SANTA LUZIA ENGENHARIA E CONSTRUCOES LTDA</t>
        </is>
      </c>
      <c r="F1511" s="40" t="n">
        <v>0</v>
      </c>
      <c r="G1511" s="40" t="n">
        <v>0</v>
      </c>
      <c r="H1511" s="40" t="n">
        <v>0</v>
      </c>
      <c r="I1511" s="40" t="n">
        <v>0</v>
      </c>
      <c r="J1511" s="40" t="n">
        <v>0</v>
      </c>
      <c r="K1511" s="40" t="n">
        <v>0</v>
      </c>
      <c r="L1511" s="40" t="n">
        <v>0</v>
      </c>
    </row>
    <row r="1512" ht="12" customHeight="1">
      <c r="A1512" s="30" t="inlineStr">
        <is>
          <t>ITG</t>
        </is>
      </c>
      <c r="B1512" s="30" t="inlineStr">
        <is>
          <t>Itaguai</t>
        </is>
      </c>
      <c r="C1512" s="30" t="n">
        <v>86233703</v>
      </c>
      <c r="D1512" s="30">
        <f>"02357033000119"</f>
        <v/>
      </c>
      <c r="E1512" s="30" t="inlineStr">
        <is>
          <t>QUICKNET TELECOM LTDA EPP</t>
        </is>
      </c>
      <c r="F1512" s="40" t="n">
        <v>0</v>
      </c>
      <c r="G1512" s="40" t="n">
        <v>0</v>
      </c>
      <c r="H1512" s="40" t="n">
        <v>0</v>
      </c>
      <c r="I1512" s="40" t="n">
        <v>0</v>
      </c>
      <c r="J1512" s="40" t="n">
        <v>0</v>
      </c>
      <c r="K1512" s="40" t="n">
        <v>0</v>
      </c>
      <c r="L1512" s="40" t="n">
        <v>3118.8</v>
      </c>
    </row>
    <row r="1513" ht="12" customHeight="1">
      <c r="A1513" s="30" t="inlineStr">
        <is>
          <t>ITG</t>
        </is>
      </c>
      <c r="B1513" s="30" t="inlineStr">
        <is>
          <t>Itaguai</t>
        </is>
      </c>
      <c r="C1513" s="30" t="n">
        <v>86273004</v>
      </c>
      <c r="D1513" s="30">
        <f>"03113442000132"</f>
        <v/>
      </c>
      <c r="E1513" s="30" t="inlineStr">
        <is>
          <t>AGMSBS TRANSPORTES LTDA</t>
        </is>
      </c>
      <c r="F1513" s="40" t="n">
        <v>0</v>
      </c>
      <c r="G1513" s="40" t="n">
        <v>0</v>
      </c>
      <c r="H1513" s="40" t="n">
        <v>82.65000000000001</v>
      </c>
      <c r="I1513" s="40" t="n">
        <v>0</v>
      </c>
      <c r="J1513" s="40" t="n">
        <v>0</v>
      </c>
      <c r="K1513" s="40" t="n">
        <v>0</v>
      </c>
      <c r="L1513" s="40" t="n">
        <v>0</v>
      </c>
    </row>
    <row r="1514" ht="12" customHeight="1">
      <c r="A1514" s="30" t="inlineStr">
        <is>
          <t>ITG</t>
        </is>
      </c>
      <c r="B1514" s="30" t="inlineStr">
        <is>
          <t>Itaguai</t>
        </is>
      </c>
      <c r="C1514" s="30" t="n">
        <v>86288311</v>
      </c>
      <c r="D1514" s="30">
        <f>"00685759000155"</f>
        <v/>
      </c>
      <c r="E1514" s="30" t="inlineStr">
        <is>
          <t>GUIFI SERVIÇOS DE TRANSPORTES EIRELI</t>
        </is>
      </c>
      <c r="F1514" s="40" t="n">
        <v>0</v>
      </c>
      <c r="G1514" s="40" t="n">
        <v>0</v>
      </c>
      <c r="H1514" s="40" t="n">
        <v>313250.32</v>
      </c>
      <c r="I1514" s="40" t="n">
        <v>0</v>
      </c>
      <c r="J1514" s="40" t="n">
        <v>0</v>
      </c>
      <c r="K1514" s="40" t="n">
        <v>0</v>
      </c>
      <c r="L1514" s="40" t="n">
        <v>0</v>
      </c>
    </row>
    <row r="1515" ht="12" customHeight="1">
      <c r="A1515" s="30" t="inlineStr">
        <is>
          <t>ITG</t>
        </is>
      </c>
      <c r="B1515" s="30" t="inlineStr">
        <is>
          <t>Itaguai</t>
        </is>
      </c>
      <c r="C1515" s="30" t="n">
        <v>86288796</v>
      </c>
      <c r="D1515" s="30">
        <f>"01679681000200"</f>
        <v/>
      </c>
      <c r="E1515" s="30" t="inlineStr">
        <is>
          <t>HAMBURGO CARGAS LTDA</t>
        </is>
      </c>
      <c r="F1515" s="40" t="n">
        <v>4089.11</v>
      </c>
      <c r="G1515" s="40" t="n">
        <v>414.85</v>
      </c>
      <c r="H1515" s="40" t="n">
        <v>339.25</v>
      </c>
      <c r="I1515" s="40" t="n">
        <v>1078.57</v>
      </c>
      <c r="J1515" s="40" t="n">
        <v>3253.05</v>
      </c>
      <c r="K1515" s="40" t="n">
        <v>5582.67</v>
      </c>
      <c r="L1515" s="40" t="n">
        <v>5382.06</v>
      </c>
    </row>
    <row r="1516" ht="12" customHeight="1">
      <c r="A1516" s="30" t="inlineStr">
        <is>
          <t>ITG</t>
        </is>
      </c>
      <c r="B1516" s="30" t="inlineStr">
        <is>
          <t>Itaguai</t>
        </is>
      </c>
      <c r="C1516" s="30" t="n">
        <v>86319500</v>
      </c>
      <c r="D1516" s="30">
        <f>"60395589001330"</f>
        <v/>
      </c>
      <c r="E1516" s="30" t="inlineStr">
        <is>
          <t>BRAZUL TRANSPORTE DE VEICULOS LTDA</t>
        </is>
      </c>
      <c r="F1516" s="40" t="n">
        <v>2433.58</v>
      </c>
      <c r="G1516" s="40" t="n">
        <v>0</v>
      </c>
      <c r="H1516" s="40" t="n">
        <v>72904.14999999999</v>
      </c>
      <c r="I1516" s="40" t="n">
        <v>0</v>
      </c>
      <c r="J1516" s="40" t="n">
        <v>0</v>
      </c>
      <c r="K1516" s="40" t="n">
        <v>0</v>
      </c>
      <c r="L1516" s="40" t="n">
        <v>0</v>
      </c>
    </row>
    <row r="1517" ht="12" customHeight="1">
      <c r="A1517" s="30" t="inlineStr">
        <is>
          <t>ITG</t>
        </is>
      </c>
      <c r="B1517" s="30" t="inlineStr">
        <is>
          <t>Itaguai</t>
        </is>
      </c>
      <c r="C1517" s="30" t="n">
        <v>86320053</v>
      </c>
      <c r="D1517" s="30">
        <f>"02445414000583"</f>
        <v/>
      </c>
      <c r="E1517" s="30" t="inlineStr">
        <is>
          <t>TRANSVIP TRANSPORTE DE VALORES E VIGILANCIA PATRIMONIAL LTDA</t>
        </is>
      </c>
      <c r="F1517" s="40" t="n">
        <v>0</v>
      </c>
      <c r="G1517" s="40" t="n">
        <v>172714.24</v>
      </c>
      <c r="H1517" s="40" t="n">
        <v>754525.11</v>
      </c>
      <c r="I1517" s="40" t="n">
        <v>0</v>
      </c>
      <c r="J1517" s="40" t="n">
        <v>0</v>
      </c>
      <c r="K1517" s="40" t="n">
        <v>0</v>
      </c>
      <c r="L1517" s="40" t="n">
        <v>0</v>
      </c>
    </row>
    <row r="1518" ht="12" customHeight="1">
      <c r="A1518" s="30" t="inlineStr">
        <is>
          <t>ITG</t>
        </is>
      </c>
      <c r="B1518" s="30" t="inlineStr">
        <is>
          <t>Itaguai</t>
        </is>
      </c>
      <c r="C1518" s="30" t="n">
        <v>86344335</v>
      </c>
      <c r="D1518" s="30">
        <f>"02412371000106"</f>
        <v/>
      </c>
      <c r="E1518" s="30" t="inlineStr">
        <is>
          <t>TREVO LOCAR TRANSPORTES LTDA EPP</t>
        </is>
      </c>
      <c r="F1518" s="40" t="n">
        <v>0</v>
      </c>
      <c r="G1518" s="40" t="n">
        <v>0</v>
      </c>
      <c r="H1518" s="40" t="n">
        <v>3675</v>
      </c>
      <c r="I1518" s="40" t="n">
        <v>14700</v>
      </c>
      <c r="J1518" s="40" t="n">
        <v>12862.5</v>
      </c>
      <c r="K1518" s="40" t="n">
        <v>0</v>
      </c>
      <c r="L1518" s="40" t="n">
        <v>0</v>
      </c>
    </row>
    <row r="1519" ht="12" customHeight="1">
      <c r="A1519" s="30" t="inlineStr">
        <is>
          <t>ITG</t>
        </is>
      </c>
      <c r="B1519" s="30" t="inlineStr">
        <is>
          <t>Itaguai</t>
        </is>
      </c>
      <c r="C1519" s="30" t="n">
        <v>86356953</v>
      </c>
      <c r="D1519" s="30">
        <f>"02191152000144"</f>
        <v/>
      </c>
      <c r="E1519" s="30" t="inlineStr">
        <is>
          <t>BELLA ROMA SECURITY DIGITAL LTDA ME</t>
        </is>
      </c>
      <c r="F1519" s="40" t="n">
        <v>0</v>
      </c>
      <c r="G1519" s="40" t="n">
        <v>0</v>
      </c>
      <c r="H1519" s="40" t="n">
        <v>0</v>
      </c>
      <c r="I1519" s="40" t="n">
        <v>0</v>
      </c>
      <c r="J1519" s="40" t="n">
        <v>0</v>
      </c>
      <c r="K1519" s="40" t="n">
        <v>0</v>
      </c>
      <c r="L1519" s="40" t="n">
        <v>0</v>
      </c>
    </row>
    <row r="1520" ht="12" customHeight="1">
      <c r="A1520" s="30" t="inlineStr">
        <is>
          <t>ITG</t>
        </is>
      </c>
      <c r="B1520" s="30" t="inlineStr">
        <is>
          <t>Itaguai</t>
        </is>
      </c>
      <c r="C1520" s="30" t="n">
        <v>86374005</v>
      </c>
      <c r="D1520" s="30">
        <f>"02277810000115"</f>
        <v/>
      </c>
      <c r="E1520" s="30" t="inlineStr">
        <is>
          <t>A L MONCAO PINTO ME</t>
        </is>
      </c>
      <c r="F1520" s="40" t="n">
        <v>0</v>
      </c>
      <c r="G1520" s="40" t="n">
        <v>0</v>
      </c>
      <c r="H1520" s="40" t="n">
        <v>0</v>
      </c>
      <c r="I1520" s="40" t="n">
        <v>0</v>
      </c>
      <c r="J1520" s="40" t="n">
        <v>1800</v>
      </c>
      <c r="K1520" s="40" t="n">
        <v>0</v>
      </c>
      <c r="L1520" s="40" t="n">
        <v>0</v>
      </c>
    </row>
    <row r="1521" ht="12" customHeight="1">
      <c r="A1521" s="30" t="inlineStr">
        <is>
          <t>ITG</t>
        </is>
      </c>
      <c r="B1521" s="30" t="inlineStr">
        <is>
          <t>Itaguai</t>
        </is>
      </c>
      <c r="C1521" s="30" t="n">
        <v>86381397</v>
      </c>
      <c r="D1521" s="30">
        <f>"03415979000157"</f>
        <v/>
      </c>
      <c r="E1521" s="30" t="inlineStr">
        <is>
          <t>RESTAURANTE RECANTO DOS PESCADORES DE TERESOPOLIS EIRELI</t>
        </is>
      </c>
      <c r="F1521" s="40" t="n">
        <v>0</v>
      </c>
      <c r="G1521" s="40" t="n">
        <v>0</v>
      </c>
      <c r="H1521" s="40" t="n">
        <v>64780</v>
      </c>
      <c r="I1521" s="40" t="n">
        <v>10892</v>
      </c>
      <c r="J1521" s="40" t="n">
        <v>0</v>
      </c>
      <c r="K1521" s="40" t="n">
        <v>0</v>
      </c>
      <c r="L1521" s="40" t="n">
        <v>0</v>
      </c>
    </row>
    <row r="1522" ht="12" customHeight="1">
      <c r="A1522" s="30" t="inlineStr">
        <is>
          <t>ITG</t>
        </is>
      </c>
      <c r="B1522" s="30" t="inlineStr">
        <is>
          <t>Itaguai</t>
        </is>
      </c>
      <c r="C1522" s="30" t="n">
        <v>86399393</v>
      </c>
      <c r="D1522" s="30">
        <f>"01489122000156"</f>
        <v/>
      </c>
      <c r="E1522" s="30" t="inlineStr">
        <is>
          <t>TJ4 TRANSPORTES EIRELI</t>
        </is>
      </c>
      <c r="F1522" s="40" t="n">
        <v>0</v>
      </c>
      <c r="G1522" s="40" t="n">
        <v>97.63</v>
      </c>
      <c r="H1522" s="40" t="n">
        <v>105.52</v>
      </c>
      <c r="I1522" s="40" t="n">
        <v>0</v>
      </c>
      <c r="J1522" s="40" t="n">
        <v>0</v>
      </c>
      <c r="K1522" s="40" t="n">
        <v>0</v>
      </c>
      <c r="L1522" s="40" t="n">
        <v>0</v>
      </c>
    </row>
    <row r="1523" ht="12" customHeight="1">
      <c r="A1523" s="30" t="inlineStr">
        <is>
          <t>ITG</t>
        </is>
      </c>
      <c r="B1523" s="30" t="inlineStr">
        <is>
          <t>Itaguai</t>
        </is>
      </c>
      <c r="C1523" s="30" t="n">
        <v>86441071</v>
      </c>
      <c r="D1523" s="30">
        <f>"32492373002086"</f>
        <v/>
      </c>
      <c r="E1523" s="30" t="inlineStr">
        <is>
          <t>TRANSPORTE EXCELSIOR LTDA</t>
        </is>
      </c>
      <c r="F1523" s="40" t="n">
        <v>1266</v>
      </c>
      <c r="G1523" s="40" t="n">
        <v>0</v>
      </c>
      <c r="H1523" s="40" t="n">
        <v>3032.15</v>
      </c>
      <c r="I1523" s="40" t="n">
        <v>0</v>
      </c>
      <c r="J1523" s="40" t="n">
        <v>10934.4</v>
      </c>
      <c r="K1523" s="40" t="n">
        <v>2153.41</v>
      </c>
      <c r="L1523" s="40" t="n">
        <v>0</v>
      </c>
    </row>
    <row r="1524" ht="12" customHeight="1">
      <c r="A1524" s="30" t="inlineStr">
        <is>
          <t>ITG</t>
        </is>
      </c>
      <c r="B1524" s="30" t="inlineStr">
        <is>
          <t>Itaguai</t>
        </is>
      </c>
      <c r="C1524" s="30" t="n">
        <v>86507129</v>
      </c>
      <c r="D1524" s="30">
        <f>"17349724000148"</f>
        <v/>
      </c>
      <c r="E1524" s="30" t="inlineStr">
        <is>
          <t>ARGAMASSAS SANTA LUZIA LTDA</t>
        </is>
      </c>
      <c r="F1524" s="40" t="n">
        <v>0</v>
      </c>
      <c r="G1524" s="40" t="n">
        <v>0</v>
      </c>
      <c r="H1524" s="40" t="n">
        <v>635659.41</v>
      </c>
      <c r="I1524" s="40" t="n">
        <v>2022298.83</v>
      </c>
      <c r="J1524" s="40" t="n">
        <v>3402467.54</v>
      </c>
      <c r="K1524" s="40" t="n">
        <v>4164602.13</v>
      </c>
      <c r="L1524" s="40" t="n">
        <v>5862993.07</v>
      </c>
    </row>
    <row r="1525" ht="12" customHeight="1">
      <c r="A1525" s="30" t="inlineStr">
        <is>
          <t>ITG</t>
        </is>
      </c>
      <c r="B1525" s="30" t="inlineStr">
        <is>
          <t>Itaguai</t>
        </is>
      </c>
      <c r="C1525" s="30" t="n">
        <v>86515636</v>
      </c>
      <c r="D1525" s="30">
        <f>"18866553000197"</f>
        <v/>
      </c>
      <c r="E1525" s="30" t="inlineStr">
        <is>
          <t>SVF COMERCIO DE BEBIDAS E DESCARTAVEIS EIRELI</t>
        </is>
      </c>
      <c r="F1525" s="40" t="n">
        <v>0</v>
      </c>
      <c r="G1525" s="40" t="n">
        <v>0</v>
      </c>
      <c r="H1525" s="40" t="n">
        <v>0</v>
      </c>
      <c r="I1525" s="40" t="n">
        <v>0</v>
      </c>
      <c r="J1525" s="40" t="n">
        <v>0</v>
      </c>
      <c r="K1525" s="40" t="n">
        <v>0</v>
      </c>
      <c r="L1525" s="40" t="n">
        <v>0</v>
      </c>
    </row>
    <row r="1526" ht="12" customHeight="1">
      <c r="A1526" s="30" t="inlineStr">
        <is>
          <t>ITG</t>
        </is>
      </c>
      <c r="B1526" s="30" t="inlineStr">
        <is>
          <t>Itaguai</t>
        </is>
      </c>
      <c r="C1526" s="30" t="n">
        <v>86518627</v>
      </c>
      <c r="D1526" s="30">
        <f>"09625212000210"</f>
        <v/>
      </c>
      <c r="E1526" s="30" t="inlineStr">
        <is>
          <t>PH MAR CONSULTORIA AMBIENTAL LTDA</t>
        </is>
      </c>
      <c r="F1526" s="40" t="n">
        <v>0</v>
      </c>
      <c r="G1526" s="40" t="n">
        <v>0</v>
      </c>
      <c r="H1526" s="40" t="n">
        <v>0</v>
      </c>
      <c r="I1526" s="40" t="n">
        <v>0</v>
      </c>
      <c r="J1526" s="40" t="n">
        <v>0</v>
      </c>
      <c r="K1526" s="40" t="n">
        <v>0</v>
      </c>
      <c r="L1526" s="40" t="n">
        <v>0</v>
      </c>
    </row>
    <row r="1527" ht="12" customHeight="1">
      <c r="A1527" s="30" t="inlineStr">
        <is>
          <t>ITG</t>
        </is>
      </c>
      <c r="B1527" s="30" t="inlineStr">
        <is>
          <t>Itaguai</t>
        </is>
      </c>
      <c r="C1527" s="30" t="n">
        <v>86521555</v>
      </c>
      <c r="D1527" s="30">
        <f>"18769316000108"</f>
        <v/>
      </c>
      <c r="E1527" s="30" t="inlineStr">
        <is>
          <t>COMERCIO VAREJISTA DE OLEOS LUBRIFICANTES ITAGUAI 1 EIRELI</t>
        </is>
      </c>
      <c r="F1527" s="40" t="n">
        <v>0</v>
      </c>
      <c r="G1527" s="40" t="n">
        <v>0</v>
      </c>
      <c r="H1527" s="40" t="n">
        <v>150</v>
      </c>
      <c r="I1527" s="40" t="n">
        <v>0</v>
      </c>
      <c r="J1527" s="40" t="n">
        <v>0</v>
      </c>
      <c r="K1527" s="40" t="n">
        <v>0</v>
      </c>
      <c r="L1527" s="40" t="n">
        <v>0</v>
      </c>
    </row>
    <row r="1528" ht="12" customHeight="1">
      <c r="A1528" s="30" t="inlineStr">
        <is>
          <t>ITG</t>
        </is>
      </c>
      <c r="B1528" s="30" t="inlineStr">
        <is>
          <t>Itaguai</t>
        </is>
      </c>
      <c r="C1528" s="30" t="n">
        <v>86525712</v>
      </c>
      <c r="D1528" s="30">
        <f>"18872079000106"</f>
        <v/>
      </c>
      <c r="E1528" s="30" t="inlineStr">
        <is>
          <t>MERCADO DOS ANJOS LTDA</t>
        </is>
      </c>
      <c r="F1528" s="40" t="n">
        <v>5480687.1</v>
      </c>
      <c r="G1528" s="40" t="n">
        <v>5345873</v>
      </c>
      <c r="H1528" s="40" t="n">
        <v>5413024.42</v>
      </c>
      <c r="I1528" s="40" t="n">
        <v>6489233.24</v>
      </c>
      <c r="J1528" s="40" t="n">
        <v>4964110.11</v>
      </c>
      <c r="K1528" s="40" t="n">
        <v>4947008.76</v>
      </c>
      <c r="L1528" s="40" t="n">
        <v>0</v>
      </c>
    </row>
    <row r="1529" ht="12" customHeight="1">
      <c r="A1529" s="30" t="inlineStr">
        <is>
          <t>ITG</t>
        </is>
      </c>
      <c r="B1529" s="30" t="inlineStr">
        <is>
          <t>Itaguai</t>
        </is>
      </c>
      <c r="C1529" s="30" t="n">
        <v>86532522</v>
      </c>
      <c r="D1529" s="30">
        <f>"11304945000385"</f>
        <v/>
      </c>
      <c r="E1529" s="30" t="inlineStr">
        <is>
          <t>MERCADO SAO FERNANDO 10 LTDA ME</t>
        </is>
      </c>
      <c r="F1529" s="40" t="n">
        <v>3974550.01</v>
      </c>
      <c r="G1529" s="40" t="n">
        <v>64513.87</v>
      </c>
      <c r="H1529" s="40" t="n">
        <v>4210092.82</v>
      </c>
      <c r="I1529" s="40" t="n">
        <v>5976843.46</v>
      </c>
      <c r="J1529" s="40" t="n">
        <v>6774365.22</v>
      </c>
      <c r="K1529" s="40" t="n">
        <v>7019364.02</v>
      </c>
      <c r="L1529" s="40" t="n">
        <v>8808096.57</v>
      </c>
    </row>
    <row r="1530" ht="12" customHeight="1">
      <c r="A1530" s="30" t="inlineStr">
        <is>
          <t>ITG</t>
        </is>
      </c>
      <c r="B1530" s="30" t="inlineStr">
        <is>
          <t>Itaguai</t>
        </is>
      </c>
      <c r="C1530" s="30" t="n">
        <v>86535122</v>
      </c>
      <c r="D1530" s="30">
        <f>"38488987000299"</f>
        <v/>
      </c>
      <c r="E1530" s="30" t="inlineStr">
        <is>
          <t>MG - MINAS GERAIS LOCAÇOES  E SERVIÇOS LTDA</t>
        </is>
      </c>
      <c r="F1530" s="40" t="n">
        <v>0</v>
      </c>
      <c r="G1530" s="40" t="n">
        <v>0</v>
      </c>
      <c r="H1530" s="40" t="n">
        <v>0</v>
      </c>
      <c r="I1530" s="40" t="n">
        <v>0</v>
      </c>
      <c r="J1530" s="40" t="n">
        <v>0</v>
      </c>
      <c r="K1530" s="40" t="n">
        <v>0</v>
      </c>
      <c r="L1530" s="40" t="n">
        <v>0</v>
      </c>
    </row>
    <row r="1531" ht="12" customHeight="1">
      <c r="A1531" s="30" t="inlineStr">
        <is>
          <t>ITG</t>
        </is>
      </c>
      <c r="B1531" s="30" t="inlineStr">
        <is>
          <t>Itaguai</t>
        </is>
      </c>
      <c r="C1531" s="30" t="n">
        <v>86535351</v>
      </c>
      <c r="D1531" s="30">
        <f>"18903804000166"</f>
        <v/>
      </c>
      <c r="E1531" s="30" t="inlineStr">
        <is>
          <t>JAVA APOIO ADMINISTRATIVO EIRELI</t>
        </is>
      </c>
      <c r="F1531" s="40" t="n">
        <v>0</v>
      </c>
      <c r="G1531" s="40" t="n">
        <v>0</v>
      </c>
      <c r="H1531" s="40" t="n">
        <v>0</v>
      </c>
      <c r="I1531" s="40" t="n">
        <v>0</v>
      </c>
      <c r="J1531" s="40" t="n">
        <v>0</v>
      </c>
      <c r="K1531" s="40" t="n">
        <v>0</v>
      </c>
      <c r="L1531" s="40" t="n">
        <v>0</v>
      </c>
    </row>
    <row r="1532" ht="12" customHeight="1">
      <c r="A1532" s="30" t="inlineStr">
        <is>
          <t>ITG</t>
        </is>
      </c>
      <c r="B1532" s="30" t="inlineStr">
        <is>
          <t>Itaguai</t>
        </is>
      </c>
      <c r="C1532" s="30" t="n">
        <v>86541777</v>
      </c>
      <c r="D1532" s="30">
        <f>"13247991000234"</f>
        <v/>
      </c>
      <c r="E1532" s="30" t="inlineStr">
        <is>
          <t>KETLOG TRANSPORTE DE CARGAS LTDA</t>
        </is>
      </c>
      <c r="F1532" s="40" t="n">
        <v>15503921.9</v>
      </c>
      <c r="G1532" s="40" t="n">
        <v>4659842.9</v>
      </c>
      <c r="H1532" s="40" t="n">
        <v>3348023.91</v>
      </c>
      <c r="I1532" s="40" t="n">
        <v>2132141.08</v>
      </c>
      <c r="J1532" s="40" t="n">
        <v>2597175.52</v>
      </c>
      <c r="K1532" s="40" t="n">
        <v>1745679.24</v>
      </c>
      <c r="L1532" s="40" t="n">
        <v>1685056.89</v>
      </c>
    </row>
    <row r="1533" ht="12" customHeight="1">
      <c r="A1533" s="30" t="inlineStr">
        <is>
          <t>ITG</t>
        </is>
      </c>
      <c r="B1533" s="30" t="inlineStr">
        <is>
          <t>Itaguai</t>
        </is>
      </c>
      <c r="C1533" s="30" t="n">
        <v>86542072</v>
      </c>
      <c r="D1533" s="30">
        <f>"08062253000444"</f>
        <v/>
      </c>
      <c r="E1533" s="30" t="inlineStr">
        <is>
          <t>CAMBRIDGE TELECOMUNICACOES LTDA</t>
        </is>
      </c>
      <c r="F1533" s="40" t="n">
        <v>74704.39</v>
      </c>
      <c r="G1533" s="40" t="n">
        <v>4952.66</v>
      </c>
      <c r="H1533" s="40" t="n">
        <v>2456.31</v>
      </c>
      <c r="I1533" s="40" t="n">
        <v>0</v>
      </c>
      <c r="J1533" s="40" t="n">
        <v>0</v>
      </c>
      <c r="K1533" s="40" t="n">
        <v>0</v>
      </c>
      <c r="L1533" s="40" t="n">
        <v>0</v>
      </c>
    </row>
    <row r="1534" ht="12" customHeight="1">
      <c r="A1534" s="30" t="inlineStr">
        <is>
          <t>ITG</t>
        </is>
      </c>
      <c r="B1534" s="30" t="inlineStr">
        <is>
          <t>Itaguai</t>
        </is>
      </c>
      <c r="C1534" s="30" t="n">
        <v>86566877</v>
      </c>
      <c r="D1534" s="30">
        <f>"19223780000167"</f>
        <v/>
      </c>
      <c r="E1534" s="30" t="inlineStr">
        <is>
          <t>LLF MATHIAS VIAS DE TRANSPORTES RODOVI?RIOS EIRELI</t>
        </is>
      </c>
      <c r="F1534" s="40" t="n">
        <v>650.03</v>
      </c>
      <c r="G1534" s="40" t="n">
        <v>222.24</v>
      </c>
      <c r="H1534" s="40" t="n">
        <v>507.67</v>
      </c>
      <c r="I1534" s="40" t="n">
        <v>0</v>
      </c>
      <c r="J1534" s="40" t="n">
        <v>0</v>
      </c>
      <c r="K1534" s="40" t="n">
        <v>0</v>
      </c>
      <c r="L1534" s="40" t="n">
        <v>0</v>
      </c>
    </row>
    <row r="1535" ht="12" customHeight="1">
      <c r="A1535" s="30" t="inlineStr">
        <is>
          <t>ITG</t>
        </is>
      </c>
      <c r="B1535" s="30" t="inlineStr">
        <is>
          <t>Itaguai</t>
        </is>
      </c>
      <c r="C1535" s="30" t="n">
        <v>86570734</v>
      </c>
      <c r="D1535" s="30">
        <f>"96178405000860"</f>
        <v/>
      </c>
      <c r="E1535" s="30" t="inlineStr">
        <is>
          <t>SANKYU LOGISTICS DESPACHOS ADUANEIROS LTDA</t>
        </is>
      </c>
      <c r="F1535" s="40" t="n">
        <v>1176637.42</v>
      </c>
      <c r="G1535" s="40" t="n">
        <v>1131215.66</v>
      </c>
      <c r="H1535" s="40" t="n">
        <v>922672.86</v>
      </c>
      <c r="I1535" s="40" t="n">
        <v>460000.7</v>
      </c>
      <c r="J1535" s="40" t="n">
        <v>0</v>
      </c>
      <c r="K1535" s="40" t="n">
        <v>0</v>
      </c>
      <c r="L1535" s="40" t="n">
        <v>0</v>
      </c>
    </row>
    <row r="1536" ht="12" customHeight="1">
      <c r="A1536" s="30" t="inlineStr">
        <is>
          <t>ITG</t>
        </is>
      </c>
      <c r="B1536" s="30" t="inlineStr">
        <is>
          <t>Itaguai</t>
        </is>
      </c>
      <c r="C1536" s="30" t="n">
        <v>86572761</v>
      </c>
      <c r="D1536" s="30">
        <f>"18828620000189"</f>
        <v/>
      </c>
      <c r="E1536" s="30" t="inlineStr">
        <is>
          <t>DRI CAR COMERCIO DE AUTOMOVEIS EIRELI</t>
        </is>
      </c>
      <c r="F1536" s="40" t="n">
        <v>0</v>
      </c>
      <c r="G1536" s="40" t="n">
        <v>0</v>
      </c>
      <c r="H1536" s="40" t="n">
        <v>0</v>
      </c>
      <c r="I1536" s="40" t="n">
        <v>0</v>
      </c>
      <c r="J1536" s="40" t="n">
        <v>0</v>
      </c>
      <c r="K1536" s="40" t="n">
        <v>0</v>
      </c>
      <c r="L1536" s="40" t="n">
        <v>0</v>
      </c>
    </row>
    <row r="1537" ht="12" customHeight="1">
      <c r="A1537" s="30" t="inlineStr">
        <is>
          <t>ITG</t>
        </is>
      </c>
      <c r="B1537" s="30" t="inlineStr">
        <is>
          <t>Itaguai</t>
        </is>
      </c>
      <c r="C1537" s="30" t="n">
        <v>86581531</v>
      </c>
      <c r="D1537" s="30">
        <f>"33438250046825"</f>
        <v/>
      </c>
      <c r="E1537" s="30" t="inlineStr">
        <is>
          <t>DROGARIAS PACHECO S/A</t>
        </is>
      </c>
      <c r="F1537" s="40" t="n">
        <v>1853534.6</v>
      </c>
      <c r="G1537" s="40" t="n">
        <v>1794060.09</v>
      </c>
      <c r="H1537" s="40" t="n">
        <v>2191251.21</v>
      </c>
      <c r="I1537" s="40" t="n">
        <v>3018213.38</v>
      </c>
      <c r="J1537" s="40" t="n">
        <v>1872595.35</v>
      </c>
      <c r="K1537" s="40" t="n">
        <v>4329816.1</v>
      </c>
      <c r="L1537" s="40" t="n">
        <v>2534791.63</v>
      </c>
    </row>
    <row r="1538" ht="12" customHeight="1">
      <c r="A1538" s="30" t="inlineStr">
        <is>
          <t>ITG</t>
        </is>
      </c>
      <c r="B1538" s="30" t="inlineStr">
        <is>
          <t>Itaguai</t>
        </is>
      </c>
      <c r="C1538" s="30" t="n">
        <v>86595125</v>
      </c>
      <c r="D1538" s="30">
        <f>"19321657000189"</f>
        <v/>
      </c>
      <c r="E1538" s="30" t="inlineStr">
        <is>
          <t>BETUN CONSTRUÇÕES E MANUTENÇÃO INDUSTRIAL LTDA</t>
        </is>
      </c>
      <c r="F1538" s="40" t="n">
        <v>0</v>
      </c>
      <c r="G1538" s="40" t="n">
        <v>0</v>
      </c>
      <c r="H1538" s="40" t="n">
        <v>0</v>
      </c>
      <c r="I1538" s="40" t="n">
        <v>0</v>
      </c>
      <c r="J1538" s="40" t="n">
        <v>0</v>
      </c>
      <c r="K1538" s="40" t="n">
        <v>0</v>
      </c>
      <c r="L1538" s="40" t="n">
        <v>0</v>
      </c>
    </row>
    <row r="1539" ht="12" customHeight="1">
      <c r="A1539" s="30" t="inlineStr">
        <is>
          <t>ITG</t>
        </is>
      </c>
      <c r="B1539" s="30" t="inlineStr">
        <is>
          <t>Itaguai</t>
        </is>
      </c>
      <c r="C1539" s="30" t="n">
        <v>86614707</v>
      </c>
      <c r="D1539" s="30">
        <f>"17814074000407"</f>
        <v/>
      </c>
      <c r="E1539" s="30" t="inlineStr">
        <is>
          <t>NORTES TRANSPORTE E COMERCIO E SERVICOS LTDA</t>
        </is>
      </c>
      <c r="F1539" s="40" t="n">
        <v>91.84</v>
      </c>
      <c r="G1539" s="40" t="n">
        <v>0</v>
      </c>
      <c r="H1539" s="40" t="n">
        <v>0</v>
      </c>
      <c r="I1539" s="40" t="n">
        <v>0</v>
      </c>
      <c r="J1539" s="40" t="n">
        <v>0</v>
      </c>
      <c r="K1539" s="40" t="n">
        <v>0</v>
      </c>
      <c r="L1539" s="40" t="n">
        <v>0</v>
      </c>
    </row>
    <row r="1540" ht="12" customHeight="1">
      <c r="A1540" s="30" t="inlineStr">
        <is>
          <t>ITG</t>
        </is>
      </c>
      <c r="B1540" s="30" t="inlineStr">
        <is>
          <t>Itaguai</t>
        </is>
      </c>
      <c r="C1540" s="30" t="n">
        <v>86617536</v>
      </c>
      <c r="D1540" s="30">
        <f>"03831403001142"</f>
        <v/>
      </c>
      <c r="E1540" s="30" t="inlineStr">
        <is>
          <t>TRANSMARONI TRANSPORTES BRASIL RODOVIARIOS LTDA</t>
        </is>
      </c>
      <c r="F1540" s="40" t="n">
        <v>170.96</v>
      </c>
      <c r="G1540" s="40" t="n">
        <v>0</v>
      </c>
      <c r="H1540" s="40" t="n">
        <v>0</v>
      </c>
      <c r="I1540" s="40" t="n">
        <v>0</v>
      </c>
      <c r="J1540" s="40" t="n">
        <v>0</v>
      </c>
      <c r="K1540" s="40" t="n">
        <v>0</v>
      </c>
      <c r="L1540" s="40" t="n">
        <v>0</v>
      </c>
    </row>
    <row r="1541" ht="12" customHeight="1">
      <c r="A1541" s="30" t="inlineStr">
        <is>
          <t>ITG</t>
        </is>
      </c>
      <c r="B1541" s="30" t="inlineStr">
        <is>
          <t>Itaguai</t>
        </is>
      </c>
      <c r="C1541" s="30" t="n">
        <v>86624206</v>
      </c>
      <c r="D1541" s="30">
        <f>"19576725000150"</f>
        <v/>
      </c>
      <c r="E1541" s="30" t="inlineStr">
        <is>
          <t>J L INSTITUTO DE LINGUAS LTDA - ME</t>
        </is>
      </c>
      <c r="F1541" s="40" t="n">
        <v>0</v>
      </c>
      <c r="G1541" s="40" t="n">
        <v>0</v>
      </c>
      <c r="H1541" s="40" t="n">
        <v>0</v>
      </c>
      <c r="I1541" s="40" t="n">
        <v>0</v>
      </c>
      <c r="J1541" s="40" t="n">
        <v>0</v>
      </c>
      <c r="K1541" s="40" t="n">
        <v>0</v>
      </c>
      <c r="L1541" s="40" t="n">
        <v>0</v>
      </c>
    </row>
    <row r="1542" ht="12" customHeight="1">
      <c r="A1542" s="30" t="inlineStr">
        <is>
          <t>ITG</t>
        </is>
      </c>
      <c r="B1542" s="30" t="inlineStr">
        <is>
          <t>Itaguai</t>
        </is>
      </c>
      <c r="C1542" s="30" t="n">
        <v>86625520</v>
      </c>
      <c r="D1542" s="30">
        <f>"19422577000110"</f>
        <v/>
      </c>
      <c r="E1542" s="30" t="inlineStr">
        <is>
          <t>MB ROVERE TRANSPORTES, COMERCIO E SERVIÇOS LTDA</t>
        </is>
      </c>
      <c r="F1542" s="40" t="n">
        <v>0</v>
      </c>
      <c r="G1542" s="40" t="n">
        <v>0</v>
      </c>
      <c r="H1542" s="40" t="n">
        <v>0</v>
      </c>
      <c r="I1542" s="40" t="n">
        <v>0</v>
      </c>
      <c r="J1542" s="40" t="n">
        <v>0</v>
      </c>
      <c r="K1542" s="40" t="n">
        <v>0</v>
      </c>
      <c r="L1542" s="40" t="n">
        <v>0</v>
      </c>
    </row>
    <row r="1543" ht="12" customHeight="1">
      <c r="A1543" s="30" t="inlineStr">
        <is>
          <t>ITG</t>
        </is>
      </c>
      <c r="B1543" s="30" t="inlineStr">
        <is>
          <t>Itaguai</t>
        </is>
      </c>
      <c r="C1543" s="30" t="n">
        <v>86628422</v>
      </c>
      <c r="D1543" s="30">
        <f>"11302511000265"</f>
        <v/>
      </c>
      <c r="E1543" s="30" t="inlineStr">
        <is>
          <t>BRASIL - TRANSPORTADORA E SERVICOS DE CONSTRUCAO LTDA ME</t>
        </is>
      </c>
      <c r="F1543" s="40" t="n">
        <v>0</v>
      </c>
      <c r="G1543" s="40" t="n">
        <v>0</v>
      </c>
      <c r="H1543" s="40" t="n">
        <v>0</v>
      </c>
      <c r="I1543" s="40" t="n">
        <v>0</v>
      </c>
      <c r="J1543" s="40" t="n">
        <v>0</v>
      </c>
      <c r="K1543" s="40" t="n">
        <v>0</v>
      </c>
      <c r="L1543" s="40" t="n">
        <v>0</v>
      </c>
    </row>
    <row r="1544" ht="12" customHeight="1">
      <c r="A1544" s="30" t="inlineStr">
        <is>
          <t>ITG</t>
        </is>
      </c>
      <c r="B1544" s="30" t="inlineStr">
        <is>
          <t>Itaguai</t>
        </is>
      </c>
      <c r="C1544" s="30" t="n">
        <v>86641488</v>
      </c>
      <c r="D1544" s="30">
        <f>"19788547000121"</f>
        <v/>
      </c>
      <c r="E1544" s="30" t="inlineStr">
        <is>
          <t>VIANA FIRE INSTALACOES COMERCIO E SERVICOS EIRELI</t>
        </is>
      </c>
      <c r="F1544" s="40" t="n">
        <v>0</v>
      </c>
      <c r="G1544" s="40" t="n">
        <v>0</v>
      </c>
      <c r="H1544" s="40" t="n">
        <v>0</v>
      </c>
      <c r="I1544" s="40" t="n">
        <v>0</v>
      </c>
      <c r="J1544" s="40" t="n">
        <v>0</v>
      </c>
      <c r="K1544" s="40" t="n">
        <v>0</v>
      </c>
      <c r="L1544" s="40" t="n">
        <v>0</v>
      </c>
    </row>
    <row r="1545" ht="12" customHeight="1">
      <c r="A1545" s="30" t="inlineStr">
        <is>
          <t>ITG</t>
        </is>
      </c>
      <c r="B1545" s="30" t="inlineStr">
        <is>
          <t>Itaguai</t>
        </is>
      </c>
      <c r="C1545" s="30" t="n">
        <v>86659069</v>
      </c>
      <c r="D1545" s="30">
        <f>"06235812000607"</f>
        <v/>
      </c>
      <c r="E1545" s="30" t="inlineStr">
        <is>
          <t>CESLOG - CESARI LOGISTICA LTDA</t>
        </is>
      </c>
      <c r="F1545" s="40" t="n">
        <v>45277.87</v>
      </c>
      <c r="G1545" s="40" t="n">
        <v>62763.38</v>
      </c>
      <c r="H1545" s="40" t="n">
        <v>56880.4</v>
      </c>
      <c r="I1545" s="40" t="n">
        <v>21359.29</v>
      </c>
      <c r="J1545" s="40" t="n">
        <v>3719.49</v>
      </c>
      <c r="K1545" s="40" t="n">
        <v>0</v>
      </c>
      <c r="L1545" s="40" t="n">
        <v>0</v>
      </c>
    </row>
    <row r="1546" ht="12" customHeight="1">
      <c r="A1546" s="30" t="inlineStr">
        <is>
          <t>ITG</t>
        </is>
      </c>
      <c r="B1546" s="30" t="inlineStr">
        <is>
          <t>Itaguai</t>
        </is>
      </c>
      <c r="C1546" s="30" t="n">
        <v>86660121</v>
      </c>
      <c r="D1546" s="30">
        <f>"19964194000173"</f>
        <v/>
      </c>
      <c r="E1546" s="30" t="inlineStr">
        <is>
          <t>COMERCIO DE CARNES E DERIVADOS JCA EIRELI</t>
        </is>
      </c>
      <c r="F1546" s="40" t="n">
        <v>1948243.99</v>
      </c>
      <c r="G1546" s="40" t="n">
        <v>0</v>
      </c>
      <c r="H1546" s="40" t="n">
        <v>0</v>
      </c>
      <c r="I1546" s="40" t="n">
        <v>0</v>
      </c>
      <c r="J1546" s="40" t="n">
        <v>0</v>
      </c>
      <c r="K1546" s="40" t="n">
        <v>0</v>
      </c>
      <c r="L1546" s="40" t="n">
        <v>0</v>
      </c>
    </row>
    <row r="1547" ht="12" customHeight="1">
      <c r="A1547" s="30" t="inlineStr">
        <is>
          <t>ITG</t>
        </is>
      </c>
      <c r="B1547" s="30" t="inlineStr">
        <is>
          <t>Itaguai</t>
        </is>
      </c>
      <c r="C1547" s="30" t="n">
        <v>86665913</v>
      </c>
      <c r="D1547" s="30">
        <f>"19727878000313"</f>
        <v/>
      </c>
      <c r="E1547" s="30" t="inlineStr">
        <is>
          <t>TOPCARGAS LOGISTICA E TRANSPORTE RODOVIARIO LTDA</t>
        </is>
      </c>
      <c r="F1547" s="40" t="n">
        <v>0</v>
      </c>
      <c r="G1547" s="40" t="n">
        <v>0</v>
      </c>
      <c r="H1547" s="40" t="n">
        <v>312.1</v>
      </c>
      <c r="I1547" s="40" t="n">
        <v>0</v>
      </c>
      <c r="J1547" s="40" t="n">
        <v>0</v>
      </c>
      <c r="K1547" s="40" t="n">
        <v>0</v>
      </c>
      <c r="L1547" s="40" t="n">
        <v>0</v>
      </c>
    </row>
    <row r="1548" ht="12" customHeight="1">
      <c r="A1548" s="30" t="inlineStr">
        <is>
          <t>ITG</t>
        </is>
      </c>
      <c r="B1548" s="30" t="inlineStr">
        <is>
          <t>Itaguai</t>
        </is>
      </c>
      <c r="C1548" s="30" t="n">
        <v>86670038</v>
      </c>
      <c r="D1548" s="30">
        <f>"20063065000193"</f>
        <v/>
      </c>
      <c r="E1548" s="30" t="inlineStr">
        <is>
          <t>D &amp; J PRADO SERVICOS DE TRANSPORTES LTDA ME</t>
        </is>
      </c>
      <c r="F1548" s="40" t="n">
        <v>0</v>
      </c>
      <c r="G1548" s="40" t="n">
        <v>0</v>
      </c>
      <c r="H1548" s="40" t="n">
        <v>3180</v>
      </c>
      <c r="I1548" s="40" t="n">
        <v>0</v>
      </c>
      <c r="J1548" s="40" t="n">
        <v>0</v>
      </c>
      <c r="K1548" s="40" t="n">
        <v>0</v>
      </c>
      <c r="L1548" s="40" t="n">
        <v>0</v>
      </c>
    </row>
    <row r="1549" ht="12" customHeight="1">
      <c r="A1549" s="30" t="inlineStr">
        <is>
          <t>ITG</t>
        </is>
      </c>
      <c r="B1549" s="30" t="inlineStr">
        <is>
          <t>Itaguai</t>
        </is>
      </c>
      <c r="C1549" s="30" t="n">
        <v>86678020</v>
      </c>
      <c r="D1549" s="30">
        <f>"02743895000694"</f>
        <v/>
      </c>
      <c r="E1549" s="30" t="inlineStr">
        <is>
          <t>WEST AIR CARGO LTDA</t>
        </is>
      </c>
      <c r="F1549" s="40" t="n">
        <v>0</v>
      </c>
      <c r="G1549" s="40" t="n">
        <v>0</v>
      </c>
      <c r="H1549" s="40" t="n">
        <v>0</v>
      </c>
      <c r="I1549" s="40" t="n">
        <v>0</v>
      </c>
      <c r="J1549" s="40" t="n">
        <v>0</v>
      </c>
      <c r="K1549" s="40" t="n">
        <v>10758.03</v>
      </c>
      <c r="L1549" s="40" t="n">
        <v>0</v>
      </c>
    </row>
    <row r="1550" ht="12" customHeight="1">
      <c r="A1550" s="30" t="inlineStr">
        <is>
          <t>ITG</t>
        </is>
      </c>
      <c r="B1550" s="30" t="inlineStr">
        <is>
          <t>Itaguai</t>
        </is>
      </c>
      <c r="C1550" s="30" t="n">
        <v>86679787</v>
      </c>
      <c r="D1550" s="30">
        <f>"20164910000117"</f>
        <v/>
      </c>
      <c r="E1550" s="30" t="inlineStr">
        <is>
          <t>VISTA ALEGRE COMERCIO DE GAS LTDA ME</t>
        </is>
      </c>
      <c r="F1550" s="40" t="n">
        <v>271411.67</v>
      </c>
      <c r="G1550" s="40" t="n">
        <v>0</v>
      </c>
      <c r="H1550" s="40" t="n">
        <v>0</v>
      </c>
      <c r="I1550" s="40" t="n">
        <v>0</v>
      </c>
      <c r="J1550" s="40" t="n">
        <v>20</v>
      </c>
      <c r="K1550" s="40" t="n">
        <v>0</v>
      </c>
      <c r="L1550" s="40" t="n">
        <v>0</v>
      </c>
    </row>
    <row r="1551" ht="12" customHeight="1">
      <c r="A1551" s="30" t="inlineStr">
        <is>
          <t>ITG</t>
        </is>
      </c>
      <c r="B1551" s="30" t="inlineStr">
        <is>
          <t>Itaguai</t>
        </is>
      </c>
      <c r="C1551" s="30" t="n">
        <v>86680270</v>
      </c>
      <c r="D1551" s="30">
        <f>"15334893000260"</f>
        <v/>
      </c>
      <c r="E1551" s="30" t="inlineStr">
        <is>
          <t>SERRA BRASIL TRANSPORTES LTDA</t>
        </is>
      </c>
      <c r="F1551" s="40" t="n">
        <v>0</v>
      </c>
      <c r="G1551" s="40" t="n">
        <v>0</v>
      </c>
      <c r="H1551" s="40" t="n">
        <v>0</v>
      </c>
      <c r="I1551" s="40" t="n">
        <v>2077.31</v>
      </c>
      <c r="J1551" s="40" t="n">
        <v>2458.66</v>
      </c>
      <c r="K1551" s="40" t="n">
        <v>754.6</v>
      </c>
      <c r="L1551" s="40" t="n">
        <v>0</v>
      </c>
    </row>
    <row r="1552" ht="12" customHeight="1">
      <c r="A1552" s="30" t="inlineStr">
        <is>
          <t>ITG</t>
        </is>
      </c>
      <c r="B1552" s="30" t="inlineStr">
        <is>
          <t>Itaguai</t>
        </is>
      </c>
      <c r="C1552" s="30" t="n">
        <v>86682060</v>
      </c>
      <c r="D1552" s="30">
        <f>"07956015000339"</f>
        <v/>
      </c>
      <c r="E1552" s="30" t="inlineStr">
        <is>
          <t>MARLOG BRASIL LOGISTICA E ARMAZENAGEM LTDA</t>
        </is>
      </c>
      <c r="F1552" s="40" t="n">
        <v>0</v>
      </c>
      <c r="G1552" s="40" t="n">
        <v>0</v>
      </c>
      <c r="H1552" s="40" t="n">
        <v>0</v>
      </c>
      <c r="I1552" s="40" t="n">
        <v>0</v>
      </c>
      <c r="J1552" s="40" t="n">
        <v>96067.36</v>
      </c>
      <c r="K1552" s="40" t="n">
        <v>159835.26</v>
      </c>
      <c r="L1552" s="40" t="n">
        <v>0</v>
      </c>
    </row>
    <row r="1553" ht="12" customHeight="1">
      <c r="A1553" s="30" t="inlineStr">
        <is>
          <t>ITG</t>
        </is>
      </c>
      <c r="B1553" s="30" t="inlineStr">
        <is>
          <t>Itaguai</t>
        </is>
      </c>
      <c r="C1553" s="30" t="n">
        <v>86682320</v>
      </c>
      <c r="D1553" s="30">
        <f>"20165373000120"</f>
        <v/>
      </c>
      <c r="E1553" s="30" t="inlineStr">
        <is>
          <t>COSTA MATA ENTREPOSTO DE PESCADOS LTDA EPP</t>
        </is>
      </c>
      <c r="F1553" s="40" t="n">
        <v>0</v>
      </c>
      <c r="G1553" s="40" t="n">
        <v>0</v>
      </c>
      <c r="H1553" s="40" t="n">
        <v>128877.7</v>
      </c>
      <c r="I1553" s="40" t="n">
        <v>0</v>
      </c>
      <c r="J1553" s="40" t="n">
        <v>0</v>
      </c>
      <c r="K1553" s="40" t="n">
        <v>0</v>
      </c>
      <c r="L1553" s="40" t="n">
        <v>0</v>
      </c>
    </row>
    <row r="1554" ht="12" customHeight="1">
      <c r="A1554" s="30" t="inlineStr">
        <is>
          <t>ITG</t>
        </is>
      </c>
      <c r="B1554" s="30" t="inlineStr">
        <is>
          <t>Itaguai</t>
        </is>
      </c>
      <c r="C1554" s="30" t="n">
        <v>86686783</v>
      </c>
      <c r="D1554" s="30">
        <f>"19275618000516"</f>
        <v/>
      </c>
      <c r="E1554" s="30" t="inlineStr">
        <is>
          <t>INOVA LOGISTICA INTEGRADA LTDA</t>
        </is>
      </c>
      <c r="F1554" s="40" t="n">
        <v>0</v>
      </c>
      <c r="G1554" s="40" t="n">
        <v>0</v>
      </c>
      <c r="H1554" s="40" t="n">
        <v>0</v>
      </c>
      <c r="I1554" s="40" t="n">
        <v>0</v>
      </c>
      <c r="J1554" s="40" t="n">
        <v>2.17</v>
      </c>
      <c r="K1554" s="40" t="n">
        <v>2.49</v>
      </c>
      <c r="L1554" s="40" t="n">
        <v>0</v>
      </c>
    </row>
    <row r="1555" ht="12" customHeight="1">
      <c r="A1555" s="30" t="inlineStr">
        <is>
          <t>ITG</t>
        </is>
      </c>
      <c r="B1555" s="30" t="inlineStr">
        <is>
          <t>Itaguai</t>
        </is>
      </c>
      <c r="C1555" s="30" t="n">
        <v>86690900</v>
      </c>
      <c r="D1555" s="30">
        <f>"19972414000100"</f>
        <v/>
      </c>
      <c r="E1555" s="30" t="inlineStr">
        <is>
          <t>M O CORREA LOPES RECICLAGEM E SERVICOS ME</t>
        </is>
      </c>
      <c r="F1555" s="40" t="n">
        <v>0</v>
      </c>
      <c r="G1555" s="40" t="n">
        <v>0</v>
      </c>
      <c r="H1555" s="40" t="n">
        <v>0</v>
      </c>
      <c r="I1555" s="40" t="n">
        <v>0</v>
      </c>
      <c r="J1555" s="40" t="n">
        <v>0</v>
      </c>
      <c r="K1555" s="40" t="n">
        <v>0</v>
      </c>
      <c r="L1555" s="40" t="n">
        <v>2216476.98</v>
      </c>
    </row>
    <row r="1556" ht="12" customHeight="1">
      <c r="A1556" s="30" t="inlineStr">
        <is>
          <t>ITG</t>
        </is>
      </c>
      <c r="B1556" s="30" t="inlineStr">
        <is>
          <t>Itaguai</t>
        </is>
      </c>
      <c r="C1556" s="30" t="n">
        <v>86691280</v>
      </c>
      <c r="D1556" s="30">
        <f>"04822971000178"</f>
        <v/>
      </c>
      <c r="E1556" s="30" t="inlineStr">
        <is>
          <t>RIO MAR LTDA EPP</t>
        </is>
      </c>
      <c r="F1556" s="40" t="n">
        <v>0</v>
      </c>
      <c r="G1556" s="40" t="n">
        <v>0</v>
      </c>
      <c r="H1556" s="40" t="n">
        <v>0</v>
      </c>
      <c r="I1556" s="40" t="n">
        <v>0</v>
      </c>
      <c r="J1556" s="40" t="n">
        <v>0</v>
      </c>
      <c r="K1556" s="40" t="n">
        <v>0</v>
      </c>
      <c r="L1556" s="40" t="n">
        <v>236422.4</v>
      </c>
    </row>
    <row r="1557" ht="12" customHeight="1">
      <c r="A1557" s="30" t="inlineStr">
        <is>
          <t>ITG</t>
        </is>
      </c>
      <c r="B1557" s="30" t="inlineStr">
        <is>
          <t>Itaguai</t>
        </is>
      </c>
      <c r="C1557" s="30" t="n">
        <v>86700174</v>
      </c>
      <c r="D1557" s="30">
        <f>"20251370000109"</f>
        <v/>
      </c>
      <c r="E1557" s="30" t="inlineStr">
        <is>
          <t>VIEIRA E MORAES TURISMO E TRANSPORTE LTDA</t>
        </is>
      </c>
      <c r="F1557" s="40" t="n">
        <v>250</v>
      </c>
      <c r="G1557" s="40" t="n">
        <v>0</v>
      </c>
      <c r="H1557" s="40" t="n">
        <v>0</v>
      </c>
      <c r="I1557" s="40" t="n">
        <v>0</v>
      </c>
      <c r="J1557" s="40" t="n">
        <v>0</v>
      </c>
      <c r="K1557" s="40" t="n">
        <v>0</v>
      </c>
      <c r="L1557" s="40" t="n">
        <v>0</v>
      </c>
    </row>
    <row r="1558" ht="12" customHeight="1">
      <c r="A1558" s="30" t="inlineStr">
        <is>
          <t>ITG</t>
        </is>
      </c>
      <c r="B1558" s="30" t="inlineStr">
        <is>
          <t>Itaguai</t>
        </is>
      </c>
      <c r="C1558" s="30" t="n">
        <v>86718774</v>
      </c>
      <c r="D1558" s="30">
        <f>"30689889000550"</f>
        <v/>
      </c>
      <c r="E1558" s="30" t="inlineStr">
        <is>
          <t>TRANSPORTES POLONI LTDA</t>
        </is>
      </c>
      <c r="F1558" s="40" t="n">
        <v>0</v>
      </c>
      <c r="G1558" s="40" t="n">
        <v>0</v>
      </c>
      <c r="H1558" s="40" t="n">
        <v>0</v>
      </c>
      <c r="I1558" s="40" t="n">
        <v>1700</v>
      </c>
      <c r="J1558" s="40" t="n">
        <v>0</v>
      </c>
      <c r="K1558" s="40" t="n">
        <v>0</v>
      </c>
      <c r="L1558" s="40" t="n">
        <v>0</v>
      </c>
    </row>
    <row r="1559" ht="12" customHeight="1">
      <c r="A1559" s="30" t="inlineStr">
        <is>
          <t>ITG</t>
        </is>
      </c>
      <c r="B1559" s="30" t="inlineStr">
        <is>
          <t>Itaguai</t>
        </is>
      </c>
      <c r="C1559" s="30" t="n">
        <v>86721031</v>
      </c>
      <c r="D1559" s="30">
        <f>"07017993000153"</f>
        <v/>
      </c>
      <c r="E1559" s="30" t="inlineStr">
        <is>
          <t>L C ANTONIO COMERCIO DE PNEUS E PECAS</t>
        </is>
      </c>
      <c r="F1559" s="40" t="n">
        <v>0</v>
      </c>
      <c r="G1559" s="40" t="n">
        <v>0</v>
      </c>
      <c r="H1559" s="40" t="n">
        <v>0</v>
      </c>
      <c r="I1559" s="40" t="n">
        <v>0</v>
      </c>
      <c r="J1559" s="40" t="n">
        <v>0</v>
      </c>
      <c r="K1559" s="40" t="n">
        <v>0</v>
      </c>
      <c r="L1559" s="40" t="n">
        <v>0</v>
      </c>
    </row>
    <row r="1560" ht="12" customHeight="1">
      <c r="A1560" s="30" t="inlineStr">
        <is>
          <t>ITG</t>
        </is>
      </c>
      <c r="B1560" s="30" t="inlineStr">
        <is>
          <t>Itaguai</t>
        </is>
      </c>
      <c r="C1560" s="30" t="n">
        <v>86721112</v>
      </c>
      <c r="D1560" s="30">
        <f>"20542207000103"</f>
        <v/>
      </c>
      <c r="E1560" s="30" t="inlineStr">
        <is>
          <t>MS SERVICOS DE APOIO MARITIMO E TURISMO EIRELI EPP</t>
        </is>
      </c>
      <c r="F1560" s="40" t="n">
        <v>0</v>
      </c>
      <c r="G1560" s="40" t="n">
        <v>0</v>
      </c>
      <c r="H1560" s="40" t="n">
        <v>0</v>
      </c>
      <c r="I1560" s="40" t="n">
        <v>0</v>
      </c>
      <c r="J1560" s="40" t="n">
        <v>0</v>
      </c>
      <c r="K1560" s="40" t="n">
        <v>0</v>
      </c>
      <c r="L1560" s="40" t="n">
        <v>0</v>
      </c>
    </row>
    <row r="1561" ht="12" customHeight="1">
      <c r="A1561" s="30" t="inlineStr">
        <is>
          <t>ITG</t>
        </is>
      </c>
      <c r="B1561" s="30" t="inlineStr">
        <is>
          <t>Itaguai</t>
        </is>
      </c>
      <c r="C1561" s="30" t="n">
        <v>86722887</v>
      </c>
      <c r="D1561" s="30">
        <f>"20511491000142"</f>
        <v/>
      </c>
      <c r="E1561" s="30" t="inlineStr">
        <is>
          <t>REMIL - RETIFICA DE MOTORES ITAGUAI LTDA</t>
        </is>
      </c>
      <c r="F1561" s="40" t="n">
        <v>0</v>
      </c>
      <c r="G1561" s="40" t="n">
        <v>0</v>
      </c>
      <c r="H1561" s="40" t="n">
        <v>0</v>
      </c>
      <c r="I1561" s="40" t="n">
        <v>0</v>
      </c>
      <c r="J1561" s="40" t="n">
        <v>0</v>
      </c>
      <c r="K1561" s="40" t="n">
        <v>0</v>
      </c>
      <c r="L1561" s="40" t="n">
        <v>0</v>
      </c>
    </row>
    <row r="1562" ht="12" customHeight="1">
      <c r="A1562" s="30" t="inlineStr">
        <is>
          <t>ITG</t>
        </is>
      </c>
      <c r="B1562" s="30" t="inlineStr">
        <is>
          <t>Itaguai</t>
        </is>
      </c>
      <c r="C1562" s="30" t="n">
        <v>86724081</v>
      </c>
      <c r="D1562" s="30">
        <f>"20412721000116"</f>
        <v/>
      </c>
      <c r="E1562" s="30" t="inlineStr">
        <is>
          <t>HTM LOCAÇÃO TRANSPORTE E LOGÍSTICA EIRELI</t>
        </is>
      </c>
      <c r="F1562" s="40" t="n">
        <v>0</v>
      </c>
      <c r="G1562" s="40" t="n">
        <v>0</v>
      </c>
      <c r="H1562" s="40" t="n">
        <v>0</v>
      </c>
      <c r="I1562" s="40" t="n">
        <v>0</v>
      </c>
      <c r="J1562" s="40" t="n">
        <v>0</v>
      </c>
      <c r="K1562" s="40" t="n">
        <v>1188.44</v>
      </c>
      <c r="L1562" s="40" t="n">
        <v>0</v>
      </c>
    </row>
    <row r="1563" ht="12" customHeight="1">
      <c r="A1563" s="30" t="inlineStr">
        <is>
          <t>ITG</t>
        </is>
      </c>
      <c r="B1563" s="30" t="inlineStr">
        <is>
          <t>Itaguai</t>
        </is>
      </c>
      <c r="C1563" s="30" t="n">
        <v>86725223</v>
      </c>
      <c r="D1563" s="30">
        <f>"09554862000130"</f>
        <v/>
      </c>
      <c r="E1563" s="30" t="inlineStr">
        <is>
          <t>ITAGUAI DESMONTE DE ROCHA LTDA</t>
        </is>
      </c>
      <c r="F1563" s="40" t="n">
        <v>0</v>
      </c>
      <c r="G1563" s="40" t="n">
        <v>0</v>
      </c>
      <c r="H1563" s="40" t="n">
        <v>0</v>
      </c>
      <c r="I1563" s="40" t="n">
        <v>0</v>
      </c>
      <c r="J1563" s="40" t="n">
        <v>0</v>
      </c>
      <c r="K1563" s="40" t="n">
        <v>0</v>
      </c>
      <c r="L1563" s="40" t="n">
        <v>0</v>
      </c>
    </row>
    <row r="1564" ht="12" customHeight="1">
      <c r="A1564" s="30" t="inlineStr">
        <is>
          <t>ITG</t>
        </is>
      </c>
      <c r="B1564" s="30" t="inlineStr">
        <is>
          <t>Itaguai</t>
        </is>
      </c>
      <c r="C1564" s="30" t="n">
        <v>86728915</v>
      </c>
      <c r="D1564" s="30">
        <f>"20632141000134"</f>
        <v/>
      </c>
      <c r="E1564" s="30" t="inlineStr">
        <is>
          <t>TRANSPORTADORA EXPRESSO ELOIM EIRELI ME</t>
        </is>
      </c>
      <c r="F1564" s="40" t="n">
        <v>0</v>
      </c>
      <c r="G1564" s="40" t="n">
        <v>0</v>
      </c>
      <c r="H1564" s="40" t="n">
        <v>0</v>
      </c>
      <c r="I1564" s="40" t="n">
        <v>0</v>
      </c>
      <c r="J1564" s="40" t="n">
        <v>0</v>
      </c>
      <c r="K1564" s="40" t="n">
        <v>0</v>
      </c>
      <c r="L1564" s="40" t="n">
        <v>350</v>
      </c>
    </row>
    <row r="1565" ht="12" customHeight="1">
      <c r="A1565" s="30" t="inlineStr">
        <is>
          <t>ITG</t>
        </is>
      </c>
      <c r="B1565" s="30" t="inlineStr">
        <is>
          <t>Itaguai</t>
        </is>
      </c>
      <c r="C1565" s="30" t="n">
        <v>86736314</v>
      </c>
      <c r="D1565" s="30">
        <f>"12200343000189"</f>
        <v/>
      </c>
      <c r="E1565" s="30" t="inlineStr">
        <is>
          <t>PC DE SOUSA RESTAURANTE - ME</t>
        </is>
      </c>
      <c r="F1565" s="40" t="n">
        <v>92835.3</v>
      </c>
      <c r="G1565" s="40" t="n">
        <v>0</v>
      </c>
      <c r="H1565" s="40" t="n">
        <v>0</v>
      </c>
      <c r="I1565" s="40" t="n">
        <v>0</v>
      </c>
      <c r="J1565" s="40" t="n">
        <v>0</v>
      </c>
      <c r="K1565" s="40" t="n">
        <v>0</v>
      </c>
      <c r="L1565" s="40" t="n">
        <v>0</v>
      </c>
    </row>
    <row r="1566" ht="12" customHeight="1">
      <c r="A1566" s="30" t="inlineStr">
        <is>
          <t>ITG</t>
        </is>
      </c>
      <c r="B1566" s="30" t="inlineStr">
        <is>
          <t>Itaguai</t>
        </is>
      </c>
      <c r="C1566" s="30" t="n">
        <v>86741407</v>
      </c>
      <c r="D1566" s="30">
        <f>"05053441005053"</f>
        <v/>
      </c>
      <c r="E1566" s="30" t="inlineStr">
        <is>
          <t>RASTRECALL REPRESENTACOES COMERCIAIS DE TELECOMUNICACOES LTDA</t>
        </is>
      </c>
      <c r="F1566" s="40" t="n">
        <v>648482.1</v>
      </c>
      <c r="G1566" s="40" t="n">
        <v>322426.73</v>
      </c>
      <c r="H1566" s="40" t="n">
        <v>423935.74</v>
      </c>
      <c r="I1566" s="40" t="n">
        <v>528527.38</v>
      </c>
      <c r="J1566" s="40" t="n">
        <v>159364.94</v>
      </c>
      <c r="K1566" s="40" t="n">
        <v>116690.36</v>
      </c>
      <c r="L1566" s="40" t="n">
        <v>0</v>
      </c>
    </row>
    <row r="1567" ht="12" customHeight="1">
      <c r="A1567" s="30" t="inlineStr">
        <is>
          <t>ITG</t>
        </is>
      </c>
      <c r="B1567" s="30" t="inlineStr">
        <is>
          <t>Itaguai</t>
        </is>
      </c>
      <c r="C1567" s="30" t="n">
        <v>86753375</v>
      </c>
      <c r="D1567" s="30">
        <f>"04933986000103"</f>
        <v/>
      </c>
      <c r="E1567" s="30" t="inlineStr">
        <is>
          <t>FREE ENERGY SERVICOS EIRELI</t>
        </is>
      </c>
      <c r="F1567" s="40" t="n">
        <v>0</v>
      </c>
      <c r="G1567" s="40" t="n">
        <v>0</v>
      </c>
      <c r="H1567" s="40" t="n">
        <v>0</v>
      </c>
      <c r="I1567" s="40" t="n">
        <v>0</v>
      </c>
      <c r="J1567" s="40" t="n">
        <v>0</v>
      </c>
      <c r="K1567" s="40" t="n">
        <v>0</v>
      </c>
      <c r="L1567" s="40" t="n">
        <v>0</v>
      </c>
    </row>
    <row r="1568" ht="12" customHeight="1">
      <c r="A1568" s="30" t="inlineStr">
        <is>
          <t>ITG</t>
        </is>
      </c>
      <c r="B1568" s="30" t="inlineStr">
        <is>
          <t>Itaguai</t>
        </is>
      </c>
      <c r="C1568" s="30" t="n">
        <v>86755823</v>
      </c>
      <c r="D1568" s="30">
        <f>"00193687000803"</f>
        <v/>
      </c>
      <c r="E1568" s="30" t="inlineStr">
        <is>
          <t>TROCA TRANSPORTES EIRELI</t>
        </is>
      </c>
      <c r="F1568" s="40" t="n">
        <v>536.8200000000001</v>
      </c>
      <c r="G1568" s="40" t="n">
        <v>265.6</v>
      </c>
      <c r="H1568" s="40" t="n">
        <v>944.2</v>
      </c>
      <c r="I1568" s="40" t="n">
        <v>0</v>
      </c>
      <c r="J1568" s="40" t="n">
        <v>0</v>
      </c>
      <c r="K1568" s="40" t="n">
        <v>1441.6</v>
      </c>
      <c r="L1568" s="40" t="n">
        <v>339.32</v>
      </c>
    </row>
    <row r="1569" ht="12" customHeight="1">
      <c r="A1569" s="30" t="inlineStr">
        <is>
          <t>ITG</t>
        </is>
      </c>
      <c r="B1569" s="30" t="inlineStr">
        <is>
          <t>Itaguai</t>
        </is>
      </c>
      <c r="C1569" s="30" t="n">
        <v>86777401</v>
      </c>
      <c r="D1569" s="30">
        <f>"04763393000227"</f>
        <v/>
      </c>
      <c r="E1569" s="30" t="inlineStr">
        <is>
          <t>ALLI LOGISTICA INTEGRADA LTDA</t>
        </is>
      </c>
      <c r="F1569" s="40" t="n">
        <v>0</v>
      </c>
      <c r="G1569" s="40" t="n">
        <v>0</v>
      </c>
      <c r="H1569" s="40" t="n">
        <v>0</v>
      </c>
      <c r="I1569" s="40" t="n">
        <v>0</v>
      </c>
      <c r="J1569" s="40" t="n">
        <v>0</v>
      </c>
      <c r="K1569" s="40" t="n">
        <v>0</v>
      </c>
      <c r="L1569" s="40" t="n">
        <v>0</v>
      </c>
    </row>
    <row r="1570" ht="12" customHeight="1">
      <c r="A1570" s="30" t="inlineStr">
        <is>
          <t>ITG</t>
        </is>
      </c>
      <c r="B1570" s="30" t="inlineStr">
        <is>
          <t>Itaguai</t>
        </is>
      </c>
      <c r="C1570" s="30" t="n">
        <v>86778238</v>
      </c>
      <c r="D1570" s="30">
        <f>"07452156001043"</f>
        <v/>
      </c>
      <c r="E1570" s="30" t="inlineStr">
        <is>
          <t>SALVADOR LOGISTICA E TRANSPORTES LTDA</t>
        </is>
      </c>
      <c r="F1570" s="40" t="n">
        <v>917594.7</v>
      </c>
      <c r="G1570" s="40" t="n">
        <v>709167.45</v>
      </c>
      <c r="H1570" s="40" t="n">
        <v>0</v>
      </c>
      <c r="I1570" s="40" t="n">
        <v>0</v>
      </c>
      <c r="J1570" s="40" t="n">
        <v>0</v>
      </c>
      <c r="K1570" s="40" t="n">
        <v>0</v>
      </c>
      <c r="L1570" s="40" t="n">
        <v>0</v>
      </c>
    </row>
    <row r="1571" ht="12" customHeight="1">
      <c r="A1571" s="30" t="inlineStr">
        <is>
          <t>ITG</t>
        </is>
      </c>
      <c r="B1571" s="30" t="inlineStr">
        <is>
          <t>Itaguai</t>
        </is>
      </c>
      <c r="C1571" s="30" t="n">
        <v>86779625</v>
      </c>
      <c r="D1571" s="30">
        <f>"21004121000181"</f>
        <v/>
      </c>
      <c r="E1571" s="30" t="inlineStr">
        <is>
          <t>A C R ALVES JUNIOR ARMARINHO E BAZAR-ME</t>
        </is>
      </c>
      <c r="F1571" s="40" t="n">
        <v>0</v>
      </c>
      <c r="G1571" s="40" t="n">
        <v>0</v>
      </c>
      <c r="H1571" s="40" t="n">
        <v>0</v>
      </c>
      <c r="I1571" s="40" t="n">
        <v>0</v>
      </c>
      <c r="J1571" s="40" t="n">
        <v>0</v>
      </c>
      <c r="K1571" s="40" t="n">
        <v>0</v>
      </c>
      <c r="L1571" s="40" t="n">
        <v>0</v>
      </c>
    </row>
    <row r="1572" ht="12" customHeight="1">
      <c r="A1572" s="30" t="inlineStr">
        <is>
          <t>ITG</t>
        </is>
      </c>
      <c r="B1572" s="30" t="inlineStr">
        <is>
          <t>Itaguai</t>
        </is>
      </c>
      <c r="C1572" s="30" t="n">
        <v>86780330</v>
      </c>
      <c r="D1572" s="30">
        <f>"21080792000121"</f>
        <v/>
      </c>
      <c r="E1572" s="30" t="inlineStr">
        <is>
          <t>W S JOANINI COMERCIO E SERVICOS NAUTICOS ME</t>
        </is>
      </c>
      <c r="F1572" s="40" t="n">
        <v>0</v>
      </c>
      <c r="G1572" s="40" t="n">
        <v>0</v>
      </c>
      <c r="H1572" s="40" t="n">
        <v>0</v>
      </c>
      <c r="I1572" s="40" t="n">
        <v>130200.54</v>
      </c>
      <c r="J1572" s="40" t="n">
        <v>0</v>
      </c>
      <c r="K1572" s="40" t="n">
        <v>0</v>
      </c>
      <c r="L1572" s="40" t="n">
        <v>0</v>
      </c>
    </row>
    <row r="1573" ht="12" customHeight="1">
      <c r="A1573" s="30" t="inlineStr">
        <is>
          <t>ITG</t>
        </is>
      </c>
      <c r="B1573" s="30" t="inlineStr">
        <is>
          <t>Itaguai</t>
        </is>
      </c>
      <c r="C1573" s="30" t="n">
        <v>86781930</v>
      </c>
      <c r="D1573" s="30">
        <f>"18476854000457"</f>
        <v/>
      </c>
      <c r="E1573" s="30" t="inlineStr">
        <is>
          <t>C S VIDAL - REFEICOES COLETIVAS - EIRELI ME</t>
        </is>
      </c>
      <c r="F1573" s="40" t="n">
        <v>0</v>
      </c>
      <c r="G1573" s="40" t="n">
        <v>0</v>
      </c>
      <c r="H1573" s="40" t="n">
        <v>0</v>
      </c>
      <c r="I1573" s="40" t="n">
        <v>0</v>
      </c>
      <c r="J1573" s="40" t="n">
        <v>0</v>
      </c>
      <c r="K1573" s="40" t="n">
        <v>0</v>
      </c>
      <c r="L1573" s="40" t="n">
        <v>0</v>
      </c>
    </row>
    <row r="1574" ht="12" customHeight="1">
      <c r="A1574" s="30" t="inlineStr">
        <is>
          <t>ITG</t>
        </is>
      </c>
      <c r="B1574" s="30" t="inlineStr">
        <is>
          <t>Itaguai</t>
        </is>
      </c>
      <c r="C1574" s="30" t="n">
        <v>86783398</v>
      </c>
      <c r="D1574" s="30">
        <f>"07347626000207"</f>
        <v/>
      </c>
      <c r="E1574" s="30" t="inlineStr">
        <is>
          <t>FUTURA TRANSPORTES LTDA</t>
        </is>
      </c>
      <c r="F1574" s="40" t="n">
        <v>0</v>
      </c>
      <c r="G1574" s="40" t="n">
        <v>0</v>
      </c>
      <c r="H1574" s="40" t="n">
        <v>0</v>
      </c>
      <c r="I1574" s="40" t="n">
        <v>0</v>
      </c>
      <c r="J1574" s="40" t="n">
        <v>0</v>
      </c>
      <c r="K1574" s="40" t="n">
        <v>0</v>
      </c>
      <c r="L1574" s="40" t="n">
        <v>0</v>
      </c>
    </row>
    <row r="1575" ht="12" customHeight="1">
      <c r="A1575" s="30" t="inlineStr">
        <is>
          <t>ITG</t>
        </is>
      </c>
      <c r="B1575" s="30" t="inlineStr">
        <is>
          <t>Itaguai</t>
        </is>
      </c>
      <c r="C1575" s="30" t="n">
        <v>86793229</v>
      </c>
      <c r="D1575" s="30">
        <f>"21185633000191"</f>
        <v/>
      </c>
      <c r="E1575" s="30" t="inlineStr">
        <is>
          <t>TRANSPORTES SOUZA ARAUJO LOGISTICA E PROJETOS LTDA</t>
        </is>
      </c>
      <c r="F1575" s="40" t="n">
        <v>0</v>
      </c>
      <c r="G1575" s="40" t="n">
        <v>0</v>
      </c>
      <c r="H1575" s="40" t="n">
        <v>0</v>
      </c>
      <c r="I1575" s="40" t="n">
        <v>0</v>
      </c>
      <c r="J1575" s="40" t="n">
        <v>0</v>
      </c>
      <c r="K1575" s="40" t="n">
        <v>9603.92</v>
      </c>
      <c r="L1575" s="40" t="n">
        <v>0</v>
      </c>
    </row>
    <row r="1576" ht="12" customHeight="1">
      <c r="A1576" s="30" t="inlineStr">
        <is>
          <t>ITG</t>
        </is>
      </c>
      <c r="B1576" s="30" t="inlineStr">
        <is>
          <t>Itaguai</t>
        </is>
      </c>
      <c r="C1576" s="30" t="n">
        <v>86803810</v>
      </c>
      <c r="D1576" s="30">
        <f>"21188698000190"</f>
        <v/>
      </c>
      <c r="E1576" s="30" t="inlineStr">
        <is>
          <t>EDSON A DOS SANTOS PEIXARIA ME</t>
        </is>
      </c>
      <c r="F1576" s="40" t="n">
        <v>0</v>
      </c>
      <c r="G1576" s="40" t="n">
        <v>0</v>
      </c>
      <c r="H1576" s="40" t="n">
        <v>0</v>
      </c>
      <c r="I1576" s="40" t="n">
        <v>0</v>
      </c>
      <c r="J1576" s="40" t="n">
        <v>0</v>
      </c>
      <c r="K1576" s="40" t="n">
        <v>0</v>
      </c>
      <c r="L1576" s="40" t="n">
        <v>0</v>
      </c>
    </row>
    <row r="1577" ht="12" customHeight="1">
      <c r="A1577" s="30" t="inlineStr">
        <is>
          <t>ITG</t>
        </is>
      </c>
      <c r="B1577" s="30" t="inlineStr">
        <is>
          <t>Itaguai</t>
        </is>
      </c>
      <c r="C1577" s="30" t="n">
        <v>86806070</v>
      </c>
      <c r="D1577" s="30">
        <f>"27811892000400"</f>
        <v/>
      </c>
      <c r="E1577" s="30" t="inlineStr">
        <is>
          <t>EDURIC COMERCIO E INDUSTRIA DE ARTEFATOS DE CIMENTOS LTDA</t>
        </is>
      </c>
      <c r="F1577" s="40" t="n">
        <v>0</v>
      </c>
      <c r="G1577" s="40" t="n">
        <v>0</v>
      </c>
      <c r="H1577" s="40" t="n">
        <v>0</v>
      </c>
      <c r="I1577" s="40" t="n">
        <v>0</v>
      </c>
      <c r="J1577" s="40" t="n">
        <v>0</v>
      </c>
      <c r="K1577" s="40" t="n">
        <v>0</v>
      </c>
      <c r="L1577" s="40" t="n">
        <v>0</v>
      </c>
    </row>
    <row r="1578" ht="12" customHeight="1">
      <c r="A1578" s="30" t="inlineStr">
        <is>
          <t>ITG</t>
        </is>
      </c>
      <c r="B1578" s="30" t="inlineStr">
        <is>
          <t>Itaguai</t>
        </is>
      </c>
      <c r="C1578" s="30" t="n">
        <v>86810999</v>
      </c>
      <c r="D1578" s="30">
        <f>"03867580005095"</f>
        <v/>
      </c>
      <c r="E1578" s="30" t="inlineStr">
        <is>
          <t>PRONTO EXPRESS LOGISTICA SA</t>
        </is>
      </c>
      <c r="F1578" s="40" t="n">
        <v>474.76</v>
      </c>
      <c r="G1578" s="40" t="n">
        <v>0</v>
      </c>
      <c r="H1578" s="40" t="n">
        <v>0</v>
      </c>
      <c r="I1578" s="40" t="n">
        <v>0</v>
      </c>
      <c r="J1578" s="40" t="n">
        <v>0</v>
      </c>
      <c r="K1578" s="40" t="n">
        <v>0</v>
      </c>
      <c r="L1578" s="40" t="n">
        <v>0</v>
      </c>
    </row>
    <row r="1579" ht="12" customHeight="1">
      <c r="A1579" s="30" t="inlineStr">
        <is>
          <t>ITG</t>
        </is>
      </c>
      <c r="B1579" s="30" t="inlineStr">
        <is>
          <t>Itaguai</t>
        </is>
      </c>
      <c r="C1579" s="30" t="n">
        <v>86813327</v>
      </c>
      <c r="D1579" s="30">
        <f>"31238678000211"</f>
        <v/>
      </c>
      <c r="E1579" s="30" t="inlineStr">
        <is>
          <t>MERCEARIA MARVI DE ITAGUAI LTDA</t>
        </is>
      </c>
      <c r="F1579" s="40" t="n">
        <v>712586.73</v>
      </c>
      <c r="G1579" s="40" t="n">
        <v>0</v>
      </c>
      <c r="H1579" s="40" t="n">
        <v>0</v>
      </c>
      <c r="I1579" s="40" t="n">
        <v>0</v>
      </c>
      <c r="J1579" s="40" t="n">
        <v>0</v>
      </c>
      <c r="K1579" s="40" t="n">
        <v>0</v>
      </c>
      <c r="L1579" s="40" t="n">
        <v>0</v>
      </c>
    </row>
    <row r="1580" ht="12" customHeight="1">
      <c r="A1580" s="30" t="inlineStr">
        <is>
          <t>ITG</t>
        </is>
      </c>
      <c r="B1580" s="30" t="inlineStr">
        <is>
          <t>Itaguai</t>
        </is>
      </c>
      <c r="C1580" s="30" t="n">
        <v>86822229</v>
      </c>
      <c r="D1580" s="30">
        <f>"08259544000850"</f>
        <v/>
      </c>
      <c r="E1580" s="30" t="inlineStr">
        <is>
          <t>TOPICO LOCACOES DE GALPOES E EQUIPAMENTOS PARA INDUSTRIAS S A</t>
        </is>
      </c>
      <c r="F1580" s="40" t="n">
        <v>0</v>
      </c>
      <c r="G1580" s="40" t="n">
        <v>0</v>
      </c>
      <c r="H1580" s="40" t="n">
        <v>0</v>
      </c>
      <c r="I1580" s="40" t="n">
        <v>24239.2</v>
      </c>
      <c r="J1580" s="40" t="n">
        <v>0</v>
      </c>
      <c r="K1580" s="40" t="n">
        <v>0</v>
      </c>
      <c r="L1580" s="40" t="n">
        <v>0</v>
      </c>
    </row>
    <row r="1581" ht="12" customHeight="1">
      <c r="A1581" s="30" t="inlineStr">
        <is>
          <t>ITG</t>
        </is>
      </c>
      <c r="B1581" s="30" t="inlineStr">
        <is>
          <t>Itaguai</t>
        </is>
      </c>
      <c r="C1581" s="30" t="n">
        <v>86828383</v>
      </c>
      <c r="D1581" s="30">
        <f>"00497373002082"</f>
        <v/>
      </c>
      <c r="E1581" s="30" t="inlineStr">
        <is>
          <t>SKY SERVICOS DE BANDA LARGA LTDA.</t>
        </is>
      </c>
      <c r="F1581" s="40" t="n">
        <v>570.37</v>
      </c>
      <c r="G1581" s="40" t="n">
        <v>1477.47</v>
      </c>
      <c r="H1581" s="40" t="n">
        <v>1016.7</v>
      </c>
      <c r="I1581" s="40" t="n">
        <v>314.98</v>
      </c>
      <c r="J1581" s="40" t="n">
        <v>842.61</v>
      </c>
      <c r="K1581" s="40" t="n">
        <v>6882.55</v>
      </c>
      <c r="L1581" s="40" t="n">
        <v>569.2</v>
      </c>
    </row>
    <row r="1582" ht="12" customHeight="1">
      <c r="A1582" s="30" t="inlineStr">
        <is>
          <t>ITG</t>
        </is>
      </c>
      <c r="B1582" s="30" t="inlineStr">
        <is>
          <t>Itaguai</t>
        </is>
      </c>
      <c r="C1582" s="30" t="n">
        <v>86831295</v>
      </c>
      <c r="D1582" s="30">
        <f>"03509101000180"</f>
        <v/>
      </c>
      <c r="E1582" s="30" t="inlineStr">
        <is>
          <t>BRASIPAN SERVIÇOS E LOGÍSTICA EIRELI</t>
        </is>
      </c>
      <c r="F1582" s="40" t="n">
        <v>0</v>
      </c>
      <c r="G1582" s="40" t="n">
        <v>0</v>
      </c>
      <c r="H1582" s="40" t="n">
        <v>0</v>
      </c>
      <c r="I1582" s="40" t="n">
        <v>0</v>
      </c>
      <c r="J1582" s="40" t="n">
        <v>0</v>
      </c>
      <c r="K1582" s="40" t="n">
        <v>22369.7</v>
      </c>
      <c r="L1582" s="40" t="n">
        <v>0</v>
      </c>
    </row>
    <row r="1583" ht="12" customHeight="1">
      <c r="A1583" s="30" t="inlineStr">
        <is>
          <t>ITG</t>
        </is>
      </c>
      <c r="B1583" s="30" t="inlineStr">
        <is>
          <t>Itaguai</t>
        </is>
      </c>
      <c r="C1583" s="30" t="n">
        <v>86832194</v>
      </c>
      <c r="D1583" s="30">
        <f>"16884492000599"</f>
        <v/>
      </c>
      <c r="E1583" s="30" t="inlineStr">
        <is>
          <t>TDM TRANSPORTES LTDA</t>
        </is>
      </c>
      <c r="F1583" s="40" t="n">
        <v>0</v>
      </c>
      <c r="G1583" s="40" t="n">
        <v>0</v>
      </c>
      <c r="H1583" s="40" t="n">
        <v>0</v>
      </c>
      <c r="I1583" s="40" t="n">
        <v>8006642.2</v>
      </c>
      <c r="J1583" s="40" t="n">
        <v>0</v>
      </c>
      <c r="K1583" s="40" t="n">
        <v>0</v>
      </c>
      <c r="L1583" s="40" t="n">
        <v>3696.85</v>
      </c>
    </row>
    <row r="1584" ht="12" customHeight="1">
      <c r="A1584" s="30" t="inlineStr">
        <is>
          <t>ITG</t>
        </is>
      </c>
      <c r="B1584" s="30" t="inlineStr">
        <is>
          <t>Itaguai</t>
        </is>
      </c>
      <c r="C1584" s="30" t="n">
        <v>86832461</v>
      </c>
      <c r="D1584" s="30">
        <f>"73860777000361"</f>
        <v/>
      </c>
      <c r="E1584" s="30" t="inlineStr">
        <is>
          <t>ALBERTONI TRANSPORTES DE CARGAS LTDA</t>
        </is>
      </c>
      <c r="F1584" s="40" t="n">
        <v>10981540.14</v>
      </c>
      <c r="G1584" s="40" t="n">
        <v>0</v>
      </c>
      <c r="H1584" s="40" t="n">
        <v>0</v>
      </c>
      <c r="I1584" s="40" t="n">
        <v>0</v>
      </c>
      <c r="J1584" s="40" t="n">
        <v>0</v>
      </c>
      <c r="K1584" s="40" t="n">
        <v>0</v>
      </c>
      <c r="L1584" s="40" t="n">
        <v>0</v>
      </c>
    </row>
    <row r="1585" ht="12" customHeight="1">
      <c r="A1585" s="30" t="inlineStr">
        <is>
          <t>ITG</t>
        </is>
      </c>
      <c r="B1585" s="30" t="inlineStr">
        <is>
          <t>Itaguai</t>
        </is>
      </c>
      <c r="C1585" s="30" t="n">
        <v>86834480</v>
      </c>
      <c r="D1585" s="30">
        <f>"20967779000207"</f>
        <v/>
      </c>
      <c r="E1585" s="30" t="inlineStr">
        <is>
          <t>BRILHANTE DO ACO COMERCIO VAREJISTA LTDA</t>
        </is>
      </c>
      <c r="F1585" s="40" t="n">
        <v>0</v>
      </c>
      <c r="G1585" s="40" t="n">
        <v>0</v>
      </c>
      <c r="H1585" s="40" t="n">
        <v>0</v>
      </c>
      <c r="I1585" s="40" t="n">
        <v>0</v>
      </c>
      <c r="J1585" s="40" t="n">
        <v>0</v>
      </c>
      <c r="K1585" s="40" t="n">
        <v>0</v>
      </c>
      <c r="L1585" s="40" t="n">
        <v>0</v>
      </c>
    </row>
    <row r="1586" ht="12" customHeight="1">
      <c r="A1586" s="30" t="inlineStr">
        <is>
          <t>ITG</t>
        </is>
      </c>
      <c r="B1586" s="30" t="inlineStr">
        <is>
          <t>Itaguai</t>
        </is>
      </c>
      <c r="C1586" s="30" t="n">
        <v>86837552</v>
      </c>
      <c r="D1586" s="30">
        <f>"20948262000190"</f>
        <v/>
      </c>
      <c r="E1586" s="30" t="inlineStr">
        <is>
          <t>M S TOLEDO COMERCIO E REPRESENTACOES EIRELI ME</t>
        </is>
      </c>
      <c r="F1586" s="40" t="n">
        <v>0</v>
      </c>
      <c r="G1586" s="40" t="n">
        <v>0</v>
      </c>
      <c r="H1586" s="40" t="n">
        <v>0</v>
      </c>
      <c r="I1586" s="40" t="n">
        <v>0</v>
      </c>
      <c r="J1586" s="40" t="n">
        <v>0</v>
      </c>
      <c r="K1586" s="40" t="n">
        <v>0</v>
      </c>
      <c r="L1586" s="40" t="n">
        <v>0</v>
      </c>
    </row>
    <row r="1587" ht="12" customHeight="1">
      <c r="A1587" s="30" t="inlineStr">
        <is>
          <t>ITG</t>
        </is>
      </c>
      <c r="B1587" s="30" t="inlineStr">
        <is>
          <t>Itaguai</t>
        </is>
      </c>
      <c r="C1587" s="30" t="n">
        <v>86848449</v>
      </c>
      <c r="D1587" s="30">
        <f>"18384930000232"</f>
        <v/>
      </c>
      <c r="E1587" s="30" t="inlineStr">
        <is>
          <t>DATORA MOBILE TELECOMUNICACOES S A</t>
        </is>
      </c>
      <c r="F1587" s="40" t="n">
        <v>0</v>
      </c>
      <c r="G1587" s="40" t="n">
        <v>0</v>
      </c>
      <c r="H1587" s="40" t="n">
        <v>0</v>
      </c>
      <c r="I1587" s="40" t="n">
        <v>0</v>
      </c>
      <c r="J1587" s="40" t="n">
        <v>0</v>
      </c>
      <c r="K1587" s="40" t="n">
        <v>0</v>
      </c>
      <c r="L1587" s="40" t="n">
        <v>30.48</v>
      </c>
    </row>
    <row r="1588" ht="12" customHeight="1">
      <c r="A1588" s="30" t="inlineStr">
        <is>
          <t>ITG</t>
        </is>
      </c>
      <c r="B1588" s="30" t="inlineStr">
        <is>
          <t>Itaguai</t>
        </is>
      </c>
      <c r="C1588" s="30" t="n">
        <v>86861801</v>
      </c>
      <c r="D1588" s="30">
        <f>"20692890000157"</f>
        <v/>
      </c>
      <c r="E1588" s="30" t="inlineStr">
        <is>
          <t>ENZO ITAGUAI LTDA</t>
        </is>
      </c>
      <c r="F1588" s="40" t="n">
        <v>344644.78</v>
      </c>
      <c r="G1588" s="40" t="n">
        <v>881546.6800000001</v>
      </c>
      <c r="H1588" s="40" t="n">
        <v>1084036.69</v>
      </c>
      <c r="I1588" s="40" t="n">
        <v>2653164.56</v>
      </c>
      <c r="J1588" s="40" t="n">
        <v>0</v>
      </c>
      <c r="K1588" s="40" t="n">
        <v>0</v>
      </c>
      <c r="L1588" s="40" t="n">
        <v>0</v>
      </c>
    </row>
    <row r="1589" ht="12" customHeight="1">
      <c r="A1589" s="30" t="inlineStr">
        <is>
          <t>ITG</t>
        </is>
      </c>
      <c r="B1589" s="30" t="inlineStr">
        <is>
          <t>Itaguai</t>
        </is>
      </c>
      <c r="C1589" s="30" t="n">
        <v>86866803</v>
      </c>
      <c r="D1589" s="30">
        <f>"09469384000403"</f>
        <v/>
      </c>
      <c r="E1589" s="30" t="inlineStr">
        <is>
          <t>DTL EXPRESSO E LOGISTICA EIRELI</t>
        </is>
      </c>
      <c r="F1589" s="40" t="n">
        <v>0</v>
      </c>
      <c r="G1589" s="40" t="n">
        <v>0</v>
      </c>
      <c r="H1589" s="40" t="n">
        <v>0</v>
      </c>
      <c r="I1589" s="40" t="n">
        <v>0</v>
      </c>
      <c r="J1589" s="40" t="n">
        <v>0</v>
      </c>
      <c r="K1589" s="40" t="n">
        <v>0</v>
      </c>
      <c r="L1589" s="40" t="n">
        <v>0</v>
      </c>
    </row>
    <row r="1590" ht="12" customHeight="1">
      <c r="A1590" s="30" t="inlineStr">
        <is>
          <t>ITG</t>
        </is>
      </c>
      <c r="B1590" s="30" t="inlineStr">
        <is>
          <t>Itaguai</t>
        </is>
      </c>
      <c r="C1590" s="30" t="n">
        <v>86873079</v>
      </c>
      <c r="D1590" s="30">
        <f>"20694572000125"</f>
        <v/>
      </c>
      <c r="E1590" s="30" t="inlineStr">
        <is>
          <t>PORTO SUDESTE EXPORTAÇÃO E COMÉRCIO S.A.</t>
        </is>
      </c>
      <c r="F1590" s="40" t="n">
        <v>0</v>
      </c>
      <c r="G1590" s="40" t="n">
        <v>0</v>
      </c>
      <c r="H1590" s="40" t="n">
        <v>74187683.92</v>
      </c>
      <c r="I1590" s="40" t="n">
        <v>342565730.09</v>
      </c>
      <c r="J1590" s="40" t="n">
        <v>670738093.12</v>
      </c>
      <c r="K1590" s="40" t="n">
        <v>167049850.05</v>
      </c>
      <c r="L1590" s="40" t="n">
        <v>247872528.41</v>
      </c>
    </row>
    <row r="1591" ht="12" customHeight="1">
      <c r="A1591" s="30" t="inlineStr">
        <is>
          <t>ITG</t>
        </is>
      </c>
      <c r="B1591" s="30" t="inlineStr">
        <is>
          <t>Itaguai</t>
        </is>
      </c>
      <c r="C1591" s="30" t="n">
        <v>86874334</v>
      </c>
      <c r="D1591" s="30">
        <f>"21896625000153"</f>
        <v/>
      </c>
      <c r="E1591" s="30" t="inlineStr">
        <is>
          <t>WGAT TRANSPORTE DE CARGAS - EIRELI</t>
        </is>
      </c>
      <c r="F1591" s="40" t="n">
        <v>0</v>
      </c>
      <c r="G1591" s="40" t="n">
        <v>0</v>
      </c>
      <c r="H1591" s="40" t="n">
        <v>360933.35</v>
      </c>
      <c r="I1591" s="40" t="n">
        <v>0</v>
      </c>
      <c r="J1591" s="40" t="n">
        <v>0</v>
      </c>
      <c r="K1591" s="40" t="n">
        <v>41357.87</v>
      </c>
      <c r="L1591" s="40" t="n">
        <v>0</v>
      </c>
    </row>
    <row r="1592" ht="12" customHeight="1">
      <c r="A1592" s="30" t="inlineStr">
        <is>
          <t>ITG</t>
        </is>
      </c>
      <c r="B1592" s="30" t="inlineStr">
        <is>
          <t>Itaguai</t>
        </is>
      </c>
      <c r="C1592" s="30" t="n">
        <v>86876906</v>
      </c>
      <c r="D1592" s="30">
        <f>"33200056039789"</f>
        <v/>
      </c>
      <c r="E1592" s="30" t="inlineStr">
        <is>
          <t>LOJAS RIACHUELO SA</t>
        </is>
      </c>
      <c r="F1592" s="40" t="n">
        <v>4622877.4</v>
      </c>
      <c r="G1592" s="40" t="n">
        <v>4318433.91</v>
      </c>
      <c r="H1592" s="40" t="n">
        <v>3829353.92</v>
      </c>
      <c r="I1592" s="40" t="n">
        <v>3415495.91</v>
      </c>
      <c r="J1592" s="40" t="n">
        <v>4497060.47</v>
      </c>
      <c r="K1592" s="40" t="n">
        <v>4595394.71</v>
      </c>
      <c r="L1592" s="40" t="n">
        <v>4927284.64</v>
      </c>
    </row>
    <row r="1593" ht="12" customHeight="1">
      <c r="A1593" s="30" t="inlineStr">
        <is>
          <t>ITG</t>
        </is>
      </c>
      <c r="B1593" s="30" t="inlineStr">
        <is>
          <t>Itaguai</t>
        </is>
      </c>
      <c r="C1593" s="30" t="n">
        <v>86877600</v>
      </c>
      <c r="D1593" s="30">
        <f>"03887324000858"</f>
        <v/>
      </c>
      <c r="E1593" s="30" t="inlineStr">
        <is>
          <t>ADIMAX - INDUSTRIA E COMERCIO DE ALIMENTOS LTDA</t>
        </is>
      </c>
      <c r="F1593" s="40" t="n">
        <v>3469902.14</v>
      </c>
      <c r="G1593" s="40" t="n">
        <v>0</v>
      </c>
      <c r="H1593" s="40" t="n">
        <v>0</v>
      </c>
      <c r="I1593" s="40" t="n">
        <v>0</v>
      </c>
      <c r="J1593" s="40" t="n">
        <v>0</v>
      </c>
      <c r="K1593" s="40" t="n">
        <v>0</v>
      </c>
      <c r="L1593" s="40" t="n">
        <v>0</v>
      </c>
    </row>
    <row r="1594" ht="12" customHeight="1">
      <c r="A1594" s="30" t="inlineStr">
        <is>
          <t>ITG</t>
        </is>
      </c>
      <c r="B1594" s="30" t="inlineStr">
        <is>
          <t>Itaguai</t>
        </is>
      </c>
      <c r="C1594" s="30" t="n">
        <v>86877732</v>
      </c>
      <c r="D1594" s="30">
        <f>"21899800000166"</f>
        <v/>
      </c>
      <c r="E1594" s="30" t="inlineStr">
        <is>
          <t>LOPES E SILVA COMERCIO DE VEICULOS LTDA ME</t>
        </is>
      </c>
      <c r="F1594" s="40" t="n">
        <v>0</v>
      </c>
      <c r="G1594" s="40" t="n">
        <v>0</v>
      </c>
      <c r="H1594" s="40" t="n">
        <v>0</v>
      </c>
      <c r="I1594" s="40" t="n">
        <v>0</v>
      </c>
      <c r="J1594" s="40" t="n">
        <v>0</v>
      </c>
      <c r="K1594" s="40" t="n">
        <v>0</v>
      </c>
      <c r="L1594" s="40" t="n">
        <v>0</v>
      </c>
    </row>
    <row r="1595" ht="12" customHeight="1">
      <c r="A1595" s="30" t="inlineStr">
        <is>
          <t>ITG</t>
        </is>
      </c>
      <c r="B1595" s="30" t="inlineStr">
        <is>
          <t>Itaguai</t>
        </is>
      </c>
      <c r="C1595" s="30" t="n">
        <v>86877759</v>
      </c>
      <c r="D1595" s="30">
        <f>"21892618000183"</f>
        <v/>
      </c>
      <c r="E1595" s="30" t="inlineStr">
        <is>
          <t>C O RIBEIRO ROMANELI RESTAURANTE</t>
        </is>
      </c>
      <c r="F1595" s="40" t="n">
        <v>0</v>
      </c>
      <c r="G1595" s="40" t="n">
        <v>0</v>
      </c>
      <c r="H1595" s="40" t="n">
        <v>0</v>
      </c>
      <c r="I1595" s="40" t="n">
        <v>0</v>
      </c>
      <c r="J1595" s="40" t="n">
        <v>0</v>
      </c>
      <c r="K1595" s="40" t="n">
        <v>0</v>
      </c>
      <c r="L1595" s="40" t="n">
        <v>0</v>
      </c>
    </row>
    <row r="1596" ht="12" customHeight="1">
      <c r="A1596" s="30" t="inlineStr">
        <is>
          <t>ITG</t>
        </is>
      </c>
      <c r="B1596" s="30" t="inlineStr">
        <is>
          <t>Itaguai</t>
        </is>
      </c>
      <c r="C1596" s="30" t="n">
        <v>86879344</v>
      </c>
      <c r="D1596" s="30">
        <f>"05886614003666"</f>
        <v/>
      </c>
      <c r="E1596" s="30" t="inlineStr">
        <is>
          <t>DIRECT EXPRESS LOGISTICA INTEGRADA S/A</t>
        </is>
      </c>
      <c r="F1596" s="40" t="n">
        <v>923.71</v>
      </c>
      <c r="G1596" s="40" t="n">
        <v>0</v>
      </c>
      <c r="H1596" s="40" t="n">
        <v>0</v>
      </c>
      <c r="I1596" s="40" t="n">
        <v>0</v>
      </c>
      <c r="J1596" s="40" t="n">
        <v>0</v>
      </c>
      <c r="K1596" s="40" t="n">
        <v>0</v>
      </c>
      <c r="L1596" s="40" t="n">
        <v>0</v>
      </c>
    </row>
    <row r="1597" ht="12" customHeight="1">
      <c r="A1597" s="30" t="inlineStr">
        <is>
          <t>ITG</t>
        </is>
      </c>
      <c r="B1597" s="30" t="inlineStr">
        <is>
          <t>Itaguai</t>
        </is>
      </c>
      <c r="C1597" s="30" t="n">
        <v>86882566</v>
      </c>
      <c r="D1597" s="30">
        <f>"08680888001134"</f>
        <v/>
      </c>
      <c r="E1597" s="30" t="inlineStr">
        <is>
          <t>MSC MEDITERRANEAN LOGISTICA LTDA</t>
        </is>
      </c>
      <c r="F1597" s="40" t="n">
        <v>0</v>
      </c>
      <c r="G1597" s="40" t="n">
        <v>3043.32</v>
      </c>
      <c r="H1597" s="40" t="n">
        <v>0</v>
      </c>
      <c r="I1597" s="40" t="n">
        <v>650</v>
      </c>
      <c r="J1597" s="40" t="n">
        <v>0</v>
      </c>
      <c r="K1597" s="40" t="n">
        <v>0</v>
      </c>
      <c r="L1597" s="40" t="n">
        <v>0</v>
      </c>
    </row>
    <row r="1598" ht="12" customHeight="1">
      <c r="A1598" s="30" t="inlineStr">
        <is>
          <t>ITG</t>
        </is>
      </c>
      <c r="B1598" s="30" t="inlineStr">
        <is>
          <t>Itaguai</t>
        </is>
      </c>
      <c r="C1598" s="30" t="n">
        <v>86893320</v>
      </c>
      <c r="D1598" s="30">
        <f>"56105166000208"</f>
        <v/>
      </c>
      <c r="E1598" s="30" t="inlineStr">
        <is>
          <t>LORENVEL TRANSPORTES LTDA</t>
        </is>
      </c>
      <c r="F1598" s="40" t="n">
        <v>0</v>
      </c>
      <c r="G1598" s="40" t="n">
        <v>9600</v>
      </c>
      <c r="H1598" s="40" t="n">
        <v>1200</v>
      </c>
      <c r="I1598" s="40" t="n">
        <v>0</v>
      </c>
      <c r="J1598" s="40" t="n">
        <v>0</v>
      </c>
      <c r="K1598" s="40" t="n">
        <v>0</v>
      </c>
      <c r="L1598" s="40" t="n">
        <v>0</v>
      </c>
    </row>
    <row r="1599" ht="12" customHeight="1">
      <c r="A1599" s="30" t="inlineStr">
        <is>
          <t>ITG</t>
        </is>
      </c>
      <c r="B1599" s="30" t="inlineStr">
        <is>
          <t>Itaguai</t>
        </is>
      </c>
      <c r="C1599" s="30" t="n">
        <v>86901684</v>
      </c>
      <c r="D1599" s="30">
        <f>"22199023000100"</f>
        <v/>
      </c>
      <c r="E1599" s="30" t="inlineStr">
        <is>
          <t>CONSCIENTIZE SOLUCOES AMBIENTAIS LTDA</t>
        </is>
      </c>
      <c r="F1599" s="40" t="n">
        <v>0</v>
      </c>
      <c r="G1599" s="40" t="n">
        <v>0</v>
      </c>
      <c r="H1599" s="40" t="n">
        <v>800</v>
      </c>
      <c r="I1599" s="40" t="n">
        <v>0</v>
      </c>
      <c r="J1599" s="40" t="n">
        <v>0</v>
      </c>
      <c r="K1599" s="40" t="n">
        <v>0</v>
      </c>
      <c r="L1599" s="40" t="n">
        <v>0</v>
      </c>
    </row>
    <row r="1600" ht="12" customHeight="1">
      <c r="A1600" s="30" t="inlineStr">
        <is>
          <t>ITG</t>
        </is>
      </c>
      <c r="B1600" s="30" t="inlineStr">
        <is>
          <t>Itaguai</t>
        </is>
      </c>
      <c r="C1600" s="30" t="n">
        <v>86903733</v>
      </c>
      <c r="D1600" s="30">
        <f>"13872662000950"</f>
        <v/>
      </c>
      <c r="E1600" s="30" t="inlineStr">
        <is>
          <t>ORSI LOGISTICA S.A.</t>
        </is>
      </c>
      <c r="F1600" s="40" t="n">
        <v>17378.56</v>
      </c>
      <c r="G1600" s="40" t="n">
        <v>0</v>
      </c>
      <c r="H1600" s="40" t="n">
        <v>35507.88</v>
      </c>
      <c r="I1600" s="40" t="n">
        <v>4284.93</v>
      </c>
      <c r="J1600" s="40" t="n">
        <v>230408.55</v>
      </c>
      <c r="K1600" s="40" t="n">
        <v>0</v>
      </c>
      <c r="L1600" s="40" t="n">
        <v>0</v>
      </c>
    </row>
    <row r="1601" ht="12" customHeight="1">
      <c r="A1601" s="30" t="inlineStr">
        <is>
          <t>ITG</t>
        </is>
      </c>
      <c r="B1601" s="30" t="inlineStr">
        <is>
          <t>Itaguai</t>
        </is>
      </c>
      <c r="C1601" s="30" t="n">
        <v>86906350</v>
      </c>
      <c r="D1601" s="30">
        <f>"06185738000157"</f>
        <v/>
      </c>
      <c r="E1601" s="30" t="inlineStr">
        <is>
          <t>C&amp;T LOGISTICS AGENTE DE CARGA E TRANSPORTE LTDA</t>
        </is>
      </c>
      <c r="F1601" s="40" t="n">
        <v>0</v>
      </c>
      <c r="G1601" s="40" t="n">
        <v>0</v>
      </c>
      <c r="H1601" s="40" t="n">
        <v>1280.88</v>
      </c>
      <c r="I1601" s="40" t="n">
        <v>0</v>
      </c>
      <c r="J1601" s="40" t="n">
        <v>0</v>
      </c>
      <c r="K1601" s="40" t="n">
        <v>3952.43</v>
      </c>
      <c r="L1601" s="40" t="n">
        <v>0</v>
      </c>
    </row>
    <row r="1602" ht="12" customHeight="1">
      <c r="A1602" s="30" t="inlineStr">
        <is>
          <t>ITG</t>
        </is>
      </c>
      <c r="B1602" s="30" t="inlineStr">
        <is>
          <t>Itaguai</t>
        </is>
      </c>
      <c r="C1602" s="30" t="n">
        <v>86907917</v>
      </c>
      <c r="D1602" s="30">
        <f>"72189988001242"</f>
        <v/>
      </c>
      <c r="E1602" s="30" t="inlineStr">
        <is>
          <t>EMPRESA DE ONIBUS ROSA LTDA</t>
        </is>
      </c>
      <c r="F1602" s="40" t="n">
        <v>0</v>
      </c>
      <c r="G1602" s="40" t="n">
        <v>0</v>
      </c>
      <c r="H1602" s="40" t="n">
        <v>0</v>
      </c>
      <c r="I1602" s="40" t="n">
        <v>0</v>
      </c>
      <c r="J1602" s="40" t="n">
        <v>0</v>
      </c>
      <c r="K1602" s="40" t="n">
        <v>0</v>
      </c>
      <c r="L1602" s="40" t="n">
        <v>0</v>
      </c>
    </row>
    <row r="1603" ht="12" customHeight="1">
      <c r="A1603" s="30" t="inlineStr">
        <is>
          <t>ITG</t>
        </is>
      </c>
      <c r="B1603" s="30" t="inlineStr">
        <is>
          <t>Itaguai</t>
        </is>
      </c>
      <c r="C1603" s="30" t="n">
        <v>86908816</v>
      </c>
      <c r="D1603" s="30">
        <f>"22162793000188"</f>
        <v/>
      </c>
      <c r="E1603" s="30" t="inlineStr">
        <is>
          <t>CORREA &amp; LIMA CONSTRUTORA LTDA ME</t>
        </is>
      </c>
      <c r="F1603" s="40" t="n">
        <v>0</v>
      </c>
      <c r="G1603" s="40" t="n">
        <v>0</v>
      </c>
      <c r="H1603" s="40" t="n">
        <v>0</v>
      </c>
      <c r="I1603" s="40" t="n">
        <v>0</v>
      </c>
      <c r="J1603" s="40" t="n">
        <v>0</v>
      </c>
      <c r="K1603" s="40" t="n">
        <v>0</v>
      </c>
      <c r="L1603" s="40" t="n">
        <v>303173.81</v>
      </c>
    </row>
    <row r="1604" ht="12" customHeight="1">
      <c r="A1604" s="30" t="inlineStr">
        <is>
          <t>ITG</t>
        </is>
      </c>
      <c r="B1604" s="30" t="inlineStr">
        <is>
          <t>Itaguai</t>
        </is>
      </c>
      <c r="C1604" s="30" t="n">
        <v>86911922</v>
      </c>
      <c r="D1604" s="30">
        <f>"05593147000660"</f>
        <v/>
      </c>
      <c r="E1604" s="30" t="inlineStr">
        <is>
          <t>VELTEN LOGISTICA E TRANSPORTE LTDA EPP</t>
        </is>
      </c>
      <c r="F1604" s="40" t="n">
        <v>124.18</v>
      </c>
      <c r="G1604" s="40" t="n">
        <v>335.12</v>
      </c>
      <c r="H1604" s="40" t="n">
        <v>33.31</v>
      </c>
      <c r="I1604" s="40" t="n">
        <v>0</v>
      </c>
      <c r="J1604" s="40" t="n">
        <v>0</v>
      </c>
      <c r="K1604" s="40" t="n">
        <v>0</v>
      </c>
      <c r="L1604" s="40" t="n">
        <v>0</v>
      </c>
    </row>
    <row r="1605" ht="12" customHeight="1">
      <c r="A1605" s="30" t="inlineStr">
        <is>
          <t>ITG</t>
        </is>
      </c>
      <c r="B1605" s="30" t="inlineStr">
        <is>
          <t>Itaguai</t>
        </is>
      </c>
      <c r="C1605" s="30" t="n">
        <v>86932067</v>
      </c>
      <c r="D1605" s="30">
        <f>"22397790000123"</f>
        <v/>
      </c>
      <c r="E1605" s="30" t="inlineStr">
        <is>
          <t>TRANSPORTADORA KARAPITO LTDA</t>
        </is>
      </c>
      <c r="F1605" s="40" t="n">
        <v>1740.88</v>
      </c>
      <c r="G1605" s="40" t="n">
        <v>0</v>
      </c>
      <c r="H1605" s="40" t="n">
        <v>0</v>
      </c>
      <c r="I1605" s="40" t="n">
        <v>0</v>
      </c>
      <c r="J1605" s="40" t="n">
        <v>0</v>
      </c>
      <c r="K1605" s="40" t="n">
        <v>0</v>
      </c>
      <c r="L1605" s="40" t="n">
        <v>0</v>
      </c>
    </row>
    <row r="1606" ht="12" customHeight="1">
      <c r="A1606" s="30" t="inlineStr">
        <is>
          <t>ITG</t>
        </is>
      </c>
      <c r="B1606" s="30" t="inlineStr">
        <is>
          <t>Itaguai</t>
        </is>
      </c>
      <c r="C1606" s="30" t="n">
        <v>86932172</v>
      </c>
      <c r="D1606" s="30">
        <f>"21268307000229"</f>
        <v/>
      </c>
      <c r="E1606" s="30" t="inlineStr">
        <is>
          <t>PAUL WURTH DO BRASIL MONTAGENS E MANUTENCAO INDUSTRIAL LTDA</t>
        </is>
      </c>
      <c r="F1606" s="40" t="n">
        <v>0</v>
      </c>
      <c r="G1606" s="40" t="n">
        <v>0</v>
      </c>
      <c r="H1606" s="40" t="n">
        <v>0</v>
      </c>
      <c r="I1606" s="40" t="n">
        <v>0</v>
      </c>
      <c r="J1606" s="40" t="n">
        <v>0</v>
      </c>
      <c r="K1606" s="40" t="n">
        <v>0</v>
      </c>
      <c r="L1606" s="40" t="n">
        <v>0</v>
      </c>
    </row>
    <row r="1607" ht="12" customHeight="1">
      <c r="A1607" s="30" t="inlineStr">
        <is>
          <t>ITG</t>
        </is>
      </c>
      <c r="B1607" s="30" t="inlineStr">
        <is>
          <t>Itaguai</t>
        </is>
      </c>
      <c r="C1607" s="30" t="n">
        <v>86937832</v>
      </c>
      <c r="D1607" s="30">
        <f>"12367372000130"</f>
        <v/>
      </c>
      <c r="E1607" s="30" t="inlineStr">
        <is>
          <t>NDC PROVEDOR DE INTERNET LTDA</t>
        </is>
      </c>
      <c r="F1607" s="40" t="n">
        <v>0</v>
      </c>
      <c r="G1607" s="40" t="n">
        <v>0</v>
      </c>
      <c r="H1607" s="40" t="n">
        <v>0</v>
      </c>
      <c r="I1607" s="40" t="n">
        <v>0</v>
      </c>
      <c r="J1607" s="40" t="n">
        <v>1358125.08</v>
      </c>
      <c r="K1607" s="40" t="n">
        <v>1117671.88</v>
      </c>
      <c r="L1607" s="40" t="n">
        <v>1986990.99</v>
      </c>
    </row>
    <row r="1608" ht="12" customHeight="1">
      <c r="A1608" s="30" t="inlineStr">
        <is>
          <t>ITG</t>
        </is>
      </c>
      <c r="B1608" s="30" t="inlineStr">
        <is>
          <t>Itaguai</t>
        </is>
      </c>
      <c r="C1608" s="30" t="n">
        <v>86947870</v>
      </c>
      <c r="D1608" s="30">
        <f>"15472037000270"</f>
        <v/>
      </c>
      <c r="E1608" s="30" t="inlineStr">
        <is>
          <t>MERCADO CENTRAL DE ITACURUCA LTDA</t>
        </is>
      </c>
      <c r="F1608" s="40" t="n">
        <v>0</v>
      </c>
      <c r="G1608" s="40" t="n">
        <v>0</v>
      </c>
      <c r="H1608" s="40" t="n">
        <v>0</v>
      </c>
      <c r="I1608" s="40" t="n">
        <v>0</v>
      </c>
      <c r="J1608" s="40" t="n">
        <v>0</v>
      </c>
      <c r="K1608" s="40" t="n">
        <v>0</v>
      </c>
      <c r="L1608" s="40" t="n">
        <v>0</v>
      </c>
    </row>
    <row r="1609" ht="12" customHeight="1">
      <c r="A1609" s="30" t="inlineStr">
        <is>
          <t>ITG</t>
        </is>
      </c>
      <c r="B1609" s="30" t="inlineStr">
        <is>
          <t>Itaguai</t>
        </is>
      </c>
      <c r="C1609" s="30" t="n">
        <v>86948524</v>
      </c>
      <c r="D1609" s="30">
        <f>"22706756000193"</f>
        <v/>
      </c>
      <c r="E1609" s="30" t="inlineStr">
        <is>
          <t>SANDRO LIDER AGUA E GELO EIRELI</t>
        </is>
      </c>
      <c r="F1609" s="40" t="n">
        <v>0</v>
      </c>
      <c r="G1609" s="40" t="n">
        <v>0</v>
      </c>
      <c r="H1609" s="40" t="n">
        <v>0</v>
      </c>
      <c r="I1609" s="40" t="n">
        <v>0</v>
      </c>
      <c r="J1609" s="40" t="n">
        <v>0</v>
      </c>
      <c r="K1609" s="40" t="n">
        <v>0</v>
      </c>
      <c r="L1609" s="40" t="n">
        <v>0</v>
      </c>
    </row>
    <row r="1610" ht="12" customHeight="1">
      <c r="A1610" s="30" t="inlineStr">
        <is>
          <t>ITG</t>
        </is>
      </c>
      <c r="B1610" s="30" t="inlineStr">
        <is>
          <t>Itaguai</t>
        </is>
      </c>
      <c r="C1610" s="30" t="n">
        <v>86949016</v>
      </c>
      <c r="D1610" s="30">
        <f>"22711611000180"</f>
        <v/>
      </c>
      <c r="E1610" s="30" t="inlineStr">
        <is>
          <t>ITAGUAI POINT COMERCIO DE ALIMENTOS LTDA</t>
        </is>
      </c>
      <c r="F1610" s="40" t="n">
        <v>993225.59</v>
      </c>
      <c r="G1610" s="40" t="n">
        <v>0</v>
      </c>
      <c r="H1610" s="40" t="n">
        <v>0</v>
      </c>
      <c r="I1610" s="40" t="n">
        <v>0</v>
      </c>
      <c r="J1610" s="40" t="n">
        <v>0</v>
      </c>
      <c r="K1610" s="40" t="n">
        <v>0</v>
      </c>
      <c r="L1610" s="40" t="n">
        <v>0</v>
      </c>
    </row>
    <row r="1611" ht="12" customHeight="1">
      <c r="A1611" s="30" t="inlineStr">
        <is>
          <t>ITG</t>
        </is>
      </c>
      <c r="B1611" s="30" t="inlineStr">
        <is>
          <t>Itaguai</t>
        </is>
      </c>
      <c r="C1611" s="30" t="n">
        <v>86949423</v>
      </c>
      <c r="D1611" s="30">
        <f>"02964147001956"</f>
        <v/>
      </c>
      <c r="E1611" s="30" t="inlineStr">
        <is>
          <t>PACIFICO LOG LOGISTICA E TRANSPORTES EIRELI</t>
        </is>
      </c>
      <c r="F1611" s="40" t="n">
        <v>0</v>
      </c>
      <c r="G1611" s="40" t="n">
        <v>363.1</v>
      </c>
      <c r="H1611" s="40" t="n">
        <v>0</v>
      </c>
      <c r="I1611" s="40" t="n">
        <v>0</v>
      </c>
      <c r="J1611" s="40" t="n">
        <v>0</v>
      </c>
      <c r="K1611" s="40" t="n">
        <v>0</v>
      </c>
      <c r="L1611" s="40" t="n">
        <v>0</v>
      </c>
    </row>
    <row r="1612" ht="12" customHeight="1">
      <c r="A1612" s="30" t="inlineStr">
        <is>
          <t>ITG</t>
        </is>
      </c>
      <c r="B1612" s="30" t="inlineStr">
        <is>
          <t>Itaguai</t>
        </is>
      </c>
      <c r="C1612" s="30" t="n">
        <v>86952718</v>
      </c>
      <c r="D1612" s="30">
        <f>"22125221000129"</f>
        <v/>
      </c>
      <c r="E1612" s="30" t="inlineStr">
        <is>
          <t>M SHIOSE MANUTENCAO DE MAQUINAS E EQUIPAMENTOS</t>
        </is>
      </c>
      <c r="F1612" s="40" t="n">
        <v>0</v>
      </c>
      <c r="G1612" s="40" t="n">
        <v>0</v>
      </c>
      <c r="H1612" s="40" t="n">
        <v>0</v>
      </c>
      <c r="I1612" s="40" t="n">
        <v>0</v>
      </c>
      <c r="J1612" s="40" t="n">
        <v>0</v>
      </c>
      <c r="K1612" s="40" t="n">
        <v>0</v>
      </c>
      <c r="L1612" s="40" t="n">
        <v>0</v>
      </c>
    </row>
    <row r="1613" ht="12" customHeight="1">
      <c r="A1613" s="30" t="inlineStr">
        <is>
          <t>ITG</t>
        </is>
      </c>
      <c r="B1613" s="30" t="inlineStr">
        <is>
          <t>Itaguai</t>
        </is>
      </c>
      <c r="C1613" s="30" t="n">
        <v>86961768</v>
      </c>
      <c r="D1613" s="30">
        <f>"22830892000190"</f>
        <v/>
      </c>
      <c r="E1613" s="30" t="inlineStr">
        <is>
          <t>TEC 2016 COMERCIO E REPRESENTACOES EIRELI ME</t>
        </is>
      </c>
      <c r="F1613" s="40" t="n">
        <v>0</v>
      </c>
      <c r="G1613" s="40" t="n">
        <v>0</v>
      </c>
      <c r="H1613" s="40" t="n">
        <v>0</v>
      </c>
      <c r="I1613" s="40" t="n">
        <v>0</v>
      </c>
      <c r="J1613" s="40" t="n">
        <v>0</v>
      </c>
      <c r="K1613" s="40" t="n">
        <v>0</v>
      </c>
      <c r="L1613" s="40" t="n">
        <v>0</v>
      </c>
    </row>
    <row r="1614" ht="12" customHeight="1">
      <c r="A1614" s="30" t="inlineStr">
        <is>
          <t>ITG</t>
        </is>
      </c>
      <c r="B1614" s="30" t="inlineStr">
        <is>
          <t>Itaguai</t>
        </is>
      </c>
      <c r="C1614" s="30" t="n">
        <v>86964007</v>
      </c>
      <c r="D1614" s="30">
        <f>"57642431000330"</f>
        <v/>
      </c>
      <c r="E1614" s="30" t="inlineStr">
        <is>
          <t>TRANSPORTADORA NOVA BRASILIA EIRELI</t>
        </is>
      </c>
      <c r="F1614" s="40" t="n">
        <v>285.02</v>
      </c>
      <c r="G1614" s="40" t="n">
        <v>0</v>
      </c>
      <c r="H1614" s="40" t="n">
        <v>0</v>
      </c>
      <c r="I1614" s="40" t="n">
        <v>0</v>
      </c>
      <c r="J1614" s="40" t="n">
        <v>0</v>
      </c>
      <c r="K1614" s="40" t="n">
        <v>0</v>
      </c>
      <c r="L1614" s="40" t="n">
        <v>0</v>
      </c>
    </row>
    <row r="1615" ht="12" customHeight="1">
      <c r="A1615" s="30" t="inlineStr">
        <is>
          <t>ITG</t>
        </is>
      </c>
      <c r="B1615" s="30" t="inlineStr">
        <is>
          <t>Itaguai</t>
        </is>
      </c>
      <c r="C1615" s="30" t="n">
        <v>86967316</v>
      </c>
      <c r="D1615" s="30">
        <f>"22888964000150"</f>
        <v/>
      </c>
      <c r="E1615" s="30" t="inlineStr">
        <is>
          <t>LT LOGISTICA, TRANSPORTE E DISTRIBUIDORA LTDA - ME</t>
        </is>
      </c>
      <c r="F1615" s="40" t="n">
        <v>0</v>
      </c>
      <c r="G1615" s="40" t="n">
        <v>0</v>
      </c>
      <c r="H1615" s="40" t="n">
        <v>0</v>
      </c>
      <c r="I1615" s="40" t="n">
        <v>0</v>
      </c>
      <c r="J1615" s="40" t="n">
        <v>0</v>
      </c>
      <c r="K1615" s="40" t="n">
        <v>58697.4</v>
      </c>
      <c r="L1615" s="40" t="n">
        <v>0</v>
      </c>
    </row>
    <row r="1616" ht="12" customHeight="1">
      <c r="A1616" s="30" t="inlineStr">
        <is>
          <t>ITG</t>
        </is>
      </c>
      <c r="B1616" s="30" t="inlineStr">
        <is>
          <t>Itaguai</t>
        </is>
      </c>
      <c r="C1616" s="30" t="n">
        <v>86976722</v>
      </c>
      <c r="D1616" s="30">
        <f>"04370759000117"</f>
        <v/>
      </c>
      <c r="E1616" s="30" t="inlineStr">
        <is>
          <t>LIDER RIO CENTRO AUTOMOTIVO LTDA ME</t>
        </is>
      </c>
      <c r="F1616" s="40" t="n">
        <v>0</v>
      </c>
      <c r="G1616" s="40" t="n">
        <v>80884.78</v>
      </c>
      <c r="H1616" s="40" t="n">
        <v>0</v>
      </c>
      <c r="I1616" s="40" t="n">
        <v>0</v>
      </c>
      <c r="J1616" s="40" t="n">
        <v>0</v>
      </c>
      <c r="K1616" s="40" t="n">
        <v>0</v>
      </c>
      <c r="L1616" s="40" t="n">
        <v>0</v>
      </c>
    </row>
    <row r="1617" ht="12" customHeight="1">
      <c r="A1617" s="30" t="inlineStr">
        <is>
          <t>ITG</t>
        </is>
      </c>
      <c r="B1617" s="30" t="inlineStr">
        <is>
          <t>Itaguai</t>
        </is>
      </c>
      <c r="C1617" s="30" t="n">
        <v>86982420</v>
      </c>
      <c r="D1617" s="30">
        <f>"07568880000227"</f>
        <v/>
      </c>
      <c r="E1617" s="30" t="inlineStr">
        <is>
          <t>EXPRESSO RECREIO TRANSPORTE DE PASSAGEIROS LTDA</t>
        </is>
      </c>
      <c r="F1617" s="40" t="n">
        <v>0</v>
      </c>
      <c r="G1617" s="40" t="n">
        <v>0</v>
      </c>
      <c r="H1617" s="40" t="n">
        <v>0</v>
      </c>
      <c r="I1617" s="40" t="n">
        <v>0</v>
      </c>
      <c r="J1617" s="40" t="n">
        <v>0</v>
      </c>
      <c r="K1617" s="40" t="n">
        <v>0</v>
      </c>
      <c r="L1617" s="40" t="n">
        <v>0</v>
      </c>
    </row>
    <row r="1618" ht="12" customHeight="1">
      <c r="A1618" s="30" t="inlineStr">
        <is>
          <t>ITG</t>
        </is>
      </c>
      <c r="B1618" s="30" t="inlineStr">
        <is>
          <t>Itaguai</t>
        </is>
      </c>
      <c r="C1618" s="30" t="n">
        <v>86982641</v>
      </c>
      <c r="D1618" s="30">
        <f>"23030038000102"</f>
        <v/>
      </c>
      <c r="E1618" s="30" t="inlineStr">
        <is>
          <t>ARS BRISAMAR MADEIRAS EIRELI</t>
        </is>
      </c>
      <c r="F1618" s="40" t="n">
        <v>0</v>
      </c>
      <c r="G1618" s="40" t="n">
        <v>0</v>
      </c>
      <c r="H1618" s="40" t="n">
        <v>0</v>
      </c>
      <c r="I1618" s="40" t="n">
        <v>0</v>
      </c>
      <c r="J1618" s="40" t="n">
        <v>0</v>
      </c>
      <c r="K1618" s="40" t="n">
        <v>0</v>
      </c>
      <c r="L1618" s="40" t="n">
        <v>0</v>
      </c>
    </row>
    <row r="1619" ht="12" customHeight="1">
      <c r="A1619" s="30" t="inlineStr">
        <is>
          <t>ITG</t>
        </is>
      </c>
      <c r="B1619" s="30" t="inlineStr">
        <is>
          <t>Itaguai</t>
        </is>
      </c>
      <c r="C1619" s="30" t="n">
        <v>86982927</v>
      </c>
      <c r="D1619" s="30">
        <f>"22847052000130"</f>
        <v/>
      </c>
      <c r="E1619" s="30" t="inlineStr">
        <is>
          <t>NJG TRANSPORTES DE CARGAS LTDA</t>
        </is>
      </c>
      <c r="F1619" s="40" t="n">
        <v>0</v>
      </c>
      <c r="G1619" s="40" t="n">
        <v>0</v>
      </c>
      <c r="H1619" s="40" t="n">
        <v>0</v>
      </c>
      <c r="I1619" s="40" t="n">
        <v>0</v>
      </c>
      <c r="J1619" s="40" t="n">
        <v>1</v>
      </c>
      <c r="K1619" s="40" t="n">
        <v>0</v>
      </c>
      <c r="L1619" s="40" t="n">
        <v>0</v>
      </c>
    </row>
    <row r="1620" ht="12" customHeight="1">
      <c r="A1620" s="30" t="inlineStr">
        <is>
          <t>ITG</t>
        </is>
      </c>
      <c r="B1620" s="30" t="inlineStr">
        <is>
          <t>Itaguai</t>
        </is>
      </c>
      <c r="C1620" s="30" t="n">
        <v>86989891</v>
      </c>
      <c r="D1620" s="30">
        <f>"23035935000109"</f>
        <v/>
      </c>
      <c r="E1620" s="30" t="inlineStr">
        <is>
          <t>PEIXARIA J N DE ITAGUAI LTDA ME</t>
        </is>
      </c>
      <c r="F1620" s="40" t="n">
        <v>0</v>
      </c>
      <c r="G1620" s="40" t="n">
        <v>0</v>
      </c>
      <c r="H1620" s="40" t="n">
        <v>82277.32000000001</v>
      </c>
      <c r="I1620" s="40" t="n">
        <v>0</v>
      </c>
      <c r="J1620" s="40" t="n">
        <v>0</v>
      </c>
      <c r="K1620" s="40" t="n">
        <v>0</v>
      </c>
      <c r="L1620" s="40" t="n">
        <v>0</v>
      </c>
    </row>
    <row r="1621" ht="12" customHeight="1">
      <c r="A1621" s="30" t="inlineStr">
        <is>
          <t>ITG</t>
        </is>
      </c>
      <c r="B1621" s="30" t="inlineStr">
        <is>
          <t>Itaguai</t>
        </is>
      </c>
      <c r="C1621" s="30" t="n">
        <v>86994178</v>
      </c>
      <c r="D1621" s="30">
        <f>"53237962003140"</f>
        <v/>
      </c>
      <c r="E1621" s="30" t="inlineStr">
        <is>
          <t>EMPRESA DE TRANSPORTES PAJUCARA LTDA</t>
        </is>
      </c>
      <c r="F1621" s="40" t="n">
        <v>3227.2</v>
      </c>
      <c r="G1621" s="40" t="n">
        <v>5038.36</v>
      </c>
      <c r="H1621" s="40" t="n">
        <v>6548.86</v>
      </c>
      <c r="I1621" s="40" t="n">
        <v>2396.77</v>
      </c>
      <c r="J1621" s="40" t="n">
        <v>2656.17</v>
      </c>
      <c r="K1621" s="40" t="n">
        <v>3830.12</v>
      </c>
      <c r="L1621" s="40" t="n">
        <v>1324.85</v>
      </c>
    </row>
    <row r="1622" ht="12" customHeight="1">
      <c r="A1622" s="30" t="inlineStr">
        <is>
          <t>ITG</t>
        </is>
      </c>
      <c r="B1622" s="30" t="inlineStr">
        <is>
          <t>Itaguai</t>
        </is>
      </c>
      <c r="C1622" s="30" t="n">
        <v>86997177</v>
      </c>
      <c r="D1622" s="30">
        <f>"23126330000123"</f>
        <v/>
      </c>
      <c r="E1622" s="30" t="inlineStr">
        <is>
          <t>TRANSFUTURO LOGISTICA LTDA</t>
        </is>
      </c>
      <c r="F1622" s="40" t="n">
        <v>0</v>
      </c>
      <c r="G1622" s="40" t="n">
        <v>0</v>
      </c>
      <c r="H1622" s="40" t="n">
        <v>0</v>
      </c>
      <c r="I1622" s="40" t="n">
        <v>0</v>
      </c>
      <c r="J1622" s="40" t="n">
        <v>0</v>
      </c>
      <c r="K1622" s="40" t="n">
        <v>750316.23</v>
      </c>
      <c r="L1622" s="40" t="n">
        <v>0</v>
      </c>
    </row>
    <row r="1623" ht="12" customHeight="1">
      <c r="A1623" s="30" t="inlineStr">
        <is>
          <t>ITG</t>
        </is>
      </c>
      <c r="B1623" s="30" t="inlineStr">
        <is>
          <t>Itaguai</t>
        </is>
      </c>
      <c r="C1623" s="30" t="n">
        <v>86998734</v>
      </c>
      <c r="D1623" s="30">
        <f>"16416528000186"</f>
        <v/>
      </c>
      <c r="E1623" s="30" t="inlineStr">
        <is>
          <t>VALCOMEX EQUIPAMENTOS TECNICOS E MATERIAIS LTDA</t>
        </is>
      </c>
      <c r="F1623" s="40" t="n">
        <v>0</v>
      </c>
      <c r="G1623" s="40" t="n">
        <v>0</v>
      </c>
      <c r="H1623" s="40" t="n">
        <v>0</v>
      </c>
      <c r="I1623" s="40" t="n">
        <v>0</v>
      </c>
      <c r="J1623" s="40" t="n">
        <v>0</v>
      </c>
      <c r="K1623" s="40" t="n">
        <v>0</v>
      </c>
      <c r="L1623" s="40" t="n">
        <v>0</v>
      </c>
    </row>
    <row r="1624" ht="12" customHeight="1">
      <c r="A1624" s="30" t="inlineStr">
        <is>
          <t>ITG</t>
        </is>
      </c>
      <c r="B1624" s="30" t="inlineStr">
        <is>
          <t>Itaguai</t>
        </is>
      </c>
      <c r="C1624" s="30" t="n">
        <v>87000060</v>
      </c>
      <c r="D1624" s="30">
        <f>"23196759000197"</f>
        <v/>
      </c>
      <c r="E1624" s="30" t="inlineStr">
        <is>
          <t>AZZURRA FRANCE VEICULOS LTDA</t>
        </is>
      </c>
      <c r="F1624" s="40" t="n">
        <v>541407.52</v>
      </c>
      <c r="G1624" s="40" t="n">
        <v>13672453.5</v>
      </c>
      <c r="H1624" s="40" t="n">
        <v>6254472.28</v>
      </c>
      <c r="I1624" s="40" t="n">
        <v>346989.5</v>
      </c>
      <c r="J1624" s="40" t="n">
        <v>2689519.87</v>
      </c>
      <c r="K1624" s="40" t="n">
        <v>3285769.85</v>
      </c>
      <c r="L1624" s="40" t="n">
        <v>0</v>
      </c>
    </row>
    <row r="1625" ht="12" customHeight="1">
      <c r="A1625" s="30" t="inlineStr">
        <is>
          <t>ITG</t>
        </is>
      </c>
      <c r="B1625" s="30" t="inlineStr">
        <is>
          <t>Itaguai</t>
        </is>
      </c>
      <c r="C1625" s="30" t="n">
        <v>87006298</v>
      </c>
      <c r="D1625" s="30">
        <f>"28670958000370"</f>
        <v/>
      </c>
      <c r="E1625" s="30" t="inlineStr">
        <is>
          <t>VIACAO CIDADE DO ACO LTDA</t>
        </is>
      </c>
      <c r="F1625" s="40" t="n">
        <v>0</v>
      </c>
      <c r="G1625" s="40" t="n">
        <v>0</v>
      </c>
      <c r="H1625" s="40" t="n">
        <v>0</v>
      </c>
      <c r="I1625" s="40" t="n">
        <v>0</v>
      </c>
      <c r="J1625" s="40" t="n">
        <v>0</v>
      </c>
      <c r="K1625" s="40" t="n">
        <v>3115.28</v>
      </c>
      <c r="L1625" s="40" t="n">
        <v>1975.96</v>
      </c>
    </row>
    <row r="1626" ht="12" customHeight="1">
      <c r="A1626" s="30" t="inlineStr">
        <is>
          <t>ITG</t>
        </is>
      </c>
      <c r="B1626" s="30" t="inlineStr">
        <is>
          <t>Itaguai</t>
        </is>
      </c>
      <c r="C1626" s="30" t="n">
        <v>87010287</v>
      </c>
      <c r="D1626" s="30">
        <f>"11114284012331"</f>
        <v/>
      </c>
      <c r="E1626" s="30" t="inlineStr">
        <is>
          <t>CASA &amp; VIDEO RIO DE JANEIRO S A</t>
        </is>
      </c>
      <c r="F1626" s="40" t="n">
        <v>1285246.94</v>
      </c>
      <c r="G1626" s="40" t="n">
        <v>1299687.33</v>
      </c>
      <c r="H1626" s="40" t="n">
        <v>1358938.06</v>
      </c>
      <c r="I1626" s="40" t="n">
        <v>1433222.17</v>
      </c>
      <c r="J1626" s="40" t="n">
        <v>1157666.67</v>
      </c>
      <c r="K1626" s="40" t="n">
        <v>1291233.72</v>
      </c>
      <c r="L1626" s="40" t="n">
        <v>1352202.16</v>
      </c>
    </row>
    <row r="1627" ht="12" customHeight="1">
      <c r="A1627" s="30" t="inlineStr">
        <is>
          <t>ITG</t>
        </is>
      </c>
      <c r="B1627" s="30" t="inlineStr">
        <is>
          <t>Itaguai</t>
        </is>
      </c>
      <c r="C1627" s="30" t="n">
        <v>87012000</v>
      </c>
      <c r="D1627" s="30">
        <f>"02990003000226"</f>
        <v/>
      </c>
      <c r="E1627" s="30" t="inlineStr">
        <is>
          <t>SUPRAMAR DE IGUACU LTDA</t>
        </is>
      </c>
      <c r="F1627" s="40" t="n">
        <v>1100</v>
      </c>
      <c r="G1627" s="40" t="n">
        <v>0</v>
      </c>
      <c r="H1627" s="40" t="n">
        <v>0</v>
      </c>
      <c r="I1627" s="40" t="n">
        <v>0</v>
      </c>
      <c r="J1627" s="40" t="n">
        <v>0</v>
      </c>
      <c r="K1627" s="40" t="n">
        <v>0</v>
      </c>
      <c r="L1627" s="40" t="n">
        <v>0</v>
      </c>
    </row>
    <row r="1628" ht="12" customHeight="1">
      <c r="A1628" s="30" t="inlineStr">
        <is>
          <t>ITG</t>
        </is>
      </c>
      <c r="B1628" s="30" t="inlineStr">
        <is>
          <t>Itaguai</t>
        </is>
      </c>
      <c r="C1628" s="30" t="n">
        <v>87013952</v>
      </c>
      <c r="D1628" s="30">
        <f>"05886614003585"</f>
        <v/>
      </c>
      <c r="E1628" s="30" t="inlineStr">
        <is>
          <t>DIRECT EXPRESS LOGISTICA INTEGRADA S/A</t>
        </is>
      </c>
      <c r="F1628" s="40" t="n">
        <v>9036.889999999999</v>
      </c>
      <c r="G1628" s="40" t="n">
        <v>0</v>
      </c>
      <c r="H1628" s="40" t="n">
        <v>0</v>
      </c>
      <c r="I1628" s="40" t="n">
        <v>0</v>
      </c>
      <c r="J1628" s="40" t="n">
        <v>0</v>
      </c>
      <c r="K1628" s="40" t="n">
        <v>0</v>
      </c>
      <c r="L1628" s="40" t="n">
        <v>0</v>
      </c>
    </row>
    <row r="1629" ht="12" customHeight="1">
      <c r="A1629" s="30" t="inlineStr">
        <is>
          <t>ITG</t>
        </is>
      </c>
      <c r="B1629" s="30" t="inlineStr">
        <is>
          <t>Itaguai</t>
        </is>
      </c>
      <c r="C1629" s="30" t="n">
        <v>87015025</v>
      </c>
      <c r="D1629" s="30">
        <f>"10329139000218"</f>
        <v/>
      </c>
      <c r="E1629" s="30" t="inlineStr">
        <is>
          <t>DOXS LOGISTICA INTEGRADA LTDA</t>
        </is>
      </c>
      <c r="F1629" s="40" t="n">
        <v>0</v>
      </c>
      <c r="G1629" s="40" t="n">
        <v>0</v>
      </c>
      <c r="H1629" s="40" t="n">
        <v>0</v>
      </c>
      <c r="I1629" s="40" t="n">
        <v>0</v>
      </c>
      <c r="J1629" s="40" t="n">
        <v>85.7</v>
      </c>
      <c r="K1629" s="40" t="n">
        <v>0</v>
      </c>
      <c r="L1629" s="40" t="n">
        <v>0</v>
      </c>
    </row>
    <row r="1630" ht="12" customHeight="1">
      <c r="A1630" s="30" t="inlineStr">
        <is>
          <t>ITG</t>
        </is>
      </c>
      <c r="B1630" s="30" t="inlineStr">
        <is>
          <t>Itaguai</t>
        </is>
      </c>
      <c r="C1630" s="30" t="n">
        <v>87021700</v>
      </c>
      <c r="D1630" s="30">
        <f>"28670958000290"</f>
        <v/>
      </c>
      <c r="E1630" s="30" t="inlineStr">
        <is>
          <t>VIACAO CIDADE DO ACO LTDA</t>
        </is>
      </c>
      <c r="F1630" s="40" t="n">
        <v>0</v>
      </c>
      <c r="G1630" s="40" t="n">
        <v>0</v>
      </c>
      <c r="H1630" s="40" t="n">
        <v>0</v>
      </c>
      <c r="I1630" s="40" t="n">
        <v>0</v>
      </c>
      <c r="J1630" s="40" t="n">
        <v>0</v>
      </c>
      <c r="K1630" s="40" t="n">
        <v>10900</v>
      </c>
      <c r="L1630" s="40" t="n">
        <v>39800</v>
      </c>
    </row>
    <row r="1631" ht="12" customHeight="1">
      <c r="A1631" s="30" t="inlineStr">
        <is>
          <t>ITG</t>
        </is>
      </c>
      <c r="B1631" s="30" t="inlineStr">
        <is>
          <t>Itaguai</t>
        </is>
      </c>
      <c r="C1631" s="30" t="n">
        <v>87029271</v>
      </c>
      <c r="D1631" s="30">
        <f>"30620298000446"</f>
        <v/>
      </c>
      <c r="E1631" s="30" t="inlineStr">
        <is>
          <t>EXPRESSO RIO DE JANEIRO LTDA</t>
        </is>
      </c>
      <c r="F1631" s="40" t="n">
        <v>0</v>
      </c>
      <c r="G1631" s="40" t="n">
        <v>0</v>
      </c>
      <c r="H1631" s="40" t="n">
        <v>0</v>
      </c>
      <c r="I1631" s="40" t="n">
        <v>0</v>
      </c>
      <c r="J1631" s="40" t="n">
        <v>0</v>
      </c>
      <c r="K1631" s="40" t="n">
        <v>0</v>
      </c>
      <c r="L1631" s="40" t="n">
        <v>7690</v>
      </c>
    </row>
    <row r="1632" ht="12" customHeight="1">
      <c r="A1632" s="30" t="inlineStr">
        <is>
          <t>ITG</t>
        </is>
      </c>
      <c r="B1632" s="30" t="inlineStr">
        <is>
          <t>Itaguai</t>
        </is>
      </c>
      <c r="C1632" s="30" t="n">
        <v>87031993</v>
      </c>
      <c r="D1632" s="30">
        <f>"23236527000115"</f>
        <v/>
      </c>
      <c r="E1632" s="30" t="inlineStr">
        <is>
          <t>E AZEVEDO TRANSPORTE E LOGISTICA LTDA ME</t>
        </is>
      </c>
      <c r="F1632" s="40" t="n">
        <v>0</v>
      </c>
      <c r="G1632" s="40" t="n">
        <v>3774</v>
      </c>
      <c r="H1632" s="40" t="n">
        <v>0</v>
      </c>
      <c r="I1632" s="40" t="n">
        <v>0</v>
      </c>
      <c r="J1632" s="40" t="n">
        <v>0</v>
      </c>
      <c r="K1632" s="40" t="n">
        <v>0</v>
      </c>
      <c r="L1632" s="40" t="n">
        <v>0</v>
      </c>
    </row>
    <row r="1633" ht="12" customHeight="1">
      <c r="A1633" s="30" t="inlineStr">
        <is>
          <t>ITG</t>
        </is>
      </c>
      <c r="B1633" s="30" t="inlineStr">
        <is>
          <t>Itaguai</t>
        </is>
      </c>
      <c r="C1633" s="30" t="n">
        <v>87034607</v>
      </c>
      <c r="D1633" s="30">
        <f>"16654626003410"</f>
        <v/>
      </c>
      <c r="E1633" s="30" t="inlineStr">
        <is>
          <t>COOK EMPREENDIMENTOS EM ALIMENTACAO COLETIVA LTDA</t>
        </is>
      </c>
      <c r="F1633" s="40" t="n">
        <v>3831108.05</v>
      </c>
      <c r="G1633" s="40" t="n">
        <v>0</v>
      </c>
      <c r="H1633" s="40" t="n">
        <v>0</v>
      </c>
      <c r="I1633" s="40" t="n">
        <v>0</v>
      </c>
      <c r="J1633" s="40" t="n">
        <v>0</v>
      </c>
      <c r="K1633" s="40" t="n">
        <v>0</v>
      </c>
      <c r="L1633" s="40" t="n">
        <v>0</v>
      </c>
    </row>
    <row r="1634" ht="12" customHeight="1">
      <c r="A1634" s="30" t="inlineStr">
        <is>
          <t>ITG</t>
        </is>
      </c>
      <c r="B1634" s="30" t="inlineStr">
        <is>
          <t>Itaguai</t>
        </is>
      </c>
      <c r="C1634" s="30" t="n">
        <v>87035794</v>
      </c>
      <c r="D1634" s="30">
        <f>"05872814000300"</f>
        <v/>
      </c>
      <c r="E1634" s="30" t="inlineStr">
        <is>
          <t>VOGEL SOLUCOES EM TELECOMUNICACOES E INFORMATICA S.A.</t>
        </is>
      </c>
      <c r="F1634" s="40" t="n">
        <v>0</v>
      </c>
      <c r="G1634" s="40" t="n">
        <v>0</v>
      </c>
      <c r="H1634" s="40" t="n">
        <v>0</v>
      </c>
      <c r="I1634" s="40" t="n">
        <v>0</v>
      </c>
      <c r="J1634" s="40" t="n">
        <v>0</v>
      </c>
      <c r="K1634" s="40" t="n">
        <v>15691.91</v>
      </c>
      <c r="L1634" s="40" t="n">
        <v>182833.67</v>
      </c>
    </row>
    <row r="1635" ht="12" customHeight="1">
      <c r="A1635" s="30" t="inlineStr">
        <is>
          <t>ITG</t>
        </is>
      </c>
      <c r="B1635" s="30" t="inlineStr">
        <is>
          <t>Itaguai</t>
        </is>
      </c>
      <c r="C1635" s="30" t="n">
        <v>87038645</v>
      </c>
      <c r="D1635" s="30">
        <f>"44772937000665"</f>
        <v/>
      </c>
      <c r="E1635" s="30" t="inlineStr">
        <is>
          <t>TELEMATICA SISTEMAS INTELIGENTES LTDA</t>
        </is>
      </c>
      <c r="F1635" s="40" t="n">
        <v>41118.06</v>
      </c>
      <c r="G1635" s="40" t="n">
        <v>0</v>
      </c>
      <c r="H1635" s="40" t="n">
        <v>0</v>
      </c>
      <c r="I1635" s="40" t="n">
        <v>0</v>
      </c>
      <c r="J1635" s="40" t="n">
        <v>0</v>
      </c>
      <c r="K1635" s="40" t="n">
        <v>0</v>
      </c>
      <c r="L1635" s="40" t="n">
        <v>0</v>
      </c>
    </row>
    <row r="1636" ht="12" customHeight="1">
      <c r="A1636" s="30" t="inlineStr">
        <is>
          <t>ITG</t>
        </is>
      </c>
      <c r="B1636" s="30" t="inlineStr">
        <is>
          <t>Itaguai</t>
        </is>
      </c>
      <c r="C1636" s="30" t="n">
        <v>87051048</v>
      </c>
      <c r="D1636" s="30">
        <f>"23671660000108"</f>
        <v/>
      </c>
      <c r="E1636" s="30" t="inlineStr">
        <is>
          <t>GLOG TRANSPORTES EIRELI</t>
        </is>
      </c>
      <c r="F1636" s="40" t="n">
        <v>0</v>
      </c>
      <c r="G1636" s="40" t="n">
        <v>0</v>
      </c>
      <c r="H1636" s="40" t="n">
        <v>0</v>
      </c>
      <c r="I1636" s="40" t="n">
        <v>25065.94</v>
      </c>
      <c r="J1636" s="40" t="n">
        <v>0</v>
      </c>
      <c r="K1636" s="40" t="n">
        <v>0</v>
      </c>
      <c r="L1636" s="40" t="n">
        <v>0</v>
      </c>
    </row>
    <row r="1637" ht="12" customHeight="1">
      <c r="A1637" s="30" t="inlineStr">
        <is>
          <t>ITG</t>
        </is>
      </c>
      <c r="B1637" s="30" t="inlineStr">
        <is>
          <t>Itaguai</t>
        </is>
      </c>
      <c r="C1637" s="30" t="n">
        <v>87056805</v>
      </c>
      <c r="D1637" s="30">
        <f>"23723970000110"</f>
        <v/>
      </c>
      <c r="E1637" s="30" t="inlineStr">
        <is>
          <t>HALTER TECH ACADEMIA LTDA ME</t>
        </is>
      </c>
      <c r="F1637" s="40" t="n">
        <v>0</v>
      </c>
      <c r="G1637" s="40" t="n">
        <v>0</v>
      </c>
      <c r="H1637" s="40" t="n">
        <v>0</v>
      </c>
      <c r="I1637" s="40" t="n">
        <v>0</v>
      </c>
      <c r="J1637" s="40" t="n">
        <v>0</v>
      </c>
      <c r="K1637" s="40" t="n">
        <v>0</v>
      </c>
      <c r="L1637" s="40" t="n">
        <v>0</v>
      </c>
    </row>
    <row r="1638" ht="12" customHeight="1">
      <c r="A1638" s="30" t="inlineStr">
        <is>
          <t>ITG</t>
        </is>
      </c>
      <c r="B1638" s="30" t="inlineStr">
        <is>
          <t>Itaguai</t>
        </is>
      </c>
      <c r="C1638" s="30" t="n">
        <v>87058182</v>
      </c>
      <c r="D1638" s="30">
        <f>"23734062000122"</f>
        <v/>
      </c>
      <c r="E1638" s="30" t="inlineStr">
        <is>
          <t>J T CALIL COMERCIO DE JOIAS EIRELI</t>
        </is>
      </c>
      <c r="F1638" s="40" t="n">
        <v>2493669.29</v>
      </c>
      <c r="G1638" s="40" t="n">
        <v>1850685.07</v>
      </c>
      <c r="H1638" s="40" t="n">
        <v>2231860.75</v>
      </c>
      <c r="I1638" s="40" t="n">
        <v>2071249.94</v>
      </c>
      <c r="J1638" s="40" t="n">
        <v>3244437.11</v>
      </c>
      <c r="K1638" s="40" t="n">
        <v>1912372.62</v>
      </c>
      <c r="L1638" s="40" t="n">
        <v>1554190.26</v>
      </c>
    </row>
    <row r="1639" ht="12" customHeight="1">
      <c r="A1639" s="30" t="inlineStr">
        <is>
          <t>ITG</t>
        </is>
      </c>
      <c r="B1639" s="30" t="inlineStr">
        <is>
          <t>Itaguai</t>
        </is>
      </c>
      <c r="C1639" s="30" t="n">
        <v>87062554</v>
      </c>
      <c r="D1639" s="30">
        <f>"17252128000145"</f>
        <v/>
      </c>
      <c r="E1639" s="30" t="inlineStr">
        <is>
          <t>REVOLUTION SOM ILUMINACAO E IMAGEM EIRELI ME</t>
        </is>
      </c>
      <c r="F1639" s="40" t="n">
        <v>0</v>
      </c>
      <c r="G1639" s="40" t="n">
        <v>0</v>
      </c>
      <c r="H1639" s="40" t="n">
        <v>0</v>
      </c>
      <c r="I1639" s="40" t="n">
        <v>0</v>
      </c>
      <c r="J1639" s="40" t="n">
        <v>0</v>
      </c>
      <c r="K1639" s="40" t="n">
        <v>0</v>
      </c>
      <c r="L1639" s="40" t="n">
        <v>0</v>
      </c>
    </row>
    <row r="1640" ht="12" customHeight="1">
      <c r="A1640" s="30" t="inlineStr">
        <is>
          <t>ITG</t>
        </is>
      </c>
      <c r="B1640" s="30" t="inlineStr">
        <is>
          <t>Itaguai</t>
        </is>
      </c>
      <c r="C1640" s="30" t="n">
        <v>87067998</v>
      </c>
      <c r="D1640" s="30">
        <f>"06695952000234"</f>
        <v/>
      </c>
      <c r="E1640" s="30" t="inlineStr">
        <is>
          <t>ACL CARGO TRANSPORTES LTDA EPP</t>
        </is>
      </c>
      <c r="F1640" s="40" t="n">
        <v>0</v>
      </c>
      <c r="G1640" s="40" t="n">
        <v>0</v>
      </c>
      <c r="H1640" s="40" t="n">
        <v>0</v>
      </c>
      <c r="I1640" s="40" t="n">
        <v>344928.61</v>
      </c>
      <c r="J1640" s="40" t="n">
        <v>0</v>
      </c>
      <c r="K1640" s="40" t="n">
        <v>216248.59</v>
      </c>
      <c r="L1640" s="40" t="n">
        <v>0</v>
      </c>
    </row>
    <row r="1641" ht="12" customHeight="1">
      <c r="A1641" s="30" t="inlineStr">
        <is>
          <t>ITG</t>
        </is>
      </c>
      <c r="B1641" s="30" t="inlineStr">
        <is>
          <t>Itaguai</t>
        </is>
      </c>
      <c r="C1641" s="30" t="n">
        <v>87069273</v>
      </c>
      <c r="D1641" s="30">
        <f>"03572841000242"</f>
        <v/>
      </c>
      <c r="E1641" s="30" t="inlineStr">
        <is>
          <t>ULTRASOL AMBIENTAL LTDA</t>
        </is>
      </c>
      <c r="F1641" s="40" t="n">
        <v>0</v>
      </c>
      <c r="G1641" s="40" t="n">
        <v>2682</v>
      </c>
      <c r="H1641" s="40" t="n">
        <v>4377</v>
      </c>
      <c r="I1641" s="40" t="n">
        <v>708.27</v>
      </c>
      <c r="J1641" s="40" t="n">
        <v>0</v>
      </c>
      <c r="K1641" s="40" t="n">
        <v>0</v>
      </c>
      <c r="L1641" s="40" t="n">
        <v>0</v>
      </c>
    </row>
    <row r="1642" ht="12" customHeight="1">
      <c r="A1642" s="30" t="inlineStr">
        <is>
          <t>ITG</t>
        </is>
      </c>
      <c r="B1642" s="30" t="inlineStr">
        <is>
          <t>Itaguai</t>
        </is>
      </c>
      <c r="C1642" s="30" t="n">
        <v>87077187</v>
      </c>
      <c r="D1642" s="30">
        <f>"01599101002056"</f>
        <v/>
      </c>
      <c r="E1642" s="30" t="inlineStr">
        <is>
          <t>SEQUOIA LOGISTICA E TRANSPORTES S.A.</t>
        </is>
      </c>
      <c r="F1642" s="40" t="n">
        <v>0</v>
      </c>
      <c r="G1642" s="40" t="n">
        <v>0</v>
      </c>
      <c r="H1642" s="40" t="n">
        <v>0</v>
      </c>
      <c r="I1642" s="40" t="n">
        <v>35.49</v>
      </c>
      <c r="J1642" s="40" t="n">
        <v>1644.82</v>
      </c>
      <c r="K1642" s="40" t="n">
        <v>325015.73</v>
      </c>
      <c r="L1642" s="40" t="n">
        <v>84681.39999999999</v>
      </c>
    </row>
    <row r="1643" ht="12" customHeight="1">
      <c r="A1643" s="30" t="inlineStr">
        <is>
          <t>ITG</t>
        </is>
      </c>
      <c r="B1643" s="30" t="inlineStr">
        <is>
          <t>Itaguai</t>
        </is>
      </c>
      <c r="C1643" s="30" t="n">
        <v>87100375</v>
      </c>
      <c r="D1643" s="30">
        <f>"19938420000222"</f>
        <v/>
      </c>
      <c r="E1643" s="30" t="inlineStr">
        <is>
          <t>BEGUR TRANSPORTE RODOVIARIO LOGISTICA E SERVICOS LTDA</t>
        </is>
      </c>
      <c r="F1643" s="40" t="n">
        <v>0</v>
      </c>
      <c r="G1643" s="40" t="n">
        <v>0</v>
      </c>
      <c r="H1643" s="40" t="n">
        <v>0</v>
      </c>
      <c r="I1643" s="40" t="n">
        <v>0</v>
      </c>
      <c r="J1643" s="40" t="n">
        <v>0</v>
      </c>
      <c r="K1643" s="40" t="n">
        <v>0</v>
      </c>
      <c r="L1643" s="40" t="n">
        <v>70</v>
      </c>
    </row>
    <row r="1644" ht="12" customHeight="1">
      <c r="A1644" s="30" t="inlineStr">
        <is>
          <t>ITG</t>
        </is>
      </c>
      <c r="B1644" s="30" t="inlineStr">
        <is>
          <t>Itaguai</t>
        </is>
      </c>
      <c r="C1644" s="30" t="n">
        <v>87102580</v>
      </c>
      <c r="D1644" s="30">
        <f>"24229493000102"</f>
        <v/>
      </c>
      <c r="E1644" s="30" t="inlineStr">
        <is>
          <t>F P COMERCIO VAREJISTA DE AUTO PECAS E ACESSORIOS LTDA</t>
        </is>
      </c>
      <c r="F1644" s="40" t="n">
        <v>2962194.11</v>
      </c>
      <c r="G1644" s="40" t="n">
        <v>2337248.99</v>
      </c>
      <c r="H1644" s="40" t="n">
        <v>3520229.39</v>
      </c>
      <c r="I1644" s="40" t="n">
        <v>4474032.16</v>
      </c>
      <c r="J1644" s="40" t="n">
        <v>4638943.95</v>
      </c>
      <c r="K1644" s="40" t="n">
        <v>5237211.22</v>
      </c>
      <c r="L1644" s="40" t="n">
        <v>5074793.38</v>
      </c>
    </row>
    <row r="1645" ht="12" customHeight="1">
      <c r="A1645" s="30" t="inlineStr">
        <is>
          <t>ITG</t>
        </is>
      </c>
      <c r="B1645" s="30" t="inlineStr">
        <is>
          <t>Itaguai</t>
        </is>
      </c>
      <c r="C1645" s="30" t="n">
        <v>87105938</v>
      </c>
      <c r="D1645" s="30">
        <f>"17619009000773"</f>
        <v/>
      </c>
      <c r="E1645" s="30" t="inlineStr">
        <is>
          <t>VENKON EXPRESS TRANSPORTES EIRELI EPP</t>
        </is>
      </c>
      <c r="F1645" s="40" t="n">
        <v>0</v>
      </c>
      <c r="G1645" s="40" t="n">
        <v>0</v>
      </c>
      <c r="H1645" s="40" t="n">
        <v>0</v>
      </c>
      <c r="I1645" s="40" t="n">
        <v>59388.69</v>
      </c>
      <c r="J1645" s="40" t="n">
        <v>47961.87</v>
      </c>
      <c r="K1645" s="40" t="n">
        <v>0</v>
      </c>
      <c r="L1645" s="40" t="n">
        <v>0</v>
      </c>
    </row>
    <row r="1646" ht="12" customHeight="1">
      <c r="A1646" s="30" t="inlineStr">
        <is>
          <t>ITG</t>
        </is>
      </c>
      <c r="B1646" s="30" t="inlineStr">
        <is>
          <t>Itaguai</t>
        </is>
      </c>
      <c r="C1646" s="30" t="n">
        <v>87107094</v>
      </c>
      <c r="D1646" s="30">
        <f>"07677731001278"</f>
        <v/>
      </c>
      <c r="E1646" s="30" t="inlineStr">
        <is>
          <t>AUTOPORT TRANSPORTES E LOGISTICA LTDA</t>
        </is>
      </c>
      <c r="F1646" s="40" t="n">
        <v>0</v>
      </c>
      <c r="G1646" s="40" t="n">
        <v>0</v>
      </c>
      <c r="H1646" s="40" t="n">
        <v>0</v>
      </c>
      <c r="I1646" s="40" t="n">
        <v>0</v>
      </c>
      <c r="J1646" s="40" t="n">
        <v>15194.49</v>
      </c>
      <c r="K1646" s="40" t="n">
        <v>0</v>
      </c>
      <c r="L1646" s="40" t="n">
        <v>0</v>
      </c>
    </row>
    <row r="1647" ht="12" customHeight="1">
      <c r="A1647" s="30" t="inlineStr">
        <is>
          <t>ITG</t>
        </is>
      </c>
      <c r="B1647" s="30" t="inlineStr">
        <is>
          <t>Itaguai</t>
        </is>
      </c>
      <c r="C1647" s="30" t="n">
        <v>87107957</v>
      </c>
      <c r="D1647" s="30">
        <f>"13156593000121"</f>
        <v/>
      </c>
      <c r="E1647" s="30" t="inlineStr">
        <is>
          <t>D F DOS SANTOS JARDINAGEM ME</t>
        </is>
      </c>
      <c r="F1647" s="40" t="n">
        <v>0</v>
      </c>
      <c r="G1647" s="40" t="n">
        <v>0</v>
      </c>
      <c r="H1647" s="40" t="n">
        <v>0</v>
      </c>
      <c r="I1647" s="40" t="n">
        <v>0</v>
      </c>
      <c r="J1647" s="40" t="n">
        <v>0</v>
      </c>
      <c r="K1647" s="40" t="n">
        <v>0</v>
      </c>
      <c r="L1647" s="40" t="n">
        <v>0</v>
      </c>
    </row>
    <row r="1648" ht="12" customHeight="1">
      <c r="A1648" s="30" t="inlineStr">
        <is>
          <t>ITG</t>
        </is>
      </c>
      <c r="B1648" s="30" t="inlineStr">
        <is>
          <t>Itaguai</t>
        </is>
      </c>
      <c r="C1648" s="30" t="n">
        <v>87108643</v>
      </c>
      <c r="D1648" s="30">
        <f>"24209386000104"</f>
        <v/>
      </c>
      <c r="E1648" s="30" t="inlineStr">
        <is>
          <t>SIBÉRIA COMÉRCIO E SERVIÇOS EIRELI</t>
        </is>
      </c>
      <c r="F1648" s="40" t="n">
        <v>0</v>
      </c>
      <c r="G1648" s="40" t="n">
        <v>0</v>
      </c>
      <c r="H1648" s="40" t="n">
        <v>0</v>
      </c>
      <c r="I1648" s="40" t="n">
        <v>315304.9</v>
      </c>
      <c r="J1648" s="40" t="n">
        <v>0</v>
      </c>
      <c r="K1648" s="40" t="n">
        <v>0</v>
      </c>
      <c r="L1648" s="40" t="n">
        <v>0</v>
      </c>
    </row>
    <row r="1649" ht="12" customHeight="1">
      <c r="A1649" s="30" t="inlineStr">
        <is>
          <t>ITG</t>
        </is>
      </c>
      <c r="B1649" s="30" t="inlineStr">
        <is>
          <t>Itaguai</t>
        </is>
      </c>
      <c r="C1649" s="30" t="n">
        <v>87116760</v>
      </c>
      <c r="D1649" s="30">
        <f>"01125797002089"</f>
        <v/>
      </c>
      <c r="E1649" s="30" t="inlineStr">
        <is>
          <t>ATIVA DISTRIBUICAO E LOGISTICA LTDA</t>
        </is>
      </c>
      <c r="F1649" s="40" t="n">
        <v>114.67</v>
      </c>
      <c r="G1649" s="40" t="n">
        <v>0</v>
      </c>
      <c r="H1649" s="40" t="n">
        <v>0</v>
      </c>
      <c r="I1649" s="40" t="n">
        <v>0</v>
      </c>
      <c r="J1649" s="40" t="n">
        <v>0</v>
      </c>
      <c r="K1649" s="40" t="n">
        <v>0</v>
      </c>
      <c r="L1649" s="40" t="n">
        <v>0</v>
      </c>
    </row>
    <row r="1650" ht="12" customHeight="1">
      <c r="A1650" s="30" t="inlineStr">
        <is>
          <t>ITG</t>
        </is>
      </c>
      <c r="B1650" s="30" t="inlineStr">
        <is>
          <t>Itaguai</t>
        </is>
      </c>
      <c r="C1650" s="30" t="n">
        <v>87129985</v>
      </c>
      <c r="D1650" s="30">
        <f>"04577959000226"</f>
        <v/>
      </c>
      <c r="E1650" s="30" t="inlineStr">
        <is>
          <t>BAT TRANSPORTES, LOGÍSTICA E ARMAZENAGEM EIRELI</t>
        </is>
      </c>
      <c r="F1650" s="40" t="n">
        <v>0</v>
      </c>
      <c r="G1650" s="40" t="n">
        <v>0</v>
      </c>
      <c r="H1650" s="40" t="n">
        <v>0</v>
      </c>
      <c r="I1650" s="40" t="n">
        <v>512</v>
      </c>
      <c r="J1650" s="40" t="n">
        <v>0</v>
      </c>
      <c r="K1650" s="40" t="n">
        <v>0</v>
      </c>
      <c r="L1650" s="40" t="n">
        <v>0</v>
      </c>
    </row>
    <row r="1651" ht="12" customHeight="1">
      <c r="A1651" s="30" t="inlineStr">
        <is>
          <t>ITG</t>
        </is>
      </c>
      <c r="B1651" s="30" t="inlineStr">
        <is>
          <t>Itaguai</t>
        </is>
      </c>
      <c r="C1651" s="30" t="n">
        <v>87132536</v>
      </c>
      <c r="D1651" s="30">
        <f>"24487405000164"</f>
        <v/>
      </c>
      <c r="E1651" s="30" t="inlineStr">
        <is>
          <t>CONSTRUTORA E MATERIAL DE CONSTRUCAO CRISTINA EIRELI EPP</t>
        </is>
      </c>
      <c r="F1651" s="40" t="n">
        <v>0</v>
      </c>
      <c r="G1651" s="40" t="n">
        <v>0</v>
      </c>
      <c r="H1651" s="40" t="n">
        <v>0</v>
      </c>
      <c r="I1651" s="40" t="n">
        <v>0</v>
      </c>
      <c r="J1651" s="40" t="n">
        <v>0</v>
      </c>
      <c r="K1651" s="40" t="n">
        <v>0</v>
      </c>
      <c r="L1651" s="40" t="n">
        <v>0</v>
      </c>
    </row>
    <row r="1652" ht="12" customHeight="1">
      <c r="A1652" s="30" t="inlineStr">
        <is>
          <t>ITG</t>
        </is>
      </c>
      <c r="B1652" s="30" t="inlineStr">
        <is>
          <t>Itaguai</t>
        </is>
      </c>
      <c r="C1652" s="30" t="n">
        <v>87132811</v>
      </c>
      <c r="D1652" s="30">
        <f>"24388056000123"</f>
        <v/>
      </c>
      <c r="E1652" s="30" t="inlineStr">
        <is>
          <t>IMPERIAL COSMETICOS DE ITAGUAI LTDA</t>
        </is>
      </c>
      <c r="F1652" s="40" t="n">
        <v>0</v>
      </c>
      <c r="G1652" s="40" t="n">
        <v>1161901.88</v>
      </c>
      <c r="H1652" s="40" t="n">
        <v>0</v>
      </c>
      <c r="I1652" s="40" t="n">
        <v>0</v>
      </c>
      <c r="J1652" s="40" t="n">
        <v>0</v>
      </c>
      <c r="K1652" s="40" t="n">
        <v>0</v>
      </c>
      <c r="L1652" s="40" t="n">
        <v>0</v>
      </c>
    </row>
    <row r="1653" ht="12" customHeight="1">
      <c r="A1653" s="30" t="inlineStr">
        <is>
          <t>ITG</t>
        </is>
      </c>
      <c r="B1653" s="30" t="inlineStr">
        <is>
          <t>Itaguai</t>
        </is>
      </c>
      <c r="C1653" s="30" t="n">
        <v>87132862</v>
      </c>
      <c r="D1653" s="30">
        <f>"16754063000173"</f>
        <v/>
      </c>
      <c r="E1653" s="30" t="inlineStr">
        <is>
          <t>CASAL LOCACOES DE MAQUINAS E EQUIPAMENTOS LTDA</t>
        </is>
      </c>
      <c r="F1653" s="40" t="n">
        <v>0</v>
      </c>
      <c r="G1653" s="40" t="n">
        <v>0</v>
      </c>
      <c r="H1653" s="40" t="n">
        <v>0</v>
      </c>
      <c r="I1653" s="40" t="n">
        <v>0</v>
      </c>
      <c r="J1653" s="40" t="n">
        <v>0</v>
      </c>
      <c r="K1653" s="40" t="n">
        <v>0</v>
      </c>
      <c r="L1653" s="40" t="n">
        <v>0</v>
      </c>
    </row>
    <row r="1654" ht="12" customHeight="1">
      <c r="A1654" s="30" t="inlineStr">
        <is>
          <t>ITG</t>
        </is>
      </c>
      <c r="B1654" s="30" t="inlineStr">
        <is>
          <t>Itaguai</t>
        </is>
      </c>
      <c r="C1654" s="30" t="n">
        <v>87132919</v>
      </c>
      <c r="D1654" s="30">
        <f>"11132060000184"</f>
        <v/>
      </c>
      <c r="E1654" s="30" t="inlineStr">
        <is>
          <t>JJAPA TRANSPORTES E LOGISTICA EIRELI</t>
        </is>
      </c>
      <c r="F1654" s="40" t="n">
        <v>0</v>
      </c>
      <c r="G1654" s="40" t="n">
        <v>0</v>
      </c>
      <c r="H1654" s="40" t="n">
        <v>0</v>
      </c>
      <c r="I1654" s="40" t="n">
        <v>35.9</v>
      </c>
      <c r="J1654" s="40" t="n">
        <v>1154.6</v>
      </c>
      <c r="K1654" s="40" t="n">
        <v>0</v>
      </c>
      <c r="L1654" s="40" t="n">
        <v>0</v>
      </c>
    </row>
    <row r="1655" ht="12" customHeight="1">
      <c r="A1655" s="30" t="inlineStr">
        <is>
          <t>ITG</t>
        </is>
      </c>
      <c r="B1655" s="30" t="inlineStr">
        <is>
          <t>Itaguai</t>
        </is>
      </c>
      <c r="C1655" s="30" t="n">
        <v>87135357</v>
      </c>
      <c r="D1655" s="30">
        <f>"60319985000225"</f>
        <v/>
      </c>
      <c r="E1655" s="30" t="inlineStr">
        <is>
          <t>JOMED TRANSPORTE E LOGISTICA EIRELI</t>
        </is>
      </c>
      <c r="F1655" s="40" t="n">
        <v>161.8</v>
      </c>
      <c r="G1655" s="40" t="n">
        <v>0</v>
      </c>
      <c r="H1655" s="40" t="n">
        <v>107850</v>
      </c>
      <c r="I1655" s="40" t="n">
        <v>0</v>
      </c>
      <c r="J1655" s="40" t="n">
        <v>9548.389999999999</v>
      </c>
      <c r="K1655" s="40" t="n">
        <v>0</v>
      </c>
      <c r="L1655" s="40" t="n">
        <v>0</v>
      </c>
    </row>
    <row r="1656" ht="12" customHeight="1">
      <c r="A1656" s="30" t="inlineStr">
        <is>
          <t>ITG</t>
        </is>
      </c>
      <c r="B1656" s="30" t="inlineStr">
        <is>
          <t>Itaguai</t>
        </is>
      </c>
      <c r="C1656" s="30" t="n">
        <v>87139670</v>
      </c>
      <c r="D1656" s="30">
        <f>"01240034000116"</f>
        <v/>
      </c>
      <c r="E1656" s="30" t="inlineStr">
        <is>
          <t>COOPERATIVA DOS MOTORISTAS AUTONOMOS DA COSTA VERDE</t>
        </is>
      </c>
      <c r="F1656" s="40" t="n">
        <v>0</v>
      </c>
      <c r="G1656" s="40" t="n">
        <v>0</v>
      </c>
      <c r="H1656" s="40" t="n">
        <v>0</v>
      </c>
      <c r="I1656" s="40" t="n">
        <v>0</v>
      </c>
      <c r="J1656" s="40" t="n">
        <v>0</v>
      </c>
      <c r="K1656" s="40" t="n">
        <v>0</v>
      </c>
      <c r="L1656" s="40" t="n">
        <v>0</v>
      </c>
    </row>
    <row r="1657" ht="12" customHeight="1">
      <c r="A1657" s="30" t="inlineStr">
        <is>
          <t>ITG</t>
        </is>
      </c>
      <c r="B1657" s="30" t="inlineStr">
        <is>
          <t>Itaguai</t>
        </is>
      </c>
      <c r="C1657" s="30" t="n">
        <v>87140377</v>
      </c>
      <c r="D1657" s="30">
        <f>"24092449000276"</f>
        <v/>
      </c>
      <c r="E1657" s="30" t="inlineStr">
        <is>
          <t>ACL LINE TRANSPORTES LTDA EPP</t>
        </is>
      </c>
      <c r="F1657" s="40" t="n">
        <v>0</v>
      </c>
      <c r="G1657" s="40" t="n">
        <v>619254.98</v>
      </c>
      <c r="H1657" s="40" t="n">
        <v>1141051.27</v>
      </c>
      <c r="I1657" s="40" t="n">
        <v>478735.47</v>
      </c>
      <c r="J1657" s="40" t="n">
        <v>0</v>
      </c>
      <c r="K1657" s="40" t="n">
        <v>0</v>
      </c>
      <c r="L1657" s="40" t="n">
        <v>0</v>
      </c>
    </row>
    <row r="1658" ht="12" customHeight="1">
      <c r="A1658" s="30" t="inlineStr">
        <is>
          <t>ITG</t>
        </is>
      </c>
      <c r="B1658" s="30" t="inlineStr">
        <is>
          <t>Itaguai</t>
        </is>
      </c>
      <c r="C1658" s="30" t="n">
        <v>87149340</v>
      </c>
      <c r="D1658" s="30">
        <f>"10509207000140"</f>
        <v/>
      </c>
      <c r="E1658" s="30" t="inlineStr">
        <is>
          <t>TOVA COMERCIO DE PNEUS LTDA</t>
        </is>
      </c>
      <c r="F1658" s="40" t="n">
        <v>0</v>
      </c>
      <c r="G1658" s="40" t="n">
        <v>0</v>
      </c>
      <c r="H1658" s="40" t="n">
        <v>854540.38</v>
      </c>
      <c r="I1658" s="40" t="n">
        <v>378542.6</v>
      </c>
      <c r="J1658" s="40" t="n">
        <v>853121.15</v>
      </c>
      <c r="K1658" s="40" t="n">
        <v>893671.45</v>
      </c>
      <c r="L1658" s="40" t="n">
        <v>1312762.93</v>
      </c>
    </row>
    <row r="1659" ht="12" customHeight="1">
      <c r="A1659" s="30" t="inlineStr">
        <is>
          <t>ITG</t>
        </is>
      </c>
      <c r="B1659" s="30" t="inlineStr">
        <is>
          <t>Itaguai</t>
        </is>
      </c>
      <c r="C1659" s="30" t="n">
        <v>87158071</v>
      </c>
      <c r="D1659" s="30">
        <f>"68558600000103"</f>
        <v/>
      </c>
      <c r="E1659" s="30" t="inlineStr">
        <is>
          <t>A F COMERCIO E REPRESENTA?AO DE BEBIDASE TECIDOS LTDA</t>
        </is>
      </c>
      <c r="F1659" s="40" t="n">
        <v>0</v>
      </c>
      <c r="G1659" s="40" t="n">
        <v>0</v>
      </c>
      <c r="H1659" s="40" t="n">
        <v>0</v>
      </c>
      <c r="I1659" s="40" t="n">
        <v>0</v>
      </c>
      <c r="J1659" s="40" t="n">
        <v>0</v>
      </c>
      <c r="K1659" s="40" t="n">
        <v>0</v>
      </c>
      <c r="L1659" s="40" t="n">
        <v>0</v>
      </c>
    </row>
    <row r="1660" ht="12" customHeight="1">
      <c r="A1660" s="30" t="inlineStr">
        <is>
          <t>ITG</t>
        </is>
      </c>
      <c r="B1660" s="30" t="inlineStr">
        <is>
          <t>Itaguai</t>
        </is>
      </c>
      <c r="C1660" s="30" t="n">
        <v>87159183</v>
      </c>
      <c r="D1660" s="30">
        <f>"22044907000276"</f>
        <v/>
      </c>
      <c r="E1660" s="30" t="inlineStr">
        <is>
          <t>LOGMED RIO ARMAZENAGEM E TRANSPORTE LTDA</t>
        </is>
      </c>
      <c r="F1660" s="40" t="n">
        <v>0</v>
      </c>
      <c r="G1660" s="40" t="n">
        <v>0</v>
      </c>
      <c r="H1660" s="40" t="n">
        <v>0</v>
      </c>
      <c r="I1660" s="40" t="n">
        <v>622.45</v>
      </c>
      <c r="J1660" s="40" t="n">
        <v>282.81</v>
      </c>
      <c r="K1660" s="40" t="n">
        <v>1061.4</v>
      </c>
      <c r="L1660" s="40" t="n">
        <v>3449.64</v>
      </c>
    </row>
    <row r="1661" ht="12" customHeight="1">
      <c r="A1661" s="30" t="inlineStr">
        <is>
          <t>ITG</t>
        </is>
      </c>
      <c r="B1661" s="30" t="inlineStr">
        <is>
          <t>Itaguai</t>
        </is>
      </c>
      <c r="C1661" s="30" t="n">
        <v>87159337</v>
      </c>
      <c r="D1661" s="30">
        <f>"24975220000107"</f>
        <v/>
      </c>
      <c r="E1661" s="30" t="inlineStr">
        <is>
          <t>SHOPMUSIC INSTRUMENTOS MUSICAIS LTDA</t>
        </is>
      </c>
      <c r="F1661" s="40" t="n">
        <v>0</v>
      </c>
      <c r="G1661" s="40" t="n">
        <v>0</v>
      </c>
      <c r="H1661" s="40" t="n">
        <v>0</v>
      </c>
      <c r="I1661" s="40" t="n">
        <v>0</v>
      </c>
      <c r="J1661" s="40" t="n">
        <v>0</v>
      </c>
      <c r="K1661" s="40" t="n">
        <v>0</v>
      </c>
      <c r="L1661" s="40" t="n">
        <v>0</v>
      </c>
    </row>
    <row r="1662" ht="12" customHeight="1">
      <c r="A1662" s="30" t="inlineStr">
        <is>
          <t>ITG</t>
        </is>
      </c>
      <c r="B1662" s="30" t="inlineStr">
        <is>
          <t>Itaguai</t>
        </is>
      </c>
      <c r="C1662" s="30" t="n">
        <v>87159604</v>
      </c>
      <c r="D1662" s="30">
        <f>"16897144000475"</f>
        <v/>
      </c>
      <c r="E1662" s="30" t="inlineStr">
        <is>
          <t>GEODIS LOGISTICA DO BRASIL LTDA</t>
        </is>
      </c>
      <c r="F1662" s="40" t="n">
        <v>129.14</v>
      </c>
      <c r="G1662" s="40" t="n">
        <v>0</v>
      </c>
      <c r="H1662" s="40" t="n">
        <v>0</v>
      </c>
      <c r="I1662" s="40" t="n">
        <v>0</v>
      </c>
      <c r="J1662" s="40" t="n">
        <v>0</v>
      </c>
      <c r="K1662" s="40" t="n">
        <v>0</v>
      </c>
      <c r="L1662" s="40" t="n">
        <v>0</v>
      </c>
    </row>
    <row r="1663" ht="12" customHeight="1">
      <c r="A1663" s="30" t="inlineStr">
        <is>
          <t>ITG</t>
        </is>
      </c>
      <c r="B1663" s="30" t="inlineStr">
        <is>
          <t>Itaguai</t>
        </is>
      </c>
      <c r="C1663" s="30" t="n">
        <v>87162389</v>
      </c>
      <c r="D1663" s="30">
        <f>"15587873000543"</f>
        <v/>
      </c>
      <c r="E1663" s="30" t="inlineStr">
        <is>
          <t>TFT EXPRESS LOGISTICA E TRANSPORTES LTDA ME</t>
        </is>
      </c>
      <c r="F1663" s="40" t="n">
        <v>0</v>
      </c>
      <c r="G1663" s="40" t="n">
        <v>0</v>
      </c>
      <c r="H1663" s="40" t="n">
        <v>0</v>
      </c>
      <c r="I1663" s="40" t="n">
        <v>1062.5</v>
      </c>
      <c r="J1663" s="40" t="n">
        <v>0</v>
      </c>
      <c r="K1663" s="40" t="n">
        <v>0</v>
      </c>
      <c r="L1663" s="40" t="n">
        <v>0</v>
      </c>
    </row>
    <row r="1664" ht="12" customHeight="1">
      <c r="A1664" s="30" t="inlineStr">
        <is>
          <t>ITG</t>
        </is>
      </c>
      <c r="B1664" s="30" t="inlineStr">
        <is>
          <t>Itaguai</t>
        </is>
      </c>
      <c r="C1664" s="30" t="n">
        <v>87169430</v>
      </c>
      <c r="D1664" s="30">
        <f>"25099719000152"</f>
        <v/>
      </c>
      <c r="E1664" s="30" t="inlineStr">
        <is>
          <t>MPC COMERCIO DE DOCES LTDA</t>
        </is>
      </c>
      <c r="F1664" s="40" t="n">
        <v>0</v>
      </c>
      <c r="G1664" s="40" t="n">
        <v>0</v>
      </c>
      <c r="H1664" s="40" t="n">
        <v>0</v>
      </c>
      <c r="I1664" s="40" t="n">
        <v>0</v>
      </c>
      <c r="J1664" s="40" t="n">
        <v>0</v>
      </c>
      <c r="K1664" s="40" t="n">
        <v>0</v>
      </c>
      <c r="L1664" s="40" t="n">
        <v>0</v>
      </c>
    </row>
    <row r="1665" ht="12" customHeight="1">
      <c r="A1665" s="30" t="inlineStr">
        <is>
          <t>ITG</t>
        </is>
      </c>
      <c r="B1665" s="30" t="inlineStr">
        <is>
          <t>Itaguai</t>
        </is>
      </c>
      <c r="C1665" s="30" t="n">
        <v>87173585</v>
      </c>
      <c r="D1665" s="30">
        <f>"20854761000118"</f>
        <v/>
      </c>
      <c r="E1665" s="30" t="inlineStr">
        <is>
          <t>YAH TELECOMUNICACOES LTDA</t>
        </is>
      </c>
      <c r="F1665" s="40" t="n">
        <v>0</v>
      </c>
      <c r="G1665" s="40" t="n">
        <v>0</v>
      </c>
      <c r="H1665" s="40" t="n">
        <v>0</v>
      </c>
      <c r="I1665" s="40" t="n">
        <v>1469.13</v>
      </c>
      <c r="J1665" s="40" t="n">
        <v>0</v>
      </c>
      <c r="K1665" s="40" t="n">
        <v>0</v>
      </c>
      <c r="L1665" s="40" t="n">
        <v>0</v>
      </c>
    </row>
    <row r="1666" ht="12" customHeight="1">
      <c r="A1666" s="30" t="inlineStr">
        <is>
          <t>ITG</t>
        </is>
      </c>
      <c r="B1666" s="30" t="inlineStr">
        <is>
          <t>Itaguai</t>
        </is>
      </c>
      <c r="C1666" s="30" t="n">
        <v>87174999</v>
      </c>
      <c r="D1666" s="30">
        <f>"25088887000142"</f>
        <v/>
      </c>
      <c r="E1666" s="30" t="inlineStr">
        <is>
          <t>J L DE MANGARATIBA INSTITUTO DE LINGUAS LTDA - ME</t>
        </is>
      </c>
      <c r="F1666" s="40" t="n">
        <v>0</v>
      </c>
      <c r="G1666" s="40" t="n">
        <v>0</v>
      </c>
      <c r="H1666" s="40" t="n">
        <v>0</v>
      </c>
      <c r="I1666" s="40" t="n">
        <v>0</v>
      </c>
      <c r="J1666" s="40" t="n">
        <v>0</v>
      </c>
      <c r="K1666" s="40" t="n">
        <v>0</v>
      </c>
      <c r="L1666" s="40" t="n">
        <v>0</v>
      </c>
    </row>
    <row r="1667" ht="12" customHeight="1">
      <c r="A1667" s="30" t="inlineStr">
        <is>
          <t>ITG</t>
        </is>
      </c>
      <c r="B1667" s="30" t="inlineStr">
        <is>
          <t>Itaguai</t>
        </is>
      </c>
      <c r="C1667" s="30" t="n">
        <v>87183335</v>
      </c>
      <c r="D1667" s="30">
        <f>"08896056000935"</f>
        <v/>
      </c>
      <c r="E1667" s="30" t="inlineStr">
        <is>
          <t>AVAPEX TRANSPORTES LTDA - ME</t>
        </is>
      </c>
      <c r="F1667" s="40" t="n">
        <v>2436.04</v>
      </c>
      <c r="G1667" s="40" t="n">
        <v>0</v>
      </c>
      <c r="H1667" s="40" t="n">
        <v>0</v>
      </c>
      <c r="I1667" s="40" t="n">
        <v>0</v>
      </c>
      <c r="J1667" s="40" t="n">
        <v>318472.93</v>
      </c>
      <c r="K1667" s="40" t="n">
        <v>276049.01</v>
      </c>
      <c r="L1667" s="40" t="n">
        <v>2203.83</v>
      </c>
    </row>
    <row r="1668" ht="12" customHeight="1">
      <c r="A1668" s="30" t="inlineStr">
        <is>
          <t>ITG</t>
        </is>
      </c>
      <c r="B1668" s="30" t="inlineStr">
        <is>
          <t>Itaguai</t>
        </is>
      </c>
      <c r="C1668" s="30" t="n">
        <v>87188817</v>
      </c>
      <c r="D1668" s="30">
        <f>"07275520000318"</f>
        <v/>
      </c>
      <c r="E1668" s="30" t="inlineStr">
        <is>
          <t>GT MINAS TRANSPORTES E DISTRIBUIDORA LTDA</t>
        </is>
      </c>
      <c r="F1668" s="40" t="n">
        <v>235012.5</v>
      </c>
      <c r="G1668" s="40" t="n">
        <v>104900.34</v>
      </c>
      <c r="H1668" s="40" t="n">
        <v>80382.94</v>
      </c>
      <c r="I1668" s="40" t="n">
        <v>1648607.1</v>
      </c>
      <c r="J1668" s="40" t="n">
        <v>20826.96</v>
      </c>
      <c r="K1668" s="40" t="n">
        <v>88156.64</v>
      </c>
      <c r="L1668" s="40" t="n">
        <v>113827.72</v>
      </c>
    </row>
    <row r="1669" ht="12" customHeight="1">
      <c r="A1669" s="30" t="inlineStr">
        <is>
          <t>ITG</t>
        </is>
      </c>
      <c r="B1669" s="30" t="inlineStr">
        <is>
          <t>Itaguai</t>
        </is>
      </c>
      <c r="C1669" s="30" t="n">
        <v>87189562</v>
      </c>
      <c r="D1669" s="30">
        <f>"25165389000156"</f>
        <v/>
      </c>
      <c r="E1669" s="30" t="inlineStr">
        <is>
          <t>PHARMTECH DISTRIBUIDORA DE MEDICAMENTOS E MATERIAL HOSPITALAR LTDA EPP</t>
        </is>
      </c>
      <c r="F1669" s="40" t="n">
        <v>0</v>
      </c>
      <c r="G1669" s="40" t="n">
        <v>10735</v>
      </c>
      <c r="H1669" s="40" t="n">
        <v>0</v>
      </c>
      <c r="I1669" s="40" t="n">
        <v>0</v>
      </c>
      <c r="J1669" s="40" t="n">
        <v>0</v>
      </c>
      <c r="K1669" s="40" t="n">
        <v>0</v>
      </c>
      <c r="L1669" s="40" t="n">
        <v>0</v>
      </c>
    </row>
    <row r="1670" ht="12" customHeight="1">
      <c r="A1670" s="30" t="inlineStr">
        <is>
          <t>ITG</t>
        </is>
      </c>
      <c r="B1670" s="30" t="inlineStr">
        <is>
          <t>Itaguai</t>
        </is>
      </c>
      <c r="C1670" s="30" t="n">
        <v>87190587</v>
      </c>
      <c r="D1670" s="30">
        <f>"09262608000754"</f>
        <v/>
      </c>
      <c r="E1670" s="30" t="inlineStr">
        <is>
          <t>TBFORTE SEGURANCA E TRANSPORTE DE VALORES LTDA</t>
        </is>
      </c>
      <c r="F1670" s="40" t="n">
        <v>214824.58</v>
      </c>
      <c r="G1670" s="40" t="n">
        <v>302653.21</v>
      </c>
      <c r="H1670" s="40" t="n">
        <v>374085.87</v>
      </c>
      <c r="I1670" s="40" t="n">
        <v>539910.9300000001</v>
      </c>
      <c r="J1670" s="40" t="n">
        <v>531642.16</v>
      </c>
      <c r="K1670" s="40" t="n">
        <v>493365.21</v>
      </c>
      <c r="L1670" s="40" t="n">
        <v>509381.98</v>
      </c>
    </row>
    <row r="1671" ht="12" customHeight="1">
      <c r="A1671" s="30" t="inlineStr">
        <is>
          <t>ITG</t>
        </is>
      </c>
      <c r="B1671" s="30" t="inlineStr">
        <is>
          <t>Itaguai</t>
        </is>
      </c>
      <c r="C1671" s="30" t="n">
        <v>87194345</v>
      </c>
      <c r="D1671" s="30">
        <f>"46044913001425"</f>
        <v/>
      </c>
      <c r="E1671" s="30" t="inlineStr">
        <is>
          <t>DHL TRANSPORTES BRAZIL LTDA</t>
        </is>
      </c>
      <c r="F1671" s="40" t="n">
        <v>389258.29</v>
      </c>
      <c r="G1671" s="40" t="n">
        <v>164213.44</v>
      </c>
      <c r="H1671" s="40" t="n">
        <v>0</v>
      </c>
      <c r="I1671" s="40" t="n">
        <v>0</v>
      </c>
      <c r="J1671" s="40" t="n">
        <v>0</v>
      </c>
      <c r="K1671" s="40" t="n">
        <v>0</v>
      </c>
      <c r="L1671" s="40" t="n">
        <v>0</v>
      </c>
    </row>
    <row r="1672" ht="12" customHeight="1">
      <c r="A1672" s="30" t="inlineStr">
        <is>
          <t>ITG</t>
        </is>
      </c>
      <c r="B1672" s="30" t="inlineStr">
        <is>
          <t>Itaguai</t>
        </is>
      </c>
      <c r="C1672" s="30" t="n">
        <v>87197964</v>
      </c>
      <c r="D1672" s="30">
        <f>"24492359000191"</f>
        <v/>
      </c>
      <c r="E1672" s="30" t="inlineStr">
        <is>
          <t>COOPERATIVA DOS AGRICULTORES FAMILIARES DE ITAGUAI COOPAFIT</t>
        </is>
      </c>
      <c r="F1672" s="40" t="n">
        <v>0</v>
      </c>
      <c r="G1672" s="40" t="n">
        <v>0</v>
      </c>
      <c r="H1672" s="40" t="n">
        <v>0</v>
      </c>
      <c r="I1672" s="40" t="n">
        <v>0</v>
      </c>
      <c r="J1672" s="40" t="n">
        <v>0</v>
      </c>
      <c r="K1672" s="40" t="n">
        <v>127862</v>
      </c>
      <c r="L1672" s="40" t="n">
        <v>46732.4</v>
      </c>
    </row>
    <row r="1673" ht="12" customHeight="1">
      <c r="A1673" s="30" t="inlineStr">
        <is>
          <t>ITG</t>
        </is>
      </c>
      <c r="B1673" s="30" t="inlineStr">
        <is>
          <t>Itaguai</t>
        </is>
      </c>
      <c r="C1673" s="30" t="n">
        <v>87198120</v>
      </c>
      <c r="D1673" s="30">
        <f>"23349580000475"</f>
        <v/>
      </c>
      <c r="E1673" s="30" t="inlineStr">
        <is>
          <t>LOTUS LOGISTICA INTEGRADA LTDA</t>
        </is>
      </c>
      <c r="F1673" s="40" t="n">
        <v>1303.22</v>
      </c>
      <c r="G1673" s="40" t="n">
        <v>1864.15</v>
      </c>
      <c r="H1673" s="40" t="n">
        <v>0</v>
      </c>
      <c r="I1673" s="40" t="n">
        <v>0</v>
      </c>
      <c r="J1673" s="40" t="n">
        <v>0</v>
      </c>
      <c r="K1673" s="40" t="n">
        <v>0</v>
      </c>
      <c r="L1673" s="40" t="n">
        <v>0</v>
      </c>
    </row>
    <row r="1674" ht="12" customHeight="1">
      <c r="A1674" s="30" t="inlineStr">
        <is>
          <t>ITG</t>
        </is>
      </c>
      <c r="B1674" s="30" t="inlineStr">
        <is>
          <t>Itaguai</t>
        </is>
      </c>
      <c r="C1674" s="30" t="n">
        <v>87199657</v>
      </c>
      <c r="D1674" s="30">
        <f>"25463085000175"</f>
        <v/>
      </c>
      <c r="E1674" s="30" t="inlineStr">
        <is>
          <t>A LUMINOSA ITAGUAI MATERIAL ELETRICO LTDA</t>
        </is>
      </c>
      <c r="F1674" s="40" t="n">
        <v>0</v>
      </c>
      <c r="G1674" s="40" t="n">
        <v>0</v>
      </c>
      <c r="H1674" s="40" t="n">
        <v>659572.21</v>
      </c>
      <c r="I1674" s="40" t="n">
        <v>1027566.38</v>
      </c>
      <c r="J1674" s="40" t="n">
        <v>791274.09</v>
      </c>
      <c r="K1674" s="40" t="n">
        <v>861466.16</v>
      </c>
      <c r="L1674" s="40" t="n">
        <v>849388.65</v>
      </c>
    </row>
    <row r="1675" ht="12" customHeight="1">
      <c r="A1675" s="30" t="inlineStr">
        <is>
          <t>ITG</t>
        </is>
      </c>
      <c r="B1675" s="30" t="inlineStr">
        <is>
          <t>Itaguai</t>
        </is>
      </c>
      <c r="C1675" s="30" t="n">
        <v>87206432</v>
      </c>
      <c r="D1675" s="30">
        <f>"71698476000277"</f>
        <v/>
      </c>
      <c r="E1675" s="30" t="inlineStr">
        <is>
          <t>TRANSPO EXPRESS CONSULTORIA TRANSPOORTES E LOGISTICA LTDA</t>
        </is>
      </c>
      <c r="F1675" s="40" t="n">
        <v>0</v>
      </c>
      <c r="G1675" s="40" t="n">
        <v>0</v>
      </c>
      <c r="H1675" s="40" t="n">
        <v>0</v>
      </c>
      <c r="I1675" s="40" t="n">
        <v>1015.42</v>
      </c>
      <c r="J1675" s="40" t="n">
        <v>430.02</v>
      </c>
      <c r="K1675" s="40" t="n">
        <v>0</v>
      </c>
      <c r="L1675" s="40" t="n">
        <v>89.84</v>
      </c>
    </row>
    <row r="1676" ht="12" customHeight="1">
      <c r="A1676" s="30" t="inlineStr">
        <is>
          <t>ITG</t>
        </is>
      </c>
      <c r="B1676" s="30" t="inlineStr">
        <is>
          <t>Itaguai</t>
        </is>
      </c>
      <c r="C1676" s="30" t="n">
        <v>87207510</v>
      </c>
      <c r="D1676" s="30">
        <f>"25532600000121"</f>
        <v/>
      </c>
      <c r="E1676" s="30" t="inlineStr">
        <is>
          <t>DROGARIA CHAPERO EIRELI-ME</t>
        </is>
      </c>
      <c r="F1676" s="40" t="n">
        <v>0</v>
      </c>
      <c r="G1676" s="40" t="n">
        <v>0</v>
      </c>
      <c r="H1676" s="40" t="n">
        <v>0</v>
      </c>
      <c r="I1676" s="40" t="n">
        <v>0</v>
      </c>
      <c r="J1676" s="40" t="n">
        <v>0</v>
      </c>
      <c r="K1676" s="40" t="n">
        <v>0</v>
      </c>
      <c r="L1676" s="40" t="n">
        <v>0</v>
      </c>
    </row>
    <row r="1677" ht="12" customHeight="1">
      <c r="A1677" s="30" t="inlineStr">
        <is>
          <t>ITG</t>
        </is>
      </c>
      <c r="B1677" s="30" t="inlineStr">
        <is>
          <t>Itaguai</t>
        </is>
      </c>
      <c r="C1677" s="30" t="n">
        <v>87214036</v>
      </c>
      <c r="D1677" s="30">
        <f>"26117009000170"</f>
        <v/>
      </c>
      <c r="E1677" s="30" t="inlineStr">
        <is>
          <t>ZION BRASIL TRADING COMPANY LTDA</t>
        </is>
      </c>
      <c r="F1677" s="40" t="n">
        <v>0</v>
      </c>
      <c r="G1677" s="40" t="n">
        <v>0</v>
      </c>
      <c r="H1677" s="40" t="n">
        <v>0</v>
      </c>
      <c r="I1677" s="40" t="n">
        <v>0</v>
      </c>
      <c r="J1677" s="40" t="n">
        <v>0</v>
      </c>
      <c r="K1677" s="40" t="n">
        <v>0</v>
      </c>
      <c r="L1677" s="40" t="n">
        <v>0</v>
      </c>
    </row>
    <row r="1678" ht="12" customHeight="1">
      <c r="A1678" s="30" t="inlineStr">
        <is>
          <t>ITG</t>
        </is>
      </c>
      <c r="B1678" s="30" t="inlineStr">
        <is>
          <t>Itaguai</t>
        </is>
      </c>
      <c r="C1678" s="30" t="n">
        <v>87220060</v>
      </c>
      <c r="D1678" s="30">
        <f>"23935309000500"</f>
        <v/>
      </c>
      <c r="E1678" s="30" t="inlineStr">
        <is>
          <t>RIO BEL MATRIZ COSMETICOS LTDA EPP</t>
        </is>
      </c>
      <c r="F1678" s="40" t="n">
        <v>632339.14</v>
      </c>
      <c r="G1678" s="40" t="n">
        <v>566616.1</v>
      </c>
      <c r="H1678" s="40" t="n">
        <v>677211.55</v>
      </c>
      <c r="I1678" s="40" t="n">
        <v>733945.28</v>
      </c>
      <c r="J1678" s="40" t="n">
        <v>805116.01</v>
      </c>
      <c r="K1678" s="40" t="n">
        <v>897635.59</v>
      </c>
      <c r="L1678" s="40" t="n">
        <v>837939.4399999999</v>
      </c>
    </row>
    <row r="1679" ht="12" customHeight="1">
      <c r="A1679" s="30" t="inlineStr">
        <is>
          <t>ITG</t>
        </is>
      </c>
      <c r="B1679" s="30" t="inlineStr">
        <is>
          <t>Itaguai</t>
        </is>
      </c>
      <c r="C1679" s="30" t="n">
        <v>87222551</v>
      </c>
      <c r="D1679" s="30">
        <f>"04964100000199"</f>
        <v/>
      </c>
      <c r="E1679" s="30" t="inlineStr">
        <is>
          <t>R O S COMERCIO E CONSTRUCAO DE ESTRUTURA METALICA  EIRELI</t>
        </is>
      </c>
      <c r="F1679" s="40" t="n">
        <v>0</v>
      </c>
      <c r="G1679" s="40" t="n">
        <v>0</v>
      </c>
      <c r="H1679" s="40" t="n">
        <v>0</v>
      </c>
      <c r="I1679" s="40" t="n">
        <v>667110.9300000001</v>
      </c>
      <c r="J1679" s="40" t="n">
        <v>0</v>
      </c>
      <c r="K1679" s="40" t="n">
        <v>0</v>
      </c>
      <c r="L1679" s="40" t="n">
        <v>0</v>
      </c>
    </row>
    <row r="1680" ht="12" customHeight="1">
      <c r="A1680" s="30" t="inlineStr">
        <is>
          <t>ITG</t>
        </is>
      </c>
      <c r="B1680" s="30" t="inlineStr">
        <is>
          <t>Itaguai</t>
        </is>
      </c>
      <c r="C1680" s="30" t="n">
        <v>87223035</v>
      </c>
      <c r="D1680" s="30">
        <f>"26198828000190"</f>
        <v/>
      </c>
      <c r="E1680" s="30" t="inlineStr">
        <is>
          <t>LOG RIO TRANSPORTE E TURISMO EIRELI ME</t>
        </is>
      </c>
      <c r="F1680" s="40" t="n">
        <v>0</v>
      </c>
      <c r="G1680" s="40" t="n">
        <v>0</v>
      </c>
      <c r="H1680" s="40" t="n">
        <v>0</v>
      </c>
      <c r="I1680" s="40" t="n">
        <v>0</v>
      </c>
      <c r="J1680" s="40" t="n">
        <v>0</v>
      </c>
      <c r="K1680" s="40" t="n">
        <v>0</v>
      </c>
      <c r="L1680" s="40" t="n">
        <v>10500</v>
      </c>
    </row>
    <row r="1681" ht="12" customHeight="1">
      <c r="A1681" s="30" t="inlineStr">
        <is>
          <t>ITG</t>
        </is>
      </c>
      <c r="B1681" s="30" t="inlineStr">
        <is>
          <t>Itaguai</t>
        </is>
      </c>
      <c r="C1681" s="30" t="n">
        <v>87231607</v>
      </c>
      <c r="D1681" s="30">
        <f>"23429671000763"</f>
        <v/>
      </c>
      <c r="E1681" s="30" t="inlineStr">
        <is>
          <t>3PL BRASIL LOGISTICA S A</t>
        </is>
      </c>
      <c r="F1681" s="40" t="n">
        <v>0</v>
      </c>
      <c r="G1681" s="40" t="n">
        <v>0</v>
      </c>
      <c r="H1681" s="40" t="n">
        <v>0</v>
      </c>
      <c r="I1681" s="40" t="n">
        <v>0</v>
      </c>
      <c r="J1681" s="40" t="n">
        <v>0</v>
      </c>
      <c r="K1681" s="40" t="n">
        <v>388353.94</v>
      </c>
      <c r="L1681" s="40" t="n">
        <v>0</v>
      </c>
    </row>
    <row r="1682" ht="12" customHeight="1">
      <c r="A1682" s="30" t="inlineStr">
        <is>
          <t>ITG</t>
        </is>
      </c>
      <c r="B1682" s="30" t="inlineStr">
        <is>
          <t>Itaguai</t>
        </is>
      </c>
      <c r="C1682" s="30" t="n">
        <v>87233723</v>
      </c>
      <c r="D1682" s="30">
        <f>"26118507000138"</f>
        <v/>
      </c>
      <c r="E1682" s="30" t="inlineStr">
        <is>
          <t>D &amp; J COMERCIO DE MATERIAL RECICLAVEL LTDA - ME</t>
        </is>
      </c>
      <c r="F1682" s="40" t="n">
        <v>0</v>
      </c>
      <c r="G1682" s="40" t="n">
        <v>0</v>
      </c>
      <c r="H1682" s="40" t="n">
        <v>0</v>
      </c>
      <c r="I1682" s="40" t="n">
        <v>0</v>
      </c>
      <c r="J1682" s="40" t="n">
        <v>0</v>
      </c>
      <c r="K1682" s="40" t="n">
        <v>0</v>
      </c>
      <c r="L1682" s="40" t="n">
        <v>1181498.65</v>
      </c>
    </row>
    <row r="1683" ht="12" customHeight="1">
      <c r="A1683" s="30" t="inlineStr">
        <is>
          <t>ITG</t>
        </is>
      </c>
      <c r="B1683" s="30" t="inlineStr">
        <is>
          <t>Itaguai</t>
        </is>
      </c>
      <c r="C1683" s="30" t="n">
        <v>87236080</v>
      </c>
      <c r="D1683" s="30">
        <f>"26253624000104"</f>
        <v/>
      </c>
      <c r="E1683" s="30" t="inlineStr">
        <is>
          <t>CMX SERVIÇO DE TRANSPORTE E LOGÍSTICA EIRELI</t>
        </is>
      </c>
      <c r="F1683" s="40" t="n">
        <v>0</v>
      </c>
      <c r="G1683" s="40" t="n">
        <v>0</v>
      </c>
      <c r="H1683" s="40" t="n">
        <v>0</v>
      </c>
      <c r="I1683" s="40" t="n">
        <v>0</v>
      </c>
      <c r="J1683" s="40" t="n">
        <v>0</v>
      </c>
      <c r="K1683" s="40" t="n">
        <v>12875</v>
      </c>
      <c r="L1683" s="40" t="n">
        <v>0</v>
      </c>
    </row>
    <row r="1684" ht="12" customHeight="1">
      <c r="A1684" s="30" t="inlineStr">
        <is>
          <t>ITG</t>
        </is>
      </c>
      <c r="B1684" s="30" t="inlineStr">
        <is>
          <t>Itaguai</t>
        </is>
      </c>
      <c r="C1684" s="30" t="n">
        <v>87244946</v>
      </c>
      <c r="D1684" s="30">
        <f>"26409645000176"</f>
        <v/>
      </c>
      <c r="E1684" s="30" t="inlineStr">
        <is>
          <t>BAZAR E PERFUMARIA ITAGUAI LTDA</t>
        </is>
      </c>
      <c r="F1684" s="40" t="n">
        <v>310153.23</v>
      </c>
      <c r="G1684" s="40" t="n">
        <v>612919.09</v>
      </c>
      <c r="H1684" s="40" t="n">
        <v>1083303.45</v>
      </c>
      <c r="I1684" s="40" t="n">
        <v>1647616.12</v>
      </c>
      <c r="J1684" s="40" t="n">
        <v>1851483.28</v>
      </c>
      <c r="K1684" s="40" t="n">
        <v>0</v>
      </c>
      <c r="L1684" s="40" t="n">
        <v>0</v>
      </c>
    </row>
    <row r="1685" ht="12" customHeight="1">
      <c r="A1685" s="30" t="inlineStr">
        <is>
          <t>ITG</t>
        </is>
      </c>
      <c r="B1685" s="30" t="inlineStr">
        <is>
          <t>Itaguai</t>
        </is>
      </c>
      <c r="C1685" s="30" t="n">
        <v>87246299</v>
      </c>
      <c r="D1685" s="30">
        <f>"26379405000176"</f>
        <v/>
      </c>
      <c r="E1685" s="30" t="inlineStr">
        <is>
          <t>L M GASPAR TRANSPORTES LTDA</t>
        </is>
      </c>
      <c r="F1685" s="40" t="n">
        <v>0</v>
      </c>
      <c r="G1685" s="40" t="n">
        <v>0</v>
      </c>
      <c r="H1685" s="40" t="n">
        <v>0</v>
      </c>
      <c r="I1685" s="40" t="n">
        <v>0</v>
      </c>
      <c r="J1685" s="40" t="n">
        <v>0</v>
      </c>
      <c r="K1685" s="40" t="n">
        <v>0</v>
      </c>
      <c r="L1685" s="40" t="n">
        <v>7900</v>
      </c>
    </row>
    <row r="1686" ht="12" customHeight="1">
      <c r="A1686" s="30" t="inlineStr">
        <is>
          <t>ITG</t>
        </is>
      </c>
      <c r="B1686" s="30" t="inlineStr">
        <is>
          <t>Itaguai</t>
        </is>
      </c>
      <c r="C1686" s="30" t="n">
        <v>87248364</v>
      </c>
      <c r="D1686" s="30">
        <f>"26272361000180"</f>
        <v/>
      </c>
      <c r="E1686" s="30" t="inlineStr">
        <is>
          <t>VICTORIA MODA JOVEM E CONFECCOES LTDA ME</t>
        </is>
      </c>
      <c r="F1686" s="40" t="n">
        <v>0</v>
      </c>
      <c r="G1686" s="40" t="n">
        <v>0</v>
      </c>
      <c r="H1686" s="40" t="n">
        <v>0</v>
      </c>
      <c r="I1686" s="40" t="n">
        <v>0</v>
      </c>
      <c r="J1686" s="40" t="n">
        <v>0</v>
      </c>
      <c r="K1686" s="40" t="n">
        <v>0</v>
      </c>
      <c r="L1686" s="40" t="n">
        <v>0</v>
      </c>
    </row>
    <row r="1687" ht="12" customHeight="1">
      <c r="A1687" s="30" t="inlineStr">
        <is>
          <t>ITG</t>
        </is>
      </c>
      <c r="B1687" s="30" t="inlineStr">
        <is>
          <t>Itaguai</t>
        </is>
      </c>
      <c r="C1687" s="30" t="n">
        <v>87248992</v>
      </c>
      <c r="D1687" s="30">
        <f>"11423942000280"</f>
        <v/>
      </c>
      <c r="E1687" s="30" t="inlineStr">
        <is>
          <t>TTJB TRANSPORTES E LOGISTICA EIRELI</t>
        </is>
      </c>
      <c r="F1687" s="40" t="n">
        <v>0</v>
      </c>
      <c r="G1687" s="40" t="n">
        <v>0</v>
      </c>
      <c r="H1687" s="40" t="n">
        <v>0</v>
      </c>
      <c r="I1687" s="40" t="n">
        <v>0</v>
      </c>
      <c r="J1687" s="40" t="n">
        <v>1039.54</v>
      </c>
      <c r="K1687" s="40" t="n">
        <v>739.51</v>
      </c>
      <c r="L1687" s="40" t="n">
        <v>651.08</v>
      </c>
    </row>
    <row r="1688" ht="12" customHeight="1">
      <c r="A1688" s="30" t="inlineStr">
        <is>
          <t>ITG</t>
        </is>
      </c>
      <c r="B1688" s="30" t="inlineStr">
        <is>
          <t>Itaguai</t>
        </is>
      </c>
      <c r="C1688" s="30" t="n">
        <v>87249417</v>
      </c>
      <c r="D1688" s="30">
        <f>"94001641000961"</f>
        <v/>
      </c>
      <c r="E1688" s="30" t="inlineStr">
        <is>
          <t>BRINGER DO BRASIL AGENCIAMENTO DE CARGAS NACIONAIS E INTERNACIONAIS LTDA EPP</t>
        </is>
      </c>
      <c r="F1688" s="40" t="n">
        <v>0</v>
      </c>
      <c r="G1688" s="40" t="n">
        <v>5343.76</v>
      </c>
      <c r="H1688" s="40" t="n">
        <v>3913.57</v>
      </c>
      <c r="I1688" s="40" t="n">
        <v>2348.17</v>
      </c>
      <c r="J1688" s="40" t="n">
        <v>4455.34</v>
      </c>
      <c r="K1688" s="40" t="n">
        <v>0</v>
      </c>
      <c r="L1688" s="40" t="n">
        <v>0</v>
      </c>
    </row>
    <row r="1689" ht="12" customHeight="1">
      <c r="A1689" s="30" t="inlineStr">
        <is>
          <t>ITG</t>
        </is>
      </c>
      <c r="B1689" s="30" t="inlineStr">
        <is>
          <t>Itaguai</t>
        </is>
      </c>
      <c r="C1689" s="30" t="n">
        <v>87253910</v>
      </c>
      <c r="D1689" s="30">
        <f>"24400628000223"</f>
        <v/>
      </c>
      <c r="E1689" s="30" t="inlineStr">
        <is>
          <t>MACAN LOGÍSTICA E TRANSPORTES EIRELI</t>
        </is>
      </c>
      <c r="F1689" s="40" t="n">
        <v>0</v>
      </c>
      <c r="G1689" s="40" t="n">
        <v>0</v>
      </c>
      <c r="H1689" s="40" t="n">
        <v>0</v>
      </c>
      <c r="I1689" s="40" t="n">
        <v>147.25</v>
      </c>
      <c r="J1689" s="40" t="n">
        <v>0</v>
      </c>
      <c r="K1689" s="40" t="n">
        <v>346.94</v>
      </c>
      <c r="L1689" s="40" t="n">
        <v>0</v>
      </c>
    </row>
    <row r="1690" ht="12" customHeight="1">
      <c r="A1690" s="30" t="inlineStr">
        <is>
          <t>ITG</t>
        </is>
      </c>
      <c r="B1690" s="30" t="inlineStr">
        <is>
          <t>Itaguai</t>
        </is>
      </c>
      <c r="C1690" s="30" t="n">
        <v>87257045</v>
      </c>
      <c r="D1690" s="30">
        <f>"00507051000104"</f>
        <v/>
      </c>
      <c r="E1690" s="30" t="inlineStr">
        <is>
          <t>JOVINTER TRANSPORTES NACIONAIS E INTERNACIONAIS LTDA</t>
        </is>
      </c>
      <c r="F1690" s="40" t="n">
        <v>286330.13</v>
      </c>
      <c r="G1690" s="40" t="n">
        <v>0</v>
      </c>
      <c r="H1690" s="40" t="n">
        <v>0</v>
      </c>
      <c r="I1690" s="40" t="n">
        <v>0</v>
      </c>
      <c r="J1690" s="40" t="n">
        <v>0</v>
      </c>
      <c r="K1690" s="40" t="n">
        <v>0</v>
      </c>
      <c r="L1690" s="40" t="n">
        <v>0</v>
      </c>
    </row>
    <row r="1691" ht="12" customHeight="1">
      <c r="A1691" s="30" t="inlineStr">
        <is>
          <t>ITG</t>
        </is>
      </c>
      <c r="B1691" s="30" t="inlineStr">
        <is>
          <t>Itaguai</t>
        </is>
      </c>
      <c r="C1691" s="30" t="n">
        <v>87260542</v>
      </c>
      <c r="D1691" s="30">
        <f>"08740044000593"</f>
        <v/>
      </c>
      <c r="E1691" s="30" t="inlineStr">
        <is>
          <t>SAPPORO INDUSTRIA E COMERCIO - SERVICOS LTDA</t>
        </is>
      </c>
      <c r="F1691" s="40" t="n">
        <v>0</v>
      </c>
      <c r="G1691" s="40" t="n">
        <v>127.89</v>
      </c>
      <c r="H1691" s="40" t="n">
        <v>0</v>
      </c>
      <c r="I1691" s="40" t="n">
        <v>0</v>
      </c>
      <c r="J1691" s="40" t="n">
        <v>0</v>
      </c>
      <c r="K1691" s="40" t="n">
        <v>0</v>
      </c>
      <c r="L1691" s="40" t="n">
        <v>0</v>
      </c>
    </row>
    <row r="1692" ht="12" customHeight="1">
      <c r="A1692" s="30" t="inlineStr">
        <is>
          <t>ITG</t>
        </is>
      </c>
      <c r="B1692" s="30" t="inlineStr">
        <is>
          <t>Itaguai</t>
        </is>
      </c>
      <c r="C1692" s="30" t="n">
        <v>87274209</v>
      </c>
      <c r="D1692" s="30">
        <f>"26555329000102"</f>
        <v/>
      </c>
      <c r="E1692" s="30" t="inlineStr">
        <is>
          <t>GRAFENO INDUSTRIA, COMERCIO E SERVICOS EIRELI - EPP</t>
        </is>
      </c>
      <c r="F1692" s="40" t="n">
        <v>0</v>
      </c>
      <c r="G1692" s="40" t="n">
        <v>0</v>
      </c>
      <c r="H1692" s="40" t="n">
        <v>517051.51</v>
      </c>
      <c r="I1692" s="40" t="n">
        <v>1286970.82</v>
      </c>
      <c r="J1692" s="40" t="n">
        <v>1559833.62</v>
      </c>
      <c r="K1692" s="40" t="n">
        <v>787836.22</v>
      </c>
      <c r="L1692" s="40" t="n">
        <v>502841.71</v>
      </c>
    </row>
    <row r="1693" ht="12" customHeight="1">
      <c r="A1693" s="30" t="inlineStr">
        <is>
          <t>ITG</t>
        </is>
      </c>
      <c r="B1693" s="30" t="inlineStr">
        <is>
          <t>Itaguai</t>
        </is>
      </c>
      <c r="C1693" s="30" t="n">
        <v>87274373</v>
      </c>
      <c r="D1693" s="30">
        <f>"13544467000144"</f>
        <v/>
      </c>
      <c r="E1693" s="30" t="inlineStr">
        <is>
          <t>RIVER SUB SERVICOS SUBAQUATICOS E MANUTENCOES EM GERAL LTDA ME</t>
        </is>
      </c>
      <c r="F1693" s="40" t="n">
        <v>0</v>
      </c>
      <c r="G1693" s="40" t="n">
        <v>0</v>
      </c>
      <c r="H1693" s="40" t="n">
        <v>0</v>
      </c>
      <c r="I1693" s="40" t="n">
        <v>0</v>
      </c>
      <c r="J1693" s="40" t="n">
        <v>0</v>
      </c>
      <c r="K1693" s="40" t="n">
        <v>0</v>
      </c>
      <c r="L1693" s="40" t="n">
        <v>0</v>
      </c>
    </row>
    <row r="1694" ht="12" customHeight="1">
      <c r="A1694" s="30" t="inlineStr">
        <is>
          <t>ITG</t>
        </is>
      </c>
      <c r="B1694" s="30" t="inlineStr">
        <is>
          <t>Itaguai</t>
        </is>
      </c>
      <c r="C1694" s="30" t="n">
        <v>87280454</v>
      </c>
      <c r="D1694" s="30">
        <f>"22166193001160"</f>
        <v/>
      </c>
      <c r="E1694" s="30" t="inlineStr">
        <is>
          <t>ALGAR SOLUCOES EM TIC S A</t>
        </is>
      </c>
      <c r="F1694" s="40" t="n">
        <v>0</v>
      </c>
      <c r="G1694" s="40" t="n">
        <v>0</v>
      </c>
      <c r="H1694" s="40" t="n">
        <v>69637.36</v>
      </c>
      <c r="I1694" s="40" t="n">
        <v>145530.39</v>
      </c>
      <c r="J1694" s="40" t="n">
        <v>121719.1</v>
      </c>
      <c r="K1694" s="40" t="n">
        <v>219893.87</v>
      </c>
      <c r="L1694" s="40" t="n">
        <v>0</v>
      </c>
    </row>
    <row r="1695" ht="12" customHeight="1">
      <c r="A1695" s="30" t="inlineStr">
        <is>
          <t>ITG</t>
        </is>
      </c>
      <c r="B1695" s="30" t="inlineStr">
        <is>
          <t>Itaguai</t>
        </is>
      </c>
      <c r="C1695" s="30" t="n">
        <v>87285880</v>
      </c>
      <c r="D1695" s="30">
        <f>"31368046000787"</f>
        <v/>
      </c>
      <c r="E1695" s="30" t="inlineStr">
        <is>
          <t>TUPI RIO TRANSPORTES SA</t>
        </is>
      </c>
      <c r="F1695" s="40" t="n">
        <v>1909.66</v>
      </c>
      <c r="G1695" s="40" t="n">
        <v>4285.22</v>
      </c>
      <c r="H1695" s="40" t="n">
        <v>0</v>
      </c>
      <c r="I1695" s="40" t="n">
        <v>1090.91</v>
      </c>
      <c r="J1695" s="40" t="n">
        <v>0</v>
      </c>
      <c r="K1695" s="40" t="n">
        <v>0</v>
      </c>
      <c r="L1695" s="40" t="n">
        <v>0</v>
      </c>
    </row>
    <row r="1696" ht="12" customHeight="1">
      <c r="A1696" s="30" t="inlineStr">
        <is>
          <t>ITG</t>
        </is>
      </c>
      <c r="B1696" s="30" t="inlineStr">
        <is>
          <t>Itaguai</t>
        </is>
      </c>
      <c r="C1696" s="30" t="n">
        <v>87286738</v>
      </c>
      <c r="D1696" s="30">
        <f>"26599839000181"</f>
        <v/>
      </c>
      <c r="E1696" s="30" t="inlineStr">
        <is>
          <t>R A MARQUES DIAS ROUPAS E ACESSORIOS</t>
        </is>
      </c>
      <c r="F1696" s="40" t="n">
        <v>0</v>
      </c>
      <c r="G1696" s="40" t="n">
        <v>0</v>
      </c>
      <c r="H1696" s="40" t="n">
        <v>0</v>
      </c>
      <c r="I1696" s="40" t="n">
        <v>0</v>
      </c>
      <c r="J1696" s="40" t="n">
        <v>0</v>
      </c>
      <c r="K1696" s="40" t="n">
        <v>0</v>
      </c>
      <c r="L1696" s="40" t="n">
        <v>0</v>
      </c>
    </row>
    <row r="1697" ht="12" customHeight="1">
      <c r="A1697" s="30" t="inlineStr">
        <is>
          <t>ITG</t>
        </is>
      </c>
      <c r="B1697" s="30" t="inlineStr">
        <is>
          <t>Itaguai</t>
        </is>
      </c>
      <c r="C1697" s="30" t="n">
        <v>87287718</v>
      </c>
      <c r="D1697" s="30">
        <f>"26614233000178"</f>
        <v/>
      </c>
      <c r="E1697" s="30" t="inlineStr">
        <is>
          <t>7LINK TELECOM EIRELI ME</t>
        </is>
      </c>
      <c r="F1697" s="40" t="n">
        <v>0</v>
      </c>
      <c r="G1697" s="40" t="n">
        <v>0</v>
      </c>
      <c r="H1697" s="40" t="n">
        <v>0</v>
      </c>
      <c r="I1697" s="40" t="n">
        <v>0</v>
      </c>
      <c r="J1697" s="40" t="n">
        <v>0</v>
      </c>
      <c r="K1697" s="40" t="n">
        <v>102517.08</v>
      </c>
      <c r="L1697" s="40" t="n">
        <v>2735323.33</v>
      </c>
    </row>
    <row r="1698" ht="12" customHeight="1">
      <c r="A1698" s="30" t="inlineStr">
        <is>
          <t>ITG</t>
        </is>
      </c>
      <c r="B1698" s="30" t="inlineStr">
        <is>
          <t>Itaguai</t>
        </is>
      </c>
      <c r="C1698" s="30" t="n">
        <v>87293769</v>
      </c>
      <c r="D1698" s="30">
        <f>"10260910000248"</f>
        <v/>
      </c>
      <c r="E1698" s="30" t="inlineStr">
        <is>
          <t>GUARU CARGO - LOGISTICA E TRANSPORTES LTDA</t>
        </is>
      </c>
      <c r="F1698" s="40" t="n">
        <v>524.75</v>
      </c>
      <c r="G1698" s="40" t="n">
        <v>11777.32</v>
      </c>
      <c r="H1698" s="40" t="n">
        <v>0</v>
      </c>
      <c r="I1698" s="40" t="n">
        <v>0</v>
      </c>
      <c r="J1698" s="40" t="n">
        <v>0</v>
      </c>
      <c r="K1698" s="40" t="n">
        <v>0</v>
      </c>
      <c r="L1698" s="40" t="n">
        <v>0</v>
      </c>
    </row>
    <row r="1699" ht="12" customHeight="1">
      <c r="A1699" s="30" t="inlineStr">
        <is>
          <t>ITG</t>
        </is>
      </c>
      <c r="B1699" s="30" t="inlineStr">
        <is>
          <t>Itaguai</t>
        </is>
      </c>
      <c r="C1699" s="30" t="n">
        <v>87305422</v>
      </c>
      <c r="D1699" s="30">
        <f>"27018552000183"</f>
        <v/>
      </c>
      <c r="E1699" s="30" t="inlineStr">
        <is>
          <t>DANIEL G JUSTINO COMERCIO E SERVICO DE REFRIGERACAO</t>
        </is>
      </c>
      <c r="F1699" s="40" t="n">
        <v>0</v>
      </c>
      <c r="G1699" s="40" t="n">
        <v>0</v>
      </c>
      <c r="H1699" s="40" t="n">
        <v>0</v>
      </c>
      <c r="I1699" s="40" t="n">
        <v>0</v>
      </c>
      <c r="J1699" s="40" t="n">
        <v>0</v>
      </c>
      <c r="K1699" s="40" t="n">
        <v>0</v>
      </c>
      <c r="L1699" s="40" t="n">
        <v>0</v>
      </c>
    </row>
    <row r="1700" ht="12" customHeight="1">
      <c r="A1700" s="30" t="inlineStr">
        <is>
          <t>ITG</t>
        </is>
      </c>
      <c r="B1700" s="30" t="inlineStr">
        <is>
          <t>Itaguai</t>
        </is>
      </c>
      <c r="C1700" s="30" t="n">
        <v>87306771</v>
      </c>
      <c r="D1700" s="30">
        <f>"26857770000149"</f>
        <v/>
      </c>
      <c r="E1700" s="30" t="inlineStr">
        <is>
          <t>HDG MOTO PECAS LTDA - ME</t>
        </is>
      </c>
      <c r="F1700" s="40" t="n">
        <v>0</v>
      </c>
      <c r="G1700" s="40" t="n">
        <v>0</v>
      </c>
      <c r="H1700" s="40" t="n">
        <v>0</v>
      </c>
      <c r="I1700" s="40" t="n">
        <v>0</v>
      </c>
      <c r="J1700" s="40" t="n">
        <v>0</v>
      </c>
      <c r="K1700" s="40" t="n">
        <v>0</v>
      </c>
      <c r="L1700" s="40" t="n">
        <v>0</v>
      </c>
    </row>
    <row r="1701" ht="12" customHeight="1">
      <c r="A1701" s="30" t="inlineStr">
        <is>
          <t>ITG</t>
        </is>
      </c>
      <c r="B1701" s="30" t="inlineStr">
        <is>
          <t>Itaguai</t>
        </is>
      </c>
      <c r="C1701" s="30" t="n">
        <v>87308901</v>
      </c>
      <c r="D1701" s="30">
        <f>"27063902000123"</f>
        <v/>
      </c>
      <c r="E1701" s="30" t="inlineStr">
        <is>
          <t>LRAM TRANSPORTE DE CARGAS LTDA EPP</t>
        </is>
      </c>
      <c r="F1701" s="40" t="n">
        <v>0</v>
      </c>
      <c r="G1701" s="40" t="n">
        <v>0</v>
      </c>
      <c r="H1701" s="40" t="n">
        <v>0</v>
      </c>
      <c r="I1701" s="40" t="n">
        <v>629</v>
      </c>
      <c r="J1701" s="40" t="n">
        <v>1842.6</v>
      </c>
      <c r="K1701" s="40" t="n">
        <v>0</v>
      </c>
      <c r="L1701" s="40" t="n">
        <v>0</v>
      </c>
    </row>
    <row r="1702" ht="12" customHeight="1">
      <c r="A1702" s="30" t="inlineStr">
        <is>
          <t>ITG</t>
        </is>
      </c>
      <c r="B1702" s="30" t="inlineStr">
        <is>
          <t>Itaguai</t>
        </is>
      </c>
      <c r="C1702" s="30" t="n">
        <v>87309908</v>
      </c>
      <c r="D1702" s="30">
        <f>"27067881000114"</f>
        <v/>
      </c>
      <c r="E1702" s="30" t="inlineStr">
        <is>
          <t>PADARIA E CONFEITARIA NOVA ITAGUAI EIRELI</t>
        </is>
      </c>
      <c r="F1702" s="40" t="n">
        <v>184346.73</v>
      </c>
      <c r="G1702" s="40" t="n">
        <v>193039.37</v>
      </c>
      <c r="H1702" s="40" t="n">
        <v>572112.6</v>
      </c>
      <c r="I1702" s="40" t="n">
        <v>0</v>
      </c>
      <c r="J1702" s="40" t="n">
        <v>0</v>
      </c>
      <c r="K1702" s="40" t="n">
        <v>0</v>
      </c>
      <c r="L1702" s="40" t="n">
        <v>0</v>
      </c>
    </row>
    <row r="1703" ht="12" customHeight="1">
      <c r="A1703" s="30" t="inlineStr">
        <is>
          <t>ITG</t>
        </is>
      </c>
      <c r="B1703" s="30" t="inlineStr">
        <is>
          <t>Itaguai</t>
        </is>
      </c>
      <c r="C1703" s="30" t="n">
        <v>87316440</v>
      </c>
      <c r="D1703" s="30">
        <f>"76728385001141"</f>
        <v/>
      </c>
      <c r="E1703" s="30" t="inlineStr">
        <is>
          <t>TRANSPORTES DIAMANTE LTDA</t>
        </is>
      </c>
      <c r="F1703" s="40" t="n">
        <v>0</v>
      </c>
      <c r="G1703" s="40" t="n">
        <v>0</v>
      </c>
      <c r="H1703" s="40" t="n">
        <v>0</v>
      </c>
      <c r="I1703" s="40" t="n">
        <v>0</v>
      </c>
      <c r="J1703" s="40" t="n">
        <v>0</v>
      </c>
      <c r="K1703" s="40" t="n">
        <v>0</v>
      </c>
      <c r="L1703" s="40" t="n">
        <v>0</v>
      </c>
    </row>
    <row r="1704" ht="12" customHeight="1">
      <c r="A1704" s="30" t="inlineStr">
        <is>
          <t>ITG</t>
        </is>
      </c>
      <c r="B1704" s="30" t="inlineStr">
        <is>
          <t>Itaguai</t>
        </is>
      </c>
      <c r="C1704" s="30" t="n">
        <v>87317170</v>
      </c>
      <c r="D1704" s="30">
        <f>"27170693000117"</f>
        <v/>
      </c>
      <c r="E1704" s="30" t="inlineStr">
        <is>
          <t>DUGEL MATERIAIS DE CONSTRUCAO EIRELI ME</t>
        </is>
      </c>
      <c r="F1704" s="40" t="n">
        <v>0</v>
      </c>
      <c r="G1704" s="40" t="n">
        <v>0</v>
      </c>
      <c r="H1704" s="40" t="n">
        <v>0</v>
      </c>
      <c r="I1704" s="40" t="n">
        <v>0</v>
      </c>
      <c r="J1704" s="40" t="n">
        <v>0</v>
      </c>
      <c r="K1704" s="40" t="n">
        <v>0</v>
      </c>
      <c r="L1704" s="40" t="n">
        <v>0</v>
      </c>
    </row>
    <row r="1705" ht="12" customHeight="1">
      <c r="A1705" s="30" t="inlineStr">
        <is>
          <t>ITG</t>
        </is>
      </c>
      <c r="B1705" s="30" t="inlineStr">
        <is>
          <t>Itaguai</t>
        </is>
      </c>
      <c r="C1705" s="30" t="n">
        <v>87318400</v>
      </c>
      <c r="D1705" s="30">
        <f>"59530832002297"</f>
        <v/>
      </c>
      <c r="E1705" s="30" t="inlineStr">
        <is>
          <t>BRASILMAXI LOGISTICA LTDA</t>
        </is>
      </c>
      <c r="F1705" s="40" t="n">
        <v>74121.3</v>
      </c>
      <c r="G1705" s="40" t="n">
        <v>0</v>
      </c>
      <c r="H1705" s="40" t="n">
        <v>0</v>
      </c>
      <c r="I1705" s="40" t="n">
        <v>0</v>
      </c>
      <c r="J1705" s="40" t="n">
        <v>0</v>
      </c>
      <c r="K1705" s="40" t="n">
        <v>374151.15</v>
      </c>
      <c r="L1705" s="40" t="n">
        <v>0</v>
      </c>
    </row>
    <row r="1706" ht="12" customHeight="1">
      <c r="A1706" s="30" t="inlineStr">
        <is>
          <t>ITG</t>
        </is>
      </c>
      <c r="B1706" s="30" t="inlineStr">
        <is>
          <t>Itaguai</t>
        </is>
      </c>
      <c r="C1706" s="30" t="n">
        <v>87321177</v>
      </c>
      <c r="D1706" s="30">
        <f>"57906711000228"</f>
        <v/>
      </c>
      <c r="E1706" s="30" t="inlineStr">
        <is>
          <t>TDB TRANSPORTE E DISTRIBUICAO DE BENS LTDA</t>
        </is>
      </c>
      <c r="F1706" s="40" t="n">
        <v>76.63</v>
      </c>
      <c r="G1706" s="40" t="n">
        <v>101.04</v>
      </c>
      <c r="H1706" s="40" t="n">
        <v>62.5</v>
      </c>
      <c r="I1706" s="40" t="n">
        <v>59.02</v>
      </c>
      <c r="J1706" s="40" t="n">
        <v>0</v>
      </c>
      <c r="K1706" s="40" t="n">
        <v>0</v>
      </c>
      <c r="L1706" s="40" t="n">
        <v>0</v>
      </c>
    </row>
    <row r="1707" ht="12" customHeight="1">
      <c r="A1707" s="30" t="inlineStr">
        <is>
          <t>ITG</t>
        </is>
      </c>
      <c r="B1707" s="30" t="inlineStr">
        <is>
          <t>Itaguai</t>
        </is>
      </c>
      <c r="C1707" s="30" t="n">
        <v>87324788</v>
      </c>
      <c r="D1707" s="30">
        <f>"27267181000173"</f>
        <v/>
      </c>
      <c r="E1707" s="30" t="inlineStr">
        <is>
          <t>MERCADO RTJ SOARES EIRELI</t>
        </is>
      </c>
      <c r="F1707" s="40" t="n">
        <v>3352751.08</v>
      </c>
      <c r="G1707" s="40" t="n">
        <v>5067716.22</v>
      </c>
      <c r="H1707" s="40" t="n">
        <v>9730710.83</v>
      </c>
      <c r="I1707" s="40" t="n">
        <v>10624541.39</v>
      </c>
      <c r="J1707" s="40" t="n">
        <v>9460059.199999999</v>
      </c>
      <c r="K1707" s="40" t="n">
        <v>5588821.43</v>
      </c>
      <c r="L1707" s="40" t="n">
        <v>4776998.6</v>
      </c>
    </row>
    <row r="1708" ht="12" customHeight="1">
      <c r="A1708" s="30" t="inlineStr">
        <is>
          <t>ITG</t>
        </is>
      </c>
      <c r="B1708" s="30" t="inlineStr">
        <is>
          <t>Itaguai</t>
        </is>
      </c>
      <c r="C1708" s="30" t="n">
        <v>87325415</v>
      </c>
      <c r="D1708" s="30">
        <f>"27276756000114"</f>
        <v/>
      </c>
      <c r="E1708" s="30" t="inlineStr">
        <is>
          <t>QUALITRANS LOGISTICA LTDA EPP</t>
        </is>
      </c>
      <c r="F1708" s="40" t="n">
        <v>0</v>
      </c>
      <c r="G1708" s="40" t="n">
        <v>0</v>
      </c>
      <c r="H1708" s="40" t="n">
        <v>0</v>
      </c>
      <c r="I1708" s="40" t="n">
        <v>0</v>
      </c>
      <c r="J1708" s="40" t="n">
        <v>458918.26</v>
      </c>
      <c r="K1708" s="40" t="n">
        <v>1167001.58</v>
      </c>
      <c r="L1708" s="40" t="n">
        <v>0</v>
      </c>
    </row>
    <row r="1709" ht="12" customHeight="1">
      <c r="A1709" s="30" t="inlineStr">
        <is>
          <t>ITG</t>
        </is>
      </c>
      <c r="B1709" s="30" t="inlineStr">
        <is>
          <t>Itaguai</t>
        </is>
      </c>
      <c r="C1709" s="30" t="n">
        <v>87326543</v>
      </c>
      <c r="D1709" s="30">
        <f>"13214075000117"</f>
        <v/>
      </c>
      <c r="E1709" s="30" t="inlineStr">
        <is>
          <t>PROLOG TRANSPORTES E LOGISTICA LTDA ME</t>
        </is>
      </c>
      <c r="F1709" s="40" t="n">
        <v>0</v>
      </c>
      <c r="G1709" s="40" t="n">
        <v>0</v>
      </c>
      <c r="H1709" s="40" t="n">
        <v>200.63</v>
      </c>
      <c r="I1709" s="40" t="n">
        <v>0</v>
      </c>
      <c r="J1709" s="40" t="n">
        <v>0</v>
      </c>
      <c r="K1709" s="40" t="n">
        <v>0</v>
      </c>
      <c r="L1709" s="40" t="n">
        <v>0</v>
      </c>
    </row>
    <row r="1710" ht="12" customHeight="1">
      <c r="A1710" s="30" t="inlineStr">
        <is>
          <t>ITG</t>
        </is>
      </c>
      <c r="B1710" s="30" t="inlineStr">
        <is>
          <t>Itaguai</t>
        </is>
      </c>
      <c r="C1710" s="30" t="n">
        <v>87327396</v>
      </c>
      <c r="D1710" s="30">
        <f>"22520083000182"</f>
        <v/>
      </c>
      <c r="E1710" s="30" t="inlineStr">
        <is>
          <t>JAM PIERRE DIAS ROSA M E</t>
        </is>
      </c>
      <c r="F1710" s="40" t="n">
        <v>0</v>
      </c>
      <c r="G1710" s="40" t="n">
        <v>0</v>
      </c>
      <c r="H1710" s="40" t="n">
        <v>0</v>
      </c>
      <c r="I1710" s="40" t="n">
        <v>0</v>
      </c>
      <c r="J1710" s="40" t="n">
        <v>0</v>
      </c>
      <c r="K1710" s="40" t="n">
        <v>0</v>
      </c>
      <c r="L1710" s="40" t="n">
        <v>0</v>
      </c>
    </row>
    <row r="1711" ht="12" customHeight="1">
      <c r="A1711" s="30" t="inlineStr">
        <is>
          <t>ITG</t>
        </is>
      </c>
      <c r="B1711" s="30" t="inlineStr">
        <is>
          <t>Itaguai</t>
        </is>
      </c>
      <c r="C1711" s="30" t="n">
        <v>87327418</v>
      </c>
      <c r="D1711" s="30">
        <f>"14373116000180"</f>
        <v/>
      </c>
      <c r="E1711" s="30" t="inlineStr">
        <is>
          <t>TOP MASTER TELECOM LTDA ME</t>
        </is>
      </c>
      <c r="F1711" s="40" t="n">
        <v>0</v>
      </c>
      <c r="G1711" s="40" t="n">
        <v>0</v>
      </c>
      <c r="H1711" s="40" t="n">
        <v>0</v>
      </c>
      <c r="I1711" s="40" t="n">
        <v>0</v>
      </c>
      <c r="J1711" s="40" t="n">
        <v>0</v>
      </c>
      <c r="K1711" s="40" t="n">
        <v>0</v>
      </c>
      <c r="L1711" s="40" t="n">
        <v>0</v>
      </c>
    </row>
    <row r="1712" ht="12" customHeight="1">
      <c r="A1712" s="30" t="inlineStr">
        <is>
          <t>ITG</t>
        </is>
      </c>
      <c r="B1712" s="30" t="inlineStr">
        <is>
          <t>Itaguai</t>
        </is>
      </c>
      <c r="C1712" s="30" t="n">
        <v>87327710</v>
      </c>
      <c r="D1712" s="30">
        <f>"27330290000198"</f>
        <v/>
      </c>
      <c r="E1712" s="30" t="inlineStr">
        <is>
          <t>MARIA DE FATIMA COMERCIO DE MINERAIS E TRANSPORTES EIRELI ME</t>
        </is>
      </c>
      <c r="F1712" s="40" t="n">
        <v>0</v>
      </c>
      <c r="G1712" s="40" t="n">
        <v>0</v>
      </c>
      <c r="H1712" s="40" t="n">
        <v>0</v>
      </c>
      <c r="I1712" s="40" t="n">
        <v>0</v>
      </c>
      <c r="J1712" s="40" t="n">
        <v>0</v>
      </c>
      <c r="K1712" s="40" t="n">
        <v>0</v>
      </c>
      <c r="L1712" s="40" t="n">
        <v>15681.25</v>
      </c>
    </row>
    <row r="1713" ht="12" customHeight="1">
      <c r="A1713" s="30" t="inlineStr">
        <is>
          <t>ITG</t>
        </is>
      </c>
      <c r="B1713" s="30" t="inlineStr">
        <is>
          <t>Itaguai</t>
        </is>
      </c>
      <c r="C1713" s="30" t="n">
        <v>87331059</v>
      </c>
      <c r="D1713" s="30">
        <f>"27310529000168"</f>
        <v/>
      </c>
      <c r="E1713" s="30" t="inlineStr">
        <is>
          <t>SH TRANSPORTE E LOGISTICA EIRELI ME</t>
        </is>
      </c>
      <c r="F1713" s="40" t="n">
        <v>0</v>
      </c>
      <c r="G1713" s="40" t="n">
        <v>0</v>
      </c>
      <c r="H1713" s="40" t="n">
        <v>0</v>
      </c>
      <c r="I1713" s="40" t="n">
        <v>0</v>
      </c>
      <c r="J1713" s="40" t="n">
        <v>0</v>
      </c>
      <c r="K1713" s="40" t="n">
        <v>0</v>
      </c>
      <c r="L1713" s="40" t="n">
        <v>6003.6</v>
      </c>
    </row>
    <row r="1714" ht="12" customHeight="1">
      <c r="A1714" s="30" t="inlineStr">
        <is>
          <t>ITG</t>
        </is>
      </c>
      <c r="B1714" s="30" t="inlineStr">
        <is>
          <t>Itaguai</t>
        </is>
      </c>
      <c r="C1714" s="30" t="n">
        <v>87331474</v>
      </c>
      <c r="D1714" s="30">
        <f>"11512269000254"</f>
        <v/>
      </c>
      <c r="E1714" s="30" t="inlineStr">
        <is>
          <t>CMC TRANSPORTES E LOGISTICA LTDA</t>
        </is>
      </c>
      <c r="F1714" s="40" t="n">
        <v>1980514.71</v>
      </c>
      <c r="G1714" s="40" t="n">
        <v>1383263.82</v>
      </c>
      <c r="H1714" s="40" t="n">
        <v>8092.42</v>
      </c>
      <c r="I1714" s="40" t="n">
        <v>0</v>
      </c>
      <c r="J1714" s="40" t="n">
        <v>0</v>
      </c>
      <c r="K1714" s="40" t="n">
        <v>0</v>
      </c>
      <c r="L1714" s="40" t="n">
        <v>0</v>
      </c>
    </row>
    <row r="1715" ht="12" customHeight="1">
      <c r="A1715" s="30" t="inlineStr">
        <is>
          <t>ITG</t>
        </is>
      </c>
      <c r="B1715" s="30" t="inlineStr">
        <is>
          <t>Itaguai</t>
        </is>
      </c>
      <c r="C1715" s="30" t="n">
        <v>87335917</v>
      </c>
      <c r="D1715" s="30">
        <f>"27422548000186"</f>
        <v/>
      </c>
      <c r="E1715" s="30" t="inlineStr">
        <is>
          <t>ARYCOM TECNOLOGIA E COMUNICACOES LTDA - EPP</t>
        </is>
      </c>
      <c r="F1715" s="40" t="n">
        <v>0</v>
      </c>
      <c r="G1715" s="40" t="n">
        <v>0</v>
      </c>
      <c r="H1715" s="40" t="n">
        <v>0</v>
      </c>
      <c r="I1715" s="40" t="n">
        <v>0</v>
      </c>
      <c r="J1715" s="40" t="n">
        <v>0</v>
      </c>
      <c r="K1715" s="40" t="n">
        <v>0</v>
      </c>
      <c r="L1715" s="40" t="n">
        <v>1421.05</v>
      </c>
    </row>
    <row r="1716" ht="12" customHeight="1">
      <c r="A1716" s="30" t="inlineStr">
        <is>
          <t>ITG</t>
        </is>
      </c>
      <c r="B1716" s="30" t="inlineStr">
        <is>
          <t>Itaguai</t>
        </is>
      </c>
      <c r="C1716" s="30" t="n">
        <v>87335950</v>
      </c>
      <c r="D1716" s="30">
        <f>"08686200000151"</f>
        <v/>
      </c>
      <c r="E1716" s="30" t="inlineStr">
        <is>
          <t>ASTM TRANSPORTES E LOCACAO DE VEICULOS LTDA</t>
        </is>
      </c>
      <c r="F1716" s="40" t="n">
        <v>0</v>
      </c>
      <c r="G1716" s="40" t="n">
        <v>0</v>
      </c>
      <c r="H1716" s="40" t="n">
        <v>0</v>
      </c>
      <c r="I1716" s="40" t="n">
        <v>0</v>
      </c>
      <c r="J1716" s="40" t="n">
        <v>0</v>
      </c>
      <c r="K1716" s="40" t="n">
        <v>345</v>
      </c>
      <c r="L1716" s="40" t="n">
        <v>0</v>
      </c>
    </row>
    <row r="1717" ht="12" customHeight="1">
      <c r="A1717" s="30" t="inlineStr">
        <is>
          <t>ITG</t>
        </is>
      </c>
      <c r="B1717" s="30" t="inlineStr">
        <is>
          <t>Itaguai</t>
        </is>
      </c>
      <c r="C1717" s="30" t="n">
        <v>87338568</v>
      </c>
      <c r="D1717" s="30">
        <f>"26996869000121"</f>
        <v/>
      </c>
      <c r="E1717" s="30" t="inlineStr">
        <is>
          <t>SANTOS SERVICOS DE INTERNET LTDA ME</t>
        </is>
      </c>
      <c r="F1717" s="40" t="n">
        <v>0</v>
      </c>
      <c r="G1717" s="40" t="n">
        <v>0</v>
      </c>
      <c r="H1717" s="40" t="n">
        <v>0</v>
      </c>
      <c r="I1717" s="40" t="n">
        <v>0</v>
      </c>
      <c r="J1717" s="40" t="n">
        <v>0</v>
      </c>
      <c r="K1717" s="40" t="n">
        <v>0</v>
      </c>
      <c r="L1717" s="40" t="n">
        <v>0</v>
      </c>
    </row>
    <row r="1718" ht="12" customHeight="1">
      <c r="A1718" s="30" t="inlineStr">
        <is>
          <t>ITG</t>
        </is>
      </c>
      <c r="B1718" s="30" t="inlineStr">
        <is>
          <t>Itaguai</t>
        </is>
      </c>
      <c r="C1718" s="30" t="n">
        <v>87339998</v>
      </c>
      <c r="D1718" s="30">
        <f>"19328249000310"</f>
        <v/>
      </c>
      <c r="E1718" s="30" t="inlineStr">
        <is>
          <t>RM TRANSPORTES DE CARGAS E SERVICOS LTDA - EPP</t>
        </is>
      </c>
      <c r="F1718" s="40" t="n">
        <v>0</v>
      </c>
      <c r="G1718" s="40" t="n">
        <v>0</v>
      </c>
      <c r="H1718" s="40" t="n">
        <v>0</v>
      </c>
      <c r="I1718" s="40" t="n">
        <v>0</v>
      </c>
      <c r="J1718" s="40" t="n">
        <v>0</v>
      </c>
      <c r="K1718" s="40" t="n">
        <v>378.44</v>
      </c>
      <c r="L1718" s="40" t="n">
        <v>0</v>
      </c>
    </row>
    <row r="1719" ht="12" customHeight="1">
      <c r="A1719" s="30" t="inlineStr">
        <is>
          <t>ITG</t>
        </is>
      </c>
      <c r="B1719" s="30" t="inlineStr">
        <is>
          <t>Itaguai</t>
        </is>
      </c>
      <c r="C1719" s="30" t="n">
        <v>87342310</v>
      </c>
      <c r="D1719" s="30">
        <f>"27499456000102"</f>
        <v/>
      </c>
      <c r="E1719" s="30" t="inlineStr">
        <is>
          <t>LLF TRANSPORTE E LOGISTICA EIRELI</t>
        </is>
      </c>
      <c r="F1719" s="40" t="n">
        <v>0</v>
      </c>
      <c r="G1719" s="40" t="n">
        <v>0</v>
      </c>
      <c r="H1719" s="40" t="n">
        <v>0</v>
      </c>
      <c r="I1719" s="40" t="n">
        <v>0</v>
      </c>
      <c r="J1719" s="40" t="n">
        <v>0</v>
      </c>
      <c r="K1719" s="40" t="n">
        <v>0</v>
      </c>
      <c r="L1719" s="40" t="n">
        <v>9750</v>
      </c>
    </row>
    <row r="1720" ht="12" customHeight="1">
      <c r="A1720" s="30" t="inlineStr">
        <is>
          <t>ITG</t>
        </is>
      </c>
      <c r="B1720" s="30" t="inlineStr">
        <is>
          <t>Itaguai</t>
        </is>
      </c>
      <c r="C1720" s="30" t="n">
        <v>87344959</v>
      </c>
      <c r="D1720" s="30">
        <f>"27541534000181"</f>
        <v/>
      </c>
      <c r="E1720" s="30" t="inlineStr">
        <is>
          <t>OTICA NOVA VISÃO DE ITAGUAI LTDA</t>
        </is>
      </c>
      <c r="F1720" s="40" t="n">
        <v>0</v>
      </c>
      <c r="G1720" s="40" t="n">
        <v>0</v>
      </c>
      <c r="H1720" s="40" t="n">
        <v>0</v>
      </c>
      <c r="I1720" s="40" t="n">
        <v>1393255.04</v>
      </c>
      <c r="J1720" s="40" t="n">
        <v>1603780.7</v>
      </c>
      <c r="K1720" s="40" t="n">
        <v>1866693.95</v>
      </c>
      <c r="L1720" s="40" t="n">
        <v>1571358.95</v>
      </c>
    </row>
    <row r="1721" ht="12" customHeight="1">
      <c r="A1721" s="30" t="inlineStr">
        <is>
          <t>ITG</t>
        </is>
      </c>
      <c r="B1721" s="30" t="inlineStr">
        <is>
          <t>Itaguai</t>
        </is>
      </c>
      <c r="C1721" s="30" t="n">
        <v>87352323</v>
      </c>
      <c r="D1721" s="30">
        <f>"27456507000100"</f>
        <v/>
      </c>
      <c r="E1721" s="30" t="inlineStr">
        <is>
          <t>HIPER GOURMET LTDA ME</t>
        </is>
      </c>
      <c r="F1721" s="40" t="n">
        <v>0</v>
      </c>
      <c r="G1721" s="40" t="n">
        <v>0</v>
      </c>
      <c r="H1721" s="40" t="n">
        <v>0</v>
      </c>
      <c r="I1721" s="40" t="n">
        <v>0</v>
      </c>
      <c r="J1721" s="40" t="n">
        <v>0</v>
      </c>
      <c r="K1721" s="40" t="n">
        <v>0</v>
      </c>
      <c r="L1721" s="40" t="n">
        <v>0</v>
      </c>
    </row>
    <row r="1722" ht="12" customHeight="1">
      <c r="A1722" s="30" t="inlineStr">
        <is>
          <t>ITG</t>
        </is>
      </c>
      <c r="B1722" s="30" t="inlineStr">
        <is>
          <t>Itaguai</t>
        </is>
      </c>
      <c r="C1722" s="30" t="n">
        <v>87354741</v>
      </c>
      <c r="D1722" s="30">
        <f>"89823918003755"</f>
        <v/>
      </c>
      <c r="E1722" s="30" t="inlineStr">
        <is>
          <t>TRANSPORTES TRANSLOVATO LTDA</t>
        </is>
      </c>
      <c r="F1722" s="40" t="n">
        <v>93.59</v>
      </c>
      <c r="G1722" s="40" t="n">
        <v>305.6</v>
      </c>
      <c r="H1722" s="40" t="n">
        <v>522.78</v>
      </c>
      <c r="I1722" s="40" t="n">
        <v>2561.52</v>
      </c>
      <c r="J1722" s="40" t="n">
        <v>188.68</v>
      </c>
      <c r="K1722" s="40" t="n">
        <v>1185.99</v>
      </c>
      <c r="L1722" s="40" t="n">
        <v>1111.17</v>
      </c>
    </row>
    <row r="1723" ht="12" customHeight="1">
      <c r="A1723" s="30" t="inlineStr">
        <is>
          <t>ITG</t>
        </is>
      </c>
      <c r="B1723" s="30" t="inlineStr">
        <is>
          <t>Itaguai</t>
        </is>
      </c>
      <c r="C1723" s="30" t="n">
        <v>87357643</v>
      </c>
      <c r="D1723" s="30">
        <f>"05247910000782"</f>
        <v/>
      </c>
      <c r="E1723" s="30" t="inlineStr">
        <is>
          <t>GBG COMERCIO DE PNEUS E SERVICOS LTDA</t>
        </is>
      </c>
      <c r="F1723" s="40" t="n">
        <v>0</v>
      </c>
      <c r="G1723" s="40" t="n">
        <v>0</v>
      </c>
      <c r="H1723" s="40" t="n">
        <v>0</v>
      </c>
      <c r="I1723" s="40" t="n">
        <v>0</v>
      </c>
      <c r="J1723" s="40" t="n">
        <v>88892.39</v>
      </c>
      <c r="K1723" s="40" t="n">
        <v>198145.62</v>
      </c>
      <c r="L1723" s="40" t="n">
        <v>39980.84</v>
      </c>
    </row>
    <row r="1724" ht="12" customHeight="1">
      <c r="A1724" s="30" t="inlineStr">
        <is>
          <t>ITG</t>
        </is>
      </c>
      <c r="B1724" s="30" t="inlineStr">
        <is>
          <t>Itaguai</t>
        </is>
      </c>
      <c r="C1724" s="30" t="n">
        <v>87366219</v>
      </c>
      <c r="D1724" s="30">
        <f>"13248429000578"</f>
        <v/>
      </c>
      <c r="E1724" s="30" t="inlineStr">
        <is>
          <t>GO SERV TRANSPORTES EIRELI</t>
        </is>
      </c>
      <c r="F1724" s="40" t="n">
        <v>0</v>
      </c>
      <c r="G1724" s="40" t="n">
        <v>0</v>
      </c>
      <c r="H1724" s="40" t="n">
        <v>0</v>
      </c>
      <c r="I1724" s="40" t="n">
        <v>0</v>
      </c>
      <c r="J1724" s="40" t="n">
        <v>0</v>
      </c>
      <c r="K1724" s="40" t="n">
        <v>0</v>
      </c>
      <c r="L1724" s="40" t="n">
        <v>6250</v>
      </c>
    </row>
    <row r="1725" ht="12" customHeight="1">
      <c r="A1725" s="30" t="inlineStr">
        <is>
          <t>ITG</t>
        </is>
      </c>
      <c r="B1725" s="30" t="inlineStr">
        <is>
          <t>Itaguai</t>
        </is>
      </c>
      <c r="C1725" s="30" t="n">
        <v>87370720</v>
      </c>
      <c r="D1725" s="30">
        <f>"27863227000117"</f>
        <v/>
      </c>
      <c r="E1725" s="30" t="inlineStr">
        <is>
          <t>GALMACCI ARMAZEM E TRANSPORTE LTDA ME</t>
        </is>
      </c>
      <c r="F1725" s="40" t="n">
        <v>0</v>
      </c>
      <c r="G1725" s="40" t="n">
        <v>3156.45</v>
      </c>
      <c r="H1725" s="40" t="n">
        <v>0</v>
      </c>
      <c r="I1725" s="40" t="n">
        <v>6126.89</v>
      </c>
      <c r="J1725" s="40" t="n">
        <v>115703.44</v>
      </c>
      <c r="K1725" s="40" t="n">
        <v>1361.53</v>
      </c>
      <c r="L1725" s="40" t="n">
        <v>5408.64</v>
      </c>
    </row>
    <row r="1726" ht="12" customHeight="1">
      <c r="A1726" s="30" t="inlineStr">
        <is>
          <t>ITG</t>
        </is>
      </c>
      <c r="B1726" s="30" t="inlineStr">
        <is>
          <t>Itaguai</t>
        </is>
      </c>
      <c r="C1726" s="30" t="n">
        <v>87371530</v>
      </c>
      <c r="D1726" s="30">
        <f>"23506129000414"</f>
        <v/>
      </c>
      <c r="E1726" s="30" t="inlineStr">
        <is>
          <t>MODULO TRANSPORTE E LOGISTICA LTDA ME</t>
        </is>
      </c>
      <c r="F1726" s="40" t="n">
        <v>0</v>
      </c>
      <c r="G1726" s="40" t="n">
        <v>0</v>
      </c>
      <c r="H1726" s="40" t="n">
        <v>0</v>
      </c>
      <c r="I1726" s="40" t="n">
        <v>0</v>
      </c>
      <c r="J1726" s="40" t="n">
        <v>0</v>
      </c>
      <c r="K1726" s="40" t="n">
        <v>126.48</v>
      </c>
      <c r="L1726" s="40" t="n">
        <v>293.15</v>
      </c>
    </row>
    <row r="1727" ht="12" customHeight="1">
      <c r="A1727" s="30" t="inlineStr">
        <is>
          <t>ITG</t>
        </is>
      </c>
      <c r="B1727" s="30" t="inlineStr">
        <is>
          <t>Itaguai</t>
        </is>
      </c>
      <c r="C1727" s="30" t="n">
        <v>87372332</v>
      </c>
      <c r="D1727" s="30">
        <f>"27698834000179"</f>
        <v/>
      </c>
      <c r="E1727" s="30" t="inlineStr">
        <is>
          <t>WORLD TECH SOLUÇÕES EM TECNOLOGIA EIRELI</t>
        </is>
      </c>
      <c r="F1727" s="40" t="n">
        <v>0</v>
      </c>
      <c r="G1727" s="40" t="n">
        <v>0</v>
      </c>
      <c r="H1727" s="40" t="n">
        <v>0</v>
      </c>
      <c r="I1727" s="40" t="n">
        <v>0</v>
      </c>
      <c r="J1727" s="40" t="n">
        <v>0</v>
      </c>
      <c r="K1727" s="40" t="n">
        <v>0</v>
      </c>
      <c r="L1727" s="40" t="n">
        <v>0</v>
      </c>
    </row>
    <row r="1728" ht="12" customHeight="1">
      <c r="A1728" s="30" t="inlineStr">
        <is>
          <t>ITG</t>
        </is>
      </c>
      <c r="B1728" s="30" t="inlineStr">
        <is>
          <t>Itaguai</t>
        </is>
      </c>
      <c r="C1728" s="30" t="n">
        <v>87372650</v>
      </c>
      <c r="D1728" s="30">
        <f>"27000464000154"</f>
        <v/>
      </c>
      <c r="E1728" s="30" t="inlineStr">
        <is>
          <t>J B CARVALHO JUNIOR SERVICOS ADMINISTRATIVOS EIRELI ME</t>
        </is>
      </c>
      <c r="F1728" s="40" t="n">
        <v>0</v>
      </c>
      <c r="G1728" s="40" t="n">
        <v>0</v>
      </c>
      <c r="H1728" s="40" t="n">
        <v>0</v>
      </c>
      <c r="I1728" s="40" t="n">
        <v>0</v>
      </c>
      <c r="J1728" s="40" t="n">
        <v>0</v>
      </c>
      <c r="K1728" s="40" t="n">
        <v>0</v>
      </c>
      <c r="L1728" s="40" t="n">
        <v>0</v>
      </c>
    </row>
    <row r="1729" ht="12" customHeight="1">
      <c r="A1729" s="30" t="inlineStr">
        <is>
          <t>ITG</t>
        </is>
      </c>
      <c r="B1729" s="30" t="inlineStr">
        <is>
          <t>Itaguai</t>
        </is>
      </c>
      <c r="C1729" s="30" t="n">
        <v>87373835</v>
      </c>
      <c r="D1729" s="30">
        <f>"27893382000186"</f>
        <v/>
      </c>
      <c r="E1729" s="30" t="inlineStr">
        <is>
          <t>TKR SERVICOS DE TRANSPORTES DE CARGAS EIRELI</t>
        </is>
      </c>
      <c r="F1729" s="40" t="n">
        <v>0</v>
      </c>
      <c r="G1729" s="40" t="n">
        <v>0</v>
      </c>
      <c r="H1729" s="40" t="n">
        <v>0</v>
      </c>
      <c r="I1729" s="40" t="n">
        <v>0</v>
      </c>
      <c r="J1729" s="40" t="n">
        <v>126168.12</v>
      </c>
      <c r="K1729" s="40" t="n">
        <v>106739.88</v>
      </c>
      <c r="L1729" s="40" t="n">
        <v>0</v>
      </c>
    </row>
    <row r="1730" ht="12" customHeight="1">
      <c r="A1730" s="30" t="inlineStr">
        <is>
          <t>ITG</t>
        </is>
      </c>
      <c r="B1730" s="30" t="inlineStr">
        <is>
          <t>Itaguai</t>
        </is>
      </c>
      <c r="C1730" s="30" t="n">
        <v>87376559</v>
      </c>
      <c r="D1730" s="30">
        <f>"27872564000170"</f>
        <v/>
      </c>
      <c r="E1730" s="30" t="inlineStr">
        <is>
          <t>SAO BENTO ENGENHARIA - CONSTRUCOES,PROJETOS E REFORMAS EIRELI ME</t>
        </is>
      </c>
      <c r="F1730" s="40" t="n">
        <v>0</v>
      </c>
      <c r="G1730" s="40" t="n">
        <v>0</v>
      </c>
      <c r="H1730" s="40" t="n">
        <v>0</v>
      </c>
      <c r="I1730" s="40" t="n">
        <v>0</v>
      </c>
      <c r="J1730" s="40" t="n">
        <v>0</v>
      </c>
      <c r="K1730" s="40" t="n">
        <v>0</v>
      </c>
      <c r="L1730" s="40" t="n">
        <v>0</v>
      </c>
    </row>
    <row r="1731" ht="12" customHeight="1">
      <c r="A1731" s="30" t="inlineStr">
        <is>
          <t>ITG</t>
        </is>
      </c>
      <c r="B1731" s="30" t="inlineStr">
        <is>
          <t>Itaguai</t>
        </is>
      </c>
      <c r="C1731" s="30" t="n">
        <v>87377474</v>
      </c>
      <c r="D1731" s="30">
        <f>"21338886000158"</f>
        <v/>
      </c>
      <c r="E1731" s="30" t="inlineStr">
        <is>
          <t>ENZO ITAGUAI II LTDA</t>
        </is>
      </c>
      <c r="F1731" s="40" t="n">
        <v>0</v>
      </c>
      <c r="G1731" s="40" t="n">
        <v>938309.14</v>
      </c>
      <c r="H1731" s="40" t="n">
        <v>1930336.29</v>
      </c>
      <c r="I1731" s="40" t="n">
        <v>1660019.62</v>
      </c>
      <c r="J1731" s="40" t="n">
        <v>1850210.44</v>
      </c>
      <c r="K1731" s="40" t="n">
        <v>2044053.27</v>
      </c>
      <c r="L1731" s="40" t="n">
        <v>9964422.720000001</v>
      </c>
    </row>
    <row r="1732" ht="12" customHeight="1">
      <c r="A1732" s="30" t="inlineStr">
        <is>
          <t>ITG</t>
        </is>
      </c>
      <c r="B1732" s="30" t="inlineStr">
        <is>
          <t>Itaguai</t>
        </is>
      </c>
      <c r="C1732" s="30" t="n">
        <v>87379337</v>
      </c>
      <c r="D1732" s="30">
        <f>"27853533000172"</f>
        <v/>
      </c>
      <c r="E1732" s="30" t="inlineStr">
        <is>
          <t>KIOSKE DO DOCE COMERCIO DE BISCOITO LTDA ME</t>
        </is>
      </c>
      <c r="F1732" s="40" t="n">
        <v>0</v>
      </c>
      <c r="G1732" s="40" t="n">
        <v>0</v>
      </c>
      <c r="H1732" s="40" t="n">
        <v>0</v>
      </c>
      <c r="I1732" s="40" t="n">
        <v>0</v>
      </c>
      <c r="J1732" s="40" t="n">
        <v>0</v>
      </c>
      <c r="K1732" s="40" t="n">
        <v>0</v>
      </c>
      <c r="L1732" s="40" t="n">
        <v>0</v>
      </c>
    </row>
    <row r="1733" ht="12" customHeight="1">
      <c r="A1733" s="30" t="inlineStr">
        <is>
          <t>ITG</t>
        </is>
      </c>
      <c r="B1733" s="30" t="inlineStr">
        <is>
          <t>Itaguai</t>
        </is>
      </c>
      <c r="C1733" s="30" t="n">
        <v>87379582</v>
      </c>
      <c r="D1733" s="30">
        <f>"18233211001535"</f>
        <v/>
      </c>
      <c r="E1733" s="30" t="inlineStr">
        <is>
          <t>FL BRASIL HOLDING LOGISTICA E TRANSPORTE LTDA</t>
        </is>
      </c>
      <c r="F1733" s="40" t="n">
        <v>0</v>
      </c>
      <c r="G1733" s="40" t="n">
        <v>2152.24</v>
      </c>
      <c r="H1733" s="40" t="n">
        <v>2763.73</v>
      </c>
      <c r="I1733" s="40" t="n">
        <v>3087.17</v>
      </c>
      <c r="J1733" s="40" t="n">
        <v>3147.24</v>
      </c>
      <c r="K1733" s="40" t="n">
        <v>3224.93</v>
      </c>
      <c r="L1733" s="40" t="n">
        <v>5822.46</v>
      </c>
    </row>
    <row r="1734" ht="12" customHeight="1">
      <c r="A1734" s="30" t="inlineStr">
        <is>
          <t>ITG</t>
        </is>
      </c>
      <c r="B1734" s="30" t="inlineStr">
        <is>
          <t>Itaguai</t>
        </is>
      </c>
      <c r="C1734" s="30" t="n">
        <v>87387143</v>
      </c>
      <c r="D1734" s="30">
        <f>"05342379000646"</f>
        <v/>
      </c>
      <c r="E1734" s="30" t="inlineStr">
        <is>
          <t>KM CARGO MULTIMODAL E LOGISTICA LTDA</t>
        </is>
      </c>
      <c r="F1734" s="40" t="n">
        <v>0</v>
      </c>
      <c r="G1734" s="40" t="n">
        <v>0</v>
      </c>
      <c r="H1734" s="40" t="n">
        <v>0</v>
      </c>
      <c r="I1734" s="40" t="n">
        <v>250</v>
      </c>
      <c r="J1734" s="40" t="n">
        <v>0</v>
      </c>
      <c r="K1734" s="40" t="n">
        <v>0</v>
      </c>
      <c r="L1734" s="40" t="n">
        <v>155.2</v>
      </c>
    </row>
    <row r="1735" ht="12" customHeight="1">
      <c r="A1735" s="30" t="inlineStr">
        <is>
          <t>ITG</t>
        </is>
      </c>
      <c r="B1735" s="30" t="inlineStr">
        <is>
          <t>Itaguai</t>
        </is>
      </c>
      <c r="C1735" s="30" t="n">
        <v>87390861</v>
      </c>
      <c r="D1735" s="30">
        <f>"28057892000186"</f>
        <v/>
      </c>
      <c r="E1735" s="30" t="inlineStr">
        <is>
          <t>GARDEN FOODS EIRELI ME</t>
        </is>
      </c>
      <c r="F1735" s="40" t="n">
        <v>33894.05</v>
      </c>
      <c r="G1735" s="40" t="n">
        <v>0</v>
      </c>
      <c r="H1735" s="40" t="n">
        <v>0</v>
      </c>
      <c r="I1735" s="40" t="n">
        <v>0</v>
      </c>
      <c r="J1735" s="40" t="n">
        <v>0</v>
      </c>
      <c r="K1735" s="40" t="n">
        <v>0</v>
      </c>
      <c r="L1735" s="40" t="n">
        <v>0</v>
      </c>
    </row>
    <row r="1736" ht="12" customHeight="1">
      <c r="A1736" s="30" t="inlineStr">
        <is>
          <t>ITG</t>
        </is>
      </c>
      <c r="B1736" s="30" t="inlineStr">
        <is>
          <t>Itaguai</t>
        </is>
      </c>
      <c r="C1736" s="30" t="n">
        <v>87399680</v>
      </c>
      <c r="D1736" s="30">
        <f>"11928716000331"</f>
        <v/>
      </c>
      <c r="E1736" s="30" t="inlineStr">
        <is>
          <t>NIQUINI LOGISTICA E ADMINISTRACAO LTDA</t>
        </is>
      </c>
      <c r="F1736" s="40" t="n">
        <v>0</v>
      </c>
      <c r="G1736" s="40" t="n">
        <v>31286.45</v>
      </c>
      <c r="H1736" s="40" t="n">
        <v>38634.26</v>
      </c>
      <c r="I1736" s="40" t="n">
        <v>0</v>
      </c>
      <c r="J1736" s="40" t="n">
        <v>0</v>
      </c>
      <c r="K1736" s="40" t="n">
        <v>0</v>
      </c>
      <c r="L1736" s="40" t="n">
        <v>0</v>
      </c>
    </row>
    <row r="1737" ht="12" customHeight="1">
      <c r="A1737" s="30" t="inlineStr">
        <is>
          <t>ITG</t>
        </is>
      </c>
      <c r="B1737" s="30" t="inlineStr">
        <is>
          <t>Itaguai</t>
        </is>
      </c>
      <c r="C1737" s="30" t="n">
        <v>87406881</v>
      </c>
      <c r="D1737" s="30">
        <f>"43711951000939"</f>
        <v/>
      </c>
      <c r="E1737" s="30" t="inlineStr">
        <is>
          <t>THYSSENKRUPP INDUSTRIAL SOLUTIONS LTDA</t>
        </is>
      </c>
      <c r="F1737" s="40" t="n">
        <v>0</v>
      </c>
      <c r="G1737" s="40" t="n">
        <v>0</v>
      </c>
      <c r="H1737" s="40" t="n">
        <v>0</v>
      </c>
      <c r="I1737" s="40" t="n">
        <v>0</v>
      </c>
      <c r="J1737" s="40" t="n">
        <v>0</v>
      </c>
      <c r="K1737" s="40" t="n">
        <v>0</v>
      </c>
      <c r="L1737" s="40" t="n">
        <v>0</v>
      </c>
    </row>
    <row r="1738" ht="12" customHeight="1">
      <c r="A1738" s="30" t="inlineStr">
        <is>
          <t>ITG</t>
        </is>
      </c>
      <c r="B1738" s="30" t="inlineStr">
        <is>
          <t>Itaguai</t>
        </is>
      </c>
      <c r="C1738" s="30" t="n">
        <v>87407322</v>
      </c>
      <c r="D1738" s="30">
        <f>"35774611000414"</f>
        <v/>
      </c>
      <c r="E1738" s="30" t="inlineStr">
        <is>
          <t>PECITA PECAS ITAGUAI LTDA</t>
        </is>
      </c>
      <c r="F1738" s="40" t="n">
        <v>423389.66</v>
      </c>
      <c r="G1738" s="40" t="n">
        <v>3620700.77</v>
      </c>
      <c r="H1738" s="40" t="n">
        <v>4865813.61</v>
      </c>
      <c r="I1738" s="40" t="n">
        <v>2288318.96</v>
      </c>
      <c r="J1738" s="40" t="n">
        <v>1772612.63</v>
      </c>
      <c r="K1738" s="40" t="n">
        <v>2564989.56</v>
      </c>
      <c r="L1738" s="40" t="n">
        <v>4509041.96</v>
      </c>
    </row>
    <row r="1739" ht="12" customHeight="1">
      <c r="A1739" s="30" t="inlineStr">
        <is>
          <t>ITG</t>
        </is>
      </c>
      <c r="B1739" s="30" t="inlineStr">
        <is>
          <t>Itaguai</t>
        </is>
      </c>
      <c r="C1739" s="30" t="n">
        <v>87407659</v>
      </c>
      <c r="D1739" s="30">
        <f>"08691713001122"</f>
        <v/>
      </c>
      <c r="E1739" s="30" t="inlineStr">
        <is>
          <t>PROGECO DO BRASIL OPERADORA INTERMODAL DE CONTEINERES LTDA</t>
        </is>
      </c>
      <c r="F1739" s="40" t="n">
        <v>0</v>
      </c>
      <c r="G1739" s="40" t="n">
        <v>8542.030000000001</v>
      </c>
      <c r="H1739" s="40" t="n">
        <v>0</v>
      </c>
      <c r="I1739" s="40" t="n">
        <v>0</v>
      </c>
      <c r="J1739" s="40" t="n">
        <v>0</v>
      </c>
      <c r="K1739" s="40" t="n">
        <v>0</v>
      </c>
      <c r="L1739" s="40" t="n">
        <v>0</v>
      </c>
    </row>
    <row r="1740" ht="12" customHeight="1">
      <c r="A1740" s="30" t="inlineStr">
        <is>
          <t>ITG</t>
        </is>
      </c>
      <c r="B1740" s="30" t="inlineStr">
        <is>
          <t>Itaguai</t>
        </is>
      </c>
      <c r="C1740" s="30" t="n">
        <v>87418162</v>
      </c>
      <c r="D1740" s="30">
        <f>"28474094000150"</f>
        <v/>
      </c>
      <c r="E1740" s="30" t="inlineStr">
        <is>
          <t>COSTA VERDE POINT COMERCIO DE ALIMENTOS LTDA</t>
        </is>
      </c>
      <c r="F1740" s="40" t="n">
        <v>0</v>
      </c>
      <c r="G1740" s="40" t="n">
        <v>0</v>
      </c>
      <c r="H1740" s="40" t="n">
        <v>0</v>
      </c>
      <c r="I1740" s="40" t="n">
        <v>0</v>
      </c>
      <c r="J1740" s="40" t="n">
        <v>0</v>
      </c>
      <c r="K1740" s="40" t="n">
        <v>112431.45</v>
      </c>
      <c r="L1740" s="40" t="n">
        <v>0</v>
      </c>
    </row>
    <row r="1741" ht="12" customHeight="1">
      <c r="A1741" s="30" t="inlineStr">
        <is>
          <t>ITG</t>
        </is>
      </c>
      <c r="B1741" s="30" t="inlineStr">
        <is>
          <t>Itaguai</t>
        </is>
      </c>
      <c r="C1741" s="30" t="n">
        <v>87427978</v>
      </c>
      <c r="D1741" s="30">
        <f>"24217653000357"</f>
        <v/>
      </c>
      <c r="E1741" s="30" t="inlineStr">
        <is>
          <t>L4B LOGISTICA LTDA</t>
        </is>
      </c>
      <c r="F1741" s="40" t="n">
        <v>0</v>
      </c>
      <c r="G1741" s="40" t="n">
        <v>0</v>
      </c>
      <c r="H1741" s="40" t="n">
        <v>0</v>
      </c>
      <c r="I1741" s="40" t="n">
        <v>0</v>
      </c>
      <c r="J1741" s="40" t="n">
        <v>0</v>
      </c>
      <c r="K1741" s="40" t="n">
        <v>11298.59</v>
      </c>
      <c r="L1741" s="40" t="n">
        <v>325.41</v>
      </c>
    </row>
    <row r="1742" ht="12" customHeight="1">
      <c r="A1742" s="30" t="inlineStr">
        <is>
          <t>ITG</t>
        </is>
      </c>
      <c r="B1742" s="30" t="inlineStr">
        <is>
          <t>Itaguai</t>
        </is>
      </c>
      <c r="C1742" s="30" t="n">
        <v>87428257</v>
      </c>
      <c r="D1742" s="30">
        <f>"28062596000173"</f>
        <v/>
      </c>
      <c r="E1742" s="30" t="inlineStr">
        <is>
          <t>R F MERCADO DO CAMPO ALIMENTOS LTDA.</t>
        </is>
      </c>
      <c r="F1742" s="40" t="n">
        <v>0</v>
      </c>
      <c r="G1742" s="40" t="n">
        <v>0</v>
      </c>
      <c r="H1742" s="40" t="n">
        <v>0</v>
      </c>
      <c r="I1742" s="40" t="n">
        <v>0</v>
      </c>
      <c r="J1742" s="40" t="n">
        <v>0</v>
      </c>
      <c r="K1742" s="40" t="n">
        <v>0</v>
      </c>
      <c r="L1742" s="40" t="n">
        <v>0</v>
      </c>
    </row>
    <row r="1743" ht="12" customHeight="1">
      <c r="A1743" s="30" t="inlineStr">
        <is>
          <t>ITG</t>
        </is>
      </c>
      <c r="B1743" s="30" t="inlineStr">
        <is>
          <t>Itaguai</t>
        </is>
      </c>
      <c r="C1743" s="30" t="n">
        <v>87430200</v>
      </c>
      <c r="D1743" s="30">
        <f>"23323326000155"</f>
        <v/>
      </c>
      <c r="E1743" s="30" t="inlineStr">
        <is>
          <t>J DA SILVA CANDIDO HORTIFRUTI EIRELI</t>
        </is>
      </c>
      <c r="F1743" s="40" t="n">
        <v>0</v>
      </c>
      <c r="G1743" s="40" t="n">
        <v>0</v>
      </c>
      <c r="H1743" s="40" t="n">
        <v>0</v>
      </c>
      <c r="I1743" s="40" t="n">
        <v>0</v>
      </c>
      <c r="J1743" s="40" t="n">
        <v>0</v>
      </c>
      <c r="K1743" s="40" t="n">
        <v>0</v>
      </c>
      <c r="L1743" s="40" t="n">
        <v>0</v>
      </c>
    </row>
    <row r="1744" ht="12" customHeight="1">
      <c r="A1744" s="30" t="inlineStr">
        <is>
          <t>ITG</t>
        </is>
      </c>
      <c r="B1744" s="30" t="inlineStr">
        <is>
          <t>Itaguai</t>
        </is>
      </c>
      <c r="C1744" s="30" t="n">
        <v>87440672</v>
      </c>
      <c r="D1744" s="30">
        <f>"26461922000190"</f>
        <v/>
      </c>
      <c r="E1744" s="30" t="inlineStr">
        <is>
          <t>AUTO POSTO LUAR DO ARCO LTDA</t>
        </is>
      </c>
      <c r="F1744" s="40" t="n">
        <v>0</v>
      </c>
      <c r="G1744" s="40" t="n">
        <v>0</v>
      </c>
      <c r="H1744" s="40" t="n">
        <v>778682.4300000001</v>
      </c>
      <c r="I1744" s="40" t="n">
        <v>624886.36</v>
      </c>
      <c r="J1744" s="40" t="n">
        <v>42985.61</v>
      </c>
      <c r="K1744" s="40" t="n">
        <v>3593001.39</v>
      </c>
      <c r="L1744" s="40" t="n">
        <v>3083045.35</v>
      </c>
    </row>
    <row r="1745" ht="12" customHeight="1">
      <c r="A1745" s="30" t="inlineStr">
        <is>
          <t>ITG</t>
        </is>
      </c>
      <c r="B1745" s="30" t="inlineStr">
        <is>
          <t>Itaguai</t>
        </is>
      </c>
      <c r="C1745" s="30" t="n">
        <v>87449637</v>
      </c>
      <c r="D1745" s="30">
        <f>"18636202000190"</f>
        <v/>
      </c>
      <c r="E1745" s="30" t="inlineStr">
        <is>
          <t>SUPERMERCADO MIRAI DE ITAGUAI EIRELI</t>
        </is>
      </c>
      <c r="F1745" s="40" t="n">
        <v>228934.66</v>
      </c>
      <c r="G1745" s="40" t="n">
        <v>1096077.59</v>
      </c>
      <c r="H1745" s="40" t="n">
        <v>0</v>
      </c>
      <c r="I1745" s="40" t="n">
        <v>3251739.04</v>
      </c>
      <c r="J1745" s="40" t="n">
        <v>3078169.62</v>
      </c>
      <c r="K1745" s="40" t="n">
        <v>0</v>
      </c>
      <c r="L1745" s="40" t="n">
        <v>0</v>
      </c>
    </row>
    <row r="1746" ht="12" customHeight="1">
      <c r="A1746" s="30" t="inlineStr">
        <is>
          <t>ITG</t>
        </is>
      </c>
      <c r="B1746" s="30" t="inlineStr">
        <is>
          <t>Itaguai</t>
        </is>
      </c>
      <c r="C1746" s="30" t="n">
        <v>87455246</v>
      </c>
      <c r="D1746" s="30">
        <f>"28894029000183"</f>
        <v/>
      </c>
      <c r="E1746" s="30" t="inlineStr">
        <is>
          <t>WN TRANSPORTES DE COMBUSTIVEIS E CARGAS EIRELI EPP</t>
        </is>
      </c>
      <c r="F1746" s="40" t="n">
        <v>0</v>
      </c>
      <c r="G1746" s="40" t="n">
        <v>0</v>
      </c>
      <c r="H1746" s="40" t="n">
        <v>0</v>
      </c>
      <c r="I1746" s="40" t="n">
        <v>0</v>
      </c>
      <c r="J1746" s="40" t="n">
        <v>0</v>
      </c>
      <c r="K1746" s="40" t="n">
        <v>9584.879999999999</v>
      </c>
      <c r="L1746" s="40" t="n">
        <v>0</v>
      </c>
    </row>
    <row r="1747" ht="12" customHeight="1">
      <c r="A1747" s="30" t="inlineStr">
        <is>
          <t>ITG</t>
        </is>
      </c>
      <c r="B1747" s="30" t="inlineStr">
        <is>
          <t>Itaguai</t>
        </is>
      </c>
      <c r="C1747" s="30" t="n">
        <v>87455726</v>
      </c>
      <c r="D1747" s="30">
        <f>"28326660000186"</f>
        <v/>
      </c>
      <c r="E1747" s="30" t="inlineStr">
        <is>
          <t>INSTITUTO MAZOMBA DE ARTE E CULTURA</t>
        </is>
      </c>
      <c r="F1747" s="40" t="n">
        <v>0</v>
      </c>
      <c r="G1747" s="40" t="n">
        <v>0</v>
      </c>
      <c r="H1747" s="40" t="n">
        <v>0</v>
      </c>
      <c r="I1747" s="40" t="n">
        <v>0</v>
      </c>
      <c r="J1747" s="40" t="n">
        <v>0</v>
      </c>
      <c r="K1747" s="40" t="n">
        <v>0</v>
      </c>
      <c r="L1747" s="40" t="n">
        <v>0</v>
      </c>
    </row>
    <row r="1748" ht="12" customHeight="1">
      <c r="A1748" s="30" t="inlineStr">
        <is>
          <t>ITG</t>
        </is>
      </c>
      <c r="B1748" s="30" t="inlineStr">
        <is>
          <t>Itaguai</t>
        </is>
      </c>
      <c r="C1748" s="30" t="n">
        <v>87458482</v>
      </c>
      <c r="D1748" s="30">
        <f>"28840816000142"</f>
        <v/>
      </c>
      <c r="E1748" s="30" t="inlineStr">
        <is>
          <t>VERLY HORTIFRUTI EIRELI ME</t>
        </is>
      </c>
      <c r="F1748" s="40" t="n">
        <v>0</v>
      </c>
      <c r="G1748" s="40" t="n">
        <v>0</v>
      </c>
      <c r="H1748" s="40" t="n">
        <v>0</v>
      </c>
      <c r="I1748" s="40" t="n">
        <v>0</v>
      </c>
      <c r="J1748" s="40" t="n">
        <v>0</v>
      </c>
      <c r="K1748" s="40" t="n">
        <v>0</v>
      </c>
      <c r="L1748" s="40" t="n">
        <v>0</v>
      </c>
    </row>
    <row r="1749" ht="12" customHeight="1">
      <c r="A1749" s="30" t="inlineStr">
        <is>
          <t>ITG</t>
        </is>
      </c>
      <c r="B1749" s="30" t="inlineStr">
        <is>
          <t>Itaguai</t>
        </is>
      </c>
      <c r="C1749" s="30" t="n">
        <v>87470733</v>
      </c>
      <c r="D1749" s="30">
        <f>"09090999000343"</f>
        <v/>
      </c>
      <c r="E1749" s="30" t="inlineStr">
        <is>
          <t>TRANSLAGUNA ARMAZENAGEM E TRANSPORTES EIRELI - ME</t>
        </is>
      </c>
      <c r="F1749" s="40" t="n">
        <v>0</v>
      </c>
      <c r="G1749" s="40" t="n">
        <v>0</v>
      </c>
      <c r="H1749" s="40" t="n">
        <v>85.23999999999999</v>
      </c>
      <c r="I1749" s="40" t="n">
        <v>0</v>
      </c>
      <c r="J1749" s="40" t="n">
        <v>0</v>
      </c>
      <c r="K1749" s="40" t="n">
        <v>0</v>
      </c>
      <c r="L1749" s="40" t="n">
        <v>0</v>
      </c>
    </row>
    <row r="1750" ht="12" customHeight="1">
      <c r="A1750" s="30" t="inlineStr">
        <is>
          <t>ITG</t>
        </is>
      </c>
      <c r="B1750" s="30" t="inlineStr">
        <is>
          <t>Itaguai</t>
        </is>
      </c>
      <c r="C1750" s="30" t="n">
        <v>87470750</v>
      </c>
      <c r="D1750" s="30">
        <f>"19767677000420"</f>
        <v/>
      </c>
      <c r="E1750" s="30" t="inlineStr">
        <is>
          <t>PH CLIMA COMERCIO E SERVICOS DE REFRIGERACAO LTDA ME</t>
        </is>
      </c>
      <c r="F1750" s="40" t="n">
        <v>0</v>
      </c>
      <c r="G1750" s="40" t="n">
        <v>0</v>
      </c>
      <c r="H1750" s="40" t="n">
        <v>0</v>
      </c>
      <c r="I1750" s="40" t="n">
        <v>0</v>
      </c>
      <c r="J1750" s="40" t="n">
        <v>0</v>
      </c>
      <c r="K1750" s="40" t="n">
        <v>0</v>
      </c>
      <c r="L1750" s="40" t="n">
        <v>0</v>
      </c>
    </row>
    <row r="1751" ht="12" customHeight="1">
      <c r="A1751" s="30" t="inlineStr">
        <is>
          <t>ITG</t>
        </is>
      </c>
      <c r="B1751" s="30" t="inlineStr">
        <is>
          <t>Itaguai</t>
        </is>
      </c>
      <c r="C1751" s="30" t="n">
        <v>92002420</v>
      </c>
      <c r="D1751" s="30">
        <f>"00497373000110"</f>
        <v/>
      </c>
      <c r="E1751" s="30" t="inlineStr">
        <is>
          <t>SKY SERVICOS DE BANDA LARGA LTDA.</t>
        </is>
      </c>
      <c r="F1751" s="40" t="n">
        <v>8646924.060000001</v>
      </c>
      <c r="G1751" s="40" t="n">
        <v>8430577.189999999</v>
      </c>
      <c r="H1751" s="40" t="n">
        <v>7973968.88</v>
      </c>
      <c r="I1751" s="40" t="n">
        <v>6854021.11</v>
      </c>
      <c r="J1751" s="40" t="n">
        <v>5962444.97</v>
      </c>
      <c r="K1751" s="40" t="n">
        <v>5177390.31</v>
      </c>
      <c r="L1751" s="40" t="n">
        <v>4446072.3</v>
      </c>
    </row>
    <row r="1752" ht="12" customHeight="1">
      <c r="A1752" s="30" t="inlineStr">
        <is>
          <t>ITG</t>
        </is>
      </c>
      <c r="B1752" s="30" t="inlineStr">
        <is>
          <t>Itaguai</t>
        </is>
      </c>
      <c r="C1752" s="30" t="n">
        <v>92006654</v>
      </c>
      <c r="D1752" s="30">
        <f>"72820822000120"</f>
        <v/>
      </c>
      <c r="E1752" s="30" t="inlineStr">
        <is>
          <t>SKY BRASIL SERVICOS LTDA</t>
        </is>
      </c>
      <c r="F1752" s="40" t="n">
        <v>787740.3199999999</v>
      </c>
      <c r="G1752" s="40" t="n">
        <v>0</v>
      </c>
      <c r="H1752" s="40" t="n">
        <v>0</v>
      </c>
      <c r="I1752" s="40" t="n">
        <v>0</v>
      </c>
      <c r="J1752" s="40" t="n">
        <v>0</v>
      </c>
      <c r="K1752" s="40" t="n">
        <v>0</v>
      </c>
      <c r="L1752" s="40" t="n">
        <v>0</v>
      </c>
    </row>
    <row r="1753" ht="12" customHeight="1">
      <c r="A1753" s="30" t="inlineStr">
        <is>
          <t>ITG</t>
        </is>
      </c>
      <c r="B1753" s="30" t="inlineStr">
        <is>
          <t>Itaguai</t>
        </is>
      </c>
      <c r="C1753" s="30" t="n">
        <v>92029506</v>
      </c>
      <c r="D1753" s="30">
        <f>"02558157062001"</f>
        <v/>
      </c>
      <c r="E1753" s="30" t="inlineStr">
        <is>
          <t>TELEFONICA BRASIL S.A.</t>
        </is>
      </c>
      <c r="F1753" s="40" t="n">
        <v>65.36</v>
      </c>
      <c r="G1753" s="40" t="n">
        <v>67.40000000000001</v>
      </c>
      <c r="H1753" s="40" t="n">
        <v>52.99</v>
      </c>
      <c r="I1753" s="40" t="n">
        <v>34.43</v>
      </c>
      <c r="J1753" s="40" t="n">
        <v>19.17</v>
      </c>
      <c r="K1753" s="40" t="n">
        <v>10.67</v>
      </c>
      <c r="L1753" s="40" t="n">
        <v>0.35</v>
      </c>
    </row>
    <row r="1754" ht="12" customHeight="1">
      <c r="A1754" s="30" t="inlineStr">
        <is>
          <t>ITG</t>
        </is>
      </c>
      <c r="B1754" s="30" t="inlineStr">
        <is>
          <t>Itaguai</t>
        </is>
      </c>
      <c r="C1754" s="30" t="n">
        <v>92035956</v>
      </c>
      <c r="D1754" s="30">
        <f>"05206385000404"</f>
        <v/>
      </c>
      <c r="E1754" s="30" t="inlineStr">
        <is>
          <t>HUGHES TELECOMUNICACOES DO BRASIL LTDA.</t>
        </is>
      </c>
      <c r="F1754" s="40" t="n">
        <v>28003.65</v>
      </c>
      <c r="G1754" s="40" t="n">
        <v>36556.57</v>
      </c>
      <c r="H1754" s="40" t="n">
        <v>53646.56</v>
      </c>
      <c r="I1754" s="40" t="n">
        <v>74155.7</v>
      </c>
      <c r="J1754" s="40" t="n">
        <v>0</v>
      </c>
      <c r="K1754" s="40" t="n">
        <v>0</v>
      </c>
      <c r="L1754" s="40" t="n">
        <v>0</v>
      </c>
    </row>
    <row r="1755" ht="12" customHeight="1">
      <c r="A1755" s="30" t="inlineStr">
        <is>
          <t>ITG</t>
        </is>
      </c>
      <c r="B1755" s="30" t="inlineStr">
        <is>
          <t>Itaguai</t>
        </is>
      </c>
      <c r="C1755" s="30" t="n">
        <v>99199997</v>
      </c>
      <c r="D1755" s="30">
        <f>"42498675000152"</f>
        <v/>
      </c>
      <c r="E1755" s="30" t="inlineStr">
        <is>
          <t>RF 9999 SUPERINTENDENCIA ESTADUAL CADASTRO E INF ECON FISCAIS</t>
        </is>
      </c>
      <c r="F1755" s="40" t="n">
        <v>3309953.04</v>
      </c>
      <c r="G1755" s="40" t="n">
        <v>9327973.16</v>
      </c>
      <c r="H1755" s="40" t="n">
        <v>9174982.6</v>
      </c>
      <c r="I1755" s="40" t="n">
        <v>8867147.57</v>
      </c>
      <c r="J1755" s="40" t="n">
        <v>11043351.19</v>
      </c>
      <c r="K1755" s="40" t="n">
        <v>14485273.62</v>
      </c>
      <c r="L1755" s="40" t="n">
        <v>14737323.54</v>
      </c>
    </row>
    <row r="1756" ht="12" customHeight="1">
      <c r="A1756" s="30" t="inlineStr">
        <is>
          <t>POR</t>
        </is>
      </c>
      <c r="B1756" s="30" t="inlineStr">
        <is>
          <t>Porto Real</t>
        </is>
      </c>
      <c r="C1756" s="30" t="n">
        <v>11000630</v>
      </c>
      <c r="D1756" s="30">
        <f>"18433874000106"</f>
        <v/>
      </c>
      <c r="E1756" s="30" t="inlineStr">
        <is>
          <t>LOCAMAQ - LOCAÇÃO DE MAQUINAS E EQUIPAMENTOS EIRELI ME</t>
        </is>
      </c>
      <c r="F1756" s="40" t="n">
        <v>0</v>
      </c>
      <c r="G1756" s="40" t="n">
        <v>0</v>
      </c>
      <c r="H1756" s="40" t="n">
        <v>0</v>
      </c>
      <c r="I1756" s="40" t="n">
        <v>0</v>
      </c>
      <c r="J1756" s="40" t="n">
        <v>0</v>
      </c>
      <c r="K1756" s="40" t="n">
        <v>0</v>
      </c>
      <c r="L1756" s="40" t="n">
        <v>0</v>
      </c>
    </row>
    <row r="1757" ht="12" customHeight="1">
      <c r="A1757" s="30" t="inlineStr">
        <is>
          <t>POR</t>
        </is>
      </c>
      <c r="B1757" s="30" t="inlineStr">
        <is>
          <t>Porto Real</t>
        </is>
      </c>
      <c r="C1757" s="30" t="n">
        <v>11015166</v>
      </c>
      <c r="D1757" s="30">
        <f>"07075810000318"</f>
        <v/>
      </c>
      <c r="E1757" s="30" t="inlineStr">
        <is>
          <t>ONCA LOCACAO E TURISMO LTDA EPP</t>
        </is>
      </c>
      <c r="F1757" s="40" t="n">
        <v>0</v>
      </c>
      <c r="G1757" s="40" t="n">
        <v>0</v>
      </c>
      <c r="H1757" s="40" t="n">
        <v>0</v>
      </c>
      <c r="I1757" s="40" t="n">
        <v>0</v>
      </c>
      <c r="J1757" s="40" t="n">
        <v>0</v>
      </c>
      <c r="K1757" s="40" t="n">
        <v>0</v>
      </c>
      <c r="L1757" s="40" t="n">
        <v>0</v>
      </c>
    </row>
    <row r="1758" ht="12" customHeight="1">
      <c r="A1758" s="30" t="inlineStr">
        <is>
          <t>POR</t>
        </is>
      </c>
      <c r="B1758" s="30" t="inlineStr">
        <is>
          <t>Porto Real</t>
        </is>
      </c>
      <c r="C1758" s="30" t="n">
        <v>11028446</v>
      </c>
      <c r="D1758" s="30">
        <f>"02357033000208"</f>
        <v/>
      </c>
      <c r="E1758" s="30" t="inlineStr">
        <is>
          <t>QUICKNET TELECOM LTDA EPP</t>
        </is>
      </c>
      <c r="F1758" s="40" t="n">
        <v>0</v>
      </c>
      <c r="G1758" s="40" t="n">
        <v>0</v>
      </c>
      <c r="H1758" s="40" t="n">
        <v>0</v>
      </c>
      <c r="I1758" s="40" t="n">
        <v>0</v>
      </c>
      <c r="J1758" s="40" t="n">
        <v>0</v>
      </c>
      <c r="K1758" s="40" t="n">
        <v>0</v>
      </c>
      <c r="L1758" s="40" t="n">
        <v>0</v>
      </c>
    </row>
    <row r="1759" ht="12" customHeight="1">
      <c r="A1759" s="30" t="inlineStr">
        <is>
          <t>POR</t>
        </is>
      </c>
      <c r="B1759" s="30" t="inlineStr">
        <is>
          <t>Porto Real</t>
        </is>
      </c>
      <c r="C1759" s="30" t="n">
        <v>11031064</v>
      </c>
      <c r="D1759" s="30">
        <f>"17460253000140"</f>
        <v/>
      </c>
      <c r="E1759" s="30" t="inlineStr">
        <is>
          <t>R C DE OLIVEIRA - SERVIÇOS DE ENGENHARIA ME</t>
        </is>
      </c>
      <c r="F1759" s="40" t="n">
        <v>0</v>
      </c>
      <c r="G1759" s="40" t="n">
        <v>0</v>
      </c>
      <c r="H1759" s="40" t="n">
        <v>0</v>
      </c>
      <c r="I1759" s="40" t="n">
        <v>0</v>
      </c>
      <c r="J1759" s="40" t="n">
        <v>0</v>
      </c>
      <c r="K1759" s="40" t="n">
        <v>0</v>
      </c>
      <c r="L1759" s="40" t="n">
        <v>0</v>
      </c>
    </row>
    <row r="1760" ht="12" customHeight="1">
      <c r="A1760" s="30" t="inlineStr">
        <is>
          <t>POR</t>
        </is>
      </c>
      <c r="B1760" s="30" t="inlineStr">
        <is>
          <t>Porto Real</t>
        </is>
      </c>
      <c r="C1760" s="30" t="n">
        <v>11084729</v>
      </c>
      <c r="D1760" s="30">
        <f>"21862093000133"</f>
        <v/>
      </c>
      <c r="E1760" s="30" t="inlineStr">
        <is>
          <t>3C RESTAURANTE, FAST-FOODS E COZINHA INDUSTRIAL LTDA</t>
        </is>
      </c>
      <c r="F1760" s="40" t="n">
        <v>0</v>
      </c>
      <c r="G1760" s="40" t="n">
        <v>0</v>
      </c>
      <c r="H1760" s="40" t="n">
        <v>0</v>
      </c>
      <c r="I1760" s="40" t="n">
        <v>0</v>
      </c>
      <c r="J1760" s="40" t="n">
        <v>0</v>
      </c>
      <c r="K1760" s="40" t="n">
        <v>0</v>
      </c>
      <c r="L1760" s="40" t="n">
        <v>388.93</v>
      </c>
    </row>
    <row r="1761" ht="12" customHeight="1">
      <c r="A1761" s="30" t="inlineStr">
        <is>
          <t>POR</t>
        </is>
      </c>
      <c r="B1761" s="30" t="inlineStr">
        <is>
          <t>Porto Real</t>
        </is>
      </c>
      <c r="C1761" s="30" t="n">
        <v>11089526</v>
      </c>
      <c r="D1761" s="30">
        <f>"29112742000190"</f>
        <v/>
      </c>
      <c r="E1761" s="30" t="inlineStr">
        <is>
          <t>TRANSPORTES GV RIO EIRELI</t>
        </is>
      </c>
      <c r="F1761" s="40" t="n">
        <v>0</v>
      </c>
      <c r="G1761" s="40" t="n">
        <v>0</v>
      </c>
      <c r="H1761" s="40" t="n">
        <v>0</v>
      </c>
      <c r="I1761" s="40" t="n">
        <v>0</v>
      </c>
      <c r="J1761" s="40" t="n">
        <v>0</v>
      </c>
      <c r="K1761" s="40" t="n">
        <v>0</v>
      </c>
      <c r="L1761" s="40" t="n">
        <v>3200</v>
      </c>
    </row>
    <row r="1762" ht="12" customHeight="1">
      <c r="A1762" s="30" t="inlineStr">
        <is>
          <t>POR</t>
        </is>
      </c>
      <c r="B1762" s="30" t="inlineStr">
        <is>
          <t>Porto Real</t>
        </is>
      </c>
      <c r="C1762" s="30" t="n">
        <v>11094082</v>
      </c>
      <c r="D1762" s="30">
        <f>"09464773000284"</f>
        <v/>
      </c>
      <c r="E1762" s="30" t="inlineStr">
        <is>
          <t>TRANSCIARDI TRANSPORTE DE CARGA E LOGISTICA LTDA</t>
        </is>
      </c>
      <c r="F1762" s="40" t="n">
        <v>0</v>
      </c>
      <c r="G1762" s="40" t="n">
        <v>125044.74</v>
      </c>
      <c r="H1762" s="40" t="n">
        <v>0</v>
      </c>
      <c r="I1762" s="40" t="n">
        <v>1811614.24</v>
      </c>
      <c r="J1762" s="40" t="n">
        <v>2370947.81</v>
      </c>
      <c r="K1762" s="40" t="n">
        <v>1070906.99</v>
      </c>
      <c r="L1762" s="40" t="n">
        <v>1665384.49</v>
      </c>
    </row>
    <row r="1763" ht="12" customHeight="1">
      <c r="A1763" s="30" t="inlineStr">
        <is>
          <t>POR</t>
        </is>
      </c>
      <c r="B1763" s="30" t="inlineStr">
        <is>
          <t>Porto Real</t>
        </is>
      </c>
      <c r="C1763" s="30" t="n">
        <v>11106935</v>
      </c>
      <c r="D1763" s="30">
        <f>"26586645000222"</f>
        <v/>
      </c>
      <c r="E1763" s="30" t="inlineStr">
        <is>
          <t>MRX TRANSPORTES LTDA</t>
        </is>
      </c>
      <c r="F1763" s="40" t="n">
        <v>0</v>
      </c>
      <c r="G1763" s="40" t="n">
        <v>88564.85000000001</v>
      </c>
      <c r="H1763" s="40" t="n">
        <v>27570</v>
      </c>
      <c r="I1763" s="40" t="n">
        <v>0</v>
      </c>
      <c r="J1763" s="40" t="n">
        <v>0</v>
      </c>
      <c r="K1763" s="40" t="n">
        <v>0</v>
      </c>
      <c r="L1763" s="40" t="n">
        <v>0</v>
      </c>
    </row>
    <row r="1764" ht="12" customHeight="1">
      <c r="A1764" s="30" t="inlineStr">
        <is>
          <t>POR</t>
        </is>
      </c>
      <c r="B1764" s="30" t="inlineStr">
        <is>
          <t>Porto Real</t>
        </is>
      </c>
      <c r="C1764" s="30" t="n">
        <v>11123961</v>
      </c>
      <c r="D1764" s="30">
        <f>"00233065003879"</f>
        <v/>
      </c>
      <c r="E1764" s="30" t="inlineStr">
        <is>
          <t>UNIDOCK"S ASSESSORIA E LOGISTICA DE MATERIAIS LTDA</t>
        </is>
      </c>
      <c r="F1764" s="40" t="n">
        <v>0</v>
      </c>
      <c r="G1764" s="40" t="n">
        <v>0</v>
      </c>
      <c r="H1764" s="40" t="n">
        <v>0</v>
      </c>
      <c r="I1764" s="40" t="n">
        <v>0</v>
      </c>
      <c r="J1764" s="40" t="n">
        <v>0</v>
      </c>
      <c r="K1764" s="40" t="n">
        <v>1569.91</v>
      </c>
      <c r="L1764" s="40" t="n">
        <v>0</v>
      </c>
    </row>
    <row r="1765" ht="12" customHeight="1">
      <c r="A1765" s="30" t="inlineStr">
        <is>
          <t>POR</t>
        </is>
      </c>
      <c r="B1765" s="30" t="inlineStr">
        <is>
          <t>Porto Real</t>
        </is>
      </c>
      <c r="C1765" s="30" t="n">
        <v>11126316</v>
      </c>
      <c r="D1765" s="30">
        <f>"29268609000128"</f>
        <v/>
      </c>
      <c r="E1765" s="30" t="inlineStr">
        <is>
          <t>PERUGIA TRANSPORTES E LOGÍSTICA EIRELI</t>
        </is>
      </c>
      <c r="F1765" s="40" t="n">
        <v>0</v>
      </c>
      <c r="G1765" s="40" t="n">
        <v>0</v>
      </c>
      <c r="H1765" s="40" t="n">
        <v>0</v>
      </c>
      <c r="I1765" s="40" t="n">
        <v>0</v>
      </c>
      <c r="J1765" s="40" t="n">
        <v>0</v>
      </c>
      <c r="K1765" s="40" t="n">
        <v>101400.06</v>
      </c>
      <c r="L1765" s="40" t="n">
        <v>129641.32</v>
      </c>
    </row>
    <row r="1766" ht="12" customHeight="1">
      <c r="A1766" s="30" t="inlineStr">
        <is>
          <t>POR</t>
        </is>
      </c>
      <c r="B1766" s="30" t="inlineStr">
        <is>
          <t>Porto Real</t>
        </is>
      </c>
      <c r="C1766" s="30" t="n">
        <v>11132219</v>
      </c>
      <c r="D1766" s="30">
        <f>"30308329000185"</f>
        <v/>
      </c>
      <c r="E1766" s="30" t="inlineStr">
        <is>
          <t>TLOG RJ TRANSPORTADORA DE CARGAS LTDA</t>
        </is>
      </c>
      <c r="F1766" s="40" t="n">
        <v>0</v>
      </c>
      <c r="G1766" s="40" t="n">
        <v>0</v>
      </c>
      <c r="H1766" s="40" t="n">
        <v>0</v>
      </c>
      <c r="I1766" s="40" t="n">
        <v>1559.95</v>
      </c>
      <c r="J1766" s="40" t="n">
        <v>0</v>
      </c>
      <c r="K1766" s="40" t="n">
        <v>0</v>
      </c>
      <c r="L1766" s="40" t="n">
        <v>0</v>
      </c>
    </row>
    <row r="1767" ht="12" customHeight="1">
      <c r="A1767" s="30" t="inlineStr">
        <is>
          <t>POR</t>
        </is>
      </c>
      <c r="B1767" s="30" t="inlineStr">
        <is>
          <t>Porto Real</t>
        </is>
      </c>
      <c r="C1767" s="30" t="n">
        <v>11146279</v>
      </c>
      <c r="D1767" s="30">
        <f>"03554137000500"</f>
        <v/>
      </c>
      <c r="E1767" s="30" t="inlineStr">
        <is>
          <t>STE TRANSPORTES S.A.</t>
        </is>
      </c>
      <c r="F1767" s="40" t="n">
        <v>0</v>
      </c>
      <c r="G1767" s="40" t="n">
        <v>14127.42</v>
      </c>
      <c r="H1767" s="40" t="n">
        <v>0</v>
      </c>
      <c r="I1767" s="40" t="n">
        <v>0</v>
      </c>
      <c r="J1767" s="40" t="n">
        <v>0</v>
      </c>
      <c r="K1767" s="40" t="n">
        <v>0</v>
      </c>
      <c r="L1767" s="40" t="n">
        <v>0</v>
      </c>
    </row>
    <row r="1768" ht="12" customHeight="1">
      <c r="A1768" s="30" t="inlineStr">
        <is>
          <t>POR</t>
        </is>
      </c>
      <c r="B1768" s="30" t="inlineStr">
        <is>
          <t>Porto Real</t>
        </is>
      </c>
      <c r="C1768" s="30" t="n">
        <v>11173900</v>
      </c>
      <c r="D1768" s="30">
        <f>"25244915000254"</f>
        <v/>
      </c>
      <c r="E1768" s="30" t="inlineStr">
        <is>
          <t>TRANSBSM TRANSPORTE DO BRASIL LTDA</t>
        </is>
      </c>
      <c r="F1768" s="40" t="n">
        <v>0</v>
      </c>
      <c r="G1768" s="40" t="n">
        <v>0</v>
      </c>
      <c r="H1768" s="40" t="n">
        <v>0</v>
      </c>
      <c r="I1768" s="40" t="n">
        <v>0</v>
      </c>
      <c r="J1768" s="40" t="n">
        <v>0</v>
      </c>
      <c r="K1768" s="40" t="n">
        <v>0</v>
      </c>
      <c r="L1768" s="40" t="n">
        <v>0</v>
      </c>
    </row>
    <row r="1769" ht="12" customHeight="1">
      <c r="A1769" s="30" t="inlineStr">
        <is>
          <t>POR</t>
        </is>
      </c>
      <c r="B1769" s="30" t="inlineStr">
        <is>
          <t>Porto Real</t>
        </is>
      </c>
      <c r="C1769" s="30" t="n">
        <v>11176380</v>
      </c>
      <c r="D1769" s="30">
        <f>"24625925000277"</f>
        <v/>
      </c>
      <c r="E1769" s="30" t="inlineStr">
        <is>
          <t>GEFCO INDUSTRIA DO BRASIL LTDA</t>
        </is>
      </c>
      <c r="F1769" s="40" t="n">
        <v>0</v>
      </c>
      <c r="G1769" s="40" t="n">
        <v>0</v>
      </c>
      <c r="H1769" s="40" t="n">
        <v>0</v>
      </c>
      <c r="I1769" s="40" t="n">
        <v>0</v>
      </c>
      <c r="J1769" s="40" t="n">
        <v>0</v>
      </c>
      <c r="K1769" s="40" t="n">
        <v>0</v>
      </c>
      <c r="L1769" s="40" t="n">
        <v>0</v>
      </c>
    </row>
    <row r="1770" ht="12" customHeight="1">
      <c r="A1770" s="30" t="inlineStr">
        <is>
          <t>POR</t>
        </is>
      </c>
      <c r="B1770" s="30" t="inlineStr">
        <is>
          <t>Porto Real</t>
        </is>
      </c>
      <c r="C1770" s="30" t="n">
        <v>11184812</v>
      </c>
      <c r="D1770" s="30">
        <f>"30863677000114"</f>
        <v/>
      </c>
      <c r="E1770" s="30" t="inlineStr">
        <is>
          <t>SILVA ALIMENTOS NOVO HORIZONTE LTDA</t>
        </is>
      </c>
      <c r="F1770" s="40" t="n">
        <v>0</v>
      </c>
      <c r="G1770" s="40" t="n">
        <v>0</v>
      </c>
      <c r="H1770" s="40" t="n">
        <v>0</v>
      </c>
      <c r="I1770" s="40" t="n">
        <v>1279857.87</v>
      </c>
      <c r="J1770" s="40" t="n">
        <v>1034165.14</v>
      </c>
      <c r="K1770" s="40" t="n">
        <v>1396007.47</v>
      </c>
      <c r="L1770" s="40" t="n">
        <v>1544860.6</v>
      </c>
    </row>
    <row r="1771" ht="12" customHeight="1">
      <c r="A1771" s="30" t="inlineStr">
        <is>
          <t>POR</t>
        </is>
      </c>
      <c r="B1771" s="30" t="inlineStr">
        <is>
          <t>Porto Real</t>
        </is>
      </c>
      <c r="C1771" s="30" t="n">
        <v>11185550</v>
      </c>
      <c r="D1771" s="30">
        <f>"27731568000139"</f>
        <v/>
      </c>
      <c r="E1771" s="30" t="inlineStr">
        <is>
          <t>EMPRESA JORNALISTICA A VOZ DO INTERIOR LTDA EPP</t>
        </is>
      </c>
      <c r="F1771" s="40" t="n">
        <v>0</v>
      </c>
      <c r="G1771" s="40" t="n">
        <v>0</v>
      </c>
      <c r="H1771" s="40" t="n">
        <v>0</v>
      </c>
      <c r="I1771" s="40" t="n">
        <v>0</v>
      </c>
      <c r="J1771" s="40" t="n">
        <v>0</v>
      </c>
      <c r="K1771" s="40" t="n">
        <v>0</v>
      </c>
      <c r="L1771" s="40" t="n">
        <v>0</v>
      </c>
    </row>
    <row r="1772" ht="12" customHeight="1">
      <c r="A1772" s="30" t="inlineStr">
        <is>
          <t>POR</t>
        </is>
      </c>
      <c r="B1772" s="30" t="inlineStr">
        <is>
          <t>Porto Real</t>
        </is>
      </c>
      <c r="C1772" s="30" t="n">
        <v>11229980</v>
      </c>
      <c r="D1772" s="30">
        <f>"66301334001002"</f>
        <v/>
      </c>
      <c r="E1772" s="30" t="inlineStr">
        <is>
          <t>LATICINIOS PORTO ALEGRE INDUSTRIA E COMERCIO S/A</t>
        </is>
      </c>
      <c r="F1772" s="40" t="n">
        <v>0</v>
      </c>
      <c r="G1772" s="40" t="n">
        <v>0</v>
      </c>
      <c r="H1772" s="40" t="n">
        <v>0</v>
      </c>
      <c r="I1772" s="40" t="n">
        <v>70643.82000000001</v>
      </c>
      <c r="J1772" s="40" t="n">
        <v>164356.45</v>
      </c>
      <c r="K1772" s="40" t="n">
        <v>0</v>
      </c>
      <c r="L1772" s="40" t="n">
        <v>0</v>
      </c>
    </row>
    <row r="1773" ht="12" customHeight="1">
      <c r="A1773" s="30" t="inlineStr">
        <is>
          <t>POR</t>
        </is>
      </c>
      <c r="B1773" s="30" t="inlineStr">
        <is>
          <t>Porto Real</t>
        </is>
      </c>
      <c r="C1773" s="30" t="n">
        <v>11272630</v>
      </c>
      <c r="D1773" s="30">
        <f>"31495246000296"</f>
        <v/>
      </c>
      <c r="E1773" s="30" t="inlineStr">
        <is>
          <t>EMBALABRAS SISTEMAS DE EMBALAGENS EIRELI</t>
        </is>
      </c>
      <c r="F1773" s="40" t="n">
        <v>0</v>
      </c>
      <c r="G1773" s="40" t="n">
        <v>0</v>
      </c>
      <c r="H1773" s="40" t="n">
        <v>6044.25</v>
      </c>
      <c r="I1773" s="40" t="n">
        <v>0</v>
      </c>
      <c r="J1773" s="40" t="n">
        <v>0</v>
      </c>
      <c r="K1773" s="40" t="n">
        <v>0</v>
      </c>
      <c r="L1773" s="40" t="n">
        <v>0</v>
      </c>
    </row>
    <row r="1774" ht="12" customHeight="1">
      <c r="A1774" s="30" t="inlineStr">
        <is>
          <t>POR</t>
        </is>
      </c>
      <c r="B1774" s="30" t="inlineStr">
        <is>
          <t>Porto Real</t>
        </is>
      </c>
      <c r="C1774" s="30" t="n">
        <v>11306870</v>
      </c>
      <c r="D1774" s="30">
        <f>"26607430000321"</f>
        <v/>
      </c>
      <c r="E1774" s="30" t="inlineStr">
        <is>
          <t>EXPRESSO JA LTDA</t>
        </is>
      </c>
      <c r="F1774" s="40" t="n">
        <v>0</v>
      </c>
      <c r="G1774" s="40" t="n">
        <v>0</v>
      </c>
      <c r="H1774" s="40" t="n">
        <v>0</v>
      </c>
      <c r="I1774" s="40" t="n">
        <v>0</v>
      </c>
      <c r="J1774" s="40" t="n">
        <v>0</v>
      </c>
      <c r="K1774" s="40" t="n">
        <v>0</v>
      </c>
      <c r="L1774" s="40" t="n">
        <v>132.68</v>
      </c>
    </row>
    <row r="1775" ht="12" customHeight="1">
      <c r="A1775" s="30" t="inlineStr">
        <is>
          <t>POR</t>
        </is>
      </c>
      <c r="B1775" s="30" t="inlineStr">
        <is>
          <t>Porto Real</t>
        </is>
      </c>
      <c r="C1775" s="30" t="n">
        <v>11309739</v>
      </c>
      <c r="D1775" s="30">
        <f>"05476099000469"</f>
        <v/>
      </c>
      <c r="E1775" s="30" t="inlineStr">
        <is>
          <t>SOMA LOGISTICA E LOCACOES LTDA</t>
        </is>
      </c>
      <c r="F1775" s="40" t="n">
        <v>0</v>
      </c>
      <c r="G1775" s="40" t="n">
        <v>0</v>
      </c>
      <c r="H1775" s="40" t="n">
        <v>0</v>
      </c>
      <c r="I1775" s="40" t="n">
        <v>0</v>
      </c>
      <c r="J1775" s="40" t="n">
        <v>813817.46</v>
      </c>
      <c r="K1775" s="40" t="n">
        <v>0</v>
      </c>
      <c r="L1775" s="40" t="n">
        <v>7208147.8</v>
      </c>
    </row>
    <row r="1776" ht="12" customHeight="1">
      <c r="A1776" s="30" t="inlineStr">
        <is>
          <t>POR</t>
        </is>
      </c>
      <c r="B1776" s="30" t="inlineStr">
        <is>
          <t>Porto Real</t>
        </is>
      </c>
      <c r="C1776" s="30" t="n">
        <v>11323936</v>
      </c>
      <c r="D1776" s="30">
        <f>"32161677000106"</f>
        <v/>
      </c>
      <c r="E1776" s="30" t="inlineStr">
        <is>
          <t>COMERCIAL ALIMENTÍCIA PORTO REAL EIRELI</t>
        </is>
      </c>
      <c r="F1776" s="40" t="n">
        <v>0</v>
      </c>
      <c r="G1776" s="40" t="n">
        <v>0</v>
      </c>
      <c r="H1776" s="40" t="n">
        <v>0</v>
      </c>
      <c r="I1776" s="40" t="n">
        <v>0</v>
      </c>
      <c r="J1776" s="40" t="n">
        <v>0</v>
      </c>
      <c r="K1776" s="40" t="n">
        <v>0</v>
      </c>
      <c r="L1776" s="40" t="n">
        <v>0</v>
      </c>
    </row>
    <row r="1777" ht="12" customHeight="1">
      <c r="A1777" s="30" t="inlineStr">
        <is>
          <t>POR</t>
        </is>
      </c>
      <c r="B1777" s="30" t="inlineStr">
        <is>
          <t>Porto Real</t>
        </is>
      </c>
      <c r="C1777" s="30" t="n">
        <v>11335233</v>
      </c>
      <c r="D1777" s="30">
        <f>"07973198000643"</f>
        <v/>
      </c>
      <c r="E1777" s="30" t="inlineStr">
        <is>
          <t>EUROLAF VEICULOS ESPECIAIS LTDA</t>
        </is>
      </c>
      <c r="F1777" s="40" t="n">
        <v>0</v>
      </c>
      <c r="G1777" s="40" t="n">
        <v>0</v>
      </c>
      <c r="H1777" s="40" t="n">
        <v>0</v>
      </c>
      <c r="I1777" s="40" t="n">
        <v>0</v>
      </c>
      <c r="J1777" s="40" t="n">
        <v>0</v>
      </c>
      <c r="K1777" s="40" t="n">
        <v>0</v>
      </c>
      <c r="L1777" s="40" t="n">
        <v>0</v>
      </c>
    </row>
    <row r="1778" ht="12" customHeight="1">
      <c r="A1778" s="30" t="inlineStr">
        <is>
          <t>POR</t>
        </is>
      </c>
      <c r="B1778" s="30" t="inlineStr">
        <is>
          <t>Porto Real</t>
        </is>
      </c>
      <c r="C1778" s="30" t="n">
        <v>11370322</v>
      </c>
      <c r="D1778" s="30">
        <f>"14942369000209"</f>
        <v/>
      </c>
      <c r="E1778" s="30" t="inlineStr">
        <is>
          <t>JOSUE DE OLIVEIRA E CIA LTDA</t>
        </is>
      </c>
      <c r="F1778" s="40" t="n">
        <v>0</v>
      </c>
      <c r="G1778" s="40" t="n">
        <v>0</v>
      </c>
      <c r="H1778" s="40" t="n">
        <v>0</v>
      </c>
      <c r="I1778" s="40" t="n">
        <v>0</v>
      </c>
      <c r="J1778" s="40" t="n">
        <v>0</v>
      </c>
      <c r="K1778" s="40" t="n">
        <v>0</v>
      </c>
      <c r="L1778" s="40" t="n">
        <v>0</v>
      </c>
    </row>
    <row r="1779" ht="12" customHeight="1">
      <c r="A1779" s="30" t="inlineStr">
        <is>
          <t>POR</t>
        </is>
      </c>
      <c r="B1779" s="30" t="inlineStr">
        <is>
          <t>Porto Real</t>
        </is>
      </c>
      <c r="C1779" s="30" t="n">
        <v>11386431</v>
      </c>
      <c r="D1779" s="30">
        <f>"29080308000338"</f>
        <v/>
      </c>
      <c r="E1779" s="30" t="inlineStr">
        <is>
          <t>R&amp;D CARGO TRANSPORTES LTDA</t>
        </is>
      </c>
      <c r="F1779" s="40" t="n">
        <v>0</v>
      </c>
      <c r="G1779" s="40" t="n">
        <v>0</v>
      </c>
      <c r="H1779" s="40" t="n">
        <v>427.26</v>
      </c>
      <c r="I1779" s="40" t="n">
        <v>0</v>
      </c>
      <c r="J1779" s="40" t="n">
        <v>0</v>
      </c>
      <c r="K1779" s="40" t="n">
        <v>537.13</v>
      </c>
      <c r="L1779" s="40" t="n">
        <v>0</v>
      </c>
    </row>
    <row r="1780" ht="12" customHeight="1">
      <c r="A1780" s="30" t="inlineStr">
        <is>
          <t>POR</t>
        </is>
      </c>
      <c r="B1780" s="30" t="inlineStr">
        <is>
          <t>Porto Real</t>
        </is>
      </c>
      <c r="C1780" s="30" t="n">
        <v>11423590</v>
      </c>
      <c r="D1780" s="30">
        <f>"23890893000193"</f>
        <v/>
      </c>
      <c r="E1780" s="30" t="inlineStr">
        <is>
          <t>YOLE CLINICA MEDICA E DIVULGACAO CULTURAL LTDA ME</t>
        </is>
      </c>
      <c r="F1780" s="40" t="n">
        <v>0</v>
      </c>
      <c r="G1780" s="40" t="n">
        <v>0</v>
      </c>
      <c r="H1780" s="40" t="n">
        <v>0</v>
      </c>
      <c r="I1780" s="40" t="n">
        <v>0</v>
      </c>
      <c r="J1780" s="40" t="n">
        <v>0</v>
      </c>
      <c r="K1780" s="40" t="n">
        <v>3959</v>
      </c>
      <c r="L1780" s="40" t="n">
        <v>0</v>
      </c>
    </row>
    <row r="1781" ht="12" customHeight="1">
      <c r="A1781" s="30" t="inlineStr">
        <is>
          <t>POR</t>
        </is>
      </c>
      <c r="B1781" s="30" t="inlineStr">
        <is>
          <t>Porto Real</t>
        </is>
      </c>
      <c r="C1781" s="30" t="n">
        <v>11430210</v>
      </c>
      <c r="D1781" s="30">
        <f>"04871022749"</f>
        <v/>
      </c>
      <c r="E1781" s="30" t="inlineStr">
        <is>
          <t>FIRCEM JOSE ZACARIAS</t>
        </is>
      </c>
      <c r="F1781" s="40" t="n">
        <v>0</v>
      </c>
      <c r="G1781" s="40" t="n">
        <v>0</v>
      </c>
      <c r="H1781" s="40" t="n">
        <v>14000</v>
      </c>
      <c r="I1781" s="40" t="n">
        <v>14000</v>
      </c>
      <c r="J1781" s="40" t="n">
        <v>0</v>
      </c>
      <c r="K1781" s="40" t="n">
        <v>0</v>
      </c>
      <c r="L1781" s="40" t="n">
        <v>0</v>
      </c>
    </row>
    <row r="1782" ht="12" customHeight="1">
      <c r="A1782" s="30" t="inlineStr">
        <is>
          <t>POR</t>
        </is>
      </c>
      <c r="B1782" s="30" t="inlineStr">
        <is>
          <t>Porto Real</t>
        </is>
      </c>
      <c r="C1782" s="30" t="n">
        <v>11447856</v>
      </c>
      <c r="D1782" s="30">
        <f>"14428131720"</f>
        <v/>
      </c>
      <c r="E1782" s="30" t="inlineStr">
        <is>
          <t>LUIZ CARLOS DINIZ</t>
        </is>
      </c>
      <c r="F1782" s="40" t="n">
        <v>0</v>
      </c>
      <c r="G1782" s="40" t="n">
        <v>0</v>
      </c>
      <c r="H1782" s="40" t="n">
        <v>0</v>
      </c>
      <c r="I1782" s="40" t="n">
        <v>0</v>
      </c>
      <c r="J1782" s="40" t="n">
        <v>0</v>
      </c>
      <c r="K1782" s="40" t="n">
        <v>286208.34</v>
      </c>
      <c r="L1782" s="40" t="n">
        <v>606684.6899999999</v>
      </c>
    </row>
    <row r="1783" ht="12" customHeight="1">
      <c r="A1783" s="30" t="inlineStr">
        <is>
          <t>POR</t>
        </is>
      </c>
      <c r="B1783" s="30" t="inlineStr">
        <is>
          <t>Porto Real</t>
        </is>
      </c>
      <c r="C1783" s="30" t="n">
        <v>11456219</v>
      </c>
      <c r="D1783" s="30">
        <f>"17451156000272"</f>
        <v/>
      </c>
      <c r="E1783" s="30" t="inlineStr">
        <is>
          <t>LOGFIT LOGISTICA E SERVICOS S/A.</t>
        </is>
      </c>
      <c r="F1783" s="40" t="n">
        <v>0</v>
      </c>
      <c r="G1783" s="40" t="n">
        <v>0</v>
      </c>
      <c r="H1783" s="40" t="n">
        <v>0</v>
      </c>
      <c r="I1783" s="40" t="n">
        <v>115902.52</v>
      </c>
      <c r="J1783" s="40" t="n">
        <v>18087.29</v>
      </c>
      <c r="K1783" s="40" t="n">
        <v>79463.89999999999</v>
      </c>
      <c r="L1783" s="40" t="n">
        <v>32154.79</v>
      </c>
    </row>
    <row r="1784" ht="12" customHeight="1">
      <c r="A1784" s="30" t="inlineStr">
        <is>
          <t>POR</t>
        </is>
      </c>
      <c r="B1784" s="30" t="inlineStr">
        <is>
          <t>Porto Real</t>
        </is>
      </c>
      <c r="C1784" s="30" t="n">
        <v>11473407</v>
      </c>
      <c r="D1784" s="30">
        <f>"81615627001201"</f>
        <v/>
      </c>
      <c r="E1784" s="30" t="inlineStr">
        <is>
          <t>BNTG LOGISTICA LTDA</t>
        </is>
      </c>
      <c r="F1784" s="40" t="n">
        <v>0</v>
      </c>
      <c r="G1784" s="40" t="n">
        <v>0</v>
      </c>
      <c r="H1784" s="40" t="n">
        <v>0</v>
      </c>
      <c r="I1784" s="40" t="n">
        <v>1256605.59</v>
      </c>
      <c r="J1784" s="40" t="n">
        <v>1777463.34</v>
      </c>
      <c r="K1784" s="40" t="n">
        <v>0</v>
      </c>
      <c r="L1784" s="40" t="n">
        <v>0</v>
      </c>
    </row>
    <row r="1785" ht="12" customHeight="1">
      <c r="A1785" s="30" t="inlineStr">
        <is>
          <t>POR</t>
        </is>
      </c>
      <c r="B1785" s="30" t="inlineStr">
        <is>
          <t>Porto Real</t>
        </is>
      </c>
      <c r="C1785" s="30" t="n">
        <v>11477704</v>
      </c>
      <c r="D1785" s="30">
        <f>"24232418000192"</f>
        <v/>
      </c>
      <c r="E1785" s="30" t="inlineStr">
        <is>
          <t>ZNA ARMAZENS GERAIS E TRANSPORTES LTDA</t>
        </is>
      </c>
      <c r="F1785" s="40" t="n">
        <v>0</v>
      </c>
      <c r="G1785" s="40" t="n">
        <v>0</v>
      </c>
      <c r="H1785" s="40" t="n">
        <v>0</v>
      </c>
      <c r="I1785" s="40" t="n">
        <v>0</v>
      </c>
      <c r="J1785" s="40" t="n">
        <v>2375.44</v>
      </c>
      <c r="K1785" s="40" t="n">
        <v>2875.17</v>
      </c>
      <c r="L1785" s="40" t="n">
        <v>0</v>
      </c>
    </row>
    <row r="1786" ht="12" customHeight="1">
      <c r="A1786" s="30" t="inlineStr">
        <is>
          <t>POR</t>
        </is>
      </c>
      <c r="B1786" s="30" t="inlineStr">
        <is>
          <t>Porto Real</t>
        </is>
      </c>
      <c r="C1786" s="30" t="n">
        <v>11479235</v>
      </c>
      <c r="D1786" s="30">
        <f>"10466983001777"</f>
        <v/>
      </c>
      <c r="E1786" s="30" t="inlineStr">
        <is>
          <t>REITER TRANSPORTES E LOGISTICA LTDA</t>
        </is>
      </c>
      <c r="F1786" s="40" t="n">
        <v>0</v>
      </c>
      <c r="G1786" s="40" t="n">
        <v>0</v>
      </c>
      <c r="H1786" s="40" t="n">
        <v>572267.8100000001</v>
      </c>
      <c r="I1786" s="40" t="n">
        <v>0</v>
      </c>
      <c r="J1786" s="40" t="n">
        <v>0</v>
      </c>
      <c r="K1786" s="40" t="n">
        <v>0</v>
      </c>
      <c r="L1786" s="40" t="n">
        <v>0</v>
      </c>
    </row>
    <row r="1787" ht="12" customHeight="1">
      <c r="A1787" s="30" t="inlineStr">
        <is>
          <t>POR</t>
        </is>
      </c>
      <c r="B1787" s="30" t="inlineStr">
        <is>
          <t>Porto Real</t>
        </is>
      </c>
      <c r="C1787" s="30" t="n">
        <v>11486150</v>
      </c>
      <c r="D1787" s="30">
        <f>"22082397001384"</f>
        <v/>
      </c>
      <c r="E1787" s="30" t="inlineStr">
        <is>
          <t>DROGARIA ULTRAPOPULAR MANEJO LTDA ME</t>
        </is>
      </c>
      <c r="F1787" s="40" t="n">
        <v>0</v>
      </c>
      <c r="G1787" s="40" t="n">
        <v>0</v>
      </c>
      <c r="H1787" s="40" t="n">
        <v>0</v>
      </c>
      <c r="I1787" s="40" t="n">
        <v>0</v>
      </c>
      <c r="J1787" s="40" t="n">
        <v>0</v>
      </c>
      <c r="K1787" s="40" t="n">
        <v>0</v>
      </c>
      <c r="L1787" s="40" t="n">
        <v>0</v>
      </c>
    </row>
    <row r="1788" ht="12" customHeight="1">
      <c r="A1788" s="30" t="inlineStr">
        <is>
          <t>POR</t>
        </is>
      </c>
      <c r="B1788" s="30" t="inlineStr">
        <is>
          <t>Porto Real</t>
        </is>
      </c>
      <c r="C1788" s="30" t="n">
        <v>11500528</v>
      </c>
      <c r="D1788" s="30">
        <f>"04968037000592"</f>
        <v/>
      </c>
      <c r="E1788" s="30" t="inlineStr">
        <is>
          <t>DACUNHA NORDESTE TRANSPORTES LTDA</t>
        </is>
      </c>
      <c r="F1788" s="40" t="n">
        <v>0</v>
      </c>
      <c r="G1788" s="40" t="n">
        <v>0</v>
      </c>
      <c r="H1788" s="40" t="n">
        <v>0</v>
      </c>
      <c r="I1788" s="40" t="n">
        <v>0</v>
      </c>
      <c r="J1788" s="40" t="n">
        <v>0</v>
      </c>
      <c r="K1788" s="40" t="n">
        <v>0</v>
      </c>
      <c r="L1788" s="40" t="n">
        <v>0</v>
      </c>
    </row>
    <row r="1789" ht="12" customHeight="1">
      <c r="A1789" s="30" t="inlineStr">
        <is>
          <t>POR</t>
        </is>
      </c>
      <c r="B1789" s="30" t="inlineStr">
        <is>
          <t>Porto Real</t>
        </is>
      </c>
      <c r="C1789" s="30" t="n">
        <v>11505732</v>
      </c>
      <c r="D1789" s="30">
        <f>"01672150000295"</f>
        <v/>
      </c>
      <c r="E1789" s="30" t="inlineStr">
        <is>
          <t>E.M.S. TRANSPORTES RODOVIARIO LTDA</t>
        </is>
      </c>
      <c r="F1789" s="40" t="n">
        <v>0</v>
      </c>
      <c r="G1789" s="40" t="n">
        <v>0</v>
      </c>
      <c r="H1789" s="40" t="n">
        <v>0</v>
      </c>
      <c r="I1789" s="40" t="n">
        <v>0</v>
      </c>
      <c r="J1789" s="40" t="n">
        <v>0</v>
      </c>
      <c r="K1789" s="40" t="n">
        <v>0</v>
      </c>
      <c r="L1789" s="40" t="n">
        <v>0</v>
      </c>
    </row>
    <row r="1790" ht="12" customHeight="1">
      <c r="A1790" s="30" t="inlineStr">
        <is>
          <t>POR</t>
        </is>
      </c>
      <c r="B1790" s="30" t="inlineStr">
        <is>
          <t>Porto Real</t>
        </is>
      </c>
      <c r="C1790" s="30" t="n">
        <v>11539483</v>
      </c>
      <c r="D1790" s="30">
        <f>"33777159000176"</f>
        <v/>
      </c>
      <c r="E1790" s="30" t="inlineStr">
        <is>
          <t>QUATER DISTRIBUIDORA MATERIA PRIMA EIRELI</t>
        </is>
      </c>
      <c r="F1790" s="40" t="n">
        <v>0</v>
      </c>
      <c r="G1790" s="40" t="n">
        <v>0</v>
      </c>
      <c r="H1790" s="40" t="n">
        <v>0</v>
      </c>
      <c r="I1790" s="40" t="n">
        <v>0</v>
      </c>
      <c r="J1790" s="40" t="n">
        <v>0</v>
      </c>
      <c r="K1790" s="40" t="n">
        <v>0</v>
      </c>
      <c r="L1790" s="40" t="n">
        <v>0</v>
      </c>
    </row>
    <row r="1791" ht="12" customHeight="1">
      <c r="A1791" s="30" t="inlineStr">
        <is>
          <t>POR</t>
        </is>
      </c>
      <c r="B1791" s="30" t="inlineStr">
        <is>
          <t>Porto Real</t>
        </is>
      </c>
      <c r="C1791" s="30" t="n">
        <v>11540970</v>
      </c>
      <c r="D1791" s="30">
        <f>"34790127000173"</f>
        <v/>
      </c>
      <c r="E1791" s="30" t="inlineStr">
        <is>
          <t>LPO INDUSTRIA E COMERCIO DE VELAS EIRELI</t>
        </is>
      </c>
      <c r="F1791" s="40" t="n">
        <v>0</v>
      </c>
      <c r="G1791" s="40" t="n">
        <v>0</v>
      </c>
      <c r="H1791" s="40" t="n">
        <v>0</v>
      </c>
      <c r="I1791" s="40" t="n">
        <v>223308.56</v>
      </c>
      <c r="J1791" s="40" t="n">
        <v>466258.89</v>
      </c>
      <c r="K1791" s="40" t="n">
        <v>417122.27</v>
      </c>
      <c r="L1791" s="40" t="n">
        <v>265240.87</v>
      </c>
    </row>
    <row r="1792" ht="12" customHeight="1">
      <c r="A1792" s="30" t="inlineStr">
        <is>
          <t>POR</t>
        </is>
      </c>
      <c r="B1792" s="30" t="inlineStr">
        <is>
          <t>Porto Real</t>
        </is>
      </c>
      <c r="C1792" s="30" t="n">
        <v>11543804</v>
      </c>
      <c r="D1792" s="30">
        <f>"34731643000127"</f>
        <v/>
      </c>
      <c r="E1792" s="30" t="inlineStr">
        <is>
          <t>ANDER RIBEIRO ARRUDA ME</t>
        </is>
      </c>
      <c r="F1792" s="40" t="n">
        <v>0</v>
      </c>
      <c r="G1792" s="40" t="n">
        <v>0</v>
      </c>
      <c r="H1792" s="40" t="n">
        <v>0</v>
      </c>
      <c r="I1792" s="40" t="n">
        <v>1988592.8</v>
      </c>
      <c r="J1792" s="40" t="n">
        <v>4679135.58</v>
      </c>
      <c r="K1792" s="40" t="n">
        <v>6409236.35</v>
      </c>
      <c r="L1792" s="40" t="n">
        <v>1901819.21</v>
      </c>
    </row>
    <row r="1793" ht="12" customHeight="1">
      <c r="A1793" s="30" t="inlineStr">
        <is>
          <t>POR</t>
        </is>
      </c>
      <c r="B1793" s="30" t="inlineStr">
        <is>
          <t>Porto Real</t>
        </is>
      </c>
      <c r="C1793" s="30" t="n">
        <v>11556787</v>
      </c>
      <c r="D1793" s="30">
        <f>"33697443000213"</f>
        <v/>
      </c>
      <c r="E1793" s="30" t="inlineStr">
        <is>
          <t>MINAS TRANSPORTES MULTIMODAL EIRELI</t>
        </is>
      </c>
      <c r="F1793" s="40" t="n">
        <v>0</v>
      </c>
      <c r="G1793" s="40" t="n">
        <v>0</v>
      </c>
      <c r="H1793" s="40" t="n">
        <v>0</v>
      </c>
      <c r="I1793" s="40" t="n">
        <v>0</v>
      </c>
      <c r="J1793" s="40" t="n">
        <v>1800.47</v>
      </c>
      <c r="K1793" s="40" t="n">
        <v>0</v>
      </c>
      <c r="L1793" s="40" t="n">
        <v>0</v>
      </c>
    </row>
    <row r="1794" ht="12" customHeight="1">
      <c r="A1794" s="30" t="inlineStr">
        <is>
          <t>POR</t>
        </is>
      </c>
      <c r="B1794" s="30" t="inlineStr">
        <is>
          <t>Porto Real</t>
        </is>
      </c>
      <c r="C1794" s="30" t="n">
        <v>11558348</v>
      </c>
      <c r="D1794" s="30">
        <f>"10814914000140"</f>
        <v/>
      </c>
      <c r="E1794" s="30" t="inlineStr">
        <is>
          <t>CIRAC CENTRO INTEGRADO DE RECOLHIMENTO ASSISTENCIA E CONTROLE DE ANIMAIS LTDA ME</t>
        </is>
      </c>
      <c r="F1794" s="40" t="n">
        <v>0</v>
      </c>
      <c r="G1794" s="40" t="n">
        <v>0</v>
      </c>
      <c r="H1794" s="40" t="n">
        <v>0</v>
      </c>
      <c r="I1794" s="40" t="n">
        <v>0</v>
      </c>
      <c r="J1794" s="40" t="n">
        <v>0</v>
      </c>
      <c r="K1794" s="40" t="n">
        <v>0</v>
      </c>
      <c r="L1794" s="40" t="n">
        <v>772.45</v>
      </c>
    </row>
    <row r="1795" ht="12" customHeight="1">
      <c r="A1795" s="30" t="inlineStr">
        <is>
          <t>POR</t>
        </is>
      </c>
      <c r="B1795" s="30" t="inlineStr">
        <is>
          <t>Porto Real</t>
        </is>
      </c>
      <c r="C1795" s="30" t="n">
        <v>11570283</v>
      </c>
      <c r="D1795" s="30">
        <f>"16597704754"</f>
        <v/>
      </c>
      <c r="E1795" s="30" t="inlineStr">
        <is>
          <t>RITA DE CASSIA MEDEIROS SILVA</t>
        </is>
      </c>
      <c r="F1795" s="40" t="n">
        <v>0</v>
      </c>
      <c r="G1795" s="40" t="n">
        <v>0</v>
      </c>
      <c r="H1795" s="40" t="n">
        <v>0</v>
      </c>
      <c r="I1795" s="40" t="n">
        <v>0</v>
      </c>
      <c r="J1795" s="40" t="n">
        <v>274255.74</v>
      </c>
      <c r="K1795" s="40" t="n">
        <v>0</v>
      </c>
      <c r="L1795" s="40" t="n">
        <v>0</v>
      </c>
    </row>
    <row r="1796" ht="12" customHeight="1">
      <c r="A1796" s="30" t="inlineStr">
        <is>
          <t>POR</t>
        </is>
      </c>
      <c r="B1796" s="30" t="inlineStr">
        <is>
          <t>Porto Real</t>
        </is>
      </c>
      <c r="C1796" s="30" t="n">
        <v>11573754</v>
      </c>
      <c r="D1796" s="30">
        <f>"17451156000353"</f>
        <v/>
      </c>
      <c r="E1796" s="30" t="inlineStr">
        <is>
          <t>LOGFIT LOGISTICA E SERVICOS S/A.</t>
        </is>
      </c>
      <c r="F1796" s="40" t="n">
        <v>0</v>
      </c>
      <c r="G1796" s="40" t="n">
        <v>0</v>
      </c>
      <c r="H1796" s="40" t="n">
        <v>0</v>
      </c>
      <c r="I1796" s="40" t="n">
        <v>1565.41</v>
      </c>
      <c r="J1796" s="40" t="n">
        <v>0</v>
      </c>
      <c r="K1796" s="40" t="n">
        <v>0</v>
      </c>
      <c r="L1796" s="40" t="n">
        <v>0</v>
      </c>
    </row>
    <row r="1797" ht="12" customHeight="1">
      <c r="A1797" s="30" t="inlineStr">
        <is>
          <t>POR</t>
        </is>
      </c>
      <c r="B1797" s="30" t="inlineStr">
        <is>
          <t>Porto Real</t>
        </is>
      </c>
      <c r="C1797" s="30" t="n">
        <v>11578934</v>
      </c>
      <c r="D1797" s="30">
        <f>"08430504003683"</f>
        <v/>
      </c>
      <c r="E1797" s="30" t="inlineStr">
        <is>
          <t>F M COMERCIO DE MOVEIS LTDA</t>
        </is>
      </c>
      <c r="F1797" s="40" t="n">
        <v>0</v>
      </c>
      <c r="G1797" s="40" t="n">
        <v>0</v>
      </c>
      <c r="H1797" s="40" t="n">
        <v>158568.37</v>
      </c>
      <c r="I1797" s="40" t="n">
        <v>432755.87</v>
      </c>
      <c r="J1797" s="40" t="n">
        <v>296771.55</v>
      </c>
      <c r="K1797" s="40" t="n">
        <v>0</v>
      </c>
      <c r="L1797" s="40" t="n">
        <v>0</v>
      </c>
    </row>
    <row r="1798" ht="12" customHeight="1">
      <c r="A1798" s="30" t="inlineStr">
        <is>
          <t>POR</t>
        </is>
      </c>
      <c r="B1798" s="30" t="inlineStr">
        <is>
          <t>Porto Real</t>
        </is>
      </c>
      <c r="C1798" s="30" t="n">
        <v>11587062</v>
      </c>
      <c r="D1798" s="30">
        <f>"26886144000180"</f>
        <v/>
      </c>
      <c r="E1798" s="30" t="inlineStr">
        <is>
          <t>V. DE SOUZA BOTELHO MARQUES</t>
        </is>
      </c>
      <c r="F1798" s="40" t="n">
        <v>0</v>
      </c>
      <c r="G1798" s="40" t="n">
        <v>0</v>
      </c>
      <c r="H1798" s="40" t="n">
        <v>0</v>
      </c>
      <c r="I1798" s="40" t="n">
        <v>0</v>
      </c>
      <c r="J1798" s="40" t="n">
        <v>185585.95</v>
      </c>
      <c r="K1798" s="40" t="n">
        <v>0</v>
      </c>
      <c r="L1798" s="40" t="n">
        <v>0</v>
      </c>
    </row>
    <row r="1799" ht="12" customHeight="1">
      <c r="A1799" s="30" t="inlineStr">
        <is>
          <t>POR</t>
        </is>
      </c>
      <c r="B1799" s="30" t="inlineStr">
        <is>
          <t>Porto Real</t>
        </is>
      </c>
      <c r="C1799" s="30" t="n">
        <v>11600166</v>
      </c>
      <c r="D1799" s="30">
        <f>"13951174001072"</f>
        <v/>
      </c>
      <c r="E1799" s="30" t="inlineStr">
        <is>
          <t>SESE LOGISTICA DO BRASIL LTDA.</t>
        </is>
      </c>
      <c r="F1799" s="40" t="n">
        <v>0</v>
      </c>
      <c r="G1799" s="40" t="n">
        <v>0</v>
      </c>
      <c r="H1799" s="40" t="n">
        <v>0</v>
      </c>
      <c r="I1799" s="40" t="n">
        <v>0</v>
      </c>
      <c r="J1799" s="40" t="n">
        <v>0</v>
      </c>
      <c r="K1799" s="40" t="n">
        <v>541220.13</v>
      </c>
      <c r="L1799" s="40" t="n">
        <v>809854.4</v>
      </c>
    </row>
    <row r="1800" ht="12" customHeight="1">
      <c r="A1800" s="30" t="inlineStr">
        <is>
          <t>POR</t>
        </is>
      </c>
      <c r="B1800" s="30" t="inlineStr">
        <is>
          <t>Porto Real</t>
        </is>
      </c>
      <c r="C1800" s="30" t="n">
        <v>11627781</v>
      </c>
      <c r="D1800" s="30">
        <f>"35788734000161"</f>
        <v/>
      </c>
      <c r="E1800" s="30" t="inlineStr">
        <is>
          <t>CONSTRUTORA ELITE II SPE LTDA</t>
        </is>
      </c>
      <c r="F1800" s="40" t="n">
        <v>0</v>
      </c>
      <c r="G1800" s="40" t="n">
        <v>0</v>
      </c>
      <c r="H1800" s="40" t="n">
        <v>0</v>
      </c>
      <c r="I1800" s="40" t="n">
        <v>0</v>
      </c>
      <c r="J1800" s="40" t="n">
        <v>0</v>
      </c>
      <c r="K1800" s="40" t="n">
        <v>0</v>
      </c>
      <c r="L1800" s="40" t="n">
        <v>0</v>
      </c>
    </row>
    <row r="1801" ht="12" customHeight="1">
      <c r="A1801" s="30" t="inlineStr">
        <is>
          <t>POR</t>
        </is>
      </c>
      <c r="B1801" s="30" t="inlineStr">
        <is>
          <t>Porto Real</t>
        </is>
      </c>
      <c r="C1801" s="30" t="n">
        <v>11633064</v>
      </c>
      <c r="D1801" s="30">
        <f>"26598598000237"</f>
        <v/>
      </c>
      <c r="E1801" s="30" t="inlineStr">
        <is>
          <t>PRIMOR TRANSPORTES E SERVICOS EIRELI</t>
        </is>
      </c>
      <c r="F1801" s="40" t="n">
        <v>0</v>
      </c>
      <c r="G1801" s="40" t="n">
        <v>0</v>
      </c>
      <c r="H1801" s="40" t="n">
        <v>0</v>
      </c>
      <c r="I1801" s="40" t="n">
        <v>0</v>
      </c>
      <c r="J1801" s="40" t="n">
        <v>0</v>
      </c>
      <c r="K1801" s="40" t="n">
        <v>0</v>
      </c>
      <c r="L1801" s="40" t="n">
        <v>758313.83</v>
      </c>
    </row>
    <row r="1802" ht="12" customHeight="1">
      <c r="A1802" s="30" t="inlineStr">
        <is>
          <t>POR</t>
        </is>
      </c>
      <c r="B1802" s="30" t="inlineStr">
        <is>
          <t>Porto Real</t>
        </is>
      </c>
      <c r="C1802" s="30" t="n">
        <v>11638414</v>
      </c>
      <c r="D1802" s="30">
        <f>"76560275000575"</f>
        <v/>
      </c>
      <c r="E1802" s="30" t="inlineStr">
        <is>
          <t>TRANSCELSO TRANSPORTES LTDA</t>
        </is>
      </c>
      <c r="F1802" s="40" t="n">
        <v>0</v>
      </c>
      <c r="G1802" s="40" t="n">
        <v>0</v>
      </c>
      <c r="H1802" s="40" t="n">
        <v>0</v>
      </c>
      <c r="I1802" s="40" t="n">
        <v>0</v>
      </c>
      <c r="J1802" s="40" t="n">
        <v>0</v>
      </c>
      <c r="K1802" s="40" t="n">
        <v>57120</v>
      </c>
      <c r="L1802" s="40" t="n">
        <v>39200</v>
      </c>
    </row>
    <row r="1803" ht="12" customHeight="1">
      <c r="A1803" s="30" t="inlineStr">
        <is>
          <t>POR</t>
        </is>
      </c>
      <c r="B1803" s="30" t="inlineStr">
        <is>
          <t>Porto Real</t>
        </is>
      </c>
      <c r="C1803" s="30" t="n">
        <v>11639623</v>
      </c>
      <c r="D1803" s="30">
        <f>"35839942000142"</f>
        <v/>
      </c>
      <c r="E1803" s="30" t="inlineStr">
        <is>
          <t>TMA SUDESTE TRANSPORTE E LOG?STICA LTDA</t>
        </is>
      </c>
      <c r="F1803" s="40" t="n">
        <v>0</v>
      </c>
      <c r="G1803" s="40" t="n">
        <v>0</v>
      </c>
      <c r="H1803" s="40" t="n">
        <v>0</v>
      </c>
      <c r="I1803" s="40" t="n">
        <v>632.45</v>
      </c>
      <c r="J1803" s="40" t="n">
        <v>137.56</v>
      </c>
      <c r="K1803" s="40" t="n">
        <v>0</v>
      </c>
      <c r="L1803" s="40" t="n">
        <v>0</v>
      </c>
    </row>
    <row r="1804" ht="12" customHeight="1">
      <c r="A1804" s="30" t="inlineStr">
        <is>
          <t>POR</t>
        </is>
      </c>
      <c r="B1804" s="30" t="inlineStr">
        <is>
          <t>Porto Real</t>
        </is>
      </c>
      <c r="C1804" s="30" t="n">
        <v>11650830</v>
      </c>
      <c r="D1804" s="30">
        <f>"36115907000143"</f>
        <v/>
      </c>
      <c r="E1804" s="30" t="inlineStr">
        <is>
          <t>C.A.A CONSTRUTORA E INCORPORADORA SPE LTDA</t>
        </is>
      </c>
      <c r="F1804" s="40" t="n">
        <v>0</v>
      </c>
      <c r="G1804" s="40" t="n">
        <v>0</v>
      </c>
      <c r="H1804" s="40" t="n">
        <v>0</v>
      </c>
      <c r="I1804" s="40" t="n">
        <v>0</v>
      </c>
      <c r="J1804" s="40" t="n">
        <v>0</v>
      </c>
      <c r="K1804" s="40" t="n">
        <v>0</v>
      </c>
      <c r="L1804" s="40" t="n">
        <v>0</v>
      </c>
    </row>
    <row r="1805" ht="12" customHeight="1">
      <c r="A1805" s="30" t="inlineStr">
        <is>
          <t>POR</t>
        </is>
      </c>
      <c r="B1805" s="30" t="inlineStr">
        <is>
          <t>Porto Real</t>
        </is>
      </c>
      <c r="C1805" s="30" t="n">
        <v>11664199</v>
      </c>
      <c r="D1805" s="30">
        <f>"36293536000190"</f>
        <v/>
      </c>
      <c r="E1805" s="30" t="inlineStr">
        <is>
          <t>TRANSCD TRANSPORTES PORTO REAL LTDA</t>
        </is>
      </c>
      <c r="F1805" s="40" t="n">
        <v>0</v>
      </c>
      <c r="G1805" s="40" t="n">
        <v>0</v>
      </c>
      <c r="H1805" s="40" t="n">
        <v>0</v>
      </c>
      <c r="I1805" s="40" t="n">
        <v>0</v>
      </c>
      <c r="J1805" s="40" t="n">
        <v>52816.46</v>
      </c>
      <c r="K1805" s="40" t="n">
        <v>5389354.34</v>
      </c>
      <c r="L1805" s="40" t="n">
        <v>3977464.96</v>
      </c>
    </row>
    <row r="1806" ht="12" customHeight="1">
      <c r="A1806" s="30" t="inlineStr">
        <is>
          <t>POR</t>
        </is>
      </c>
      <c r="B1806" s="30" t="inlineStr">
        <is>
          <t>Porto Real</t>
        </is>
      </c>
      <c r="C1806" s="30" t="n">
        <v>11684009</v>
      </c>
      <c r="D1806" s="30">
        <f>"77058881001106"</f>
        <v/>
      </c>
      <c r="E1806" s="30" t="inlineStr">
        <is>
          <t>TRANS-PIZZATTO TRANSPORTADORA DE CARGAS RODOVIARIAS LTDA</t>
        </is>
      </c>
      <c r="F1806" s="40" t="n">
        <v>0</v>
      </c>
      <c r="G1806" s="40" t="n">
        <v>0</v>
      </c>
      <c r="H1806" s="40" t="n">
        <v>0</v>
      </c>
      <c r="I1806" s="40" t="n">
        <v>962534.73</v>
      </c>
      <c r="J1806" s="40" t="n">
        <v>4046179.76</v>
      </c>
      <c r="K1806" s="40" t="n">
        <v>5638515.03</v>
      </c>
      <c r="L1806" s="40" t="n">
        <v>0</v>
      </c>
    </row>
    <row r="1807" ht="12" customHeight="1">
      <c r="A1807" s="30" t="inlineStr">
        <is>
          <t>POR</t>
        </is>
      </c>
      <c r="B1807" s="30" t="inlineStr">
        <is>
          <t>Porto Real</t>
        </is>
      </c>
      <c r="C1807" s="30" t="n">
        <v>11684335</v>
      </c>
      <c r="D1807" s="30">
        <f>"36536077000128"</f>
        <v/>
      </c>
      <c r="E1807" s="30" t="inlineStr">
        <is>
          <t>ASK DISTRIBUIDORA EIRELI</t>
        </is>
      </c>
      <c r="F1807" s="40" t="n">
        <v>0</v>
      </c>
      <c r="G1807" s="40" t="n">
        <v>0</v>
      </c>
      <c r="H1807" s="40" t="n">
        <v>0</v>
      </c>
      <c r="I1807" s="40" t="n">
        <v>0</v>
      </c>
      <c r="J1807" s="40" t="n">
        <v>0</v>
      </c>
      <c r="K1807" s="40" t="n">
        <v>0</v>
      </c>
      <c r="L1807" s="40" t="n">
        <v>0</v>
      </c>
    </row>
    <row r="1808" ht="12" customHeight="1">
      <c r="A1808" s="30" t="inlineStr">
        <is>
          <t>POR</t>
        </is>
      </c>
      <c r="B1808" s="30" t="inlineStr">
        <is>
          <t>Porto Real</t>
        </is>
      </c>
      <c r="C1808" s="30" t="n">
        <v>11699375</v>
      </c>
      <c r="D1808" s="30">
        <f>"20121850002107"</f>
        <v/>
      </c>
      <c r="E1808" s="30" t="inlineStr">
        <is>
          <t>MERCADO ENVIOS SERVICOS DE LOGISTICA LTDA</t>
        </is>
      </c>
      <c r="F1808" s="40" t="n">
        <v>0</v>
      </c>
      <c r="G1808" s="40" t="n">
        <v>0</v>
      </c>
      <c r="H1808" s="40" t="n">
        <v>0</v>
      </c>
      <c r="I1808" s="40" t="n">
        <v>0</v>
      </c>
      <c r="J1808" s="40" t="n">
        <v>0</v>
      </c>
      <c r="K1808" s="40" t="n">
        <v>14055.92</v>
      </c>
      <c r="L1808" s="40" t="n">
        <v>0</v>
      </c>
    </row>
    <row r="1809" ht="12" customHeight="1">
      <c r="A1809" s="30" t="inlineStr">
        <is>
          <t>POR</t>
        </is>
      </c>
      <c r="B1809" s="30" t="inlineStr">
        <is>
          <t>Porto Real</t>
        </is>
      </c>
      <c r="C1809" s="30" t="n">
        <v>11702384</v>
      </c>
      <c r="D1809" s="30">
        <f>"24394151000210"</f>
        <v/>
      </c>
      <c r="E1809" s="30" t="inlineStr">
        <is>
          <t>HOSANNA PROVEDOR DE SERVICOS DE INTERNET LTDA</t>
        </is>
      </c>
      <c r="F1809" s="40" t="n">
        <v>0</v>
      </c>
      <c r="G1809" s="40" t="n">
        <v>0</v>
      </c>
      <c r="H1809" s="40" t="n">
        <v>0</v>
      </c>
      <c r="I1809" s="40" t="n">
        <v>0</v>
      </c>
      <c r="J1809" s="40" t="n">
        <v>0</v>
      </c>
      <c r="K1809" s="40" t="n">
        <v>0</v>
      </c>
      <c r="L1809" s="40" t="n">
        <v>0</v>
      </c>
    </row>
    <row r="1810" ht="12" customHeight="1">
      <c r="A1810" s="30" t="inlineStr">
        <is>
          <t>POR</t>
        </is>
      </c>
      <c r="B1810" s="30" t="inlineStr">
        <is>
          <t>Porto Real</t>
        </is>
      </c>
      <c r="C1810" s="30" t="n">
        <v>11712908</v>
      </c>
      <c r="D1810" s="30">
        <f>"36012579000150"</f>
        <v/>
      </c>
      <c r="E1810" s="30" t="inlineStr">
        <is>
          <t>COZANI RJ INFRAESTRUTURA E REDES DE TELECOMUNICA??ES S.A</t>
        </is>
      </c>
      <c r="F1810" s="40" t="n">
        <v>0</v>
      </c>
      <c r="G1810" s="40" t="n">
        <v>0</v>
      </c>
      <c r="H1810" s="40" t="n">
        <v>0</v>
      </c>
      <c r="I1810" s="40" t="n">
        <v>0</v>
      </c>
      <c r="J1810" s="40" t="n">
        <v>0</v>
      </c>
      <c r="K1810" s="40" t="n">
        <v>62952.36</v>
      </c>
      <c r="L1810" s="40" t="n">
        <v>0</v>
      </c>
    </row>
    <row r="1811" ht="12" customHeight="1">
      <c r="A1811" s="30" t="inlineStr">
        <is>
          <t>POR</t>
        </is>
      </c>
      <c r="B1811" s="30" t="inlineStr">
        <is>
          <t>Porto Real</t>
        </is>
      </c>
      <c r="C1811" s="30" t="n">
        <v>11738494</v>
      </c>
      <c r="D1811" s="30">
        <f>"17215039002334"</f>
        <v/>
      </c>
      <c r="E1811" s="30" t="inlineStr">
        <is>
          <t>TRANSPORTES PESADOS MINAS S A</t>
        </is>
      </c>
      <c r="F1811" s="40" t="n">
        <v>0</v>
      </c>
      <c r="G1811" s="40" t="n">
        <v>0</v>
      </c>
      <c r="H1811" s="40" t="n">
        <v>0</v>
      </c>
      <c r="I1811" s="40" t="n">
        <v>0</v>
      </c>
      <c r="J1811" s="40" t="n">
        <v>1545.45</v>
      </c>
      <c r="K1811" s="40" t="n">
        <v>0</v>
      </c>
      <c r="L1811" s="40" t="n">
        <v>66030.5</v>
      </c>
    </row>
    <row r="1812" ht="12" customHeight="1">
      <c r="A1812" s="30" t="inlineStr">
        <is>
          <t>POR</t>
        </is>
      </c>
      <c r="B1812" s="30" t="inlineStr">
        <is>
          <t>Porto Real</t>
        </is>
      </c>
      <c r="C1812" s="30" t="n">
        <v>11741665</v>
      </c>
      <c r="D1812" s="30">
        <f>"17888419000124"</f>
        <v/>
      </c>
      <c r="E1812" s="30" t="inlineStr">
        <is>
          <t>ZAMIX MULTIPLAY TELECOMUNICACOES LTDA</t>
        </is>
      </c>
      <c r="F1812" s="40" t="n">
        <v>0</v>
      </c>
      <c r="G1812" s="40" t="n">
        <v>0</v>
      </c>
      <c r="H1812" s="40" t="n">
        <v>0</v>
      </c>
      <c r="I1812" s="40" t="n">
        <v>2517.04</v>
      </c>
      <c r="J1812" s="40" t="n">
        <v>1107.65</v>
      </c>
      <c r="K1812" s="40" t="n">
        <v>0</v>
      </c>
      <c r="L1812" s="40" t="n">
        <v>0</v>
      </c>
    </row>
    <row r="1813" ht="12" customHeight="1">
      <c r="A1813" s="30" t="inlineStr">
        <is>
          <t>POR</t>
        </is>
      </c>
      <c r="B1813" s="30" t="inlineStr">
        <is>
          <t>Porto Real</t>
        </is>
      </c>
      <c r="C1813" s="30" t="n">
        <v>11781160</v>
      </c>
      <c r="D1813" s="30">
        <f>"23820639000704"</f>
        <v/>
      </c>
      <c r="E1813" s="30" t="inlineStr">
        <is>
          <t>GFL LOGISTICA LTDA</t>
        </is>
      </c>
      <c r="F1813" s="40" t="n">
        <v>0</v>
      </c>
      <c r="G1813" s="40" t="n">
        <v>0</v>
      </c>
      <c r="H1813" s="40" t="n">
        <v>0</v>
      </c>
      <c r="I1813" s="40" t="n">
        <v>0</v>
      </c>
      <c r="J1813" s="40" t="n">
        <v>0</v>
      </c>
      <c r="K1813" s="40" t="n">
        <v>0</v>
      </c>
      <c r="L1813" s="40" t="n">
        <v>3723.88</v>
      </c>
    </row>
    <row r="1814" ht="12" customHeight="1">
      <c r="A1814" s="30" t="inlineStr">
        <is>
          <t>POR</t>
        </is>
      </c>
      <c r="B1814" s="30" t="inlineStr">
        <is>
          <t>Porto Real</t>
        </is>
      </c>
      <c r="C1814" s="30" t="n">
        <v>11804284</v>
      </c>
      <c r="D1814" s="30">
        <f>"75958926001084"</f>
        <v/>
      </c>
      <c r="E1814" s="30" t="inlineStr">
        <is>
          <t>GHELERE TRANSPORTES LTDA</t>
        </is>
      </c>
      <c r="F1814" s="40" t="n">
        <v>0</v>
      </c>
      <c r="G1814" s="40" t="n">
        <v>0</v>
      </c>
      <c r="H1814" s="40" t="n">
        <v>0</v>
      </c>
      <c r="I1814" s="40" t="n">
        <v>0</v>
      </c>
      <c r="J1814" s="40" t="n">
        <v>20669.99</v>
      </c>
      <c r="K1814" s="40" t="n">
        <v>28150.92</v>
      </c>
      <c r="L1814" s="40" t="n">
        <v>10171.84</v>
      </c>
    </row>
    <row r="1815" ht="12" customHeight="1">
      <c r="A1815" s="30" t="inlineStr">
        <is>
          <t>POR</t>
        </is>
      </c>
      <c r="B1815" s="30" t="inlineStr">
        <is>
          <t>Porto Real</t>
        </is>
      </c>
      <c r="C1815" s="30" t="n">
        <v>11810381</v>
      </c>
      <c r="D1815" s="30">
        <f>"05206385004400"</f>
        <v/>
      </c>
      <c r="E1815" s="30" t="inlineStr">
        <is>
          <t>HUGHES TELECOMUNICACOES DO BRASIL LTDA</t>
        </is>
      </c>
      <c r="F1815" s="40" t="n">
        <v>0</v>
      </c>
      <c r="G1815" s="40" t="n">
        <v>0</v>
      </c>
      <c r="H1815" s="40" t="n">
        <v>0</v>
      </c>
      <c r="I1815" s="40" t="n">
        <v>2516.84</v>
      </c>
      <c r="J1815" s="40" t="n">
        <v>22817.79</v>
      </c>
      <c r="K1815" s="40" t="n">
        <v>22927.94</v>
      </c>
      <c r="L1815" s="40" t="n">
        <v>17452.87</v>
      </c>
    </row>
    <row r="1816" ht="12" customHeight="1">
      <c r="A1816" s="30" t="inlineStr">
        <is>
          <t>POR</t>
        </is>
      </c>
      <c r="B1816" s="30" t="inlineStr">
        <is>
          <t>Porto Real</t>
        </is>
      </c>
      <c r="C1816" s="30" t="n">
        <v>11823033</v>
      </c>
      <c r="D1816" s="30">
        <f>"37185266000166"</f>
        <v/>
      </c>
      <c r="E1816" s="30" t="inlineStr">
        <is>
          <t>JONAVA RJ INFRAESTRUTURA E REDES DE TELECOMUNICACOES S.A.</t>
        </is>
      </c>
      <c r="F1816" s="40" t="n">
        <v>0</v>
      </c>
      <c r="G1816" s="40" t="n">
        <v>0</v>
      </c>
      <c r="H1816" s="40" t="n">
        <v>0</v>
      </c>
      <c r="I1816" s="40" t="n">
        <v>0</v>
      </c>
      <c r="J1816" s="40" t="n">
        <v>0</v>
      </c>
      <c r="K1816" s="40" t="n">
        <v>112.24</v>
      </c>
      <c r="L1816" s="40" t="n">
        <v>0</v>
      </c>
    </row>
    <row r="1817" ht="12" customHeight="1">
      <c r="A1817" s="30" t="inlineStr">
        <is>
          <t>POR</t>
        </is>
      </c>
      <c r="B1817" s="30" t="inlineStr">
        <is>
          <t>Porto Real</t>
        </is>
      </c>
      <c r="C1817" s="30" t="n">
        <v>11823050</v>
      </c>
      <c r="D1817" s="30">
        <f>"00005039053720"</f>
        <v/>
      </c>
      <c r="E1817" s="30" t="inlineStr">
        <is>
          <t>JOAO RUFINO</t>
        </is>
      </c>
      <c r="F1817" s="40" t="n">
        <v>0</v>
      </c>
      <c r="G1817" s="40" t="n">
        <v>0</v>
      </c>
      <c r="H1817" s="40" t="n">
        <v>0</v>
      </c>
      <c r="I1817" s="40" t="n">
        <v>700</v>
      </c>
      <c r="J1817" s="40" t="n">
        <v>2353</v>
      </c>
      <c r="K1817" s="40" t="n">
        <v>2224</v>
      </c>
      <c r="L1817" s="40" t="n">
        <v>2186</v>
      </c>
    </row>
    <row r="1818" ht="12" customHeight="1">
      <c r="A1818" s="30" t="inlineStr">
        <is>
          <t>POR</t>
        </is>
      </c>
      <c r="B1818" s="30" t="inlineStr">
        <is>
          <t>Porto Real</t>
        </is>
      </c>
      <c r="C1818" s="30" t="n">
        <v>11840892</v>
      </c>
      <c r="D1818" s="30">
        <f>"76667682001558"</f>
        <v/>
      </c>
      <c r="E1818" s="30" t="inlineStr">
        <is>
          <t>BUDEL TRANSPORTES LTDA</t>
        </is>
      </c>
      <c r="F1818" s="40" t="n">
        <v>0</v>
      </c>
      <c r="G1818" s="40" t="n">
        <v>0</v>
      </c>
      <c r="H1818" s="40" t="n">
        <v>0</v>
      </c>
      <c r="I1818" s="40" t="n">
        <v>0</v>
      </c>
      <c r="J1818" s="40" t="n">
        <v>0</v>
      </c>
      <c r="K1818" s="40" t="n">
        <v>98133.83</v>
      </c>
      <c r="L1818" s="40" t="n">
        <v>0</v>
      </c>
    </row>
    <row r="1819" ht="12" customHeight="1">
      <c r="A1819" s="30" t="inlineStr">
        <is>
          <t>POR</t>
        </is>
      </c>
      <c r="B1819" s="30" t="inlineStr">
        <is>
          <t>Porto Real</t>
        </is>
      </c>
      <c r="C1819" s="30" t="n">
        <v>11842542</v>
      </c>
      <c r="D1819" s="30">
        <f>"12680452000736"</f>
        <v/>
      </c>
      <c r="E1819" s="30" t="inlineStr">
        <is>
          <t>PLATINUM LOG ARMAZENS GERAIS LTDA</t>
        </is>
      </c>
      <c r="F1819" s="40" t="n">
        <v>0</v>
      </c>
      <c r="G1819" s="40" t="n">
        <v>0</v>
      </c>
      <c r="H1819" s="40" t="n">
        <v>0</v>
      </c>
      <c r="I1819" s="40" t="n">
        <v>0</v>
      </c>
      <c r="J1819" s="40" t="n">
        <v>0</v>
      </c>
      <c r="K1819" s="40" t="n">
        <v>327.78</v>
      </c>
      <c r="L1819" s="40" t="n">
        <v>0</v>
      </c>
    </row>
    <row r="1820" ht="12" customHeight="1">
      <c r="A1820" s="30" t="inlineStr">
        <is>
          <t>POR</t>
        </is>
      </c>
      <c r="B1820" s="30" t="inlineStr">
        <is>
          <t>Porto Real</t>
        </is>
      </c>
      <c r="C1820" s="30" t="n">
        <v>11862489</v>
      </c>
      <c r="D1820" s="30">
        <f>"37421570000165"</f>
        <v/>
      </c>
      <c r="E1820" s="30" t="inlineStr">
        <is>
          <t>DMP COMERCIAL ALIMENTICIA LTDA</t>
        </is>
      </c>
      <c r="F1820" s="40" t="n">
        <v>0</v>
      </c>
      <c r="G1820" s="40" t="n">
        <v>0</v>
      </c>
      <c r="H1820" s="40" t="n">
        <v>0</v>
      </c>
      <c r="I1820" s="40" t="n">
        <v>0</v>
      </c>
      <c r="J1820" s="40" t="n">
        <v>0</v>
      </c>
      <c r="K1820" s="40" t="n">
        <v>0</v>
      </c>
      <c r="L1820" s="40" t="n">
        <v>0</v>
      </c>
    </row>
    <row r="1821" ht="12" customHeight="1">
      <c r="A1821" s="30" t="inlineStr">
        <is>
          <t>POR</t>
        </is>
      </c>
      <c r="B1821" s="30" t="inlineStr">
        <is>
          <t>Porto Real</t>
        </is>
      </c>
      <c r="C1821" s="30" t="n">
        <v>11873324</v>
      </c>
      <c r="D1821" s="30">
        <f>"88313457000601"</f>
        <v/>
      </c>
      <c r="E1821" s="30" t="inlineStr">
        <is>
          <t>TRANSLIQUIDOS LTDA</t>
        </is>
      </c>
      <c r="F1821" s="40" t="n">
        <v>0</v>
      </c>
      <c r="G1821" s="40" t="n">
        <v>0</v>
      </c>
      <c r="H1821" s="40" t="n">
        <v>0</v>
      </c>
      <c r="I1821" s="40" t="n">
        <v>0</v>
      </c>
      <c r="J1821" s="40" t="n">
        <v>0</v>
      </c>
      <c r="K1821" s="40" t="n">
        <v>9736.959999999999</v>
      </c>
      <c r="L1821" s="40" t="n">
        <v>0</v>
      </c>
    </row>
    <row r="1822" ht="12" customHeight="1">
      <c r="A1822" s="30" t="inlineStr">
        <is>
          <t>POR</t>
        </is>
      </c>
      <c r="B1822" s="30" t="inlineStr">
        <is>
          <t>Porto Real</t>
        </is>
      </c>
      <c r="C1822" s="30" t="n">
        <v>11886620</v>
      </c>
      <c r="D1822" s="30">
        <f>"39696049000166"</f>
        <v/>
      </c>
      <c r="E1822" s="30" t="inlineStr">
        <is>
          <t>CONSTRUTORA ELITE"S SPE LTDA</t>
        </is>
      </c>
      <c r="F1822" s="40" t="n">
        <v>0</v>
      </c>
      <c r="G1822" s="40" t="n">
        <v>0</v>
      </c>
      <c r="H1822" s="40" t="n">
        <v>0</v>
      </c>
      <c r="I1822" s="40" t="n">
        <v>0</v>
      </c>
      <c r="J1822" s="40" t="n">
        <v>0</v>
      </c>
      <c r="K1822" s="40" t="n">
        <v>0</v>
      </c>
      <c r="L1822" s="40" t="n">
        <v>0</v>
      </c>
    </row>
    <row r="1823" ht="12" customHeight="1">
      <c r="A1823" s="30" t="inlineStr">
        <is>
          <t>POR</t>
        </is>
      </c>
      <c r="B1823" s="30" t="inlineStr">
        <is>
          <t>Porto Real</t>
        </is>
      </c>
      <c r="C1823" s="30" t="n">
        <v>11898408</v>
      </c>
      <c r="D1823" s="30">
        <f>"39538126000230"</f>
        <v/>
      </c>
      <c r="E1823" s="30" t="inlineStr">
        <is>
          <t>BRLOGIS TRANSPORTE DE VEICULOS S/A</t>
        </is>
      </c>
      <c r="F1823" s="40" t="n">
        <v>0</v>
      </c>
      <c r="G1823" s="40" t="n">
        <v>0</v>
      </c>
      <c r="H1823" s="40" t="n">
        <v>0</v>
      </c>
      <c r="I1823" s="40" t="n">
        <v>16141.49</v>
      </c>
      <c r="J1823" s="40" t="n">
        <v>511358.5</v>
      </c>
      <c r="K1823" s="40" t="n">
        <v>3359.4</v>
      </c>
      <c r="L1823" s="40" t="n">
        <v>0</v>
      </c>
    </row>
    <row r="1824" ht="12" customHeight="1">
      <c r="A1824" s="30" t="inlineStr">
        <is>
          <t>POR</t>
        </is>
      </c>
      <c r="B1824" s="30" t="inlineStr">
        <is>
          <t>Porto Real</t>
        </is>
      </c>
      <c r="C1824" s="30" t="n">
        <v>11918131</v>
      </c>
      <c r="D1824" s="30">
        <f>"35606143001017"</f>
        <v/>
      </c>
      <c r="E1824" s="30" t="inlineStr">
        <is>
          <t>FASTLINE LOGISTICA AUTOMOTIVA LTDA</t>
        </is>
      </c>
      <c r="F1824" s="40" t="n">
        <v>0</v>
      </c>
      <c r="G1824" s="40" t="n">
        <v>0</v>
      </c>
      <c r="H1824" s="40" t="n">
        <v>0</v>
      </c>
      <c r="I1824" s="40" t="n">
        <v>0</v>
      </c>
      <c r="J1824" s="40" t="n">
        <v>2320.83</v>
      </c>
      <c r="K1824" s="40" t="n">
        <v>930</v>
      </c>
      <c r="L1824" s="40" t="n">
        <v>4720</v>
      </c>
    </row>
    <row r="1825" ht="12" customHeight="1">
      <c r="A1825" s="30" t="inlineStr">
        <is>
          <t>POR</t>
        </is>
      </c>
      <c r="B1825" s="30" t="inlineStr">
        <is>
          <t>Porto Real</t>
        </is>
      </c>
      <c r="C1825" s="30" t="n">
        <v>11920985</v>
      </c>
      <c r="D1825" s="30">
        <f>"82110818002841"</f>
        <v/>
      </c>
      <c r="E1825" s="30" t="inlineStr">
        <is>
          <t>ALFA TRANSPORTES LTDA</t>
        </is>
      </c>
      <c r="F1825" s="40" t="n">
        <v>0</v>
      </c>
      <c r="G1825" s="40" t="n">
        <v>0</v>
      </c>
      <c r="H1825" s="40" t="n">
        <v>0</v>
      </c>
      <c r="I1825" s="40" t="n">
        <v>0</v>
      </c>
      <c r="J1825" s="40" t="n">
        <v>3957.55</v>
      </c>
      <c r="K1825" s="40" t="n">
        <v>4342.59</v>
      </c>
      <c r="L1825" s="40" t="n">
        <v>8764.93</v>
      </c>
    </row>
    <row r="1826" ht="12" customHeight="1">
      <c r="A1826" s="30" t="inlineStr">
        <is>
          <t>POR</t>
        </is>
      </c>
      <c r="B1826" s="30" t="inlineStr">
        <is>
          <t>Porto Real</t>
        </is>
      </c>
      <c r="C1826" s="30" t="n">
        <v>11926150</v>
      </c>
      <c r="D1826" s="30">
        <f>"30962019000775"</f>
        <v/>
      </c>
      <c r="E1826" s="30" t="inlineStr">
        <is>
          <t>RODOE TRANSPORTES DE ENCOMENDAS LTDA</t>
        </is>
      </c>
      <c r="F1826" s="40" t="n">
        <v>0</v>
      </c>
      <c r="G1826" s="40" t="n">
        <v>0</v>
      </c>
      <c r="H1826" s="40" t="n">
        <v>0</v>
      </c>
      <c r="I1826" s="40" t="n">
        <v>0</v>
      </c>
      <c r="J1826" s="40" t="n">
        <v>1.14</v>
      </c>
      <c r="K1826" s="40" t="n">
        <v>0</v>
      </c>
      <c r="L1826" s="40" t="n">
        <v>0</v>
      </c>
    </row>
    <row r="1827" ht="12" customHeight="1">
      <c r="A1827" s="30" t="inlineStr">
        <is>
          <t>POR</t>
        </is>
      </c>
      <c r="B1827" s="30" t="inlineStr">
        <is>
          <t>Porto Real</t>
        </is>
      </c>
      <c r="C1827" s="30" t="n">
        <v>11935117</v>
      </c>
      <c r="D1827" s="30">
        <f>"00077932315700"</f>
        <v/>
      </c>
      <c r="E1827" s="30" t="inlineStr">
        <is>
          <t>ALBERTO PEDERASSI NETO</t>
        </is>
      </c>
      <c r="F1827" s="40" t="n">
        <v>0</v>
      </c>
      <c r="G1827" s="40" t="n">
        <v>0</v>
      </c>
      <c r="H1827" s="40" t="n">
        <v>0</v>
      </c>
      <c r="I1827" s="40" t="n">
        <v>0</v>
      </c>
      <c r="J1827" s="40" t="n">
        <v>0</v>
      </c>
      <c r="K1827" s="40" t="n">
        <v>0</v>
      </c>
      <c r="L1827" s="40" t="n">
        <v>0</v>
      </c>
    </row>
    <row r="1828" ht="12" customHeight="1">
      <c r="A1828" s="30" t="inlineStr">
        <is>
          <t>POR</t>
        </is>
      </c>
      <c r="B1828" s="30" t="inlineStr">
        <is>
          <t>Porto Real</t>
        </is>
      </c>
      <c r="C1828" s="30" t="n">
        <v>11941591</v>
      </c>
      <c r="D1828" s="30">
        <f>"39366242000139"</f>
        <v/>
      </c>
      <c r="E1828" s="30" t="inlineStr">
        <is>
          <t>DROGARIA PS LTDA</t>
        </is>
      </c>
      <c r="F1828" s="40" t="n">
        <v>0</v>
      </c>
      <c r="G1828" s="40" t="n">
        <v>0</v>
      </c>
      <c r="H1828" s="40" t="n">
        <v>0</v>
      </c>
      <c r="I1828" s="40" t="n">
        <v>0</v>
      </c>
      <c r="J1828" s="40" t="n">
        <v>278674.45</v>
      </c>
      <c r="K1828" s="40" t="n">
        <v>492488.78</v>
      </c>
      <c r="L1828" s="40" t="n">
        <v>681940.01</v>
      </c>
    </row>
    <row r="1829" ht="12" customHeight="1">
      <c r="A1829" s="30" t="inlineStr">
        <is>
          <t>POR</t>
        </is>
      </c>
      <c r="B1829" s="30" t="inlineStr">
        <is>
          <t>Porto Real</t>
        </is>
      </c>
      <c r="C1829" s="30" t="n">
        <v>11951643</v>
      </c>
      <c r="D1829" s="30">
        <f>"17877334001627"</f>
        <v/>
      </c>
      <c r="E1829" s="30" t="inlineStr">
        <is>
          <t>RODOFROTA TRANSPORTES RODOVIARIOS E LOGISTICA LTDA</t>
        </is>
      </c>
      <c r="F1829" s="40" t="n">
        <v>0</v>
      </c>
      <c r="G1829" s="40" t="n">
        <v>0</v>
      </c>
      <c r="H1829" s="40" t="n">
        <v>0</v>
      </c>
      <c r="I1829" s="40" t="n">
        <v>0</v>
      </c>
      <c r="J1829" s="40" t="n">
        <v>0</v>
      </c>
      <c r="K1829" s="40" t="n">
        <v>0</v>
      </c>
      <c r="L1829" s="40" t="n">
        <v>0</v>
      </c>
    </row>
    <row r="1830" ht="12" customHeight="1">
      <c r="A1830" s="30" t="inlineStr">
        <is>
          <t>POR</t>
        </is>
      </c>
      <c r="B1830" s="30" t="inlineStr">
        <is>
          <t>Porto Real</t>
        </is>
      </c>
      <c r="C1830" s="30" t="n">
        <v>11972977</v>
      </c>
      <c r="D1830" s="30">
        <f>"01125797002593"</f>
        <v/>
      </c>
      <c r="E1830" s="30" t="inlineStr">
        <is>
          <t>ATIVA DISTRIBUICAO E LOGISTICA LTDA</t>
        </is>
      </c>
      <c r="F1830" s="40" t="n">
        <v>0</v>
      </c>
      <c r="G1830" s="40" t="n">
        <v>0</v>
      </c>
      <c r="H1830" s="40" t="n">
        <v>0</v>
      </c>
      <c r="I1830" s="40" t="n">
        <v>0</v>
      </c>
      <c r="J1830" s="40" t="n">
        <v>65.98</v>
      </c>
      <c r="K1830" s="40" t="n">
        <v>0</v>
      </c>
      <c r="L1830" s="40" t="n">
        <v>0</v>
      </c>
    </row>
    <row r="1831" ht="12" customHeight="1">
      <c r="A1831" s="30" t="inlineStr">
        <is>
          <t>POR</t>
        </is>
      </c>
      <c r="B1831" s="30" t="inlineStr">
        <is>
          <t>Porto Real</t>
        </is>
      </c>
      <c r="C1831" s="30" t="n">
        <v>11976441</v>
      </c>
      <c r="D1831" s="30">
        <f>"09318444000225"</f>
        <v/>
      </c>
      <c r="E1831" s="30" t="inlineStr">
        <is>
          <t>ANDRADE E ABREU TRANSPORTES LTDA</t>
        </is>
      </c>
      <c r="F1831" s="40" t="n">
        <v>0</v>
      </c>
      <c r="G1831" s="40" t="n">
        <v>0</v>
      </c>
      <c r="H1831" s="40" t="n">
        <v>0</v>
      </c>
      <c r="I1831" s="40" t="n">
        <v>0</v>
      </c>
      <c r="J1831" s="40" t="n">
        <v>0</v>
      </c>
      <c r="K1831" s="40" t="n">
        <v>7215.7</v>
      </c>
      <c r="L1831" s="40" t="n">
        <v>0</v>
      </c>
    </row>
    <row r="1832" ht="12" customHeight="1">
      <c r="A1832" s="30" t="inlineStr">
        <is>
          <t>POR</t>
        </is>
      </c>
      <c r="B1832" s="30" t="inlineStr">
        <is>
          <t>Porto Real</t>
        </is>
      </c>
      <c r="C1832" s="30" t="n">
        <v>12000600</v>
      </c>
      <c r="D1832" s="30">
        <f>"07746586000420"</f>
        <v/>
      </c>
      <c r="E1832" s="30" t="inlineStr">
        <is>
          <t>PEARSON SAUDE ANIMAL S.A.</t>
        </is>
      </c>
      <c r="F1832" s="40" t="n">
        <v>0</v>
      </c>
      <c r="G1832" s="40" t="n">
        <v>0</v>
      </c>
      <c r="H1832" s="40" t="n">
        <v>0</v>
      </c>
      <c r="I1832" s="40" t="n">
        <v>0</v>
      </c>
      <c r="J1832" s="40" t="n">
        <v>1557935.68</v>
      </c>
      <c r="K1832" s="40" t="n">
        <v>28641924.41</v>
      </c>
      <c r="L1832" s="40" t="n">
        <v>7953648.81</v>
      </c>
    </row>
    <row r="1833" ht="12" customHeight="1">
      <c r="A1833" s="30" t="inlineStr">
        <is>
          <t>POR</t>
        </is>
      </c>
      <c r="B1833" s="30" t="inlineStr">
        <is>
          <t>Porto Real</t>
        </is>
      </c>
      <c r="C1833" s="30" t="n">
        <v>12009070</v>
      </c>
      <c r="D1833" s="30">
        <f>"37711434000100"</f>
        <v/>
      </c>
      <c r="E1833" s="30" t="inlineStr">
        <is>
          <t>ALMED DISTRIBUIDORA E TRANSPORTES LTDA</t>
        </is>
      </c>
      <c r="F1833" s="40" t="n">
        <v>0</v>
      </c>
      <c r="G1833" s="40" t="n">
        <v>0</v>
      </c>
      <c r="H1833" s="40" t="n">
        <v>0</v>
      </c>
      <c r="I1833" s="40" t="n">
        <v>0</v>
      </c>
      <c r="J1833" s="40" t="n">
        <v>0</v>
      </c>
      <c r="K1833" s="40" t="n">
        <v>0</v>
      </c>
      <c r="L1833" s="40" t="n">
        <v>0</v>
      </c>
    </row>
    <row r="1834" ht="12" customHeight="1">
      <c r="A1834" s="30" t="inlineStr">
        <is>
          <t>POR</t>
        </is>
      </c>
      <c r="B1834" s="30" t="inlineStr">
        <is>
          <t>Porto Real</t>
        </is>
      </c>
      <c r="C1834" s="30" t="n">
        <v>12014325</v>
      </c>
      <c r="D1834" s="30">
        <f>"04819724003308"</f>
        <v/>
      </c>
      <c r="E1834" s="30" t="inlineStr">
        <is>
          <t>TELEFONICA TRANSPORTES E LOGISTICA LTDA</t>
        </is>
      </c>
      <c r="F1834" s="40" t="n">
        <v>0</v>
      </c>
      <c r="G1834" s="40" t="n">
        <v>0</v>
      </c>
      <c r="H1834" s="40" t="n">
        <v>0</v>
      </c>
      <c r="I1834" s="40" t="n">
        <v>0</v>
      </c>
      <c r="J1834" s="40" t="n">
        <v>0</v>
      </c>
      <c r="K1834" s="40" t="n">
        <v>0</v>
      </c>
      <c r="L1834" s="40" t="n">
        <v>261.91</v>
      </c>
    </row>
    <row r="1835" ht="12" customHeight="1">
      <c r="A1835" s="30" t="inlineStr">
        <is>
          <t>POR</t>
        </is>
      </c>
      <c r="B1835" s="30" t="inlineStr">
        <is>
          <t>Porto Real</t>
        </is>
      </c>
      <c r="C1835" s="30" t="n">
        <v>12031645</v>
      </c>
      <c r="D1835" s="30">
        <f>"41362776000139"</f>
        <v/>
      </c>
      <c r="E1835" s="30" t="inlineStr">
        <is>
          <t>BASTTON COMERCIAL EIRELI</t>
        </is>
      </c>
      <c r="F1835" s="40" t="n">
        <v>0</v>
      </c>
      <c r="G1835" s="40" t="n">
        <v>0</v>
      </c>
      <c r="H1835" s="40" t="n">
        <v>0</v>
      </c>
      <c r="I1835" s="40" t="n">
        <v>0</v>
      </c>
      <c r="J1835" s="40" t="n">
        <v>0</v>
      </c>
      <c r="K1835" s="40" t="n">
        <v>0</v>
      </c>
      <c r="L1835" s="40" t="n">
        <v>0</v>
      </c>
    </row>
    <row r="1836" ht="12" customHeight="1">
      <c r="A1836" s="30" t="inlineStr">
        <is>
          <t>POR</t>
        </is>
      </c>
      <c r="B1836" s="30" t="inlineStr">
        <is>
          <t>Porto Real</t>
        </is>
      </c>
      <c r="C1836" s="30" t="n">
        <v>12033257</v>
      </c>
      <c r="D1836" s="30">
        <f>"41399354000138"</f>
        <v/>
      </c>
      <c r="E1836" s="30" t="inlineStr">
        <is>
          <t>ACERO METALURGIA LTDA</t>
        </is>
      </c>
      <c r="F1836" s="40" t="n">
        <v>0</v>
      </c>
      <c r="G1836" s="40" t="n">
        <v>0</v>
      </c>
      <c r="H1836" s="40" t="n">
        <v>0</v>
      </c>
      <c r="I1836" s="40" t="n">
        <v>0</v>
      </c>
      <c r="J1836" s="40" t="n">
        <v>0</v>
      </c>
      <c r="K1836" s="40" t="n">
        <v>733562.53</v>
      </c>
      <c r="L1836" s="40" t="n">
        <v>380771.78</v>
      </c>
    </row>
    <row r="1837" ht="12" customHeight="1">
      <c r="A1837" s="30" t="inlineStr">
        <is>
          <t>POR</t>
        </is>
      </c>
      <c r="B1837" s="30" t="inlineStr">
        <is>
          <t>Porto Real</t>
        </is>
      </c>
      <c r="C1837" s="30" t="n">
        <v>12042728</v>
      </c>
      <c r="D1837" s="30">
        <f>"19051962000793"</f>
        <v/>
      </c>
      <c r="E1837" s="30" t="inlineStr">
        <is>
          <t>NUTRIALFA ALIMENTOS LTDA</t>
        </is>
      </c>
      <c r="F1837" s="40" t="n">
        <v>0</v>
      </c>
      <c r="G1837" s="40" t="n">
        <v>0</v>
      </c>
      <c r="H1837" s="40" t="n">
        <v>0</v>
      </c>
      <c r="I1837" s="40" t="n">
        <v>0</v>
      </c>
      <c r="J1837" s="40" t="n">
        <v>1145039.74</v>
      </c>
      <c r="K1837" s="40" t="n">
        <v>3669997.55</v>
      </c>
      <c r="L1837" s="40" t="n">
        <v>1934709.81</v>
      </c>
    </row>
    <row r="1838" ht="12" customHeight="1">
      <c r="A1838" s="30" t="inlineStr">
        <is>
          <t>POR</t>
        </is>
      </c>
      <c r="B1838" s="30" t="inlineStr">
        <is>
          <t>Porto Real</t>
        </is>
      </c>
      <c r="C1838" s="30" t="n">
        <v>12084773</v>
      </c>
      <c r="D1838" s="30">
        <f>"26410462000685"</f>
        <v/>
      </c>
      <c r="E1838" s="30" t="inlineStr">
        <is>
          <t>ORION REFEI??ES EMPRESARIAIS LTDA</t>
        </is>
      </c>
      <c r="F1838" s="40" t="n">
        <v>0</v>
      </c>
      <c r="G1838" s="40" t="n">
        <v>0</v>
      </c>
      <c r="H1838" s="40" t="n">
        <v>0</v>
      </c>
      <c r="I1838" s="40" t="n">
        <v>0</v>
      </c>
      <c r="J1838" s="40" t="n">
        <v>0</v>
      </c>
      <c r="K1838" s="40" t="n">
        <v>0</v>
      </c>
      <c r="L1838" s="40" t="n">
        <v>0</v>
      </c>
    </row>
    <row r="1839" ht="12" customHeight="1">
      <c r="A1839" s="30" t="inlineStr">
        <is>
          <t>POR</t>
        </is>
      </c>
      <c r="B1839" s="30" t="inlineStr">
        <is>
          <t>Porto Real</t>
        </is>
      </c>
      <c r="C1839" s="30" t="n">
        <v>12085290</v>
      </c>
      <c r="D1839" s="30">
        <f>"43244631005985"</f>
        <v/>
      </c>
      <c r="E1839" s="30" t="inlineStr">
        <is>
          <t>TRANSPORTADORA AMERICANA LTDA</t>
        </is>
      </c>
      <c r="F1839" s="40" t="n">
        <v>0</v>
      </c>
      <c r="G1839" s="40" t="n">
        <v>0</v>
      </c>
      <c r="H1839" s="40" t="n">
        <v>0</v>
      </c>
      <c r="I1839" s="40" t="n">
        <v>0</v>
      </c>
      <c r="J1839" s="40" t="n">
        <v>0</v>
      </c>
      <c r="K1839" s="40" t="n">
        <v>181.78</v>
      </c>
      <c r="L1839" s="40" t="n">
        <v>0</v>
      </c>
    </row>
    <row r="1840" ht="12" customHeight="1">
      <c r="A1840" s="30" t="inlineStr">
        <is>
          <t>POR</t>
        </is>
      </c>
      <c r="B1840" s="30" t="inlineStr">
        <is>
          <t>Porto Real</t>
        </is>
      </c>
      <c r="C1840" s="30" t="n">
        <v>12087810</v>
      </c>
      <c r="D1840" s="30">
        <f>"29453826000511"</f>
        <v/>
      </c>
      <c r="E1840" s="30" t="inlineStr">
        <is>
          <t>TRANSPORTE GENEROSO LTDA</t>
        </is>
      </c>
      <c r="F1840" s="40" t="n">
        <v>0</v>
      </c>
      <c r="G1840" s="40" t="n">
        <v>0</v>
      </c>
      <c r="H1840" s="40" t="n">
        <v>0</v>
      </c>
      <c r="I1840" s="40" t="n">
        <v>0</v>
      </c>
      <c r="J1840" s="40" t="n">
        <v>101.78</v>
      </c>
      <c r="K1840" s="40" t="n">
        <v>455</v>
      </c>
      <c r="L1840" s="40" t="n">
        <v>509.88</v>
      </c>
    </row>
    <row r="1841" ht="12" customHeight="1">
      <c r="A1841" s="30" t="inlineStr">
        <is>
          <t>POR</t>
        </is>
      </c>
      <c r="B1841" s="30" t="inlineStr">
        <is>
          <t>Porto Real</t>
        </is>
      </c>
      <c r="C1841" s="30" t="n">
        <v>12089279</v>
      </c>
      <c r="D1841" s="30">
        <f>"16701716004577"</f>
        <v/>
      </c>
      <c r="E1841" s="30" t="inlineStr">
        <is>
          <t>FCA FIAT CHRYSLER AUTOMOVEIS BRASIL LTDA</t>
        </is>
      </c>
      <c r="F1841" s="40" t="n">
        <v>0</v>
      </c>
      <c r="G1841" s="40" t="n">
        <v>0</v>
      </c>
      <c r="H1841" s="40" t="n">
        <v>0</v>
      </c>
      <c r="I1841" s="40" t="n">
        <v>0</v>
      </c>
      <c r="J1841" s="40" t="n">
        <v>0</v>
      </c>
      <c r="K1841" s="40" t="n">
        <v>0</v>
      </c>
      <c r="L1841" s="40" t="n">
        <v>0</v>
      </c>
    </row>
    <row r="1842" ht="12" customHeight="1">
      <c r="A1842" s="30" t="inlineStr">
        <is>
          <t>POR</t>
        </is>
      </c>
      <c r="B1842" s="30" t="inlineStr">
        <is>
          <t>Porto Real</t>
        </is>
      </c>
      <c r="C1842" s="30" t="n">
        <v>12090536</v>
      </c>
      <c r="D1842" s="30">
        <f>"08094439000302"</f>
        <v/>
      </c>
      <c r="E1842" s="30" t="inlineStr">
        <is>
          <t>JPA SANTOS FARMACIA LTDA</t>
        </is>
      </c>
      <c r="F1842" s="40" t="n">
        <v>0</v>
      </c>
      <c r="G1842" s="40" t="n">
        <v>0</v>
      </c>
      <c r="H1842" s="40" t="n">
        <v>0</v>
      </c>
      <c r="I1842" s="40" t="n">
        <v>0</v>
      </c>
      <c r="J1842" s="40" t="n">
        <v>252389.14</v>
      </c>
      <c r="K1842" s="40" t="n">
        <v>507215.56</v>
      </c>
      <c r="L1842" s="40" t="n">
        <v>699774.71</v>
      </c>
    </row>
    <row r="1843" ht="12" customHeight="1">
      <c r="A1843" s="30" t="inlineStr">
        <is>
          <t>POR</t>
        </is>
      </c>
      <c r="B1843" s="30" t="inlineStr">
        <is>
          <t>Porto Real</t>
        </is>
      </c>
      <c r="C1843" s="30" t="n">
        <v>12098235</v>
      </c>
      <c r="D1843" s="30">
        <f>"43823079002611"</f>
        <v/>
      </c>
      <c r="E1843" s="30" t="inlineStr">
        <is>
          <t>SCHENKER DO BRASIL TRANSPORTES INTERNACIONAIS LTDA</t>
        </is>
      </c>
      <c r="F1843" s="40" t="n">
        <v>0</v>
      </c>
      <c r="G1843" s="40" t="n">
        <v>0</v>
      </c>
      <c r="H1843" s="40" t="n">
        <v>0</v>
      </c>
      <c r="I1843" s="40" t="n">
        <v>0</v>
      </c>
      <c r="J1843" s="40" t="n">
        <v>0</v>
      </c>
      <c r="K1843" s="40" t="n">
        <v>0</v>
      </c>
      <c r="L1843" s="40" t="n">
        <v>1847.5</v>
      </c>
    </row>
    <row r="1844" ht="12" customHeight="1">
      <c r="A1844" s="30" t="inlineStr">
        <is>
          <t>POR</t>
        </is>
      </c>
      <c r="B1844" s="30" t="inlineStr">
        <is>
          <t>Porto Real</t>
        </is>
      </c>
      <c r="C1844" s="30" t="n">
        <v>12130511</v>
      </c>
      <c r="D1844" s="30">
        <f>"42246584000120"</f>
        <v/>
      </c>
      <c r="E1844" s="30" t="inlineStr">
        <is>
          <t>COMERCIAL VILLAGE COM?RCIO, REPRESENTA??ES E SERVI?OS LTDA</t>
        </is>
      </c>
      <c r="F1844" s="40" t="n">
        <v>0</v>
      </c>
      <c r="G1844" s="40" t="n">
        <v>0</v>
      </c>
      <c r="H1844" s="40" t="n">
        <v>0</v>
      </c>
      <c r="I1844" s="40" t="n">
        <v>0</v>
      </c>
      <c r="J1844" s="40" t="n">
        <v>0</v>
      </c>
      <c r="K1844" s="40" t="n">
        <v>0</v>
      </c>
      <c r="L1844" s="40" t="n">
        <v>0</v>
      </c>
    </row>
    <row r="1845" ht="12" customHeight="1">
      <c r="A1845" s="30" t="inlineStr">
        <is>
          <t>POR</t>
        </is>
      </c>
      <c r="B1845" s="30" t="inlineStr">
        <is>
          <t>Porto Real</t>
        </is>
      </c>
      <c r="C1845" s="30" t="n">
        <v>12204361</v>
      </c>
      <c r="D1845" s="30">
        <f>"10705738000884"</f>
        <v/>
      </c>
      <c r="E1845" s="30" t="inlineStr">
        <is>
          <t>G &amp; T COZINHA INDUSTRIAL LTDA</t>
        </is>
      </c>
      <c r="F1845" s="40" t="n">
        <v>0</v>
      </c>
      <c r="G1845" s="40" t="n">
        <v>0</v>
      </c>
      <c r="H1845" s="40" t="n">
        <v>0</v>
      </c>
      <c r="I1845" s="40" t="n">
        <v>0</v>
      </c>
      <c r="J1845" s="40" t="n">
        <v>0</v>
      </c>
      <c r="K1845" s="40" t="n">
        <v>2327394.61</v>
      </c>
      <c r="L1845" s="40" t="n">
        <v>4151938.29</v>
      </c>
    </row>
    <row r="1846" ht="12" customHeight="1">
      <c r="A1846" s="30" t="inlineStr">
        <is>
          <t>POR</t>
        </is>
      </c>
      <c r="B1846" s="30" t="inlineStr">
        <is>
          <t>Porto Real</t>
        </is>
      </c>
      <c r="C1846" s="30" t="n">
        <v>12210841</v>
      </c>
      <c r="D1846" s="30">
        <f>"13272177000865"</f>
        <v/>
      </c>
      <c r="E1846" s="30" t="inlineStr">
        <is>
          <t>GLOVIS BRASIL LOGISTICA LTDA</t>
        </is>
      </c>
      <c r="F1846" s="40" t="n">
        <v>0</v>
      </c>
      <c r="G1846" s="40" t="n">
        <v>0</v>
      </c>
      <c r="H1846" s="40" t="n">
        <v>0</v>
      </c>
      <c r="I1846" s="40" t="n">
        <v>0</v>
      </c>
      <c r="J1846" s="40" t="n">
        <v>0</v>
      </c>
      <c r="K1846" s="40" t="n">
        <v>63454.25</v>
      </c>
      <c r="L1846" s="40" t="n">
        <v>0</v>
      </c>
    </row>
    <row r="1847" ht="12" customHeight="1">
      <c r="A1847" s="30" t="inlineStr">
        <is>
          <t>POR</t>
        </is>
      </c>
      <c r="B1847" s="30" t="inlineStr">
        <is>
          <t>Porto Real</t>
        </is>
      </c>
      <c r="C1847" s="30" t="n">
        <v>12233574</v>
      </c>
      <c r="D1847" s="30">
        <f>"00000017830761"</f>
        <v/>
      </c>
      <c r="E1847" s="30" t="inlineStr">
        <is>
          <t>ELOISIO VIEIRA FRAGA</t>
        </is>
      </c>
      <c r="F1847" s="40" t="n">
        <v>0</v>
      </c>
      <c r="G1847" s="40" t="n">
        <v>0</v>
      </c>
      <c r="H1847" s="40" t="n">
        <v>0</v>
      </c>
      <c r="I1847" s="40" t="n">
        <v>0</v>
      </c>
      <c r="J1847" s="40" t="n">
        <v>0</v>
      </c>
      <c r="K1847" s="40" t="n">
        <v>0</v>
      </c>
      <c r="L1847" s="40" t="n">
        <v>0</v>
      </c>
    </row>
    <row r="1848" ht="12" customHeight="1">
      <c r="A1848" s="30" t="inlineStr">
        <is>
          <t>POR</t>
        </is>
      </c>
      <c r="B1848" s="30" t="inlineStr">
        <is>
          <t>Porto Real</t>
        </is>
      </c>
      <c r="C1848" s="30" t="n">
        <v>12335784</v>
      </c>
      <c r="D1848" s="30">
        <f>"40154884000153"</f>
        <v/>
      </c>
      <c r="E1848" s="30" t="inlineStr">
        <is>
          <t>STARLINK BRAZIL SERVICOS DE INTERNET LTDA.</t>
        </is>
      </c>
      <c r="F1848" s="40" t="n">
        <v>0</v>
      </c>
      <c r="G1848" s="40" t="n">
        <v>0</v>
      </c>
      <c r="H1848" s="40" t="n">
        <v>0</v>
      </c>
      <c r="I1848" s="40" t="n">
        <v>0</v>
      </c>
      <c r="J1848" s="40" t="n">
        <v>0</v>
      </c>
      <c r="K1848" s="40" t="n">
        <v>0</v>
      </c>
      <c r="L1848" s="40" t="n">
        <v>5911</v>
      </c>
    </row>
    <row r="1849" ht="12" customHeight="1">
      <c r="A1849" s="30" t="inlineStr">
        <is>
          <t>POR</t>
        </is>
      </c>
      <c r="B1849" s="30" t="inlineStr">
        <is>
          <t>Porto Real</t>
        </is>
      </c>
      <c r="C1849" s="30" t="n">
        <v>12431015</v>
      </c>
      <c r="D1849" s="30">
        <f>"45912210000194"</f>
        <v/>
      </c>
      <c r="E1849" s="30" t="inlineStr">
        <is>
          <t>MILETO TECH MOTORS INDUSTRIA DE VEICULOS AUTOMOTORES LTDA</t>
        </is>
      </c>
      <c r="F1849" s="40" t="n">
        <v>0</v>
      </c>
      <c r="G1849" s="40" t="n">
        <v>0</v>
      </c>
      <c r="H1849" s="40" t="n">
        <v>0</v>
      </c>
      <c r="I1849" s="40" t="n">
        <v>0</v>
      </c>
      <c r="J1849" s="40" t="n">
        <v>0</v>
      </c>
      <c r="K1849" s="40" t="n">
        <v>0</v>
      </c>
      <c r="L1849" s="40" t="n">
        <v>0</v>
      </c>
    </row>
    <row r="1850" ht="12" customHeight="1">
      <c r="A1850" s="30" t="inlineStr">
        <is>
          <t>POR</t>
        </is>
      </c>
      <c r="B1850" s="30" t="inlineStr">
        <is>
          <t>Porto Real</t>
        </is>
      </c>
      <c r="C1850" s="30" t="n">
        <v>12453817</v>
      </c>
      <c r="D1850" s="30">
        <f>"43025774001313"</f>
        <v/>
      </c>
      <c r="E1850" s="30" t="inlineStr">
        <is>
          <t>RODOVIARIO BEDIN LIMITADA</t>
        </is>
      </c>
      <c r="F1850" s="40" t="n">
        <v>0</v>
      </c>
      <c r="G1850" s="40" t="n">
        <v>0</v>
      </c>
      <c r="H1850" s="40" t="n">
        <v>0</v>
      </c>
      <c r="I1850" s="40" t="n">
        <v>0</v>
      </c>
      <c r="J1850" s="40" t="n">
        <v>0</v>
      </c>
      <c r="K1850" s="40" t="n">
        <v>1205.94</v>
      </c>
      <c r="L1850" s="40" t="n">
        <v>0</v>
      </c>
    </row>
    <row r="1851" ht="12" customHeight="1">
      <c r="A1851" s="30" t="inlineStr">
        <is>
          <t>POR</t>
        </is>
      </c>
      <c r="B1851" s="30" t="inlineStr">
        <is>
          <t>Porto Real</t>
        </is>
      </c>
      <c r="C1851" s="30" t="n">
        <v>12490062</v>
      </c>
      <c r="D1851" s="30">
        <f>"21570775000415"</f>
        <v/>
      </c>
      <c r="E1851" s="30" t="inlineStr">
        <is>
          <t>PICORELLI S/A TRANSPORTES</t>
        </is>
      </c>
      <c r="F1851" s="40" t="n">
        <v>0</v>
      </c>
      <c r="G1851" s="40" t="n">
        <v>0</v>
      </c>
      <c r="H1851" s="40" t="n">
        <v>0</v>
      </c>
      <c r="I1851" s="40" t="n">
        <v>0</v>
      </c>
      <c r="J1851" s="40" t="n">
        <v>0</v>
      </c>
      <c r="K1851" s="40" t="n">
        <v>5758.42</v>
      </c>
      <c r="L1851" s="40" t="n">
        <v>11896.68</v>
      </c>
    </row>
    <row r="1852" ht="12" customHeight="1">
      <c r="A1852" s="30" t="inlineStr">
        <is>
          <t>POR</t>
        </is>
      </c>
      <c r="B1852" s="30" t="inlineStr">
        <is>
          <t>Porto Real</t>
        </is>
      </c>
      <c r="C1852" s="30" t="n">
        <v>12495048</v>
      </c>
      <c r="D1852" s="30">
        <f>"56642960030017"</f>
        <v/>
      </c>
      <c r="E1852" s="30" t="inlineStr">
        <is>
          <t>LOJAS CEM S/A</t>
        </is>
      </c>
      <c r="F1852" s="40" t="n">
        <v>0</v>
      </c>
      <c r="G1852" s="40" t="n">
        <v>0</v>
      </c>
      <c r="H1852" s="40" t="n">
        <v>0</v>
      </c>
      <c r="I1852" s="40" t="n">
        <v>0</v>
      </c>
      <c r="J1852" s="40" t="n">
        <v>0</v>
      </c>
      <c r="K1852" s="40" t="n">
        <v>1054702.2</v>
      </c>
      <c r="L1852" s="40" t="n">
        <v>2759739.2</v>
      </c>
    </row>
    <row r="1853" ht="12" customHeight="1">
      <c r="A1853" s="30" t="inlineStr">
        <is>
          <t>POR</t>
        </is>
      </c>
      <c r="B1853" s="30" t="inlineStr">
        <is>
          <t>Porto Real</t>
        </is>
      </c>
      <c r="C1853" s="30" t="n">
        <v>12522657</v>
      </c>
      <c r="D1853" s="30">
        <f>"00007553165760"</f>
        <v/>
      </c>
      <c r="E1853" s="30" t="inlineStr">
        <is>
          <t>LEONARDO EITARO CHOKYU</t>
        </is>
      </c>
      <c r="F1853" s="40" t="n">
        <v>0</v>
      </c>
      <c r="G1853" s="40" t="n">
        <v>0</v>
      </c>
      <c r="H1853" s="40" t="n">
        <v>0</v>
      </c>
      <c r="I1853" s="40" t="n">
        <v>0</v>
      </c>
      <c r="J1853" s="40" t="n">
        <v>0</v>
      </c>
      <c r="K1853" s="40" t="n">
        <v>0</v>
      </c>
      <c r="L1853" s="40" t="n">
        <v>204000</v>
      </c>
    </row>
    <row r="1854" ht="12" customHeight="1">
      <c r="A1854" s="30" t="inlineStr">
        <is>
          <t>POR</t>
        </is>
      </c>
      <c r="B1854" s="30" t="inlineStr">
        <is>
          <t>Porto Real</t>
        </is>
      </c>
      <c r="C1854" s="30" t="n">
        <v>12558996</v>
      </c>
      <c r="D1854" s="30">
        <f>"28501213000469"</f>
        <v/>
      </c>
      <c r="E1854" s="30" t="inlineStr">
        <is>
          <t>GRAO DE OURO COMERCIO E EXPORTACAO DE COMMODITIES AGRICOLAS LTDA</t>
        </is>
      </c>
      <c r="F1854" s="40" t="n">
        <v>0</v>
      </c>
      <c r="G1854" s="40" t="n">
        <v>0</v>
      </c>
      <c r="H1854" s="40" t="n">
        <v>0</v>
      </c>
      <c r="I1854" s="40" t="n">
        <v>0</v>
      </c>
      <c r="J1854" s="40" t="n">
        <v>0</v>
      </c>
      <c r="K1854" s="40" t="n">
        <v>0</v>
      </c>
      <c r="L1854" s="40" t="n">
        <v>0</v>
      </c>
    </row>
    <row r="1855" ht="12" customHeight="1">
      <c r="A1855" s="30" t="inlineStr">
        <is>
          <t>POR</t>
        </is>
      </c>
      <c r="B1855" s="30" t="inlineStr">
        <is>
          <t>Porto Real</t>
        </is>
      </c>
      <c r="C1855" s="30" t="n">
        <v>12674201</v>
      </c>
      <c r="D1855" s="30">
        <f>"17803300000373"</f>
        <v/>
      </c>
      <c r="E1855" s="30" t="inlineStr">
        <is>
          <t>FORTCARGO TRANSPORTES LTDA</t>
        </is>
      </c>
      <c r="F1855" s="40" t="n">
        <v>0</v>
      </c>
      <c r="G1855" s="40" t="n">
        <v>0</v>
      </c>
      <c r="H1855" s="40" t="n">
        <v>0</v>
      </c>
      <c r="I1855" s="40" t="n">
        <v>0</v>
      </c>
      <c r="J1855" s="40" t="n">
        <v>0</v>
      </c>
      <c r="K1855" s="40" t="n">
        <v>0</v>
      </c>
      <c r="L1855" s="40" t="n">
        <v>25.63</v>
      </c>
    </row>
    <row r="1856" ht="12" customHeight="1">
      <c r="A1856" s="30" t="inlineStr">
        <is>
          <t>POR</t>
        </is>
      </c>
      <c r="B1856" s="30" t="inlineStr">
        <is>
          <t>Porto Real</t>
        </is>
      </c>
      <c r="C1856" s="30" t="n">
        <v>12706715</v>
      </c>
      <c r="D1856" s="30">
        <f>"48915571000182"</f>
        <v/>
      </c>
      <c r="E1856" s="30" t="inlineStr">
        <is>
          <t>DSERPA SPECIAL STEEL COMPANY LTDA</t>
        </is>
      </c>
      <c r="F1856" s="40" t="n">
        <v>0</v>
      </c>
      <c r="G1856" s="40" t="n">
        <v>0</v>
      </c>
      <c r="H1856" s="40" t="n">
        <v>0</v>
      </c>
      <c r="I1856" s="40" t="n">
        <v>0</v>
      </c>
      <c r="J1856" s="40" t="n">
        <v>0</v>
      </c>
      <c r="K1856" s="40" t="n">
        <v>0</v>
      </c>
      <c r="L1856" s="40" t="n">
        <v>82068.97</v>
      </c>
    </row>
    <row r="1857" ht="12" customHeight="1">
      <c r="A1857" s="30" t="inlineStr">
        <is>
          <t>POR</t>
        </is>
      </c>
      <c r="B1857" s="30" t="inlineStr">
        <is>
          <t>Porto Real</t>
        </is>
      </c>
      <c r="C1857" s="30" t="n">
        <v>12716338</v>
      </c>
      <c r="D1857" s="30">
        <f>"81724908000816"</f>
        <v/>
      </c>
      <c r="E1857" s="30" t="inlineStr">
        <is>
          <t>JADIMO TRANSPORTES RODOVIARIOS DE CARGAS LTDA</t>
        </is>
      </c>
      <c r="F1857" s="40" t="n">
        <v>0</v>
      </c>
      <c r="G1857" s="40" t="n">
        <v>0</v>
      </c>
      <c r="H1857" s="40" t="n">
        <v>0</v>
      </c>
      <c r="I1857" s="40" t="n">
        <v>0</v>
      </c>
      <c r="J1857" s="40" t="n">
        <v>0</v>
      </c>
      <c r="K1857" s="40" t="n">
        <v>0</v>
      </c>
      <c r="L1857" s="40" t="n">
        <v>0</v>
      </c>
    </row>
    <row r="1858" ht="12" customHeight="1">
      <c r="A1858" s="30" t="inlineStr">
        <is>
          <t>POR</t>
        </is>
      </c>
      <c r="B1858" s="30" t="inlineStr">
        <is>
          <t>Porto Real</t>
        </is>
      </c>
      <c r="C1858" s="30" t="n">
        <v>12717792</v>
      </c>
      <c r="D1858" s="30">
        <f>"49000069000104"</f>
        <v/>
      </c>
      <c r="E1858" s="30" t="inlineStr">
        <is>
          <t>PENIEL COMERCIO DE GAS LTDA</t>
        </is>
      </c>
      <c r="F1858" s="40" t="n">
        <v>0</v>
      </c>
      <c r="G1858" s="40" t="n">
        <v>0</v>
      </c>
      <c r="H1858" s="40" t="n">
        <v>0</v>
      </c>
      <c r="I1858" s="40" t="n">
        <v>0</v>
      </c>
      <c r="J1858" s="40" t="n">
        <v>0</v>
      </c>
      <c r="K1858" s="40" t="n">
        <v>0</v>
      </c>
      <c r="L1858" s="40" t="n">
        <v>0</v>
      </c>
    </row>
    <row r="1859" ht="12" customHeight="1">
      <c r="A1859" s="30" t="inlineStr">
        <is>
          <t>POR</t>
        </is>
      </c>
      <c r="B1859" s="30" t="inlineStr">
        <is>
          <t>Porto Real</t>
        </is>
      </c>
      <c r="C1859" s="30" t="n">
        <v>12807120</v>
      </c>
      <c r="D1859" s="30">
        <f>"17353801000729"</f>
        <v/>
      </c>
      <c r="E1859" s="30" t="inlineStr">
        <is>
          <t>FKS LOGISTICS LTDA</t>
        </is>
      </c>
      <c r="F1859" s="40" t="n">
        <v>0</v>
      </c>
      <c r="G1859" s="40" t="n">
        <v>0</v>
      </c>
      <c r="H1859" s="40" t="n">
        <v>0</v>
      </c>
      <c r="I1859" s="40" t="n">
        <v>0</v>
      </c>
      <c r="J1859" s="40" t="n">
        <v>0</v>
      </c>
      <c r="K1859" s="40" t="n">
        <v>0</v>
      </c>
      <c r="L1859" s="40" t="n">
        <v>2116168.15</v>
      </c>
    </row>
    <row r="1860" ht="12" customHeight="1">
      <c r="A1860" s="30" t="inlineStr">
        <is>
          <t>POR</t>
        </is>
      </c>
      <c r="B1860" s="30" t="inlineStr">
        <is>
          <t>Porto Real</t>
        </is>
      </c>
      <c r="C1860" s="30" t="n">
        <v>12943202</v>
      </c>
      <c r="D1860" s="30">
        <f>"08294788000440"</f>
        <v/>
      </c>
      <c r="E1860" s="30" t="inlineStr">
        <is>
          <t>SAF-HOLLAND DO BRASIL INDUSTRIA E PRODUCAO DE EIXOS E EQUIPAMENT</t>
        </is>
      </c>
      <c r="F1860" s="40" t="n">
        <v>0</v>
      </c>
      <c r="G1860" s="40" t="n">
        <v>0</v>
      </c>
      <c r="H1860" s="40" t="n">
        <v>0</v>
      </c>
      <c r="I1860" s="40" t="n">
        <v>0</v>
      </c>
      <c r="J1860" s="40" t="n">
        <v>0</v>
      </c>
      <c r="K1860" s="40" t="n">
        <v>0</v>
      </c>
      <c r="L1860" s="40" t="n">
        <v>1532646.06</v>
      </c>
    </row>
    <row r="1861" ht="12" customHeight="1">
      <c r="A1861" s="30" t="inlineStr">
        <is>
          <t>POR</t>
        </is>
      </c>
      <c r="B1861" s="30" t="inlineStr">
        <is>
          <t>Porto Real</t>
        </is>
      </c>
      <c r="C1861" s="30" t="n">
        <v>13104026</v>
      </c>
      <c r="D1861" s="30">
        <f>"03176032002001"</f>
        <v/>
      </c>
      <c r="E1861" s="30" t="inlineStr">
        <is>
          <t>TRANSMORENO TRANSPORTES E SERVI?OS LTDA</t>
        </is>
      </c>
      <c r="F1861" s="40" t="n">
        <v>0</v>
      </c>
      <c r="G1861" s="40" t="n">
        <v>0</v>
      </c>
      <c r="H1861" s="40" t="n">
        <v>0</v>
      </c>
      <c r="I1861" s="40" t="n">
        <v>0</v>
      </c>
      <c r="J1861" s="40" t="n">
        <v>0</v>
      </c>
      <c r="K1861" s="40" t="n">
        <v>0</v>
      </c>
      <c r="L1861" s="40" t="n">
        <v>0</v>
      </c>
    </row>
    <row r="1862" ht="12" customHeight="1">
      <c r="A1862" s="30" t="inlineStr">
        <is>
          <t>POR</t>
        </is>
      </c>
      <c r="B1862" s="30" t="inlineStr">
        <is>
          <t>Porto Real</t>
        </is>
      </c>
      <c r="C1862" s="30" t="n">
        <v>13741735</v>
      </c>
      <c r="D1862" s="30">
        <f>"16701716004658"</f>
        <v/>
      </c>
      <c r="E1862" s="30" t="inlineStr">
        <is>
          <t>FCA FIAT CHRYSLER AUTOMOVEIS BRASIL LTDA</t>
        </is>
      </c>
      <c r="F1862" s="40" t="n">
        <v>0</v>
      </c>
      <c r="G1862" s="40" t="n">
        <v>0</v>
      </c>
      <c r="H1862" s="40" t="n">
        <v>0</v>
      </c>
      <c r="I1862" s="40" t="n">
        <v>0</v>
      </c>
      <c r="J1862" s="40" t="n">
        <v>0</v>
      </c>
      <c r="K1862" s="40" t="n">
        <v>0</v>
      </c>
      <c r="L1862" s="40" t="n">
        <v>0</v>
      </c>
    </row>
    <row r="1863" ht="12" customHeight="1">
      <c r="A1863" s="30" t="inlineStr">
        <is>
          <t>POR</t>
        </is>
      </c>
      <c r="B1863" s="30" t="inlineStr">
        <is>
          <t>Porto Real</t>
        </is>
      </c>
      <c r="C1863" s="30" t="n">
        <v>71288269</v>
      </c>
      <c r="D1863" s="30">
        <f>"08775926830"</f>
        <v/>
      </c>
      <c r="E1863" s="30" t="inlineStr">
        <is>
          <t>GERSON TAVERNARI</t>
        </is>
      </c>
      <c r="F1863" s="40" t="n">
        <v>0</v>
      </c>
      <c r="G1863" s="40" t="n">
        <v>0</v>
      </c>
      <c r="H1863" s="40" t="n">
        <v>22134</v>
      </c>
      <c r="I1863" s="40" t="n">
        <v>15000</v>
      </c>
      <c r="J1863" s="40" t="n">
        <v>10500</v>
      </c>
      <c r="K1863" s="40" t="n">
        <v>5711.2</v>
      </c>
      <c r="L1863" s="40" t="n">
        <v>7512</v>
      </c>
    </row>
    <row r="1864" ht="12" customHeight="1">
      <c r="A1864" s="30" t="inlineStr">
        <is>
          <t>POR</t>
        </is>
      </c>
      <c r="B1864" s="30" t="inlineStr">
        <is>
          <t>Porto Real</t>
        </is>
      </c>
      <c r="C1864" s="30" t="n">
        <v>71288315</v>
      </c>
      <c r="D1864" s="30">
        <f>"09232663724"</f>
        <v/>
      </c>
      <c r="E1864" s="30" t="inlineStr">
        <is>
          <t>MARLENE MARIA DE OLIVEIRA COSTA</t>
        </is>
      </c>
      <c r="F1864" s="40" t="n">
        <v>0</v>
      </c>
      <c r="G1864" s="40" t="n">
        <v>0</v>
      </c>
      <c r="H1864" s="40" t="n">
        <v>0</v>
      </c>
      <c r="I1864" s="40" t="n">
        <v>0</v>
      </c>
      <c r="J1864" s="40" t="n">
        <v>0</v>
      </c>
      <c r="K1864" s="40" t="n">
        <v>0</v>
      </c>
      <c r="L1864" s="40" t="n">
        <v>0</v>
      </c>
    </row>
    <row r="1865" ht="12" customHeight="1">
      <c r="A1865" s="30" t="inlineStr">
        <is>
          <t>POR</t>
        </is>
      </c>
      <c r="B1865" s="30" t="inlineStr">
        <is>
          <t>Porto Real</t>
        </is>
      </c>
      <c r="C1865" s="30" t="n">
        <v>71603075</v>
      </c>
      <c r="D1865" s="30">
        <f>"49900560787"</f>
        <v/>
      </c>
      <c r="E1865" s="30" t="inlineStr">
        <is>
          <t>CASA GRANDE</t>
        </is>
      </c>
      <c r="F1865" s="40" t="n">
        <v>0</v>
      </c>
      <c r="G1865" s="40" t="n">
        <v>0</v>
      </c>
      <c r="H1865" s="40" t="n">
        <v>44280</v>
      </c>
      <c r="I1865" s="40" t="n">
        <v>0</v>
      </c>
      <c r="J1865" s="40" t="n">
        <v>0</v>
      </c>
      <c r="K1865" s="40" t="n">
        <v>0</v>
      </c>
      <c r="L1865" s="40" t="n">
        <v>0</v>
      </c>
    </row>
    <row r="1866" ht="12" customHeight="1">
      <c r="A1866" s="30" t="inlineStr">
        <is>
          <t>POR</t>
        </is>
      </c>
      <c r="B1866" s="30" t="inlineStr">
        <is>
          <t>Porto Real</t>
        </is>
      </c>
      <c r="C1866" s="30" t="n">
        <v>71681580</v>
      </c>
      <c r="D1866" s="30">
        <f>"00753331713"</f>
        <v/>
      </c>
      <c r="E1866" s="30" t="inlineStr">
        <is>
          <t>PAULO SERGIO DA SILVA</t>
        </is>
      </c>
      <c r="F1866" s="40" t="n">
        <v>0</v>
      </c>
      <c r="G1866" s="40" t="n">
        <v>0</v>
      </c>
      <c r="H1866" s="40" t="n">
        <v>0</v>
      </c>
      <c r="I1866" s="40" t="n">
        <v>0</v>
      </c>
      <c r="J1866" s="40" t="n">
        <v>863013.55</v>
      </c>
      <c r="K1866" s="40" t="n">
        <v>1052297.44</v>
      </c>
      <c r="L1866" s="40" t="n">
        <v>0</v>
      </c>
    </row>
    <row r="1867" ht="12" customHeight="1">
      <c r="A1867" s="30" t="inlineStr">
        <is>
          <t>POR</t>
        </is>
      </c>
      <c r="B1867" s="30" t="inlineStr">
        <is>
          <t>Porto Real</t>
        </is>
      </c>
      <c r="C1867" s="30" t="n">
        <v>71695301</v>
      </c>
      <c r="D1867" s="30">
        <f>"08693285734"</f>
        <v/>
      </c>
      <c r="E1867" s="30" t="inlineStr">
        <is>
          <t>PAULO HENRIQUE PEREIRA</t>
        </is>
      </c>
      <c r="F1867" s="40" t="n">
        <v>0</v>
      </c>
      <c r="G1867" s="40" t="n">
        <v>0</v>
      </c>
      <c r="H1867" s="40" t="n">
        <v>0</v>
      </c>
      <c r="I1867" s="40" t="n">
        <v>0</v>
      </c>
      <c r="J1867" s="40" t="n">
        <v>0</v>
      </c>
      <c r="K1867" s="40" t="n">
        <v>0</v>
      </c>
      <c r="L1867" s="40" t="n">
        <v>0</v>
      </c>
    </row>
    <row r="1868" ht="12" customHeight="1">
      <c r="A1868" s="30" t="inlineStr">
        <is>
          <t>POR</t>
        </is>
      </c>
      <c r="B1868" s="30" t="inlineStr">
        <is>
          <t>Porto Real</t>
        </is>
      </c>
      <c r="C1868" s="30" t="n">
        <v>71695751</v>
      </c>
      <c r="D1868" s="30">
        <f>"31860060749"</f>
        <v/>
      </c>
      <c r="E1868" s="30" t="inlineStr">
        <is>
          <t>AFONSO COSTA DA CONCEICAO</t>
        </is>
      </c>
      <c r="F1868" s="40" t="n">
        <v>0</v>
      </c>
      <c r="G1868" s="40" t="n">
        <v>0</v>
      </c>
      <c r="H1868" s="40" t="n">
        <v>0</v>
      </c>
      <c r="I1868" s="40" t="n">
        <v>0</v>
      </c>
      <c r="J1868" s="40" t="n">
        <v>109917.34</v>
      </c>
      <c r="K1868" s="40" t="n">
        <v>21190.82</v>
      </c>
      <c r="L1868" s="40" t="n">
        <v>65580.66</v>
      </c>
    </row>
    <row r="1869" ht="12" customHeight="1">
      <c r="A1869" s="30" t="inlineStr">
        <is>
          <t>POR</t>
        </is>
      </c>
      <c r="B1869" s="30" t="inlineStr">
        <is>
          <t>Porto Real</t>
        </is>
      </c>
      <c r="C1869" s="30" t="n">
        <v>71696235</v>
      </c>
      <c r="D1869" s="30">
        <f>"08631719749"</f>
        <v/>
      </c>
      <c r="E1869" s="30" t="inlineStr">
        <is>
          <t>CARLOS TOSHIMITSU</t>
        </is>
      </c>
      <c r="F1869" s="40" t="n">
        <v>0</v>
      </c>
      <c r="G1869" s="40" t="n">
        <v>0</v>
      </c>
      <c r="H1869" s="40" t="n">
        <v>0</v>
      </c>
      <c r="I1869" s="40" t="n">
        <v>0</v>
      </c>
      <c r="J1869" s="40" t="n">
        <v>0</v>
      </c>
      <c r="K1869" s="40" t="n">
        <v>0</v>
      </c>
      <c r="L1869" s="40" t="n">
        <v>39393.67</v>
      </c>
    </row>
    <row r="1870" ht="12" customHeight="1">
      <c r="A1870" s="30" t="inlineStr">
        <is>
          <t>POR</t>
        </is>
      </c>
      <c r="B1870" s="30" t="inlineStr">
        <is>
          <t>Porto Real</t>
        </is>
      </c>
      <c r="C1870" s="30" t="n">
        <v>71764451</v>
      </c>
      <c r="D1870" s="30">
        <f>"63090015820"</f>
        <v/>
      </c>
      <c r="E1870" s="30" t="inlineStr">
        <is>
          <t>VALDIR OLIVO DALLA VECCHIA</t>
        </is>
      </c>
      <c r="F1870" s="40" t="n">
        <v>0</v>
      </c>
      <c r="G1870" s="40" t="n">
        <v>0</v>
      </c>
      <c r="H1870" s="40" t="n">
        <v>0</v>
      </c>
      <c r="I1870" s="40" t="n">
        <v>0</v>
      </c>
      <c r="J1870" s="40" t="n">
        <v>0</v>
      </c>
      <c r="K1870" s="40" t="n">
        <v>0</v>
      </c>
      <c r="L1870" s="40" t="n">
        <v>0</v>
      </c>
    </row>
    <row r="1871" ht="12" customHeight="1">
      <c r="A1871" s="30" t="inlineStr">
        <is>
          <t>POR</t>
        </is>
      </c>
      <c r="B1871" s="30" t="inlineStr">
        <is>
          <t>Porto Real</t>
        </is>
      </c>
      <c r="C1871" s="30" t="n">
        <v>71764478</v>
      </c>
      <c r="D1871" s="30">
        <f>"41235177734"</f>
        <v/>
      </c>
      <c r="E1871" s="30" t="inlineStr">
        <is>
          <t>OSVALDINO PAULO DA CUNHA CORDEIRO</t>
        </is>
      </c>
      <c r="F1871" s="40" t="n">
        <v>187693.88</v>
      </c>
      <c r="G1871" s="40" t="n">
        <v>90719</v>
      </c>
      <c r="H1871" s="40" t="n">
        <v>0</v>
      </c>
      <c r="I1871" s="40" t="n">
        <v>0</v>
      </c>
      <c r="J1871" s="40" t="n">
        <v>0</v>
      </c>
      <c r="K1871" s="40" t="n">
        <v>0</v>
      </c>
      <c r="L1871" s="40" t="n">
        <v>0</v>
      </c>
    </row>
    <row r="1872" ht="12" customHeight="1">
      <c r="A1872" s="30" t="inlineStr">
        <is>
          <t>POR</t>
        </is>
      </c>
      <c r="B1872" s="30" t="inlineStr">
        <is>
          <t>Porto Real</t>
        </is>
      </c>
      <c r="C1872" s="30" t="n">
        <v>71782026</v>
      </c>
      <c r="D1872" s="30">
        <f>"25413660782"</f>
        <v/>
      </c>
      <c r="E1872" s="30" t="inlineStr">
        <is>
          <t>MAURILIO ETTORE</t>
        </is>
      </c>
      <c r="F1872" s="40" t="n">
        <v>0</v>
      </c>
      <c r="G1872" s="40" t="n">
        <v>0</v>
      </c>
      <c r="H1872" s="40" t="n">
        <v>0</v>
      </c>
      <c r="I1872" s="40" t="n">
        <v>0</v>
      </c>
      <c r="J1872" s="40" t="n">
        <v>0</v>
      </c>
      <c r="K1872" s="40" t="n">
        <v>0</v>
      </c>
      <c r="L1872" s="40" t="n">
        <v>0</v>
      </c>
    </row>
    <row r="1873" ht="12" customHeight="1">
      <c r="A1873" s="30" t="inlineStr">
        <is>
          <t>POR</t>
        </is>
      </c>
      <c r="B1873" s="30" t="inlineStr">
        <is>
          <t>Porto Real</t>
        </is>
      </c>
      <c r="C1873" s="30" t="n">
        <v>72073428</v>
      </c>
      <c r="D1873" s="30">
        <f>"07142665742"</f>
        <v/>
      </c>
      <c r="E1873" s="30" t="inlineStr">
        <is>
          <t>CARLOS ROBERTO DE CARVALHO</t>
        </is>
      </c>
      <c r="F1873" s="40" t="n">
        <v>0</v>
      </c>
      <c r="G1873" s="40" t="n">
        <v>0</v>
      </c>
      <c r="H1873" s="40" t="n">
        <v>0</v>
      </c>
      <c r="I1873" s="40" t="n">
        <v>0</v>
      </c>
      <c r="J1873" s="40" t="n">
        <v>0</v>
      </c>
      <c r="K1873" s="40" t="n">
        <v>0</v>
      </c>
      <c r="L1873" s="40" t="n">
        <v>0</v>
      </c>
    </row>
    <row r="1874" ht="12" customHeight="1">
      <c r="A1874" s="30" t="inlineStr">
        <is>
          <t>POR</t>
        </is>
      </c>
      <c r="B1874" s="30" t="inlineStr">
        <is>
          <t>Porto Real</t>
        </is>
      </c>
      <c r="C1874" s="30" t="n">
        <v>72079736</v>
      </c>
      <c r="D1874" s="30">
        <f>"71781684715"</f>
        <v/>
      </c>
      <c r="E1874" s="30" t="inlineStr">
        <is>
          <t>ANTONIO MARCIO RIBEIRO XAVIER</t>
        </is>
      </c>
      <c r="F1874" s="40" t="n">
        <v>0</v>
      </c>
      <c r="G1874" s="40" t="n">
        <v>0</v>
      </c>
      <c r="H1874" s="40" t="n">
        <v>0</v>
      </c>
      <c r="I1874" s="40" t="n">
        <v>0</v>
      </c>
      <c r="J1874" s="40" t="n">
        <v>0</v>
      </c>
      <c r="K1874" s="40" t="n">
        <v>0</v>
      </c>
      <c r="L1874" s="40" t="n">
        <v>0</v>
      </c>
    </row>
    <row r="1875" ht="12" customHeight="1">
      <c r="A1875" s="30" t="inlineStr">
        <is>
          <t>POR</t>
        </is>
      </c>
      <c r="B1875" s="30" t="inlineStr">
        <is>
          <t>Porto Real</t>
        </is>
      </c>
      <c r="C1875" s="30" t="n">
        <v>72116461</v>
      </c>
      <c r="D1875" s="30">
        <f>"00755013760"</f>
        <v/>
      </c>
      <c r="E1875" s="30" t="inlineStr">
        <is>
          <t>ALAIDE FERNANDES</t>
        </is>
      </c>
      <c r="F1875" s="40" t="n">
        <v>0</v>
      </c>
      <c r="G1875" s="40" t="n">
        <v>0</v>
      </c>
      <c r="H1875" s="40" t="n">
        <v>0</v>
      </c>
      <c r="I1875" s="40" t="n">
        <v>0</v>
      </c>
      <c r="J1875" s="40" t="n">
        <v>0</v>
      </c>
      <c r="K1875" s="40" t="n">
        <v>0</v>
      </c>
      <c r="L1875" s="40" t="n">
        <v>0</v>
      </c>
    </row>
    <row r="1876" ht="12" customHeight="1">
      <c r="A1876" s="30" t="inlineStr">
        <is>
          <t>POR</t>
        </is>
      </c>
      <c r="B1876" s="30" t="inlineStr">
        <is>
          <t>Porto Real</t>
        </is>
      </c>
      <c r="C1876" s="30" t="n">
        <v>72120957</v>
      </c>
      <c r="D1876" s="30">
        <f>"02861101725"</f>
        <v/>
      </c>
      <c r="E1876" s="30" t="inlineStr">
        <is>
          <t>CARMELITA DOS SANTOS</t>
        </is>
      </c>
      <c r="F1876" s="40" t="n">
        <v>0</v>
      </c>
      <c r="G1876" s="40" t="n">
        <v>0</v>
      </c>
      <c r="H1876" s="40" t="n">
        <v>0</v>
      </c>
      <c r="I1876" s="40" t="n">
        <v>0</v>
      </c>
      <c r="J1876" s="40" t="n">
        <v>0</v>
      </c>
      <c r="K1876" s="40" t="n">
        <v>3909.88</v>
      </c>
      <c r="L1876" s="40" t="n">
        <v>1043.6</v>
      </c>
    </row>
    <row r="1877" ht="12" customHeight="1">
      <c r="A1877" s="30" t="inlineStr">
        <is>
          <t>POR</t>
        </is>
      </c>
      <c r="B1877" s="30" t="inlineStr">
        <is>
          <t>Porto Real</t>
        </is>
      </c>
      <c r="C1877" s="30" t="n">
        <v>72132467</v>
      </c>
      <c r="D1877" s="30">
        <f>"61332984720"</f>
        <v/>
      </c>
      <c r="E1877" s="30" t="inlineStr">
        <is>
          <t>LUIS FERNANDO MARQUES D ALMEIDA</t>
        </is>
      </c>
      <c r="F1877" s="40" t="n">
        <v>0</v>
      </c>
      <c r="G1877" s="40" t="n">
        <v>0</v>
      </c>
      <c r="H1877" s="40" t="n">
        <v>0</v>
      </c>
      <c r="I1877" s="40" t="n">
        <v>0</v>
      </c>
      <c r="J1877" s="40" t="n">
        <v>74986.09</v>
      </c>
      <c r="K1877" s="40" t="n">
        <v>126846.96</v>
      </c>
      <c r="L1877" s="40" t="n">
        <v>101263.11</v>
      </c>
    </row>
    <row r="1878" ht="12" customHeight="1">
      <c r="A1878" s="30" t="inlineStr">
        <is>
          <t>POR</t>
        </is>
      </c>
      <c r="B1878" s="30" t="inlineStr">
        <is>
          <t>Porto Real</t>
        </is>
      </c>
      <c r="C1878" s="30" t="n">
        <v>72138333</v>
      </c>
      <c r="D1878" s="30">
        <f>"02675399752"</f>
        <v/>
      </c>
      <c r="E1878" s="30" t="inlineStr">
        <is>
          <t>ANGELA MARIA ROCHA SILVA</t>
        </is>
      </c>
      <c r="F1878" s="40" t="n">
        <v>47500</v>
      </c>
      <c r="G1878" s="40" t="n">
        <v>0</v>
      </c>
      <c r="H1878" s="40" t="n">
        <v>0</v>
      </c>
      <c r="I1878" s="40" t="n">
        <v>0</v>
      </c>
      <c r="J1878" s="40" t="n">
        <v>0</v>
      </c>
      <c r="K1878" s="40" t="n">
        <v>0</v>
      </c>
      <c r="L1878" s="40" t="n">
        <v>0</v>
      </c>
    </row>
    <row r="1879" ht="12" customHeight="1">
      <c r="A1879" s="30" t="inlineStr">
        <is>
          <t>POR</t>
        </is>
      </c>
      <c r="B1879" s="30" t="inlineStr">
        <is>
          <t>Porto Real</t>
        </is>
      </c>
      <c r="C1879" s="30" t="n">
        <v>72191854</v>
      </c>
      <c r="D1879" s="30">
        <f>"74919946791"</f>
        <v/>
      </c>
      <c r="E1879" s="30" t="inlineStr">
        <is>
          <t>GERALDO OZORIO RODRIGUES GONCALVES</t>
        </is>
      </c>
      <c r="F1879" s="40" t="n">
        <v>0</v>
      </c>
      <c r="G1879" s="40" t="n">
        <v>0</v>
      </c>
      <c r="H1879" s="40" t="n">
        <v>0</v>
      </c>
      <c r="I1879" s="40" t="n">
        <v>0</v>
      </c>
      <c r="J1879" s="40" t="n">
        <v>0</v>
      </c>
      <c r="K1879" s="40" t="n">
        <v>0</v>
      </c>
      <c r="L1879" s="40" t="n">
        <v>0</v>
      </c>
    </row>
    <row r="1880" ht="12" customHeight="1">
      <c r="A1880" s="30" t="inlineStr">
        <is>
          <t>POR</t>
        </is>
      </c>
      <c r="B1880" s="30" t="inlineStr">
        <is>
          <t>Porto Real</t>
        </is>
      </c>
      <c r="C1880" s="30" t="n">
        <v>72239776</v>
      </c>
      <c r="D1880" s="30">
        <f>"00629011761"</f>
        <v/>
      </c>
      <c r="E1880" s="30" t="inlineStr">
        <is>
          <t>ARTIDONIO LUCINDO FILHO</t>
        </is>
      </c>
      <c r="F1880" s="40" t="n">
        <v>0</v>
      </c>
      <c r="G1880" s="40" t="n">
        <v>0</v>
      </c>
      <c r="H1880" s="40" t="n">
        <v>0</v>
      </c>
      <c r="I1880" s="40" t="n">
        <v>0</v>
      </c>
      <c r="J1880" s="40" t="n">
        <v>98427.92</v>
      </c>
      <c r="K1880" s="40" t="n">
        <v>587050.8199999999</v>
      </c>
      <c r="L1880" s="40" t="n">
        <v>481667.02</v>
      </c>
    </row>
    <row r="1881" ht="12" customHeight="1">
      <c r="A1881" s="30" t="inlineStr">
        <is>
          <t>POR</t>
        </is>
      </c>
      <c r="B1881" s="30" t="inlineStr">
        <is>
          <t>Porto Real</t>
        </is>
      </c>
      <c r="C1881" s="30" t="n">
        <v>72317025</v>
      </c>
      <c r="D1881" s="30">
        <f>"00008176865761"</f>
        <v/>
      </c>
      <c r="E1881" s="30" t="inlineStr">
        <is>
          <t>JOSE CARLOS PEDROSO</t>
        </is>
      </c>
      <c r="F1881" s="40" t="n">
        <v>0</v>
      </c>
      <c r="G1881" s="40" t="n">
        <v>0</v>
      </c>
      <c r="H1881" s="40" t="n">
        <v>0</v>
      </c>
      <c r="I1881" s="40" t="n">
        <v>37755.48</v>
      </c>
      <c r="J1881" s="40" t="n">
        <v>0</v>
      </c>
      <c r="K1881" s="40" t="n">
        <v>0</v>
      </c>
      <c r="L1881" s="40" t="n">
        <v>0</v>
      </c>
    </row>
    <row r="1882" ht="12" customHeight="1">
      <c r="A1882" s="30" t="inlineStr">
        <is>
          <t>POR</t>
        </is>
      </c>
      <c r="B1882" s="30" t="inlineStr">
        <is>
          <t>Porto Real</t>
        </is>
      </c>
      <c r="C1882" s="30" t="n">
        <v>72334213</v>
      </c>
      <c r="D1882" s="30">
        <f>"00361406789"</f>
        <v/>
      </c>
      <c r="E1882" s="30" t="inlineStr">
        <is>
          <t>JORGE LUIZ SANTANA CHAVES</t>
        </is>
      </c>
      <c r="F1882" s="40" t="n">
        <v>0</v>
      </c>
      <c r="G1882" s="40" t="n">
        <v>0</v>
      </c>
      <c r="H1882" s="40" t="n">
        <v>0</v>
      </c>
      <c r="I1882" s="40" t="n">
        <v>0</v>
      </c>
      <c r="J1882" s="40" t="n">
        <v>571972.9399999999</v>
      </c>
      <c r="K1882" s="40" t="n">
        <v>624759.05</v>
      </c>
      <c r="L1882" s="40" t="n">
        <v>755008.41</v>
      </c>
    </row>
    <row r="1883" ht="12" customHeight="1">
      <c r="A1883" s="30" t="inlineStr">
        <is>
          <t>POR</t>
        </is>
      </c>
      <c r="B1883" s="30" t="inlineStr">
        <is>
          <t>Porto Real</t>
        </is>
      </c>
      <c r="C1883" s="30" t="n">
        <v>72344510</v>
      </c>
      <c r="D1883" s="30">
        <f>"73148857704"</f>
        <v/>
      </c>
      <c r="E1883" s="30" t="inlineStr">
        <is>
          <t>JORGE RIBEIRO MARTINS</t>
        </is>
      </c>
      <c r="F1883" s="40" t="n">
        <v>0</v>
      </c>
      <c r="G1883" s="40" t="n">
        <v>0</v>
      </c>
      <c r="H1883" s="40" t="n">
        <v>0</v>
      </c>
      <c r="I1883" s="40" t="n">
        <v>0</v>
      </c>
      <c r="J1883" s="40" t="n">
        <v>0</v>
      </c>
      <c r="K1883" s="40" t="n">
        <v>0</v>
      </c>
      <c r="L1883" s="40" t="n">
        <v>0</v>
      </c>
    </row>
    <row r="1884" ht="12" customHeight="1">
      <c r="A1884" s="30" t="inlineStr">
        <is>
          <t>POR</t>
        </is>
      </c>
      <c r="B1884" s="30" t="inlineStr">
        <is>
          <t>Porto Real</t>
        </is>
      </c>
      <c r="C1884" s="30" t="n">
        <v>72361296</v>
      </c>
      <c r="D1884" s="30">
        <f>"11648315771"</f>
        <v/>
      </c>
      <c r="E1884" s="30" t="inlineStr">
        <is>
          <t>ROSIANA DOS SANTOS MARASSI</t>
        </is>
      </c>
      <c r="F1884" s="40" t="n">
        <v>0</v>
      </c>
      <c r="G1884" s="40" t="n">
        <v>0</v>
      </c>
      <c r="H1884" s="40" t="n">
        <v>0</v>
      </c>
      <c r="I1884" s="40" t="n">
        <v>0</v>
      </c>
      <c r="J1884" s="40" t="n">
        <v>0</v>
      </c>
      <c r="K1884" s="40" t="n">
        <v>0</v>
      </c>
      <c r="L1884" s="40" t="n">
        <v>0</v>
      </c>
    </row>
    <row r="1885" ht="12" customHeight="1">
      <c r="A1885" s="30" t="inlineStr">
        <is>
          <t>POR</t>
        </is>
      </c>
      <c r="B1885" s="30" t="inlineStr">
        <is>
          <t>Porto Real</t>
        </is>
      </c>
      <c r="C1885" s="30" t="n">
        <v>72405250</v>
      </c>
      <c r="D1885" s="30">
        <f>"00002115057732"</f>
        <v/>
      </c>
      <c r="E1885" s="30" t="inlineStr">
        <is>
          <t>ANTONIO FONTES ROCHA SILVA</t>
        </is>
      </c>
      <c r="F1885" s="40" t="n">
        <v>0</v>
      </c>
      <c r="G1885" s="40" t="n">
        <v>0</v>
      </c>
      <c r="H1885" s="40" t="n">
        <v>0</v>
      </c>
      <c r="I1885" s="40" t="n">
        <v>0</v>
      </c>
      <c r="J1885" s="40" t="n">
        <v>0</v>
      </c>
      <c r="K1885" s="40" t="n">
        <v>0</v>
      </c>
      <c r="L1885" s="40" t="n">
        <v>0</v>
      </c>
    </row>
    <row r="1886" ht="12" customHeight="1">
      <c r="A1886" s="30" t="inlineStr">
        <is>
          <t>POR</t>
        </is>
      </c>
      <c r="B1886" s="30" t="inlineStr">
        <is>
          <t>Porto Real</t>
        </is>
      </c>
      <c r="C1886" s="30" t="n">
        <v>72412761</v>
      </c>
      <c r="D1886" s="30">
        <f>"08509435740"</f>
        <v/>
      </c>
      <c r="E1886" s="30" t="inlineStr">
        <is>
          <t>LUCAS ORIOLI DE SOUZA</t>
        </is>
      </c>
      <c r="F1886" s="40" t="n">
        <v>0</v>
      </c>
      <c r="G1886" s="40" t="n">
        <v>0</v>
      </c>
      <c r="H1886" s="40" t="n">
        <v>0</v>
      </c>
      <c r="I1886" s="40" t="n">
        <v>0</v>
      </c>
      <c r="J1886" s="40" t="n">
        <v>0</v>
      </c>
      <c r="K1886" s="40" t="n">
        <v>0</v>
      </c>
      <c r="L1886" s="40" t="n">
        <v>0</v>
      </c>
    </row>
    <row r="1887" ht="12" customHeight="1">
      <c r="A1887" s="30" t="inlineStr">
        <is>
          <t>POR</t>
        </is>
      </c>
      <c r="B1887" s="30" t="inlineStr">
        <is>
          <t>Porto Real</t>
        </is>
      </c>
      <c r="C1887" s="30" t="n">
        <v>72448391</v>
      </c>
      <c r="D1887" s="30">
        <f>"12391726724"</f>
        <v/>
      </c>
      <c r="E1887" s="30" t="inlineStr">
        <is>
          <t>LEANDRO LUIS TROCOLI</t>
        </is>
      </c>
      <c r="F1887" s="40" t="n">
        <v>0</v>
      </c>
      <c r="G1887" s="40" t="n">
        <v>0</v>
      </c>
      <c r="H1887" s="40" t="n">
        <v>0</v>
      </c>
      <c r="I1887" s="40" t="n">
        <v>0</v>
      </c>
      <c r="J1887" s="40" t="n">
        <v>0</v>
      </c>
      <c r="K1887" s="40" t="n">
        <v>0</v>
      </c>
      <c r="L1887" s="40" t="n">
        <v>0</v>
      </c>
    </row>
    <row r="1888" ht="12" customHeight="1">
      <c r="A1888" s="30" t="inlineStr">
        <is>
          <t>POR</t>
        </is>
      </c>
      <c r="B1888" s="30" t="inlineStr">
        <is>
          <t>Porto Real</t>
        </is>
      </c>
      <c r="C1888" s="30" t="n">
        <v>72464915</v>
      </c>
      <c r="D1888" s="30">
        <f>"05165746712"</f>
        <v/>
      </c>
      <c r="E1888" s="30" t="inlineStr">
        <is>
          <t>RODRIGO JOSE DE ALVARENGA</t>
        </is>
      </c>
      <c r="F1888" s="40" t="n">
        <v>0</v>
      </c>
      <c r="G1888" s="40" t="n">
        <v>0</v>
      </c>
      <c r="H1888" s="40" t="n">
        <v>0</v>
      </c>
      <c r="I1888" s="40" t="n">
        <v>0</v>
      </c>
      <c r="J1888" s="40" t="n">
        <v>0</v>
      </c>
      <c r="K1888" s="40" t="n">
        <v>0</v>
      </c>
      <c r="L1888" s="40" t="n">
        <v>0</v>
      </c>
    </row>
    <row r="1889" ht="12" customHeight="1">
      <c r="A1889" s="30" t="inlineStr">
        <is>
          <t>POR</t>
        </is>
      </c>
      <c r="B1889" s="30" t="inlineStr">
        <is>
          <t>Porto Real</t>
        </is>
      </c>
      <c r="C1889" s="30" t="n">
        <v>72494873</v>
      </c>
      <c r="D1889" s="30">
        <f>"32178786715"</f>
        <v/>
      </c>
      <c r="E1889" s="30" t="inlineStr">
        <is>
          <t>ISAC SOARES DA COSTA</t>
        </is>
      </c>
      <c r="F1889" s="40" t="n">
        <v>0</v>
      </c>
      <c r="G1889" s="40" t="n">
        <v>0</v>
      </c>
      <c r="H1889" s="40" t="n">
        <v>0</v>
      </c>
      <c r="I1889" s="40" t="n">
        <v>0</v>
      </c>
      <c r="J1889" s="40" t="n">
        <v>0</v>
      </c>
      <c r="K1889" s="40" t="n">
        <v>0</v>
      </c>
      <c r="L1889" s="40" t="n">
        <v>0</v>
      </c>
    </row>
    <row r="1890" ht="12" customHeight="1">
      <c r="A1890" s="30" t="inlineStr">
        <is>
          <t>POR</t>
        </is>
      </c>
      <c r="B1890" s="30" t="inlineStr">
        <is>
          <t>Porto Real</t>
        </is>
      </c>
      <c r="C1890" s="30" t="n">
        <v>72501349</v>
      </c>
      <c r="D1890" s="30">
        <f>"08018115702"</f>
        <v/>
      </c>
      <c r="E1890" s="30" t="inlineStr">
        <is>
          <t>DANIEL PEREIRA GONCALVES</t>
        </is>
      </c>
      <c r="F1890" s="40" t="n">
        <v>0</v>
      </c>
      <c r="G1890" s="40" t="n">
        <v>69261.08</v>
      </c>
      <c r="H1890" s="40" t="n">
        <v>169363.97</v>
      </c>
      <c r="I1890" s="40" t="n">
        <v>0</v>
      </c>
      <c r="J1890" s="40" t="n">
        <v>0</v>
      </c>
      <c r="K1890" s="40" t="n">
        <v>0</v>
      </c>
      <c r="L1890" s="40" t="n">
        <v>0</v>
      </c>
    </row>
    <row r="1891" ht="12" customHeight="1">
      <c r="A1891" s="30" t="inlineStr">
        <is>
          <t>POR</t>
        </is>
      </c>
      <c r="B1891" s="30" t="inlineStr">
        <is>
          <t>Porto Real</t>
        </is>
      </c>
      <c r="C1891" s="30" t="n">
        <v>72510178</v>
      </c>
      <c r="D1891" s="30">
        <f>"92677720744"</f>
        <v/>
      </c>
      <c r="E1891" s="30" t="inlineStr">
        <is>
          <t>PAULO CESAR ALBARELO</t>
        </is>
      </c>
      <c r="F1891" s="40" t="n">
        <v>0</v>
      </c>
      <c r="G1891" s="40" t="n">
        <v>0</v>
      </c>
      <c r="H1891" s="40" t="n">
        <v>0</v>
      </c>
      <c r="I1891" s="40" t="n">
        <v>0</v>
      </c>
      <c r="J1891" s="40" t="n">
        <v>20430</v>
      </c>
      <c r="K1891" s="40" t="n">
        <v>57000</v>
      </c>
      <c r="L1891" s="40" t="n">
        <v>81870</v>
      </c>
    </row>
    <row r="1892" ht="12" customHeight="1">
      <c r="A1892" s="30" t="inlineStr">
        <is>
          <t>POR</t>
        </is>
      </c>
      <c r="B1892" s="30" t="inlineStr">
        <is>
          <t>Porto Real</t>
        </is>
      </c>
      <c r="C1892" s="30" t="n">
        <v>72527356</v>
      </c>
      <c r="D1892" s="30">
        <f>"14410576763"</f>
        <v/>
      </c>
      <c r="E1892" s="30" t="inlineStr">
        <is>
          <t>IZABELLE CRISTINA RODRIGUES DE AQUINO</t>
        </is>
      </c>
      <c r="F1892" s="40" t="n">
        <v>0</v>
      </c>
      <c r="G1892" s="40" t="n">
        <v>0</v>
      </c>
      <c r="H1892" s="40" t="n">
        <v>0</v>
      </c>
      <c r="I1892" s="40" t="n">
        <v>0</v>
      </c>
      <c r="J1892" s="40" t="n">
        <v>0</v>
      </c>
      <c r="K1892" s="40" t="n">
        <v>0</v>
      </c>
      <c r="L1892" s="40" t="n">
        <v>0</v>
      </c>
    </row>
    <row r="1893" ht="12" customHeight="1">
      <c r="A1893" s="30" t="inlineStr">
        <is>
          <t>POR</t>
        </is>
      </c>
      <c r="B1893" s="30" t="inlineStr">
        <is>
          <t>Porto Real</t>
        </is>
      </c>
      <c r="C1893" s="30" t="n">
        <v>75086261</v>
      </c>
      <c r="D1893" s="30">
        <f>"02512449000164"</f>
        <v/>
      </c>
      <c r="E1893" s="30" t="inlineStr">
        <is>
          <t>TRANSBANANAL TRANSPORTES LTDA</t>
        </is>
      </c>
      <c r="F1893" s="40" t="n">
        <v>0</v>
      </c>
      <c r="G1893" s="40" t="n">
        <v>0</v>
      </c>
      <c r="H1893" s="40" t="n">
        <v>0</v>
      </c>
      <c r="I1893" s="40" t="n">
        <v>137083.49</v>
      </c>
      <c r="J1893" s="40" t="n">
        <v>0</v>
      </c>
      <c r="K1893" s="40" t="n">
        <v>0</v>
      </c>
      <c r="L1893" s="40" t="n">
        <v>0</v>
      </c>
    </row>
    <row r="1894" ht="12" customHeight="1">
      <c r="A1894" s="30" t="inlineStr">
        <is>
          <t>POR</t>
        </is>
      </c>
      <c r="B1894" s="30" t="inlineStr">
        <is>
          <t>Porto Real</t>
        </is>
      </c>
      <c r="C1894" s="30" t="n">
        <v>75424809</v>
      </c>
      <c r="D1894" s="30">
        <f>"30709661000151"</f>
        <v/>
      </c>
      <c r="E1894" s="30" t="inlineStr">
        <is>
          <t>REMON IMOBILIARIA E AGROPECUARIA LTDA</t>
        </is>
      </c>
      <c r="F1894" s="40" t="n">
        <v>778503.88</v>
      </c>
      <c r="G1894" s="40" t="n">
        <v>427583.41</v>
      </c>
      <c r="H1894" s="40" t="n">
        <v>1544050.96</v>
      </c>
      <c r="I1894" s="40" t="n">
        <v>2102381.01</v>
      </c>
      <c r="J1894" s="40" t="n">
        <v>2238980.08</v>
      </c>
      <c r="K1894" s="40" t="n">
        <v>0</v>
      </c>
      <c r="L1894" s="40" t="n">
        <v>1408985.69</v>
      </c>
    </row>
    <row r="1895" ht="12" customHeight="1">
      <c r="A1895" s="30" t="inlineStr">
        <is>
          <t>POR</t>
        </is>
      </c>
      <c r="B1895" s="30" t="inlineStr">
        <is>
          <t>Porto Real</t>
        </is>
      </c>
      <c r="C1895" s="30" t="n">
        <v>75434901</v>
      </c>
      <c r="D1895" s="30">
        <f>"32147829000108"</f>
        <v/>
      </c>
      <c r="E1895" s="30" t="inlineStr">
        <is>
          <t>MARCA AGOPECUARIA LTDA</t>
        </is>
      </c>
      <c r="F1895" s="40" t="n">
        <v>0</v>
      </c>
      <c r="G1895" s="40" t="n">
        <v>0</v>
      </c>
      <c r="H1895" s="40" t="n">
        <v>268209.99</v>
      </c>
      <c r="I1895" s="40" t="n">
        <v>0</v>
      </c>
      <c r="J1895" s="40" t="n">
        <v>0</v>
      </c>
      <c r="K1895" s="40" t="n">
        <v>0</v>
      </c>
      <c r="L1895" s="40" t="n">
        <v>0</v>
      </c>
    </row>
    <row r="1896" ht="12" customHeight="1">
      <c r="A1896" s="30" t="inlineStr">
        <is>
          <t>POR</t>
        </is>
      </c>
      <c r="B1896" s="30" t="inlineStr">
        <is>
          <t>Porto Real</t>
        </is>
      </c>
      <c r="C1896" s="30" t="n">
        <v>75566417</v>
      </c>
      <c r="D1896" s="30">
        <f>"33042730013001"</f>
        <v/>
      </c>
      <c r="E1896" s="30" t="inlineStr">
        <is>
          <t>COMPANHIA SIDERURGICA NACIONAL</t>
        </is>
      </c>
      <c r="F1896" s="40" t="n">
        <v>86392804.54000001</v>
      </c>
      <c r="G1896" s="40" t="n">
        <v>132679399.75</v>
      </c>
      <c r="H1896" s="40" t="n">
        <v>15550380.96</v>
      </c>
      <c r="I1896" s="40" t="n">
        <v>77304720.93000001</v>
      </c>
      <c r="J1896" s="40" t="n">
        <v>484490759.09</v>
      </c>
      <c r="K1896" s="40" t="n">
        <v>67000174.95</v>
      </c>
      <c r="L1896" s="40" t="n">
        <v>4214076.06</v>
      </c>
    </row>
    <row r="1897" ht="12" customHeight="1">
      <c r="A1897" s="30" t="inlineStr">
        <is>
          <t>POR</t>
        </is>
      </c>
      <c r="B1897" s="30" t="inlineStr">
        <is>
          <t>Porto Real</t>
        </is>
      </c>
      <c r="C1897" s="30" t="n">
        <v>75586744</v>
      </c>
      <c r="D1897" s="30">
        <f>"57012098000548"</f>
        <v/>
      </c>
      <c r="E1897" s="30" t="inlineStr">
        <is>
          <t>TRANSLUTE TRANSPORTES RODOVIARIO LTDA</t>
        </is>
      </c>
      <c r="F1897" s="40" t="n">
        <v>0</v>
      </c>
      <c r="G1897" s="40" t="n">
        <v>673.01</v>
      </c>
      <c r="H1897" s="40" t="n">
        <v>827.76</v>
      </c>
      <c r="I1897" s="40" t="n">
        <v>4.38</v>
      </c>
      <c r="J1897" s="40" t="n">
        <v>31.71</v>
      </c>
      <c r="K1897" s="40" t="n">
        <v>23.57</v>
      </c>
      <c r="L1897" s="40" t="n">
        <v>1666.27</v>
      </c>
    </row>
    <row r="1898" ht="12" customHeight="1">
      <c r="A1898" s="30" t="inlineStr">
        <is>
          <t>POR</t>
        </is>
      </c>
      <c r="B1898" s="30" t="inlineStr">
        <is>
          <t>Porto Real</t>
        </is>
      </c>
      <c r="C1898" s="30" t="n">
        <v>75794134</v>
      </c>
      <c r="D1898" s="30">
        <f>"43244631002455"</f>
        <v/>
      </c>
      <c r="E1898" s="30" t="inlineStr">
        <is>
          <t>TRANSPORTADORA AMERICANA LTDA</t>
        </is>
      </c>
      <c r="F1898" s="40" t="n">
        <v>1373.1</v>
      </c>
      <c r="G1898" s="40" t="n">
        <v>430.66</v>
      </c>
      <c r="H1898" s="40" t="n">
        <v>462.03</v>
      </c>
      <c r="I1898" s="40" t="n">
        <v>191.77</v>
      </c>
      <c r="J1898" s="40" t="n">
        <v>410.69</v>
      </c>
      <c r="K1898" s="40" t="n">
        <v>0</v>
      </c>
      <c r="L1898" s="40" t="n">
        <v>0</v>
      </c>
    </row>
    <row r="1899" ht="12" customHeight="1">
      <c r="A1899" s="30" t="inlineStr">
        <is>
          <t>POR</t>
        </is>
      </c>
      <c r="B1899" s="30" t="inlineStr">
        <is>
          <t>Porto Real</t>
        </is>
      </c>
      <c r="C1899" s="30" t="n">
        <v>75795580</v>
      </c>
      <c r="D1899" s="30">
        <f>"02714518000112"</f>
        <v/>
      </c>
      <c r="E1899" s="30" t="inlineStr">
        <is>
          <t>A PRIMORDIAL LOGISTICA EM TRANSPORTES LTDA</t>
        </is>
      </c>
      <c r="F1899" s="40" t="n">
        <v>0</v>
      </c>
      <c r="G1899" s="40" t="n">
        <v>0</v>
      </c>
      <c r="H1899" s="40" t="n">
        <v>0</v>
      </c>
      <c r="I1899" s="40" t="n">
        <v>0</v>
      </c>
      <c r="J1899" s="40" t="n">
        <v>553.49</v>
      </c>
      <c r="K1899" s="40" t="n">
        <v>0</v>
      </c>
      <c r="L1899" s="40" t="n">
        <v>0</v>
      </c>
    </row>
    <row r="1900" ht="12" customHeight="1">
      <c r="A1900" s="30" t="inlineStr">
        <is>
          <t>POR</t>
        </is>
      </c>
      <c r="B1900" s="30" t="inlineStr">
        <is>
          <t>Porto Real</t>
        </is>
      </c>
      <c r="C1900" s="30" t="n">
        <v>75795629</v>
      </c>
      <c r="D1900" s="30">
        <f>"01114430000288"</f>
        <v/>
      </c>
      <c r="E1900" s="30" t="inlineStr">
        <is>
          <t>TRANSFUTURO TRANSPORTES LTDA</t>
        </is>
      </c>
      <c r="F1900" s="40" t="n">
        <v>1664.26</v>
      </c>
      <c r="G1900" s="40" t="n">
        <v>0</v>
      </c>
      <c r="H1900" s="40" t="n">
        <v>0</v>
      </c>
      <c r="I1900" s="40" t="n">
        <v>0</v>
      </c>
      <c r="J1900" s="40" t="n">
        <v>0</v>
      </c>
      <c r="K1900" s="40" t="n">
        <v>0</v>
      </c>
      <c r="L1900" s="40" t="n">
        <v>0</v>
      </c>
    </row>
    <row r="1901" ht="12" customHeight="1">
      <c r="A1901" s="30" t="inlineStr">
        <is>
          <t>POR</t>
        </is>
      </c>
      <c r="B1901" s="30" t="inlineStr">
        <is>
          <t>Porto Real</t>
        </is>
      </c>
      <c r="C1901" s="30" t="n">
        <v>75819595</v>
      </c>
      <c r="D1901" s="30">
        <f>"03072077000165"</f>
        <v/>
      </c>
      <c r="E1901" s="30" t="inlineStr">
        <is>
          <t>PCI DO BRASIL INSTALACOES INDUSTRIAIS LTDA</t>
        </is>
      </c>
      <c r="F1901" s="40" t="n">
        <v>0</v>
      </c>
      <c r="G1901" s="40" t="n">
        <v>0</v>
      </c>
      <c r="H1901" s="40" t="n">
        <v>0</v>
      </c>
      <c r="I1901" s="40" t="n">
        <v>0</v>
      </c>
      <c r="J1901" s="40" t="n">
        <v>0</v>
      </c>
      <c r="K1901" s="40" t="n">
        <v>0</v>
      </c>
      <c r="L1901" s="40" t="n">
        <v>0</v>
      </c>
    </row>
    <row r="1902" ht="12" customHeight="1">
      <c r="A1902" s="30" t="inlineStr">
        <is>
          <t>POR</t>
        </is>
      </c>
      <c r="B1902" s="30" t="inlineStr">
        <is>
          <t>Porto Real</t>
        </is>
      </c>
      <c r="C1902" s="30" t="n">
        <v>75819625</v>
      </c>
      <c r="D1902" s="30">
        <f>"03094658000106"</f>
        <v/>
      </c>
      <c r="E1902" s="30" t="inlineStr">
        <is>
          <t>GEFCO LOGISTICA DO BRASIL LTDA</t>
        </is>
      </c>
      <c r="F1902" s="40" t="n">
        <v>905249.71</v>
      </c>
      <c r="G1902" s="40" t="n">
        <v>8589972.1</v>
      </c>
      <c r="H1902" s="40" t="n">
        <v>5315641.9</v>
      </c>
      <c r="I1902" s="40" t="n">
        <v>569855.3100000001</v>
      </c>
      <c r="J1902" s="40" t="n">
        <v>979348.33</v>
      </c>
      <c r="K1902" s="40" t="n">
        <v>2595497.27</v>
      </c>
      <c r="L1902" s="40" t="n">
        <v>1412039.24</v>
      </c>
    </row>
    <row r="1903" ht="12" customHeight="1">
      <c r="A1903" s="30" t="inlineStr">
        <is>
          <t>POR</t>
        </is>
      </c>
      <c r="B1903" s="30" t="inlineStr">
        <is>
          <t>Porto Real</t>
        </is>
      </c>
      <c r="C1903" s="30" t="n">
        <v>75849567</v>
      </c>
      <c r="D1903" s="30">
        <f>"19694199000476"</f>
        <v/>
      </c>
      <c r="E1903" s="30" t="inlineStr">
        <is>
          <t>TRANSREFER TRANSPORTE E LOGISTICA LTDA</t>
        </is>
      </c>
      <c r="F1903" s="40" t="n">
        <v>0</v>
      </c>
      <c r="G1903" s="40" t="n">
        <v>148.81</v>
      </c>
      <c r="H1903" s="40" t="n">
        <v>0</v>
      </c>
      <c r="I1903" s="40" t="n">
        <v>0</v>
      </c>
      <c r="J1903" s="40" t="n">
        <v>0</v>
      </c>
      <c r="K1903" s="40" t="n">
        <v>0</v>
      </c>
      <c r="L1903" s="40" t="n">
        <v>0</v>
      </c>
    </row>
    <row r="1904" ht="12" customHeight="1">
      <c r="A1904" s="30" t="inlineStr">
        <is>
          <t>POR</t>
        </is>
      </c>
      <c r="B1904" s="30" t="inlineStr">
        <is>
          <t>Porto Real</t>
        </is>
      </c>
      <c r="C1904" s="30" t="n">
        <v>75849699</v>
      </c>
      <c r="D1904" s="30">
        <f>"58506155000427"</f>
        <v/>
      </c>
      <c r="E1904" s="30" t="inlineStr">
        <is>
          <t>MIRA OTM TRANSPORTES LTDA</t>
        </is>
      </c>
      <c r="F1904" s="40" t="n">
        <v>0</v>
      </c>
      <c r="G1904" s="40" t="n">
        <v>0</v>
      </c>
      <c r="H1904" s="40" t="n">
        <v>0</v>
      </c>
      <c r="I1904" s="40" t="n">
        <v>29901.99</v>
      </c>
      <c r="J1904" s="40" t="n">
        <v>0</v>
      </c>
      <c r="K1904" s="40" t="n">
        <v>0</v>
      </c>
      <c r="L1904" s="40" t="n">
        <v>0</v>
      </c>
    </row>
    <row r="1905" ht="12" customHeight="1">
      <c r="A1905" s="30" t="inlineStr">
        <is>
          <t>POR</t>
        </is>
      </c>
      <c r="B1905" s="30" t="inlineStr">
        <is>
          <t>Porto Real</t>
        </is>
      </c>
      <c r="C1905" s="30" t="n">
        <v>75904835</v>
      </c>
      <c r="D1905" s="30">
        <f>"02351144001432"</f>
        <v/>
      </c>
      <c r="E1905" s="30" t="inlineStr">
        <is>
          <t>TEGMA GESTAO LOGISTICA S/A</t>
        </is>
      </c>
      <c r="F1905" s="40" t="n">
        <v>242064.06</v>
      </c>
      <c r="G1905" s="40" t="n">
        <v>0</v>
      </c>
      <c r="H1905" s="40" t="n">
        <v>0</v>
      </c>
      <c r="I1905" s="40" t="n">
        <v>0</v>
      </c>
      <c r="J1905" s="40" t="n">
        <v>0</v>
      </c>
      <c r="K1905" s="40" t="n">
        <v>0</v>
      </c>
      <c r="L1905" s="40" t="n">
        <v>0</v>
      </c>
    </row>
    <row r="1906" ht="12" customHeight="1">
      <c r="A1906" s="30" t="inlineStr">
        <is>
          <t>POR</t>
        </is>
      </c>
      <c r="B1906" s="30" t="inlineStr">
        <is>
          <t>Porto Real</t>
        </is>
      </c>
      <c r="C1906" s="30" t="n">
        <v>75964129</v>
      </c>
      <c r="D1906" s="30">
        <f>"67405936000416"</f>
        <v/>
      </c>
      <c r="E1906" s="30" t="inlineStr">
        <is>
          <t>PEUGEOT CITROEN DO BRASIL AUTOMOVEIS LTDA</t>
        </is>
      </c>
      <c r="F1906" s="40" t="n">
        <v>141304922.27</v>
      </c>
      <c r="G1906" s="40" t="n">
        <v>0</v>
      </c>
      <c r="H1906" s="40" t="n">
        <v>0</v>
      </c>
      <c r="I1906" s="40" t="n">
        <v>0</v>
      </c>
      <c r="J1906" s="40" t="n">
        <v>0</v>
      </c>
      <c r="K1906" s="40" t="n">
        <v>0</v>
      </c>
      <c r="L1906" s="40" t="n">
        <v>155984448.71</v>
      </c>
    </row>
    <row r="1907" ht="12" customHeight="1">
      <c r="A1907" s="30" t="inlineStr">
        <is>
          <t>POR</t>
        </is>
      </c>
      <c r="B1907" s="30" t="inlineStr">
        <is>
          <t>Porto Real</t>
        </is>
      </c>
      <c r="C1907" s="30" t="n">
        <v>75968779</v>
      </c>
      <c r="D1907" s="30">
        <f>"88317847001460"</f>
        <v/>
      </c>
      <c r="E1907" s="30" t="inlineStr">
        <is>
          <t>RAPIDO TRANSPAULO LTDA</t>
        </is>
      </c>
      <c r="F1907" s="40" t="n">
        <v>16906.43</v>
      </c>
      <c r="G1907" s="40" t="n">
        <v>0</v>
      </c>
      <c r="H1907" s="40" t="n">
        <v>0</v>
      </c>
      <c r="I1907" s="40" t="n">
        <v>0</v>
      </c>
      <c r="J1907" s="40" t="n">
        <v>0</v>
      </c>
      <c r="K1907" s="40" t="n">
        <v>0</v>
      </c>
      <c r="L1907" s="40" t="n">
        <v>0</v>
      </c>
    </row>
    <row r="1908" ht="12" customHeight="1">
      <c r="A1908" s="30" t="inlineStr">
        <is>
          <t>POR</t>
        </is>
      </c>
      <c r="B1908" s="30" t="inlineStr">
        <is>
          <t>Porto Real</t>
        </is>
      </c>
      <c r="C1908" s="30" t="n">
        <v>76026831</v>
      </c>
      <c r="D1908" s="30">
        <f>"60664828007340"</f>
        <v/>
      </c>
      <c r="E1908" s="30" t="inlineStr">
        <is>
          <t>EMPRESA DE TRANSPORTES ATLAS LTDA</t>
        </is>
      </c>
      <c r="F1908" s="40" t="n">
        <v>1997.61</v>
      </c>
      <c r="G1908" s="40" t="n">
        <v>221.66</v>
      </c>
      <c r="H1908" s="40" t="n">
        <v>8.31</v>
      </c>
      <c r="I1908" s="40" t="n">
        <v>0</v>
      </c>
      <c r="J1908" s="40" t="n">
        <v>0</v>
      </c>
      <c r="K1908" s="40" t="n">
        <v>0</v>
      </c>
      <c r="L1908" s="40" t="n">
        <v>0</v>
      </c>
    </row>
    <row r="1909" ht="12" customHeight="1">
      <c r="A1909" s="30" t="inlineStr">
        <is>
          <t>POR</t>
        </is>
      </c>
      <c r="B1909" s="30" t="inlineStr">
        <is>
          <t>Porto Real</t>
        </is>
      </c>
      <c r="C1909" s="30" t="n">
        <v>76051909</v>
      </c>
      <c r="D1909" s="30">
        <f>"90030156000531"</f>
        <v/>
      </c>
      <c r="E1909" s="30" t="inlineStr">
        <is>
          <t>TRANSPORTADORA HAMMES LTDA</t>
        </is>
      </c>
      <c r="F1909" s="40" t="n">
        <v>0</v>
      </c>
      <c r="G1909" s="40" t="n">
        <v>0</v>
      </c>
      <c r="H1909" s="40" t="n">
        <v>0</v>
      </c>
      <c r="I1909" s="40" t="n">
        <v>0</v>
      </c>
      <c r="J1909" s="40" t="n">
        <v>0</v>
      </c>
      <c r="K1909" s="40" t="n">
        <v>27051</v>
      </c>
      <c r="L1909" s="40" t="n">
        <v>0</v>
      </c>
    </row>
    <row r="1910" ht="12" customHeight="1">
      <c r="A1910" s="30" t="inlineStr">
        <is>
          <t>POR</t>
        </is>
      </c>
      <c r="B1910" s="30" t="inlineStr">
        <is>
          <t>Porto Real</t>
        </is>
      </c>
      <c r="C1910" s="30" t="n">
        <v>76105502</v>
      </c>
      <c r="D1910" s="30">
        <f>"03419953000187"</f>
        <v/>
      </c>
      <c r="E1910" s="30" t="inlineStr">
        <is>
          <t>MARFRAN TRANSPORTES E LOGISTICA LTDA ME</t>
        </is>
      </c>
      <c r="F1910" s="40" t="n">
        <v>242523.83</v>
      </c>
      <c r="G1910" s="40" t="n">
        <v>1090175.66</v>
      </c>
      <c r="H1910" s="40" t="n">
        <v>468939.7</v>
      </c>
      <c r="I1910" s="40" t="n">
        <v>181294.97</v>
      </c>
      <c r="J1910" s="40" t="n">
        <v>0</v>
      </c>
      <c r="K1910" s="40" t="n">
        <v>215140.89</v>
      </c>
      <c r="L1910" s="40" t="n">
        <v>360133.06</v>
      </c>
    </row>
    <row r="1911" ht="12" customHeight="1">
      <c r="A1911" s="30" t="inlineStr">
        <is>
          <t>POR</t>
        </is>
      </c>
      <c r="B1911" s="30" t="inlineStr">
        <is>
          <t>Porto Real</t>
        </is>
      </c>
      <c r="C1911" s="30" t="n">
        <v>76159122</v>
      </c>
      <c r="D1911" s="30">
        <f>"03537249000129"</f>
        <v/>
      </c>
      <c r="E1911" s="30" t="inlineStr">
        <is>
          <t>CSN ENERGIA S/A</t>
        </is>
      </c>
      <c r="F1911" s="40" t="n">
        <v>4802743.81</v>
      </c>
      <c r="G1911" s="40" t="n">
        <v>3397819.61</v>
      </c>
      <c r="H1911" s="40" t="n">
        <v>2994469.81</v>
      </c>
      <c r="I1911" s="40" t="n">
        <v>861322.23</v>
      </c>
      <c r="J1911" s="40" t="n">
        <v>729052.0699999999</v>
      </c>
      <c r="K1911" s="40" t="n">
        <v>3762492.95</v>
      </c>
      <c r="L1911" s="40" t="n">
        <v>1997861.1</v>
      </c>
    </row>
    <row r="1912" ht="12" customHeight="1">
      <c r="A1912" s="30" t="inlineStr">
        <is>
          <t>POR</t>
        </is>
      </c>
      <c r="B1912" s="30" t="inlineStr">
        <is>
          <t>Porto Real</t>
        </is>
      </c>
      <c r="C1912" s="30" t="n">
        <v>76167605</v>
      </c>
      <c r="D1912" s="30">
        <f>"03662454000116"</f>
        <v/>
      </c>
      <c r="E1912" s="30" t="inlineStr">
        <is>
          <t>IPEOLEO COMERCIO DE COMBUSTIVEIS EIRELI</t>
        </is>
      </c>
      <c r="F1912" s="40" t="n">
        <v>0</v>
      </c>
      <c r="G1912" s="40" t="n">
        <v>39490.56</v>
      </c>
      <c r="H1912" s="40" t="n">
        <v>68006.31</v>
      </c>
      <c r="I1912" s="40" t="n">
        <v>60777.85</v>
      </c>
      <c r="J1912" s="40" t="n">
        <v>0</v>
      </c>
      <c r="K1912" s="40" t="n">
        <v>0</v>
      </c>
      <c r="L1912" s="40" t="n">
        <v>0</v>
      </c>
    </row>
    <row r="1913" ht="12" customHeight="1">
      <c r="A1913" s="30" t="inlineStr">
        <is>
          <t>POR</t>
        </is>
      </c>
      <c r="B1913" s="30" t="inlineStr">
        <is>
          <t>Porto Real</t>
        </is>
      </c>
      <c r="C1913" s="30" t="n">
        <v>76171718</v>
      </c>
      <c r="D1913" s="30">
        <f>"50935436001708"</f>
        <v/>
      </c>
      <c r="E1913" s="30" t="inlineStr">
        <is>
          <t>EXPRESSO JUNDIAI LOGISTICA E TRANSPORTE LTDA</t>
        </is>
      </c>
      <c r="F1913" s="40" t="n">
        <v>5827.79</v>
      </c>
      <c r="G1913" s="40" t="n">
        <v>0</v>
      </c>
      <c r="H1913" s="40" t="n">
        <v>0</v>
      </c>
      <c r="I1913" s="40" t="n">
        <v>0</v>
      </c>
      <c r="J1913" s="40" t="n">
        <v>0</v>
      </c>
      <c r="K1913" s="40" t="n">
        <v>0</v>
      </c>
      <c r="L1913" s="40" t="n">
        <v>0</v>
      </c>
    </row>
    <row r="1914" ht="12" customHeight="1">
      <c r="A1914" s="30" t="inlineStr">
        <is>
          <t>POR</t>
        </is>
      </c>
      <c r="B1914" s="30" t="inlineStr">
        <is>
          <t>Porto Real</t>
        </is>
      </c>
      <c r="C1914" s="30" t="n">
        <v>76171769</v>
      </c>
      <c r="D1914" s="30">
        <f>"04532167000154"</f>
        <v/>
      </c>
      <c r="E1914" s="30" t="inlineStr">
        <is>
          <t>BMB MODE CENTER - INDUSTRIA COMERCIO E SERVICOS LTDA</t>
        </is>
      </c>
      <c r="F1914" s="40" t="n">
        <v>20203196.94</v>
      </c>
      <c r="G1914" s="40" t="n">
        <v>28304883.98</v>
      </c>
      <c r="H1914" s="40" t="n">
        <v>32476574.8</v>
      </c>
      <c r="I1914" s="40" t="n">
        <v>30462581.28</v>
      </c>
      <c r="J1914" s="40" t="n">
        <v>44980017.2</v>
      </c>
      <c r="K1914" s="40" t="n">
        <v>32176470.73</v>
      </c>
      <c r="L1914" s="40" t="n">
        <v>28581527.54</v>
      </c>
    </row>
    <row r="1915" ht="12" customHeight="1">
      <c r="A1915" s="30" t="inlineStr">
        <is>
          <t>POR</t>
        </is>
      </c>
      <c r="B1915" s="30" t="inlineStr">
        <is>
          <t>Porto Real</t>
        </is>
      </c>
      <c r="C1915" s="30" t="n">
        <v>76197482</v>
      </c>
      <c r="D1915" s="30">
        <f>"01619241000186"</f>
        <v/>
      </c>
      <c r="E1915" s="30" t="inlineStr">
        <is>
          <t>WMS WORLD MARINE SERVICE LTDA</t>
        </is>
      </c>
      <c r="F1915" s="40" t="n">
        <v>0</v>
      </c>
      <c r="G1915" s="40" t="n">
        <v>0</v>
      </c>
      <c r="H1915" s="40" t="n">
        <v>0</v>
      </c>
      <c r="I1915" s="40" t="n">
        <v>0</v>
      </c>
      <c r="J1915" s="40" t="n">
        <v>0</v>
      </c>
      <c r="K1915" s="40" t="n">
        <v>0</v>
      </c>
      <c r="L1915" s="40" t="n">
        <v>6467.5</v>
      </c>
    </row>
    <row r="1916" ht="12" customHeight="1">
      <c r="A1916" s="30" t="inlineStr">
        <is>
          <t>POR</t>
        </is>
      </c>
      <c r="B1916" s="30" t="inlineStr">
        <is>
          <t>Porto Real</t>
        </is>
      </c>
      <c r="C1916" s="30" t="n">
        <v>77015523</v>
      </c>
      <c r="D1916" s="30">
        <f>"03571044000160"</f>
        <v/>
      </c>
      <c r="E1916" s="30" t="inlineStr">
        <is>
          <t>MA AUTOMOTIVE BRASIL LTDA</t>
        </is>
      </c>
      <c r="F1916" s="40" t="n">
        <v>162245886.2</v>
      </c>
      <c r="G1916" s="40" t="n">
        <v>193086998.23</v>
      </c>
      <c r="H1916" s="40" t="n">
        <v>148847873.57</v>
      </c>
      <c r="I1916" s="40" t="n">
        <v>111791571.71</v>
      </c>
      <c r="J1916" s="40" t="n">
        <v>134598704.53</v>
      </c>
      <c r="K1916" s="40" t="n">
        <v>115467618.68</v>
      </c>
      <c r="L1916" s="40" t="n">
        <v>132548045.03</v>
      </c>
    </row>
    <row r="1917" ht="12" customHeight="1">
      <c r="A1917" s="30" t="inlineStr">
        <is>
          <t>POR</t>
        </is>
      </c>
      <c r="B1917" s="30" t="inlineStr">
        <is>
          <t>Porto Real</t>
        </is>
      </c>
      <c r="C1917" s="30" t="n">
        <v>77017488</v>
      </c>
      <c r="D1917" s="30">
        <f>"03077452000240"</f>
        <v/>
      </c>
      <c r="E1917" s="30" t="inlineStr">
        <is>
          <t>SUPRICEL LOGISTICA LTDA</t>
        </is>
      </c>
      <c r="F1917" s="40" t="n">
        <v>5897.73</v>
      </c>
      <c r="G1917" s="40" t="n">
        <v>8152</v>
      </c>
      <c r="H1917" s="40" t="n">
        <v>0</v>
      </c>
      <c r="I1917" s="40" t="n">
        <v>0</v>
      </c>
      <c r="J1917" s="40" t="n">
        <v>0</v>
      </c>
      <c r="K1917" s="40" t="n">
        <v>0</v>
      </c>
      <c r="L1917" s="40" t="n">
        <v>0</v>
      </c>
    </row>
    <row r="1918" ht="12" customHeight="1">
      <c r="A1918" s="30" t="inlineStr">
        <is>
          <t>POR</t>
        </is>
      </c>
      <c r="B1918" s="30" t="inlineStr">
        <is>
          <t>Porto Real</t>
        </is>
      </c>
      <c r="C1918" s="30" t="n">
        <v>77028412</v>
      </c>
      <c r="D1918" s="30">
        <f>"17215039000552"</f>
        <v/>
      </c>
      <c r="E1918" s="30" t="inlineStr">
        <is>
          <t>TRANSPORTES PESADOS MINAS S A</t>
        </is>
      </c>
      <c r="F1918" s="40" t="n">
        <v>0</v>
      </c>
      <c r="G1918" s="40" t="n">
        <v>0</v>
      </c>
      <c r="H1918" s="40" t="n">
        <v>0</v>
      </c>
      <c r="I1918" s="40" t="n">
        <v>1545.45</v>
      </c>
      <c r="J1918" s="40" t="n">
        <v>0</v>
      </c>
      <c r="K1918" s="40" t="n">
        <v>0</v>
      </c>
      <c r="L1918" s="40" t="n">
        <v>0</v>
      </c>
    </row>
    <row r="1919" ht="12" customHeight="1">
      <c r="A1919" s="30" t="inlineStr">
        <is>
          <t>POR</t>
        </is>
      </c>
      <c r="B1919" s="30" t="inlineStr">
        <is>
          <t>Porto Real</t>
        </is>
      </c>
      <c r="C1919" s="30" t="n">
        <v>77032037</v>
      </c>
      <c r="D1919" s="30">
        <f>"03564702000196"</f>
        <v/>
      </c>
      <c r="E1919" s="30" t="inlineStr">
        <is>
          <t>PH TRANSPORTES EIRELI</t>
        </is>
      </c>
      <c r="F1919" s="40" t="n">
        <v>0</v>
      </c>
      <c r="G1919" s="40" t="n">
        <v>0</v>
      </c>
      <c r="H1919" s="40" t="n">
        <v>0</v>
      </c>
      <c r="I1919" s="40" t="n">
        <v>0</v>
      </c>
      <c r="J1919" s="40" t="n">
        <v>0</v>
      </c>
      <c r="K1919" s="40" t="n">
        <v>0</v>
      </c>
      <c r="L1919" s="40" t="n">
        <v>81450.74000000001</v>
      </c>
    </row>
    <row r="1920" ht="12" customHeight="1">
      <c r="A1920" s="30" t="inlineStr">
        <is>
          <t>POR</t>
        </is>
      </c>
      <c r="B1920" s="30" t="inlineStr">
        <is>
          <t>Porto Real</t>
        </is>
      </c>
      <c r="C1920" s="30" t="n">
        <v>77044442</v>
      </c>
      <c r="D1920" s="30">
        <f>"03094658000289"</f>
        <v/>
      </c>
      <c r="E1920" s="30" t="inlineStr">
        <is>
          <t>GEFCO LOGISTICA DO BRASIL LTDA</t>
        </is>
      </c>
      <c r="F1920" s="40" t="n">
        <v>326584.85</v>
      </c>
      <c r="G1920" s="40" t="n">
        <v>6422918.9</v>
      </c>
      <c r="H1920" s="40" t="n">
        <v>0</v>
      </c>
      <c r="I1920" s="40" t="n">
        <v>0</v>
      </c>
      <c r="J1920" s="40" t="n">
        <v>0</v>
      </c>
      <c r="K1920" s="40" t="n">
        <v>0</v>
      </c>
      <c r="L1920" s="40" t="n">
        <v>0</v>
      </c>
    </row>
    <row r="1921" ht="12" customHeight="1">
      <c r="A1921" s="30" t="inlineStr">
        <is>
          <t>POR</t>
        </is>
      </c>
      <c r="B1921" s="30" t="inlineStr">
        <is>
          <t>Porto Real</t>
        </is>
      </c>
      <c r="C1921" s="30" t="n">
        <v>77054545</v>
      </c>
      <c r="D1921" s="30">
        <f>"03757239000107"</f>
        <v/>
      </c>
      <c r="E1921" s="30" t="inlineStr">
        <is>
          <t>SPEED WORK TRANSPORTES EIRELI</t>
        </is>
      </c>
      <c r="F1921" s="40" t="n">
        <v>0</v>
      </c>
      <c r="G1921" s="40" t="n">
        <v>0</v>
      </c>
      <c r="H1921" s="40" t="n">
        <v>0</v>
      </c>
      <c r="I1921" s="40" t="n">
        <v>0</v>
      </c>
      <c r="J1921" s="40" t="n">
        <v>0</v>
      </c>
      <c r="K1921" s="40" t="n">
        <v>139.7</v>
      </c>
      <c r="L1921" s="40" t="n">
        <v>113.68</v>
      </c>
    </row>
    <row r="1922" ht="12" customHeight="1">
      <c r="A1922" s="30" t="inlineStr">
        <is>
          <t>POR</t>
        </is>
      </c>
      <c r="B1922" s="30" t="inlineStr">
        <is>
          <t>Porto Real</t>
        </is>
      </c>
      <c r="C1922" s="30" t="n">
        <v>77062238</v>
      </c>
      <c r="D1922" s="30">
        <f>"20468310009360"</f>
        <v/>
      </c>
      <c r="E1922" s="30" t="inlineStr">
        <is>
          <t>TORA TRANSPORTES INDUSTRIAIS LTDA</t>
        </is>
      </c>
      <c r="F1922" s="40" t="n">
        <v>2082.07</v>
      </c>
      <c r="G1922" s="40" t="n">
        <v>0</v>
      </c>
      <c r="H1922" s="40" t="n">
        <v>0</v>
      </c>
      <c r="I1922" s="40" t="n">
        <v>0</v>
      </c>
      <c r="J1922" s="40" t="n">
        <v>0</v>
      </c>
      <c r="K1922" s="40" t="n">
        <v>0</v>
      </c>
      <c r="L1922" s="40" t="n">
        <v>0</v>
      </c>
    </row>
    <row r="1923" ht="12" customHeight="1">
      <c r="A1923" s="30" t="inlineStr">
        <is>
          <t>POR</t>
        </is>
      </c>
      <c r="B1923" s="30" t="inlineStr">
        <is>
          <t>Porto Real</t>
        </is>
      </c>
      <c r="C1923" s="30" t="n">
        <v>77071865</v>
      </c>
      <c r="D1923" s="30">
        <f>"03930702000162"</f>
        <v/>
      </c>
      <c r="E1923" s="30" t="inlineStr">
        <is>
          <t>ULTRANSPORTES TRANSPORTADORA LTDA</t>
        </is>
      </c>
      <c r="F1923" s="40" t="n">
        <v>1323.56</v>
      </c>
      <c r="G1923" s="40" t="n">
        <v>10.5</v>
      </c>
      <c r="H1923" s="40" t="n">
        <v>0</v>
      </c>
      <c r="I1923" s="40" t="n">
        <v>0</v>
      </c>
      <c r="J1923" s="40" t="n">
        <v>0</v>
      </c>
      <c r="K1923" s="40" t="n">
        <v>0</v>
      </c>
      <c r="L1923" s="40" t="n">
        <v>0</v>
      </c>
    </row>
    <row r="1924" ht="12" customHeight="1">
      <c r="A1924" s="30" t="inlineStr">
        <is>
          <t>POR</t>
        </is>
      </c>
      <c r="B1924" s="30" t="inlineStr">
        <is>
          <t>Porto Real</t>
        </is>
      </c>
      <c r="C1924" s="30" t="n">
        <v>77076042</v>
      </c>
      <c r="D1924" s="30">
        <f>"03948646000193"</f>
        <v/>
      </c>
      <c r="E1924" s="30" t="inlineStr">
        <is>
          <t>EQUITRANS EQUIPAMENTOS TRANSPORTE E LOGISTICA LTDA</t>
        </is>
      </c>
      <c r="F1924" s="40" t="n">
        <v>0</v>
      </c>
      <c r="G1924" s="40" t="n">
        <v>300</v>
      </c>
      <c r="H1924" s="40" t="n">
        <v>0</v>
      </c>
      <c r="I1924" s="40" t="n">
        <v>0</v>
      </c>
      <c r="J1924" s="40" t="n">
        <v>0</v>
      </c>
      <c r="K1924" s="40" t="n">
        <v>0</v>
      </c>
      <c r="L1924" s="40" t="n">
        <v>0</v>
      </c>
    </row>
    <row r="1925" ht="12" customHeight="1">
      <c r="A1925" s="30" t="inlineStr">
        <is>
          <t>POR</t>
        </is>
      </c>
      <c r="B1925" s="30" t="inlineStr">
        <is>
          <t>Porto Real</t>
        </is>
      </c>
      <c r="C1925" s="30" t="n">
        <v>77089535</v>
      </c>
      <c r="D1925" s="30">
        <f>"36761633000402"</f>
        <v/>
      </c>
      <c r="E1925" s="30" t="inlineStr">
        <is>
          <t>SEM FURO TRANSPORTES LTDA</t>
        </is>
      </c>
      <c r="F1925" s="40" t="n">
        <v>0</v>
      </c>
      <c r="G1925" s="40" t="n">
        <v>231.48</v>
      </c>
      <c r="H1925" s="40" t="n">
        <v>0</v>
      </c>
      <c r="I1925" s="40" t="n">
        <v>0</v>
      </c>
      <c r="J1925" s="40" t="n">
        <v>0</v>
      </c>
      <c r="K1925" s="40" t="n">
        <v>0</v>
      </c>
      <c r="L1925" s="40" t="n">
        <v>0</v>
      </c>
    </row>
    <row r="1926" ht="12" customHeight="1">
      <c r="A1926" s="30" t="inlineStr">
        <is>
          <t>POR</t>
        </is>
      </c>
      <c r="B1926" s="30" t="inlineStr">
        <is>
          <t>Porto Real</t>
        </is>
      </c>
      <c r="C1926" s="30" t="n">
        <v>77099301</v>
      </c>
      <c r="D1926" s="30">
        <f>"92644483000851"</f>
        <v/>
      </c>
      <c r="E1926" s="30" t="inlineStr">
        <is>
          <t>TRANSPORTES GABARDO LTDA</t>
        </is>
      </c>
      <c r="F1926" s="40" t="n">
        <v>0</v>
      </c>
      <c r="G1926" s="40" t="n">
        <v>0</v>
      </c>
      <c r="H1926" s="40" t="n">
        <v>0</v>
      </c>
      <c r="I1926" s="40" t="n">
        <v>0</v>
      </c>
      <c r="J1926" s="40" t="n">
        <v>1700</v>
      </c>
      <c r="K1926" s="40" t="n">
        <v>4000</v>
      </c>
      <c r="L1926" s="40" t="n">
        <v>14000</v>
      </c>
    </row>
    <row r="1927" ht="12" customHeight="1">
      <c r="A1927" s="30" t="inlineStr">
        <is>
          <t>POR</t>
        </is>
      </c>
      <c r="B1927" s="30" t="inlineStr">
        <is>
          <t>Porto Real</t>
        </is>
      </c>
      <c r="C1927" s="30" t="n">
        <v>77108661</v>
      </c>
      <c r="D1927" s="30">
        <f>"38625968000267"</f>
        <v/>
      </c>
      <c r="E1927" s="30" t="inlineStr">
        <is>
          <t>TRANSVALENTE LOGISTICA LIMITADA</t>
        </is>
      </c>
      <c r="F1927" s="40" t="n">
        <v>0</v>
      </c>
      <c r="G1927" s="40" t="n">
        <v>0</v>
      </c>
      <c r="H1927" s="40" t="n">
        <v>0</v>
      </c>
      <c r="I1927" s="40" t="n">
        <v>0</v>
      </c>
      <c r="J1927" s="40" t="n">
        <v>7604.1</v>
      </c>
      <c r="K1927" s="40" t="n">
        <v>0</v>
      </c>
      <c r="L1927" s="40" t="n">
        <v>0</v>
      </c>
    </row>
    <row r="1928" ht="12" customHeight="1">
      <c r="A1928" s="30" t="inlineStr">
        <is>
          <t>POR</t>
        </is>
      </c>
      <c r="B1928" s="30" t="inlineStr">
        <is>
          <t>Porto Real</t>
        </is>
      </c>
      <c r="C1928" s="30" t="n">
        <v>77120688</v>
      </c>
      <c r="D1928" s="30">
        <f>"19368927001006"</f>
        <v/>
      </c>
      <c r="E1928" s="30" t="inlineStr">
        <is>
          <t>EXPRESSO NEPOMUCENO SA</t>
        </is>
      </c>
      <c r="F1928" s="40" t="n">
        <v>1080170.39</v>
      </c>
      <c r="G1928" s="40" t="n">
        <v>1487025.23</v>
      </c>
      <c r="H1928" s="40" t="n">
        <v>414650.06</v>
      </c>
      <c r="I1928" s="40" t="n">
        <v>133885.03</v>
      </c>
      <c r="J1928" s="40" t="n">
        <v>348541.94</v>
      </c>
      <c r="K1928" s="40" t="n">
        <v>209735.99</v>
      </c>
      <c r="L1928" s="40" t="n">
        <v>161553.42</v>
      </c>
    </row>
    <row r="1929" ht="12" customHeight="1">
      <c r="A1929" s="30" t="inlineStr">
        <is>
          <t>POR</t>
        </is>
      </c>
      <c r="B1929" s="30" t="inlineStr">
        <is>
          <t>Porto Real</t>
        </is>
      </c>
      <c r="C1929" s="30" t="n">
        <v>77126600</v>
      </c>
      <c r="D1929" s="30">
        <f>"62408703000534"</f>
        <v/>
      </c>
      <c r="E1929" s="30" t="inlineStr">
        <is>
          <t>MOPRI TRANSPORTE LTDA</t>
        </is>
      </c>
      <c r="F1929" s="40" t="n">
        <v>423.31</v>
      </c>
      <c r="G1929" s="40" t="n">
        <v>69.62</v>
      </c>
      <c r="H1929" s="40" t="n">
        <v>0</v>
      </c>
      <c r="I1929" s="40" t="n">
        <v>0</v>
      </c>
      <c r="J1929" s="40" t="n">
        <v>0</v>
      </c>
      <c r="K1929" s="40" t="n">
        <v>0</v>
      </c>
      <c r="L1929" s="40" t="n">
        <v>0</v>
      </c>
    </row>
    <row r="1930" ht="12" customHeight="1">
      <c r="A1930" s="30" t="inlineStr">
        <is>
          <t>POR</t>
        </is>
      </c>
      <c r="B1930" s="30" t="inlineStr">
        <is>
          <t>Porto Real</t>
        </is>
      </c>
      <c r="C1930" s="30" t="n">
        <v>77142126</v>
      </c>
      <c r="D1930" s="30">
        <f>"04155259000324"</f>
        <v/>
      </c>
      <c r="E1930" s="30" t="inlineStr">
        <is>
          <t>TRANSPORTADORA M M A LTDA</t>
        </is>
      </c>
      <c r="F1930" s="40" t="n">
        <v>0</v>
      </c>
      <c r="G1930" s="40" t="n">
        <v>0</v>
      </c>
      <c r="H1930" s="40" t="n">
        <v>0</v>
      </c>
      <c r="I1930" s="40" t="n">
        <v>194.78</v>
      </c>
      <c r="J1930" s="40" t="n">
        <v>62.55</v>
      </c>
      <c r="K1930" s="40" t="n">
        <v>256.04</v>
      </c>
      <c r="L1930" s="40" t="n">
        <v>89.8</v>
      </c>
    </row>
    <row r="1931" ht="12" customHeight="1">
      <c r="A1931" s="30" t="inlineStr">
        <is>
          <t>POR</t>
        </is>
      </c>
      <c r="B1931" s="30" t="inlineStr">
        <is>
          <t>Porto Real</t>
        </is>
      </c>
      <c r="C1931" s="30" t="n">
        <v>77164677</v>
      </c>
      <c r="D1931" s="30">
        <f>"03341541000252"</f>
        <v/>
      </c>
      <c r="E1931" s="30" t="inlineStr">
        <is>
          <t>RTM REDE DE TELECOMUNICACOES PARA O MERCADO LTDA</t>
        </is>
      </c>
      <c r="F1931" s="40" t="n">
        <v>492.48</v>
      </c>
      <c r="G1931" s="40" t="n">
        <v>458.67</v>
      </c>
      <c r="H1931" s="40" t="n">
        <v>587.91</v>
      </c>
      <c r="I1931" s="40" t="n">
        <v>968.2</v>
      </c>
      <c r="J1931" s="40" t="n">
        <v>1031.12</v>
      </c>
      <c r="K1931" s="40" t="n">
        <v>1026.69</v>
      </c>
      <c r="L1931" s="40" t="n">
        <v>1083.53</v>
      </c>
    </row>
    <row r="1932" ht="12" customHeight="1">
      <c r="A1932" s="30" t="inlineStr">
        <is>
          <t>POR</t>
        </is>
      </c>
      <c r="B1932" s="30" t="inlineStr">
        <is>
          <t>Porto Real</t>
        </is>
      </c>
      <c r="C1932" s="30" t="n">
        <v>77169261</v>
      </c>
      <c r="D1932" s="30">
        <f>"32492373002167"</f>
        <v/>
      </c>
      <c r="E1932" s="30" t="inlineStr">
        <is>
          <t>TRANSPORTE EXCELSIOR LTDA</t>
        </is>
      </c>
      <c r="F1932" s="40" t="n">
        <v>160370.65</v>
      </c>
      <c r="G1932" s="40" t="n">
        <v>91612.85000000001</v>
      </c>
      <c r="H1932" s="40" t="n">
        <v>167198.57</v>
      </c>
      <c r="I1932" s="40" t="n">
        <v>112488.74</v>
      </c>
      <c r="J1932" s="40" t="n">
        <v>123391.24</v>
      </c>
      <c r="K1932" s="40" t="n">
        <v>180642.38</v>
      </c>
      <c r="L1932" s="40" t="n">
        <v>306464.82</v>
      </c>
    </row>
    <row r="1933" ht="12" customHeight="1">
      <c r="A1933" s="30" t="inlineStr">
        <is>
          <t>POR</t>
        </is>
      </c>
      <c r="B1933" s="30" t="inlineStr">
        <is>
          <t>Porto Real</t>
        </is>
      </c>
      <c r="C1933" s="30" t="n">
        <v>77191097</v>
      </c>
      <c r="D1933" s="30">
        <f>"04020515000376"</f>
        <v/>
      </c>
      <c r="E1933" s="30" t="inlineStr">
        <is>
          <t>PONTOCOM SERVICES LTDA</t>
        </is>
      </c>
      <c r="F1933" s="40" t="n">
        <v>0</v>
      </c>
      <c r="G1933" s="40" t="n">
        <v>0</v>
      </c>
      <c r="H1933" s="40" t="n">
        <v>47.49</v>
      </c>
      <c r="I1933" s="40" t="n">
        <v>0</v>
      </c>
      <c r="J1933" s="40" t="n">
        <v>17.99</v>
      </c>
      <c r="K1933" s="40" t="n">
        <v>0</v>
      </c>
      <c r="L1933" s="40" t="n">
        <v>0</v>
      </c>
    </row>
    <row r="1934" ht="12" customHeight="1">
      <c r="A1934" s="30" t="inlineStr">
        <is>
          <t>POR</t>
        </is>
      </c>
      <c r="B1934" s="30" t="inlineStr">
        <is>
          <t>Porto Real</t>
        </is>
      </c>
      <c r="C1934" s="30" t="n">
        <v>77215573</v>
      </c>
      <c r="D1934" s="30">
        <f>"93793842000714"</f>
        <v/>
      </c>
      <c r="E1934" s="30" t="inlineStr">
        <is>
          <t>SERVICARGA TRANSPORTES E SERVICOS LTDA</t>
        </is>
      </c>
      <c r="F1934" s="40" t="n">
        <v>3963.64</v>
      </c>
      <c r="G1934" s="40" t="n">
        <v>0</v>
      </c>
      <c r="H1934" s="40" t="n">
        <v>0</v>
      </c>
      <c r="I1934" s="40" t="n">
        <v>10647.56</v>
      </c>
      <c r="J1934" s="40" t="n">
        <v>0</v>
      </c>
      <c r="K1934" s="40" t="n">
        <v>0</v>
      </c>
      <c r="L1934" s="40" t="n">
        <v>0</v>
      </c>
    </row>
    <row r="1935" ht="12" customHeight="1">
      <c r="A1935" s="30" t="inlineStr">
        <is>
          <t>POR</t>
        </is>
      </c>
      <c r="B1935" s="30" t="inlineStr">
        <is>
          <t>Porto Real</t>
        </is>
      </c>
      <c r="C1935" s="30" t="n">
        <v>77234055</v>
      </c>
      <c r="D1935" s="30">
        <f>"04650344000105"</f>
        <v/>
      </c>
      <c r="E1935" s="30" t="inlineStr">
        <is>
          <t>MERCEARIA 37 DE PORTO REAL LTDA</t>
        </is>
      </c>
      <c r="F1935" s="40" t="n">
        <v>0</v>
      </c>
      <c r="G1935" s="40" t="n">
        <v>0</v>
      </c>
      <c r="H1935" s="40" t="n">
        <v>0</v>
      </c>
      <c r="I1935" s="40" t="n">
        <v>0</v>
      </c>
      <c r="J1935" s="40" t="n">
        <v>0</v>
      </c>
      <c r="K1935" s="40" t="n">
        <v>0</v>
      </c>
      <c r="L1935" s="40" t="n">
        <v>0</v>
      </c>
    </row>
    <row r="1936" ht="12" customHeight="1">
      <c r="A1936" s="30" t="inlineStr">
        <is>
          <t>POR</t>
        </is>
      </c>
      <c r="B1936" s="30" t="inlineStr">
        <is>
          <t>Porto Real</t>
        </is>
      </c>
      <c r="C1936" s="30" t="n">
        <v>77238182</v>
      </c>
      <c r="D1936" s="30">
        <f>"04206050004410"</f>
        <v/>
      </c>
      <c r="E1936" s="30" t="inlineStr">
        <is>
          <t>TIM CELULAR S/A</t>
        </is>
      </c>
      <c r="F1936" s="40" t="n">
        <v>210837.33</v>
      </c>
      <c r="G1936" s="40" t="n">
        <v>178714.18</v>
      </c>
      <c r="H1936" s="40" t="n">
        <v>0</v>
      </c>
      <c r="I1936" s="40" t="n">
        <v>0</v>
      </c>
      <c r="J1936" s="40" t="n">
        <v>0</v>
      </c>
      <c r="K1936" s="40" t="n">
        <v>0</v>
      </c>
      <c r="L1936" s="40" t="n">
        <v>0</v>
      </c>
    </row>
    <row r="1937" ht="12" customHeight="1">
      <c r="A1937" s="30" t="inlineStr">
        <is>
          <t>POR</t>
        </is>
      </c>
      <c r="B1937" s="30" t="inlineStr">
        <is>
          <t>Porto Real</t>
        </is>
      </c>
      <c r="C1937" s="30" t="n">
        <v>77257594</v>
      </c>
      <c r="D1937" s="30">
        <f>"32681371001144"</f>
        <v/>
      </c>
      <c r="E1937" s="30" t="inlineStr">
        <is>
          <t>VIX LOGISTICA S/A</t>
        </is>
      </c>
      <c r="F1937" s="40" t="n">
        <v>0</v>
      </c>
      <c r="G1937" s="40" t="n">
        <v>0</v>
      </c>
      <c r="H1937" s="40" t="n">
        <v>0</v>
      </c>
      <c r="I1937" s="40" t="n">
        <v>0</v>
      </c>
      <c r="J1937" s="40" t="n">
        <v>0</v>
      </c>
      <c r="K1937" s="40" t="n">
        <v>0</v>
      </c>
      <c r="L1937" s="40" t="n">
        <v>0</v>
      </c>
    </row>
    <row r="1938" ht="12" customHeight="1">
      <c r="A1938" s="30" t="inlineStr">
        <is>
          <t>POR</t>
        </is>
      </c>
      <c r="B1938" s="30" t="inlineStr">
        <is>
          <t>Porto Real</t>
        </is>
      </c>
      <c r="C1938" s="30" t="n">
        <v>77290028</v>
      </c>
      <c r="D1938" s="30">
        <f>"03341775000461"</f>
        <v/>
      </c>
      <c r="E1938" s="30" t="inlineStr">
        <is>
          <t>TRANSPORTES MOBILINE LTDA</t>
        </is>
      </c>
      <c r="F1938" s="40" t="n">
        <v>0</v>
      </c>
      <c r="G1938" s="40" t="n">
        <v>0</v>
      </c>
      <c r="H1938" s="40" t="n">
        <v>0</v>
      </c>
      <c r="I1938" s="40" t="n">
        <v>510</v>
      </c>
      <c r="J1938" s="40" t="n">
        <v>0</v>
      </c>
      <c r="K1938" s="40" t="n">
        <v>870</v>
      </c>
      <c r="L1938" s="40" t="n">
        <v>939.99</v>
      </c>
    </row>
    <row r="1939" ht="12" customHeight="1">
      <c r="A1939" s="30" t="inlineStr">
        <is>
          <t>POR</t>
        </is>
      </c>
      <c r="B1939" s="30" t="inlineStr">
        <is>
          <t>Porto Real</t>
        </is>
      </c>
      <c r="C1939" s="30" t="n">
        <v>77329145</v>
      </c>
      <c r="D1939" s="30">
        <f>"04927116000121"</f>
        <v/>
      </c>
      <c r="E1939" s="30" t="inlineStr">
        <is>
          <t>V B SILVA JUNIOR TRANSPORTES</t>
        </is>
      </c>
      <c r="F1939" s="40" t="n">
        <v>0</v>
      </c>
      <c r="G1939" s="40" t="n">
        <v>244782.04</v>
      </c>
      <c r="H1939" s="40" t="n">
        <v>2401.63</v>
      </c>
      <c r="I1939" s="40" t="n">
        <v>2183.3</v>
      </c>
      <c r="J1939" s="40" t="n">
        <v>0</v>
      </c>
      <c r="K1939" s="40" t="n">
        <v>0</v>
      </c>
      <c r="L1939" s="40" t="n">
        <v>0</v>
      </c>
    </row>
    <row r="1940" ht="12" customHeight="1">
      <c r="A1940" s="30" t="inlineStr">
        <is>
          <t>POR</t>
        </is>
      </c>
      <c r="B1940" s="30" t="inlineStr">
        <is>
          <t>Porto Real</t>
        </is>
      </c>
      <c r="C1940" s="30" t="n">
        <v>77346015</v>
      </c>
      <c r="D1940" s="30">
        <f>"81382525000483"</f>
        <v/>
      </c>
      <c r="E1940" s="30" t="inlineStr">
        <is>
          <t>SUL CONTINENTAL TRANSPORTES LTDA</t>
        </is>
      </c>
      <c r="F1940" s="40" t="n">
        <v>796.8200000000001</v>
      </c>
      <c r="G1940" s="40" t="n">
        <v>0</v>
      </c>
      <c r="H1940" s="40" t="n">
        <v>0</v>
      </c>
      <c r="I1940" s="40" t="n">
        <v>0</v>
      </c>
      <c r="J1940" s="40" t="n">
        <v>0</v>
      </c>
      <c r="K1940" s="40" t="n">
        <v>0</v>
      </c>
      <c r="L1940" s="40" t="n">
        <v>0</v>
      </c>
    </row>
    <row r="1941" ht="12" customHeight="1">
      <c r="A1941" s="30" t="inlineStr">
        <is>
          <t>POR</t>
        </is>
      </c>
      <c r="B1941" s="30" t="inlineStr">
        <is>
          <t>Porto Real</t>
        </is>
      </c>
      <c r="C1941" s="30" t="n">
        <v>77356584</v>
      </c>
      <c r="D1941" s="30">
        <f>"04965862000100"</f>
        <v/>
      </c>
      <c r="E1941" s="30" t="inlineStr">
        <is>
          <t>MG ENGENHARIA E CONSULTORIA EIRELI</t>
        </is>
      </c>
      <c r="F1941" s="40" t="n">
        <v>0</v>
      </c>
      <c r="G1941" s="40" t="n">
        <v>0</v>
      </c>
      <c r="H1941" s="40" t="n">
        <v>0</v>
      </c>
      <c r="I1941" s="40" t="n">
        <v>0</v>
      </c>
      <c r="J1941" s="40" t="n">
        <v>0</v>
      </c>
      <c r="K1941" s="40" t="n">
        <v>0</v>
      </c>
      <c r="L1941" s="40" t="n">
        <v>0</v>
      </c>
    </row>
    <row r="1942" ht="12" customHeight="1">
      <c r="A1942" s="30" t="inlineStr">
        <is>
          <t>POR</t>
        </is>
      </c>
      <c r="B1942" s="30" t="inlineStr">
        <is>
          <t>Porto Real</t>
        </is>
      </c>
      <c r="C1942" s="30" t="n">
        <v>77365117</v>
      </c>
      <c r="D1942" s="30">
        <f>"05014171000193"</f>
        <v/>
      </c>
      <c r="E1942" s="30" t="inlineStr">
        <is>
          <t>A D G DE JESUS TRANSPORTES LTDA</t>
        </is>
      </c>
      <c r="F1942" s="40" t="n">
        <v>100960</v>
      </c>
      <c r="G1942" s="40" t="n">
        <v>94877.42</v>
      </c>
      <c r="H1942" s="40" t="n">
        <v>0</v>
      </c>
      <c r="I1942" s="40" t="n">
        <v>0</v>
      </c>
      <c r="J1942" s="40" t="n">
        <v>0</v>
      </c>
      <c r="K1942" s="40" t="n">
        <v>0</v>
      </c>
      <c r="L1942" s="40" t="n">
        <v>0</v>
      </c>
    </row>
    <row r="1943" ht="12" customHeight="1">
      <c r="A1943" s="30" t="inlineStr">
        <is>
          <t>POR</t>
        </is>
      </c>
      <c r="B1943" s="30" t="inlineStr">
        <is>
          <t>Porto Real</t>
        </is>
      </c>
      <c r="C1943" s="30" t="n">
        <v>77368280</v>
      </c>
      <c r="D1943" s="30">
        <f>"60619202000571"</f>
        <v/>
      </c>
      <c r="E1943" s="30" t="inlineStr">
        <is>
          <t>MESSER GASES LTDA.</t>
        </is>
      </c>
      <c r="F1943" s="40" t="n">
        <v>0</v>
      </c>
      <c r="G1943" s="40" t="n">
        <v>0</v>
      </c>
      <c r="H1943" s="40" t="n">
        <v>0</v>
      </c>
      <c r="I1943" s="40" t="n">
        <v>0</v>
      </c>
      <c r="J1943" s="40" t="n">
        <v>0</v>
      </c>
      <c r="K1943" s="40" t="n">
        <v>0</v>
      </c>
      <c r="L1943" s="40" t="n">
        <v>0</v>
      </c>
    </row>
    <row r="1944" ht="12" customHeight="1">
      <c r="A1944" s="30" t="inlineStr">
        <is>
          <t>POR</t>
        </is>
      </c>
      <c r="B1944" s="30" t="inlineStr">
        <is>
          <t>Porto Real</t>
        </is>
      </c>
      <c r="C1944" s="30" t="n">
        <v>77380450</v>
      </c>
      <c r="D1944" s="30">
        <f>"19199348003284"</f>
        <v/>
      </c>
      <c r="E1944" s="30" t="inlineStr">
        <is>
          <t>SADA TRANSPORTES E ARMAZENAGENS S/A</t>
        </is>
      </c>
      <c r="F1944" s="40" t="n">
        <v>8001262.97</v>
      </c>
      <c r="G1944" s="40" t="n">
        <v>7297446.64</v>
      </c>
      <c r="H1944" s="40" t="n">
        <v>7731105.36</v>
      </c>
      <c r="I1944" s="40" t="n">
        <v>4148239.32</v>
      </c>
      <c r="J1944" s="40" t="n">
        <v>9512714.199999999</v>
      </c>
      <c r="K1944" s="40" t="n">
        <v>22515771.49</v>
      </c>
      <c r="L1944" s="40" t="n">
        <v>15150360.38</v>
      </c>
    </row>
    <row r="1945" ht="12" customHeight="1">
      <c r="A1945" s="30" t="inlineStr">
        <is>
          <t>POR</t>
        </is>
      </c>
      <c r="B1945" s="30" t="inlineStr">
        <is>
          <t>Porto Real</t>
        </is>
      </c>
      <c r="C1945" s="30" t="n">
        <v>77410716</v>
      </c>
      <c r="D1945" s="30">
        <f>"78147105001056"</f>
        <v/>
      </c>
      <c r="E1945" s="30" t="inlineStr">
        <is>
          <t>TRANSPORTADORA VANTROBA LTDA</t>
        </is>
      </c>
      <c r="F1945" s="40" t="n">
        <v>0</v>
      </c>
      <c r="G1945" s="40" t="n">
        <v>0</v>
      </c>
      <c r="H1945" s="40" t="n">
        <v>0</v>
      </c>
      <c r="I1945" s="40" t="n">
        <v>3237.68</v>
      </c>
      <c r="J1945" s="40" t="n">
        <v>0</v>
      </c>
      <c r="K1945" s="40" t="n">
        <v>0</v>
      </c>
      <c r="L1945" s="40" t="n">
        <v>0</v>
      </c>
    </row>
    <row r="1946" ht="12" customHeight="1">
      <c r="A1946" s="30" t="inlineStr">
        <is>
          <t>POR</t>
        </is>
      </c>
      <c r="B1946" s="30" t="inlineStr">
        <is>
          <t>Porto Real</t>
        </is>
      </c>
      <c r="C1946" s="30" t="n">
        <v>77421718</v>
      </c>
      <c r="D1946" s="30">
        <f>"01014373000508"</f>
        <v/>
      </c>
      <c r="E1946" s="30" t="inlineStr">
        <is>
          <t>AEROSOFT CARGAS AEREAS LTDA</t>
        </is>
      </c>
      <c r="F1946" s="40" t="n">
        <v>0</v>
      </c>
      <c r="G1946" s="40" t="n">
        <v>0</v>
      </c>
      <c r="H1946" s="40" t="n">
        <v>104.49</v>
      </c>
      <c r="I1946" s="40" t="n">
        <v>0</v>
      </c>
      <c r="J1946" s="40" t="n">
        <v>32.44</v>
      </c>
      <c r="K1946" s="40" t="n">
        <v>0</v>
      </c>
      <c r="L1946" s="40" t="n">
        <v>0</v>
      </c>
    </row>
    <row r="1947" ht="12" customHeight="1">
      <c r="A1947" s="30" t="inlineStr">
        <is>
          <t>POR</t>
        </is>
      </c>
      <c r="B1947" s="30" t="inlineStr">
        <is>
          <t>Porto Real</t>
        </is>
      </c>
      <c r="C1947" s="30" t="n">
        <v>77422765</v>
      </c>
      <c r="D1947" s="30">
        <f>"05251648000154"</f>
        <v/>
      </c>
      <c r="E1947" s="30" t="inlineStr">
        <is>
          <t>MACROPO TRANSPORTES EIRELI</t>
        </is>
      </c>
      <c r="F1947" s="40" t="n">
        <v>0</v>
      </c>
      <c r="G1947" s="40" t="n">
        <v>68775</v>
      </c>
      <c r="H1947" s="40" t="n">
        <v>245650</v>
      </c>
      <c r="I1947" s="40" t="n">
        <v>34400</v>
      </c>
      <c r="J1947" s="40" t="n">
        <v>86000</v>
      </c>
      <c r="K1947" s="40" t="n">
        <v>0</v>
      </c>
      <c r="L1947" s="40" t="n">
        <v>0</v>
      </c>
    </row>
    <row r="1948" ht="12" customHeight="1">
      <c r="A1948" s="30" t="inlineStr">
        <is>
          <t>POR</t>
        </is>
      </c>
      <c r="B1948" s="30" t="inlineStr">
        <is>
          <t>Porto Real</t>
        </is>
      </c>
      <c r="C1948" s="30" t="n">
        <v>77440330</v>
      </c>
      <c r="D1948" s="30">
        <f>"04335814000138"</f>
        <v/>
      </c>
      <c r="E1948" s="30" t="inlineStr">
        <is>
          <t>S &amp; A TRANSPORTES LTDA</t>
        </is>
      </c>
      <c r="F1948" s="40" t="n">
        <v>1750</v>
      </c>
      <c r="G1948" s="40" t="n">
        <v>1600</v>
      </c>
      <c r="H1948" s="40" t="n">
        <v>0</v>
      </c>
      <c r="I1948" s="40" t="n">
        <v>0</v>
      </c>
      <c r="J1948" s="40" t="n">
        <v>0</v>
      </c>
      <c r="K1948" s="40" t="n">
        <v>36900</v>
      </c>
      <c r="L1948" s="40" t="n">
        <v>0</v>
      </c>
    </row>
    <row r="1949" ht="12" customHeight="1">
      <c r="A1949" s="30" t="inlineStr">
        <is>
          <t>POR</t>
        </is>
      </c>
      <c r="B1949" s="30" t="inlineStr">
        <is>
          <t>Porto Real</t>
        </is>
      </c>
      <c r="C1949" s="30" t="n">
        <v>77443673</v>
      </c>
      <c r="D1949" s="30">
        <f>"05294609000134"</f>
        <v/>
      </c>
      <c r="E1949" s="30" t="inlineStr">
        <is>
          <t>ZIRANLOG ARMAZENS GERAIS E TRANSPORTES EIRELI</t>
        </is>
      </c>
      <c r="F1949" s="40" t="n">
        <v>0</v>
      </c>
      <c r="G1949" s="40" t="n">
        <v>0</v>
      </c>
      <c r="H1949" s="40" t="n">
        <v>0</v>
      </c>
      <c r="I1949" s="40" t="n">
        <v>2853.69</v>
      </c>
      <c r="J1949" s="40" t="n">
        <v>0</v>
      </c>
      <c r="K1949" s="40" t="n">
        <v>0</v>
      </c>
      <c r="L1949" s="40" t="n">
        <v>0</v>
      </c>
    </row>
    <row r="1950" ht="12" customHeight="1">
      <c r="A1950" s="30" t="inlineStr">
        <is>
          <t>POR</t>
        </is>
      </c>
      <c r="B1950" s="30" t="inlineStr">
        <is>
          <t>Porto Real</t>
        </is>
      </c>
      <c r="C1950" s="30" t="n">
        <v>77452443</v>
      </c>
      <c r="D1950" s="30">
        <f>"02558157001487"</f>
        <v/>
      </c>
      <c r="E1950" s="30" t="inlineStr">
        <is>
          <t>TELEFONICA BRASIL S.A.</t>
        </is>
      </c>
      <c r="F1950" s="40" t="n">
        <v>3529894.71</v>
      </c>
      <c r="G1950" s="40" t="n">
        <v>3021810.47</v>
      </c>
      <c r="H1950" s="40" t="n">
        <v>2855069.86</v>
      </c>
      <c r="I1950" s="40" t="n">
        <v>2669998.12</v>
      </c>
      <c r="J1950" s="40" t="n">
        <v>4290449.86</v>
      </c>
      <c r="K1950" s="40" t="n">
        <v>4229168.45</v>
      </c>
      <c r="L1950" s="40" t="n">
        <v>3889534.14</v>
      </c>
    </row>
    <row r="1951" ht="12" customHeight="1">
      <c r="A1951" s="30" t="inlineStr">
        <is>
          <t>POR</t>
        </is>
      </c>
      <c r="B1951" s="30" t="inlineStr">
        <is>
          <t>Porto Real</t>
        </is>
      </c>
      <c r="C1951" s="30" t="n">
        <v>77455132</v>
      </c>
      <c r="D1951" s="30">
        <f>"86458478000185"</f>
        <v/>
      </c>
      <c r="E1951" s="30" t="inlineStr">
        <is>
          <t>TRANSANTA RITA LTDA</t>
        </is>
      </c>
      <c r="F1951" s="40" t="n">
        <v>0</v>
      </c>
      <c r="G1951" s="40" t="n">
        <v>0</v>
      </c>
      <c r="H1951" s="40" t="n">
        <v>0</v>
      </c>
      <c r="I1951" s="40" t="n">
        <v>0</v>
      </c>
      <c r="J1951" s="40" t="n">
        <v>0</v>
      </c>
      <c r="K1951" s="40" t="n">
        <v>5460.82</v>
      </c>
      <c r="L1951" s="40" t="n">
        <v>0</v>
      </c>
    </row>
    <row r="1952" ht="12" customHeight="1">
      <c r="A1952" s="30" t="inlineStr">
        <is>
          <t>POR</t>
        </is>
      </c>
      <c r="B1952" s="30" t="inlineStr">
        <is>
          <t>Porto Real</t>
        </is>
      </c>
      <c r="C1952" s="30" t="n">
        <v>77485554</v>
      </c>
      <c r="D1952" s="30">
        <f>"44597524000420"</f>
        <v/>
      </c>
      <c r="E1952" s="30" t="inlineStr">
        <is>
          <t>TRANSPORTADORA CAPIVARI LTDA</t>
        </is>
      </c>
      <c r="F1952" s="40" t="n">
        <v>0</v>
      </c>
      <c r="G1952" s="40" t="n">
        <v>527.28</v>
      </c>
      <c r="H1952" s="40" t="n">
        <v>347.89</v>
      </c>
      <c r="I1952" s="40" t="n">
        <v>0</v>
      </c>
      <c r="J1952" s="40" t="n">
        <v>89.28</v>
      </c>
      <c r="K1952" s="40" t="n">
        <v>0</v>
      </c>
      <c r="L1952" s="40" t="n">
        <v>0</v>
      </c>
    </row>
    <row r="1953" ht="12" customHeight="1">
      <c r="A1953" s="30" t="inlineStr">
        <is>
          <t>POR</t>
        </is>
      </c>
      <c r="B1953" s="30" t="inlineStr">
        <is>
          <t>Porto Real</t>
        </is>
      </c>
      <c r="C1953" s="30" t="n">
        <v>77522905</v>
      </c>
      <c r="D1953" s="30">
        <f>"04833584000137"</f>
        <v/>
      </c>
      <c r="E1953" s="30" t="inlineStr">
        <is>
          <t>TRANSMARGOO TURISMO E FRETAMENTO EIRELI</t>
        </is>
      </c>
      <c r="F1953" s="40" t="n">
        <v>6317843.99</v>
      </c>
      <c r="G1953" s="40" t="n">
        <v>0</v>
      </c>
      <c r="H1953" s="40" t="n">
        <v>5206817.06</v>
      </c>
      <c r="I1953" s="40" t="n">
        <v>0</v>
      </c>
      <c r="J1953" s="40" t="n">
        <v>255809.29</v>
      </c>
      <c r="K1953" s="40" t="n">
        <v>284673.38</v>
      </c>
      <c r="L1953" s="40" t="n">
        <v>251308.11</v>
      </c>
    </row>
    <row r="1954" ht="12" customHeight="1">
      <c r="A1954" s="30" t="inlineStr">
        <is>
          <t>POR</t>
        </is>
      </c>
      <c r="B1954" s="30" t="inlineStr">
        <is>
          <t>Porto Real</t>
        </is>
      </c>
      <c r="C1954" s="30" t="n">
        <v>77523219</v>
      </c>
      <c r="D1954" s="30">
        <f>"03410650000101"</f>
        <v/>
      </c>
      <c r="E1954" s="30" t="inlineStr">
        <is>
          <t>NOVACOOPER- COOPERATIVA DOS MOTORISTAS AUTONOMOS DE RESENDE LTDA</t>
        </is>
      </c>
      <c r="F1954" s="40" t="n">
        <v>106521</v>
      </c>
      <c r="G1954" s="40" t="n">
        <v>273109</v>
      </c>
      <c r="H1954" s="40" t="n">
        <v>554342.5699999999</v>
      </c>
      <c r="I1954" s="40" t="n">
        <v>457530.96</v>
      </c>
      <c r="J1954" s="40" t="n">
        <v>449661.04</v>
      </c>
      <c r="K1954" s="40" t="n">
        <v>0</v>
      </c>
      <c r="L1954" s="40" t="n">
        <v>500</v>
      </c>
    </row>
    <row r="1955" ht="12" customHeight="1">
      <c r="A1955" s="30" t="inlineStr">
        <is>
          <t>POR</t>
        </is>
      </c>
      <c r="B1955" s="30" t="inlineStr">
        <is>
          <t>Porto Real</t>
        </is>
      </c>
      <c r="C1955" s="30" t="n">
        <v>77535950</v>
      </c>
      <c r="D1955" s="30">
        <f>"65271314000255"</f>
        <v/>
      </c>
      <c r="E1955" s="30" t="inlineStr">
        <is>
          <t>TWM TRANSPORTES ESPECIAIS LTDA</t>
        </is>
      </c>
      <c r="F1955" s="40" t="n">
        <v>76206.59</v>
      </c>
      <c r="G1955" s="40" t="n">
        <v>86831.36</v>
      </c>
      <c r="H1955" s="40" t="n">
        <v>286399.55</v>
      </c>
      <c r="I1955" s="40" t="n">
        <v>125807.19</v>
      </c>
      <c r="J1955" s="40" t="n">
        <v>59331.19</v>
      </c>
      <c r="K1955" s="40" t="n">
        <v>0</v>
      </c>
      <c r="L1955" s="40" t="n">
        <v>19396.4</v>
      </c>
    </row>
    <row r="1956" ht="12" customHeight="1">
      <c r="A1956" s="30" t="inlineStr">
        <is>
          <t>POR</t>
        </is>
      </c>
      <c r="B1956" s="30" t="inlineStr">
        <is>
          <t>Porto Real</t>
        </is>
      </c>
      <c r="C1956" s="30" t="n">
        <v>77557741</v>
      </c>
      <c r="D1956" s="30">
        <f>"05660403000180"</f>
        <v/>
      </c>
      <c r="E1956" s="30" t="inlineStr">
        <is>
          <t>QUIMREAL - REAL INDUSTRIA QUIMICA LTDA</t>
        </is>
      </c>
      <c r="F1956" s="40" t="n">
        <v>7668854.47</v>
      </c>
      <c r="G1956" s="40" t="n">
        <v>6505698.37</v>
      </c>
      <c r="H1956" s="40" t="n">
        <v>9301334.82</v>
      </c>
      <c r="I1956" s="40" t="n">
        <v>11394564.88</v>
      </c>
      <c r="J1956" s="40" t="n">
        <v>7681530.07</v>
      </c>
      <c r="K1956" s="40" t="n">
        <v>23762397.93</v>
      </c>
      <c r="L1956" s="40" t="n">
        <v>25596670.1</v>
      </c>
    </row>
    <row r="1957" ht="12" customHeight="1">
      <c r="A1957" s="30" t="inlineStr">
        <is>
          <t>POR</t>
        </is>
      </c>
      <c r="B1957" s="30" t="inlineStr">
        <is>
          <t>Porto Real</t>
        </is>
      </c>
      <c r="C1957" s="30" t="n">
        <v>77594540</v>
      </c>
      <c r="D1957" s="30">
        <f>"88301882001490"</f>
        <v/>
      </c>
      <c r="E1957" s="30" t="inlineStr">
        <is>
          <t>HENRIQUE STEFANI TRANSPORTE E LOGISTICA LTDA</t>
        </is>
      </c>
      <c r="F1957" s="40" t="n">
        <v>19660</v>
      </c>
      <c r="G1957" s="40" t="n">
        <v>354501.67</v>
      </c>
      <c r="H1957" s="40" t="n">
        <v>146728.19</v>
      </c>
      <c r="I1957" s="40" t="n">
        <v>408069.06</v>
      </c>
      <c r="J1957" s="40" t="n">
        <v>69122.99000000001</v>
      </c>
      <c r="K1957" s="40" t="n">
        <v>13995.06</v>
      </c>
      <c r="L1957" s="40" t="n">
        <v>0</v>
      </c>
    </row>
    <row r="1958" ht="12" customHeight="1">
      <c r="A1958" s="30" t="inlineStr">
        <is>
          <t>POR</t>
        </is>
      </c>
      <c r="B1958" s="30" t="inlineStr">
        <is>
          <t>Porto Real</t>
        </is>
      </c>
      <c r="C1958" s="30" t="n">
        <v>77594949</v>
      </c>
      <c r="D1958" s="30">
        <f>"00650831000370"</f>
        <v/>
      </c>
      <c r="E1958" s="30" t="inlineStr">
        <is>
          <t>EFITRANS TRANSPORTES LTDA</t>
        </is>
      </c>
      <c r="F1958" s="40" t="n">
        <v>135.95</v>
      </c>
      <c r="G1958" s="40" t="n">
        <v>0</v>
      </c>
      <c r="H1958" s="40" t="n">
        <v>0</v>
      </c>
      <c r="I1958" s="40" t="n">
        <v>6989.93</v>
      </c>
      <c r="J1958" s="40" t="n">
        <v>0</v>
      </c>
      <c r="K1958" s="40" t="n">
        <v>0</v>
      </c>
      <c r="L1958" s="40" t="n">
        <v>0</v>
      </c>
    </row>
    <row r="1959" ht="12" customHeight="1">
      <c r="A1959" s="30" t="inlineStr">
        <is>
          <t>POR</t>
        </is>
      </c>
      <c r="B1959" s="30" t="inlineStr">
        <is>
          <t>Porto Real</t>
        </is>
      </c>
      <c r="C1959" s="30" t="n">
        <v>77596763</v>
      </c>
      <c r="D1959" s="30">
        <f>"00823106000195"</f>
        <v/>
      </c>
      <c r="E1959" s="30" t="inlineStr">
        <is>
          <t>TAIGA TRANSPORTE E TURISMO LTDA</t>
        </is>
      </c>
      <c r="F1959" s="40" t="n">
        <v>0</v>
      </c>
      <c r="G1959" s="40" t="n">
        <v>0</v>
      </c>
      <c r="H1959" s="40" t="n">
        <v>0</v>
      </c>
      <c r="I1959" s="40" t="n">
        <v>0</v>
      </c>
      <c r="J1959" s="40" t="n">
        <v>0</v>
      </c>
      <c r="K1959" s="40" t="n">
        <v>660</v>
      </c>
      <c r="L1959" s="40" t="n">
        <v>0</v>
      </c>
    </row>
    <row r="1960" ht="12" customHeight="1">
      <c r="A1960" s="30" t="inlineStr">
        <is>
          <t>POR</t>
        </is>
      </c>
      <c r="B1960" s="30" t="inlineStr">
        <is>
          <t>Porto Real</t>
        </is>
      </c>
      <c r="C1960" s="30" t="n">
        <v>77608060</v>
      </c>
      <c r="D1960" s="30">
        <f>"05828227000143"</f>
        <v/>
      </c>
      <c r="E1960" s="30" t="inlineStr">
        <is>
          <t>ARARIB? ENGENHARIA COM?RCIO E MEIO AMBIENTE LTDA ME</t>
        </is>
      </c>
      <c r="F1960" s="40" t="n">
        <v>0</v>
      </c>
      <c r="G1960" s="40" t="n">
        <v>0</v>
      </c>
      <c r="H1960" s="40" t="n">
        <v>0</v>
      </c>
      <c r="I1960" s="40" t="n">
        <v>0</v>
      </c>
      <c r="J1960" s="40" t="n">
        <v>0</v>
      </c>
      <c r="K1960" s="40" t="n">
        <v>0</v>
      </c>
      <c r="L1960" s="40" t="n">
        <v>0</v>
      </c>
    </row>
    <row r="1961" ht="12" customHeight="1">
      <c r="A1961" s="30" t="inlineStr">
        <is>
          <t>POR</t>
        </is>
      </c>
      <c r="B1961" s="30" t="inlineStr">
        <is>
          <t>Porto Real</t>
        </is>
      </c>
      <c r="C1961" s="30" t="n">
        <v>77617515</v>
      </c>
      <c r="D1961" s="30">
        <f>"05454543000100"</f>
        <v/>
      </c>
      <c r="E1961" s="30" t="inlineStr">
        <is>
          <t>RECIBRAS PORTO REAL RESIDUOS LTDA</t>
        </is>
      </c>
      <c r="F1961" s="40" t="n">
        <v>10267196.54</v>
      </c>
      <c r="G1961" s="40" t="n">
        <v>13033242.29</v>
      </c>
      <c r="H1961" s="40" t="n">
        <v>7198779.27</v>
      </c>
      <c r="I1961" s="40" t="n">
        <v>15486769.17</v>
      </c>
      <c r="J1961" s="40" t="n">
        <v>29701981.55</v>
      </c>
      <c r="K1961" s="40" t="n">
        <v>34022019.57</v>
      </c>
      <c r="L1961" s="40" t="n">
        <v>38143546.87</v>
      </c>
    </row>
    <row r="1962" ht="12" customHeight="1">
      <c r="A1962" s="30" t="inlineStr">
        <is>
          <t>POR</t>
        </is>
      </c>
      <c r="B1962" s="30" t="inlineStr">
        <is>
          <t>Porto Real</t>
        </is>
      </c>
      <c r="C1962" s="30" t="n">
        <v>77649328</v>
      </c>
      <c r="D1962" s="30">
        <f>"02836056004284"</f>
        <v/>
      </c>
      <c r="E1962" s="30" t="inlineStr">
        <is>
          <t>DHL LOGISTICS (BRAZIL) LTDA</t>
        </is>
      </c>
      <c r="F1962" s="40" t="n">
        <v>0</v>
      </c>
      <c r="G1962" s="40" t="n">
        <v>63.68</v>
      </c>
      <c r="H1962" s="40" t="n">
        <v>0</v>
      </c>
      <c r="I1962" s="40" t="n">
        <v>0</v>
      </c>
      <c r="J1962" s="40" t="n">
        <v>0</v>
      </c>
      <c r="K1962" s="40" t="n">
        <v>0</v>
      </c>
      <c r="L1962" s="40" t="n">
        <v>0</v>
      </c>
    </row>
    <row r="1963" ht="12" customHeight="1">
      <c r="A1963" s="30" t="inlineStr">
        <is>
          <t>POR</t>
        </is>
      </c>
      <c r="B1963" s="30" t="inlineStr">
        <is>
          <t>Porto Real</t>
        </is>
      </c>
      <c r="C1963" s="30" t="n">
        <v>77663711</v>
      </c>
      <c r="D1963" s="30">
        <f>"05931640000139"</f>
        <v/>
      </c>
      <c r="E1963" s="30" t="inlineStr">
        <is>
          <t>TRANSPORTES SOUZA ARAUJO LTDA</t>
        </is>
      </c>
      <c r="F1963" s="40" t="n">
        <v>0</v>
      </c>
      <c r="G1963" s="40" t="n">
        <v>274634.62</v>
      </c>
      <c r="H1963" s="40" t="n">
        <v>86501.64999999999</v>
      </c>
      <c r="I1963" s="40" t="n">
        <v>294101.62</v>
      </c>
      <c r="J1963" s="40" t="n">
        <v>0</v>
      </c>
      <c r="K1963" s="40" t="n">
        <v>757010.08</v>
      </c>
      <c r="L1963" s="40" t="n">
        <v>532419.8199999999</v>
      </c>
    </row>
    <row r="1964" ht="12" customHeight="1">
      <c r="A1964" s="30" t="inlineStr">
        <is>
          <t>POR</t>
        </is>
      </c>
      <c r="B1964" s="30" t="inlineStr">
        <is>
          <t>Porto Real</t>
        </is>
      </c>
      <c r="C1964" s="30" t="n">
        <v>77685022</v>
      </c>
      <c r="D1964" s="30">
        <f>"76535764033157"</f>
        <v/>
      </c>
      <c r="E1964" s="30" t="inlineStr">
        <is>
          <t>OI SA - EM RECUPERACAO JUDICIAL</t>
        </is>
      </c>
      <c r="F1964" s="40" t="n">
        <v>0</v>
      </c>
      <c r="G1964" s="40" t="n">
        <v>0</v>
      </c>
      <c r="H1964" s="40" t="n">
        <v>0</v>
      </c>
      <c r="I1964" s="40" t="n">
        <v>0</v>
      </c>
      <c r="J1964" s="40" t="n">
        <v>437132.13</v>
      </c>
      <c r="K1964" s="40" t="n">
        <v>795110.2</v>
      </c>
      <c r="L1964" s="40" t="n">
        <v>614306.9399999999</v>
      </c>
    </row>
    <row r="1965" ht="12" customHeight="1">
      <c r="A1965" s="30" t="inlineStr">
        <is>
          <t>POR</t>
        </is>
      </c>
      <c r="B1965" s="30" t="inlineStr">
        <is>
          <t>Porto Real</t>
        </is>
      </c>
      <c r="C1965" s="30" t="n">
        <v>77689630</v>
      </c>
      <c r="D1965" s="30">
        <f>"02427026002009"</f>
        <v/>
      </c>
      <c r="E1965" s="30" t="inlineStr">
        <is>
          <t>ALIANCA NAVEGACAO E LOGISTICA LTDA</t>
        </is>
      </c>
      <c r="F1965" s="40" t="n">
        <v>0</v>
      </c>
      <c r="G1965" s="40" t="n">
        <v>143905.44</v>
      </c>
      <c r="H1965" s="40" t="n">
        <v>71733.22</v>
      </c>
      <c r="I1965" s="40" t="n">
        <v>2611.03</v>
      </c>
      <c r="J1965" s="40" t="n">
        <v>76476.78999999999</v>
      </c>
      <c r="K1965" s="40" t="n">
        <v>0</v>
      </c>
      <c r="L1965" s="40" t="n">
        <v>135842.29</v>
      </c>
    </row>
    <row r="1966" ht="12" customHeight="1">
      <c r="A1966" s="30" t="inlineStr">
        <is>
          <t>POR</t>
        </is>
      </c>
      <c r="B1966" s="30" t="inlineStr">
        <is>
          <t>Porto Real</t>
        </is>
      </c>
      <c r="C1966" s="30" t="n">
        <v>77700501</v>
      </c>
      <c r="D1966" s="30">
        <f>"71208516017140"</f>
        <v/>
      </c>
      <c r="E1966" s="30" t="inlineStr">
        <is>
          <t>ALGAR TELECOM S A</t>
        </is>
      </c>
      <c r="F1966" s="40" t="n">
        <v>30.84</v>
      </c>
      <c r="G1966" s="40" t="n">
        <v>85.81</v>
      </c>
      <c r="H1966" s="40" t="n">
        <v>186.44</v>
      </c>
      <c r="I1966" s="40" t="n">
        <v>105.33</v>
      </c>
      <c r="J1966" s="40" t="n">
        <v>57.53</v>
      </c>
      <c r="K1966" s="40" t="n">
        <v>6.45</v>
      </c>
      <c r="L1966" s="40" t="n">
        <v>3.88</v>
      </c>
    </row>
    <row r="1967" ht="12" customHeight="1">
      <c r="A1967" s="30" t="inlineStr">
        <is>
          <t>POR</t>
        </is>
      </c>
      <c r="B1967" s="30" t="inlineStr">
        <is>
          <t>Porto Real</t>
        </is>
      </c>
      <c r="C1967" s="30" t="n">
        <v>77712755</v>
      </c>
      <c r="D1967" s="30">
        <f>"06229098000563"</f>
        <v/>
      </c>
      <c r="E1967" s="30" t="inlineStr">
        <is>
          <t>VERIZON TELECOMUNICACOES DO BRASIL LTDA</t>
        </is>
      </c>
      <c r="F1967" s="40" t="n">
        <v>0</v>
      </c>
      <c r="G1967" s="40" t="n">
        <v>107815.56</v>
      </c>
      <c r="H1967" s="40" t="n">
        <v>131957.12</v>
      </c>
      <c r="I1967" s="40" t="n">
        <v>0</v>
      </c>
      <c r="J1967" s="40" t="n">
        <v>0</v>
      </c>
      <c r="K1967" s="40" t="n">
        <v>0</v>
      </c>
      <c r="L1967" s="40" t="n">
        <v>0</v>
      </c>
    </row>
    <row r="1968" ht="12" customHeight="1">
      <c r="A1968" s="30" t="inlineStr">
        <is>
          <t>POR</t>
        </is>
      </c>
      <c r="B1968" s="30" t="inlineStr">
        <is>
          <t>Porto Real</t>
        </is>
      </c>
      <c r="C1968" s="30" t="n">
        <v>77730729</v>
      </c>
      <c r="D1968" s="30">
        <f>"48740351000408"</f>
        <v/>
      </c>
      <c r="E1968" s="30" t="inlineStr">
        <is>
          <t>BRASPRESS TRANSPORTES URGENTES LTDA</t>
        </is>
      </c>
      <c r="F1968" s="40" t="n">
        <v>2295.61</v>
      </c>
      <c r="G1968" s="40" t="n">
        <v>5538.1</v>
      </c>
      <c r="H1968" s="40" t="n">
        <v>1275.68</v>
      </c>
      <c r="I1968" s="40" t="n">
        <v>1717.23</v>
      </c>
      <c r="J1968" s="40" t="n">
        <v>4182.37</v>
      </c>
      <c r="K1968" s="40" t="n">
        <v>0</v>
      </c>
      <c r="L1968" s="40" t="n">
        <v>72.01000000000001</v>
      </c>
    </row>
    <row r="1969" ht="12" customHeight="1">
      <c r="A1969" s="30" t="inlineStr">
        <is>
          <t>POR</t>
        </is>
      </c>
      <c r="B1969" s="30" t="inlineStr">
        <is>
          <t>Porto Real</t>
        </is>
      </c>
      <c r="C1969" s="30" t="n">
        <v>77734686</v>
      </c>
      <c r="D1969" s="30">
        <f>"48740351003008"</f>
        <v/>
      </c>
      <c r="E1969" s="30" t="inlineStr">
        <is>
          <t>BRASPRESS TRANSPORTES URGENTES LTDA</t>
        </is>
      </c>
      <c r="F1969" s="40" t="n">
        <v>976.47</v>
      </c>
      <c r="G1969" s="40" t="n">
        <v>287.19</v>
      </c>
      <c r="H1969" s="40" t="n">
        <v>303.94</v>
      </c>
      <c r="I1969" s="40" t="n">
        <v>0</v>
      </c>
      <c r="J1969" s="40" t="n">
        <v>0</v>
      </c>
      <c r="K1969" s="40" t="n">
        <v>0</v>
      </c>
      <c r="L1969" s="40" t="n">
        <v>0</v>
      </c>
    </row>
    <row r="1970" ht="12" customHeight="1">
      <c r="A1970" s="30" t="inlineStr">
        <is>
          <t>POR</t>
        </is>
      </c>
      <c r="B1970" s="30" t="inlineStr">
        <is>
          <t>Porto Real</t>
        </is>
      </c>
      <c r="C1970" s="30" t="n">
        <v>77734708</v>
      </c>
      <c r="D1970" s="30">
        <f>"48740351003261"</f>
        <v/>
      </c>
      <c r="E1970" s="30" t="inlineStr">
        <is>
          <t>BRASPRESS TRANSPORTES URGENTES LTDA</t>
        </is>
      </c>
      <c r="F1970" s="40" t="n">
        <v>294.54</v>
      </c>
      <c r="G1970" s="40" t="n">
        <v>0</v>
      </c>
      <c r="H1970" s="40" t="n">
        <v>0</v>
      </c>
      <c r="I1970" s="40" t="n">
        <v>0</v>
      </c>
      <c r="J1970" s="40" t="n">
        <v>85.69</v>
      </c>
      <c r="K1970" s="40" t="n">
        <v>0</v>
      </c>
      <c r="L1970" s="40" t="n">
        <v>0</v>
      </c>
    </row>
    <row r="1971" ht="12" customHeight="1">
      <c r="A1971" s="30" t="inlineStr">
        <is>
          <t>POR</t>
        </is>
      </c>
      <c r="B1971" s="30" t="inlineStr">
        <is>
          <t>Porto Real</t>
        </is>
      </c>
      <c r="C1971" s="30" t="n">
        <v>77742638</v>
      </c>
      <c r="D1971" s="30">
        <f>"05602186000253"</f>
        <v/>
      </c>
      <c r="E1971" s="30" t="inlineStr">
        <is>
          <t>TRANSNITRO LOGISTICA E TRANSPORTES DE VEICULOS LTDA</t>
        </is>
      </c>
      <c r="F1971" s="40" t="n">
        <v>0</v>
      </c>
      <c r="G1971" s="40" t="n">
        <v>0</v>
      </c>
      <c r="H1971" s="40" t="n">
        <v>0</v>
      </c>
      <c r="I1971" s="40" t="n">
        <v>0</v>
      </c>
      <c r="J1971" s="40" t="n">
        <v>0</v>
      </c>
      <c r="K1971" s="40" t="n">
        <v>0</v>
      </c>
      <c r="L1971" s="40" t="n">
        <v>0</v>
      </c>
    </row>
    <row r="1972" ht="12" customHeight="1">
      <c r="A1972" s="30" t="inlineStr">
        <is>
          <t>POR</t>
        </is>
      </c>
      <c r="B1972" s="30" t="inlineStr">
        <is>
          <t>Porto Real</t>
        </is>
      </c>
      <c r="C1972" s="30" t="n">
        <v>77785361</v>
      </c>
      <c r="D1972" s="30">
        <f>"00972696000380"</f>
        <v/>
      </c>
      <c r="E1972" s="30" t="inlineStr">
        <is>
          <t>V M RAMOS &amp; CIA LTDA</t>
        </is>
      </c>
      <c r="F1972" s="40" t="n">
        <v>0</v>
      </c>
      <c r="G1972" s="40" t="n">
        <v>0</v>
      </c>
      <c r="H1972" s="40" t="n">
        <v>0</v>
      </c>
      <c r="I1972" s="40" t="n">
        <v>0</v>
      </c>
      <c r="J1972" s="40" t="n">
        <v>251.62</v>
      </c>
      <c r="K1972" s="40" t="n">
        <v>0.71</v>
      </c>
      <c r="L1972" s="40" t="n">
        <v>149.45</v>
      </c>
    </row>
    <row r="1973" ht="12" customHeight="1">
      <c r="A1973" s="30" t="inlineStr">
        <is>
          <t>POR</t>
        </is>
      </c>
      <c r="B1973" s="30" t="inlineStr">
        <is>
          <t>Porto Real</t>
        </is>
      </c>
      <c r="C1973" s="30" t="n">
        <v>77790241</v>
      </c>
      <c r="D1973" s="30">
        <f>"06957675000100"</f>
        <v/>
      </c>
      <c r="E1973" s="30" t="inlineStr">
        <is>
          <t>LOG IN RIO TRANSPORTES LTDA</t>
        </is>
      </c>
      <c r="F1973" s="40" t="n">
        <v>0</v>
      </c>
      <c r="G1973" s="40" t="n">
        <v>0</v>
      </c>
      <c r="H1973" s="40" t="n">
        <v>0</v>
      </c>
      <c r="I1973" s="40" t="n">
        <v>0</v>
      </c>
      <c r="J1973" s="40" t="n">
        <v>0</v>
      </c>
      <c r="K1973" s="40" t="n">
        <v>0</v>
      </c>
      <c r="L1973" s="40" t="n">
        <v>45.5</v>
      </c>
    </row>
    <row r="1974" ht="12" customHeight="1">
      <c r="A1974" s="30" t="inlineStr">
        <is>
          <t>POR</t>
        </is>
      </c>
      <c r="B1974" s="30" t="inlineStr">
        <is>
          <t>Porto Real</t>
        </is>
      </c>
      <c r="C1974" s="30" t="n">
        <v>77807004</v>
      </c>
      <c r="D1974" s="30">
        <f>"22635197000330"</f>
        <v/>
      </c>
      <c r="E1974" s="30" t="inlineStr">
        <is>
          <t>TRANSFAL TRANSPORTES LTDA</t>
        </is>
      </c>
      <c r="F1974" s="40" t="n">
        <v>0</v>
      </c>
      <c r="G1974" s="40" t="n">
        <v>0</v>
      </c>
      <c r="H1974" s="40" t="n">
        <v>0</v>
      </c>
      <c r="I1974" s="40" t="n">
        <v>258077.42</v>
      </c>
      <c r="J1974" s="40" t="n">
        <v>57543.3</v>
      </c>
      <c r="K1974" s="40" t="n">
        <v>0</v>
      </c>
      <c r="L1974" s="40" t="n">
        <v>0</v>
      </c>
    </row>
    <row r="1975" ht="12" customHeight="1">
      <c r="A1975" s="30" t="inlineStr">
        <is>
          <t>POR</t>
        </is>
      </c>
      <c r="B1975" s="30" t="inlineStr">
        <is>
          <t>Porto Real</t>
        </is>
      </c>
      <c r="C1975" s="30" t="n">
        <v>77812393</v>
      </c>
      <c r="D1975" s="30">
        <f>"00972696000207"</f>
        <v/>
      </c>
      <c r="E1975" s="30" t="inlineStr">
        <is>
          <t>V M RAMOS &amp; CIA LTDA</t>
        </is>
      </c>
      <c r="F1975" s="40" t="n">
        <v>0</v>
      </c>
      <c r="G1975" s="40" t="n">
        <v>0</v>
      </c>
      <c r="H1975" s="40" t="n">
        <v>0</v>
      </c>
      <c r="I1975" s="40" t="n">
        <v>0</v>
      </c>
      <c r="J1975" s="40" t="n">
        <v>47.17</v>
      </c>
      <c r="K1975" s="40" t="n">
        <v>0</v>
      </c>
      <c r="L1975" s="40" t="n">
        <v>0</v>
      </c>
    </row>
    <row r="1976" ht="12" customHeight="1">
      <c r="A1976" s="30" t="inlineStr">
        <is>
          <t>POR</t>
        </is>
      </c>
      <c r="B1976" s="30" t="inlineStr">
        <is>
          <t>Porto Real</t>
        </is>
      </c>
      <c r="C1976" s="30" t="n">
        <v>77812741</v>
      </c>
      <c r="D1976" s="30">
        <f>"07003492000118"</f>
        <v/>
      </c>
      <c r="E1976" s="30" t="inlineStr">
        <is>
          <t>USITEL INDUSTRIA E COMERCIO DE USINAGEM E CALDERARIA LTDA</t>
        </is>
      </c>
      <c r="F1976" s="40" t="n">
        <v>0</v>
      </c>
      <c r="G1976" s="40" t="n">
        <v>0</v>
      </c>
      <c r="H1976" s="40" t="n">
        <v>0</v>
      </c>
      <c r="I1976" s="40" t="n">
        <v>0</v>
      </c>
      <c r="J1976" s="40" t="n">
        <v>0</v>
      </c>
      <c r="K1976" s="40" t="n">
        <v>1356817.49</v>
      </c>
      <c r="L1976" s="40" t="n">
        <v>0</v>
      </c>
    </row>
    <row r="1977" ht="12" customHeight="1">
      <c r="A1977" s="30" t="inlineStr">
        <is>
          <t>POR</t>
        </is>
      </c>
      <c r="B1977" s="30" t="inlineStr">
        <is>
          <t>Porto Real</t>
        </is>
      </c>
      <c r="C1977" s="30" t="n">
        <v>77812814</v>
      </c>
      <c r="D1977" s="30">
        <f>"06371265000182"</f>
        <v/>
      </c>
      <c r="E1977" s="30" t="inlineStr">
        <is>
          <t>MP 2019 TRANSPORTES LTDA</t>
        </is>
      </c>
      <c r="F1977" s="40" t="n">
        <v>0</v>
      </c>
      <c r="G1977" s="40" t="n">
        <v>0</v>
      </c>
      <c r="H1977" s="40" t="n">
        <v>0</v>
      </c>
      <c r="I1977" s="40" t="n">
        <v>0</v>
      </c>
      <c r="J1977" s="40" t="n">
        <v>2374.99</v>
      </c>
      <c r="K1977" s="40" t="n">
        <v>0</v>
      </c>
      <c r="L1977" s="40" t="n">
        <v>0</v>
      </c>
    </row>
    <row r="1978" ht="12" customHeight="1">
      <c r="A1978" s="30" t="inlineStr">
        <is>
          <t>POR</t>
        </is>
      </c>
      <c r="B1978" s="30" t="inlineStr">
        <is>
          <t>Porto Real</t>
        </is>
      </c>
      <c r="C1978" s="30" t="n">
        <v>77836349</v>
      </c>
      <c r="D1978" s="30">
        <f>"03708458000279"</f>
        <v/>
      </c>
      <c r="E1978" s="30" t="inlineStr">
        <is>
          <t>REDIVIX TRANSPORTES LTDA</t>
        </is>
      </c>
      <c r="F1978" s="40" t="n">
        <v>0</v>
      </c>
      <c r="G1978" s="40" t="n">
        <v>0</v>
      </c>
      <c r="H1978" s="40" t="n">
        <v>0</v>
      </c>
      <c r="I1978" s="40" t="n">
        <v>106.03</v>
      </c>
      <c r="J1978" s="40" t="n">
        <v>842.59</v>
      </c>
      <c r="K1978" s="40" t="n">
        <v>68.81</v>
      </c>
      <c r="L1978" s="40" t="n">
        <v>0</v>
      </c>
    </row>
    <row r="1979" ht="12" customHeight="1">
      <c r="A1979" s="30" t="inlineStr">
        <is>
          <t>POR</t>
        </is>
      </c>
      <c r="B1979" s="30" t="inlineStr">
        <is>
          <t>Porto Real</t>
        </is>
      </c>
      <c r="C1979" s="30" t="n">
        <v>77842411</v>
      </c>
      <c r="D1979" s="30">
        <f>"03197023000479"</f>
        <v/>
      </c>
      <c r="E1979" s="30" t="inlineStr">
        <is>
          <t>UNIVERSAL TELECOM SA</t>
        </is>
      </c>
      <c r="F1979" s="40" t="n">
        <v>0</v>
      </c>
      <c r="G1979" s="40" t="n">
        <v>0</v>
      </c>
      <c r="H1979" s="40" t="n">
        <v>0</v>
      </c>
      <c r="I1979" s="40" t="n">
        <v>7020</v>
      </c>
      <c r="J1979" s="40" t="n">
        <v>7020</v>
      </c>
      <c r="K1979" s="40" t="n">
        <v>7341.74</v>
      </c>
      <c r="L1979" s="40" t="n">
        <v>4550</v>
      </c>
    </row>
    <row r="1980" ht="12" customHeight="1">
      <c r="A1980" s="30" t="inlineStr">
        <is>
          <t>POR</t>
        </is>
      </c>
      <c r="B1980" s="30" t="inlineStr">
        <is>
          <t>Porto Real</t>
        </is>
      </c>
      <c r="C1980" s="30" t="n">
        <v>77843655</v>
      </c>
      <c r="D1980" s="30">
        <f>"06992662000171"</f>
        <v/>
      </c>
      <c r="E1980" s="30" t="inlineStr">
        <is>
          <t>SANTA HELENA DE PORTO REAL INCORPORACAO IMOB E CONSTRUTORA LTDA</t>
        </is>
      </c>
      <c r="F1980" s="40" t="n">
        <v>0</v>
      </c>
      <c r="G1980" s="40" t="n">
        <v>0</v>
      </c>
      <c r="H1980" s="40" t="n">
        <v>0</v>
      </c>
      <c r="I1980" s="40" t="n">
        <v>0</v>
      </c>
      <c r="J1980" s="40" t="n">
        <v>0</v>
      </c>
      <c r="K1980" s="40" t="n">
        <v>0</v>
      </c>
      <c r="L1980" s="40" t="n">
        <v>0</v>
      </c>
    </row>
    <row r="1981" ht="12" customHeight="1">
      <c r="A1981" s="30" t="inlineStr">
        <is>
          <t>POR</t>
        </is>
      </c>
      <c r="B1981" s="30" t="inlineStr">
        <is>
          <t>Porto Real</t>
        </is>
      </c>
      <c r="C1981" s="30" t="n">
        <v>77878734</v>
      </c>
      <c r="D1981" s="30">
        <f>"07212594000143"</f>
        <v/>
      </c>
      <c r="E1981" s="30" t="inlineStr">
        <is>
          <t>G MOR FABRICACAO COMERCIO E SERVICOS INDUSTRIAIS LTDA</t>
        </is>
      </c>
      <c r="F1981" s="40" t="n">
        <v>4766.85</v>
      </c>
      <c r="G1981" s="40" t="n">
        <v>7169.71</v>
      </c>
      <c r="H1981" s="40" t="n">
        <v>0</v>
      </c>
      <c r="I1981" s="40" t="n">
        <v>0</v>
      </c>
      <c r="J1981" s="40" t="n">
        <v>0</v>
      </c>
      <c r="K1981" s="40" t="n">
        <v>0</v>
      </c>
      <c r="L1981" s="40" t="n">
        <v>0</v>
      </c>
    </row>
    <row r="1982" ht="12" customHeight="1">
      <c r="A1982" s="30" t="inlineStr">
        <is>
          <t>POR</t>
        </is>
      </c>
      <c r="B1982" s="30" t="inlineStr">
        <is>
          <t>Porto Real</t>
        </is>
      </c>
      <c r="C1982" s="30" t="n">
        <v>77885030</v>
      </c>
      <c r="D1982" s="30">
        <f>"92644483001408"</f>
        <v/>
      </c>
      <c r="E1982" s="30" t="inlineStr">
        <is>
          <t>TRANSPORTES GABARDO LTDA</t>
        </is>
      </c>
      <c r="F1982" s="40" t="n">
        <v>22181984.59</v>
      </c>
      <c r="G1982" s="40" t="n">
        <v>959789.5699999999</v>
      </c>
      <c r="H1982" s="40" t="n">
        <v>808880.6</v>
      </c>
      <c r="I1982" s="40" t="n">
        <v>173285.67</v>
      </c>
      <c r="J1982" s="40" t="n">
        <v>1358727.64</v>
      </c>
      <c r="K1982" s="40" t="n">
        <v>14860591.08</v>
      </c>
      <c r="L1982" s="40" t="n">
        <v>937918.89</v>
      </c>
    </row>
    <row r="1983" ht="12" customHeight="1">
      <c r="A1983" s="30" t="inlineStr">
        <is>
          <t>POR</t>
        </is>
      </c>
      <c r="B1983" s="30" t="inlineStr">
        <is>
          <t>Porto Real</t>
        </is>
      </c>
      <c r="C1983" s="30" t="n">
        <v>77888020</v>
      </c>
      <c r="D1983" s="30">
        <f>"07268172000190"</f>
        <v/>
      </c>
      <c r="E1983" s="30" t="inlineStr">
        <is>
          <t>S MARASSI NETO AGROPECUARIA ME</t>
        </is>
      </c>
      <c r="F1983" s="40" t="n">
        <v>0</v>
      </c>
      <c r="G1983" s="40" t="n">
        <v>0</v>
      </c>
      <c r="H1983" s="40" t="n">
        <v>0</v>
      </c>
      <c r="I1983" s="40" t="n">
        <v>0</v>
      </c>
      <c r="J1983" s="40" t="n">
        <v>0</v>
      </c>
      <c r="K1983" s="40" t="n">
        <v>0</v>
      </c>
      <c r="L1983" s="40" t="n">
        <v>0</v>
      </c>
    </row>
    <row r="1984" ht="12" customHeight="1">
      <c r="A1984" s="30" t="inlineStr">
        <is>
          <t>POR</t>
        </is>
      </c>
      <c r="B1984" s="30" t="inlineStr">
        <is>
          <t>Porto Real</t>
        </is>
      </c>
      <c r="C1984" s="30" t="n">
        <v>77909028</v>
      </c>
      <c r="D1984" s="30">
        <f>"03558055001009"</f>
        <v/>
      </c>
      <c r="E1984" s="30" t="inlineStr">
        <is>
          <t>INTERMODAL BRASIL LOGISTICA LTDA</t>
        </is>
      </c>
      <c r="F1984" s="40" t="n">
        <v>0</v>
      </c>
      <c r="G1984" s="40" t="n">
        <v>0</v>
      </c>
      <c r="H1984" s="40" t="n">
        <v>12.5</v>
      </c>
      <c r="I1984" s="40" t="n">
        <v>199.06</v>
      </c>
      <c r="J1984" s="40" t="n">
        <v>0</v>
      </c>
      <c r="K1984" s="40" t="n">
        <v>0</v>
      </c>
      <c r="L1984" s="40" t="n">
        <v>0</v>
      </c>
    </row>
    <row r="1985" ht="12" customHeight="1">
      <c r="A1985" s="30" t="inlineStr">
        <is>
          <t>POR</t>
        </is>
      </c>
      <c r="B1985" s="30" t="inlineStr">
        <is>
          <t>Porto Real</t>
        </is>
      </c>
      <c r="C1985" s="30" t="n">
        <v>77924817</v>
      </c>
      <c r="D1985" s="30">
        <f>"07430035000100"</f>
        <v/>
      </c>
      <c r="E1985" s="30" t="inlineStr">
        <is>
          <t>BIOTA CONSTRUCOES SERVICOS E TRANSPORTES LTDA EPP</t>
        </is>
      </c>
      <c r="F1985" s="40" t="n">
        <v>0</v>
      </c>
      <c r="G1985" s="40" t="n">
        <v>0</v>
      </c>
      <c r="H1985" s="40" t="n">
        <v>0</v>
      </c>
      <c r="I1985" s="40" t="n">
        <v>0</v>
      </c>
      <c r="J1985" s="40" t="n">
        <v>0</v>
      </c>
      <c r="K1985" s="40" t="n">
        <v>0</v>
      </c>
      <c r="L1985" s="40" t="n">
        <v>0</v>
      </c>
    </row>
    <row r="1986" ht="12" customHeight="1">
      <c r="A1986" s="30" t="inlineStr">
        <is>
          <t>POR</t>
        </is>
      </c>
      <c r="B1986" s="30" t="inlineStr">
        <is>
          <t>Porto Real</t>
        </is>
      </c>
      <c r="C1986" s="30" t="n">
        <v>77959912</v>
      </c>
      <c r="D1986" s="30">
        <f>"07463749000114"</f>
        <v/>
      </c>
      <c r="E1986" s="30" t="inlineStr">
        <is>
          <t>WEIDNER DO BRASIL INDUSTRIA DE PRODUTOS PLASTICOS LTDA</t>
        </is>
      </c>
      <c r="F1986" s="40" t="n">
        <v>297149.26</v>
      </c>
      <c r="G1986" s="40" t="n">
        <v>195173.67</v>
      </c>
      <c r="H1986" s="40" t="n">
        <v>191847.79</v>
      </c>
      <c r="I1986" s="40" t="n">
        <v>0</v>
      </c>
      <c r="J1986" s="40" t="n">
        <v>0</v>
      </c>
      <c r="K1986" s="40" t="n">
        <v>115297.57</v>
      </c>
      <c r="L1986" s="40" t="n">
        <v>174782.32</v>
      </c>
    </row>
    <row r="1987" ht="12" customHeight="1">
      <c r="A1987" s="30" t="inlineStr">
        <is>
          <t>POR</t>
        </is>
      </c>
      <c r="B1987" s="30" t="inlineStr">
        <is>
          <t>Porto Real</t>
        </is>
      </c>
      <c r="C1987" s="30" t="n">
        <v>77968938</v>
      </c>
      <c r="D1987" s="30">
        <f>"22447684000883"</f>
        <v/>
      </c>
      <c r="E1987" s="30" t="inlineStr">
        <is>
          <t>DGRA NEL TRANSPORTES E COMERCIO LTDA</t>
        </is>
      </c>
      <c r="F1987" s="40" t="n">
        <v>0</v>
      </c>
      <c r="G1987" s="40" t="n">
        <v>0</v>
      </c>
      <c r="H1987" s="40" t="n">
        <v>25259</v>
      </c>
      <c r="I1987" s="40" t="n">
        <v>131716.5</v>
      </c>
      <c r="J1987" s="40" t="n">
        <v>0</v>
      </c>
      <c r="K1987" s="40" t="n">
        <v>0</v>
      </c>
      <c r="L1987" s="40" t="n">
        <v>61928.77</v>
      </c>
    </row>
    <row r="1988" ht="12" customHeight="1">
      <c r="A1988" s="30" t="inlineStr">
        <is>
          <t>POR</t>
        </is>
      </c>
      <c r="B1988" s="30" t="inlineStr">
        <is>
          <t>Porto Real</t>
        </is>
      </c>
      <c r="C1988" s="30" t="n">
        <v>78002840</v>
      </c>
      <c r="D1988" s="30">
        <f>"40432544006269"</f>
        <v/>
      </c>
      <c r="E1988" s="30" t="inlineStr">
        <is>
          <t>CLARO S/A</t>
        </is>
      </c>
      <c r="F1988" s="40" t="n">
        <v>2474943.67</v>
      </c>
      <c r="G1988" s="40" t="n">
        <v>2226483</v>
      </c>
      <c r="H1988" s="40" t="n">
        <v>2101002.63</v>
      </c>
      <c r="I1988" s="40" t="n">
        <v>2123108.94</v>
      </c>
      <c r="J1988" s="40" t="n">
        <v>1763840.84</v>
      </c>
      <c r="K1988" s="40" t="n">
        <v>1088555.77</v>
      </c>
      <c r="L1988" s="40" t="n">
        <v>1104605.92</v>
      </c>
    </row>
    <row r="1989" ht="12" customHeight="1">
      <c r="A1989" s="30" t="inlineStr">
        <is>
          <t>POR</t>
        </is>
      </c>
      <c r="B1989" s="30" t="inlineStr">
        <is>
          <t>Porto Real</t>
        </is>
      </c>
      <c r="C1989" s="30" t="n">
        <v>78017961</v>
      </c>
      <c r="D1989" s="30">
        <f>"07465184000104"</f>
        <v/>
      </c>
      <c r="E1989" s="30" t="inlineStr">
        <is>
          <t>ROTA BM TRANSPORTES LTDA EPP</t>
        </is>
      </c>
      <c r="F1989" s="40" t="n">
        <v>0</v>
      </c>
      <c r="G1989" s="40" t="n">
        <v>0</v>
      </c>
      <c r="H1989" s="40" t="n">
        <v>0</v>
      </c>
      <c r="I1989" s="40" t="n">
        <v>0</v>
      </c>
      <c r="J1989" s="40" t="n">
        <v>0</v>
      </c>
      <c r="K1989" s="40" t="n">
        <v>54600</v>
      </c>
      <c r="L1989" s="40" t="n">
        <v>134800</v>
      </c>
    </row>
    <row r="1990" ht="12" customHeight="1">
      <c r="A1990" s="30" t="inlineStr">
        <is>
          <t>POR</t>
        </is>
      </c>
      <c r="B1990" s="30" t="inlineStr">
        <is>
          <t>Porto Real</t>
        </is>
      </c>
      <c r="C1990" s="30" t="n">
        <v>78022159</v>
      </c>
      <c r="D1990" s="30">
        <f>"07617959000110"</f>
        <v/>
      </c>
      <c r="E1990" s="30" t="inlineStr">
        <is>
          <t>THT LOGISTICA TRANSPORTES LTDA</t>
        </is>
      </c>
      <c r="F1990" s="40" t="n">
        <v>35800</v>
      </c>
      <c r="G1990" s="40" t="n">
        <v>0</v>
      </c>
      <c r="H1990" s="40" t="n">
        <v>0</v>
      </c>
      <c r="I1990" s="40" t="n">
        <v>0</v>
      </c>
      <c r="J1990" s="40" t="n">
        <v>0</v>
      </c>
      <c r="K1990" s="40" t="n">
        <v>0</v>
      </c>
      <c r="L1990" s="40" t="n">
        <v>0</v>
      </c>
    </row>
    <row r="1991" ht="12" customHeight="1">
      <c r="A1991" s="30" t="inlineStr">
        <is>
          <t>POR</t>
        </is>
      </c>
      <c r="B1991" s="30" t="inlineStr">
        <is>
          <t>Porto Real</t>
        </is>
      </c>
      <c r="C1991" s="30" t="n">
        <v>78024623</v>
      </c>
      <c r="D1991" s="30">
        <f>"02645941000450"</f>
        <v/>
      </c>
      <c r="E1991" s="30" t="inlineStr">
        <is>
          <t>PLASTIC OMNIUM DO BRASIL LTDA</t>
        </is>
      </c>
      <c r="F1991" s="40" t="n">
        <v>57577656.01</v>
      </c>
      <c r="G1991" s="40" t="n">
        <v>49641997.43</v>
      </c>
      <c r="H1991" s="40" t="n">
        <v>29838063.54</v>
      </c>
      <c r="I1991" s="40" t="n">
        <v>22500146.27</v>
      </c>
      <c r="J1991" s="40" t="n">
        <v>36205125.47</v>
      </c>
      <c r="K1991" s="40" t="n">
        <v>37819935.79</v>
      </c>
      <c r="L1991" s="40" t="n">
        <v>31128707.31</v>
      </c>
    </row>
    <row r="1992" ht="12" customHeight="1">
      <c r="A1992" s="30" t="inlineStr">
        <is>
          <t>POR</t>
        </is>
      </c>
      <c r="B1992" s="30" t="inlineStr">
        <is>
          <t>Porto Real</t>
        </is>
      </c>
      <c r="C1992" s="30" t="n">
        <v>78030844</v>
      </c>
      <c r="D1992" s="30">
        <f>"07714104000107"</f>
        <v/>
      </c>
      <c r="E1992" s="30" t="inlineStr">
        <is>
          <t>VM OPENLINK COMUNICAÇÃO MULTIMIDIA S.A.</t>
        </is>
      </c>
      <c r="F1992" s="40" t="n">
        <v>0</v>
      </c>
      <c r="G1992" s="40" t="n">
        <v>0</v>
      </c>
      <c r="H1992" s="40" t="n">
        <v>0</v>
      </c>
      <c r="I1992" s="40" t="n">
        <v>189317.08</v>
      </c>
      <c r="J1992" s="40" t="n">
        <v>448703.27</v>
      </c>
      <c r="K1992" s="40" t="n">
        <v>510008.56</v>
      </c>
      <c r="L1992" s="40" t="n">
        <v>552610.02</v>
      </c>
    </row>
    <row r="1993" ht="12" customHeight="1">
      <c r="A1993" s="30" t="inlineStr">
        <is>
          <t>POR</t>
        </is>
      </c>
      <c r="B1993" s="30" t="inlineStr">
        <is>
          <t>Porto Real</t>
        </is>
      </c>
      <c r="C1993" s="30" t="n">
        <v>78041293</v>
      </c>
      <c r="D1993" s="30">
        <f>"07031916000581"</f>
        <v/>
      </c>
      <c r="E1993" s="30" t="inlineStr">
        <is>
          <t>VIA LACTEOS TRANSPORTES - EIRELI</t>
        </is>
      </c>
      <c r="F1993" s="40" t="n">
        <v>0</v>
      </c>
      <c r="G1993" s="40" t="n">
        <v>0</v>
      </c>
      <c r="H1993" s="40" t="n">
        <v>0</v>
      </c>
      <c r="I1993" s="40" t="n">
        <v>0</v>
      </c>
      <c r="J1993" s="40" t="n">
        <v>0</v>
      </c>
      <c r="K1993" s="40" t="n">
        <v>660</v>
      </c>
      <c r="L1993" s="40" t="n">
        <v>0</v>
      </c>
    </row>
    <row r="1994" ht="12" customHeight="1">
      <c r="A1994" s="30" t="inlineStr">
        <is>
          <t>POR</t>
        </is>
      </c>
      <c r="B1994" s="30" t="inlineStr">
        <is>
          <t>Porto Real</t>
        </is>
      </c>
      <c r="C1994" s="30" t="n">
        <v>78107944</v>
      </c>
      <c r="D1994" s="30">
        <f>"04425426000229"</f>
        <v/>
      </c>
      <c r="E1994" s="30" t="inlineStr">
        <is>
          <t>RADIO E TELEVISAO MODELO PAULISTA</t>
        </is>
      </c>
      <c r="F1994" s="40" t="n">
        <v>4559.11</v>
      </c>
      <c r="G1994" s="40" t="n">
        <v>3028.42</v>
      </c>
      <c r="H1994" s="40" t="n">
        <v>4335.67</v>
      </c>
      <c r="I1994" s="40" t="n">
        <v>2466.7</v>
      </c>
      <c r="J1994" s="40" t="n">
        <v>965.28</v>
      </c>
      <c r="K1994" s="40" t="n">
        <v>708.25</v>
      </c>
      <c r="L1994" s="40" t="n">
        <v>546.6</v>
      </c>
    </row>
    <row r="1995" ht="12" customHeight="1">
      <c r="A1995" s="30" t="inlineStr">
        <is>
          <t>POR</t>
        </is>
      </c>
      <c r="B1995" s="30" t="inlineStr">
        <is>
          <t>Porto Real</t>
        </is>
      </c>
      <c r="C1995" s="30" t="n">
        <v>78118814</v>
      </c>
      <c r="D1995" s="30">
        <f>"05822091000245"</f>
        <v/>
      </c>
      <c r="E1995" s="30" t="inlineStr">
        <is>
          <t>RESTAURANTE TREM AZUL DE PENEDO LTDA ME</t>
        </is>
      </c>
      <c r="F1995" s="40" t="n">
        <v>0</v>
      </c>
      <c r="G1995" s="40" t="n">
        <v>0</v>
      </c>
      <c r="H1995" s="40" t="n">
        <v>0</v>
      </c>
      <c r="I1995" s="40" t="n">
        <v>0</v>
      </c>
      <c r="J1995" s="40" t="n">
        <v>0</v>
      </c>
      <c r="K1995" s="40" t="n">
        <v>0</v>
      </c>
      <c r="L1995" s="40" t="n">
        <v>0</v>
      </c>
    </row>
    <row r="1996" ht="12" customHeight="1">
      <c r="A1996" s="30" t="inlineStr">
        <is>
          <t>POR</t>
        </is>
      </c>
      <c r="B1996" s="30" t="inlineStr">
        <is>
          <t>Porto Real</t>
        </is>
      </c>
      <c r="C1996" s="30" t="n">
        <v>78138220</v>
      </c>
      <c r="D1996" s="30">
        <f>"88668298003179"</f>
        <v/>
      </c>
      <c r="E1996" s="30" t="inlineStr">
        <is>
          <t>IRAPURU TRANSPORTES LTDA</t>
        </is>
      </c>
      <c r="F1996" s="40" t="n">
        <v>121194.96</v>
      </c>
      <c r="G1996" s="40" t="n">
        <v>245526.72</v>
      </c>
      <c r="H1996" s="40" t="n">
        <v>199004.06</v>
      </c>
      <c r="I1996" s="40" t="n">
        <v>97460.37</v>
      </c>
      <c r="J1996" s="40" t="n">
        <v>80444.08</v>
      </c>
      <c r="K1996" s="40" t="n">
        <v>118268.69</v>
      </c>
      <c r="L1996" s="40" t="n">
        <v>0</v>
      </c>
    </row>
    <row r="1997" ht="12" customHeight="1">
      <c r="A1997" s="30" t="inlineStr">
        <is>
          <t>POR</t>
        </is>
      </c>
      <c r="B1997" s="30" t="inlineStr">
        <is>
          <t>Porto Real</t>
        </is>
      </c>
      <c r="C1997" s="30" t="n">
        <v>78139587</v>
      </c>
      <c r="D1997" s="30">
        <f>"26178616000302"</f>
        <v/>
      </c>
      <c r="E1997" s="30" t="inlineStr">
        <is>
          <t>EMPREENDIMENTOS RODEIRO S/A</t>
        </is>
      </c>
      <c r="F1997" s="40" t="n">
        <v>0</v>
      </c>
      <c r="G1997" s="40" t="n">
        <v>50146.22</v>
      </c>
      <c r="H1997" s="40" t="n">
        <v>16193.31</v>
      </c>
      <c r="I1997" s="40" t="n">
        <v>37991.81</v>
      </c>
      <c r="J1997" s="40" t="n">
        <v>41082.19</v>
      </c>
      <c r="K1997" s="40" t="n">
        <v>57009.45</v>
      </c>
      <c r="L1997" s="40" t="n">
        <v>100816.5</v>
      </c>
    </row>
    <row r="1998" ht="12" customHeight="1">
      <c r="A1998" s="30" t="inlineStr">
        <is>
          <t>POR</t>
        </is>
      </c>
      <c r="B1998" s="30" t="inlineStr">
        <is>
          <t>Porto Real</t>
        </is>
      </c>
      <c r="C1998" s="30" t="n">
        <v>78145528</v>
      </c>
      <c r="D1998" s="30">
        <f>"08186591000145"</f>
        <v/>
      </c>
      <c r="E1998" s="30" t="inlineStr">
        <is>
          <t>GIANNONE TRANSPORTES LTDA</t>
        </is>
      </c>
      <c r="F1998" s="40" t="n">
        <v>0</v>
      </c>
      <c r="G1998" s="40" t="n">
        <v>0</v>
      </c>
      <c r="H1998" s="40" t="n">
        <v>0</v>
      </c>
      <c r="I1998" s="40" t="n">
        <v>0</v>
      </c>
      <c r="J1998" s="40" t="n">
        <v>107.9</v>
      </c>
      <c r="K1998" s="40" t="n">
        <v>0</v>
      </c>
      <c r="L1998" s="40" t="n">
        <v>0</v>
      </c>
    </row>
    <row r="1999" ht="12" customHeight="1">
      <c r="A1999" s="30" t="inlineStr">
        <is>
          <t>POR</t>
        </is>
      </c>
      <c r="B1999" s="30" t="inlineStr">
        <is>
          <t>Porto Real</t>
        </is>
      </c>
      <c r="C1999" s="30" t="n">
        <v>78156872</v>
      </c>
      <c r="D1999" s="30">
        <f>"73939449000940"</f>
        <v/>
      </c>
      <c r="E1999" s="30" t="inlineStr">
        <is>
          <t>TEX COURIER LTDA EM RECUPERACAO JUDICIAL</t>
        </is>
      </c>
      <c r="F1999" s="40" t="n">
        <v>0</v>
      </c>
      <c r="G1999" s="40" t="n">
        <v>0</v>
      </c>
      <c r="H1999" s="40" t="n">
        <v>0</v>
      </c>
      <c r="I1999" s="40" t="n">
        <v>2971.28</v>
      </c>
      <c r="J1999" s="40" t="n">
        <v>0</v>
      </c>
      <c r="K1999" s="40" t="n">
        <v>0</v>
      </c>
      <c r="L1999" s="40" t="n">
        <v>0</v>
      </c>
    </row>
    <row r="2000" ht="12" customHeight="1">
      <c r="A2000" s="30" t="inlineStr">
        <is>
          <t>POR</t>
        </is>
      </c>
      <c r="B2000" s="30" t="inlineStr">
        <is>
          <t>Porto Real</t>
        </is>
      </c>
      <c r="C2000" s="30" t="n">
        <v>78180277</v>
      </c>
      <c r="D2000" s="30">
        <f>"50351014001523"</f>
        <v/>
      </c>
      <c r="E2000" s="30" t="inlineStr">
        <is>
          <t>ITOGRASS AGRICOLA LTDA</t>
        </is>
      </c>
      <c r="F2000" s="40" t="n">
        <v>0</v>
      </c>
      <c r="G2000" s="40" t="n">
        <v>0</v>
      </c>
      <c r="H2000" s="40" t="n">
        <v>0</v>
      </c>
      <c r="I2000" s="40" t="n">
        <v>0</v>
      </c>
      <c r="J2000" s="40" t="n">
        <v>0</v>
      </c>
      <c r="K2000" s="40" t="n">
        <v>0</v>
      </c>
      <c r="L2000" s="40" t="n">
        <v>0</v>
      </c>
    </row>
    <row r="2001" ht="12" customHeight="1">
      <c r="A2001" s="30" t="inlineStr">
        <is>
          <t>POR</t>
        </is>
      </c>
      <c r="B2001" s="30" t="inlineStr">
        <is>
          <t>Porto Real</t>
        </is>
      </c>
      <c r="C2001" s="30" t="n">
        <v>78191066</v>
      </c>
      <c r="D2001" s="30">
        <f>"07257228000887"</f>
        <v/>
      </c>
      <c r="E2001" s="30" t="inlineStr">
        <is>
          <t>RODOPLAN TRANSPORTE E PRESTACAO DE SERVICOS EIRELI</t>
        </is>
      </c>
      <c r="F2001" s="40" t="n">
        <v>469927.28</v>
      </c>
      <c r="G2001" s="40" t="n">
        <v>163866.37</v>
      </c>
      <c r="H2001" s="40" t="n">
        <v>0</v>
      </c>
      <c r="I2001" s="40" t="n">
        <v>0</v>
      </c>
      <c r="J2001" s="40" t="n">
        <v>0</v>
      </c>
      <c r="K2001" s="40" t="n">
        <v>0</v>
      </c>
      <c r="L2001" s="40" t="n">
        <v>0</v>
      </c>
    </row>
    <row r="2002" ht="12" customHeight="1">
      <c r="A2002" s="30" t="inlineStr">
        <is>
          <t>POR</t>
        </is>
      </c>
      <c r="B2002" s="30" t="inlineStr">
        <is>
          <t>Porto Real</t>
        </is>
      </c>
      <c r="C2002" s="30" t="n">
        <v>78194367</v>
      </c>
      <c r="D2002" s="30">
        <f>"08168884000108"</f>
        <v/>
      </c>
      <c r="E2002" s="30" t="inlineStr">
        <is>
          <t>NOVA UNIAO LOGISTICA E TRANSPORTES LTDA</t>
        </is>
      </c>
      <c r="F2002" s="40" t="n">
        <v>7335.41</v>
      </c>
      <c r="G2002" s="40" t="n">
        <v>3800.82</v>
      </c>
      <c r="H2002" s="40" t="n">
        <v>0</v>
      </c>
      <c r="I2002" s="40" t="n">
        <v>0</v>
      </c>
      <c r="J2002" s="40" t="n">
        <v>0</v>
      </c>
      <c r="K2002" s="40" t="n">
        <v>0</v>
      </c>
      <c r="L2002" s="40" t="n">
        <v>0</v>
      </c>
    </row>
    <row r="2003" ht="12" customHeight="1">
      <c r="A2003" s="30" t="inlineStr">
        <is>
          <t>POR</t>
        </is>
      </c>
      <c r="B2003" s="30" t="inlineStr">
        <is>
          <t>Porto Real</t>
        </is>
      </c>
      <c r="C2003" s="30" t="n">
        <v>78196475</v>
      </c>
      <c r="D2003" s="30">
        <f>"76642743001603"</f>
        <v/>
      </c>
      <c r="E2003" s="30" t="inlineStr">
        <is>
          <t>DEL POZO TRANSPORTES RODOVIARIOS LTDA</t>
        </is>
      </c>
      <c r="F2003" s="40" t="n">
        <v>166775.99</v>
      </c>
      <c r="G2003" s="40" t="n">
        <v>146676.02</v>
      </c>
      <c r="H2003" s="40" t="n">
        <v>48897</v>
      </c>
      <c r="I2003" s="40" t="n">
        <v>108732.22</v>
      </c>
      <c r="J2003" s="40" t="n">
        <v>4892</v>
      </c>
      <c r="K2003" s="40" t="n">
        <v>2802.19</v>
      </c>
      <c r="L2003" s="40" t="n">
        <v>314468.79</v>
      </c>
    </row>
    <row r="2004" ht="12" customHeight="1">
      <c r="A2004" s="30" t="inlineStr">
        <is>
          <t>POR</t>
        </is>
      </c>
      <c r="B2004" s="30" t="inlineStr">
        <is>
          <t>Porto Real</t>
        </is>
      </c>
      <c r="C2004" s="30" t="n">
        <v>78224533</v>
      </c>
      <c r="D2004" s="30">
        <f>"05132549000153"</f>
        <v/>
      </c>
      <c r="E2004" s="30" t="inlineStr">
        <is>
          <t>S O DO BRASIL TELECOMUNICACOES LTDA EPP</t>
        </is>
      </c>
      <c r="F2004" s="40" t="n">
        <v>100059.12</v>
      </c>
      <c r="G2004" s="40" t="n">
        <v>168145.59</v>
      </c>
      <c r="H2004" s="40" t="n">
        <v>151136.98</v>
      </c>
      <c r="I2004" s="40" t="n">
        <v>102764.14</v>
      </c>
      <c r="J2004" s="40" t="n">
        <v>95296.92999999999</v>
      </c>
      <c r="K2004" s="40" t="n">
        <v>95514.07000000001</v>
      </c>
      <c r="L2004" s="40" t="n">
        <v>140031.95</v>
      </c>
    </row>
    <row r="2005" ht="12" customHeight="1">
      <c r="A2005" s="30" t="inlineStr">
        <is>
          <t>POR</t>
        </is>
      </c>
      <c r="B2005" s="30" t="inlineStr">
        <is>
          <t>Porto Real</t>
        </is>
      </c>
      <c r="C2005" s="30" t="n">
        <v>78254831</v>
      </c>
      <c r="D2005" s="30">
        <f>"87689402003572"</f>
        <v/>
      </c>
      <c r="E2005" s="30" t="inlineStr">
        <is>
          <t>TRANSPORTES LUFT LTDA</t>
        </is>
      </c>
      <c r="F2005" s="40" t="n">
        <v>0</v>
      </c>
      <c r="G2005" s="40" t="n">
        <v>0</v>
      </c>
      <c r="H2005" s="40" t="n">
        <v>0</v>
      </c>
      <c r="I2005" s="40" t="n">
        <v>2078.84</v>
      </c>
      <c r="J2005" s="40" t="n">
        <v>5935.58</v>
      </c>
      <c r="K2005" s="40" t="n">
        <v>15562.69</v>
      </c>
      <c r="L2005" s="40" t="n">
        <v>14938.35</v>
      </c>
    </row>
    <row r="2006" ht="12" customHeight="1">
      <c r="A2006" s="30" t="inlineStr">
        <is>
          <t>POR</t>
        </is>
      </c>
      <c r="B2006" s="30" t="inlineStr">
        <is>
          <t>Porto Real</t>
        </is>
      </c>
      <c r="C2006" s="30" t="n">
        <v>78258950</v>
      </c>
      <c r="D2006" s="30">
        <f>"08219203000690"</f>
        <v/>
      </c>
      <c r="E2006" s="30" t="inlineStr">
        <is>
          <t>DIRECIONAL TRANSPORTE E LOGISTICA S A</t>
        </is>
      </c>
      <c r="F2006" s="40" t="n">
        <v>0</v>
      </c>
      <c r="G2006" s="40" t="n">
        <v>62.49</v>
      </c>
      <c r="H2006" s="40" t="n">
        <v>0</v>
      </c>
      <c r="I2006" s="40" t="n">
        <v>0</v>
      </c>
      <c r="J2006" s="40" t="n">
        <v>1372.91</v>
      </c>
      <c r="K2006" s="40" t="n">
        <v>0</v>
      </c>
      <c r="L2006" s="40" t="n">
        <v>0</v>
      </c>
    </row>
    <row r="2007" ht="12" customHeight="1">
      <c r="A2007" s="30" t="inlineStr">
        <is>
          <t>POR</t>
        </is>
      </c>
      <c r="B2007" s="30" t="inlineStr">
        <is>
          <t>Porto Real</t>
        </is>
      </c>
      <c r="C2007" s="30" t="n">
        <v>78275650</v>
      </c>
      <c r="D2007" s="30">
        <f>"07625852000113"</f>
        <v/>
      </c>
      <c r="E2007" s="30" t="inlineStr">
        <is>
          <t>TELEXPERTS TELECOMUNICACOES LTDA</t>
        </is>
      </c>
      <c r="F2007" s="40" t="n">
        <v>0</v>
      </c>
      <c r="G2007" s="40" t="n">
        <v>0</v>
      </c>
      <c r="H2007" s="40" t="n">
        <v>0</v>
      </c>
      <c r="I2007" s="40" t="n">
        <v>0</v>
      </c>
      <c r="J2007" s="40" t="n">
        <v>285.3</v>
      </c>
      <c r="K2007" s="40" t="n">
        <v>1399.36</v>
      </c>
      <c r="L2007" s="40" t="n">
        <v>1020.92</v>
      </c>
    </row>
    <row r="2008" ht="12" customHeight="1">
      <c r="A2008" s="30" t="inlineStr">
        <is>
          <t>POR</t>
        </is>
      </c>
      <c r="B2008" s="30" t="inlineStr">
        <is>
          <t>Porto Real</t>
        </is>
      </c>
      <c r="C2008" s="30" t="n">
        <v>78288841</v>
      </c>
      <c r="D2008" s="30">
        <f>"75785675000516"</f>
        <v/>
      </c>
      <c r="E2008" s="30" t="inlineStr">
        <is>
          <t>TRANSPORTADORA OCIANI LTDA</t>
        </is>
      </c>
      <c r="F2008" s="40" t="n">
        <v>0</v>
      </c>
      <c r="G2008" s="40" t="n">
        <v>0</v>
      </c>
      <c r="H2008" s="40" t="n">
        <v>0</v>
      </c>
      <c r="I2008" s="40" t="n">
        <v>0</v>
      </c>
      <c r="J2008" s="40" t="n">
        <v>0</v>
      </c>
      <c r="K2008" s="40" t="n">
        <v>0</v>
      </c>
      <c r="L2008" s="40" t="n">
        <v>152.45</v>
      </c>
    </row>
    <row r="2009" ht="12" customHeight="1">
      <c r="A2009" s="30" t="inlineStr">
        <is>
          <t>POR</t>
        </is>
      </c>
      <c r="B2009" s="30" t="inlineStr">
        <is>
          <t>Porto Real</t>
        </is>
      </c>
      <c r="C2009" s="30" t="n">
        <v>78290188</v>
      </c>
      <c r="D2009" s="30">
        <f>"01009876000242"</f>
        <v/>
      </c>
      <c r="E2009" s="30" t="inlineStr">
        <is>
          <t>FALKLAND TECNOLOGIA EM TELECOMUNICACOES S/A</t>
        </is>
      </c>
      <c r="F2009" s="40" t="n">
        <v>5486.94</v>
      </c>
      <c r="G2009" s="40" t="n">
        <v>6560.7</v>
      </c>
      <c r="H2009" s="40" t="n">
        <v>806.22</v>
      </c>
      <c r="I2009" s="40" t="n">
        <v>0</v>
      </c>
      <c r="J2009" s="40" t="n">
        <v>0</v>
      </c>
      <c r="K2009" s="40" t="n">
        <v>0</v>
      </c>
      <c r="L2009" s="40" t="n">
        <v>0</v>
      </c>
    </row>
    <row r="2010" ht="12" customHeight="1">
      <c r="A2010" s="30" t="inlineStr">
        <is>
          <t>POR</t>
        </is>
      </c>
      <c r="B2010" s="30" t="inlineStr">
        <is>
          <t>Porto Real</t>
        </is>
      </c>
      <c r="C2010" s="30" t="n">
        <v>78336820</v>
      </c>
      <c r="D2010" s="30">
        <f>"08964218000178"</f>
        <v/>
      </c>
      <c r="E2010" s="30" t="inlineStr">
        <is>
          <t>J S FERREIRA FRIGORIFICO LTDA</t>
        </is>
      </c>
      <c r="F2010" s="40" t="n">
        <v>0</v>
      </c>
      <c r="G2010" s="40" t="n">
        <v>0</v>
      </c>
      <c r="H2010" s="40" t="n">
        <v>55158.4</v>
      </c>
      <c r="I2010" s="40" t="n">
        <v>36784.32</v>
      </c>
      <c r="J2010" s="40" t="n">
        <v>93168.32000000001</v>
      </c>
      <c r="K2010" s="40" t="n">
        <v>0</v>
      </c>
      <c r="L2010" s="40" t="n">
        <v>64638</v>
      </c>
    </row>
    <row r="2011" ht="12" customHeight="1">
      <c r="A2011" s="30" t="inlineStr">
        <is>
          <t>POR</t>
        </is>
      </c>
      <c r="B2011" s="30" t="inlineStr">
        <is>
          <t>Porto Real</t>
        </is>
      </c>
      <c r="C2011" s="30" t="n">
        <v>78344261</v>
      </c>
      <c r="D2011" s="30">
        <f>"08165642000233"</f>
        <v/>
      </c>
      <c r="E2011" s="30" t="inlineStr">
        <is>
          <t>GAT LOGISTICAS LTDA</t>
        </is>
      </c>
      <c r="F2011" s="40" t="n">
        <v>5992.34</v>
      </c>
      <c r="G2011" s="40" t="n">
        <v>0</v>
      </c>
      <c r="H2011" s="40" t="n">
        <v>305.27</v>
      </c>
      <c r="I2011" s="40" t="n">
        <v>0</v>
      </c>
      <c r="J2011" s="40" t="n">
        <v>0</v>
      </c>
      <c r="K2011" s="40" t="n">
        <v>2104.85</v>
      </c>
      <c r="L2011" s="40" t="n">
        <v>1454.02</v>
      </c>
    </row>
    <row r="2012" ht="12" customHeight="1">
      <c r="A2012" s="30" t="inlineStr">
        <is>
          <t>POR</t>
        </is>
      </c>
      <c r="B2012" s="30" t="inlineStr">
        <is>
          <t>Porto Real</t>
        </is>
      </c>
      <c r="C2012" s="30" t="n">
        <v>78349433</v>
      </c>
      <c r="D2012" s="30">
        <f>"06012414000206"</f>
        <v/>
      </c>
      <c r="E2012" s="30" t="inlineStr">
        <is>
          <t>POSTO SOL DA DUTRA LTDA</t>
        </is>
      </c>
      <c r="F2012" s="40" t="n">
        <v>3989555.3</v>
      </c>
      <c r="G2012" s="40" t="n">
        <v>2754070.81</v>
      </c>
      <c r="H2012" s="40" t="n">
        <v>2531898.15</v>
      </c>
      <c r="I2012" s="40" t="n">
        <v>0</v>
      </c>
      <c r="J2012" s="40" t="n">
        <v>2571659.72</v>
      </c>
      <c r="K2012" s="40" t="n">
        <v>3419772.65</v>
      </c>
      <c r="L2012" s="40" t="n">
        <v>0</v>
      </c>
    </row>
    <row r="2013" ht="12" customHeight="1">
      <c r="A2013" s="30" t="inlineStr">
        <is>
          <t>POR</t>
        </is>
      </c>
      <c r="B2013" s="30" t="inlineStr">
        <is>
          <t>Porto Real</t>
        </is>
      </c>
      <c r="C2013" s="30" t="n">
        <v>78351764</v>
      </c>
      <c r="D2013" s="30">
        <f>"09036926000101"</f>
        <v/>
      </c>
      <c r="E2013" s="30" t="inlineStr">
        <is>
          <t>RESTAURANTE PIEMONTE DE PORTO REAL LTDA</t>
        </is>
      </c>
      <c r="F2013" s="40" t="n">
        <v>3235392.03</v>
      </c>
      <c r="G2013" s="40" t="n">
        <v>3330026.63</v>
      </c>
      <c r="H2013" s="40" t="n">
        <v>3274044.07</v>
      </c>
      <c r="I2013" s="40" t="n">
        <v>1558854.4</v>
      </c>
      <c r="J2013" s="40" t="n">
        <v>1653069.36</v>
      </c>
      <c r="K2013" s="40" t="n">
        <v>2316054.22</v>
      </c>
      <c r="L2013" s="40" t="n">
        <v>1812172.69</v>
      </c>
    </row>
    <row r="2014" ht="12" customHeight="1">
      <c r="A2014" s="30" t="inlineStr">
        <is>
          <t>POR</t>
        </is>
      </c>
      <c r="B2014" s="30" t="inlineStr">
        <is>
          <t>Porto Real</t>
        </is>
      </c>
      <c r="C2014" s="30" t="n">
        <v>78361336</v>
      </c>
      <c r="D2014" s="30">
        <f>"08860184000414"</f>
        <v/>
      </c>
      <c r="E2014" s="30" t="inlineStr">
        <is>
          <t>AGUIA BRANCA ENCOMENDAS</t>
        </is>
      </c>
      <c r="F2014" s="40" t="n">
        <v>0</v>
      </c>
      <c r="G2014" s="40" t="n">
        <v>401.33</v>
      </c>
      <c r="H2014" s="40" t="n">
        <v>798.27</v>
      </c>
      <c r="I2014" s="40" t="n">
        <v>0</v>
      </c>
      <c r="J2014" s="40" t="n">
        <v>0</v>
      </c>
      <c r="K2014" s="40" t="n">
        <v>0</v>
      </c>
      <c r="L2014" s="40" t="n">
        <v>0</v>
      </c>
    </row>
    <row r="2015" ht="12" customHeight="1">
      <c r="A2015" s="30" t="inlineStr">
        <is>
          <t>POR</t>
        </is>
      </c>
      <c r="B2015" s="30" t="inlineStr">
        <is>
          <t>Porto Real</t>
        </is>
      </c>
      <c r="C2015" s="30" t="n">
        <v>78373571</v>
      </c>
      <c r="D2015" s="30">
        <f>"09059609000100"</f>
        <v/>
      </c>
      <c r="E2015" s="30" t="inlineStr">
        <is>
          <t>MM TRANSPORTES LOGISTICA E ARMAZENS LTDA ME</t>
        </is>
      </c>
      <c r="F2015" s="40" t="n">
        <v>0</v>
      </c>
      <c r="G2015" s="40" t="n">
        <v>0</v>
      </c>
      <c r="H2015" s="40" t="n">
        <v>0</v>
      </c>
      <c r="I2015" s="40" t="n">
        <v>0</v>
      </c>
      <c r="J2015" s="40" t="n">
        <v>0</v>
      </c>
      <c r="K2015" s="40" t="n">
        <v>0</v>
      </c>
      <c r="L2015" s="40" t="n">
        <v>5493.07</v>
      </c>
    </row>
    <row r="2016" ht="12" customHeight="1">
      <c r="A2016" s="30" t="inlineStr">
        <is>
          <t>POR</t>
        </is>
      </c>
      <c r="B2016" s="30" t="inlineStr">
        <is>
          <t>Porto Real</t>
        </is>
      </c>
      <c r="C2016" s="30" t="n">
        <v>78387548</v>
      </c>
      <c r="D2016" s="30">
        <f>"09132659000176"</f>
        <v/>
      </c>
      <c r="E2016" s="30" t="inlineStr">
        <is>
          <t>EMBRATEL TVSAT TELECOMUNICACOES S A</t>
        </is>
      </c>
      <c r="F2016" s="40" t="n">
        <v>149201.92</v>
      </c>
      <c r="G2016" s="40" t="n">
        <v>116814.66</v>
      </c>
      <c r="H2016" s="40" t="n">
        <v>106051.46</v>
      </c>
      <c r="I2016" s="40" t="n">
        <v>76881.87</v>
      </c>
      <c r="J2016" s="40" t="n">
        <v>60731.25</v>
      </c>
      <c r="K2016" s="40" t="n">
        <v>48834.28</v>
      </c>
      <c r="L2016" s="40" t="n">
        <v>39931.38</v>
      </c>
    </row>
    <row r="2017" ht="12" customHeight="1">
      <c r="A2017" s="30" t="inlineStr">
        <is>
          <t>POR</t>
        </is>
      </c>
      <c r="B2017" s="30" t="inlineStr">
        <is>
          <t>Porto Real</t>
        </is>
      </c>
      <c r="C2017" s="30" t="n">
        <v>78402687</v>
      </c>
      <c r="D2017" s="30">
        <f>"04884082000640"</f>
        <v/>
      </c>
      <c r="E2017" s="30" t="inlineStr">
        <is>
          <t>JADLOG LOGISTICA S.A.</t>
        </is>
      </c>
      <c r="F2017" s="40" t="n">
        <v>0</v>
      </c>
      <c r="G2017" s="40" t="n">
        <v>41771.52</v>
      </c>
      <c r="H2017" s="40" t="n">
        <v>48302.97</v>
      </c>
      <c r="I2017" s="40" t="n">
        <v>0</v>
      </c>
      <c r="J2017" s="40" t="n">
        <v>0</v>
      </c>
      <c r="K2017" s="40" t="n">
        <v>1601.02</v>
      </c>
      <c r="L2017" s="40" t="n">
        <v>761.8200000000001</v>
      </c>
    </row>
    <row r="2018" ht="12" customHeight="1">
      <c r="A2018" s="30" t="inlineStr">
        <is>
          <t>POR</t>
        </is>
      </c>
      <c r="B2018" s="30" t="inlineStr">
        <is>
          <t>Porto Real</t>
        </is>
      </c>
      <c r="C2018" s="30" t="n">
        <v>78419709</v>
      </c>
      <c r="D2018" s="30">
        <f>"09229680000194"</f>
        <v/>
      </c>
      <c r="E2018" s="30" t="inlineStr">
        <is>
          <t>MONTEIRO &amp; NASCIMENTO TRANSPORTADORA LTDA EPP</t>
        </is>
      </c>
      <c r="F2018" s="40" t="n">
        <v>0</v>
      </c>
      <c r="G2018" s="40" t="n">
        <v>0</v>
      </c>
      <c r="H2018" s="40" t="n">
        <v>901.45</v>
      </c>
      <c r="I2018" s="40" t="n">
        <v>801.29</v>
      </c>
      <c r="J2018" s="40" t="n">
        <v>0</v>
      </c>
      <c r="K2018" s="40" t="n">
        <v>0</v>
      </c>
      <c r="L2018" s="40" t="n">
        <v>0</v>
      </c>
    </row>
    <row r="2019" ht="12" customHeight="1">
      <c r="A2019" s="30" t="inlineStr">
        <is>
          <t>POR</t>
        </is>
      </c>
      <c r="B2019" s="30" t="inlineStr">
        <is>
          <t>Porto Real</t>
        </is>
      </c>
      <c r="C2019" s="30" t="n">
        <v>78489995</v>
      </c>
      <c r="D2019" s="30">
        <f>"21570775000334"</f>
        <v/>
      </c>
      <c r="E2019" s="30" t="inlineStr">
        <is>
          <t>PICORELLI S/A TRANSPORTES</t>
        </is>
      </c>
      <c r="F2019" s="40" t="n">
        <v>0</v>
      </c>
      <c r="G2019" s="40" t="n">
        <v>0</v>
      </c>
      <c r="H2019" s="40" t="n">
        <v>0</v>
      </c>
      <c r="I2019" s="40" t="n">
        <v>0</v>
      </c>
      <c r="J2019" s="40" t="n">
        <v>0</v>
      </c>
      <c r="K2019" s="40" t="n">
        <v>2135.46</v>
      </c>
      <c r="L2019" s="40" t="n">
        <v>0</v>
      </c>
    </row>
    <row r="2020" ht="12" customHeight="1">
      <c r="A2020" s="30" t="inlineStr">
        <is>
          <t>POR</t>
        </is>
      </c>
      <c r="B2020" s="30" t="inlineStr">
        <is>
          <t>Porto Real</t>
        </is>
      </c>
      <c r="C2020" s="30" t="n">
        <v>78494506</v>
      </c>
      <c r="D2020" s="30">
        <f>"00634453000846"</f>
        <v/>
      </c>
      <c r="E2020" s="30" t="inlineStr">
        <is>
          <t>T S V TRANSPORTES RAPIDOS LTDA</t>
        </is>
      </c>
      <c r="F2020" s="40" t="n">
        <v>5616.24</v>
      </c>
      <c r="G2020" s="40" t="n">
        <v>802.74</v>
      </c>
      <c r="H2020" s="40" t="n">
        <v>2454.22</v>
      </c>
      <c r="I2020" s="40" t="n">
        <v>198.65</v>
      </c>
      <c r="J2020" s="40" t="n">
        <v>0</v>
      </c>
      <c r="K2020" s="40" t="n">
        <v>112.86</v>
      </c>
      <c r="L2020" s="40" t="n">
        <v>466.17</v>
      </c>
    </row>
    <row r="2021" ht="12" customHeight="1">
      <c r="A2021" s="30" t="inlineStr">
        <is>
          <t>POR</t>
        </is>
      </c>
      <c r="B2021" s="30" t="inlineStr">
        <is>
          <t>Porto Real</t>
        </is>
      </c>
      <c r="C2021" s="30" t="n">
        <v>78498560</v>
      </c>
      <c r="D2021" s="30">
        <f>"01107327000553"</f>
        <v/>
      </c>
      <c r="E2021" s="30" t="inlineStr">
        <is>
          <t>BBM LOGISTICA SA</t>
        </is>
      </c>
      <c r="F2021" s="40" t="n">
        <v>0</v>
      </c>
      <c r="G2021" s="40" t="n">
        <v>0</v>
      </c>
      <c r="H2021" s="40" t="n">
        <v>0</v>
      </c>
      <c r="I2021" s="40" t="n">
        <v>2697.07</v>
      </c>
      <c r="J2021" s="40" t="n">
        <v>53572.02</v>
      </c>
      <c r="K2021" s="40" t="n">
        <v>1514.77</v>
      </c>
      <c r="L2021" s="40" t="n">
        <v>0</v>
      </c>
    </row>
    <row r="2022" ht="12" customHeight="1">
      <c r="A2022" s="30" t="inlineStr">
        <is>
          <t>POR</t>
        </is>
      </c>
      <c r="B2022" s="30" t="inlineStr">
        <is>
          <t>Porto Real</t>
        </is>
      </c>
      <c r="C2022" s="30" t="n">
        <v>78498854</v>
      </c>
      <c r="D2022" s="30">
        <f>"61288940004533"</f>
        <v/>
      </c>
      <c r="E2022" s="30" t="inlineStr">
        <is>
          <t>GAFOR LTDA</t>
        </is>
      </c>
      <c r="F2022" s="40" t="n">
        <v>559.97</v>
      </c>
      <c r="G2022" s="40" t="n">
        <v>0</v>
      </c>
      <c r="H2022" s="40" t="n">
        <v>0</v>
      </c>
      <c r="I2022" s="40" t="n">
        <v>0</v>
      </c>
      <c r="J2022" s="40" t="n">
        <v>0</v>
      </c>
      <c r="K2022" s="40" t="n">
        <v>0</v>
      </c>
      <c r="L2022" s="40" t="n">
        <v>0</v>
      </c>
    </row>
    <row r="2023" ht="12" customHeight="1">
      <c r="A2023" s="30" t="inlineStr">
        <is>
          <t>POR</t>
        </is>
      </c>
      <c r="B2023" s="30" t="inlineStr">
        <is>
          <t>Porto Real</t>
        </is>
      </c>
      <c r="C2023" s="30" t="n">
        <v>78528460</v>
      </c>
      <c r="D2023" s="30">
        <f>"09459471000137"</f>
        <v/>
      </c>
      <c r="E2023" s="30" t="inlineStr">
        <is>
          <t>PROJECT 2008 PROJETOS E CONSULTORIA LTDA</t>
        </is>
      </c>
      <c r="F2023" s="40" t="n">
        <v>0</v>
      </c>
      <c r="G2023" s="40" t="n">
        <v>0</v>
      </c>
      <c r="H2023" s="40" t="n">
        <v>0</v>
      </c>
      <c r="I2023" s="40" t="n">
        <v>0</v>
      </c>
      <c r="J2023" s="40" t="n">
        <v>0</v>
      </c>
      <c r="K2023" s="40" t="n">
        <v>0</v>
      </c>
      <c r="L2023" s="40" t="n">
        <v>0</v>
      </c>
    </row>
    <row r="2024" ht="12" customHeight="1">
      <c r="A2024" s="30" t="inlineStr">
        <is>
          <t>POR</t>
        </is>
      </c>
      <c r="B2024" s="30" t="inlineStr">
        <is>
          <t>Porto Real</t>
        </is>
      </c>
      <c r="C2024" s="30" t="n">
        <v>78536870</v>
      </c>
      <c r="D2024" s="30">
        <f>"08875763000350"</f>
        <v/>
      </c>
      <c r="E2024" s="30" t="inlineStr">
        <is>
          <t>AUTOLOG TRANSPORTES LOGISTICA E ARMAZENAGEM EIRELI</t>
        </is>
      </c>
      <c r="F2024" s="40" t="n">
        <v>0</v>
      </c>
      <c r="G2024" s="40" t="n">
        <v>0</v>
      </c>
      <c r="H2024" s="40" t="n">
        <v>15774.38</v>
      </c>
      <c r="I2024" s="40" t="n">
        <v>0</v>
      </c>
      <c r="J2024" s="40" t="n">
        <v>0</v>
      </c>
      <c r="K2024" s="40" t="n">
        <v>0</v>
      </c>
      <c r="L2024" s="40" t="n">
        <v>0</v>
      </c>
    </row>
    <row r="2025" ht="12" customHeight="1">
      <c r="A2025" s="30" t="inlineStr">
        <is>
          <t>POR</t>
        </is>
      </c>
      <c r="B2025" s="30" t="inlineStr">
        <is>
          <t>Porto Real</t>
        </is>
      </c>
      <c r="C2025" s="30" t="n">
        <v>78558652</v>
      </c>
      <c r="D2025" s="30">
        <f>"48539407003133"</f>
        <v/>
      </c>
      <c r="E2025" s="30" t="inlineStr">
        <is>
          <t>BASF SA</t>
        </is>
      </c>
      <c r="F2025" s="40" t="n">
        <v>8999064.039999999</v>
      </c>
      <c r="G2025" s="40" t="n">
        <v>5908727.35</v>
      </c>
      <c r="H2025" s="40" t="n">
        <v>4275449.25</v>
      </c>
      <c r="I2025" s="40" t="n">
        <v>5380099.37</v>
      </c>
      <c r="J2025" s="40" t="n">
        <v>10515394.3</v>
      </c>
      <c r="K2025" s="40" t="n">
        <v>12619159.1</v>
      </c>
      <c r="L2025" s="40" t="n">
        <v>15117910.94</v>
      </c>
    </row>
    <row r="2026" ht="12" customHeight="1">
      <c r="A2026" s="30" t="inlineStr">
        <is>
          <t>POR</t>
        </is>
      </c>
      <c r="B2026" s="30" t="inlineStr">
        <is>
          <t>Porto Real</t>
        </is>
      </c>
      <c r="C2026" s="30" t="n">
        <v>78569751</v>
      </c>
      <c r="D2026" s="30">
        <f>"10213625000195"</f>
        <v/>
      </c>
      <c r="E2026" s="30" t="inlineStr">
        <is>
          <t>COZINHA INDUSTRIAL FAZBEM LTDA ME</t>
        </is>
      </c>
      <c r="F2026" s="40" t="n">
        <v>0</v>
      </c>
      <c r="G2026" s="40" t="n">
        <v>0</v>
      </c>
      <c r="H2026" s="40" t="n">
        <v>0</v>
      </c>
      <c r="I2026" s="40" t="n">
        <v>0</v>
      </c>
      <c r="J2026" s="40" t="n">
        <v>0</v>
      </c>
      <c r="K2026" s="40" t="n">
        <v>0</v>
      </c>
      <c r="L2026" s="40" t="n">
        <v>0</v>
      </c>
    </row>
    <row r="2027" ht="12" customHeight="1">
      <c r="A2027" s="30" t="inlineStr">
        <is>
          <t>POR</t>
        </is>
      </c>
      <c r="B2027" s="30" t="inlineStr">
        <is>
          <t>Porto Real</t>
        </is>
      </c>
      <c r="C2027" s="30" t="n">
        <v>78579242</v>
      </c>
      <c r="D2027" s="30">
        <f>"19199348000269"</f>
        <v/>
      </c>
      <c r="E2027" s="30" t="inlineStr">
        <is>
          <t>SADA TRANSPORTES E ARMAZENAGENS S/A</t>
        </is>
      </c>
      <c r="F2027" s="40" t="n">
        <v>2299.19</v>
      </c>
      <c r="G2027" s="40" t="n">
        <v>4104.1</v>
      </c>
      <c r="H2027" s="40" t="n">
        <v>0</v>
      </c>
      <c r="I2027" s="40" t="n">
        <v>0</v>
      </c>
      <c r="J2027" s="40" t="n">
        <v>0</v>
      </c>
      <c r="K2027" s="40" t="n">
        <v>0</v>
      </c>
      <c r="L2027" s="40" t="n">
        <v>0</v>
      </c>
    </row>
    <row r="2028" ht="12" customHeight="1">
      <c r="A2028" s="30" t="inlineStr">
        <is>
          <t>POR</t>
        </is>
      </c>
      <c r="B2028" s="30" t="inlineStr">
        <is>
          <t>Porto Real</t>
        </is>
      </c>
      <c r="C2028" s="30" t="n">
        <v>78632020</v>
      </c>
      <c r="D2028" s="30">
        <f>"02696800000629"</f>
        <v/>
      </c>
      <c r="E2028" s="30" t="inlineStr">
        <is>
          <t>KENNAMETAL DO BRASIL LTDA</t>
        </is>
      </c>
      <c r="F2028" s="40" t="n">
        <v>459758.26</v>
      </c>
      <c r="G2028" s="40" t="n">
        <v>0</v>
      </c>
      <c r="H2028" s="40" t="n">
        <v>0</v>
      </c>
      <c r="I2028" s="40" t="n">
        <v>0</v>
      </c>
      <c r="J2028" s="40" t="n">
        <v>0</v>
      </c>
      <c r="K2028" s="40" t="n">
        <v>0</v>
      </c>
      <c r="L2028" s="40" t="n">
        <v>0</v>
      </c>
    </row>
    <row r="2029" ht="12" customHeight="1">
      <c r="A2029" s="30" t="inlineStr">
        <is>
          <t>POR</t>
        </is>
      </c>
      <c r="B2029" s="30" t="inlineStr">
        <is>
          <t>Porto Real</t>
        </is>
      </c>
      <c r="C2029" s="30" t="n">
        <v>78658177</v>
      </c>
      <c r="D2029" s="30">
        <f>"55064562001839"</f>
        <v/>
      </c>
      <c r="E2029" s="30" t="inlineStr">
        <is>
          <t>MAQUINAS AGRICOLAS JACTO S A</t>
        </is>
      </c>
      <c r="F2029" s="40" t="n">
        <v>7024163.02</v>
      </c>
      <c r="G2029" s="40" t="n">
        <v>9094573.550000001</v>
      </c>
      <c r="H2029" s="40" t="n">
        <v>13117246.44</v>
      </c>
      <c r="I2029" s="40" t="n">
        <v>6891266.36</v>
      </c>
      <c r="J2029" s="40" t="n">
        <v>10987072.29</v>
      </c>
      <c r="K2029" s="40" t="n">
        <v>10717395.18</v>
      </c>
      <c r="L2029" s="40" t="n">
        <v>4220275.5</v>
      </c>
    </row>
    <row r="2030" ht="12" customHeight="1">
      <c r="A2030" s="30" t="inlineStr">
        <is>
          <t>POR</t>
        </is>
      </c>
      <c r="B2030" s="30" t="inlineStr">
        <is>
          <t>Porto Real</t>
        </is>
      </c>
      <c r="C2030" s="30" t="n">
        <v>78659998</v>
      </c>
      <c r="D2030" s="30">
        <f>"59335976000753"</f>
        <v/>
      </c>
      <c r="E2030" s="30" t="inlineStr">
        <is>
          <t>PRIMESYS SOLUCOES EMPRESARIAIS S A</t>
        </is>
      </c>
      <c r="F2030" s="40" t="n">
        <v>322227.9</v>
      </c>
      <c r="G2030" s="40" t="n">
        <v>282058.1</v>
      </c>
      <c r="H2030" s="40" t="n">
        <v>0</v>
      </c>
      <c r="I2030" s="40" t="n">
        <v>0</v>
      </c>
      <c r="J2030" s="40" t="n">
        <v>0</v>
      </c>
      <c r="K2030" s="40" t="n">
        <v>0</v>
      </c>
      <c r="L2030" s="40" t="n">
        <v>0</v>
      </c>
    </row>
    <row r="2031" ht="12" customHeight="1">
      <c r="A2031" s="30" t="inlineStr">
        <is>
          <t>POR</t>
        </is>
      </c>
      <c r="B2031" s="30" t="inlineStr">
        <is>
          <t>Porto Real</t>
        </is>
      </c>
      <c r="C2031" s="30" t="n">
        <v>78676850</v>
      </c>
      <c r="D2031" s="30">
        <f>"09296295000321"</f>
        <v/>
      </c>
      <c r="E2031" s="30" t="inlineStr">
        <is>
          <t>AZUL LINHAS AEREAS BRASILEIRAS S A</t>
        </is>
      </c>
      <c r="F2031" s="40" t="n">
        <v>221.13</v>
      </c>
      <c r="G2031" s="40" t="n">
        <v>801.59</v>
      </c>
      <c r="H2031" s="40" t="n">
        <v>0</v>
      </c>
      <c r="I2031" s="40" t="n">
        <v>0</v>
      </c>
      <c r="J2031" s="40" t="n">
        <v>0</v>
      </c>
      <c r="K2031" s="40" t="n">
        <v>0</v>
      </c>
      <c r="L2031" s="40" t="n">
        <v>0</v>
      </c>
    </row>
    <row r="2032" ht="12" customHeight="1">
      <c r="A2032" s="30" t="inlineStr">
        <is>
          <t>POR</t>
        </is>
      </c>
      <c r="B2032" s="30" t="inlineStr">
        <is>
          <t>Porto Real</t>
        </is>
      </c>
      <c r="C2032" s="30" t="n">
        <v>78708751</v>
      </c>
      <c r="D2032" s="30">
        <f>"09306245000116"</f>
        <v/>
      </c>
      <c r="E2032" s="30" t="inlineStr">
        <is>
          <t>PORTO REAL INDUSTRIA DE MAQUINAS E EQUIPAMENTOS LTDA</t>
        </is>
      </c>
      <c r="F2032" s="40" t="n">
        <v>0</v>
      </c>
      <c r="G2032" s="40" t="n">
        <v>0</v>
      </c>
      <c r="H2032" s="40" t="n">
        <v>0</v>
      </c>
      <c r="I2032" s="40" t="n">
        <v>8084.13</v>
      </c>
      <c r="J2032" s="40" t="n">
        <v>54294.15</v>
      </c>
      <c r="K2032" s="40" t="n">
        <v>162403.33</v>
      </c>
      <c r="L2032" s="40" t="n">
        <v>28556.72</v>
      </c>
    </row>
    <row r="2033" ht="12" customHeight="1">
      <c r="A2033" s="30" t="inlineStr">
        <is>
          <t>POR</t>
        </is>
      </c>
      <c r="B2033" s="30" t="inlineStr">
        <is>
          <t>Porto Real</t>
        </is>
      </c>
      <c r="C2033" s="30" t="n">
        <v>78718021</v>
      </c>
      <c r="D2033" s="30">
        <f>"74155052000416"</f>
        <v/>
      </c>
      <c r="E2033" s="30" t="inlineStr">
        <is>
          <t>UPS DO BRASIL REMESSAS EXPRESSAS LTDA</t>
        </is>
      </c>
      <c r="F2033" s="40" t="n">
        <v>0</v>
      </c>
      <c r="G2033" s="40" t="n">
        <v>0</v>
      </c>
      <c r="H2033" s="40" t="n">
        <v>138.91</v>
      </c>
      <c r="I2033" s="40" t="n">
        <v>834.16</v>
      </c>
      <c r="J2033" s="40" t="n">
        <v>701.35</v>
      </c>
      <c r="K2033" s="40" t="n">
        <v>803.22</v>
      </c>
      <c r="L2033" s="40" t="n">
        <v>879.86</v>
      </c>
    </row>
    <row r="2034" ht="12" customHeight="1">
      <c r="A2034" s="30" t="inlineStr">
        <is>
          <t>POR</t>
        </is>
      </c>
      <c r="B2034" s="30" t="inlineStr">
        <is>
          <t>Porto Real</t>
        </is>
      </c>
      <c r="C2034" s="30" t="n">
        <v>78724226</v>
      </c>
      <c r="D2034" s="30">
        <f>"09452900000306"</f>
        <v/>
      </c>
      <c r="E2034" s="30" t="inlineStr">
        <is>
          <t>VIX TRANSPORTES DEDICADOS LTDA</t>
        </is>
      </c>
      <c r="F2034" s="40" t="n">
        <v>0</v>
      </c>
      <c r="G2034" s="40" t="n">
        <v>0</v>
      </c>
      <c r="H2034" s="40" t="n">
        <v>0</v>
      </c>
      <c r="I2034" s="40" t="n">
        <v>0</v>
      </c>
      <c r="J2034" s="40" t="n">
        <v>0</v>
      </c>
      <c r="K2034" s="40" t="n">
        <v>20306.22</v>
      </c>
      <c r="L2034" s="40" t="n">
        <v>0</v>
      </c>
    </row>
    <row r="2035" ht="12" customHeight="1">
      <c r="A2035" s="30" t="inlineStr">
        <is>
          <t>POR</t>
        </is>
      </c>
      <c r="B2035" s="30" t="inlineStr">
        <is>
          <t>Porto Real</t>
        </is>
      </c>
      <c r="C2035" s="30" t="n">
        <v>78728051</v>
      </c>
      <c r="D2035" s="30">
        <f>"09598495000177"</f>
        <v/>
      </c>
      <c r="E2035" s="30" t="inlineStr">
        <is>
          <t>GRIFFE ANALISE TECNICA E MANUTENCAO AUTOMOTIVA LTDA ME</t>
        </is>
      </c>
      <c r="F2035" s="40" t="n">
        <v>0</v>
      </c>
      <c r="G2035" s="40" t="n">
        <v>0</v>
      </c>
      <c r="H2035" s="40" t="n">
        <v>0</v>
      </c>
      <c r="I2035" s="40" t="n">
        <v>0</v>
      </c>
      <c r="J2035" s="40" t="n">
        <v>0</v>
      </c>
      <c r="K2035" s="40" t="n">
        <v>0</v>
      </c>
      <c r="L2035" s="40" t="n">
        <v>0</v>
      </c>
    </row>
    <row r="2036" ht="12" customHeight="1">
      <c r="A2036" s="30" t="inlineStr">
        <is>
          <t>POR</t>
        </is>
      </c>
      <c r="B2036" s="30" t="inlineStr">
        <is>
          <t>Porto Real</t>
        </is>
      </c>
      <c r="C2036" s="30" t="n">
        <v>78731451</v>
      </c>
      <c r="D2036" s="30">
        <f>"07360468000217"</f>
        <v/>
      </c>
      <c r="E2036" s="30" t="inlineStr">
        <is>
          <t>MTR LOGISTICA LTDA</t>
        </is>
      </c>
      <c r="F2036" s="40" t="n">
        <v>25.45</v>
      </c>
      <c r="G2036" s="40" t="n">
        <v>0</v>
      </c>
      <c r="H2036" s="40" t="n">
        <v>0</v>
      </c>
      <c r="I2036" s="40" t="n">
        <v>0</v>
      </c>
      <c r="J2036" s="40" t="n">
        <v>0</v>
      </c>
      <c r="K2036" s="40" t="n">
        <v>0</v>
      </c>
      <c r="L2036" s="40" t="n">
        <v>0</v>
      </c>
    </row>
    <row r="2037" ht="12" customHeight="1">
      <c r="A2037" s="30" t="inlineStr">
        <is>
          <t>POR</t>
        </is>
      </c>
      <c r="B2037" s="30" t="inlineStr">
        <is>
          <t>Porto Real</t>
        </is>
      </c>
      <c r="C2037" s="30" t="n">
        <v>78738707</v>
      </c>
      <c r="D2037" s="30">
        <f>"10774640000102"</f>
        <v/>
      </c>
      <c r="E2037" s="30" t="inlineStr">
        <is>
          <t>GULI PIONEIRO COMERCIO DE PRODUTOS ALIMENTICIOS LTDA ME</t>
        </is>
      </c>
      <c r="F2037" s="40" t="n">
        <v>2479639.44</v>
      </c>
      <c r="G2037" s="40" t="n">
        <v>5002826</v>
      </c>
      <c r="H2037" s="40" t="n">
        <v>5978500.94</v>
      </c>
      <c r="I2037" s="40" t="n">
        <v>5497281.23</v>
      </c>
      <c r="J2037" s="40" t="n">
        <v>3835160.41</v>
      </c>
      <c r="K2037" s="40" t="n">
        <v>4380705.09</v>
      </c>
      <c r="L2037" s="40" t="n">
        <v>529299.16</v>
      </c>
    </row>
    <row r="2038" ht="12" customHeight="1">
      <c r="A2038" s="30" t="inlineStr">
        <is>
          <t>POR</t>
        </is>
      </c>
      <c r="B2038" s="30" t="inlineStr">
        <is>
          <t>Porto Real</t>
        </is>
      </c>
      <c r="C2038" s="30" t="n">
        <v>78760702</v>
      </c>
      <c r="D2038" s="30">
        <f>"10865695000128"</f>
        <v/>
      </c>
      <c r="E2038" s="30" t="inlineStr">
        <is>
          <t>RESTAURANTE CELEIRO DE PORTO REAL LTDA</t>
        </is>
      </c>
      <c r="F2038" s="40" t="n">
        <v>0</v>
      </c>
      <c r="G2038" s="40" t="n">
        <v>0</v>
      </c>
      <c r="H2038" s="40" t="n">
        <v>0</v>
      </c>
      <c r="I2038" s="40" t="n">
        <v>0</v>
      </c>
      <c r="J2038" s="40" t="n">
        <v>0</v>
      </c>
      <c r="K2038" s="40" t="n">
        <v>0</v>
      </c>
      <c r="L2038" s="40" t="n">
        <v>0</v>
      </c>
    </row>
    <row r="2039" ht="12" customHeight="1">
      <c r="A2039" s="30" t="inlineStr">
        <is>
          <t>POR</t>
        </is>
      </c>
      <c r="B2039" s="30" t="inlineStr">
        <is>
          <t>Porto Real</t>
        </is>
      </c>
      <c r="C2039" s="30" t="n">
        <v>78764945</v>
      </c>
      <c r="D2039" s="30">
        <f>"07408046000355"</f>
        <v/>
      </c>
      <c r="E2039" s="30" t="inlineStr">
        <is>
          <t>LUBRAQUIM INDUSTRIA E COMERCIO DE LUBRIFICANTES LTDA - EM RECUPERAÇÃO JUDICIAL</t>
        </is>
      </c>
      <c r="F2039" s="40" t="n">
        <v>0</v>
      </c>
      <c r="G2039" s="40" t="n">
        <v>0</v>
      </c>
      <c r="H2039" s="40" t="n">
        <v>0</v>
      </c>
      <c r="I2039" s="40" t="n">
        <v>0</v>
      </c>
      <c r="J2039" s="40" t="n">
        <v>0</v>
      </c>
      <c r="K2039" s="40" t="n">
        <v>5784436.3</v>
      </c>
      <c r="L2039" s="40" t="n">
        <v>0</v>
      </c>
    </row>
    <row r="2040" ht="12" customHeight="1">
      <c r="A2040" s="30" t="inlineStr">
        <is>
          <t>POR</t>
        </is>
      </c>
      <c r="B2040" s="30" t="inlineStr">
        <is>
          <t>Porto Real</t>
        </is>
      </c>
      <c r="C2040" s="30" t="n">
        <v>78776323</v>
      </c>
      <c r="D2040" s="30">
        <f>"03098929000436"</f>
        <v/>
      </c>
      <c r="E2040" s="30" t="inlineStr">
        <is>
          <t>SETE LAGOAS TRANSPORTES LTDA ME</t>
        </is>
      </c>
      <c r="F2040" s="40" t="n">
        <v>0</v>
      </c>
      <c r="G2040" s="40" t="n">
        <v>0</v>
      </c>
      <c r="H2040" s="40" t="n">
        <v>6250.58</v>
      </c>
      <c r="I2040" s="40" t="n">
        <v>25723</v>
      </c>
      <c r="J2040" s="40" t="n">
        <v>4200</v>
      </c>
      <c r="K2040" s="40" t="n">
        <v>4000</v>
      </c>
      <c r="L2040" s="40" t="n">
        <v>0</v>
      </c>
    </row>
    <row r="2041" ht="12" customHeight="1">
      <c r="A2041" s="30" t="inlineStr">
        <is>
          <t>POR</t>
        </is>
      </c>
      <c r="B2041" s="30" t="inlineStr">
        <is>
          <t>Porto Real</t>
        </is>
      </c>
      <c r="C2041" s="30" t="n">
        <v>78795590</v>
      </c>
      <c r="D2041" s="30">
        <f>"55753578000534"</f>
        <v/>
      </c>
      <c r="E2041" s="30" t="inlineStr">
        <is>
          <t>ADEMIR COMERCIO DE VEICULOS E TRANSPORTADORA LTDA</t>
        </is>
      </c>
      <c r="F2041" s="40" t="n">
        <v>3171</v>
      </c>
      <c r="G2041" s="40" t="n">
        <v>0</v>
      </c>
      <c r="H2041" s="40" t="n">
        <v>96686.63</v>
      </c>
      <c r="I2041" s="40" t="n">
        <v>0</v>
      </c>
      <c r="J2041" s="40" t="n">
        <v>201637.49</v>
      </c>
      <c r="K2041" s="40" t="n">
        <v>798415.8100000001</v>
      </c>
      <c r="L2041" s="40" t="n">
        <v>920476.88</v>
      </c>
    </row>
    <row r="2042" ht="12" customHeight="1">
      <c r="A2042" s="30" t="inlineStr">
        <is>
          <t>POR</t>
        </is>
      </c>
      <c r="B2042" s="30" t="inlineStr">
        <is>
          <t>Porto Real</t>
        </is>
      </c>
      <c r="C2042" s="30" t="n">
        <v>78813261</v>
      </c>
      <c r="D2042" s="30">
        <f>"06238738000330"</f>
        <v/>
      </c>
      <c r="E2042" s="30" t="inlineStr">
        <is>
          <t>ACOLOG SERVICOS DE TRANSPORTE E LOGISTICA LTDA</t>
        </is>
      </c>
      <c r="F2042" s="40" t="n">
        <v>121586.2</v>
      </c>
      <c r="G2042" s="40" t="n">
        <v>610596.74</v>
      </c>
      <c r="H2042" s="40" t="n">
        <v>932494.1800000001</v>
      </c>
      <c r="I2042" s="40" t="n">
        <v>984551.3</v>
      </c>
      <c r="J2042" s="40" t="n">
        <v>1427809.02</v>
      </c>
      <c r="K2042" s="40" t="n">
        <v>1287067.17</v>
      </c>
      <c r="L2042" s="40" t="n">
        <v>1595324.26</v>
      </c>
    </row>
    <row r="2043" ht="12" customHeight="1">
      <c r="A2043" s="30" t="inlineStr">
        <is>
          <t>POR</t>
        </is>
      </c>
      <c r="B2043" s="30" t="inlineStr">
        <is>
          <t>Porto Real</t>
        </is>
      </c>
      <c r="C2043" s="30" t="n">
        <v>78815345</v>
      </c>
      <c r="D2043" s="30">
        <f>"10924680000193"</f>
        <v/>
      </c>
      <c r="E2043" s="30" t="inlineStr">
        <is>
          <t>JL TRANSPORTES DIESEL LTDA</t>
        </is>
      </c>
      <c r="F2043" s="40" t="n">
        <v>0</v>
      </c>
      <c r="G2043" s="40" t="n">
        <v>0</v>
      </c>
      <c r="H2043" s="40" t="n">
        <v>0</v>
      </c>
      <c r="I2043" s="40" t="n">
        <v>0</v>
      </c>
      <c r="J2043" s="40" t="n">
        <v>118338.87</v>
      </c>
      <c r="K2043" s="40" t="n">
        <v>0</v>
      </c>
      <c r="L2043" s="40" t="n">
        <v>0</v>
      </c>
    </row>
    <row r="2044" ht="12" customHeight="1">
      <c r="A2044" s="30" t="inlineStr">
        <is>
          <t>POR</t>
        </is>
      </c>
      <c r="B2044" s="30" t="inlineStr">
        <is>
          <t>Porto Real</t>
        </is>
      </c>
      <c r="C2044" s="30" t="n">
        <v>78839910</v>
      </c>
      <c r="D2044" s="30">
        <f>"04767210000160"</f>
        <v/>
      </c>
      <c r="E2044" s="30" t="inlineStr">
        <is>
          <t>TRANSPORTO TRANSPORTES LTDA</t>
        </is>
      </c>
      <c r="F2044" s="40" t="n">
        <v>0</v>
      </c>
      <c r="G2044" s="40" t="n">
        <v>0</v>
      </c>
      <c r="H2044" s="40" t="n">
        <v>0</v>
      </c>
      <c r="I2044" s="40" t="n">
        <v>0</v>
      </c>
      <c r="J2044" s="40" t="n">
        <v>0</v>
      </c>
      <c r="K2044" s="40" t="n">
        <v>0</v>
      </c>
      <c r="L2044" s="40" t="n">
        <v>0</v>
      </c>
    </row>
    <row r="2045" ht="12" customHeight="1">
      <c r="A2045" s="30" t="inlineStr">
        <is>
          <t>POR</t>
        </is>
      </c>
      <c r="B2045" s="30" t="inlineStr">
        <is>
          <t>Porto Real</t>
        </is>
      </c>
      <c r="C2045" s="30" t="n">
        <v>78845988</v>
      </c>
      <c r="D2045" s="30">
        <f>"48740351010390"</f>
        <v/>
      </c>
      <c r="E2045" s="30" t="inlineStr">
        <is>
          <t>BRASPRESS TRANSPORTES URGENTES LTDA</t>
        </is>
      </c>
      <c r="F2045" s="40" t="n">
        <v>114.3</v>
      </c>
      <c r="G2045" s="40" t="n">
        <v>0</v>
      </c>
      <c r="H2045" s="40" t="n">
        <v>0</v>
      </c>
      <c r="I2045" s="40" t="n">
        <v>113.28</v>
      </c>
      <c r="J2045" s="40" t="n">
        <v>547.53</v>
      </c>
      <c r="K2045" s="40" t="n">
        <v>0</v>
      </c>
      <c r="L2045" s="40" t="n">
        <v>0</v>
      </c>
    </row>
    <row r="2046" ht="12" customHeight="1">
      <c r="A2046" s="30" t="inlineStr">
        <is>
          <t>POR</t>
        </is>
      </c>
      <c r="B2046" s="30" t="inlineStr">
        <is>
          <t>Porto Real</t>
        </is>
      </c>
      <c r="C2046" s="30" t="n">
        <v>78891777</v>
      </c>
      <c r="D2046" s="30">
        <f>"09662364000292"</f>
        <v/>
      </c>
      <c r="E2046" s="30" t="inlineStr">
        <is>
          <t>RONIFARIA COMERCIO VAREJISTA DE GAS LIQUEFEITO DE PETROLEO GLP LTDA ME</t>
        </is>
      </c>
      <c r="F2046" s="40" t="n">
        <v>0</v>
      </c>
      <c r="G2046" s="40" t="n">
        <v>0</v>
      </c>
      <c r="H2046" s="40" t="n">
        <v>0</v>
      </c>
      <c r="I2046" s="40" t="n">
        <v>0</v>
      </c>
      <c r="J2046" s="40" t="n">
        <v>0</v>
      </c>
      <c r="K2046" s="40" t="n">
        <v>0</v>
      </c>
      <c r="L2046" s="40" t="n">
        <v>0</v>
      </c>
    </row>
    <row r="2047" ht="12" customHeight="1">
      <c r="A2047" s="30" t="inlineStr">
        <is>
          <t>POR</t>
        </is>
      </c>
      <c r="B2047" s="30" t="inlineStr">
        <is>
          <t>Porto Real</t>
        </is>
      </c>
      <c r="C2047" s="30" t="n">
        <v>78902086</v>
      </c>
      <c r="D2047" s="30">
        <f>"32492373004020"</f>
        <v/>
      </c>
      <c r="E2047" s="30" t="inlineStr">
        <is>
          <t>TRANSPORTE EXCELSIOR LTDA</t>
        </is>
      </c>
      <c r="F2047" s="40" t="n">
        <v>12263199.45</v>
      </c>
      <c r="G2047" s="40" t="n">
        <v>0</v>
      </c>
      <c r="H2047" s="40" t="n">
        <v>0</v>
      </c>
      <c r="I2047" s="40" t="n">
        <v>0</v>
      </c>
      <c r="J2047" s="40" t="n">
        <v>0</v>
      </c>
      <c r="K2047" s="40" t="n">
        <v>0</v>
      </c>
      <c r="L2047" s="40" t="n">
        <v>0</v>
      </c>
    </row>
    <row r="2048" ht="12" customHeight="1">
      <c r="A2048" s="30" t="inlineStr">
        <is>
          <t>POR</t>
        </is>
      </c>
      <c r="B2048" s="30" t="inlineStr">
        <is>
          <t>Porto Real</t>
        </is>
      </c>
      <c r="C2048" s="30" t="n">
        <v>78926279</v>
      </c>
      <c r="D2048" s="30">
        <f>"21312434000440"</f>
        <v/>
      </c>
      <c r="E2048" s="30" t="inlineStr">
        <is>
          <t>METALURGICA LORENA LTDA</t>
        </is>
      </c>
      <c r="F2048" s="40" t="n">
        <v>0</v>
      </c>
      <c r="G2048" s="40" t="n">
        <v>0</v>
      </c>
      <c r="H2048" s="40" t="n">
        <v>0</v>
      </c>
      <c r="I2048" s="40" t="n">
        <v>0</v>
      </c>
      <c r="J2048" s="40" t="n">
        <v>100700.78</v>
      </c>
      <c r="K2048" s="40" t="n">
        <v>214557.34</v>
      </c>
      <c r="L2048" s="40" t="n">
        <v>6106</v>
      </c>
    </row>
    <row r="2049" ht="12" customHeight="1">
      <c r="A2049" s="30" t="inlineStr">
        <is>
          <t>POR</t>
        </is>
      </c>
      <c r="B2049" s="30" t="inlineStr">
        <is>
          <t>Porto Real</t>
        </is>
      </c>
      <c r="C2049" s="30" t="n">
        <v>78943742</v>
      </c>
      <c r="D2049" s="30">
        <f>"79942140002697"</f>
        <v/>
      </c>
      <c r="E2049" s="30" t="inlineStr">
        <is>
          <t>TRANSMAGNA TRANSPORTES EIRELI</t>
        </is>
      </c>
      <c r="F2049" s="40" t="n">
        <v>0</v>
      </c>
      <c r="G2049" s="40" t="n">
        <v>0</v>
      </c>
      <c r="H2049" s="40" t="n">
        <v>16</v>
      </c>
      <c r="I2049" s="40" t="n">
        <v>0</v>
      </c>
      <c r="J2049" s="40" t="n">
        <v>0</v>
      </c>
      <c r="K2049" s="40" t="n">
        <v>0</v>
      </c>
      <c r="L2049" s="40" t="n">
        <v>0</v>
      </c>
    </row>
    <row r="2050" ht="12" customHeight="1">
      <c r="A2050" s="30" t="inlineStr">
        <is>
          <t>POR</t>
        </is>
      </c>
      <c r="B2050" s="30" t="inlineStr">
        <is>
          <t>Porto Real</t>
        </is>
      </c>
      <c r="C2050" s="30" t="n">
        <v>78956070</v>
      </c>
      <c r="D2050" s="30">
        <f>"10992167000210"</f>
        <v/>
      </c>
      <c r="E2050" s="30" t="inlineStr">
        <is>
          <t>METAR LOGISTICA LTDA</t>
        </is>
      </c>
      <c r="F2050" s="40" t="n">
        <v>0</v>
      </c>
      <c r="G2050" s="40" t="n">
        <v>1421.27</v>
      </c>
      <c r="H2050" s="40" t="n">
        <v>4860.95</v>
      </c>
      <c r="I2050" s="40" t="n">
        <v>2175.34</v>
      </c>
      <c r="J2050" s="40" t="n">
        <v>2264.42</v>
      </c>
      <c r="K2050" s="40" t="n">
        <v>1527.33</v>
      </c>
      <c r="L2050" s="40" t="n">
        <v>699.0599999999999</v>
      </c>
    </row>
    <row r="2051" ht="12" customHeight="1">
      <c r="A2051" s="30" t="inlineStr">
        <is>
          <t>POR</t>
        </is>
      </c>
      <c r="B2051" s="30" t="inlineStr">
        <is>
          <t>Porto Real</t>
        </is>
      </c>
      <c r="C2051" s="30" t="n">
        <v>78981180</v>
      </c>
      <c r="D2051" s="30">
        <f>"68979111000630"</f>
        <v/>
      </c>
      <c r="E2051" s="30" t="inlineStr">
        <is>
          <t>PARADISO GIOVANELLA TRANSPORTES LTDA</t>
        </is>
      </c>
      <c r="F2051" s="40" t="n">
        <v>16214.4</v>
      </c>
      <c r="G2051" s="40" t="n">
        <v>29145.32</v>
      </c>
      <c r="H2051" s="40" t="n">
        <v>0</v>
      </c>
      <c r="I2051" s="40" t="n">
        <v>1017053.79</v>
      </c>
      <c r="J2051" s="40" t="n">
        <v>2313572.93</v>
      </c>
      <c r="K2051" s="40" t="n">
        <v>12014364.45</v>
      </c>
      <c r="L2051" s="40" t="n">
        <v>13469484.08</v>
      </c>
    </row>
    <row r="2052" ht="12" customHeight="1">
      <c r="A2052" s="30" t="inlineStr">
        <is>
          <t>POR</t>
        </is>
      </c>
      <c r="B2052" s="30" t="inlineStr">
        <is>
          <t>Porto Real</t>
        </is>
      </c>
      <c r="C2052" s="30" t="n">
        <v>78991674</v>
      </c>
      <c r="D2052" s="30">
        <f>"01778972000336"</f>
        <v/>
      </c>
      <c r="E2052" s="30" t="inlineStr">
        <is>
          <t>AMERICA NET LTDA</t>
        </is>
      </c>
      <c r="F2052" s="40" t="n">
        <v>0</v>
      </c>
      <c r="G2052" s="40" t="n">
        <v>0</v>
      </c>
      <c r="H2052" s="40" t="n">
        <v>0</v>
      </c>
      <c r="I2052" s="40" t="n">
        <v>0</v>
      </c>
      <c r="J2052" s="40" t="n">
        <v>1330.29</v>
      </c>
      <c r="K2052" s="40" t="n">
        <v>3649.44</v>
      </c>
      <c r="L2052" s="40" t="n">
        <v>0</v>
      </c>
    </row>
    <row r="2053" ht="12" customHeight="1">
      <c r="A2053" s="30" t="inlineStr">
        <is>
          <t>POR</t>
        </is>
      </c>
      <c r="B2053" s="30" t="inlineStr">
        <is>
          <t>Porto Real</t>
        </is>
      </c>
      <c r="C2053" s="30" t="n">
        <v>78998105</v>
      </c>
      <c r="D2053" s="30">
        <f>"04505306000231"</f>
        <v/>
      </c>
      <c r="E2053" s="30" t="inlineStr">
        <is>
          <t>CONCRETEIRA PP DE RESENDE LTDA</t>
        </is>
      </c>
      <c r="F2053" s="40" t="n">
        <v>0</v>
      </c>
      <c r="G2053" s="40" t="n">
        <v>0</v>
      </c>
      <c r="H2053" s="40" t="n">
        <v>0</v>
      </c>
      <c r="I2053" s="40" t="n">
        <v>0</v>
      </c>
      <c r="J2053" s="40" t="n">
        <v>33656.77</v>
      </c>
      <c r="K2053" s="40" t="n">
        <v>80446.7</v>
      </c>
      <c r="L2053" s="40" t="n">
        <v>0</v>
      </c>
    </row>
    <row r="2054" ht="12" customHeight="1">
      <c r="A2054" s="30" t="inlineStr">
        <is>
          <t>POR</t>
        </is>
      </c>
      <c r="B2054" s="30" t="inlineStr">
        <is>
          <t>Porto Real</t>
        </is>
      </c>
      <c r="C2054" s="30" t="n">
        <v>78998121</v>
      </c>
      <c r="D2054" s="30">
        <f>"01489122000407"</f>
        <v/>
      </c>
      <c r="E2054" s="30" t="inlineStr">
        <is>
          <t>TJ4 TRANSPORTES EIRELI</t>
        </is>
      </c>
      <c r="F2054" s="40" t="n">
        <v>0</v>
      </c>
      <c r="G2054" s="40" t="n">
        <v>0</v>
      </c>
      <c r="H2054" s="40" t="n">
        <v>0</v>
      </c>
      <c r="I2054" s="40" t="n">
        <v>0</v>
      </c>
      <c r="J2054" s="40" t="n">
        <v>0</v>
      </c>
      <c r="K2054" s="40" t="n">
        <v>82.8</v>
      </c>
      <c r="L2054" s="40" t="n">
        <v>0</v>
      </c>
    </row>
    <row r="2055" ht="12" customHeight="1">
      <c r="A2055" s="30" t="inlineStr">
        <is>
          <t>POR</t>
        </is>
      </c>
      <c r="B2055" s="30" t="inlineStr">
        <is>
          <t>Porto Real</t>
        </is>
      </c>
      <c r="C2055" s="30" t="n">
        <v>79078271</v>
      </c>
      <c r="D2055" s="30">
        <f>"11994094000188"</f>
        <v/>
      </c>
      <c r="E2055" s="30" t="inlineStr">
        <is>
          <t>HJ MERCADINHO &amp; PEIXARIA LTDA ME</t>
        </is>
      </c>
      <c r="F2055" s="40" t="n">
        <v>0</v>
      </c>
      <c r="G2055" s="40" t="n">
        <v>0</v>
      </c>
      <c r="H2055" s="40" t="n">
        <v>0</v>
      </c>
      <c r="I2055" s="40" t="n">
        <v>0</v>
      </c>
      <c r="J2055" s="40" t="n">
        <v>0</v>
      </c>
      <c r="K2055" s="40" t="n">
        <v>0</v>
      </c>
      <c r="L2055" s="40" t="n">
        <v>0</v>
      </c>
    </row>
    <row r="2056" ht="12" customHeight="1">
      <c r="A2056" s="30" t="inlineStr">
        <is>
          <t>POR</t>
        </is>
      </c>
      <c r="B2056" s="30" t="inlineStr">
        <is>
          <t>Porto Real</t>
        </is>
      </c>
      <c r="C2056" s="30" t="n">
        <v>79082350</v>
      </c>
      <c r="D2056" s="30">
        <f>"12004913000165"</f>
        <v/>
      </c>
      <c r="E2056" s="30" t="inlineStr">
        <is>
          <t>THIBER SERVICOS INDUSTRIAIS EIRELI EPP</t>
        </is>
      </c>
      <c r="F2056" s="40" t="n">
        <v>0</v>
      </c>
      <c r="G2056" s="40" t="n">
        <v>8065.6</v>
      </c>
      <c r="H2056" s="40" t="n">
        <v>40434.53</v>
      </c>
      <c r="I2056" s="40" t="n">
        <v>0</v>
      </c>
      <c r="J2056" s="40" t="n">
        <v>48446.71</v>
      </c>
      <c r="K2056" s="40" t="n">
        <v>0</v>
      </c>
      <c r="L2056" s="40" t="n">
        <v>0</v>
      </c>
    </row>
    <row r="2057" ht="12" customHeight="1">
      <c r="A2057" s="30" t="inlineStr">
        <is>
          <t>POR</t>
        </is>
      </c>
      <c r="B2057" s="30" t="inlineStr">
        <is>
          <t>Porto Real</t>
        </is>
      </c>
      <c r="C2057" s="30" t="n">
        <v>79111678</v>
      </c>
      <c r="D2057" s="30">
        <f>"60157377000504"</f>
        <v/>
      </c>
      <c r="E2057" s="30" t="inlineStr">
        <is>
          <t>TRANS WELL S EXPRESSO RODOVIARIO EIRELI</t>
        </is>
      </c>
      <c r="F2057" s="40" t="n">
        <v>0</v>
      </c>
      <c r="G2057" s="40" t="n">
        <v>0</v>
      </c>
      <c r="H2057" s="40" t="n">
        <v>94.91</v>
      </c>
      <c r="I2057" s="40" t="n">
        <v>138.51</v>
      </c>
      <c r="J2057" s="40" t="n">
        <v>0</v>
      </c>
      <c r="K2057" s="40" t="n">
        <v>0</v>
      </c>
      <c r="L2057" s="40" t="n">
        <v>0</v>
      </c>
    </row>
    <row r="2058" ht="12" customHeight="1">
      <c r="A2058" s="30" t="inlineStr">
        <is>
          <t>POR</t>
        </is>
      </c>
      <c r="B2058" s="30" t="inlineStr">
        <is>
          <t>Porto Real</t>
        </is>
      </c>
      <c r="C2058" s="30" t="n">
        <v>79121320</v>
      </c>
      <c r="D2058" s="30">
        <f>"12186855000138"</f>
        <v/>
      </c>
      <c r="E2058" s="30" t="inlineStr">
        <is>
          <t>K LOG TRANSPORTES EIRELI</t>
        </is>
      </c>
      <c r="F2058" s="40" t="n">
        <v>0</v>
      </c>
      <c r="G2058" s="40" t="n">
        <v>3026.61</v>
      </c>
      <c r="H2058" s="40" t="n">
        <v>75148.49000000001</v>
      </c>
      <c r="I2058" s="40" t="n">
        <v>72653.2</v>
      </c>
      <c r="J2058" s="40" t="n">
        <v>57454.38</v>
      </c>
      <c r="K2058" s="40" t="n">
        <v>0</v>
      </c>
      <c r="L2058" s="40" t="n">
        <v>0</v>
      </c>
    </row>
    <row r="2059" ht="12" customHeight="1">
      <c r="A2059" s="30" t="inlineStr">
        <is>
          <t>POR</t>
        </is>
      </c>
      <c r="B2059" s="30" t="inlineStr">
        <is>
          <t>Porto Real</t>
        </is>
      </c>
      <c r="C2059" s="30" t="n">
        <v>79134961</v>
      </c>
      <c r="D2059" s="30">
        <f>"06264796000257"</f>
        <v/>
      </c>
      <c r="E2059" s="30" t="inlineStr">
        <is>
          <t>J T TRANSPORTES LTDA ME</t>
        </is>
      </c>
      <c r="F2059" s="40" t="n">
        <v>0</v>
      </c>
      <c r="G2059" s="40" t="n">
        <v>0</v>
      </c>
      <c r="H2059" s="40" t="n">
        <v>0</v>
      </c>
      <c r="I2059" s="40" t="n">
        <v>0</v>
      </c>
      <c r="J2059" s="40" t="n">
        <v>0</v>
      </c>
      <c r="K2059" s="40" t="n">
        <v>22920.24</v>
      </c>
      <c r="L2059" s="40" t="n">
        <v>41435.07</v>
      </c>
    </row>
    <row r="2060" ht="12" customHeight="1">
      <c r="A2060" s="30" t="inlineStr">
        <is>
          <t>POR</t>
        </is>
      </c>
      <c r="B2060" s="30" t="inlineStr">
        <is>
          <t>Porto Real</t>
        </is>
      </c>
      <c r="C2060" s="30" t="n">
        <v>79145149</v>
      </c>
      <c r="D2060" s="30">
        <f>"12392614000145"</f>
        <v/>
      </c>
      <c r="E2060" s="30" t="inlineStr">
        <is>
          <t>L A MARASSI MERCEARIA LTDA</t>
        </is>
      </c>
      <c r="F2060" s="40" t="n">
        <v>2512806</v>
      </c>
      <c r="G2060" s="40" t="n">
        <v>3130815.21</v>
      </c>
      <c r="H2060" s="40" t="n">
        <v>2816451</v>
      </c>
      <c r="I2060" s="40" t="n">
        <v>3288695.32</v>
      </c>
      <c r="J2060" s="40" t="n">
        <v>1065917.37</v>
      </c>
      <c r="K2060" s="40" t="n">
        <v>4177276.58</v>
      </c>
      <c r="L2060" s="40" t="n">
        <v>5752072.65</v>
      </c>
    </row>
    <row r="2061" ht="12" customHeight="1">
      <c r="A2061" s="30" t="inlineStr">
        <is>
          <t>POR</t>
        </is>
      </c>
      <c r="B2061" s="30" t="inlineStr">
        <is>
          <t>Porto Real</t>
        </is>
      </c>
      <c r="C2061" s="30" t="n">
        <v>79146641</v>
      </c>
      <c r="D2061" s="30">
        <f>"60960473001304"</f>
        <v/>
      </c>
      <c r="E2061" s="30" t="inlineStr">
        <is>
          <t>RODOGARCIA TRANSPORTES RODOVIARIOS LTDA</t>
        </is>
      </c>
      <c r="F2061" s="40" t="n">
        <v>0</v>
      </c>
      <c r="G2061" s="40" t="n">
        <v>1950</v>
      </c>
      <c r="H2061" s="40" t="n">
        <v>2583.33</v>
      </c>
      <c r="I2061" s="40" t="n">
        <v>0</v>
      </c>
      <c r="J2061" s="40" t="n">
        <v>760</v>
      </c>
      <c r="K2061" s="40" t="n">
        <v>0</v>
      </c>
      <c r="L2061" s="40" t="n">
        <v>0</v>
      </c>
    </row>
    <row r="2062" ht="12" customHeight="1">
      <c r="A2062" s="30" t="inlineStr">
        <is>
          <t>POR</t>
        </is>
      </c>
      <c r="B2062" s="30" t="inlineStr">
        <is>
          <t>Porto Real</t>
        </is>
      </c>
      <c r="C2062" s="30" t="n">
        <v>79158836</v>
      </c>
      <c r="D2062" s="30">
        <f>"12445480000183"</f>
        <v/>
      </c>
      <c r="E2062" s="30" t="inlineStr">
        <is>
          <t>BARRA LOG TRANSPORTES LTDA M E</t>
        </is>
      </c>
      <c r="F2062" s="40" t="n">
        <v>0</v>
      </c>
      <c r="G2062" s="40" t="n">
        <v>0</v>
      </c>
      <c r="H2062" s="40" t="n">
        <v>0</v>
      </c>
      <c r="I2062" s="40" t="n">
        <v>81.62</v>
      </c>
      <c r="J2062" s="40" t="n">
        <v>0</v>
      </c>
      <c r="K2062" s="40" t="n">
        <v>2705.71</v>
      </c>
      <c r="L2062" s="40" t="n">
        <v>0</v>
      </c>
    </row>
    <row r="2063" ht="12" customHeight="1">
      <c r="A2063" s="30" t="inlineStr">
        <is>
          <t>POR</t>
        </is>
      </c>
      <c r="B2063" s="30" t="inlineStr">
        <is>
          <t>Porto Real</t>
        </is>
      </c>
      <c r="C2063" s="30" t="n">
        <v>79177857</v>
      </c>
      <c r="D2063" s="30">
        <f>"75627836000705"</f>
        <v/>
      </c>
      <c r="E2063" s="30" t="inlineStr">
        <is>
          <t>JALOTO TRANSPORTES LTDA</t>
        </is>
      </c>
      <c r="F2063" s="40" t="n">
        <v>143153.72</v>
      </c>
      <c r="G2063" s="40" t="n">
        <v>173852.61</v>
      </c>
      <c r="H2063" s="40" t="n">
        <v>0</v>
      </c>
      <c r="I2063" s="40" t="n">
        <v>79147.22</v>
      </c>
      <c r="J2063" s="40" t="n">
        <v>172738.92</v>
      </c>
      <c r="K2063" s="40" t="n">
        <v>632355.51</v>
      </c>
      <c r="L2063" s="40" t="n">
        <v>512139.21</v>
      </c>
    </row>
    <row r="2064" ht="12" customHeight="1">
      <c r="A2064" s="30" t="inlineStr">
        <is>
          <t>POR</t>
        </is>
      </c>
      <c r="B2064" s="30" t="inlineStr">
        <is>
          <t>Porto Real</t>
        </is>
      </c>
      <c r="C2064" s="30" t="n">
        <v>79208159</v>
      </c>
      <c r="D2064" s="30">
        <f>"12539501000120"</f>
        <v/>
      </c>
      <c r="E2064" s="30" t="inlineStr">
        <is>
          <t>AUGURI DE PORTO REAL RESTAURANTE LTDA</t>
        </is>
      </c>
      <c r="F2064" s="40" t="n">
        <v>0</v>
      </c>
      <c r="G2064" s="40" t="n">
        <v>0</v>
      </c>
      <c r="H2064" s="40" t="n">
        <v>0</v>
      </c>
      <c r="I2064" s="40" t="n">
        <v>0</v>
      </c>
      <c r="J2064" s="40" t="n">
        <v>0</v>
      </c>
      <c r="K2064" s="40" t="n">
        <v>0</v>
      </c>
      <c r="L2064" s="40" t="n">
        <v>0</v>
      </c>
    </row>
    <row r="2065" ht="12" customHeight="1">
      <c r="A2065" s="30" t="inlineStr">
        <is>
          <t>POR</t>
        </is>
      </c>
      <c r="B2065" s="30" t="inlineStr">
        <is>
          <t>Porto Real</t>
        </is>
      </c>
      <c r="C2065" s="30" t="n">
        <v>79213160</v>
      </c>
      <c r="D2065" s="30">
        <f>"52548435015524"</f>
        <v/>
      </c>
      <c r="E2065" s="30" t="inlineStr">
        <is>
          <t>JSL S/A</t>
        </is>
      </c>
      <c r="F2065" s="40" t="n">
        <v>94674.06</v>
      </c>
      <c r="G2065" s="40" t="n">
        <v>43765.33</v>
      </c>
      <c r="H2065" s="40" t="n">
        <v>0</v>
      </c>
      <c r="I2065" s="40" t="n">
        <v>133354.99</v>
      </c>
      <c r="J2065" s="40" t="n">
        <v>281511.76</v>
      </c>
      <c r="K2065" s="40" t="n">
        <v>306238.03</v>
      </c>
      <c r="L2065" s="40" t="n">
        <v>1629411.37</v>
      </c>
    </row>
    <row r="2066" ht="12" customHeight="1">
      <c r="A2066" s="30" t="inlineStr">
        <is>
          <t>POR</t>
        </is>
      </c>
      <c r="B2066" s="30" t="inlineStr">
        <is>
          <t>Porto Real</t>
        </is>
      </c>
      <c r="C2066" s="30" t="n">
        <v>79214043</v>
      </c>
      <c r="D2066" s="30">
        <f>"11755795000245"</f>
        <v/>
      </c>
      <c r="E2066" s="30" t="inlineStr">
        <is>
          <t>WM TRANSPORTADORA DE COMBUSTIVEL E CARGAS LTDA</t>
        </is>
      </c>
      <c r="F2066" s="40" t="n">
        <v>0</v>
      </c>
      <c r="G2066" s="40" t="n">
        <v>1081.69</v>
      </c>
      <c r="H2066" s="40" t="n">
        <v>0</v>
      </c>
      <c r="I2066" s="40" t="n">
        <v>0</v>
      </c>
      <c r="J2066" s="40" t="n">
        <v>0</v>
      </c>
      <c r="K2066" s="40" t="n">
        <v>0</v>
      </c>
      <c r="L2066" s="40" t="n">
        <v>0</v>
      </c>
    </row>
    <row r="2067" ht="12" customHeight="1">
      <c r="A2067" s="30" t="inlineStr">
        <is>
          <t>POR</t>
        </is>
      </c>
      <c r="B2067" s="30" t="inlineStr">
        <is>
          <t>Porto Real</t>
        </is>
      </c>
      <c r="C2067" s="30" t="n">
        <v>79219541</v>
      </c>
      <c r="D2067" s="30">
        <f>"52548435009630"</f>
        <v/>
      </c>
      <c r="E2067" s="30" t="inlineStr">
        <is>
          <t>JSL S/A</t>
        </is>
      </c>
      <c r="F2067" s="40" t="n">
        <v>29646.73</v>
      </c>
      <c r="G2067" s="40" t="n">
        <v>99567.94</v>
      </c>
      <c r="H2067" s="40" t="n">
        <v>0</v>
      </c>
      <c r="I2067" s="40" t="n">
        <v>0</v>
      </c>
      <c r="J2067" s="40" t="n">
        <v>0</v>
      </c>
      <c r="K2067" s="40" t="n">
        <v>0</v>
      </c>
      <c r="L2067" s="40" t="n">
        <v>0</v>
      </c>
    </row>
    <row r="2068" ht="12" customHeight="1">
      <c r="A2068" s="30" t="inlineStr">
        <is>
          <t>POR</t>
        </is>
      </c>
      <c r="B2068" s="30" t="inlineStr">
        <is>
          <t>Porto Real</t>
        </is>
      </c>
      <c r="C2068" s="30" t="n">
        <v>79220035</v>
      </c>
      <c r="D2068" s="30">
        <f>"12744404000179"</f>
        <v/>
      </c>
      <c r="E2068" s="30" t="inlineStr">
        <is>
          <t>MUNDIAL DISTRIBUIDORA DE PRODUTOS DE CONSUMO LTDA</t>
        </is>
      </c>
      <c r="F2068" s="40" t="n">
        <v>10106462.89</v>
      </c>
      <c r="G2068" s="40" t="n">
        <v>11372724.14</v>
      </c>
      <c r="H2068" s="40" t="n">
        <v>10517731.51</v>
      </c>
      <c r="I2068" s="40" t="n">
        <v>0</v>
      </c>
      <c r="J2068" s="40" t="n">
        <v>0</v>
      </c>
      <c r="K2068" s="40" t="n">
        <v>0</v>
      </c>
      <c r="L2068" s="40" t="n">
        <v>0</v>
      </c>
    </row>
    <row r="2069" ht="12" customHeight="1">
      <c r="A2069" s="30" t="inlineStr">
        <is>
          <t>POR</t>
        </is>
      </c>
      <c r="B2069" s="30" t="inlineStr">
        <is>
          <t>Porto Real</t>
        </is>
      </c>
      <c r="C2069" s="30" t="n">
        <v>79229482</v>
      </c>
      <c r="D2069" s="30">
        <f>"00972696000703"</f>
        <v/>
      </c>
      <c r="E2069" s="30" t="inlineStr">
        <is>
          <t>V M RAMOS &amp; CIA LTDA</t>
        </is>
      </c>
      <c r="F2069" s="40" t="n">
        <v>52</v>
      </c>
      <c r="G2069" s="40" t="n">
        <v>0</v>
      </c>
      <c r="H2069" s="40" t="n">
        <v>0</v>
      </c>
      <c r="I2069" s="40" t="n">
        <v>0</v>
      </c>
      <c r="J2069" s="40" t="n">
        <v>0</v>
      </c>
      <c r="K2069" s="40" t="n">
        <v>788310.47</v>
      </c>
      <c r="L2069" s="40" t="n">
        <v>1230117.06</v>
      </c>
    </row>
    <row r="2070" ht="12" customHeight="1">
      <c r="A2070" s="30" t="inlineStr">
        <is>
          <t>POR</t>
        </is>
      </c>
      <c r="B2070" s="30" t="inlineStr">
        <is>
          <t>Porto Real</t>
        </is>
      </c>
      <c r="C2070" s="30" t="n">
        <v>79249386</v>
      </c>
      <c r="D2070" s="30">
        <f>"04070247000135"</f>
        <v/>
      </c>
      <c r="E2070" s="30" t="inlineStr">
        <is>
          <t>VIXGAS EIRELI</t>
        </is>
      </c>
      <c r="F2070" s="40" t="n">
        <v>0</v>
      </c>
      <c r="G2070" s="40" t="n">
        <v>0</v>
      </c>
      <c r="H2070" s="40" t="n">
        <v>428146.4</v>
      </c>
      <c r="I2070" s="40" t="n">
        <v>381447</v>
      </c>
      <c r="J2070" s="40" t="n">
        <v>0</v>
      </c>
      <c r="K2070" s="40" t="n">
        <v>0</v>
      </c>
      <c r="L2070" s="40" t="n">
        <v>0</v>
      </c>
    </row>
    <row r="2071" ht="12" customHeight="1">
      <c r="A2071" s="30" t="inlineStr">
        <is>
          <t>POR</t>
        </is>
      </c>
      <c r="B2071" s="30" t="inlineStr">
        <is>
          <t>Porto Real</t>
        </is>
      </c>
      <c r="C2071" s="30" t="n">
        <v>79259730</v>
      </c>
      <c r="D2071" s="30">
        <f>"07677731000549"</f>
        <v/>
      </c>
      <c r="E2071" s="30" t="inlineStr">
        <is>
          <t>AUTOPORT TRANSPORTES E LOGISTICA LTDA</t>
        </is>
      </c>
      <c r="F2071" s="40" t="n">
        <v>19768857.26</v>
      </c>
      <c r="G2071" s="40" t="n">
        <v>17766569.04</v>
      </c>
      <c r="H2071" s="40" t="n">
        <v>19268491.64</v>
      </c>
      <c r="I2071" s="40" t="n">
        <v>12219319.41</v>
      </c>
      <c r="J2071" s="40" t="n">
        <v>30590011.77</v>
      </c>
      <c r="K2071" s="40" t="n">
        <v>66861640.17</v>
      </c>
      <c r="L2071" s="40" t="n">
        <v>43800954.77</v>
      </c>
    </row>
    <row r="2072" ht="12" customHeight="1">
      <c r="A2072" s="30" t="inlineStr">
        <is>
          <t>POR</t>
        </is>
      </c>
      <c r="B2072" s="30" t="inlineStr">
        <is>
          <t>Porto Real</t>
        </is>
      </c>
      <c r="C2072" s="30" t="n">
        <v>79274321</v>
      </c>
      <c r="D2072" s="30">
        <f>"13019479000150"</f>
        <v/>
      </c>
      <c r="E2072" s="30" t="inlineStr">
        <is>
          <t>LINOS EXPRESS TRANSPORTES LTDA ME</t>
        </is>
      </c>
      <c r="F2072" s="40" t="n">
        <v>0</v>
      </c>
      <c r="G2072" s="40" t="n">
        <v>0</v>
      </c>
      <c r="H2072" s="40" t="n">
        <v>0</v>
      </c>
      <c r="I2072" s="40" t="n">
        <v>0</v>
      </c>
      <c r="J2072" s="40" t="n">
        <v>0</v>
      </c>
      <c r="K2072" s="40" t="n">
        <v>39.5</v>
      </c>
      <c r="L2072" s="40" t="n">
        <v>0.01</v>
      </c>
    </row>
    <row r="2073" ht="12" customHeight="1">
      <c r="A2073" s="30" t="inlineStr">
        <is>
          <t>POR</t>
        </is>
      </c>
      <c r="B2073" s="30" t="inlineStr">
        <is>
          <t>Porto Real</t>
        </is>
      </c>
      <c r="C2073" s="30" t="n">
        <v>79280178</v>
      </c>
      <c r="D2073" s="30">
        <f>"13114148000107"</f>
        <v/>
      </c>
      <c r="E2073" s="30" t="inlineStr">
        <is>
          <t>TRANSPAX ARMAZENS GERAIS LTDA</t>
        </is>
      </c>
      <c r="F2073" s="40" t="n">
        <v>870926.83</v>
      </c>
      <c r="G2073" s="40" t="n">
        <v>796826.53</v>
      </c>
      <c r="H2073" s="40" t="n">
        <v>349824.03</v>
      </c>
      <c r="I2073" s="40" t="n">
        <v>242025.63</v>
      </c>
      <c r="J2073" s="40" t="n">
        <v>663704.6</v>
      </c>
      <c r="K2073" s="40" t="n">
        <v>2132444.75</v>
      </c>
      <c r="L2073" s="40" t="n">
        <v>241888.48</v>
      </c>
    </row>
    <row r="2074" ht="12" customHeight="1">
      <c r="A2074" s="30" t="inlineStr">
        <is>
          <t>POR</t>
        </is>
      </c>
      <c r="B2074" s="30" t="inlineStr">
        <is>
          <t>Porto Real</t>
        </is>
      </c>
      <c r="C2074" s="30" t="n">
        <v>79285668</v>
      </c>
      <c r="D2074" s="30">
        <f>"13108419000103"</f>
        <v/>
      </c>
      <c r="E2074" s="30" t="inlineStr">
        <is>
          <t>ANDRISSULL TRANSPORTES LTDA</t>
        </is>
      </c>
      <c r="F2074" s="40" t="n">
        <v>0</v>
      </c>
      <c r="G2074" s="40" t="n">
        <v>0</v>
      </c>
      <c r="H2074" s="40" t="n">
        <v>0</v>
      </c>
      <c r="I2074" s="40" t="n">
        <v>0</v>
      </c>
      <c r="J2074" s="40" t="n">
        <v>0</v>
      </c>
      <c r="K2074" s="40" t="n">
        <v>0</v>
      </c>
      <c r="L2074" s="40" t="n">
        <v>0</v>
      </c>
    </row>
    <row r="2075" ht="12" customHeight="1">
      <c r="A2075" s="30" t="inlineStr">
        <is>
          <t>POR</t>
        </is>
      </c>
      <c r="B2075" s="30" t="inlineStr">
        <is>
          <t>Porto Real</t>
        </is>
      </c>
      <c r="C2075" s="30" t="n">
        <v>79287415</v>
      </c>
      <c r="D2075" s="30">
        <f>"10982448000292"</f>
        <v/>
      </c>
      <c r="E2075" s="30" t="inlineStr">
        <is>
          <t>RODOLEVE TRANSPORTES LTDA ME</t>
        </is>
      </c>
      <c r="F2075" s="40" t="n">
        <v>0</v>
      </c>
      <c r="G2075" s="40" t="n">
        <v>0.01</v>
      </c>
      <c r="H2075" s="40" t="n">
        <v>1</v>
      </c>
      <c r="I2075" s="40" t="n">
        <v>0</v>
      </c>
      <c r="J2075" s="40" t="n">
        <v>0</v>
      </c>
      <c r="K2075" s="40" t="n">
        <v>0</v>
      </c>
      <c r="L2075" s="40" t="n">
        <v>0</v>
      </c>
    </row>
    <row r="2076" ht="12" customHeight="1">
      <c r="A2076" s="30" t="inlineStr">
        <is>
          <t>POR</t>
        </is>
      </c>
      <c r="B2076" s="30" t="inlineStr">
        <is>
          <t>Porto Real</t>
        </is>
      </c>
      <c r="C2076" s="30" t="n">
        <v>79294144</v>
      </c>
      <c r="D2076" s="30">
        <f>"13205759000152"</f>
        <v/>
      </c>
      <c r="E2076" s="30" t="inlineStr">
        <is>
          <t>JLF BM TRANSPORTES LTDA ME</t>
        </is>
      </c>
      <c r="F2076" s="40" t="n">
        <v>1096145.92</v>
      </c>
      <c r="G2076" s="40" t="n">
        <v>1059042.14</v>
      </c>
      <c r="H2076" s="40" t="n">
        <v>0</v>
      </c>
      <c r="I2076" s="40" t="n">
        <v>0</v>
      </c>
      <c r="J2076" s="40" t="n">
        <v>0</v>
      </c>
      <c r="K2076" s="40" t="n">
        <v>0</v>
      </c>
      <c r="L2076" s="40" t="n">
        <v>0</v>
      </c>
    </row>
    <row r="2077" ht="12" customHeight="1">
      <c r="A2077" s="30" t="inlineStr">
        <is>
          <t>POR</t>
        </is>
      </c>
      <c r="B2077" s="30" t="inlineStr">
        <is>
          <t>Porto Real</t>
        </is>
      </c>
      <c r="C2077" s="30" t="n">
        <v>79312851</v>
      </c>
      <c r="D2077" s="30">
        <f>"13285658000139"</f>
        <v/>
      </c>
      <c r="E2077" s="30" t="inlineStr">
        <is>
          <t>MILLER INDUSTRIA MECANICA LTDA ME</t>
        </is>
      </c>
      <c r="F2077" s="40" t="n">
        <v>798278.02</v>
      </c>
      <c r="G2077" s="40" t="n">
        <v>1134912.27</v>
      </c>
      <c r="H2077" s="40" t="n">
        <v>16430.72</v>
      </c>
      <c r="I2077" s="40" t="n">
        <v>857722.5699999999</v>
      </c>
      <c r="J2077" s="40" t="n">
        <v>3452835.16</v>
      </c>
      <c r="K2077" s="40" t="n">
        <v>4051494.95</v>
      </c>
      <c r="L2077" s="40" t="n">
        <v>5661591.81</v>
      </c>
    </row>
    <row r="2078" ht="12" customHeight="1">
      <c r="A2078" s="30" t="inlineStr">
        <is>
          <t>POR</t>
        </is>
      </c>
      <c r="B2078" s="30" t="inlineStr">
        <is>
          <t>Porto Real</t>
        </is>
      </c>
      <c r="C2078" s="30" t="n">
        <v>79317250</v>
      </c>
      <c r="D2078" s="30">
        <f>"13113988000147"</f>
        <v/>
      </c>
      <c r="E2078" s="30" t="inlineStr">
        <is>
          <t>AMS EMPREENDIMENTOS E INCORPORACOES EIRELI EPP</t>
        </is>
      </c>
      <c r="F2078" s="40" t="n">
        <v>0</v>
      </c>
      <c r="G2078" s="40" t="n">
        <v>0</v>
      </c>
      <c r="H2078" s="40" t="n">
        <v>0</v>
      </c>
      <c r="I2078" s="40" t="n">
        <v>0</v>
      </c>
      <c r="J2078" s="40" t="n">
        <v>0</v>
      </c>
      <c r="K2078" s="40" t="n">
        <v>0</v>
      </c>
      <c r="L2078" s="40" t="n">
        <v>0</v>
      </c>
    </row>
    <row r="2079" ht="12" customHeight="1">
      <c r="A2079" s="30" t="inlineStr">
        <is>
          <t>POR</t>
        </is>
      </c>
      <c r="B2079" s="30" t="inlineStr">
        <is>
          <t>Porto Real</t>
        </is>
      </c>
      <c r="C2079" s="30" t="n">
        <v>79329797</v>
      </c>
      <c r="D2079" s="30">
        <f>"03615415000753"</f>
        <v/>
      </c>
      <c r="E2079" s="30" t="inlineStr">
        <is>
          <t>CTS - COOPERATIVA DE TRANSPORTES DE SOROCABA E REGIAO</t>
        </is>
      </c>
      <c r="F2079" s="40" t="n">
        <v>1380.19</v>
      </c>
      <c r="G2079" s="40" t="n">
        <v>0</v>
      </c>
      <c r="H2079" s="40" t="n">
        <v>0</v>
      </c>
      <c r="I2079" s="40" t="n">
        <v>0</v>
      </c>
      <c r="J2079" s="40" t="n">
        <v>0</v>
      </c>
      <c r="K2079" s="40" t="n">
        <v>0</v>
      </c>
      <c r="L2079" s="40" t="n">
        <v>0</v>
      </c>
    </row>
    <row r="2080" ht="12" customHeight="1">
      <c r="A2080" s="30" t="inlineStr">
        <is>
          <t>POR</t>
        </is>
      </c>
      <c r="B2080" s="30" t="inlineStr">
        <is>
          <t>Porto Real</t>
        </is>
      </c>
      <c r="C2080" s="30" t="n">
        <v>79338931</v>
      </c>
      <c r="D2080" s="30">
        <f>"13461436000120"</f>
        <v/>
      </c>
      <c r="E2080" s="30" t="inlineStr">
        <is>
          <t>AUDAX LOGISTICA TRANSPORTES &amp; TURISMO LTDA</t>
        </is>
      </c>
      <c r="F2080" s="40" t="n">
        <v>0</v>
      </c>
      <c r="G2080" s="40" t="n">
        <v>0</v>
      </c>
      <c r="H2080" s="40" t="n">
        <v>0</v>
      </c>
      <c r="I2080" s="40" t="n">
        <v>0</v>
      </c>
      <c r="J2080" s="40" t="n">
        <v>1396.8</v>
      </c>
      <c r="K2080" s="40" t="n">
        <v>0</v>
      </c>
      <c r="L2080" s="40" t="n">
        <v>0</v>
      </c>
    </row>
    <row r="2081" ht="12" customHeight="1">
      <c r="A2081" s="30" t="inlineStr">
        <is>
          <t>POR</t>
        </is>
      </c>
      <c r="B2081" s="30" t="inlineStr">
        <is>
          <t>Porto Real</t>
        </is>
      </c>
      <c r="C2081" s="30" t="n">
        <v>79345091</v>
      </c>
      <c r="D2081" s="30">
        <f>"48740351012252"</f>
        <v/>
      </c>
      <c r="E2081" s="30" t="inlineStr">
        <is>
          <t>BRASPRESS TRANSPORTES URGENTES LTDA</t>
        </is>
      </c>
      <c r="F2081" s="40" t="n">
        <v>0</v>
      </c>
      <c r="G2081" s="40" t="n">
        <v>715.64</v>
      </c>
      <c r="H2081" s="40" t="n">
        <v>490.12</v>
      </c>
      <c r="I2081" s="40" t="n">
        <v>494.36</v>
      </c>
      <c r="J2081" s="40" t="n">
        <v>91.58</v>
      </c>
      <c r="K2081" s="40" t="n">
        <v>17791.93</v>
      </c>
      <c r="L2081" s="40" t="n">
        <v>21327.66</v>
      </c>
    </row>
    <row r="2082" ht="12" customHeight="1">
      <c r="A2082" s="30" t="inlineStr">
        <is>
          <t>POR</t>
        </is>
      </c>
      <c r="B2082" s="30" t="inlineStr">
        <is>
          <t>Porto Real</t>
        </is>
      </c>
      <c r="C2082" s="30" t="n">
        <v>79349186</v>
      </c>
      <c r="D2082" s="30">
        <f>"05999296000381"</f>
        <v/>
      </c>
      <c r="E2082" s="30" t="inlineStr">
        <is>
          <t>MTB-INTERNATIONAL LTDA</t>
        </is>
      </c>
      <c r="F2082" s="40" t="n">
        <v>472197.49</v>
      </c>
      <c r="G2082" s="40" t="n">
        <v>171020.18</v>
      </c>
      <c r="H2082" s="40" t="n">
        <v>0</v>
      </c>
      <c r="I2082" s="40" t="n">
        <v>0</v>
      </c>
      <c r="J2082" s="40" t="n">
        <v>0</v>
      </c>
      <c r="K2082" s="40" t="n">
        <v>0</v>
      </c>
      <c r="L2082" s="40" t="n">
        <v>0</v>
      </c>
    </row>
    <row r="2083" ht="12" customHeight="1">
      <c r="A2083" s="30" t="inlineStr">
        <is>
          <t>POR</t>
        </is>
      </c>
      <c r="B2083" s="30" t="inlineStr">
        <is>
          <t>Porto Real</t>
        </is>
      </c>
      <c r="C2083" s="30" t="n">
        <v>79358630</v>
      </c>
      <c r="D2083" s="30">
        <f>"08022054000160"</f>
        <v/>
      </c>
      <c r="E2083" s="30" t="inlineStr">
        <is>
          <t>OSTARA TELECOMUNICACOES LTDA</t>
        </is>
      </c>
      <c r="F2083" s="40" t="n">
        <v>0</v>
      </c>
      <c r="G2083" s="40" t="n">
        <v>0</v>
      </c>
      <c r="H2083" s="40" t="n">
        <v>0</v>
      </c>
      <c r="I2083" s="40" t="n">
        <v>208.96</v>
      </c>
      <c r="J2083" s="40" t="n">
        <v>0</v>
      </c>
      <c r="K2083" s="40" t="n">
        <v>0</v>
      </c>
      <c r="L2083" s="40" t="n">
        <v>0</v>
      </c>
    </row>
    <row r="2084" ht="12" customHeight="1">
      <c r="A2084" s="30" t="inlineStr">
        <is>
          <t>POR</t>
        </is>
      </c>
      <c r="B2084" s="30" t="inlineStr">
        <is>
          <t>Porto Real</t>
        </is>
      </c>
      <c r="C2084" s="30" t="n">
        <v>79360651</v>
      </c>
      <c r="D2084" s="30">
        <f>"19451038003477"</f>
        <v/>
      </c>
      <c r="E2084" s="30" t="inlineStr">
        <is>
          <t>RODOVIARIO CAMILO DOS SANTOS FILHO LTDA</t>
        </is>
      </c>
      <c r="F2084" s="40" t="n">
        <v>36543.97</v>
      </c>
      <c r="G2084" s="40" t="n">
        <v>4071.55</v>
      </c>
      <c r="H2084" s="40" t="n">
        <v>1056.4</v>
      </c>
      <c r="I2084" s="40" t="n">
        <v>0</v>
      </c>
      <c r="J2084" s="40" t="n">
        <v>0</v>
      </c>
      <c r="K2084" s="40" t="n">
        <v>0</v>
      </c>
      <c r="L2084" s="40" t="n">
        <v>1551.76</v>
      </c>
    </row>
    <row r="2085" ht="12" customHeight="1">
      <c r="A2085" s="30" t="inlineStr">
        <is>
          <t>POR</t>
        </is>
      </c>
      <c r="B2085" s="30" t="inlineStr">
        <is>
          <t>Porto Real</t>
        </is>
      </c>
      <c r="C2085" s="30" t="n">
        <v>79373095</v>
      </c>
      <c r="D2085" s="30">
        <f>"13647980000160"</f>
        <v/>
      </c>
      <c r="E2085" s="30" t="inlineStr">
        <is>
          <t>PROGRESSO ARMAZENS E LOGISTICA EIRELI EPP</t>
        </is>
      </c>
      <c r="F2085" s="40" t="n">
        <v>0</v>
      </c>
      <c r="G2085" s="40" t="n">
        <v>102712.25</v>
      </c>
      <c r="H2085" s="40" t="n">
        <v>30722.93</v>
      </c>
      <c r="I2085" s="40" t="n">
        <v>34440.96</v>
      </c>
      <c r="J2085" s="40" t="n">
        <v>0</v>
      </c>
      <c r="K2085" s="40" t="n">
        <v>0</v>
      </c>
      <c r="L2085" s="40" t="n">
        <v>0</v>
      </c>
    </row>
    <row r="2086" ht="12" customHeight="1">
      <c r="A2086" s="30" t="inlineStr">
        <is>
          <t>POR</t>
        </is>
      </c>
      <c r="B2086" s="30" t="inlineStr">
        <is>
          <t>Porto Real</t>
        </is>
      </c>
      <c r="C2086" s="30" t="n">
        <v>79374792</v>
      </c>
      <c r="D2086" s="30">
        <f>"13656859000103"</f>
        <v/>
      </c>
      <c r="E2086" s="30" t="inlineStr">
        <is>
          <t>RESTAURANTE CARVALHO&amp;PINESCHI LTDA ME</t>
        </is>
      </c>
      <c r="F2086" s="40" t="n">
        <v>0</v>
      </c>
      <c r="G2086" s="40" t="n">
        <v>0</v>
      </c>
      <c r="H2086" s="40" t="n">
        <v>0</v>
      </c>
      <c r="I2086" s="40" t="n">
        <v>0</v>
      </c>
      <c r="J2086" s="40" t="n">
        <v>0</v>
      </c>
      <c r="K2086" s="40" t="n">
        <v>0</v>
      </c>
      <c r="L2086" s="40" t="n">
        <v>0</v>
      </c>
    </row>
    <row r="2087" ht="12" customHeight="1">
      <c r="A2087" s="30" t="inlineStr">
        <is>
          <t>POR</t>
        </is>
      </c>
      <c r="B2087" s="30" t="inlineStr">
        <is>
          <t>Porto Real</t>
        </is>
      </c>
      <c r="C2087" s="30" t="n">
        <v>79395595</v>
      </c>
      <c r="D2087" s="30">
        <f>"13725103000160"</f>
        <v/>
      </c>
      <c r="E2087" s="30" t="inlineStr">
        <is>
          <t>INTALOG LOGISTICA TRANSPORTES LTDA</t>
        </is>
      </c>
      <c r="F2087" s="40" t="n">
        <v>757363.42</v>
      </c>
      <c r="G2087" s="40" t="n">
        <v>721256.23</v>
      </c>
      <c r="H2087" s="40" t="n">
        <v>156179.82</v>
      </c>
      <c r="I2087" s="40" t="n">
        <v>0</v>
      </c>
      <c r="J2087" s="40" t="n">
        <v>4390.14</v>
      </c>
      <c r="K2087" s="40" t="n">
        <v>0</v>
      </c>
      <c r="L2087" s="40" t="n">
        <v>7709.23</v>
      </c>
    </row>
    <row r="2088" ht="12" customHeight="1">
      <c r="A2088" s="30" t="inlineStr">
        <is>
          <t>POR</t>
        </is>
      </c>
      <c r="B2088" s="30" t="inlineStr">
        <is>
          <t>Porto Real</t>
        </is>
      </c>
      <c r="C2088" s="30" t="n">
        <v>79402605</v>
      </c>
      <c r="D2088" s="30">
        <f>"13742011000199"</f>
        <v/>
      </c>
      <c r="E2088" s="30" t="inlineStr">
        <is>
          <t>TRANSLUC TRANSPORTES E SERVICOS EIRELI EPP</t>
        </is>
      </c>
      <c r="F2088" s="40" t="n">
        <v>16887</v>
      </c>
      <c r="G2088" s="40" t="n">
        <v>272189.52</v>
      </c>
      <c r="H2088" s="40" t="n">
        <v>315999.69</v>
      </c>
      <c r="I2088" s="40" t="n">
        <v>356607.77</v>
      </c>
      <c r="J2088" s="40" t="n">
        <v>431164.35</v>
      </c>
      <c r="K2088" s="40" t="n">
        <v>366184.4</v>
      </c>
      <c r="L2088" s="40" t="n">
        <v>0</v>
      </c>
    </row>
    <row r="2089" ht="12" customHeight="1">
      <c r="A2089" s="30" t="inlineStr">
        <is>
          <t>POR</t>
        </is>
      </c>
      <c r="B2089" s="30" t="inlineStr">
        <is>
          <t>Porto Real</t>
        </is>
      </c>
      <c r="C2089" s="30" t="n">
        <v>79438073</v>
      </c>
      <c r="D2089" s="30">
        <f>"13993184000180"</f>
        <v/>
      </c>
      <c r="E2089" s="30" t="inlineStr">
        <is>
          <t>MINI-MERCADO GCNE LTDA</t>
        </is>
      </c>
      <c r="F2089" s="40" t="n">
        <v>0</v>
      </c>
      <c r="G2089" s="40" t="n">
        <v>0</v>
      </c>
      <c r="H2089" s="40" t="n">
        <v>0</v>
      </c>
      <c r="I2089" s="40" t="n">
        <v>0</v>
      </c>
      <c r="J2089" s="40" t="n">
        <v>0</v>
      </c>
      <c r="K2089" s="40" t="n">
        <v>0</v>
      </c>
      <c r="L2089" s="40" t="n">
        <v>0</v>
      </c>
    </row>
    <row r="2090" ht="12" customHeight="1">
      <c r="A2090" s="30" t="inlineStr">
        <is>
          <t>POR</t>
        </is>
      </c>
      <c r="B2090" s="30" t="inlineStr">
        <is>
          <t>Porto Real</t>
        </is>
      </c>
      <c r="C2090" s="30" t="n">
        <v>79438111</v>
      </c>
      <c r="D2090" s="30">
        <f>"49025695000660"</f>
        <v/>
      </c>
      <c r="E2090" s="30" t="inlineStr">
        <is>
          <t>JD COCENZO &amp; CIA LTDA</t>
        </is>
      </c>
      <c r="F2090" s="40" t="n">
        <v>0</v>
      </c>
      <c r="G2090" s="40" t="n">
        <v>0</v>
      </c>
      <c r="H2090" s="40" t="n">
        <v>0</v>
      </c>
      <c r="I2090" s="40" t="n">
        <v>500</v>
      </c>
      <c r="J2090" s="40" t="n">
        <v>0</v>
      </c>
      <c r="K2090" s="40" t="n">
        <v>0</v>
      </c>
      <c r="L2090" s="40" t="n">
        <v>0</v>
      </c>
    </row>
    <row r="2091" ht="12" customHeight="1">
      <c r="A2091" s="30" t="inlineStr">
        <is>
          <t>POR</t>
        </is>
      </c>
      <c r="B2091" s="30" t="inlineStr">
        <is>
          <t>Porto Real</t>
        </is>
      </c>
      <c r="C2091" s="30" t="n">
        <v>79442127</v>
      </c>
      <c r="D2091" s="30">
        <f>"14040097000170"</f>
        <v/>
      </c>
      <c r="E2091" s="30" t="inlineStr">
        <is>
          <t>COMERCIO DE CEREAIS E PRODUTOS ALIMENTICIOS DOIS AMIGOS LTDA EPP</t>
        </is>
      </c>
      <c r="F2091" s="40" t="n">
        <v>0</v>
      </c>
      <c r="G2091" s="40" t="n">
        <v>0</v>
      </c>
      <c r="H2091" s="40" t="n">
        <v>0</v>
      </c>
      <c r="I2091" s="40" t="n">
        <v>0</v>
      </c>
      <c r="J2091" s="40" t="n">
        <v>0</v>
      </c>
      <c r="K2091" s="40" t="n">
        <v>0</v>
      </c>
      <c r="L2091" s="40" t="n">
        <v>0</v>
      </c>
    </row>
    <row r="2092" ht="12" customHeight="1">
      <c r="A2092" s="30" t="inlineStr">
        <is>
          <t>POR</t>
        </is>
      </c>
      <c r="B2092" s="30" t="inlineStr">
        <is>
          <t>Porto Real</t>
        </is>
      </c>
      <c r="C2092" s="30" t="n">
        <v>79451789</v>
      </c>
      <c r="D2092" s="30">
        <f>"14097258000162"</f>
        <v/>
      </c>
      <c r="E2092" s="30" t="inlineStr">
        <is>
          <t>MW COMERCIO E SERVICOS DE CONSTRUCOES LTDA-EPP</t>
        </is>
      </c>
      <c r="F2092" s="40" t="n">
        <v>0</v>
      </c>
      <c r="G2092" s="40" t="n">
        <v>0</v>
      </c>
      <c r="H2092" s="40" t="n">
        <v>0</v>
      </c>
      <c r="I2092" s="40" t="n">
        <v>0</v>
      </c>
      <c r="J2092" s="40" t="n">
        <v>0</v>
      </c>
      <c r="K2092" s="40" t="n">
        <v>0</v>
      </c>
      <c r="L2092" s="40" t="n">
        <v>0</v>
      </c>
    </row>
    <row r="2093" ht="12" customHeight="1">
      <c r="A2093" s="30" t="inlineStr">
        <is>
          <t>POR</t>
        </is>
      </c>
      <c r="B2093" s="30" t="inlineStr">
        <is>
          <t>Porto Real</t>
        </is>
      </c>
      <c r="C2093" s="30" t="n">
        <v>79488780</v>
      </c>
      <c r="D2093" s="30">
        <f>"75553115002660"</f>
        <v/>
      </c>
      <c r="E2093" s="30" t="inlineStr">
        <is>
          <t>TRANSPORTE RODOVIARIO DE CARGAS ZAPPELLINI LTDA</t>
        </is>
      </c>
      <c r="F2093" s="40" t="n">
        <v>0</v>
      </c>
      <c r="G2093" s="40" t="n">
        <v>0</v>
      </c>
      <c r="H2093" s="40" t="n">
        <v>0</v>
      </c>
      <c r="I2093" s="40" t="n">
        <v>0</v>
      </c>
      <c r="J2093" s="40" t="n">
        <v>0</v>
      </c>
      <c r="K2093" s="40" t="n">
        <v>0</v>
      </c>
      <c r="L2093" s="40" t="n">
        <v>5300</v>
      </c>
    </row>
    <row r="2094" ht="12" customHeight="1">
      <c r="A2094" s="30" t="inlineStr">
        <is>
          <t>POR</t>
        </is>
      </c>
      <c r="B2094" s="30" t="inlineStr">
        <is>
          <t>Porto Real</t>
        </is>
      </c>
      <c r="C2094" s="30" t="n">
        <v>79508101</v>
      </c>
      <c r="D2094" s="30">
        <f>"41717984000537"</f>
        <v/>
      </c>
      <c r="E2094" s="30" t="inlineStr">
        <is>
          <t>J M LOCACAO E LOGISTICA DE JUIZ DE FORA LTDA EPP</t>
        </is>
      </c>
      <c r="F2094" s="40" t="n">
        <v>0</v>
      </c>
      <c r="G2094" s="40" t="n">
        <v>0</v>
      </c>
      <c r="H2094" s="40" t="n">
        <v>0</v>
      </c>
      <c r="I2094" s="40" t="n">
        <v>0</v>
      </c>
      <c r="J2094" s="40" t="n">
        <v>0</v>
      </c>
      <c r="K2094" s="40" t="n">
        <v>0</v>
      </c>
      <c r="L2094" s="40" t="n">
        <v>2468.75</v>
      </c>
    </row>
    <row r="2095" ht="12" customHeight="1">
      <c r="A2095" s="30" t="inlineStr">
        <is>
          <t>POR</t>
        </is>
      </c>
      <c r="B2095" s="30" t="inlineStr">
        <is>
          <t>Porto Real</t>
        </is>
      </c>
      <c r="C2095" s="30" t="n">
        <v>79510157</v>
      </c>
      <c r="D2095" s="30">
        <f>"14130987000173"</f>
        <v/>
      </c>
      <c r="E2095" s="30" t="inlineStr">
        <is>
          <t>LOKKAR RENTAR CAR LTDA EPP</t>
        </is>
      </c>
      <c r="F2095" s="40" t="n">
        <v>0</v>
      </c>
      <c r="G2095" s="40" t="n">
        <v>0</v>
      </c>
      <c r="H2095" s="40" t="n">
        <v>0</v>
      </c>
      <c r="I2095" s="40" t="n">
        <v>0</v>
      </c>
      <c r="J2095" s="40" t="n">
        <v>0</v>
      </c>
      <c r="K2095" s="40" t="n">
        <v>38737</v>
      </c>
      <c r="L2095" s="40" t="n">
        <v>0</v>
      </c>
    </row>
    <row r="2096" ht="12" customHeight="1">
      <c r="A2096" s="30" t="inlineStr">
        <is>
          <t>POR</t>
        </is>
      </c>
      <c r="B2096" s="30" t="inlineStr">
        <is>
          <t>Porto Real</t>
        </is>
      </c>
      <c r="C2096" s="30" t="n">
        <v>79510688</v>
      </c>
      <c r="D2096" s="30">
        <f>"10839911000322"</f>
        <v/>
      </c>
      <c r="E2096" s="30" t="inlineStr">
        <is>
          <t>TG LOGISTICA E TRANSPORTES LTDA</t>
        </is>
      </c>
      <c r="F2096" s="40" t="n">
        <v>0</v>
      </c>
      <c r="G2096" s="40" t="n">
        <v>0</v>
      </c>
      <c r="H2096" s="40" t="n">
        <v>0</v>
      </c>
      <c r="I2096" s="40" t="n">
        <v>0</v>
      </c>
      <c r="J2096" s="40" t="n">
        <v>0</v>
      </c>
      <c r="K2096" s="40" t="n">
        <v>4029.27</v>
      </c>
      <c r="L2096" s="40" t="n">
        <v>0</v>
      </c>
    </row>
    <row r="2097" ht="12" customHeight="1">
      <c r="A2097" s="30" t="inlineStr">
        <is>
          <t>POR</t>
        </is>
      </c>
      <c r="B2097" s="30" t="inlineStr">
        <is>
          <t>Porto Real</t>
        </is>
      </c>
      <c r="C2097" s="30" t="n">
        <v>79517518</v>
      </c>
      <c r="D2097" s="30">
        <f>"01178298001592"</f>
        <v/>
      </c>
      <c r="E2097" s="30" t="inlineStr">
        <is>
          <t>FAURECIA AUTOMOTIVE DO BRASIL LTDA</t>
        </is>
      </c>
      <c r="F2097" s="40" t="n">
        <v>0</v>
      </c>
      <c r="G2097" s="40" t="n">
        <v>0</v>
      </c>
      <c r="H2097" s="40" t="n">
        <v>0</v>
      </c>
      <c r="I2097" s="40" t="n">
        <v>0</v>
      </c>
      <c r="J2097" s="40" t="n">
        <v>0</v>
      </c>
      <c r="K2097" s="40" t="n">
        <v>0</v>
      </c>
      <c r="L2097" s="40" t="n">
        <v>0</v>
      </c>
    </row>
    <row r="2098" ht="12" customHeight="1">
      <c r="A2098" s="30" t="inlineStr">
        <is>
          <t>POR</t>
        </is>
      </c>
      <c r="B2098" s="30" t="inlineStr">
        <is>
          <t>Porto Real</t>
        </is>
      </c>
      <c r="C2098" s="30" t="n">
        <v>79541575</v>
      </c>
      <c r="D2098" s="30">
        <f>"04915315001434"</f>
        <v/>
      </c>
      <c r="E2098" s="30" t="inlineStr">
        <is>
          <t>VENTANA SERRA DO BRASIL AGENCIAMENTO DE CARGAS LTDA</t>
        </is>
      </c>
      <c r="F2098" s="40" t="n">
        <v>0</v>
      </c>
      <c r="G2098" s="40" t="n">
        <v>0</v>
      </c>
      <c r="H2098" s="40" t="n">
        <v>0</v>
      </c>
      <c r="I2098" s="40" t="n">
        <v>0</v>
      </c>
      <c r="J2098" s="40" t="n">
        <v>0</v>
      </c>
      <c r="K2098" s="40" t="n">
        <v>1600.19</v>
      </c>
      <c r="L2098" s="40" t="n">
        <v>4068.17</v>
      </c>
    </row>
    <row r="2099" ht="12" customHeight="1">
      <c r="A2099" s="30" t="inlineStr">
        <is>
          <t>POR</t>
        </is>
      </c>
      <c r="B2099" s="30" t="inlineStr">
        <is>
          <t>Porto Real</t>
        </is>
      </c>
      <c r="C2099" s="30" t="n">
        <v>79577928</v>
      </c>
      <c r="D2099" s="30">
        <f>"02308873000515"</f>
        <v/>
      </c>
      <c r="E2099" s="30" t="inlineStr">
        <is>
          <t>FAURECIA EMISSIONS CONTROL TECHONOLOGIES DO BRASIL S A</t>
        </is>
      </c>
      <c r="F2099" s="40" t="n">
        <v>15819529.46</v>
      </c>
      <c r="G2099" s="40" t="n">
        <v>854078.71</v>
      </c>
      <c r="H2099" s="40" t="n">
        <v>0</v>
      </c>
      <c r="I2099" s="40" t="n">
        <v>0</v>
      </c>
      <c r="J2099" s="40" t="n">
        <v>0</v>
      </c>
      <c r="K2099" s="40" t="n">
        <v>0</v>
      </c>
      <c r="L2099" s="40" t="n">
        <v>0</v>
      </c>
    </row>
    <row r="2100" ht="12" customHeight="1">
      <c r="A2100" s="30" t="inlineStr">
        <is>
          <t>POR</t>
        </is>
      </c>
      <c r="B2100" s="30" t="inlineStr">
        <is>
          <t>Porto Real</t>
        </is>
      </c>
      <c r="C2100" s="30" t="n">
        <v>79582980</v>
      </c>
      <c r="D2100" s="30">
        <f>"78815958001280"</f>
        <v/>
      </c>
      <c r="E2100" s="30" t="inlineStr">
        <is>
          <t>JOSE OSVALDO DE OLIVEIRA EIRELI</t>
        </is>
      </c>
      <c r="F2100" s="40" t="n">
        <v>269.6</v>
      </c>
      <c r="G2100" s="40" t="n">
        <v>140</v>
      </c>
      <c r="H2100" s="40" t="n">
        <v>0</v>
      </c>
      <c r="I2100" s="40" t="n">
        <v>0</v>
      </c>
      <c r="J2100" s="40" t="n">
        <v>53.32</v>
      </c>
      <c r="K2100" s="40" t="n">
        <v>297.31</v>
      </c>
      <c r="L2100" s="40" t="n">
        <v>105.31</v>
      </c>
    </row>
    <row r="2101" ht="12" customHeight="1">
      <c r="A2101" s="30" t="inlineStr">
        <is>
          <t>POR</t>
        </is>
      </c>
      <c r="B2101" s="30" t="inlineStr">
        <is>
          <t>Porto Real</t>
        </is>
      </c>
      <c r="C2101" s="30" t="n">
        <v>79585556</v>
      </c>
      <c r="D2101" s="30">
        <f>"09913147000490"</f>
        <v/>
      </c>
      <c r="E2101" s="30" t="inlineStr">
        <is>
          <t>FL LOGISTICA BRASIL LTDA</t>
        </is>
      </c>
      <c r="F2101" s="40" t="n">
        <v>1770969.68</v>
      </c>
      <c r="G2101" s="40" t="n">
        <v>0</v>
      </c>
      <c r="H2101" s="40" t="n">
        <v>0</v>
      </c>
      <c r="I2101" s="40" t="n">
        <v>0</v>
      </c>
      <c r="J2101" s="40" t="n">
        <v>0</v>
      </c>
      <c r="K2101" s="40" t="n">
        <v>0</v>
      </c>
      <c r="L2101" s="40" t="n">
        <v>0</v>
      </c>
    </row>
    <row r="2102" ht="12" customHeight="1">
      <c r="A2102" s="30" t="inlineStr">
        <is>
          <t>POR</t>
        </is>
      </c>
      <c r="B2102" s="30" t="inlineStr">
        <is>
          <t>Porto Real</t>
        </is>
      </c>
      <c r="C2102" s="30" t="n">
        <v>79585564</v>
      </c>
      <c r="D2102" s="30">
        <f>"10665151000201"</f>
        <v/>
      </c>
      <c r="E2102" s="30" t="inlineStr">
        <is>
          <t>SAMM SOCIEDADE DE ATIVIDADES EM MULTIMIDIA LTDA</t>
        </is>
      </c>
      <c r="F2102" s="40" t="n">
        <v>0</v>
      </c>
      <c r="G2102" s="40" t="n">
        <v>0</v>
      </c>
      <c r="H2102" s="40" t="n">
        <v>0</v>
      </c>
      <c r="I2102" s="40" t="n">
        <v>0</v>
      </c>
      <c r="J2102" s="40" t="n">
        <v>0</v>
      </c>
      <c r="K2102" s="40" t="n">
        <v>0</v>
      </c>
      <c r="L2102" s="40" t="n">
        <v>90814.71000000001</v>
      </c>
    </row>
    <row r="2103" ht="12" customHeight="1">
      <c r="A2103" s="30" t="inlineStr">
        <is>
          <t>POR</t>
        </is>
      </c>
      <c r="B2103" s="30" t="inlineStr">
        <is>
          <t>Porto Real</t>
        </is>
      </c>
      <c r="C2103" s="30" t="n">
        <v>79591483</v>
      </c>
      <c r="D2103" s="30">
        <f>"10831856000243"</f>
        <v/>
      </c>
      <c r="E2103" s="30" t="inlineStr">
        <is>
          <t>TFA - LOGISTICA LTDA - EPP</t>
        </is>
      </c>
      <c r="F2103" s="40" t="n">
        <v>50047.94</v>
      </c>
      <c r="G2103" s="40" t="n">
        <v>112607.5</v>
      </c>
      <c r="H2103" s="40" t="n">
        <v>0</v>
      </c>
      <c r="I2103" s="40" t="n">
        <v>0</v>
      </c>
      <c r="J2103" s="40" t="n">
        <v>0</v>
      </c>
      <c r="K2103" s="40" t="n">
        <v>0</v>
      </c>
      <c r="L2103" s="40" t="n">
        <v>0</v>
      </c>
    </row>
    <row r="2104" ht="12" customHeight="1">
      <c r="A2104" s="30" t="inlineStr">
        <is>
          <t>POR</t>
        </is>
      </c>
      <c r="B2104" s="30" t="inlineStr">
        <is>
          <t>Porto Real</t>
        </is>
      </c>
      <c r="C2104" s="30" t="n">
        <v>79611638</v>
      </c>
      <c r="D2104" s="30">
        <f>"12097576000106"</f>
        <v/>
      </c>
      <c r="E2104" s="30" t="inlineStr">
        <is>
          <t>LIXOLIMPO SUL FLUMINENSE LTDA</t>
        </is>
      </c>
      <c r="F2104" s="40" t="n">
        <v>0</v>
      </c>
      <c r="G2104" s="40" t="n">
        <v>0</v>
      </c>
      <c r="H2104" s="40" t="n">
        <v>0</v>
      </c>
      <c r="I2104" s="40" t="n">
        <v>0</v>
      </c>
      <c r="J2104" s="40" t="n">
        <v>0</v>
      </c>
      <c r="K2104" s="40" t="n">
        <v>0</v>
      </c>
      <c r="L2104" s="40" t="n">
        <v>0</v>
      </c>
    </row>
    <row r="2105" ht="12" customHeight="1">
      <c r="A2105" s="30" t="inlineStr">
        <is>
          <t>POR</t>
        </is>
      </c>
      <c r="B2105" s="30" t="inlineStr">
        <is>
          <t>Porto Real</t>
        </is>
      </c>
      <c r="C2105" s="30" t="n">
        <v>79619523</v>
      </c>
      <c r="D2105" s="30">
        <f>"15137700000108"</f>
        <v/>
      </c>
      <c r="E2105" s="30" t="inlineStr">
        <is>
          <t>FONSECA E ALMEIDA COMERCIO E SERVICOS LTDA ME</t>
        </is>
      </c>
      <c r="F2105" s="40" t="n">
        <v>0</v>
      </c>
      <c r="G2105" s="40" t="n">
        <v>0</v>
      </c>
      <c r="H2105" s="40" t="n">
        <v>0</v>
      </c>
      <c r="I2105" s="40" t="n">
        <v>0</v>
      </c>
      <c r="J2105" s="40" t="n">
        <v>0</v>
      </c>
      <c r="K2105" s="40" t="n">
        <v>0</v>
      </c>
      <c r="L2105" s="40" t="n">
        <v>0</v>
      </c>
    </row>
    <row r="2106" ht="12" customHeight="1">
      <c r="A2106" s="30" t="inlineStr">
        <is>
          <t>POR</t>
        </is>
      </c>
      <c r="B2106" s="30" t="inlineStr">
        <is>
          <t>Porto Real</t>
        </is>
      </c>
      <c r="C2106" s="30" t="n">
        <v>79626945</v>
      </c>
      <c r="D2106" s="30">
        <f>"03717227002941"</f>
        <v/>
      </c>
      <c r="E2106" s="30" t="inlineStr">
        <is>
          <t>NIPPONFLEX INDUSTRIA E COMERCIO DE COLCHOES LTDA</t>
        </is>
      </c>
      <c r="F2106" s="40" t="n">
        <v>5362310.03</v>
      </c>
      <c r="G2106" s="40" t="n">
        <v>6991516.71</v>
      </c>
      <c r="H2106" s="40" t="n">
        <v>5595684</v>
      </c>
      <c r="I2106" s="40" t="n">
        <v>2822906.44</v>
      </c>
      <c r="J2106" s="40" t="n">
        <v>2708282.46</v>
      </c>
      <c r="K2106" s="40" t="n">
        <v>1911934.33</v>
      </c>
      <c r="L2106" s="40" t="n">
        <v>1427929.77</v>
      </c>
    </row>
    <row r="2107" ht="12" customHeight="1">
      <c r="A2107" s="30" t="inlineStr">
        <is>
          <t>POR</t>
        </is>
      </c>
      <c r="B2107" s="30" t="inlineStr">
        <is>
          <t>Porto Real</t>
        </is>
      </c>
      <c r="C2107" s="30" t="n">
        <v>79632511</v>
      </c>
      <c r="D2107" s="30">
        <f>"02160284000613"</f>
        <v/>
      </c>
      <c r="E2107" s="30" t="inlineStr">
        <is>
          <t>IPA - INDUSTRIA DE PRODUTOS AUTOMOTIVOS RGS LTDA</t>
        </is>
      </c>
      <c r="F2107" s="40" t="n">
        <v>20464367.27</v>
      </c>
      <c r="G2107" s="40" t="n">
        <v>22892086.2</v>
      </c>
      <c r="H2107" s="40" t="n">
        <v>11137705.04</v>
      </c>
      <c r="I2107" s="40" t="n">
        <v>0</v>
      </c>
      <c r="J2107" s="40" t="n">
        <v>0</v>
      </c>
      <c r="K2107" s="40" t="n">
        <v>0</v>
      </c>
      <c r="L2107" s="40" t="n">
        <v>0</v>
      </c>
    </row>
    <row r="2108" ht="12" customHeight="1">
      <c r="A2108" s="30" t="inlineStr">
        <is>
          <t>POR</t>
        </is>
      </c>
      <c r="B2108" s="30" t="inlineStr">
        <is>
          <t>Porto Real</t>
        </is>
      </c>
      <c r="C2108" s="30" t="n">
        <v>79639990</v>
      </c>
      <c r="D2108" s="30">
        <f>"04605519000235"</f>
        <v/>
      </c>
      <c r="E2108" s="30" t="inlineStr">
        <is>
          <t>TRANS TRUCK LOGISTICA E TRANSPORTES LTDA</t>
        </is>
      </c>
      <c r="F2108" s="40" t="n">
        <v>0</v>
      </c>
      <c r="G2108" s="40" t="n">
        <v>0.02</v>
      </c>
      <c r="H2108" s="40" t="n">
        <v>0</v>
      </c>
      <c r="I2108" s="40" t="n">
        <v>0</v>
      </c>
      <c r="J2108" s="40" t="n">
        <v>0</v>
      </c>
      <c r="K2108" s="40" t="n">
        <v>0</v>
      </c>
      <c r="L2108" s="40" t="n">
        <v>0</v>
      </c>
    </row>
    <row r="2109" ht="12" customHeight="1">
      <c r="A2109" s="30" t="inlineStr">
        <is>
          <t>POR</t>
        </is>
      </c>
      <c r="B2109" s="30" t="inlineStr">
        <is>
          <t>Porto Real</t>
        </is>
      </c>
      <c r="C2109" s="30" t="n">
        <v>79658421</v>
      </c>
      <c r="D2109" s="30">
        <f>"09294007000138"</f>
        <v/>
      </c>
      <c r="E2109" s="30" t="inlineStr">
        <is>
          <t>SPEEDNET PROVEDOR DE ACESSO A INTERNET LTDA</t>
        </is>
      </c>
      <c r="F2109" s="40" t="n">
        <v>0</v>
      </c>
      <c r="G2109" s="40" t="n">
        <v>0</v>
      </c>
      <c r="H2109" s="40" t="n">
        <v>0</v>
      </c>
      <c r="I2109" s="40" t="n">
        <v>0</v>
      </c>
      <c r="J2109" s="40" t="n">
        <v>0</v>
      </c>
      <c r="K2109" s="40" t="n">
        <v>0</v>
      </c>
      <c r="L2109" s="40" t="n">
        <v>32763.88</v>
      </c>
    </row>
    <row r="2110" ht="12" customHeight="1">
      <c r="A2110" s="30" t="inlineStr">
        <is>
          <t>POR</t>
        </is>
      </c>
      <c r="B2110" s="30" t="inlineStr">
        <is>
          <t>Porto Real</t>
        </is>
      </c>
      <c r="C2110" s="30" t="n">
        <v>79661775</v>
      </c>
      <c r="D2110" s="30">
        <f>"15598081000140"</f>
        <v/>
      </c>
      <c r="E2110" s="30" t="inlineStr">
        <is>
          <t>RAIMUNDO OLIVEIRA BARNABE ME</t>
        </is>
      </c>
      <c r="F2110" s="40" t="n">
        <v>0</v>
      </c>
      <c r="G2110" s="40" t="n">
        <v>0</v>
      </c>
      <c r="H2110" s="40" t="n">
        <v>0</v>
      </c>
      <c r="I2110" s="40" t="n">
        <v>0</v>
      </c>
      <c r="J2110" s="40" t="n">
        <v>0</v>
      </c>
      <c r="K2110" s="40" t="n">
        <v>0</v>
      </c>
      <c r="L2110" s="40" t="n">
        <v>0</v>
      </c>
    </row>
    <row r="2111" ht="12" customHeight="1">
      <c r="A2111" s="30" t="inlineStr">
        <is>
          <t>POR</t>
        </is>
      </c>
      <c r="B2111" s="30" t="inlineStr">
        <is>
          <t>Porto Real</t>
        </is>
      </c>
      <c r="C2111" s="30" t="n">
        <v>79665479</v>
      </c>
      <c r="D2111" s="30">
        <f>"09354773000221"</f>
        <v/>
      </c>
      <c r="E2111" s="30" t="inlineStr">
        <is>
          <t>PREMAX ENGENHARIA E COMERCIO LTDA</t>
        </is>
      </c>
      <c r="F2111" s="40" t="n">
        <v>0</v>
      </c>
      <c r="G2111" s="40" t="n">
        <v>0</v>
      </c>
      <c r="H2111" s="40" t="n">
        <v>0</v>
      </c>
      <c r="I2111" s="40" t="n">
        <v>0</v>
      </c>
      <c r="J2111" s="40" t="n">
        <v>1330</v>
      </c>
      <c r="K2111" s="40" t="n">
        <v>2450</v>
      </c>
      <c r="L2111" s="40" t="n">
        <v>0</v>
      </c>
    </row>
    <row r="2112" ht="12" customHeight="1">
      <c r="A2112" s="30" t="inlineStr">
        <is>
          <t>POR</t>
        </is>
      </c>
      <c r="B2112" s="30" t="inlineStr">
        <is>
          <t>Porto Real</t>
        </is>
      </c>
      <c r="C2112" s="30" t="n">
        <v>79669954</v>
      </c>
      <c r="D2112" s="30">
        <f>"72039647000138"</f>
        <v/>
      </c>
      <c r="E2112" s="30" t="inlineStr">
        <is>
          <t>AMBI RIO BENEFICIAMENTO DE RESIDUOS E COMERCIO DE INSUMOS INDU</t>
        </is>
      </c>
      <c r="F2112" s="40" t="n">
        <v>0</v>
      </c>
      <c r="G2112" s="40" t="n">
        <v>0</v>
      </c>
      <c r="H2112" s="40" t="n">
        <v>0</v>
      </c>
      <c r="I2112" s="40" t="n">
        <v>0</v>
      </c>
      <c r="J2112" s="40" t="n">
        <v>0</v>
      </c>
      <c r="K2112" s="40" t="n">
        <v>0</v>
      </c>
      <c r="L2112" s="40" t="n">
        <v>0</v>
      </c>
    </row>
    <row r="2113" ht="12" customHeight="1">
      <c r="A2113" s="30" t="inlineStr">
        <is>
          <t>POR</t>
        </is>
      </c>
      <c r="B2113" s="30" t="inlineStr">
        <is>
          <t>Porto Real</t>
        </is>
      </c>
      <c r="C2113" s="30" t="n">
        <v>79673692</v>
      </c>
      <c r="D2113" s="30">
        <f>"08873020000260"</f>
        <v/>
      </c>
      <c r="E2113" s="30" t="inlineStr">
        <is>
          <t>METALIMPEX DO BRASIL LTDA</t>
        </is>
      </c>
      <c r="F2113" s="40" t="n">
        <v>9777585.949999999</v>
      </c>
      <c r="G2113" s="40" t="n">
        <v>0</v>
      </c>
      <c r="H2113" s="40" t="n">
        <v>0</v>
      </c>
      <c r="I2113" s="40" t="n">
        <v>0</v>
      </c>
      <c r="J2113" s="40" t="n">
        <v>0</v>
      </c>
      <c r="K2113" s="40" t="n">
        <v>0</v>
      </c>
      <c r="L2113" s="40" t="n">
        <v>0</v>
      </c>
    </row>
    <row r="2114" ht="12" customHeight="1">
      <c r="A2114" s="30" t="inlineStr">
        <is>
          <t>POR</t>
        </is>
      </c>
      <c r="B2114" s="30" t="inlineStr">
        <is>
          <t>Porto Real</t>
        </is>
      </c>
      <c r="C2114" s="30" t="n">
        <v>79676365</v>
      </c>
      <c r="D2114" s="30">
        <f>"59105262002026"</f>
        <v/>
      </c>
      <c r="E2114" s="30" t="inlineStr">
        <is>
          <t>TRANSAUTO TRANSPORTES ESPECIALIZADOS DE AUTOMOVEIS S A</t>
        </is>
      </c>
      <c r="F2114" s="40" t="n">
        <v>31871770.03</v>
      </c>
      <c r="G2114" s="40" t="n">
        <v>1410</v>
      </c>
      <c r="H2114" s="40" t="n">
        <v>200</v>
      </c>
      <c r="I2114" s="40" t="n">
        <v>7990</v>
      </c>
      <c r="J2114" s="40" t="n">
        <v>66820</v>
      </c>
      <c r="K2114" s="40" t="n">
        <v>17580</v>
      </c>
      <c r="L2114" s="40" t="n">
        <v>26630</v>
      </c>
    </row>
    <row r="2115" ht="12" customHeight="1">
      <c r="A2115" s="30" t="inlineStr">
        <is>
          <t>POR</t>
        </is>
      </c>
      <c r="B2115" s="30" t="inlineStr">
        <is>
          <t>Porto Real</t>
        </is>
      </c>
      <c r="C2115" s="30" t="n">
        <v>79743640</v>
      </c>
      <c r="D2115" s="30">
        <f>"16758051000117"</f>
        <v/>
      </c>
      <c r="E2115" s="30" t="inlineStr">
        <is>
          <t>EXPRESSO TRANSPORTADORA CELTON LTDA ME</t>
        </is>
      </c>
      <c r="F2115" s="40" t="n">
        <v>496788.49</v>
      </c>
      <c r="G2115" s="40" t="n">
        <v>1625039.13</v>
      </c>
      <c r="H2115" s="40" t="n">
        <v>2191136.5</v>
      </c>
      <c r="I2115" s="40" t="n">
        <v>2240964.5</v>
      </c>
      <c r="J2115" s="40" t="n">
        <v>2248918.28</v>
      </c>
      <c r="K2115" s="40" t="n">
        <v>2412375.22</v>
      </c>
      <c r="L2115" s="40" t="n">
        <v>2228809.8</v>
      </c>
    </row>
    <row r="2116" ht="12" customHeight="1">
      <c r="A2116" s="30" t="inlineStr">
        <is>
          <t>POR</t>
        </is>
      </c>
      <c r="B2116" s="30" t="inlineStr">
        <is>
          <t>Porto Real</t>
        </is>
      </c>
      <c r="C2116" s="30" t="n">
        <v>79746428</v>
      </c>
      <c r="D2116" s="30">
        <f>"16783986000153"</f>
        <v/>
      </c>
      <c r="E2116" s="30" t="inlineStr">
        <is>
          <t>OLIVEIRA E GRACIANI PADARIA LTDA ME - ME</t>
        </is>
      </c>
      <c r="F2116" s="40" t="n">
        <v>0</v>
      </c>
      <c r="G2116" s="40" t="n">
        <v>0</v>
      </c>
      <c r="H2116" s="40" t="n">
        <v>0</v>
      </c>
      <c r="I2116" s="40" t="n">
        <v>0</v>
      </c>
      <c r="J2116" s="40" t="n">
        <v>0</v>
      </c>
      <c r="K2116" s="40" t="n">
        <v>0</v>
      </c>
      <c r="L2116" s="40" t="n">
        <v>0</v>
      </c>
    </row>
    <row r="2117" ht="12" customHeight="1">
      <c r="A2117" s="30" t="inlineStr">
        <is>
          <t>POR</t>
        </is>
      </c>
      <c r="B2117" s="30" t="inlineStr">
        <is>
          <t>Porto Real</t>
        </is>
      </c>
      <c r="C2117" s="30" t="n">
        <v>79757055</v>
      </c>
      <c r="D2117" s="30">
        <f>"20468310010024"</f>
        <v/>
      </c>
      <c r="E2117" s="30" t="inlineStr">
        <is>
          <t>TORA TRANSPORTES INDUSTRIAIS LTDA</t>
        </is>
      </c>
      <c r="F2117" s="40" t="n">
        <v>11109102.98</v>
      </c>
      <c r="G2117" s="40" t="n">
        <v>18857454.96</v>
      </c>
      <c r="H2117" s="40" t="n">
        <v>17062683.22</v>
      </c>
      <c r="I2117" s="40" t="n">
        <v>14509264.18</v>
      </c>
      <c r="J2117" s="40" t="n">
        <v>13040590.81</v>
      </c>
      <c r="K2117" s="40" t="n">
        <v>15373049.91</v>
      </c>
      <c r="L2117" s="40" t="n">
        <v>21543099.4</v>
      </c>
    </row>
    <row r="2118" ht="12" customHeight="1">
      <c r="A2118" s="30" t="inlineStr">
        <is>
          <t>POR</t>
        </is>
      </c>
      <c r="B2118" s="30" t="inlineStr">
        <is>
          <t>Porto Real</t>
        </is>
      </c>
      <c r="C2118" s="30" t="n">
        <v>79762172</v>
      </c>
      <c r="D2118" s="30">
        <f>"01178298001754"</f>
        <v/>
      </c>
      <c r="E2118" s="30" t="inlineStr">
        <is>
          <t>FAURECIA AUTOMOTIVE DO BRASIL LTDA</t>
        </is>
      </c>
      <c r="F2118" s="40" t="n">
        <v>47249525.92</v>
      </c>
      <c r="G2118" s="40" t="n">
        <v>77885781.28</v>
      </c>
      <c r="H2118" s="40" t="n">
        <v>35428106.9</v>
      </c>
      <c r="I2118" s="40" t="n">
        <v>22897933.54</v>
      </c>
      <c r="J2118" s="40" t="n">
        <v>34438663.01</v>
      </c>
      <c r="K2118" s="40" t="n">
        <v>17803459.05</v>
      </c>
      <c r="L2118" s="40" t="n">
        <v>8143333.34</v>
      </c>
    </row>
    <row r="2119" ht="12" customHeight="1">
      <c r="A2119" s="30" t="inlineStr">
        <is>
          <t>POR</t>
        </is>
      </c>
      <c r="B2119" s="30" t="inlineStr">
        <is>
          <t>Porto Real</t>
        </is>
      </c>
      <c r="C2119" s="30" t="n">
        <v>79777242</v>
      </c>
      <c r="D2119" s="30">
        <f>"01980411000153"</f>
        <v/>
      </c>
      <c r="E2119" s="30" t="inlineStr">
        <is>
          <t>PADARIA TEIXEIRA MENDONCA LTDA ME</t>
        </is>
      </c>
      <c r="F2119" s="40" t="n">
        <v>0</v>
      </c>
      <c r="G2119" s="40" t="n">
        <v>0</v>
      </c>
      <c r="H2119" s="40" t="n">
        <v>0</v>
      </c>
      <c r="I2119" s="40" t="n">
        <v>0</v>
      </c>
      <c r="J2119" s="40" t="n">
        <v>0</v>
      </c>
      <c r="K2119" s="40" t="n">
        <v>0</v>
      </c>
      <c r="L2119" s="40" t="n">
        <v>0</v>
      </c>
    </row>
    <row r="2120" ht="12" customHeight="1">
      <c r="A2120" s="30" t="inlineStr">
        <is>
          <t>POR</t>
        </is>
      </c>
      <c r="B2120" s="30" t="inlineStr">
        <is>
          <t>Porto Real</t>
        </is>
      </c>
      <c r="C2120" s="30" t="n">
        <v>79788759</v>
      </c>
      <c r="D2120" s="30">
        <f>"00173639000179"</f>
        <v/>
      </c>
      <c r="E2120" s="30" t="inlineStr">
        <is>
          <t>M H S MACHADO COUTINHO ME</t>
        </is>
      </c>
      <c r="F2120" s="40" t="n">
        <v>0</v>
      </c>
      <c r="G2120" s="40" t="n">
        <v>0</v>
      </c>
      <c r="H2120" s="40" t="n">
        <v>0</v>
      </c>
      <c r="I2120" s="40" t="n">
        <v>0</v>
      </c>
      <c r="J2120" s="40" t="n">
        <v>0</v>
      </c>
      <c r="K2120" s="40" t="n">
        <v>0</v>
      </c>
      <c r="L2120" s="40" t="n">
        <v>0</v>
      </c>
    </row>
    <row r="2121" ht="12" customHeight="1">
      <c r="A2121" s="30" t="inlineStr">
        <is>
          <t>POR</t>
        </is>
      </c>
      <c r="B2121" s="30" t="inlineStr">
        <is>
          <t>Porto Real</t>
        </is>
      </c>
      <c r="C2121" s="30" t="n">
        <v>79798460</v>
      </c>
      <c r="D2121" s="30">
        <f>"05597965000470"</f>
        <v/>
      </c>
      <c r="E2121" s="30" t="inlineStr">
        <is>
          <t>KR TRANSPORTES E LOGISTICA LTDA</t>
        </is>
      </c>
      <c r="F2121" s="40" t="n">
        <v>0</v>
      </c>
      <c r="G2121" s="40" t="n">
        <v>0</v>
      </c>
      <c r="H2121" s="40" t="n">
        <v>0</v>
      </c>
      <c r="I2121" s="40" t="n">
        <v>0</v>
      </c>
      <c r="J2121" s="40" t="n">
        <v>0</v>
      </c>
      <c r="K2121" s="40" t="n">
        <v>54.49</v>
      </c>
      <c r="L2121" s="40" t="n">
        <v>86.86</v>
      </c>
    </row>
    <row r="2122" ht="12" customHeight="1">
      <c r="A2122" s="30" t="inlineStr">
        <is>
          <t>POR</t>
        </is>
      </c>
      <c r="B2122" s="30" t="inlineStr">
        <is>
          <t>Porto Real</t>
        </is>
      </c>
      <c r="C2122" s="30" t="n">
        <v>79810169</v>
      </c>
      <c r="D2122" s="30">
        <f>"01838723041311"</f>
        <v/>
      </c>
      <c r="E2122" s="30" t="inlineStr">
        <is>
          <t>BRF S A</t>
        </is>
      </c>
      <c r="F2122" s="40" t="n">
        <v>0</v>
      </c>
      <c r="G2122" s="40" t="n">
        <v>0</v>
      </c>
      <c r="H2122" s="40" t="n">
        <v>0</v>
      </c>
      <c r="I2122" s="40" t="n">
        <v>0</v>
      </c>
      <c r="J2122" s="40" t="n">
        <v>0</v>
      </c>
      <c r="K2122" s="40" t="n">
        <v>27093.36</v>
      </c>
      <c r="L2122" s="40" t="n">
        <v>206248.99</v>
      </c>
    </row>
    <row r="2123" ht="12" customHeight="1">
      <c r="A2123" s="30" t="inlineStr">
        <is>
          <t>POR</t>
        </is>
      </c>
      <c r="B2123" s="30" t="inlineStr">
        <is>
          <t>Porto Real</t>
        </is>
      </c>
      <c r="C2123" s="30" t="n">
        <v>79816930</v>
      </c>
      <c r="D2123" s="30">
        <f>"05423963013361"</f>
        <v/>
      </c>
      <c r="E2123" s="30" t="inlineStr">
        <is>
          <t>OI MOVEL S.A. - EM RECUPERACAO JUDICIAL</t>
        </is>
      </c>
      <c r="F2123" s="40" t="n">
        <v>360922.8</v>
      </c>
      <c r="G2123" s="40" t="n">
        <v>329276.35</v>
      </c>
      <c r="H2123" s="40" t="n">
        <v>298541.12</v>
      </c>
      <c r="I2123" s="40" t="n">
        <v>303021.05</v>
      </c>
      <c r="J2123" s="40" t="n">
        <v>316400.78</v>
      </c>
      <c r="K2123" s="40" t="n">
        <v>25626.45</v>
      </c>
      <c r="L2123" s="40" t="n">
        <v>0</v>
      </c>
    </row>
    <row r="2124" ht="12" customHeight="1">
      <c r="A2124" s="30" t="inlineStr">
        <is>
          <t>POR</t>
        </is>
      </c>
      <c r="B2124" s="30" t="inlineStr">
        <is>
          <t>Porto Real</t>
        </is>
      </c>
      <c r="C2124" s="30" t="n">
        <v>79825719</v>
      </c>
      <c r="D2124" s="30">
        <f>"11040609000100"</f>
        <v/>
      </c>
      <c r="E2124" s="30" t="inlineStr">
        <is>
          <t>H D LOG TRANSPORTES LTDA ME</t>
        </is>
      </c>
      <c r="F2124" s="40" t="n">
        <v>0</v>
      </c>
      <c r="G2124" s="40" t="n">
        <v>0</v>
      </c>
      <c r="H2124" s="40" t="n">
        <v>0</v>
      </c>
      <c r="I2124" s="40" t="n">
        <v>0</v>
      </c>
      <c r="J2124" s="40" t="n">
        <v>0</v>
      </c>
      <c r="K2124" s="40" t="n">
        <v>105.61</v>
      </c>
      <c r="L2124" s="40" t="n">
        <v>402.55</v>
      </c>
    </row>
    <row r="2125" ht="12" customHeight="1">
      <c r="A2125" s="30" t="inlineStr">
        <is>
          <t>POR</t>
        </is>
      </c>
      <c r="B2125" s="30" t="inlineStr">
        <is>
          <t>Porto Real</t>
        </is>
      </c>
      <c r="C2125" s="30" t="n">
        <v>79832049</v>
      </c>
      <c r="D2125" s="30">
        <f>"17354841000108"</f>
        <v/>
      </c>
      <c r="E2125" s="30" t="inlineStr">
        <is>
          <t>TRANSPAX TRANSPORTADORA LTDA</t>
        </is>
      </c>
      <c r="F2125" s="40" t="n">
        <v>137098.16</v>
      </c>
      <c r="G2125" s="40" t="n">
        <v>256212.44</v>
      </c>
      <c r="H2125" s="40" t="n">
        <v>1756105.24</v>
      </c>
      <c r="I2125" s="40" t="n">
        <v>865955.48</v>
      </c>
      <c r="J2125" s="40" t="n">
        <v>4625634</v>
      </c>
      <c r="K2125" s="40" t="n">
        <v>11324801.77</v>
      </c>
      <c r="L2125" s="40" t="n">
        <v>5752530.27</v>
      </c>
    </row>
    <row r="2126" ht="12" customHeight="1">
      <c r="A2126" s="30" t="inlineStr">
        <is>
          <t>POR</t>
        </is>
      </c>
      <c r="B2126" s="30" t="inlineStr">
        <is>
          <t>Porto Real</t>
        </is>
      </c>
      <c r="C2126" s="30" t="n">
        <v>79835862</v>
      </c>
      <c r="D2126" s="30">
        <f>"02351144003648"</f>
        <v/>
      </c>
      <c r="E2126" s="30" t="inlineStr">
        <is>
          <t>TEGMA GESTAO LOGISTICA S/A</t>
        </is>
      </c>
      <c r="F2126" s="40" t="n">
        <v>391784.99</v>
      </c>
      <c r="G2126" s="40" t="n">
        <v>448820.59</v>
      </c>
      <c r="H2126" s="40" t="n">
        <v>588782.8199999999</v>
      </c>
      <c r="I2126" s="40" t="n">
        <v>387012.13</v>
      </c>
      <c r="J2126" s="40" t="n">
        <v>2311080.14</v>
      </c>
      <c r="K2126" s="40" t="n">
        <v>3356972.05</v>
      </c>
      <c r="L2126" s="40" t="n">
        <v>2974007.4</v>
      </c>
    </row>
    <row r="2127" ht="12" customHeight="1">
      <c r="A2127" s="30" t="inlineStr">
        <is>
          <t>POR</t>
        </is>
      </c>
      <c r="B2127" s="30" t="inlineStr">
        <is>
          <t>Porto Real</t>
        </is>
      </c>
      <c r="C2127" s="30" t="n">
        <v>79852120</v>
      </c>
      <c r="D2127" s="30">
        <f>"09174577000780"</f>
        <v/>
      </c>
      <c r="E2127" s="30" t="inlineStr">
        <is>
          <t>BCUBE LOGISTIC LTDA</t>
        </is>
      </c>
      <c r="F2127" s="40" t="n">
        <v>3214.4</v>
      </c>
      <c r="G2127" s="40" t="n">
        <v>1191.88</v>
      </c>
      <c r="H2127" s="40" t="n">
        <v>0</v>
      </c>
      <c r="I2127" s="40" t="n">
        <v>0</v>
      </c>
      <c r="J2127" s="40" t="n">
        <v>0</v>
      </c>
      <c r="K2127" s="40" t="n">
        <v>0</v>
      </c>
      <c r="L2127" s="40" t="n">
        <v>0</v>
      </c>
    </row>
    <row r="2128" ht="12" customHeight="1">
      <c r="A2128" s="30" t="inlineStr">
        <is>
          <t>POR</t>
        </is>
      </c>
      <c r="B2128" s="30" t="inlineStr">
        <is>
          <t>Porto Real</t>
        </is>
      </c>
      <c r="C2128" s="30" t="n">
        <v>79858226</v>
      </c>
      <c r="D2128" s="30">
        <f>"49243124000430"</f>
        <v/>
      </c>
      <c r="E2128" s="30" t="inlineStr">
        <is>
          <t>TRANSMORENO TRANSPORTE E LOGISTICA LTDA</t>
        </is>
      </c>
      <c r="F2128" s="40" t="n">
        <v>2386.6</v>
      </c>
      <c r="G2128" s="40" t="n">
        <v>9831.16</v>
      </c>
      <c r="H2128" s="40" t="n">
        <v>4029.76</v>
      </c>
      <c r="I2128" s="40" t="n">
        <v>2546775.67</v>
      </c>
      <c r="J2128" s="40" t="n">
        <v>39874242.82</v>
      </c>
      <c r="K2128" s="40" t="n">
        <v>800918.3100000001</v>
      </c>
      <c r="L2128" s="40" t="n">
        <v>2866.24</v>
      </c>
    </row>
    <row r="2129" ht="12" customHeight="1">
      <c r="A2129" s="30" t="inlineStr">
        <is>
          <t>POR</t>
        </is>
      </c>
      <c r="B2129" s="30" t="inlineStr">
        <is>
          <t>Porto Real</t>
        </is>
      </c>
      <c r="C2129" s="30" t="n">
        <v>79869988</v>
      </c>
      <c r="D2129" s="30">
        <f>"60541240000710"</f>
        <v/>
      </c>
      <c r="E2129" s="30" t="inlineStr">
        <is>
          <t>TECNOLOG TRANSPORTES RODO AEREO E LOGISTICA LTDA</t>
        </is>
      </c>
      <c r="F2129" s="40" t="n">
        <v>0</v>
      </c>
      <c r="G2129" s="40" t="n">
        <v>0</v>
      </c>
      <c r="H2129" s="40" t="n">
        <v>0</v>
      </c>
      <c r="I2129" s="40" t="n">
        <v>0</v>
      </c>
      <c r="J2129" s="40" t="n">
        <v>858.5</v>
      </c>
      <c r="K2129" s="40" t="n">
        <v>0</v>
      </c>
      <c r="L2129" s="40" t="n">
        <v>0</v>
      </c>
    </row>
    <row r="2130" ht="12" customHeight="1">
      <c r="A2130" s="30" t="inlineStr">
        <is>
          <t>POR</t>
        </is>
      </c>
      <c r="B2130" s="30" t="inlineStr">
        <is>
          <t>Porto Real</t>
        </is>
      </c>
      <c r="C2130" s="30" t="n">
        <v>79886602</v>
      </c>
      <c r="D2130" s="30">
        <f>"16734288000168"</f>
        <v/>
      </c>
      <c r="E2130" s="30" t="inlineStr">
        <is>
          <t>RT MULTI SERVICE LTDA ME</t>
        </is>
      </c>
      <c r="F2130" s="40" t="n">
        <v>0</v>
      </c>
      <c r="G2130" s="40" t="n">
        <v>0</v>
      </c>
      <c r="H2130" s="40" t="n">
        <v>0</v>
      </c>
      <c r="I2130" s="40" t="n">
        <v>0</v>
      </c>
      <c r="J2130" s="40" t="n">
        <v>0</v>
      </c>
      <c r="K2130" s="40" t="n">
        <v>0</v>
      </c>
      <c r="L2130" s="40" t="n">
        <v>106343.27</v>
      </c>
    </row>
    <row r="2131" ht="12" customHeight="1">
      <c r="A2131" s="30" t="inlineStr">
        <is>
          <t>POR</t>
        </is>
      </c>
      <c r="B2131" s="30" t="inlineStr">
        <is>
          <t>Porto Real</t>
        </is>
      </c>
      <c r="C2131" s="30" t="n">
        <v>79918768</v>
      </c>
      <c r="D2131" s="30">
        <f>"17636490000110"</f>
        <v/>
      </c>
      <c r="E2131" s="30" t="inlineStr">
        <is>
          <t>TMA TRANSPORTE LOTACAO E LOGISTICA LTDA</t>
        </is>
      </c>
      <c r="F2131" s="40" t="n">
        <v>0</v>
      </c>
      <c r="G2131" s="40" t="n">
        <v>0</v>
      </c>
      <c r="H2131" s="40" t="n">
        <v>454.29</v>
      </c>
      <c r="I2131" s="40" t="n">
        <v>352.71</v>
      </c>
      <c r="J2131" s="40" t="n">
        <v>0</v>
      </c>
      <c r="K2131" s="40" t="n">
        <v>0</v>
      </c>
      <c r="L2131" s="40" t="n">
        <v>0</v>
      </c>
    </row>
    <row r="2132" ht="12" customHeight="1">
      <c r="A2132" s="30" t="inlineStr">
        <is>
          <t>POR</t>
        </is>
      </c>
      <c r="B2132" s="30" t="inlineStr">
        <is>
          <t>Porto Real</t>
        </is>
      </c>
      <c r="C2132" s="30" t="n">
        <v>79920746</v>
      </c>
      <c r="D2132" s="30">
        <f>"17902247000104"</f>
        <v/>
      </c>
      <c r="E2132" s="30" t="inlineStr">
        <is>
          <t>LAFE DISTRIBUIDORA DE DOCES LTDA - ME</t>
        </is>
      </c>
      <c r="F2132" s="40" t="n">
        <v>0</v>
      </c>
      <c r="G2132" s="40" t="n">
        <v>0</v>
      </c>
      <c r="H2132" s="40" t="n">
        <v>0</v>
      </c>
      <c r="I2132" s="40" t="n">
        <v>0</v>
      </c>
      <c r="J2132" s="40" t="n">
        <v>0</v>
      </c>
      <c r="K2132" s="40" t="n">
        <v>0</v>
      </c>
      <c r="L2132" s="40" t="n">
        <v>0</v>
      </c>
    </row>
    <row r="2133" ht="12" customHeight="1">
      <c r="A2133" s="30" t="inlineStr">
        <is>
          <t>POR</t>
        </is>
      </c>
      <c r="B2133" s="30" t="inlineStr">
        <is>
          <t>Porto Real</t>
        </is>
      </c>
      <c r="C2133" s="30" t="n">
        <v>79953911</v>
      </c>
      <c r="D2133" s="30">
        <f>"18410271000180"</f>
        <v/>
      </c>
      <c r="E2133" s="30" t="inlineStr">
        <is>
          <t>EXPRESSO GIBB TRANSPORTES EIRELI</t>
        </is>
      </c>
      <c r="F2133" s="40" t="n">
        <v>0</v>
      </c>
      <c r="G2133" s="40" t="n">
        <v>518.92</v>
      </c>
      <c r="H2133" s="40" t="n">
        <v>0</v>
      </c>
      <c r="I2133" s="40" t="n">
        <v>0</v>
      </c>
      <c r="J2133" s="40" t="n">
        <v>0</v>
      </c>
      <c r="K2133" s="40" t="n">
        <v>0</v>
      </c>
      <c r="L2133" s="40" t="n">
        <v>0</v>
      </c>
    </row>
    <row r="2134" ht="12" customHeight="1">
      <c r="A2134" s="30" t="inlineStr">
        <is>
          <t>POR</t>
        </is>
      </c>
      <c r="B2134" s="30" t="inlineStr">
        <is>
          <t>Porto Real</t>
        </is>
      </c>
      <c r="C2134" s="30" t="n">
        <v>79958743</v>
      </c>
      <c r="D2134" s="30">
        <f>"06998179000102"</f>
        <v/>
      </c>
      <c r="E2134" s="30" t="inlineStr">
        <is>
          <t>LMT EMPREENDIMENTOS IMOBILIARIOS E PARTICIPACOES LTDA</t>
        </is>
      </c>
      <c r="F2134" s="40" t="n">
        <v>0</v>
      </c>
      <c r="G2134" s="40" t="n">
        <v>0</v>
      </c>
      <c r="H2134" s="40" t="n">
        <v>0</v>
      </c>
      <c r="I2134" s="40" t="n">
        <v>0</v>
      </c>
      <c r="J2134" s="40" t="n">
        <v>0</v>
      </c>
      <c r="K2134" s="40" t="n">
        <v>0</v>
      </c>
      <c r="L2134" s="40" t="n">
        <v>0</v>
      </c>
    </row>
    <row r="2135" ht="12" customHeight="1">
      <c r="A2135" s="30" t="inlineStr">
        <is>
          <t>POR</t>
        </is>
      </c>
      <c r="B2135" s="30" t="inlineStr">
        <is>
          <t>Porto Real</t>
        </is>
      </c>
      <c r="C2135" s="30" t="n">
        <v>79969265</v>
      </c>
      <c r="D2135" s="30">
        <f>"02905110054724"</f>
        <v/>
      </c>
      <c r="E2135" s="30" t="inlineStr">
        <is>
          <t>GR SERVICOS E ALIMENTACAO LTDA</t>
        </is>
      </c>
      <c r="F2135" s="40" t="n">
        <v>0</v>
      </c>
      <c r="G2135" s="40" t="n">
        <v>0</v>
      </c>
      <c r="H2135" s="40" t="n">
        <v>0</v>
      </c>
      <c r="I2135" s="40" t="n">
        <v>0</v>
      </c>
      <c r="J2135" s="40" t="n">
        <v>0</v>
      </c>
      <c r="K2135" s="40" t="n">
        <v>0</v>
      </c>
      <c r="L2135" s="40" t="n">
        <v>0</v>
      </c>
    </row>
    <row r="2136" ht="12" customHeight="1">
      <c r="A2136" s="30" t="inlineStr">
        <is>
          <t>POR</t>
        </is>
      </c>
      <c r="B2136" s="30" t="inlineStr">
        <is>
          <t>Porto Real</t>
        </is>
      </c>
      <c r="C2136" s="30" t="n">
        <v>79988073</v>
      </c>
      <c r="D2136" s="30">
        <f>"18674775000108"</f>
        <v/>
      </c>
      <c r="E2136" s="30" t="inlineStr">
        <is>
          <t>M S DE ALMEIDA TRANSPORTES - ME</t>
        </is>
      </c>
      <c r="F2136" s="40" t="n">
        <v>0</v>
      </c>
      <c r="G2136" s="40" t="n">
        <v>0</v>
      </c>
      <c r="H2136" s="40" t="n">
        <v>0</v>
      </c>
      <c r="I2136" s="40" t="n">
        <v>125</v>
      </c>
      <c r="J2136" s="40" t="n">
        <v>0</v>
      </c>
      <c r="K2136" s="40" t="n">
        <v>0</v>
      </c>
      <c r="L2136" s="40" t="n">
        <v>0</v>
      </c>
    </row>
    <row r="2137" ht="12" customHeight="1">
      <c r="A2137" s="30" t="inlineStr">
        <is>
          <t>POR</t>
        </is>
      </c>
      <c r="B2137" s="30" t="inlineStr">
        <is>
          <t>Porto Real</t>
        </is>
      </c>
      <c r="C2137" s="30" t="n">
        <v>80046561</v>
      </c>
      <c r="D2137" s="30">
        <f>"33050071000158"</f>
        <v/>
      </c>
      <c r="E2137" s="30" t="inlineStr">
        <is>
          <t>AMPLA ENERGIA E SERVICOS S.A.</t>
        </is>
      </c>
      <c r="F2137" s="40" t="n">
        <v>44198636.25</v>
      </c>
      <c r="G2137" s="40" t="n">
        <v>56721497.69</v>
      </c>
      <c r="H2137" s="40" t="n">
        <v>61409473.33</v>
      </c>
      <c r="I2137" s="40" t="n">
        <v>56658761.19</v>
      </c>
      <c r="J2137" s="40" t="n">
        <v>40683068.12</v>
      </c>
      <c r="K2137" s="40" t="n">
        <v>77301146.84999999</v>
      </c>
      <c r="L2137" s="40" t="n">
        <v>58261402.26</v>
      </c>
    </row>
    <row r="2138" ht="12" customHeight="1">
      <c r="A2138" s="30" t="inlineStr">
        <is>
          <t>POR</t>
        </is>
      </c>
      <c r="B2138" s="30" t="inlineStr">
        <is>
          <t>Porto Real</t>
        </is>
      </c>
      <c r="C2138" s="30" t="n">
        <v>80525745</v>
      </c>
      <c r="D2138" s="30">
        <f>"29453826000198"</f>
        <v/>
      </c>
      <c r="E2138" s="30" t="inlineStr">
        <is>
          <t>TRANSPORTE GENEROSO LTDA</t>
        </is>
      </c>
      <c r="F2138" s="40" t="n">
        <v>173974.69</v>
      </c>
      <c r="G2138" s="40" t="n">
        <v>11919.09</v>
      </c>
      <c r="H2138" s="40" t="n">
        <v>19363.02</v>
      </c>
      <c r="I2138" s="40" t="n">
        <v>29129.78</v>
      </c>
      <c r="J2138" s="40" t="n">
        <v>35089.29</v>
      </c>
      <c r="K2138" s="40" t="n">
        <v>30123.78</v>
      </c>
      <c r="L2138" s="40" t="n">
        <v>29589.85</v>
      </c>
    </row>
    <row r="2139" ht="12" customHeight="1">
      <c r="A2139" s="30" t="inlineStr">
        <is>
          <t>POR</t>
        </is>
      </c>
      <c r="B2139" s="30" t="inlineStr">
        <is>
          <t>Porto Real</t>
        </is>
      </c>
      <c r="C2139" s="30" t="n">
        <v>80530838</v>
      </c>
      <c r="D2139" s="30">
        <f>"29291184000178"</f>
        <v/>
      </c>
      <c r="E2139" s="30" t="inlineStr">
        <is>
          <t>TRANSPORTES TONIATO LTDA</t>
        </is>
      </c>
      <c r="F2139" s="40" t="n">
        <v>123084.29</v>
      </c>
      <c r="G2139" s="40" t="n">
        <v>13849.28</v>
      </c>
      <c r="H2139" s="40" t="n">
        <v>5955.28</v>
      </c>
      <c r="I2139" s="40" t="n">
        <v>1915.28</v>
      </c>
      <c r="J2139" s="40" t="n">
        <v>7273.13</v>
      </c>
      <c r="K2139" s="40" t="n">
        <v>3625.18</v>
      </c>
      <c r="L2139" s="40" t="n">
        <v>1247.87</v>
      </c>
    </row>
    <row r="2140" ht="12" customHeight="1">
      <c r="A2140" s="30" t="inlineStr">
        <is>
          <t>POR</t>
        </is>
      </c>
      <c r="B2140" s="30" t="inlineStr">
        <is>
          <t>Porto Real</t>
        </is>
      </c>
      <c r="C2140" s="30" t="n">
        <v>80593449</v>
      </c>
      <c r="D2140" s="30">
        <f>"31452667000159"</f>
        <v/>
      </c>
      <c r="E2140" s="30" t="inlineStr">
        <is>
          <t>SOCIEDADE AGRICOLA E INDUSTRIAL FONTANEZZI LTDA</t>
        </is>
      </c>
      <c r="F2140" s="40" t="n">
        <v>0</v>
      </c>
      <c r="G2140" s="40" t="n">
        <v>0</v>
      </c>
      <c r="H2140" s="40" t="n">
        <v>0</v>
      </c>
      <c r="I2140" s="40" t="n">
        <v>0</v>
      </c>
      <c r="J2140" s="40" t="n">
        <v>0</v>
      </c>
      <c r="K2140" s="40" t="n">
        <v>0</v>
      </c>
      <c r="L2140" s="40" t="n">
        <v>0</v>
      </c>
    </row>
    <row r="2141" ht="12" customHeight="1">
      <c r="A2141" s="30" t="inlineStr">
        <is>
          <t>POR</t>
        </is>
      </c>
      <c r="B2141" s="30" t="inlineStr">
        <is>
          <t>Porto Real</t>
        </is>
      </c>
      <c r="C2141" s="30" t="n">
        <v>80735936</v>
      </c>
      <c r="D2141" s="30">
        <f>"49930514002693"</f>
        <v/>
      </c>
      <c r="E2141" s="30" t="inlineStr">
        <is>
          <t>SODEXO DO BRASIL COMERCIAL S A</t>
        </is>
      </c>
      <c r="F2141" s="40" t="n">
        <v>0</v>
      </c>
      <c r="G2141" s="40" t="n">
        <v>0</v>
      </c>
      <c r="H2141" s="40" t="n">
        <v>0</v>
      </c>
      <c r="I2141" s="40" t="n">
        <v>44232.21</v>
      </c>
      <c r="J2141" s="40" t="n">
        <v>321117.37</v>
      </c>
      <c r="K2141" s="40" t="n">
        <v>321001.76</v>
      </c>
      <c r="L2141" s="40" t="n">
        <v>735573.78</v>
      </c>
    </row>
    <row r="2142" ht="12" customHeight="1">
      <c r="A2142" s="30" t="inlineStr">
        <is>
          <t>POR</t>
        </is>
      </c>
      <c r="B2142" s="30" t="inlineStr">
        <is>
          <t>Porto Real</t>
        </is>
      </c>
      <c r="C2142" s="30" t="n">
        <v>80829795</v>
      </c>
      <c r="D2142" s="30">
        <f>"32404063000108"</f>
        <v/>
      </c>
      <c r="E2142" s="30" t="inlineStr">
        <is>
          <t>VIACAO PROGRESSO E TURISMO S/A</t>
        </is>
      </c>
      <c r="F2142" s="40" t="n">
        <v>820.9</v>
      </c>
      <c r="G2142" s="40" t="n">
        <v>0</v>
      </c>
      <c r="H2142" s="40" t="n">
        <v>0</v>
      </c>
      <c r="I2142" s="40" t="n">
        <v>0</v>
      </c>
      <c r="J2142" s="40" t="n">
        <v>0</v>
      </c>
      <c r="K2142" s="40" t="n">
        <v>0</v>
      </c>
      <c r="L2142" s="40" t="n">
        <v>0</v>
      </c>
    </row>
    <row r="2143" ht="12" customHeight="1">
      <c r="A2143" s="30" t="inlineStr">
        <is>
          <t>POR</t>
        </is>
      </c>
      <c r="B2143" s="30" t="inlineStr">
        <is>
          <t>Porto Real</t>
        </is>
      </c>
      <c r="C2143" s="30" t="n">
        <v>81239592</v>
      </c>
      <c r="D2143" s="30">
        <f>"58890252000202"</f>
        <v/>
      </c>
      <c r="E2143" s="30" t="inlineStr">
        <is>
          <t>DHL EXPRESS BRASIL LTDA</t>
        </is>
      </c>
      <c r="F2143" s="40" t="n">
        <v>5282.02</v>
      </c>
      <c r="G2143" s="40" t="n">
        <v>4054.43</v>
      </c>
      <c r="H2143" s="40" t="n">
        <v>39.35</v>
      </c>
      <c r="I2143" s="40" t="n">
        <v>2441.58</v>
      </c>
      <c r="J2143" s="40" t="n">
        <v>1475.66</v>
      </c>
      <c r="K2143" s="40" t="n">
        <v>9179.129999999999</v>
      </c>
      <c r="L2143" s="40" t="n">
        <v>27118.29</v>
      </c>
    </row>
    <row r="2144" ht="12" customHeight="1">
      <c r="A2144" s="30" t="inlineStr">
        <is>
          <t>POR</t>
        </is>
      </c>
      <c r="B2144" s="30" t="inlineStr">
        <is>
          <t>Porto Real</t>
        </is>
      </c>
      <c r="C2144" s="30" t="n">
        <v>81258872</v>
      </c>
      <c r="D2144" s="30">
        <f>"87183570000738"</f>
        <v/>
      </c>
      <c r="E2144" s="30" t="inlineStr">
        <is>
          <t>TRANSPORTADORA MINUANO LTDA</t>
        </is>
      </c>
      <c r="F2144" s="40" t="n">
        <v>0</v>
      </c>
      <c r="G2144" s="40" t="n">
        <v>0</v>
      </c>
      <c r="H2144" s="40" t="n">
        <v>281.81</v>
      </c>
      <c r="I2144" s="40" t="n">
        <v>101.19</v>
      </c>
      <c r="J2144" s="40" t="n">
        <v>357.2</v>
      </c>
      <c r="K2144" s="40" t="n">
        <v>77.29000000000001</v>
      </c>
      <c r="L2144" s="40" t="n">
        <v>0</v>
      </c>
    </row>
    <row r="2145" ht="12" customHeight="1">
      <c r="A2145" s="30" t="inlineStr">
        <is>
          <t>POR</t>
        </is>
      </c>
      <c r="B2145" s="30" t="inlineStr">
        <is>
          <t>Porto Real</t>
        </is>
      </c>
      <c r="C2145" s="30" t="n">
        <v>81330174</v>
      </c>
      <c r="D2145" s="30">
        <f>"02905110001957"</f>
        <v/>
      </c>
      <c r="E2145" s="30" t="inlineStr">
        <is>
          <t>GR SERVICOS E ALIMENTACAO LTDA</t>
        </is>
      </c>
      <c r="F2145" s="40" t="n">
        <v>3698280.18</v>
      </c>
      <c r="G2145" s="40" t="n">
        <v>4201449.74</v>
      </c>
      <c r="H2145" s="40" t="n">
        <v>3288058.31</v>
      </c>
      <c r="I2145" s="40" t="n">
        <v>2874900.28</v>
      </c>
      <c r="J2145" s="40" t="n">
        <v>3070607.16</v>
      </c>
      <c r="K2145" s="40" t="n">
        <v>6519802.63</v>
      </c>
      <c r="L2145" s="40" t="n">
        <v>7995933.99</v>
      </c>
    </row>
    <row r="2146" ht="12" customHeight="1">
      <c r="A2146" s="30" t="inlineStr">
        <is>
          <t>POR</t>
        </is>
      </c>
      <c r="B2146" s="30" t="inlineStr">
        <is>
          <t>Porto Real</t>
        </is>
      </c>
      <c r="C2146" s="30" t="n">
        <v>81592578</v>
      </c>
      <c r="D2146" s="30">
        <f>"61190096000354"</f>
        <v/>
      </c>
      <c r="E2146" s="30" t="inlineStr">
        <is>
          <t>EUROFARMA LABORATORIOS S/A</t>
        </is>
      </c>
      <c r="F2146" s="40" t="n">
        <v>0</v>
      </c>
      <c r="G2146" s="40" t="n">
        <v>0</v>
      </c>
      <c r="H2146" s="40" t="n">
        <v>21861411.42</v>
      </c>
      <c r="I2146" s="40" t="n">
        <v>13184377.35</v>
      </c>
      <c r="J2146" s="40" t="n">
        <v>15330975.52</v>
      </c>
      <c r="K2146" s="40" t="n">
        <v>0</v>
      </c>
      <c r="L2146" s="40" t="n">
        <v>0</v>
      </c>
    </row>
    <row r="2147" ht="12" customHeight="1">
      <c r="A2147" s="30" t="inlineStr">
        <is>
          <t>POR</t>
        </is>
      </c>
      <c r="B2147" s="30" t="inlineStr">
        <is>
          <t>Porto Real</t>
        </is>
      </c>
      <c r="C2147" s="30" t="n">
        <v>81613419</v>
      </c>
      <c r="D2147" s="30">
        <f>"33841370000100"</f>
        <v/>
      </c>
      <c r="E2147" s="30" t="inlineStr">
        <is>
          <t>TRANSPORTADORA PEDRO ERNESTO LTDA EPP</t>
        </is>
      </c>
      <c r="F2147" s="40" t="n">
        <v>0</v>
      </c>
      <c r="G2147" s="40" t="n">
        <v>0</v>
      </c>
      <c r="H2147" s="40" t="n">
        <v>0</v>
      </c>
      <c r="I2147" s="40" t="n">
        <v>0</v>
      </c>
      <c r="J2147" s="40" t="n">
        <v>0</v>
      </c>
      <c r="K2147" s="40" t="n">
        <v>0</v>
      </c>
      <c r="L2147" s="40" t="n">
        <v>22210.1</v>
      </c>
    </row>
    <row r="2148" ht="12" customHeight="1">
      <c r="A2148" s="30" t="inlineStr">
        <is>
          <t>POR</t>
        </is>
      </c>
      <c r="B2148" s="30" t="inlineStr">
        <is>
          <t>Porto Real</t>
        </is>
      </c>
      <c r="C2148" s="30" t="n">
        <v>81613524</v>
      </c>
      <c r="D2148" s="30">
        <f>"34028316000294"</f>
        <v/>
      </c>
      <c r="E2148" s="30" t="inlineStr">
        <is>
          <t>EMPRESA BRASILEIRA DE CORREIOS E TELEGRAFOS</t>
        </is>
      </c>
      <c r="F2148" s="40" t="n">
        <v>1097.33</v>
      </c>
      <c r="G2148" s="40" t="n">
        <v>1404.14</v>
      </c>
      <c r="H2148" s="40" t="n">
        <v>7197.43</v>
      </c>
      <c r="I2148" s="40" t="n">
        <v>5436.78</v>
      </c>
      <c r="J2148" s="40" t="n">
        <v>5006.61</v>
      </c>
      <c r="K2148" s="40" t="n">
        <v>4542.81</v>
      </c>
      <c r="L2148" s="40" t="n">
        <v>4188.31</v>
      </c>
    </row>
    <row r="2149" ht="12" customHeight="1">
      <c r="A2149" s="30" t="inlineStr">
        <is>
          <t>POR</t>
        </is>
      </c>
      <c r="B2149" s="30" t="inlineStr">
        <is>
          <t>Porto Real</t>
        </is>
      </c>
      <c r="C2149" s="30" t="n">
        <v>81680469</v>
      </c>
      <c r="D2149" s="30">
        <f>"33000118000179"</f>
        <v/>
      </c>
      <c r="E2149" s="30" t="inlineStr">
        <is>
          <t>TELEMAR NORTE LESTE S/A EM RECUPERACAO JUDICIAL</t>
        </is>
      </c>
      <c r="F2149" s="40" t="n">
        <v>1584889.3</v>
      </c>
      <c r="G2149" s="40" t="n">
        <v>1259010.48</v>
      </c>
      <c r="H2149" s="40" t="n">
        <v>1031198.81</v>
      </c>
      <c r="I2149" s="40" t="n">
        <v>860989.0600000001</v>
      </c>
      <c r="J2149" s="40" t="n">
        <v>240334.69</v>
      </c>
      <c r="K2149" s="40" t="n">
        <v>0</v>
      </c>
      <c r="L2149" s="40" t="n">
        <v>0</v>
      </c>
    </row>
    <row r="2150" ht="12" customHeight="1">
      <c r="A2150" s="30" t="inlineStr">
        <is>
          <t>POR</t>
        </is>
      </c>
      <c r="B2150" s="30" t="inlineStr">
        <is>
          <t>Porto Real</t>
        </is>
      </c>
      <c r="C2150" s="30" t="n">
        <v>81760179</v>
      </c>
      <c r="D2150" s="30">
        <f>"61084018005253"</f>
        <v/>
      </c>
      <c r="E2150" s="30" t="inlineStr">
        <is>
          <t>VIACAO COMETA S/A</t>
        </is>
      </c>
      <c r="F2150" s="40" t="n">
        <v>0</v>
      </c>
      <c r="G2150" s="40" t="n">
        <v>0</v>
      </c>
      <c r="H2150" s="40" t="n">
        <v>0</v>
      </c>
      <c r="I2150" s="40" t="n">
        <v>0</v>
      </c>
      <c r="J2150" s="40" t="n">
        <v>0</v>
      </c>
      <c r="K2150" s="40" t="n">
        <v>0</v>
      </c>
      <c r="L2150" s="40" t="n">
        <v>6000</v>
      </c>
    </row>
    <row r="2151" ht="12" customHeight="1">
      <c r="A2151" s="30" t="inlineStr">
        <is>
          <t>POR</t>
        </is>
      </c>
      <c r="B2151" s="30" t="inlineStr">
        <is>
          <t>Porto Real</t>
        </is>
      </c>
      <c r="C2151" s="30" t="n">
        <v>81825017</v>
      </c>
      <c r="D2151" s="30">
        <f>"33337007000152"</f>
        <v/>
      </c>
      <c r="E2151" s="30" t="inlineStr">
        <is>
          <t>UTIL - UNIAO TRANSPORTE INTERESTADUAL DE LUXO LTDA</t>
        </is>
      </c>
      <c r="F2151" s="40" t="n">
        <v>0</v>
      </c>
      <c r="G2151" s="40" t="n">
        <v>843.6</v>
      </c>
      <c r="H2151" s="40" t="n">
        <v>86.05</v>
      </c>
      <c r="I2151" s="40" t="n">
        <v>0</v>
      </c>
      <c r="J2151" s="40" t="n">
        <v>0</v>
      </c>
      <c r="K2151" s="40" t="n">
        <v>0</v>
      </c>
      <c r="L2151" s="40" t="n">
        <v>0</v>
      </c>
    </row>
    <row r="2152" ht="12" customHeight="1">
      <c r="A2152" s="30" t="inlineStr">
        <is>
          <t>POR</t>
        </is>
      </c>
      <c r="B2152" s="30" t="inlineStr">
        <is>
          <t>Porto Real</t>
        </is>
      </c>
      <c r="C2152" s="30" t="n">
        <v>81832331</v>
      </c>
      <c r="D2152" s="30">
        <f>"43025774000503"</f>
        <v/>
      </c>
      <c r="E2152" s="30" t="inlineStr">
        <is>
          <t>RODOVIARIO BEDIN LTDA</t>
        </is>
      </c>
      <c r="F2152" s="40" t="n">
        <v>0</v>
      </c>
      <c r="G2152" s="40" t="n">
        <v>1016.12</v>
      </c>
      <c r="H2152" s="40" t="n">
        <v>0</v>
      </c>
      <c r="I2152" s="40" t="n">
        <v>0</v>
      </c>
      <c r="J2152" s="40" t="n">
        <v>0</v>
      </c>
      <c r="K2152" s="40" t="n">
        <v>389.96</v>
      </c>
      <c r="L2152" s="40" t="n">
        <v>1246.84</v>
      </c>
    </row>
    <row r="2153" ht="12" customHeight="1">
      <c r="A2153" s="30" t="inlineStr">
        <is>
          <t>POR</t>
        </is>
      </c>
      <c r="B2153" s="30" t="inlineStr">
        <is>
          <t>Porto Real</t>
        </is>
      </c>
      <c r="C2153" s="30" t="n">
        <v>81853053</v>
      </c>
      <c r="D2153" s="30">
        <f>"17463456000271"</f>
        <v/>
      </c>
      <c r="E2153" s="30" t="inlineStr">
        <is>
          <t>PATRUS TRANSPORTES LTDA</t>
        </is>
      </c>
      <c r="F2153" s="40" t="n">
        <v>429.61</v>
      </c>
      <c r="G2153" s="40" t="n">
        <v>792.41</v>
      </c>
      <c r="H2153" s="40" t="n">
        <v>1215.9</v>
      </c>
      <c r="I2153" s="40" t="n">
        <v>792</v>
      </c>
      <c r="J2153" s="40" t="n">
        <v>424.96</v>
      </c>
      <c r="K2153" s="40" t="n">
        <v>688.45</v>
      </c>
      <c r="L2153" s="40" t="n">
        <v>518.97</v>
      </c>
    </row>
    <row r="2154" ht="12" customHeight="1">
      <c r="A2154" s="30" t="inlineStr">
        <is>
          <t>POR</t>
        </is>
      </c>
      <c r="B2154" s="30" t="inlineStr">
        <is>
          <t>Porto Real</t>
        </is>
      </c>
      <c r="C2154" s="30" t="n">
        <v>81919852</v>
      </c>
      <c r="D2154" s="30">
        <f>"76728385000412"</f>
        <v/>
      </c>
      <c r="E2154" s="30" t="inlineStr">
        <is>
          <t>TRANSPORTES DIAMANTE LTDA</t>
        </is>
      </c>
      <c r="F2154" s="40" t="n">
        <v>0.13</v>
      </c>
      <c r="G2154" s="40" t="n">
        <v>0</v>
      </c>
      <c r="H2154" s="40" t="n">
        <v>0</v>
      </c>
      <c r="I2154" s="40" t="n">
        <v>0</v>
      </c>
      <c r="J2154" s="40" t="n">
        <v>0</v>
      </c>
      <c r="K2154" s="40" t="n">
        <v>0</v>
      </c>
      <c r="L2154" s="40" t="n">
        <v>0</v>
      </c>
    </row>
    <row r="2155" ht="12" customHeight="1">
      <c r="A2155" s="30" t="inlineStr">
        <is>
          <t>POR</t>
        </is>
      </c>
      <c r="B2155" s="30" t="inlineStr">
        <is>
          <t>Porto Real</t>
        </is>
      </c>
      <c r="C2155" s="30" t="n">
        <v>81923930</v>
      </c>
      <c r="D2155" s="30">
        <f>"29863420000426"</f>
        <v/>
      </c>
      <c r="E2155" s="30" t="inlineStr">
        <is>
          <t>EXPRESSO PREDILETO, TRANSPORTES, LOGISTICA E ARMAZENAGEM LTDA EPP</t>
        </is>
      </c>
      <c r="F2155" s="40" t="n">
        <v>0</v>
      </c>
      <c r="G2155" s="40" t="n">
        <v>5769.85</v>
      </c>
      <c r="H2155" s="40" t="n">
        <v>559.38</v>
      </c>
      <c r="I2155" s="40" t="n">
        <v>0</v>
      </c>
      <c r="J2155" s="40" t="n">
        <v>0</v>
      </c>
      <c r="K2155" s="40" t="n">
        <v>0</v>
      </c>
      <c r="L2155" s="40" t="n">
        <v>0</v>
      </c>
    </row>
    <row r="2156" ht="12" customHeight="1">
      <c r="A2156" s="30" t="inlineStr">
        <is>
          <t>POR</t>
        </is>
      </c>
      <c r="B2156" s="30" t="inlineStr">
        <is>
          <t>Porto Real</t>
        </is>
      </c>
      <c r="C2156" s="30" t="n">
        <v>81926743</v>
      </c>
      <c r="D2156" s="30">
        <f>"20147617001113"</f>
        <v/>
      </c>
      <c r="E2156" s="30" t="inlineStr">
        <is>
          <t>JAMEF TRANSPORTES EIRELI</t>
        </is>
      </c>
      <c r="F2156" s="40" t="n">
        <v>1463.31</v>
      </c>
      <c r="G2156" s="40" t="n">
        <v>1395.43</v>
      </c>
      <c r="H2156" s="40" t="n">
        <v>1203.67</v>
      </c>
      <c r="I2156" s="40" t="n">
        <v>3816.32</v>
      </c>
      <c r="J2156" s="40" t="n">
        <v>3191.92</v>
      </c>
      <c r="K2156" s="40" t="n">
        <v>2011.32</v>
      </c>
      <c r="L2156" s="40" t="n">
        <v>5429.44</v>
      </c>
    </row>
    <row r="2157" ht="12" customHeight="1">
      <c r="A2157" s="30" t="inlineStr">
        <is>
          <t>POR</t>
        </is>
      </c>
      <c r="B2157" s="30" t="inlineStr">
        <is>
          <t>Porto Real</t>
        </is>
      </c>
      <c r="C2157" s="30" t="n">
        <v>82496904</v>
      </c>
      <c r="D2157" s="30">
        <f>"28120046000163"</f>
        <v/>
      </c>
      <c r="E2157" s="30" t="inlineStr">
        <is>
          <t>SHIP'S MOTEL LTDA</t>
        </is>
      </c>
      <c r="F2157" s="40" t="n">
        <v>0</v>
      </c>
      <c r="G2157" s="40" t="n">
        <v>6100</v>
      </c>
      <c r="H2157" s="40" t="n">
        <v>0</v>
      </c>
      <c r="I2157" s="40" t="n">
        <v>0</v>
      </c>
      <c r="J2157" s="40" t="n">
        <v>0</v>
      </c>
      <c r="K2157" s="40" t="n">
        <v>0</v>
      </c>
      <c r="L2157" s="40" t="n">
        <v>0</v>
      </c>
    </row>
    <row r="2158" ht="12" customHeight="1">
      <c r="A2158" s="30" t="inlineStr">
        <is>
          <t>POR</t>
        </is>
      </c>
      <c r="B2158" s="30" t="inlineStr">
        <is>
          <t>Porto Real</t>
        </is>
      </c>
      <c r="C2158" s="30" t="n">
        <v>82628878</v>
      </c>
      <c r="D2158" s="30">
        <f>"28670958000109"</f>
        <v/>
      </c>
      <c r="E2158" s="30" t="inlineStr">
        <is>
          <t>VIACAO CIDADE DO ACO LTDA</t>
        </is>
      </c>
      <c r="F2158" s="40" t="n">
        <v>21490.4</v>
      </c>
      <c r="G2158" s="40" t="n">
        <v>21103.84</v>
      </c>
      <c r="H2158" s="40" t="n">
        <v>21241.36</v>
      </c>
      <c r="I2158" s="40" t="n">
        <v>4469</v>
      </c>
      <c r="J2158" s="40" t="n">
        <v>0</v>
      </c>
      <c r="K2158" s="40" t="n">
        <v>0</v>
      </c>
      <c r="L2158" s="40" t="n">
        <v>0</v>
      </c>
    </row>
    <row r="2159" ht="12" customHeight="1">
      <c r="A2159" s="30" t="inlineStr">
        <is>
          <t>POR</t>
        </is>
      </c>
      <c r="B2159" s="30" t="inlineStr">
        <is>
          <t>Porto Real</t>
        </is>
      </c>
      <c r="C2159" s="30" t="n">
        <v>82633421</v>
      </c>
      <c r="D2159" s="30">
        <f>"29291184000844"</f>
        <v/>
      </c>
      <c r="E2159" s="30" t="inlineStr">
        <is>
          <t>TRANSPORTES TONIATO LTDA</t>
        </is>
      </c>
      <c r="F2159" s="40" t="n">
        <v>537685.26</v>
      </c>
      <c r="G2159" s="40" t="n">
        <v>529297.4399999999</v>
      </c>
      <c r="H2159" s="40" t="n">
        <v>448251.7</v>
      </c>
      <c r="I2159" s="40" t="n">
        <v>330751.17</v>
      </c>
      <c r="J2159" s="40" t="n">
        <v>364785.47</v>
      </c>
      <c r="K2159" s="40" t="n">
        <v>328425.19</v>
      </c>
      <c r="L2159" s="40" t="n">
        <v>390017.39</v>
      </c>
    </row>
    <row r="2160" ht="12" customHeight="1">
      <c r="A2160" s="30" t="inlineStr">
        <is>
          <t>POR</t>
        </is>
      </c>
      <c r="B2160" s="30" t="inlineStr">
        <is>
          <t>Porto Real</t>
        </is>
      </c>
      <c r="C2160" s="30" t="n">
        <v>82669949</v>
      </c>
      <c r="D2160" s="30">
        <f>"28372613000179"</f>
        <v/>
      </c>
      <c r="E2160" s="30" t="inlineStr">
        <is>
          <t>QUIMINVEST INDUSTRIA E COMERCIO LTDA</t>
        </is>
      </c>
      <c r="F2160" s="40" t="n">
        <v>28569441.35</v>
      </c>
      <c r="G2160" s="40" t="n">
        <v>37166737.54</v>
      </c>
      <c r="H2160" s="40" t="n">
        <v>26583005.07</v>
      </c>
      <c r="I2160" s="40" t="n">
        <v>26495901.36</v>
      </c>
      <c r="J2160" s="40" t="n">
        <v>35905315.49</v>
      </c>
      <c r="K2160" s="40" t="n">
        <v>34287052.61</v>
      </c>
      <c r="L2160" s="40" t="n">
        <v>36816033.9</v>
      </c>
    </row>
    <row r="2161" ht="12" customHeight="1">
      <c r="A2161" s="30" t="inlineStr">
        <is>
          <t>POR</t>
        </is>
      </c>
      <c r="B2161" s="30" t="inlineStr">
        <is>
          <t>Porto Real</t>
        </is>
      </c>
      <c r="C2161" s="30" t="n">
        <v>82746978</v>
      </c>
      <c r="D2161" s="30">
        <f>"31045354000186"</f>
        <v/>
      </c>
      <c r="E2161" s="30" t="inlineStr">
        <is>
          <t>LATICINIOS PEDRA SELADA LTDA</t>
        </is>
      </c>
      <c r="F2161" s="40" t="n">
        <v>167582.11</v>
      </c>
      <c r="G2161" s="40" t="n">
        <v>150340.71</v>
      </c>
      <c r="H2161" s="40" t="n">
        <v>113573.12</v>
      </c>
      <c r="I2161" s="40" t="n">
        <v>88521.23</v>
      </c>
      <c r="J2161" s="40" t="n">
        <v>103987.26</v>
      </c>
      <c r="K2161" s="40" t="n">
        <v>56878.35</v>
      </c>
      <c r="L2161" s="40" t="n">
        <v>51633.39</v>
      </c>
    </row>
    <row r="2162" ht="12" customHeight="1">
      <c r="A2162" s="30" t="inlineStr">
        <is>
          <t>POR</t>
        </is>
      </c>
      <c r="B2162" s="30" t="inlineStr">
        <is>
          <t>Porto Real</t>
        </is>
      </c>
      <c r="C2162" s="30" t="n">
        <v>82754490</v>
      </c>
      <c r="D2162" s="30">
        <f>"42310177002005"</f>
        <v/>
      </c>
      <c r="E2162" s="30" t="inlineStr">
        <is>
          <t>TROPICAL TRANSPORTES IPIRANGA LTDA</t>
        </is>
      </c>
      <c r="F2162" s="40" t="n">
        <v>0</v>
      </c>
      <c r="G2162" s="40" t="n">
        <v>0</v>
      </c>
      <c r="H2162" s="40" t="n">
        <v>7397.45</v>
      </c>
      <c r="I2162" s="40" t="n">
        <v>1118.96</v>
      </c>
      <c r="J2162" s="40" t="n">
        <v>0</v>
      </c>
      <c r="K2162" s="40" t="n">
        <v>0</v>
      </c>
      <c r="L2162" s="40" t="n">
        <v>0</v>
      </c>
    </row>
    <row r="2163" ht="12" customHeight="1">
      <c r="A2163" s="30" t="inlineStr">
        <is>
          <t>POR</t>
        </is>
      </c>
      <c r="B2163" s="30" t="inlineStr">
        <is>
          <t>Porto Real</t>
        </is>
      </c>
      <c r="C2163" s="30" t="n">
        <v>83119470</v>
      </c>
      <c r="D2163" s="30">
        <f>"44191880000287"</f>
        <v/>
      </c>
      <c r="E2163" s="30" t="inlineStr">
        <is>
          <t>TRANSPORTADORA AJOFER LTDA</t>
        </is>
      </c>
      <c r="F2163" s="40" t="n">
        <v>1943.24</v>
      </c>
      <c r="G2163" s="40" t="n">
        <v>764.8200000000001</v>
      </c>
      <c r="H2163" s="40" t="n">
        <v>446.39</v>
      </c>
      <c r="I2163" s="40" t="n">
        <v>511.57</v>
      </c>
      <c r="J2163" s="40" t="n">
        <v>593.63</v>
      </c>
      <c r="K2163" s="40" t="n">
        <v>221.86</v>
      </c>
      <c r="L2163" s="40" t="n">
        <v>0</v>
      </c>
    </row>
    <row r="2164" ht="12" customHeight="1">
      <c r="A2164" s="30" t="inlineStr">
        <is>
          <t>POR</t>
        </is>
      </c>
      <c r="B2164" s="30" t="inlineStr">
        <is>
          <t>Porto Real</t>
        </is>
      </c>
      <c r="C2164" s="30" t="n">
        <v>83649569</v>
      </c>
      <c r="D2164" s="30">
        <f>"21562418000324"</f>
        <v/>
      </c>
      <c r="E2164" s="30" t="inlineStr">
        <is>
          <t>COOPERATIVA TRANSPORTADORA DE PETROLEO E DERIVADOS LTDA</t>
        </is>
      </c>
      <c r="F2164" s="40" t="n">
        <v>0</v>
      </c>
      <c r="G2164" s="40" t="n">
        <v>0</v>
      </c>
      <c r="H2164" s="40" t="n">
        <v>34155.48</v>
      </c>
      <c r="I2164" s="40" t="n">
        <v>0</v>
      </c>
      <c r="J2164" s="40" t="n">
        <v>82423.12</v>
      </c>
      <c r="K2164" s="40" t="n">
        <v>123049.28</v>
      </c>
      <c r="L2164" s="40" t="n">
        <v>15897.42</v>
      </c>
    </row>
    <row r="2165" ht="12" customHeight="1">
      <c r="A2165" s="30" t="inlineStr">
        <is>
          <t>POR</t>
        </is>
      </c>
      <c r="B2165" s="30" t="inlineStr">
        <is>
          <t>Porto Real</t>
        </is>
      </c>
      <c r="C2165" s="30" t="n">
        <v>83664401</v>
      </c>
      <c r="D2165" s="30">
        <f>"43035146001157"</f>
        <v/>
      </c>
      <c r="E2165" s="30" t="inlineStr">
        <is>
          <t>PROTEGE SOCIEDADE ANONIMA PROTECAO E TRANSPORTE DE VALORES</t>
        </is>
      </c>
      <c r="F2165" s="40" t="n">
        <v>0</v>
      </c>
      <c r="G2165" s="40" t="n">
        <v>0</v>
      </c>
      <c r="H2165" s="40" t="n">
        <v>0</v>
      </c>
      <c r="I2165" s="40" t="n">
        <v>0</v>
      </c>
      <c r="J2165" s="40" t="n">
        <v>0</v>
      </c>
      <c r="K2165" s="40" t="n">
        <v>167695.69</v>
      </c>
      <c r="L2165" s="40" t="n">
        <v>0</v>
      </c>
    </row>
    <row r="2166" ht="12" customHeight="1">
      <c r="A2166" s="30" t="inlineStr">
        <is>
          <t>POR</t>
        </is>
      </c>
      <c r="B2166" s="30" t="inlineStr">
        <is>
          <t>Porto Real</t>
        </is>
      </c>
      <c r="C2166" s="30" t="n">
        <v>83699205</v>
      </c>
      <c r="D2166" s="30">
        <f>"61139432000253"</f>
        <v/>
      </c>
      <c r="E2166" s="30" t="inlineStr">
        <is>
          <t>TRANSPORTES DELLA VOLPE S A COMERCIO E INDUSTRIA</t>
        </is>
      </c>
      <c r="F2166" s="40" t="n">
        <v>0</v>
      </c>
      <c r="G2166" s="40" t="n">
        <v>0</v>
      </c>
      <c r="H2166" s="40" t="n">
        <v>86161.32000000001</v>
      </c>
      <c r="I2166" s="40" t="n">
        <v>474498.85</v>
      </c>
      <c r="J2166" s="40" t="n">
        <v>96523.37</v>
      </c>
      <c r="K2166" s="40" t="n">
        <v>2108.96</v>
      </c>
      <c r="L2166" s="40" t="n">
        <v>0</v>
      </c>
    </row>
    <row r="2167" ht="12" customHeight="1">
      <c r="A2167" s="30" t="inlineStr">
        <is>
          <t>POR</t>
        </is>
      </c>
      <c r="B2167" s="30" t="inlineStr">
        <is>
          <t>Porto Real</t>
        </is>
      </c>
      <c r="C2167" s="30" t="n">
        <v>83778563</v>
      </c>
      <c r="D2167" s="30">
        <f>"30317762000187"</f>
        <v/>
      </c>
      <c r="E2167" s="30" t="inlineStr">
        <is>
          <t>TRANSPORTE GRANDE ORIENTE LTDA</t>
        </is>
      </c>
      <c r="F2167" s="40" t="n">
        <v>0</v>
      </c>
      <c r="G2167" s="40" t="n">
        <v>0</v>
      </c>
      <c r="H2167" s="40" t="n">
        <v>0</v>
      </c>
      <c r="I2167" s="40" t="n">
        <v>2716</v>
      </c>
      <c r="J2167" s="40" t="n">
        <v>0</v>
      </c>
      <c r="K2167" s="40" t="n">
        <v>0</v>
      </c>
      <c r="L2167" s="40" t="n">
        <v>0</v>
      </c>
    </row>
    <row r="2168" ht="12" customHeight="1">
      <c r="A2168" s="30" t="inlineStr">
        <is>
          <t>POR</t>
        </is>
      </c>
      <c r="B2168" s="30" t="inlineStr">
        <is>
          <t>Porto Real</t>
        </is>
      </c>
      <c r="C2168" s="30" t="n">
        <v>83788658</v>
      </c>
      <c r="D2168" s="30">
        <f>"29453826000279"</f>
        <v/>
      </c>
      <c r="E2168" s="30" t="inlineStr">
        <is>
          <t>TRANSPORTE GENEROSO LTDA</t>
        </is>
      </c>
      <c r="F2168" s="40" t="n">
        <v>0</v>
      </c>
      <c r="G2168" s="40" t="n">
        <v>0</v>
      </c>
      <c r="H2168" s="40" t="n">
        <v>2.13</v>
      </c>
      <c r="I2168" s="40" t="n">
        <v>0</v>
      </c>
      <c r="J2168" s="40" t="n">
        <v>0</v>
      </c>
      <c r="K2168" s="40" t="n">
        <v>0</v>
      </c>
      <c r="L2168" s="40" t="n">
        <v>0</v>
      </c>
    </row>
    <row r="2169" ht="12" customHeight="1">
      <c r="A2169" s="30" t="inlineStr">
        <is>
          <t>POR</t>
        </is>
      </c>
      <c r="B2169" s="30" t="inlineStr">
        <is>
          <t>Porto Real</t>
        </is>
      </c>
      <c r="C2169" s="30" t="n">
        <v>83790059</v>
      </c>
      <c r="D2169" s="30">
        <f>"76104397000719"</f>
        <v/>
      </c>
      <c r="E2169" s="30" t="inlineStr">
        <is>
          <t>TRANSPORTADORA SULISTA SA</t>
        </is>
      </c>
      <c r="F2169" s="40" t="n">
        <v>17002</v>
      </c>
      <c r="G2169" s="40" t="n">
        <v>27333.75</v>
      </c>
      <c r="H2169" s="40" t="n">
        <v>0</v>
      </c>
      <c r="I2169" s="40" t="n">
        <v>0</v>
      </c>
      <c r="J2169" s="40" t="n">
        <v>0</v>
      </c>
      <c r="K2169" s="40" t="n">
        <v>0</v>
      </c>
      <c r="L2169" s="40" t="n">
        <v>0</v>
      </c>
    </row>
    <row r="2170" ht="12" customHeight="1">
      <c r="A2170" s="30" t="inlineStr">
        <is>
          <t>POR</t>
        </is>
      </c>
      <c r="B2170" s="30" t="inlineStr">
        <is>
          <t>Porto Real</t>
        </is>
      </c>
      <c r="C2170" s="30" t="n">
        <v>83798726</v>
      </c>
      <c r="D2170" s="30">
        <f>"19199348001311"</f>
        <v/>
      </c>
      <c r="E2170" s="30" t="inlineStr">
        <is>
          <t>SADA TRANSPORTES E ARMAZENAGENS S/A</t>
        </is>
      </c>
      <c r="F2170" s="40" t="n">
        <v>36554.03</v>
      </c>
      <c r="G2170" s="40" t="n">
        <v>4844</v>
      </c>
      <c r="H2170" s="40" t="n">
        <v>0</v>
      </c>
      <c r="I2170" s="40" t="n">
        <v>1219.82</v>
      </c>
      <c r="J2170" s="40" t="n">
        <v>0</v>
      </c>
      <c r="K2170" s="40" t="n">
        <v>4791.68</v>
      </c>
      <c r="L2170" s="40" t="n">
        <v>0</v>
      </c>
    </row>
    <row r="2171" ht="12" customHeight="1">
      <c r="A2171" s="30" t="inlineStr">
        <is>
          <t>POR</t>
        </is>
      </c>
      <c r="B2171" s="30" t="inlineStr">
        <is>
          <t>Porto Real</t>
        </is>
      </c>
      <c r="C2171" s="30" t="n">
        <v>83824840</v>
      </c>
      <c r="D2171" s="30">
        <f>"33542531000165"</f>
        <v/>
      </c>
      <c r="E2171" s="30" t="inlineStr">
        <is>
          <t>VIACAO SAMPAIO LTDA</t>
        </is>
      </c>
      <c r="F2171" s="40" t="n">
        <v>0</v>
      </c>
      <c r="G2171" s="40" t="n">
        <v>40.27</v>
      </c>
      <c r="H2171" s="40" t="n">
        <v>0</v>
      </c>
      <c r="I2171" s="40" t="n">
        <v>0</v>
      </c>
      <c r="J2171" s="40" t="n">
        <v>0</v>
      </c>
      <c r="K2171" s="40" t="n">
        <v>0</v>
      </c>
      <c r="L2171" s="40" t="n">
        <v>0</v>
      </c>
    </row>
    <row r="2172" ht="12" customHeight="1">
      <c r="A2172" s="30" t="inlineStr">
        <is>
          <t>POR</t>
        </is>
      </c>
      <c r="B2172" s="30" t="inlineStr">
        <is>
          <t>Porto Real</t>
        </is>
      </c>
      <c r="C2172" s="30" t="n">
        <v>83858664</v>
      </c>
      <c r="D2172" s="30">
        <f>"29108107000130"</f>
        <v/>
      </c>
      <c r="E2172" s="30" t="inlineStr">
        <is>
          <t>SOLAZER TRANSPORTES E TURISMO LTDA</t>
        </is>
      </c>
      <c r="F2172" s="40" t="n">
        <v>18456506.12</v>
      </c>
      <c r="G2172" s="40" t="n">
        <v>826846.08</v>
      </c>
      <c r="H2172" s="40" t="n">
        <v>58300.86</v>
      </c>
      <c r="I2172" s="40" t="n">
        <v>15369.33</v>
      </c>
      <c r="J2172" s="40" t="n">
        <v>32958.46</v>
      </c>
      <c r="K2172" s="40" t="n">
        <v>97086.13</v>
      </c>
      <c r="L2172" s="40" t="n">
        <v>422270.69</v>
      </c>
    </row>
    <row r="2173" ht="12" customHeight="1">
      <c r="A2173" s="30" t="inlineStr">
        <is>
          <t>POR</t>
        </is>
      </c>
      <c r="B2173" s="30" t="inlineStr">
        <is>
          <t>Porto Real</t>
        </is>
      </c>
      <c r="C2173" s="30" t="n">
        <v>83869194</v>
      </c>
      <c r="D2173" s="30">
        <f>"60860087001413"</f>
        <v/>
      </c>
      <c r="E2173" s="30" t="inlineStr">
        <is>
          <t>BRINK"S SEGURANCA E TRANSPORTE DE VALORES LTDA</t>
        </is>
      </c>
      <c r="F2173" s="40" t="n">
        <v>13590.57</v>
      </c>
      <c r="G2173" s="40" t="n">
        <v>13812.51</v>
      </c>
      <c r="H2173" s="40" t="n">
        <v>13014.41</v>
      </c>
      <c r="I2173" s="40" t="n">
        <v>14792.03</v>
      </c>
      <c r="J2173" s="40" t="n">
        <v>12854.02</v>
      </c>
      <c r="K2173" s="40" t="n">
        <v>15946.89</v>
      </c>
      <c r="L2173" s="40" t="n">
        <v>29512.4</v>
      </c>
    </row>
    <row r="2174" ht="12" customHeight="1">
      <c r="A2174" s="30" t="inlineStr">
        <is>
          <t>POR</t>
        </is>
      </c>
      <c r="B2174" s="30" t="inlineStr">
        <is>
          <t>Porto Real</t>
        </is>
      </c>
      <c r="C2174" s="30" t="n">
        <v>83883332</v>
      </c>
      <c r="D2174" s="30">
        <f>"28672996000605"</f>
        <v/>
      </c>
      <c r="E2174" s="30" t="inlineStr">
        <is>
          <t>COOPERATIVA AGRO PECUARIA DE BARRA MANSA LTDA</t>
        </is>
      </c>
      <c r="F2174" s="40" t="n">
        <v>669194.5600000001</v>
      </c>
      <c r="G2174" s="40" t="n">
        <v>551625.8</v>
      </c>
      <c r="H2174" s="40" t="n">
        <v>489659.5</v>
      </c>
      <c r="I2174" s="40" t="n">
        <v>678091.03</v>
      </c>
      <c r="J2174" s="40" t="n">
        <v>853833.13</v>
      </c>
      <c r="K2174" s="40" t="n">
        <v>1694708.69</v>
      </c>
      <c r="L2174" s="40" t="n">
        <v>2005536.78</v>
      </c>
    </row>
    <row r="2175" ht="12" customHeight="1">
      <c r="A2175" s="30" t="inlineStr">
        <is>
          <t>POR</t>
        </is>
      </c>
      <c r="B2175" s="30" t="inlineStr">
        <is>
          <t>Porto Real</t>
        </is>
      </c>
      <c r="C2175" s="30" t="n">
        <v>83883650</v>
      </c>
      <c r="D2175" s="30">
        <f>"32590788000120"</f>
        <v/>
      </c>
      <c r="E2175" s="30" t="inlineStr">
        <is>
          <t>BARRA SUL METAIS LTDA ME</t>
        </is>
      </c>
      <c r="F2175" s="40" t="n">
        <v>401904.2</v>
      </c>
      <c r="G2175" s="40" t="n">
        <v>0</v>
      </c>
      <c r="H2175" s="40" t="n">
        <v>0</v>
      </c>
      <c r="I2175" s="40" t="n">
        <v>0</v>
      </c>
      <c r="J2175" s="40" t="n">
        <v>0</v>
      </c>
      <c r="K2175" s="40" t="n">
        <v>0</v>
      </c>
      <c r="L2175" s="40" t="n">
        <v>0</v>
      </c>
    </row>
    <row r="2176" ht="12" customHeight="1">
      <c r="A2176" s="30" t="inlineStr">
        <is>
          <t>POR</t>
        </is>
      </c>
      <c r="B2176" s="30" t="inlineStr">
        <is>
          <t>Porto Real</t>
        </is>
      </c>
      <c r="C2176" s="30" t="n">
        <v>83894377</v>
      </c>
      <c r="D2176" s="30">
        <f>"52438082002360"</f>
        <v/>
      </c>
      <c r="E2176" s="30" t="inlineStr">
        <is>
          <t>EXPRESSO MIRASSOL LTDA</t>
        </is>
      </c>
      <c r="F2176" s="40" t="n">
        <v>223932.25</v>
      </c>
      <c r="G2176" s="40" t="n">
        <v>0</v>
      </c>
      <c r="H2176" s="40" t="n">
        <v>0</v>
      </c>
      <c r="I2176" s="40" t="n">
        <v>0</v>
      </c>
      <c r="J2176" s="40" t="n">
        <v>0</v>
      </c>
      <c r="K2176" s="40" t="n">
        <v>0</v>
      </c>
      <c r="L2176" s="40" t="n">
        <v>0</v>
      </c>
    </row>
    <row r="2177" ht="12" customHeight="1">
      <c r="A2177" s="30" t="inlineStr">
        <is>
          <t>POR</t>
        </is>
      </c>
      <c r="B2177" s="30" t="inlineStr">
        <is>
          <t>Porto Real</t>
        </is>
      </c>
      <c r="C2177" s="30" t="n">
        <v>83918748</v>
      </c>
      <c r="D2177" s="30">
        <f>"31096068000301"</f>
        <v/>
      </c>
      <c r="E2177" s="30" t="inlineStr">
        <is>
          <t>MULTITERMINAIS ALFANDEGADOS DO BRASIL S A</t>
        </is>
      </c>
      <c r="F2177" s="40" t="n">
        <v>2698.42</v>
      </c>
      <c r="G2177" s="40" t="n">
        <v>0</v>
      </c>
      <c r="H2177" s="40" t="n">
        <v>0</v>
      </c>
      <c r="I2177" s="40" t="n">
        <v>0</v>
      </c>
      <c r="J2177" s="40" t="n">
        <v>0</v>
      </c>
      <c r="K2177" s="40" t="n">
        <v>0</v>
      </c>
      <c r="L2177" s="40" t="n">
        <v>0</v>
      </c>
    </row>
    <row r="2178" ht="12" customHeight="1">
      <c r="A2178" s="30" t="inlineStr">
        <is>
          <t>POR</t>
        </is>
      </c>
      <c r="B2178" s="30" t="inlineStr">
        <is>
          <t>Porto Real</t>
        </is>
      </c>
      <c r="C2178" s="30" t="n">
        <v>84089109</v>
      </c>
      <c r="D2178" s="30">
        <f>"17191172000516"</f>
        <v/>
      </c>
      <c r="E2178" s="30" t="inlineStr">
        <is>
          <t>EMPRESA DE TRANSPORTES MARTINS LTDA</t>
        </is>
      </c>
      <c r="F2178" s="40" t="n">
        <v>0</v>
      </c>
      <c r="G2178" s="40" t="n">
        <v>0</v>
      </c>
      <c r="H2178" s="40" t="n">
        <v>510.05</v>
      </c>
      <c r="I2178" s="40" t="n">
        <v>511.26</v>
      </c>
      <c r="J2178" s="40" t="n">
        <v>0</v>
      </c>
      <c r="K2178" s="40" t="n">
        <v>0</v>
      </c>
      <c r="L2178" s="40" t="n">
        <v>5989.64</v>
      </c>
    </row>
    <row r="2179" ht="12" customHeight="1">
      <c r="A2179" s="30" t="inlineStr">
        <is>
          <t>POR</t>
        </is>
      </c>
      <c r="B2179" s="30" t="inlineStr">
        <is>
          <t>Porto Real</t>
        </is>
      </c>
      <c r="C2179" s="30" t="n">
        <v>84089311</v>
      </c>
      <c r="D2179" s="30">
        <f>"28679017000136"</f>
        <v/>
      </c>
      <c r="E2179" s="30" t="inlineStr">
        <is>
          <t>VIACAO FALCAO LTDA</t>
        </is>
      </c>
      <c r="F2179" s="40" t="n">
        <v>44581.35</v>
      </c>
      <c r="G2179" s="40" t="n">
        <v>0</v>
      </c>
      <c r="H2179" s="40" t="n">
        <v>0</v>
      </c>
      <c r="I2179" s="40" t="n">
        <v>0</v>
      </c>
      <c r="J2179" s="40" t="n">
        <v>275203.1</v>
      </c>
      <c r="K2179" s="40" t="n">
        <v>673620.15</v>
      </c>
      <c r="L2179" s="40" t="n">
        <v>945641.25</v>
      </c>
    </row>
    <row r="2180" ht="12" customHeight="1">
      <c r="A2180" s="30" t="inlineStr">
        <is>
          <t>POR</t>
        </is>
      </c>
      <c r="B2180" s="30" t="inlineStr">
        <is>
          <t>Porto Real</t>
        </is>
      </c>
      <c r="C2180" s="30" t="n">
        <v>84089478</v>
      </c>
      <c r="D2180" s="30">
        <f>"45199510000844"</f>
        <v/>
      </c>
      <c r="E2180" s="30" t="inlineStr">
        <is>
          <t>TRANSPORTADORA SOBERANA LTDA</t>
        </is>
      </c>
      <c r="F2180" s="40" t="n">
        <v>85085</v>
      </c>
      <c r="G2180" s="40" t="n">
        <v>95731.02</v>
      </c>
      <c r="H2180" s="40" t="n">
        <v>0</v>
      </c>
      <c r="I2180" s="40" t="n">
        <v>0</v>
      </c>
      <c r="J2180" s="40" t="n">
        <v>0</v>
      </c>
      <c r="K2180" s="40" t="n">
        <v>0</v>
      </c>
      <c r="L2180" s="40" t="n">
        <v>0</v>
      </c>
    </row>
    <row r="2181" ht="12" customHeight="1">
      <c r="A2181" s="30" t="inlineStr">
        <is>
          <t>POR</t>
        </is>
      </c>
      <c r="B2181" s="30" t="inlineStr">
        <is>
          <t>Porto Real</t>
        </is>
      </c>
      <c r="C2181" s="30" t="n">
        <v>84118036</v>
      </c>
      <c r="D2181" s="30">
        <f>"29813896000100"</f>
        <v/>
      </c>
      <c r="E2181" s="30" t="inlineStr">
        <is>
          <t>RADIO DIFUSORA PORTO REAL LTDA</t>
        </is>
      </c>
      <c r="F2181" s="40" t="n">
        <v>0</v>
      </c>
      <c r="G2181" s="40" t="n">
        <v>0</v>
      </c>
      <c r="H2181" s="40" t="n">
        <v>0</v>
      </c>
      <c r="I2181" s="40" t="n">
        <v>0</v>
      </c>
      <c r="J2181" s="40" t="n">
        <v>0</v>
      </c>
      <c r="K2181" s="40" t="n">
        <v>0</v>
      </c>
      <c r="L2181" s="40" t="n">
        <v>0</v>
      </c>
    </row>
    <row r="2182" ht="12" customHeight="1">
      <c r="A2182" s="30" t="inlineStr">
        <is>
          <t>POR</t>
        </is>
      </c>
      <c r="B2182" s="30" t="inlineStr">
        <is>
          <t>Porto Real</t>
        </is>
      </c>
      <c r="C2182" s="30" t="n">
        <v>84325767</v>
      </c>
      <c r="D2182" s="30">
        <f>"40160558000159"</f>
        <v/>
      </c>
      <c r="E2182" s="30" t="inlineStr">
        <is>
          <t>TRANSPORTE E TURISMO REAL BRASIL LTDA</t>
        </is>
      </c>
      <c r="F2182" s="40" t="n">
        <v>0</v>
      </c>
      <c r="G2182" s="40" t="n">
        <v>0</v>
      </c>
      <c r="H2182" s="40" t="n">
        <v>1800</v>
      </c>
      <c r="I2182" s="40" t="n">
        <v>0</v>
      </c>
      <c r="J2182" s="40" t="n">
        <v>0</v>
      </c>
      <c r="K2182" s="40" t="n">
        <v>0</v>
      </c>
      <c r="L2182" s="40" t="n">
        <v>0</v>
      </c>
    </row>
    <row r="2183" ht="12" customHeight="1">
      <c r="A2183" s="30" t="inlineStr">
        <is>
          <t>POR</t>
        </is>
      </c>
      <c r="B2183" s="30" t="inlineStr">
        <is>
          <t>Porto Real</t>
        </is>
      </c>
      <c r="C2183" s="30" t="n">
        <v>84326941</v>
      </c>
      <c r="D2183" s="30">
        <f>"32438772000449"</f>
        <v/>
      </c>
      <c r="E2183" s="30" t="inlineStr">
        <is>
          <t>TRANSPORTADORA JOLIVAN LTDA</t>
        </is>
      </c>
      <c r="F2183" s="40" t="n">
        <v>0</v>
      </c>
      <c r="G2183" s="40" t="n">
        <v>0</v>
      </c>
      <c r="H2183" s="40" t="n">
        <v>0</v>
      </c>
      <c r="I2183" s="40" t="n">
        <v>0</v>
      </c>
      <c r="J2183" s="40" t="n">
        <v>0</v>
      </c>
      <c r="K2183" s="40" t="n">
        <v>8094.34</v>
      </c>
      <c r="L2183" s="40" t="n">
        <v>0</v>
      </c>
    </row>
    <row r="2184" ht="12" customHeight="1">
      <c r="A2184" s="30" t="inlineStr">
        <is>
          <t>POR</t>
        </is>
      </c>
      <c r="B2184" s="30" t="inlineStr">
        <is>
          <t>Porto Real</t>
        </is>
      </c>
      <c r="C2184" s="30" t="n">
        <v>84326992</v>
      </c>
      <c r="D2184" s="30">
        <f>"32314247000179"</f>
        <v/>
      </c>
      <c r="E2184" s="30" t="inlineStr">
        <is>
          <t>MTD TRANSPORTES LTDA</t>
        </is>
      </c>
      <c r="F2184" s="40" t="n">
        <v>0</v>
      </c>
      <c r="G2184" s="40" t="n">
        <v>0</v>
      </c>
      <c r="H2184" s="40" t="n">
        <v>0</v>
      </c>
      <c r="I2184" s="40" t="n">
        <v>0</v>
      </c>
      <c r="J2184" s="40" t="n">
        <v>0</v>
      </c>
      <c r="K2184" s="40" t="n">
        <v>40</v>
      </c>
      <c r="L2184" s="40" t="n">
        <v>0</v>
      </c>
    </row>
    <row r="2185" ht="12" customHeight="1">
      <c r="A2185" s="30" t="inlineStr">
        <is>
          <t>POR</t>
        </is>
      </c>
      <c r="B2185" s="30" t="inlineStr">
        <is>
          <t>Porto Real</t>
        </is>
      </c>
      <c r="C2185" s="30" t="n">
        <v>84327093</v>
      </c>
      <c r="D2185" s="30">
        <f>"66199068000311"</f>
        <v/>
      </c>
      <c r="E2185" s="30" t="inlineStr">
        <is>
          <t>RAPIDO ALEM PARAIBA LTDA</t>
        </is>
      </c>
      <c r="F2185" s="40" t="n">
        <v>0</v>
      </c>
      <c r="G2185" s="40" t="n">
        <v>148</v>
      </c>
      <c r="H2185" s="40" t="n">
        <v>0</v>
      </c>
      <c r="I2185" s="40" t="n">
        <v>0</v>
      </c>
      <c r="J2185" s="40" t="n">
        <v>75</v>
      </c>
      <c r="K2185" s="40" t="n">
        <v>0</v>
      </c>
      <c r="L2185" s="40" t="n">
        <v>345.24</v>
      </c>
    </row>
    <row r="2186" ht="12" customHeight="1">
      <c r="A2186" s="30" t="inlineStr">
        <is>
          <t>POR</t>
        </is>
      </c>
      <c r="B2186" s="30" t="inlineStr">
        <is>
          <t>Porto Real</t>
        </is>
      </c>
      <c r="C2186" s="30" t="n">
        <v>84327565</v>
      </c>
      <c r="D2186" s="30">
        <f>"19451038000370"</f>
        <v/>
      </c>
      <c r="E2186" s="30" t="inlineStr">
        <is>
          <t>RODOVIARIO CAMILO DOS SANTOS FILHO LTDA</t>
        </is>
      </c>
      <c r="F2186" s="40" t="n">
        <v>0</v>
      </c>
      <c r="G2186" s="40" t="n">
        <v>0</v>
      </c>
      <c r="H2186" s="40" t="n">
        <v>944.04</v>
      </c>
      <c r="I2186" s="40" t="n">
        <v>80.20999999999999</v>
      </c>
      <c r="J2186" s="40" t="n">
        <v>2373.95</v>
      </c>
      <c r="K2186" s="40" t="n">
        <v>1468.3</v>
      </c>
      <c r="L2186" s="40" t="n">
        <v>1264.56</v>
      </c>
    </row>
    <row r="2187" ht="12" customHeight="1">
      <c r="A2187" s="30" t="inlineStr">
        <is>
          <t>POR</t>
        </is>
      </c>
      <c r="B2187" s="30" t="inlineStr">
        <is>
          <t>Porto Real</t>
        </is>
      </c>
      <c r="C2187" s="30" t="n">
        <v>84328596</v>
      </c>
      <c r="D2187" s="30">
        <f>"58581653000272"</f>
        <v/>
      </c>
      <c r="E2187" s="30" t="inlineStr">
        <is>
          <t>VITRASA TRANSPORTES LTDA</t>
        </is>
      </c>
      <c r="F2187" s="40" t="n">
        <v>0</v>
      </c>
      <c r="G2187" s="40" t="n">
        <v>0</v>
      </c>
      <c r="H2187" s="40" t="n">
        <v>6000</v>
      </c>
      <c r="I2187" s="40" t="n">
        <v>0</v>
      </c>
      <c r="J2187" s="40" t="n">
        <v>3636.36</v>
      </c>
      <c r="K2187" s="40" t="n">
        <v>21012.3</v>
      </c>
      <c r="L2187" s="40" t="n">
        <v>0</v>
      </c>
    </row>
    <row r="2188" ht="12" customHeight="1">
      <c r="A2188" s="30" t="inlineStr">
        <is>
          <t>POR</t>
        </is>
      </c>
      <c r="B2188" s="30" t="inlineStr">
        <is>
          <t>Porto Real</t>
        </is>
      </c>
      <c r="C2188" s="30" t="n">
        <v>84372021</v>
      </c>
      <c r="D2188" s="30">
        <f>"36510683000174"</f>
        <v/>
      </c>
      <c r="E2188" s="30" t="inlineStr">
        <is>
          <t>KATIA PINESCHI FERREIRA</t>
        </is>
      </c>
      <c r="F2188" s="40" t="n">
        <v>0</v>
      </c>
      <c r="G2188" s="40" t="n">
        <v>0</v>
      </c>
      <c r="H2188" s="40" t="n">
        <v>0</v>
      </c>
      <c r="I2188" s="40" t="n">
        <v>0</v>
      </c>
      <c r="J2188" s="40" t="n">
        <v>0</v>
      </c>
      <c r="K2188" s="40" t="n">
        <v>0</v>
      </c>
      <c r="L2188" s="40" t="n">
        <v>0</v>
      </c>
    </row>
    <row r="2189" ht="12" customHeight="1">
      <c r="A2189" s="30" t="inlineStr">
        <is>
          <t>POR</t>
        </is>
      </c>
      <c r="B2189" s="30" t="inlineStr">
        <is>
          <t>Porto Real</t>
        </is>
      </c>
      <c r="C2189" s="30" t="n">
        <v>84511161</v>
      </c>
      <c r="D2189" s="30">
        <f>"28816270000194"</f>
        <v/>
      </c>
      <c r="E2189" s="30" t="inlineStr">
        <is>
          <t>DOCE RIO FRETAMENTO E TURISMO LTDA</t>
        </is>
      </c>
      <c r="F2189" s="40" t="n">
        <v>0</v>
      </c>
      <c r="G2189" s="40" t="n">
        <v>0</v>
      </c>
      <c r="H2189" s="40" t="n">
        <v>1900</v>
      </c>
      <c r="I2189" s="40" t="n">
        <v>0</v>
      </c>
      <c r="J2189" s="40" t="n">
        <v>0</v>
      </c>
      <c r="K2189" s="40" t="n">
        <v>0</v>
      </c>
      <c r="L2189" s="40" t="n">
        <v>0</v>
      </c>
    </row>
    <row r="2190" ht="12" customHeight="1">
      <c r="A2190" s="30" t="inlineStr">
        <is>
          <t>POR</t>
        </is>
      </c>
      <c r="B2190" s="30" t="inlineStr">
        <is>
          <t>Porto Real</t>
        </is>
      </c>
      <c r="C2190" s="30" t="n">
        <v>84511277</v>
      </c>
      <c r="D2190" s="30">
        <f>"40433401000150"</f>
        <v/>
      </c>
      <c r="E2190" s="30" t="inlineStr">
        <is>
          <t>BWA TRANSPORTES ESPECIALIZADOS LTDA</t>
        </is>
      </c>
      <c r="F2190" s="40" t="n">
        <v>13447</v>
      </c>
      <c r="G2190" s="40" t="n">
        <v>2554.74</v>
      </c>
      <c r="H2190" s="40" t="n">
        <v>8716</v>
      </c>
      <c r="I2190" s="40" t="n">
        <v>0</v>
      </c>
      <c r="J2190" s="40" t="n">
        <v>0</v>
      </c>
      <c r="K2190" s="40" t="n">
        <v>0</v>
      </c>
      <c r="L2190" s="40" t="n">
        <v>0</v>
      </c>
    </row>
    <row r="2191" ht="12" customHeight="1">
      <c r="A2191" s="30" t="inlineStr">
        <is>
          <t>POR</t>
        </is>
      </c>
      <c r="B2191" s="30" t="inlineStr">
        <is>
          <t>Porto Real</t>
        </is>
      </c>
      <c r="C2191" s="30" t="n">
        <v>84701254</v>
      </c>
      <c r="D2191" s="30">
        <f>"17689837000273"</f>
        <v/>
      </c>
      <c r="E2191" s="30" t="inlineStr">
        <is>
          <t>IBOR TRANSPORTE RODOVIARIO LTDA</t>
        </is>
      </c>
      <c r="F2191" s="40" t="n">
        <v>38411.5</v>
      </c>
      <c r="G2191" s="40" t="n">
        <v>0</v>
      </c>
      <c r="H2191" s="40" t="n">
        <v>0</v>
      </c>
      <c r="I2191" s="40" t="n">
        <v>11.36</v>
      </c>
      <c r="J2191" s="40" t="n">
        <v>9422.690000000001</v>
      </c>
      <c r="K2191" s="40" t="n">
        <v>0</v>
      </c>
      <c r="L2191" s="40" t="n">
        <v>0</v>
      </c>
    </row>
    <row r="2192" ht="12" customHeight="1">
      <c r="A2192" s="30" t="inlineStr">
        <is>
          <t>POR</t>
        </is>
      </c>
      <c r="B2192" s="30" t="inlineStr">
        <is>
          <t>Porto Real</t>
        </is>
      </c>
      <c r="C2192" s="30" t="n">
        <v>84702013</v>
      </c>
      <c r="D2192" s="30">
        <f>"43035146002129"</f>
        <v/>
      </c>
      <c r="E2192" s="30" t="inlineStr">
        <is>
          <t>PROTEGE SOCIEDADE ANONIMA PROTECAO E TRANSPORTE DE VALORES</t>
        </is>
      </c>
      <c r="F2192" s="40" t="n">
        <v>18441.75</v>
      </c>
      <c r="G2192" s="40" t="n">
        <v>44875.9</v>
      </c>
      <c r="H2192" s="40" t="n">
        <v>45223.25</v>
      </c>
      <c r="I2192" s="40" t="n">
        <v>42078.95</v>
      </c>
      <c r="J2192" s="40" t="n">
        <v>43442.18</v>
      </c>
      <c r="K2192" s="40" t="n">
        <v>68629.09</v>
      </c>
      <c r="L2192" s="40" t="n">
        <v>707668.9399999999</v>
      </c>
    </row>
    <row r="2193" ht="12" customHeight="1">
      <c r="A2193" s="30" t="inlineStr">
        <is>
          <t>POR</t>
        </is>
      </c>
      <c r="B2193" s="30" t="inlineStr">
        <is>
          <t>Porto Real</t>
        </is>
      </c>
      <c r="C2193" s="30" t="n">
        <v>84781193</v>
      </c>
      <c r="D2193" s="30">
        <f>"01695370000153"</f>
        <v/>
      </c>
      <c r="E2193" s="30" t="inlineStr">
        <is>
          <t>CEG RIO S/A</t>
        </is>
      </c>
      <c r="F2193" s="40" t="n">
        <v>60940306.43</v>
      </c>
      <c r="G2193" s="40" t="n">
        <v>90908536.41</v>
      </c>
      <c r="H2193" s="40" t="n">
        <v>104605213.59</v>
      </c>
      <c r="I2193" s="40" t="n">
        <v>82707765.70999999</v>
      </c>
      <c r="J2193" s="40" t="n">
        <v>114635648.11</v>
      </c>
      <c r="K2193" s="40" t="n">
        <v>169488410.17</v>
      </c>
      <c r="L2193" s="40" t="n">
        <v>144545642.11</v>
      </c>
    </row>
    <row r="2194" ht="12" customHeight="1">
      <c r="A2194" s="30" t="inlineStr">
        <is>
          <t>POR</t>
        </is>
      </c>
      <c r="B2194" s="30" t="inlineStr">
        <is>
          <t>Porto Real</t>
        </is>
      </c>
      <c r="C2194" s="30" t="n">
        <v>84984388</v>
      </c>
      <c r="D2194" s="30">
        <f>"39759667000108"</f>
        <v/>
      </c>
      <c r="E2194" s="30" t="inlineStr">
        <is>
          <t>IRMAOS SOARES OLIVEIRA LTDA</t>
        </is>
      </c>
      <c r="F2194" s="40" t="n">
        <v>191319.67</v>
      </c>
      <c r="G2194" s="40" t="n">
        <v>229761.22</v>
      </c>
      <c r="H2194" s="40" t="n">
        <v>306856.93</v>
      </c>
      <c r="I2194" s="40" t="n">
        <v>93172.46000000001</v>
      </c>
      <c r="J2194" s="40" t="n">
        <v>0</v>
      </c>
      <c r="K2194" s="40" t="n">
        <v>0</v>
      </c>
      <c r="L2194" s="40" t="n">
        <v>0</v>
      </c>
    </row>
    <row r="2195" ht="12" customHeight="1">
      <c r="A2195" s="30" t="inlineStr">
        <is>
          <t>POR</t>
        </is>
      </c>
      <c r="B2195" s="30" t="inlineStr">
        <is>
          <t>Porto Real</t>
        </is>
      </c>
      <c r="C2195" s="30" t="n">
        <v>85103687</v>
      </c>
      <c r="D2195" s="30">
        <f>"39205679000190"</f>
        <v/>
      </c>
      <c r="E2195" s="30" t="inlineStr">
        <is>
          <t>PENEDO TRANSPORTES EIRELI EPP</t>
        </is>
      </c>
      <c r="F2195" s="40" t="n">
        <v>59353.06</v>
      </c>
      <c r="G2195" s="40" t="n">
        <v>0</v>
      </c>
      <c r="H2195" s="40" t="n">
        <v>0</v>
      </c>
      <c r="I2195" s="40" t="n">
        <v>0</v>
      </c>
      <c r="J2195" s="40" t="n">
        <v>0</v>
      </c>
      <c r="K2195" s="40" t="n">
        <v>0</v>
      </c>
      <c r="L2195" s="40" t="n">
        <v>0</v>
      </c>
    </row>
    <row r="2196" ht="12" customHeight="1">
      <c r="A2196" s="30" t="inlineStr">
        <is>
          <t>POR</t>
        </is>
      </c>
      <c r="B2196" s="30" t="inlineStr">
        <is>
          <t>Porto Real</t>
        </is>
      </c>
      <c r="C2196" s="30" t="n">
        <v>85105507</v>
      </c>
      <c r="D2196" s="30">
        <f>"66199068000400"</f>
        <v/>
      </c>
      <c r="E2196" s="30" t="inlineStr">
        <is>
          <t>RAPIDO ALEM PARAIBA LTDA</t>
        </is>
      </c>
      <c r="F2196" s="40" t="n">
        <v>957</v>
      </c>
      <c r="G2196" s="40" t="n">
        <v>312</v>
      </c>
      <c r="H2196" s="40" t="n">
        <v>0</v>
      </c>
      <c r="I2196" s="40" t="n">
        <v>0</v>
      </c>
      <c r="J2196" s="40" t="n">
        <v>0</v>
      </c>
      <c r="K2196" s="40" t="n">
        <v>0</v>
      </c>
      <c r="L2196" s="40" t="n">
        <v>0</v>
      </c>
    </row>
    <row r="2197" ht="12" customHeight="1">
      <c r="A2197" s="30" t="inlineStr">
        <is>
          <t>POR</t>
        </is>
      </c>
      <c r="B2197" s="30" t="inlineStr">
        <is>
          <t>Porto Real</t>
        </is>
      </c>
      <c r="C2197" s="30" t="n">
        <v>85206672</v>
      </c>
      <c r="D2197" s="30">
        <f>"88009030000452"</f>
        <v/>
      </c>
      <c r="E2197" s="30" t="inlineStr">
        <is>
          <t>MODULAR TRANSPORTES LTDA</t>
        </is>
      </c>
      <c r="F2197" s="40" t="n">
        <v>0</v>
      </c>
      <c r="G2197" s="40" t="n">
        <v>205.19</v>
      </c>
      <c r="H2197" s="40" t="n">
        <v>280615.5</v>
      </c>
      <c r="I2197" s="40" t="n">
        <v>782052.42</v>
      </c>
      <c r="J2197" s="40" t="n">
        <v>696457.13</v>
      </c>
      <c r="K2197" s="40" t="n">
        <v>623607.36</v>
      </c>
      <c r="L2197" s="40" t="n">
        <v>77350.21000000001</v>
      </c>
    </row>
    <row r="2198" ht="12" customHeight="1">
      <c r="A2198" s="30" t="inlineStr">
        <is>
          <t>POR</t>
        </is>
      </c>
      <c r="B2198" s="30" t="inlineStr">
        <is>
          <t>Porto Real</t>
        </is>
      </c>
      <c r="C2198" s="30" t="n">
        <v>85208527</v>
      </c>
      <c r="D2198" s="30">
        <f>"23864838000633"</f>
        <v/>
      </c>
      <c r="E2198" s="30" t="inlineStr">
        <is>
          <t>MOVVI LOGISTICA LTDA</t>
        </is>
      </c>
      <c r="F2198" s="40" t="n">
        <v>104.86</v>
      </c>
      <c r="G2198" s="40" t="n">
        <v>2215</v>
      </c>
      <c r="H2198" s="40" t="n">
        <v>87.06</v>
      </c>
      <c r="I2198" s="40" t="n">
        <v>613.03</v>
      </c>
      <c r="J2198" s="40" t="n">
        <v>149.12</v>
      </c>
      <c r="K2198" s="40" t="n">
        <v>428.31</v>
      </c>
      <c r="L2198" s="40" t="n">
        <v>163.74</v>
      </c>
    </row>
    <row r="2199" ht="12" customHeight="1">
      <c r="A2199" s="30" t="inlineStr">
        <is>
          <t>POR</t>
        </is>
      </c>
      <c r="B2199" s="30" t="inlineStr">
        <is>
          <t>Porto Real</t>
        </is>
      </c>
      <c r="C2199" s="30" t="n">
        <v>85297848</v>
      </c>
      <c r="D2199" s="30">
        <f>"02667694000221"</f>
        <v/>
      </c>
      <c r="E2199" s="30" t="inlineStr">
        <is>
          <t>TELMEX DO BRASIL S/A</t>
        </is>
      </c>
      <c r="F2199" s="40" t="n">
        <v>0</v>
      </c>
      <c r="G2199" s="40" t="n">
        <v>0</v>
      </c>
      <c r="H2199" s="40" t="n">
        <v>730307.78</v>
      </c>
      <c r="I2199" s="40" t="n">
        <v>1234741.91</v>
      </c>
      <c r="J2199" s="40" t="n">
        <v>441277.46</v>
      </c>
      <c r="K2199" s="40" t="n">
        <v>256676.12</v>
      </c>
      <c r="L2199" s="40" t="n">
        <v>232513.2</v>
      </c>
    </row>
    <row r="2200" ht="12" customHeight="1">
      <c r="A2200" s="30" t="inlineStr">
        <is>
          <t>POR</t>
        </is>
      </c>
      <c r="B2200" s="30" t="inlineStr">
        <is>
          <t>Porto Real</t>
        </is>
      </c>
      <c r="C2200" s="30" t="n">
        <v>85366386</v>
      </c>
      <c r="D2200" s="30">
        <f>"90434000120"</f>
        <v/>
      </c>
      <c r="E2200" s="30" t="inlineStr">
        <is>
          <t>ALEXANDRE DOS SANTOS CAMPOS</t>
        </is>
      </c>
      <c r="F2200" s="40" t="n">
        <v>0</v>
      </c>
      <c r="G2200" s="40" t="n">
        <v>0</v>
      </c>
      <c r="H2200" s="40" t="n">
        <v>0</v>
      </c>
      <c r="I2200" s="40" t="n">
        <v>0</v>
      </c>
      <c r="J2200" s="40" t="n">
        <v>0</v>
      </c>
      <c r="K2200" s="40" t="n">
        <v>0</v>
      </c>
      <c r="L2200" s="40" t="n">
        <v>0</v>
      </c>
    </row>
    <row r="2201" ht="12" customHeight="1">
      <c r="A2201" s="30" t="inlineStr">
        <is>
          <t>POR</t>
        </is>
      </c>
      <c r="B2201" s="30" t="inlineStr">
        <is>
          <t>Porto Real</t>
        </is>
      </c>
      <c r="C2201" s="30" t="n">
        <v>85390449</v>
      </c>
      <c r="D2201" s="30">
        <f>"17428731005447"</f>
        <v/>
      </c>
      <c r="E2201" s="30" t="inlineStr">
        <is>
          <t>PROSEGUR BRASIL S/A</t>
        </is>
      </c>
      <c r="F2201" s="40" t="n">
        <v>0</v>
      </c>
      <c r="G2201" s="40" t="n">
        <v>0</v>
      </c>
      <c r="H2201" s="40" t="n">
        <v>0</v>
      </c>
      <c r="I2201" s="40" t="n">
        <v>3594.94</v>
      </c>
      <c r="J2201" s="40" t="n">
        <v>0</v>
      </c>
      <c r="K2201" s="40" t="n">
        <v>0</v>
      </c>
      <c r="L2201" s="40" t="n">
        <v>0</v>
      </c>
    </row>
    <row r="2202" ht="12" customHeight="1">
      <c r="A2202" s="30" t="inlineStr">
        <is>
          <t>POR</t>
        </is>
      </c>
      <c r="B2202" s="30" t="inlineStr">
        <is>
          <t>Porto Real</t>
        </is>
      </c>
      <c r="C2202" s="30" t="n">
        <v>85390465</v>
      </c>
      <c r="D2202" s="30">
        <f>"17428731005609"</f>
        <v/>
      </c>
      <c r="E2202" s="30" t="inlineStr">
        <is>
          <t>PROSEGUR BRASIL S/A</t>
        </is>
      </c>
      <c r="F2202" s="40" t="n">
        <v>190493.56</v>
      </c>
      <c r="G2202" s="40" t="n">
        <v>148058.86</v>
      </c>
      <c r="H2202" s="40" t="n">
        <v>156795.25</v>
      </c>
      <c r="I2202" s="40" t="n">
        <v>143936.98</v>
      </c>
      <c r="J2202" s="40" t="n">
        <v>135433.76</v>
      </c>
      <c r="K2202" s="40" t="n">
        <v>31669.43</v>
      </c>
      <c r="L2202" s="40" t="n">
        <v>147172.78</v>
      </c>
    </row>
    <row r="2203" ht="12" customHeight="1">
      <c r="A2203" s="30" t="inlineStr">
        <is>
          <t>POR</t>
        </is>
      </c>
      <c r="B2203" s="30" t="inlineStr">
        <is>
          <t>Porto Real</t>
        </is>
      </c>
      <c r="C2203" s="30" t="n">
        <v>85440357</v>
      </c>
      <c r="D2203" s="30">
        <f>"55184691000201"</f>
        <v/>
      </c>
      <c r="E2203" s="30" t="inlineStr">
        <is>
          <t>TRANSPORTADORA JULE LTDA</t>
        </is>
      </c>
      <c r="F2203" s="40" t="n">
        <v>373492.66</v>
      </c>
      <c r="G2203" s="40" t="n">
        <v>93412.60000000001</v>
      </c>
      <c r="H2203" s="40" t="n">
        <v>17988.85</v>
      </c>
      <c r="I2203" s="40" t="n">
        <v>191867.36</v>
      </c>
      <c r="J2203" s="40" t="n">
        <v>78070.03999999999</v>
      </c>
      <c r="K2203" s="40" t="n">
        <v>2778.39</v>
      </c>
      <c r="L2203" s="40" t="n">
        <v>95843.3</v>
      </c>
    </row>
    <row r="2204" ht="12" customHeight="1">
      <c r="A2204" s="30" t="inlineStr">
        <is>
          <t>POR</t>
        </is>
      </c>
      <c r="B2204" s="30" t="inlineStr">
        <is>
          <t>Porto Real</t>
        </is>
      </c>
      <c r="C2204" s="30" t="n">
        <v>85454455</v>
      </c>
      <c r="D2204" s="30">
        <f>"00468285000190"</f>
        <v/>
      </c>
      <c r="E2204" s="30" t="inlineStr">
        <is>
          <t>TRANZIRAN TRANSPORTES EIRELI</t>
        </is>
      </c>
      <c r="F2204" s="40" t="n">
        <v>0</v>
      </c>
      <c r="G2204" s="40" t="n">
        <v>0</v>
      </c>
      <c r="H2204" s="40" t="n">
        <v>0</v>
      </c>
      <c r="I2204" s="40" t="n">
        <v>30847.31</v>
      </c>
      <c r="J2204" s="40" t="n">
        <v>5469.04</v>
      </c>
      <c r="K2204" s="40" t="n">
        <v>20188.26</v>
      </c>
      <c r="L2204" s="40" t="n">
        <v>0</v>
      </c>
    </row>
    <row r="2205" ht="12" customHeight="1">
      <c r="A2205" s="30" t="inlineStr">
        <is>
          <t>POR</t>
        </is>
      </c>
      <c r="B2205" s="30" t="inlineStr">
        <is>
          <t>Porto Real</t>
        </is>
      </c>
      <c r="C2205" s="30" t="n">
        <v>85454684</v>
      </c>
      <c r="D2205" s="30">
        <f>"81800849001032"</f>
        <v/>
      </c>
      <c r="E2205" s="30" t="inlineStr">
        <is>
          <t>COTRESC COOPERATIVA DE TRANSPORTE DE CARGAS DO ESTADO DE SC LTDA</t>
        </is>
      </c>
      <c r="F2205" s="40" t="n">
        <v>0</v>
      </c>
      <c r="G2205" s="40" t="n">
        <v>0</v>
      </c>
      <c r="H2205" s="40" t="n">
        <v>2832.88</v>
      </c>
      <c r="I2205" s="40" t="n">
        <v>2907.9</v>
      </c>
      <c r="J2205" s="40" t="n">
        <v>2042.45</v>
      </c>
      <c r="K2205" s="40" t="n">
        <v>0</v>
      </c>
      <c r="L2205" s="40" t="n">
        <v>0</v>
      </c>
    </row>
    <row r="2206" ht="12" customHeight="1">
      <c r="A2206" s="30" t="inlineStr">
        <is>
          <t>POR</t>
        </is>
      </c>
      <c r="B2206" s="30" t="inlineStr">
        <is>
          <t>Porto Real</t>
        </is>
      </c>
      <c r="C2206" s="30" t="n">
        <v>85498053</v>
      </c>
      <c r="D2206" s="30">
        <f>"01341776000219"</f>
        <v/>
      </c>
      <c r="E2206" s="30" t="inlineStr">
        <is>
          <t>MERCOSUL LINE NAVEGACAO E LOGISTICA LTDA</t>
        </is>
      </c>
      <c r="F2206" s="40" t="n">
        <v>5062.5</v>
      </c>
      <c r="G2206" s="40" t="n">
        <v>0</v>
      </c>
      <c r="H2206" s="40" t="n">
        <v>0</v>
      </c>
      <c r="I2206" s="40" t="n">
        <v>0</v>
      </c>
      <c r="J2206" s="40" t="n">
        <v>0</v>
      </c>
      <c r="K2206" s="40" t="n">
        <v>15524.38</v>
      </c>
      <c r="L2206" s="40" t="n">
        <v>0</v>
      </c>
    </row>
    <row r="2207" ht="12" customHeight="1">
      <c r="A2207" s="30" t="inlineStr">
        <is>
          <t>POR</t>
        </is>
      </c>
      <c r="B2207" s="30" t="inlineStr">
        <is>
          <t>Porto Real</t>
        </is>
      </c>
      <c r="C2207" s="30" t="n">
        <v>85513567</v>
      </c>
      <c r="D2207" s="30">
        <f>"00510079000109"</f>
        <v/>
      </c>
      <c r="E2207" s="30" t="inlineStr">
        <is>
          <t>NEWTON ALVES CONDE ME</t>
        </is>
      </c>
      <c r="F2207" s="40" t="n">
        <v>0</v>
      </c>
      <c r="G2207" s="40" t="n">
        <v>0</v>
      </c>
      <c r="H2207" s="40" t="n">
        <v>0</v>
      </c>
      <c r="I2207" s="40" t="n">
        <v>0</v>
      </c>
      <c r="J2207" s="40" t="n">
        <v>0</v>
      </c>
      <c r="K2207" s="40" t="n">
        <v>0</v>
      </c>
      <c r="L2207" s="40" t="n">
        <v>0</v>
      </c>
    </row>
    <row r="2208" ht="12" customHeight="1">
      <c r="A2208" s="30" t="inlineStr">
        <is>
          <t>POR</t>
        </is>
      </c>
      <c r="B2208" s="30" t="inlineStr">
        <is>
          <t>Porto Real</t>
        </is>
      </c>
      <c r="C2208" s="30" t="n">
        <v>85528211</v>
      </c>
      <c r="D2208" s="30">
        <f>"00185997000100"</f>
        <v/>
      </c>
      <c r="E2208" s="30" t="inlineStr">
        <is>
          <t>NOVO HORIZONTE JACAREPAGUA IMPORTA??O E EXPORTA??O S.A</t>
        </is>
      </c>
      <c r="F2208" s="40" t="n">
        <v>0</v>
      </c>
      <c r="G2208" s="40" t="n">
        <v>0</v>
      </c>
      <c r="H2208" s="40" t="n">
        <v>0</v>
      </c>
      <c r="I2208" s="40" t="n">
        <v>0</v>
      </c>
      <c r="J2208" s="40" t="n">
        <v>0</v>
      </c>
      <c r="K2208" s="40" t="n">
        <v>11388</v>
      </c>
      <c r="L2208" s="40" t="n">
        <v>0</v>
      </c>
    </row>
    <row r="2209" ht="12" customHeight="1">
      <c r="A2209" s="30" t="inlineStr">
        <is>
          <t>POR</t>
        </is>
      </c>
      <c r="B2209" s="30" t="inlineStr">
        <is>
          <t>Porto Real</t>
        </is>
      </c>
      <c r="C2209" s="30" t="n">
        <v>85646052</v>
      </c>
      <c r="D2209" s="30">
        <f>"73475303001025"</f>
        <v/>
      </c>
      <c r="E2209" s="30" t="inlineStr">
        <is>
          <t>TNT EXPRESS BRASIL LTDA</t>
        </is>
      </c>
      <c r="F2209" s="40" t="n">
        <v>4665.38</v>
      </c>
      <c r="G2209" s="40" t="n">
        <v>0</v>
      </c>
      <c r="H2209" s="40" t="n">
        <v>0</v>
      </c>
      <c r="I2209" s="40" t="n">
        <v>0</v>
      </c>
      <c r="J2209" s="40" t="n">
        <v>0</v>
      </c>
      <c r="K2209" s="40" t="n">
        <v>0</v>
      </c>
      <c r="L2209" s="40" t="n">
        <v>0</v>
      </c>
    </row>
    <row r="2210" ht="12" customHeight="1">
      <c r="A2210" s="30" t="inlineStr">
        <is>
          <t>POR</t>
        </is>
      </c>
      <c r="B2210" s="30" t="inlineStr">
        <is>
          <t>Porto Real</t>
        </is>
      </c>
      <c r="C2210" s="30" t="n">
        <v>85727028</v>
      </c>
      <c r="D2210" s="30">
        <f>"66970229001139"</f>
        <v/>
      </c>
      <c r="E2210" s="30" t="inlineStr">
        <is>
          <t>NEXTEL TELECOMUNICACOES LTDA.</t>
        </is>
      </c>
      <c r="F2210" s="40" t="n">
        <v>478297.61</v>
      </c>
      <c r="G2210" s="40" t="n">
        <v>407149.55</v>
      </c>
      <c r="H2210" s="40" t="n">
        <v>500212.53</v>
      </c>
      <c r="I2210" s="40" t="n">
        <v>613845.08</v>
      </c>
      <c r="J2210" s="40" t="n">
        <v>510699.85</v>
      </c>
      <c r="K2210" s="40" t="n">
        <v>893247.1899999999</v>
      </c>
      <c r="L2210" s="40" t="n">
        <v>849220.37</v>
      </c>
    </row>
    <row r="2211" ht="12" customHeight="1">
      <c r="A2211" s="30" t="inlineStr">
        <is>
          <t>POR</t>
        </is>
      </c>
      <c r="B2211" s="30" t="inlineStr">
        <is>
          <t>Porto Real</t>
        </is>
      </c>
      <c r="C2211" s="30" t="n">
        <v>85730169</v>
      </c>
      <c r="D2211" s="30">
        <f>"01114430000105"</f>
        <v/>
      </c>
      <c r="E2211" s="30" t="inlineStr">
        <is>
          <t>TRANSFUTURO TRANSPORTES LTDA</t>
        </is>
      </c>
      <c r="F2211" s="40" t="n">
        <v>1043236.81</v>
      </c>
      <c r="G2211" s="40" t="n">
        <v>1279564.34</v>
      </c>
      <c r="H2211" s="40" t="n">
        <v>1345627.2</v>
      </c>
      <c r="I2211" s="40" t="n">
        <v>1089806.94</v>
      </c>
      <c r="J2211" s="40" t="n">
        <v>805464.36</v>
      </c>
      <c r="K2211" s="40" t="n">
        <v>0</v>
      </c>
      <c r="L2211" s="40" t="n">
        <v>0</v>
      </c>
    </row>
    <row r="2212" ht="12" customHeight="1">
      <c r="A2212" s="30" t="inlineStr">
        <is>
          <t>POR</t>
        </is>
      </c>
      <c r="B2212" s="30" t="inlineStr">
        <is>
          <t>Porto Real</t>
        </is>
      </c>
      <c r="C2212" s="30" t="n">
        <v>85730533</v>
      </c>
      <c r="D2212" s="30">
        <f>"01089179000168"</f>
        <v/>
      </c>
      <c r="E2212" s="30" t="inlineStr">
        <is>
          <t>TTC LOGISTICA LTDA</t>
        </is>
      </c>
      <c r="F2212" s="40" t="n">
        <v>86790</v>
      </c>
      <c r="G2212" s="40" t="n">
        <v>125</v>
      </c>
      <c r="H2212" s="40" t="n">
        <v>0</v>
      </c>
      <c r="I2212" s="40" t="n">
        <v>0</v>
      </c>
      <c r="J2212" s="40" t="n">
        <v>0</v>
      </c>
      <c r="K2212" s="40" t="n">
        <v>0</v>
      </c>
      <c r="L2212" s="40" t="n">
        <v>0</v>
      </c>
    </row>
    <row r="2213" ht="12" customHeight="1">
      <c r="A2213" s="30" t="inlineStr">
        <is>
          <t>POR</t>
        </is>
      </c>
      <c r="B2213" s="30" t="inlineStr">
        <is>
          <t>Porto Real</t>
        </is>
      </c>
      <c r="C2213" s="30" t="n">
        <v>85730924</v>
      </c>
      <c r="D2213" s="30">
        <f>"25436130000283"</f>
        <v/>
      </c>
      <c r="E2213" s="30" t="inlineStr">
        <is>
          <t>AUTOSERVICE LOGISTICA LTDA</t>
        </is>
      </c>
      <c r="F2213" s="40" t="n">
        <v>0</v>
      </c>
      <c r="G2213" s="40" t="n">
        <v>7807.74</v>
      </c>
      <c r="H2213" s="40" t="n">
        <v>43968.27</v>
      </c>
      <c r="I2213" s="40" t="n">
        <v>9071.299999999999</v>
      </c>
      <c r="J2213" s="40" t="n">
        <v>0</v>
      </c>
      <c r="K2213" s="40" t="n">
        <v>18072.77</v>
      </c>
      <c r="L2213" s="40" t="n">
        <v>3450.29</v>
      </c>
    </row>
    <row r="2214" ht="12" customHeight="1">
      <c r="A2214" s="30" t="inlineStr">
        <is>
          <t>POR</t>
        </is>
      </c>
      <c r="B2214" s="30" t="inlineStr">
        <is>
          <t>Porto Real</t>
        </is>
      </c>
      <c r="C2214" s="30" t="n">
        <v>85731270</v>
      </c>
      <c r="D2214" s="30">
        <f>"74445099000252"</f>
        <v/>
      </c>
      <c r="E2214" s="30" t="inlineStr">
        <is>
          <t>QUIMITRANS TRANSPORTES LTDA</t>
        </is>
      </c>
      <c r="F2214" s="40" t="n">
        <v>1541.33</v>
      </c>
      <c r="G2214" s="40" t="n">
        <v>0</v>
      </c>
      <c r="H2214" s="40" t="n">
        <v>0</v>
      </c>
      <c r="I2214" s="40" t="n">
        <v>20501.23</v>
      </c>
      <c r="J2214" s="40" t="n">
        <v>3398.73</v>
      </c>
      <c r="K2214" s="40" t="n">
        <v>0</v>
      </c>
      <c r="L2214" s="40" t="n">
        <v>0</v>
      </c>
    </row>
    <row r="2215" ht="12" customHeight="1">
      <c r="A2215" s="30" t="inlineStr">
        <is>
          <t>POR</t>
        </is>
      </c>
      <c r="B2215" s="30" t="inlineStr">
        <is>
          <t>Porto Real</t>
        </is>
      </c>
      <c r="C2215" s="30" t="n">
        <v>85804774</v>
      </c>
      <c r="D2215" s="30">
        <f>"67945071001029"</f>
        <v/>
      </c>
      <c r="E2215" s="30" t="inlineStr">
        <is>
          <t>SAPORE S.A</t>
        </is>
      </c>
      <c r="F2215" s="40" t="n">
        <v>4365800.05</v>
      </c>
      <c r="G2215" s="40" t="n">
        <v>8987830.74</v>
      </c>
      <c r="H2215" s="40" t="n">
        <v>4111240.64</v>
      </c>
      <c r="I2215" s="40" t="n">
        <v>2492921.23</v>
      </c>
      <c r="J2215" s="40" t="n">
        <v>2724770.41</v>
      </c>
      <c r="K2215" s="40" t="n">
        <v>0</v>
      </c>
      <c r="L2215" s="40" t="n">
        <v>973393.5699999999</v>
      </c>
    </row>
    <row r="2216" ht="12" customHeight="1">
      <c r="A2216" s="30" t="inlineStr">
        <is>
          <t>POR</t>
        </is>
      </c>
      <c r="B2216" s="30" t="inlineStr">
        <is>
          <t>Porto Real</t>
        </is>
      </c>
      <c r="C2216" s="30" t="n">
        <v>85872974</v>
      </c>
      <c r="D2216" s="30">
        <f>"00806930000137"</f>
        <v/>
      </c>
      <c r="E2216" s="30" t="inlineStr">
        <is>
          <t>GERSON TAVERNARI - ME</t>
        </is>
      </c>
      <c r="F2216" s="40" t="n">
        <v>0</v>
      </c>
      <c r="G2216" s="40" t="n">
        <v>0</v>
      </c>
      <c r="H2216" s="40" t="n">
        <v>0</v>
      </c>
      <c r="I2216" s="40" t="n">
        <v>0</v>
      </c>
      <c r="J2216" s="40" t="n">
        <v>0</v>
      </c>
      <c r="K2216" s="40" t="n">
        <v>0</v>
      </c>
      <c r="L2216" s="40" t="n">
        <v>0</v>
      </c>
    </row>
    <row r="2217" ht="12" customHeight="1">
      <c r="A2217" s="30" t="inlineStr">
        <is>
          <t>POR</t>
        </is>
      </c>
      <c r="B2217" s="30" t="inlineStr">
        <is>
          <t>Porto Real</t>
        </is>
      </c>
      <c r="C2217" s="30" t="n">
        <v>85873067</v>
      </c>
      <c r="D2217" s="30">
        <f>"01807781000193"</f>
        <v/>
      </c>
      <c r="E2217" s="30" t="inlineStr">
        <is>
          <t>NOEMIA GRACIANI TAVERNARI ME</t>
        </is>
      </c>
      <c r="F2217" s="40" t="n">
        <v>0</v>
      </c>
      <c r="G2217" s="40" t="n">
        <v>0</v>
      </c>
      <c r="H2217" s="40" t="n">
        <v>0</v>
      </c>
      <c r="I2217" s="40" t="n">
        <v>0</v>
      </c>
      <c r="J2217" s="40" t="n">
        <v>0</v>
      </c>
      <c r="K2217" s="40" t="n">
        <v>0</v>
      </c>
      <c r="L2217" s="40" t="n">
        <v>0</v>
      </c>
    </row>
    <row r="2218" ht="12" customHeight="1">
      <c r="A2218" s="30" t="inlineStr">
        <is>
          <t>POR</t>
        </is>
      </c>
      <c r="B2218" s="30" t="inlineStr">
        <is>
          <t>Porto Real</t>
        </is>
      </c>
      <c r="C2218" s="30" t="n">
        <v>85873091</v>
      </c>
      <c r="D2218" s="30">
        <f>"01410577000134"</f>
        <v/>
      </c>
      <c r="E2218" s="30" t="inlineStr">
        <is>
          <t>GUARDIAN DO BRASIL VIDROS PLANOS LTDA</t>
        </is>
      </c>
      <c r="F2218" s="40" t="n">
        <v>99267845.34</v>
      </c>
      <c r="G2218" s="40" t="n">
        <v>182666283.51</v>
      </c>
      <c r="H2218" s="40" t="n">
        <v>120051550.57</v>
      </c>
      <c r="I2218" s="40" t="n">
        <v>148921883.63</v>
      </c>
      <c r="J2218" s="40" t="n">
        <v>430301458.92</v>
      </c>
      <c r="K2218" s="40" t="n">
        <v>297581455.86</v>
      </c>
      <c r="L2218" s="40" t="n">
        <v>264193333.52</v>
      </c>
    </row>
    <row r="2219" ht="12" customHeight="1">
      <c r="A2219" s="30" t="inlineStr">
        <is>
          <t>POR</t>
        </is>
      </c>
      <c r="B2219" s="30" t="inlineStr">
        <is>
          <t>Porto Real</t>
        </is>
      </c>
      <c r="C2219" s="30" t="n">
        <v>85873644</v>
      </c>
      <c r="D2219" s="30">
        <f>"02862471000134"</f>
        <v/>
      </c>
      <c r="E2219" s="30" t="inlineStr">
        <is>
          <t>ALESSANDRA REGINA DA SILVA</t>
        </is>
      </c>
      <c r="F2219" s="40" t="n">
        <v>0</v>
      </c>
      <c r="G2219" s="40" t="n">
        <v>0</v>
      </c>
      <c r="H2219" s="40" t="n">
        <v>0</v>
      </c>
      <c r="I2219" s="40" t="n">
        <v>0</v>
      </c>
      <c r="J2219" s="40" t="n">
        <v>0</v>
      </c>
      <c r="K2219" s="40" t="n">
        <v>0</v>
      </c>
      <c r="L2219" s="40" t="n">
        <v>0</v>
      </c>
    </row>
    <row r="2220" ht="12" customHeight="1">
      <c r="A2220" s="30" t="inlineStr">
        <is>
          <t>POR</t>
        </is>
      </c>
      <c r="B2220" s="30" t="inlineStr">
        <is>
          <t>Porto Real</t>
        </is>
      </c>
      <c r="C2220" s="30" t="n">
        <v>85873679</v>
      </c>
      <c r="D2220" s="30">
        <f>"02950179000173"</f>
        <v/>
      </c>
      <c r="E2220" s="30" t="inlineStr">
        <is>
          <t>LETICIA LUCINDA FRANCISCO ROCHA</t>
        </is>
      </c>
      <c r="F2220" s="40" t="n">
        <v>0</v>
      </c>
      <c r="G2220" s="40" t="n">
        <v>0</v>
      </c>
      <c r="H2220" s="40" t="n">
        <v>0</v>
      </c>
      <c r="I2220" s="40" t="n">
        <v>0</v>
      </c>
      <c r="J2220" s="40" t="n">
        <v>0</v>
      </c>
      <c r="K2220" s="40" t="n">
        <v>0</v>
      </c>
      <c r="L2220" s="40" t="n">
        <v>0</v>
      </c>
    </row>
    <row r="2221" ht="12" customHeight="1">
      <c r="A2221" s="30" t="inlineStr">
        <is>
          <t>POR</t>
        </is>
      </c>
      <c r="B2221" s="30" t="inlineStr">
        <is>
          <t>Porto Real</t>
        </is>
      </c>
      <c r="C2221" s="30" t="n">
        <v>85873830</v>
      </c>
      <c r="D2221" s="30">
        <f>"03128702000143"</f>
        <v/>
      </c>
      <c r="E2221" s="30" t="inlineStr">
        <is>
          <t>CERAMICA ARCO ROMANO LTDA - EPP</t>
        </is>
      </c>
      <c r="F2221" s="40" t="n">
        <v>0</v>
      </c>
      <c r="G2221" s="40" t="n">
        <v>885008.6899999999</v>
      </c>
      <c r="H2221" s="40" t="n">
        <v>0</v>
      </c>
      <c r="I2221" s="40" t="n">
        <v>0</v>
      </c>
      <c r="J2221" s="40" t="n">
        <v>0</v>
      </c>
      <c r="K2221" s="40" t="n">
        <v>0</v>
      </c>
      <c r="L2221" s="40" t="n">
        <v>0</v>
      </c>
    </row>
    <row r="2222" ht="12" customHeight="1">
      <c r="A2222" s="30" t="inlineStr">
        <is>
          <t>POR</t>
        </is>
      </c>
      <c r="B2222" s="30" t="inlineStr">
        <is>
          <t>Porto Real</t>
        </is>
      </c>
      <c r="C2222" s="30" t="n">
        <v>85874012</v>
      </c>
      <c r="D2222" s="30">
        <f>"03463089000110"</f>
        <v/>
      </c>
      <c r="E2222" s="30" t="inlineStr">
        <is>
          <t>AGROPECUARIA DULEITE LTDA</t>
        </is>
      </c>
      <c r="F2222" s="40" t="n">
        <v>0</v>
      </c>
      <c r="G2222" s="40" t="n">
        <v>0</v>
      </c>
      <c r="H2222" s="40" t="n">
        <v>0</v>
      </c>
      <c r="I2222" s="40" t="n">
        <v>0</v>
      </c>
      <c r="J2222" s="40" t="n">
        <v>0</v>
      </c>
      <c r="K2222" s="40" t="n">
        <v>0</v>
      </c>
      <c r="L2222" s="40" t="n">
        <v>0</v>
      </c>
    </row>
    <row r="2223" ht="12" customHeight="1">
      <c r="A2223" s="30" t="inlineStr">
        <is>
          <t>POR</t>
        </is>
      </c>
      <c r="B2223" s="30" t="inlineStr">
        <is>
          <t>Porto Real</t>
        </is>
      </c>
      <c r="C2223" s="30" t="n">
        <v>85874020</v>
      </c>
      <c r="D2223" s="30">
        <f>"03129227000120"</f>
        <v/>
      </c>
      <c r="E2223" s="30" t="inlineStr">
        <is>
          <t>ASSOCIACAO DOS PEQUENOS PRODUTORES RURAIS DE PORTO REAL</t>
        </is>
      </c>
      <c r="F2223" s="40" t="n">
        <v>0</v>
      </c>
      <c r="G2223" s="40" t="n">
        <v>0</v>
      </c>
      <c r="H2223" s="40" t="n">
        <v>0</v>
      </c>
      <c r="I2223" s="40" t="n">
        <v>0</v>
      </c>
      <c r="J2223" s="40" t="n">
        <v>0</v>
      </c>
      <c r="K2223" s="40" t="n">
        <v>0</v>
      </c>
      <c r="L2223" s="40" t="n">
        <v>0</v>
      </c>
    </row>
    <row r="2224" ht="12" customHeight="1">
      <c r="A2224" s="30" t="inlineStr">
        <is>
          <t>POR</t>
        </is>
      </c>
      <c r="B2224" s="30" t="inlineStr">
        <is>
          <t>Porto Real</t>
        </is>
      </c>
      <c r="C2224" s="30" t="n">
        <v>85874047</v>
      </c>
      <c r="D2224" s="30">
        <f>"67405936000173"</f>
        <v/>
      </c>
      <c r="E2224" s="30" t="inlineStr">
        <is>
          <t>PEUGEOT CITROEN DO BRASIL AUTOMOVEIS LTDA</t>
        </is>
      </c>
      <c r="F2224" s="40" t="n">
        <v>2334137761.34</v>
      </c>
      <c r="G2224" s="40" t="n">
        <v>2888226548.88</v>
      </c>
      <c r="H2224" s="40" t="n">
        <v>2261626698.94</v>
      </c>
      <c r="I2224" s="40" t="n">
        <v>1954368359.55</v>
      </c>
      <c r="J2224" s="40" t="n">
        <v>4486220513.16</v>
      </c>
      <c r="K2224" s="40" t="n">
        <v>6137050966.38</v>
      </c>
      <c r="L2224" s="40" t="n">
        <v>2740134348.56</v>
      </c>
    </row>
    <row r="2225" ht="12" customHeight="1">
      <c r="A2225" s="30" t="inlineStr">
        <is>
          <t>POR</t>
        </is>
      </c>
      <c r="B2225" s="30" t="inlineStr">
        <is>
          <t>Porto Real</t>
        </is>
      </c>
      <c r="C2225" s="30" t="n">
        <v>85874098</v>
      </c>
      <c r="D2225" s="30">
        <f>"03585982000119"</f>
        <v/>
      </c>
      <c r="E2225" s="30" t="inlineStr">
        <is>
          <t>PORTO REAL TRANSPORTE COLETIVO LTDA</t>
        </is>
      </c>
      <c r="F2225" s="40" t="n">
        <v>0</v>
      </c>
      <c r="G2225" s="40" t="n">
        <v>0</v>
      </c>
      <c r="H2225" s="40" t="n">
        <v>0</v>
      </c>
      <c r="I2225" s="40" t="n">
        <v>0</v>
      </c>
      <c r="J2225" s="40" t="n">
        <v>0</v>
      </c>
      <c r="K2225" s="40" t="n">
        <v>373372.65</v>
      </c>
      <c r="L2225" s="40" t="n">
        <v>343562.9</v>
      </c>
    </row>
    <row r="2226" ht="12" customHeight="1">
      <c r="A2226" s="30" t="inlineStr">
        <is>
          <t>POR</t>
        </is>
      </c>
      <c r="B2226" s="30" t="inlineStr">
        <is>
          <t>Porto Real</t>
        </is>
      </c>
      <c r="C2226" s="30" t="n">
        <v>85874195</v>
      </c>
      <c r="D2226" s="30">
        <f>"02295769000533"</f>
        <v/>
      </c>
      <c r="E2226" s="30" t="inlineStr">
        <is>
          <t>BENTELER SISTEMAS AUTOMOTIVOS LTDA</t>
        </is>
      </c>
      <c r="F2226" s="40" t="n">
        <v>176806298.45</v>
      </c>
      <c r="G2226" s="40" t="n">
        <v>157085991.85</v>
      </c>
      <c r="H2226" s="40" t="n">
        <v>9980899.449999999</v>
      </c>
      <c r="I2226" s="40" t="n">
        <v>5598644.07</v>
      </c>
      <c r="J2226" s="40" t="n">
        <v>10804729.81</v>
      </c>
      <c r="K2226" s="40" t="n">
        <v>73497222.34999999</v>
      </c>
      <c r="L2226" s="40" t="n">
        <v>89687458.48999999</v>
      </c>
    </row>
    <row r="2227" ht="12" customHeight="1">
      <c r="A2227" s="30" t="inlineStr">
        <is>
          <t>POR</t>
        </is>
      </c>
      <c r="B2227" s="30" t="inlineStr">
        <is>
          <t>Porto Real</t>
        </is>
      </c>
      <c r="C2227" s="30" t="n">
        <v>85874241</v>
      </c>
      <c r="D2227" s="30">
        <f>"01178298000510"</f>
        <v/>
      </c>
      <c r="E2227" s="30" t="inlineStr">
        <is>
          <t>FAURECIA AUTOMOTIVE DO BRASIL LTDA</t>
        </is>
      </c>
      <c r="F2227" s="40" t="n">
        <v>48470336.55</v>
      </c>
      <c r="G2227" s="40" t="n">
        <v>67659483.45999999</v>
      </c>
      <c r="H2227" s="40" t="n">
        <v>40181504.25</v>
      </c>
      <c r="I2227" s="40" t="n">
        <v>34186195.88</v>
      </c>
      <c r="J2227" s="40" t="n">
        <v>50024992.16</v>
      </c>
      <c r="K2227" s="40" t="n">
        <v>36126177.17</v>
      </c>
      <c r="L2227" s="40" t="n">
        <v>24830725.02</v>
      </c>
    </row>
    <row r="2228" ht="12" customHeight="1">
      <c r="A2228" s="30" t="inlineStr">
        <is>
          <t>POR</t>
        </is>
      </c>
      <c r="B2228" s="30" t="inlineStr">
        <is>
          <t>Porto Real</t>
        </is>
      </c>
      <c r="C2228" s="30" t="n">
        <v>85874306</v>
      </c>
      <c r="D2228" s="30">
        <f>"03912886000138"</f>
        <v/>
      </c>
      <c r="E2228" s="30" t="inlineStr">
        <is>
          <t>NINO"S RESTAURANTE EIRELI</t>
        </is>
      </c>
      <c r="F2228" s="40" t="n">
        <v>0</v>
      </c>
      <c r="G2228" s="40" t="n">
        <v>0</v>
      </c>
      <c r="H2228" s="40" t="n">
        <v>0</v>
      </c>
      <c r="I2228" s="40" t="n">
        <v>0</v>
      </c>
      <c r="J2228" s="40" t="n">
        <v>0</v>
      </c>
      <c r="K2228" s="40" t="n">
        <v>0</v>
      </c>
      <c r="L2228" s="40" t="n">
        <v>107899.89</v>
      </c>
    </row>
    <row r="2229" ht="12" customHeight="1">
      <c r="A2229" s="30" t="inlineStr">
        <is>
          <t>POR</t>
        </is>
      </c>
      <c r="B2229" s="30" t="inlineStr">
        <is>
          <t>Porto Real</t>
        </is>
      </c>
      <c r="C2229" s="30" t="n">
        <v>85874314</v>
      </c>
      <c r="D2229" s="30">
        <f>"03094658000440"</f>
        <v/>
      </c>
      <c r="E2229" s="30" t="inlineStr">
        <is>
          <t>GEFCO LOGISTICA DO BRASIL LTDA</t>
        </is>
      </c>
      <c r="F2229" s="40" t="n">
        <v>97382192.22</v>
      </c>
      <c r="G2229" s="40" t="n">
        <v>92681954.47</v>
      </c>
      <c r="H2229" s="40" t="n">
        <v>89830117.14</v>
      </c>
      <c r="I2229" s="40" t="n">
        <v>56138521</v>
      </c>
      <c r="J2229" s="40" t="n">
        <v>110704603.94</v>
      </c>
      <c r="K2229" s="40" t="n">
        <v>199635959.98</v>
      </c>
      <c r="L2229" s="40" t="n">
        <v>136235075.94</v>
      </c>
    </row>
    <row r="2230" ht="12" customHeight="1">
      <c r="A2230" s="30" t="inlineStr">
        <is>
          <t>POR</t>
        </is>
      </c>
      <c r="B2230" s="30" t="inlineStr">
        <is>
          <t>Porto Real</t>
        </is>
      </c>
      <c r="C2230" s="30" t="n">
        <v>85874322</v>
      </c>
      <c r="D2230" s="30">
        <f>"03601681000131"</f>
        <v/>
      </c>
      <c r="E2230" s="30" t="inlineStr">
        <is>
          <t>AUTO POSTO REAL BEIRA RIO LTDA</t>
        </is>
      </c>
      <c r="F2230" s="40" t="n">
        <v>767414.36</v>
      </c>
      <c r="G2230" s="40" t="n">
        <v>1040038.85</v>
      </c>
      <c r="H2230" s="40" t="n">
        <v>1261346.76</v>
      </c>
      <c r="I2230" s="40" t="n">
        <v>1162391.13</v>
      </c>
      <c r="J2230" s="40" t="n">
        <v>1262590.63</v>
      </c>
      <c r="K2230" s="40" t="n">
        <v>1468316.68</v>
      </c>
      <c r="L2230" s="40" t="n">
        <v>3157338.2</v>
      </c>
    </row>
    <row r="2231" ht="12" customHeight="1">
      <c r="A2231" s="30" t="inlineStr">
        <is>
          <t>POR</t>
        </is>
      </c>
      <c r="B2231" s="30" t="inlineStr">
        <is>
          <t>Porto Real</t>
        </is>
      </c>
      <c r="C2231" s="30" t="n">
        <v>85874438</v>
      </c>
      <c r="D2231" s="30">
        <f>"04265390000182"</f>
        <v/>
      </c>
      <c r="E2231" s="30" t="inlineStr">
        <is>
          <t>REAL FLEX COMERCIO E SERVICOS EIRELI ME</t>
        </is>
      </c>
      <c r="F2231" s="40" t="n">
        <v>0</v>
      </c>
      <c r="G2231" s="40" t="n">
        <v>0</v>
      </c>
      <c r="H2231" s="40" t="n">
        <v>0</v>
      </c>
      <c r="I2231" s="40" t="n">
        <v>0</v>
      </c>
      <c r="J2231" s="40" t="n">
        <v>0</v>
      </c>
      <c r="K2231" s="40" t="n">
        <v>0</v>
      </c>
      <c r="L2231" s="40" t="n">
        <v>0</v>
      </c>
    </row>
    <row r="2232" ht="12" customHeight="1">
      <c r="A2232" s="30" t="inlineStr">
        <is>
          <t>POR</t>
        </is>
      </c>
      <c r="B2232" s="30" t="inlineStr">
        <is>
          <t>Porto Real</t>
        </is>
      </c>
      <c r="C2232" s="30" t="n">
        <v>85874500</v>
      </c>
      <c r="D2232" s="30">
        <f>"60395589000287"</f>
        <v/>
      </c>
      <c r="E2232" s="30" t="inlineStr">
        <is>
          <t>BRAZUL TRANSPORTE DE VEICULOS LTDA</t>
        </is>
      </c>
      <c r="F2232" s="40" t="n">
        <v>27403939.74</v>
      </c>
      <c r="G2232" s="40" t="n">
        <v>27566538.55</v>
      </c>
      <c r="H2232" s="40" t="n">
        <v>28954412.59</v>
      </c>
      <c r="I2232" s="40" t="n">
        <v>17234837.16</v>
      </c>
      <c r="J2232" s="40" t="n">
        <v>29386205.72</v>
      </c>
      <c r="K2232" s="40" t="n">
        <v>53640395.99</v>
      </c>
      <c r="L2232" s="40" t="n">
        <v>36905503.37</v>
      </c>
    </row>
    <row r="2233" ht="12" customHeight="1">
      <c r="A2233" s="30" t="inlineStr">
        <is>
          <t>POR</t>
        </is>
      </c>
      <c r="B2233" s="30" t="inlineStr">
        <is>
          <t>Porto Real</t>
        </is>
      </c>
      <c r="C2233" s="30" t="n">
        <v>85994964</v>
      </c>
      <c r="D2233" s="30">
        <f>"01417222000509"</f>
        <v/>
      </c>
      <c r="E2233" s="30" t="inlineStr">
        <is>
          <t>MRS LOGISTICA S/A</t>
        </is>
      </c>
      <c r="F2233" s="40" t="n">
        <v>1965393.71</v>
      </c>
      <c r="G2233" s="40" t="n">
        <v>793913.7</v>
      </c>
      <c r="H2233" s="40" t="n">
        <v>1965672.07</v>
      </c>
      <c r="I2233" s="40" t="n">
        <v>4013973.18</v>
      </c>
      <c r="J2233" s="40" t="n">
        <v>3390016.78</v>
      </c>
      <c r="K2233" s="40" t="n">
        <v>3144169.16</v>
      </c>
      <c r="L2233" s="40" t="n">
        <v>467910.22</v>
      </c>
    </row>
    <row r="2234" ht="12" customHeight="1">
      <c r="A2234" s="30" t="inlineStr">
        <is>
          <t>POR</t>
        </is>
      </c>
      <c r="B2234" s="30" t="inlineStr">
        <is>
          <t>Porto Real</t>
        </is>
      </c>
      <c r="C2234" s="30" t="n">
        <v>85995634</v>
      </c>
      <c r="D2234" s="30">
        <f>"01486029000198"</f>
        <v/>
      </c>
      <c r="E2234" s="30" t="inlineStr">
        <is>
          <t>AVB 2004 TRANSPORTES LTDA</t>
        </is>
      </c>
      <c r="F2234" s="40" t="n">
        <v>275615</v>
      </c>
      <c r="G2234" s="40" t="n">
        <v>339183.4</v>
      </c>
      <c r="H2234" s="40" t="n">
        <v>0</v>
      </c>
      <c r="I2234" s="40" t="n">
        <v>0</v>
      </c>
      <c r="J2234" s="40" t="n">
        <v>0</v>
      </c>
      <c r="K2234" s="40" t="n">
        <v>0</v>
      </c>
      <c r="L2234" s="40" t="n">
        <v>0</v>
      </c>
    </row>
    <row r="2235" ht="12" customHeight="1">
      <c r="A2235" s="30" t="inlineStr">
        <is>
          <t>POR</t>
        </is>
      </c>
      <c r="B2235" s="30" t="inlineStr">
        <is>
          <t>Porto Real</t>
        </is>
      </c>
      <c r="C2235" s="30" t="n">
        <v>86037874</v>
      </c>
      <c r="D2235" s="30">
        <f>"01434954000256"</f>
        <v/>
      </c>
      <c r="E2235" s="30" t="inlineStr">
        <is>
          <t>T N B TRANSPORTES LTDA</t>
        </is>
      </c>
      <c r="F2235" s="40" t="n">
        <v>0</v>
      </c>
      <c r="G2235" s="40" t="n">
        <v>0</v>
      </c>
      <c r="H2235" s="40" t="n">
        <v>0</v>
      </c>
      <c r="I2235" s="40" t="n">
        <v>0</v>
      </c>
      <c r="J2235" s="40" t="n">
        <v>0</v>
      </c>
      <c r="K2235" s="40" t="n">
        <v>0</v>
      </c>
      <c r="L2235" s="40" t="n">
        <v>915.5700000000001</v>
      </c>
    </row>
    <row r="2236" ht="12" customHeight="1">
      <c r="A2236" s="30" t="inlineStr">
        <is>
          <t>POR</t>
        </is>
      </c>
      <c r="B2236" s="30" t="inlineStr">
        <is>
          <t>Porto Real</t>
        </is>
      </c>
      <c r="C2236" s="30" t="n">
        <v>86039397</v>
      </c>
      <c r="D2236" s="30">
        <f>"57012098000467"</f>
        <v/>
      </c>
      <c r="E2236" s="30" t="inlineStr">
        <is>
          <t>TRANSLUTE TRANSPORTES RODOVIARIO LTDA</t>
        </is>
      </c>
      <c r="F2236" s="40" t="n">
        <v>0</v>
      </c>
      <c r="G2236" s="40" t="n">
        <v>0</v>
      </c>
      <c r="H2236" s="40" t="n">
        <v>272.88</v>
      </c>
      <c r="I2236" s="40" t="n">
        <v>0</v>
      </c>
      <c r="J2236" s="40" t="n">
        <v>1122.97</v>
      </c>
      <c r="K2236" s="40" t="n">
        <v>0</v>
      </c>
      <c r="L2236" s="40" t="n">
        <v>17403.53</v>
      </c>
    </row>
    <row r="2237" ht="12" customHeight="1">
      <c r="A2237" s="30" t="inlineStr">
        <is>
          <t>POR</t>
        </is>
      </c>
      <c r="B2237" s="30" t="inlineStr">
        <is>
          <t>Porto Real</t>
        </is>
      </c>
      <c r="C2237" s="30" t="n">
        <v>86039494</v>
      </c>
      <c r="D2237" s="30">
        <f>"01695336000189"</f>
        <v/>
      </c>
      <c r="E2237" s="30" t="inlineStr">
        <is>
          <t>25 DE JULHO TRANSPORTES LTDA EPP</t>
        </is>
      </c>
      <c r="F2237" s="40" t="n">
        <v>0</v>
      </c>
      <c r="G2237" s="40" t="n">
        <v>0</v>
      </c>
      <c r="H2237" s="40" t="n">
        <v>0</v>
      </c>
      <c r="I2237" s="40" t="n">
        <v>0</v>
      </c>
      <c r="J2237" s="40" t="n">
        <v>0</v>
      </c>
      <c r="K2237" s="40" t="n">
        <v>6428.17</v>
      </c>
      <c r="L2237" s="40" t="n">
        <v>1002.12</v>
      </c>
    </row>
    <row r="2238" ht="12" customHeight="1">
      <c r="A2238" s="30" t="inlineStr">
        <is>
          <t>POR</t>
        </is>
      </c>
      <c r="B2238" s="30" t="inlineStr">
        <is>
          <t>Porto Real</t>
        </is>
      </c>
      <c r="C2238" s="30" t="n">
        <v>86039842</v>
      </c>
      <c r="D2238" s="30">
        <f>"86442720000203"</f>
        <v/>
      </c>
      <c r="E2238" s="30" t="inlineStr">
        <is>
          <t>COOPERATIVA RIOBRANQUENSE DE TRANSPORTES LTDA</t>
        </is>
      </c>
      <c r="F2238" s="40" t="n">
        <v>0</v>
      </c>
      <c r="G2238" s="40" t="n">
        <v>0</v>
      </c>
      <c r="H2238" s="40" t="n">
        <v>0</v>
      </c>
      <c r="I2238" s="40" t="n">
        <v>400</v>
      </c>
      <c r="J2238" s="40" t="n">
        <v>0</v>
      </c>
      <c r="K2238" s="40" t="n">
        <v>0</v>
      </c>
      <c r="L2238" s="40" t="n">
        <v>0</v>
      </c>
    </row>
    <row r="2239" ht="12" customHeight="1">
      <c r="A2239" s="30" t="inlineStr">
        <is>
          <t>POR</t>
        </is>
      </c>
      <c r="B2239" s="30" t="inlineStr">
        <is>
          <t>Porto Real</t>
        </is>
      </c>
      <c r="C2239" s="30" t="n">
        <v>86040646</v>
      </c>
      <c r="D2239" s="30">
        <f>"01812566000180"</f>
        <v/>
      </c>
      <c r="E2239" s="30" t="inlineStr">
        <is>
          <t>TRANSWAGEN RESENDE ENTREGADORA DE VEÍCULOS EIRELI</t>
        </is>
      </c>
      <c r="F2239" s="40" t="n">
        <v>0</v>
      </c>
      <c r="G2239" s="40" t="n">
        <v>0</v>
      </c>
      <c r="H2239" s="40" t="n">
        <v>0</v>
      </c>
      <c r="I2239" s="40" t="n">
        <v>0</v>
      </c>
      <c r="J2239" s="40" t="n">
        <v>0</v>
      </c>
      <c r="K2239" s="40" t="n">
        <v>0</v>
      </c>
      <c r="L2239" s="40" t="n">
        <v>0</v>
      </c>
    </row>
    <row r="2240" ht="12" customHeight="1">
      <c r="A2240" s="30" t="inlineStr">
        <is>
          <t>POR</t>
        </is>
      </c>
      <c r="B2240" s="30" t="inlineStr">
        <is>
          <t>Porto Real</t>
        </is>
      </c>
      <c r="C2240" s="30" t="n">
        <v>86062895</v>
      </c>
      <c r="D2240" s="30">
        <f>"72843212000222"</f>
        <v/>
      </c>
      <c r="E2240" s="30" t="inlineStr">
        <is>
          <t>CENTURYLINK COMUNICAÇÕES DO BRASIL LTDA</t>
        </is>
      </c>
      <c r="F2240" s="40" t="n">
        <v>51483.42</v>
      </c>
      <c r="G2240" s="40" t="n">
        <v>15690.09</v>
      </c>
      <c r="H2240" s="40" t="n">
        <v>15390.61</v>
      </c>
      <c r="I2240" s="40" t="n">
        <v>10177.17</v>
      </c>
      <c r="J2240" s="40" t="n">
        <v>0</v>
      </c>
      <c r="K2240" s="40" t="n">
        <v>0</v>
      </c>
      <c r="L2240" s="40" t="n">
        <v>0</v>
      </c>
    </row>
    <row r="2241" ht="12" customHeight="1">
      <c r="A2241" s="30" t="inlineStr">
        <is>
          <t>POR</t>
        </is>
      </c>
      <c r="B2241" s="30" t="inlineStr">
        <is>
          <t>Porto Real</t>
        </is>
      </c>
      <c r="C2241" s="30" t="n">
        <v>86092085</v>
      </c>
      <c r="D2241" s="30">
        <f>"02421421000111"</f>
        <v/>
      </c>
      <c r="E2241" s="30" t="inlineStr">
        <is>
          <t>TIM S.A.</t>
        </is>
      </c>
      <c r="F2241" s="40" t="n">
        <v>1656196.21</v>
      </c>
      <c r="G2241" s="40" t="n">
        <v>3354637.79</v>
      </c>
      <c r="H2241" s="40" t="n">
        <v>12915171.04</v>
      </c>
      <c r="I2241" s="40" t="n">
        <v>12570425.88</v>
      </c>
      <c r="J2241" s="40" t="n">
        <v>11818961.84</v>
      </c>
      <c r="K2241" s="40" t="n">
        <v>10881487.97</v>
      </c>
      <c r="L2241" s="40" t="n">
        <v>12782247.58</v>
      </c>
    </row>
    <row r="2242" ht="12" customHeight="1">
      <c r="A2242" s="30" t="inlineStr">
        <is>
          <t>POR</t>
        </is>
      </c>
      <c r="B2242" s="30" t="inlineStr">
        <is>
          <t>Porto Real</t>
        </is>
      </c>
      <c r="C2242" s="30" t="n">
        <v>86115220</v>
      </c>
      <c r="D2242" s="30">
        <f>"02231030000134"</f>
        <v/>
      </c>
      <c r="E2242" s="30" t="inlineStr">
        <is>
          <t>GLOBALSTAR DO BRASIL LTDA</t>
        </is>
      </c>
      <c r="F2242" s="40" t="n">
        <v>1331.64</v>
      </c>
      <c r="G2242" s="40" t="n">
        <v>2246</v>
      </c>
      <c r="H2242" s="40" t="n">
        <v>2272.16</v>
      </c>
      <c r="I2242" s="40" t="n">
        <v>0</v>
      </c>
      <c r="J2242" s="40" t="n">
        <v>819.3</v>
      </c>
      <c r="K2242" s="40" t="n">
        <v>599.4</v>
      </c>
      <c r="L2242" s="40" t="n">
        <v>0</v>
      </c>
    </row>
    <row r="2243" ht="12" customHeight="1">
      <c r="A2243" s="30" t="inlineStr">
        <is>
          <t>POR</t>
        </is>
      </c>
      <c r="B2243" s="30" t="inlineStr">
        <is>
          <t>Porto Real</t>
        </is>
      </c>
      <c r="C2243" s="30" t="n">
        <v>86159910</v>
      </c>
      <c r="D2243" s="30">
        <f>"01878026000108"</f>
        <v/>
      </c>
      <c r="E2243" s="30" t="inlineStr">
        <is>
          <t>HAWAI-PORTO REAL TRANSPORTES LTDA</t>
        </is>
      </c>
      <c r="F2243" s="40" t="n">
        <v>0</v>
      </c>
      <c r="G2243" s="40" t="n">
        <v>2676</v>
      </c>
      <c r="H2243" s="40" t="n">
        <v>20980</v>
      </c>
      <c r="I2243" s="40" t="n">
        <v>37335</v>
      </c>
      <c r="J2243" s="40" t="n">
        <v>2101340.97</v>
      </c>
      <c r="K2243" s="40" t="n">
        <v>2101340.97</v>
      </c>
      <c r="L2243" s="40" t="n">
        <v>84713</v>
      </c>
    </row>
    <row r="2244" ht="12" customHeight="1">
      <c r="A2244" s="30" t="inlineStr">
        <is>
          <t>POR</t>
        </is>
      </c>
      <c r="B2244" s="30" t="inlineStr">
        <is>
          <t>Porto Real</t>
        </is>
      </c>
      <c r="C2244" s="30" t="n">
        <v>86160919</v>
      </c>
      <c r="D2244" s="30">
        <f>"01682917000186"</f>
        <v/>
      </c>
      <c r="E2244" s="30" t="inlineStr">
        <is>
          <t>COUTRANS TRANSPORTES E SERVICOS LTDA</t>
        </is>
      </c>
      <c r="F2244" s="40" t="n">
        <v>3100</v>
      </c>
      <c r="G2244" s="40" t="n">
        <v>2700</v>
      </c>
      <c r="H2244" s="40" t="n">
        <v>78060.82000000001</v>
      </c>
      <c r="I2244" s="40" t="n">
        <v>146664.6</v>
      </c>
      <c r="J2244" s="40" t="n">
        <v>102212.66</v>
      </c>
      <c r="K2244" s="40" t="n">
        <v>105558.66</v>
      </c>
      <c r="L2244" s="40" t="n">
        <v>119697.98</v>
      </c>
    </row>
    <row r="2245" ht="12" customHeight="1">
      <c r="A2245" s="30" t="inlineStr">
        <is>
          <t>POR</t>
        </is>
      </c>
      <c r="B2245" s="30" t="inlineStr">
        <is>
          <t>Porto Real</t>
        </is>
      </c>
      <c r="C2245" s="30" t="n">
        <v>86203588</v>
      </c>
      <c r="D2245" s="30">
        <f>"02173234000166"</f>
        <v/>
      </c>
      <c r="E2245" s="30" t="inlineStr">
        <is>
          <t>AN DE AMORIM MERCEARIA LTDA ME</t>
        </is>
      </c>
      <c r="F2245" s="40" t="n">
        <v>0</v>
      </c>
      <c r="G2245" s="40" t="n">
        <v>0</v>
      </c>
      <c r="H2245" s="40" t="n">
        <v>0</v>
      </c>
      <c r="I2245" s="40" t="n">
        <v>0</v>
      </c>
      <c r="J2245" s="40" t="n">
        <v>0</v>
      </c>
      <c r="K2245" s="40" t="n">
        <v>0</v>
      </c>
      <c r="L2245" s="40" t="n">
        <v>0</v>
      </c>
    </row>
    <row r="2246" ht="12" customHeight="1">
      <c r="A2246" s="30" t="inlineStr">
        <is>
          <t>POR</t>
        </is>
      </c>
      <c r="B2246" s="30" t="inlineStr">
        <is>
          <t>Porto Real</t>
        </is>
      </c>
      <c r="C2246" s="30" t="n">
        <v>86233703</v>
      </c>
      <c r="D2246" s="30">
        <f>"02357033000119"</f>
        <v/>
      </c>
      <c r="E2246" s="30" t="inlineStr">
        <is>
          <t>QUICKNET TELECOM LTDA EPP</t>
        </is>
      </c>
      <c r="F2246" s="40" t="n">
        <v>0</v>
      </c>
      <c r="G2246" s="40" t="n">
        <v>0</v>
      </c>
      <c r="H2246" s="40" t="n">
        <v>0</v>
      </c>
      <c r="I2246" s="40" t="n">
        <v>0</v>
      </c>
      <c r="J2246" s="40" t="n">
        <v>0</v>
      </c>
      <c r="K2246" s="40" t="n">
        <v>0</v>
      </c>
      <c r="L2246" s="40" t="n">
        <v>1188804.83</v>
      </c>
    </row>
    <row r="2247" ht="12" customHeight="1">
      <c r="A2247" s="30" t="inlineStr">
        <is>
          <t>POR</t>
        </is>
      </c>
      <c r="B2247" s="30" t="inlineStr">
        <is>
          <t>Porto Real</t>
        </is>
      </c>
      <c r="C2247" s="30" t="n">
        <v>86273004</v>
      </c>
      <c r="D2247" s="30">
        <f>"03113442000132"</f>
        <v/>
      </c>
      <c r="E2247" s="30" t="inlineStr">
        <is>
          <t>AGMSBS TRANSPORTES LTDA</t>
        </is>
      </c>
      <c r="F2247" s="40" t="n">
        <v>0</v>
      </c>
      <c r="G2247" s="40" t="n">
        <v>0</v>
      </c>
      <c r="H2247" s="40" t="n">
        <v>718.8099999999999</v>
      </c>
      <c r="I2247" s="40" t="n">
        <v>0</v>
      </c>
      <c r="J2247" s="40" t="n">
        <v>0</v>
      </c>
      <c r="K2247" s="40" t="n">
        <v>0</v>
      </c>
      <c r="L2247" s="40" t="n">
        <v>0</v>
      </c>
    </row>
    <row r="2248" ht="12" customHeight="1">
      <c r="A2248" s="30" t="inlineStr">
        <is>
          <t>POR</t>
        </is>
      </c>
      <c r="B2248" s="30" t="inlineStr">
        <is>
          <t>Porto Real</t>
        </is>
      </c>
      <c r="C2248" s="30" t="n">
        <v>86288125</v>
      </c>
      <c r="D2248" s="30">
        <f>"02042295000194"</f>
        <v/>
      </c>
      <c r="E2248" s="30" t="inlineStr">
        <is>
          <t>TRANS POLLI PORTO REAL TRANSPORTES LTDA</t>
        </is>
      </c>
      <c r="F2248" s="40" t="n">
        <v>0</v>
      </c>
      <c r="G2248" s="40" t="n">
        <v>5720</v>
      </c>
      <c r="H2248" s="40" t="n">
        <v>8990</v>
      </c>
      <c r="I2248" s="40" t="n">
        <v>0</v>
      </c>
      <c r="J2248" s="40" t="n">
        <v>30</v>
      </c>
      <c r="K2248" s="40" t="n">
        <v>124390.64</v>
      </c>
      <c r="L2248" s="40" t="n">
        <v>841845.46</v>
      </c>
    </row>
    <row r="2249" ht="12" customHeight="1">
      <c r="A2249" s="30" t="inlineStr">
        <is>
          <t>POR</t>
        </is>
      </c>
      <c r="B2249" s="30" t="inlineStr">
        <is>
          <t>Porto Real</t>
        </is>
      </c>
      <c r="C2249" s="30" t="n">
        <v>86288796</v>
      </c>
      <c r="D2249" s="30">
        <f>"01679681000200"</f>
        <v/>
      </c>
      <c r="E2249" s="30" t="inlineStr">
        <is>
          <t>HAMBURGO CARGAS LTDA</t>
        </is>
      </c>
      <c r="F2249" s="40" t="n">
        <v>71.56</v>
      </c>
      <c r="G2249" s="40" t="n">
        <v>0</v>
      </c>
      <c r="H2249" s="40" t="n">
        <v>0</v>
      </c>
      <c r="I2249" s="40" t="n">
        <v>0</v>
      </c>
      <c r="J2249" s="40" t="n">
        <v>0</v>
      </c>
      <c r="K2249" s="40" t="n">
        <v>366.88</v>
      </c>
      <c r="L2249" s="40" t="n">
        <v>88.39</v>
      </c>
    </row>
    <row r="2250" ht="12" customHeight="1">
      <c r="A2250" s="30" t="inlineStr">
        <is>
          <t>POR</t>
        </is>
      </c>
      <c r="B2250" s="30" t="inlineStr">
        <is>
          <t>Porto Real</t>
        </is>
      </c>
      <c r="C2250" s="30" t="n">
        <v>86289784</v>
      </c>
      <c r="D2250" s="30">
        <f>"95591723009507"</f>
        <v/>
      </c>
      <c r="E2250" s="30" t="inlineStr">
        <is>
          <t>TNT MERCURIO CARGAS E ENCOMENDAS EXPRESSAS LTDA</t>
        </is>
      </c>
      <c r="F2250" s="40" t="n">
        <v>15566.56</v>
      </c>
      <c r="G2250" s="40" t="n">
        <v>9712.389999999999</v>
      </c>
      <c r="H2250" s="40" t="n">
        <v>11793.75</v>
      </c>
      <c r="I2250" s="40" t="n">
        <v>15581.27</v>
      </c>
      <c r="J2250" s="40" t="n">
        <v>12249.03</v>
      </c>
      <c r="K2250" s="40" t="n">
        <v>7151.19</v>
      </c>
      <c r="L2250" s="40" t="n">
        <v>87.20999999999999</v>
      </c>
    </row>
    <row r="2251" ht="12" customHeight="1">
      <c r="A2251" s="30" t="inlineStr">
        <is>
          <t>POR</t>
        </is>
      </c>
      <c r="B2251" s="30" t="inlineStr">
        <is>
          <t>Porto Real</t>
        </is>
      </c>
      <c r="C2251" s="30" t="n">
        <v>86289989</v>
      </c>
      <c r="D2251" s="30">
        <f>"01703312000205"</f>
        <v/>
      </c>
      <c r="E2251" s="30" t="inlineStr">
        <is>
          <t>ABC CARGAS LTDA</t>
        </is>
      </c>
      <c r="F2251" s="40" t="n">
        <v>2591488.66</v>
      </c>
      <c r="G2251" s="40" t="n">
        <v>1787235.79</v>
      </c>
      <c r="H2251" s="40" t="n">
        <v>1613318.24</v>
      </c>
      <c r="I2251" s="40" t="n">
        <v>748721.35</v>
      </c>
      <c r="J2251" s="40" t="n">
        <v>807136.54</v>
      </c>
      <c r="K2251" s="40" t="n">
        <v>54786.49</v>
      </c>
      <c r="L2251" s="40" t="n">
        <v>2000</v>
      </c>
    </row>
    <row r="2252" ht="12" customHeight="1">
      <c r="A2252" s="30" t="inlineStr">
        <is>
          <t>POR</t>
        </is>
      </c>
      <c r="B2252" s="30" t="inlineStr">
        <is>
          <t>Porto Real</t>
        </is>
      </c>
      <c r="C2252" s="30" t="n">
        <v>86316986</v>
      </c>
      <c r="D2252" s="30">
        <f>"57512691000987"</f>
        <v/>
      </c>
      <c r="E2252" s="30" t="inlineStr">
        <is>
          <t>TURSAN TURISMO SANTO ANDRE LTDA</t>
        </is>
      </c>
      <c r="F2252" s="40" t="n">
        <v>0</v>
      </c>
      <c r="G2252" s="40" t="n">
        <v>885699.9300000001</v>
      </c>
      <c r="H2252" s="40" t="n">
        <v>1942082.12</v>
      </c>
      <c r="I2252" s="40" t="n">
        <v>2027943.46</v>
      </c>
      <c r="J2252" s="40" t="n">
        <v>2301304.23</v>
      </c>
      <c r="K2252" s="40" t="n">
        <v>2860256.48</v>
      </c>
      <c r="L2252" s="40" t="n">
        <v>3092574.36</v>
      </c>
    </row>
    <row r="2253" ht="12" customHeight="1">
      <c r="A2253" s="30" t="inlineStr">
        <is>
          <t>POR</t>
        </is>
      </c>
      <c r="B2253" s="30" t="inlineStr">
        <is>
          <t>Porto Real</t>
        </is>
      </c>
      <c r="C2253" s="30" t="n">
        <v>86319500</v>
      </c>
      <c r="D2253" s="30">
        <f>"60395589001330"</f>
        <v/>
      </c>
      <c r="E2253" s="30" t="inlineStr">
        <is>
          <t>BRAZUL TRANSPORTE DE VEICULOS LTDA</t>
        </is>
      </c>
      <c r="F2253" s="40" t="n">
        <v>0</v>
      </c>
      <c r="G2253" s="40" t="n">
        <v>0</v>
      </c>
      <c r="H2253" s="40" t="n">
        <v>0</v>
      </c>
      <c r="I2253" s="40" t="n">
        <v>0</v>
      </c>
      <c r="J2253" s="40" t="n">
        <v>0</v>
      </c>
      <c r="K2253" s="40" t="n">
        <v>0</v>
      </c>
      <c r="L2253" s="40" t="n">
        <v>15205.89</v>
      </c>
    </row>
    <row r="2254" ht="12" customHeight="1">
      <c r="A2254" s="30" t="inlineStr">
        <is>
          <t>POR</t>
        </is>
      </c>
      <c r="B2254" s="30" t="inlineStr">
        <is>
          <t>Porto Real</t>
        </is>
      </c>
      <c r="C2254" s="30" t="n">
        <v>86320053</v>
      </c>
      <c r="D2254" s="30">
        <f>"02445414000583"</f>
        <v/>
      </c>
      <c r="E2254" s="30" t="inlineStr">
        <is>
          <t>TRANSVIP TRANSPORTE DE VALORES E VIGILANCIA PATRIMONIAL LTDA</t>
        </is>
      </c>
      <c r="F2254" s="40" t="n">
        <v>16724.51</v>
      </c>
      <c r="G2254" s="40" t="n">
        <v>19335.58</v>
      </c>
      <c r="H2254" s="40" t="n">
        <v>42156.3</v>
      </c>
      <c r="I2254" s="40" t="n">
        <v>0</v>
      </c>
      <c r="J2254" s="40" t="n">
        <v>0</v>
      </c>
      <c r="K2254" s="40" t="n">
        <v>0</v>
      </c>
      <c r="L2254" s="40" t="n">
        <v>0</v>
      </c>
    </row>
    <row r="2255" ht="12" customHeight="1">
      <c r="A2255" s="30" t="inlineStr">
        <is>
          <t>POR</t>
        </is>
      </c>
      <c r="B2255" s="30" t="inlineStr">
        <is>
          <t>Porto Real</t>
        </is>
      </c>
      <c r="C2255" s="30" t="n">
        <v>86344335</v>
      </c>
      <c r="D2255" s="30">
        <f>"02412371000106"</f>
        <v/>
      </c>
      <c r="E2255" s="30" t="inlineStr">
        <is>
          <t>TREVO LOCAR TRANSPORTES LTDA EPP</t>
        </is>
      </c>
      <c r="F2255" s="40" t="n">
        <v>0</v>
      </c>
      <c r="G2255" s="40" t="n">
        <v>0</v>
      </c>
      <c r="H2255" s="40" t="n">
        <v>0</v>
      </c>
      <c r="I2255" s="40" t="n">
        <v>5812.56</v>
      </c>
      <c r="J2255" s="40" t="n">
        <v>0</v>
      </c>
      <c r="K2255" s="40" t="n">
        <v>0</v>
      </c>
      <c r="L2255" s="40" t="n">
        <v>0</v>
      </c>
    </row>
    <row r="2256" ht="12" customHeight="1">
      <c r="A2256" s="30" t="inlineStr">
        <is>
          <t>POR</t>
        </is>
      </c>
      <c r="B2256" s="30" t="inlineStr">
        <is>
          <t>Porto Real</t>
        </is>
      </c>
      <c r="C2256" s="30" t="n">
        <v>86509938</v>
      </c>
      <c r="D2256" s="30">
        <f>"18730955000160"</f>
        <v/>
      </c>
      <c r="E2256" s="30" t="inlineStr">
        <is>
          <t>RENATA CONSTRUCOES LTDA ME</t>
        </is>
      </c>
      <c r="F2256" s="40" t="n">
        <v>0</v>
      </c>
      <c r="G2256" s="40" t="n">
        <v>0</v>
      </c>
      <c r="H2256" s="40" t="n">
        <v>0</v>
      </c>
      <c r="I2256" s="40" t="n">
        <v>0</v>
      </c>
      <c r="J2256" s="40" t="n">
        <v>0</v>
      </c>
      <c r="K2256" s="40" t="n">
        <v>0</v>
      </c>
      <c r="L2256" s="40" t="n">
        <v>0</v>
      </c>
    </row>
    <row r="2257" ht="12" customHeight="1">
      <c r="A2257" s="30" t="inlineStr">
        <is>
          <t>POR</t>
        </is>
      </c>
      <c r="B2257" s="30" t="inlineStr">
        <is>
          <t>Porto Real</t>
        </is>
      </c>
      <c r="C2257" s="30" t="n">
        <v>86517051</v>
      </c>
      <c r="D2257" s="30">
        <f>"61186888010318"</f>
        <v/>
      </c>
      <c r="E2257" s="30" t="inlineStr">
        <is>
          <t>SPAL INDUSTRIA BRASILEIRA DE BEBIDAS S/A</t>
        </is>
      </c>
      <c r="F2257" s="40" t="n">
        <v>66793398.92</v>
      </c>
      <c r="G2257" s="40" t="n">
        <v>78385640.59999999</v>
      </c>
      <c r="H2257" s="40" t="n">
        <v>137315920.93</v>
      </c>
      <c r="I2257" s="40" t="n">
        <v>144871941.51</v>
      </c>
      <c r="J2257" s="40" t="n">
        <v>151924693.46</v>
      </c>
      <c r="K2257" s="40" t="n">
        <v>144996807.01</v>
      </c>
      <c r="L2257" s="40" t="n">
        <v>183720296.56</v>
      </c>
    </row>
    <row r="2258" ht="12" customHeight="1">
      <c r="A2258" s="30" t="inlineStr">
        <is>
          <t>POR</t>
        </is>
      </c>
      <c r="B2258" s="30" t="inlineStr">
        <is>
          <t>Porto Real</t>
        </is>
      </c>
      <c r="C2258" s="30" t="n">
        <v>86541777</v>
      </c>
      <c r="D2258" s="30">
        <f>"13247991000234"</f>
        <v/>
      </c>
      <c r="E2258" s="30" t="inlineStr">
        <is>
          <t>KETLOG TRANSPORTE DE CARGAS LTDA</t>
        </is>
      </c>
      <c r="F2258" s="40" t="n">
        <v>0</v>
      </c>
      <c r="G2258" s="40" t="n">
        <v>973521.4399999999</v>
      </c>
      <c r="H2258" s="40" t="n">
        <v>1720795.96</v>
      </c>
      <c r="I2258" s="40" t="n">
        <v>354608.05</v>
      </c>
      <c r="J2258" s="40" t="n">
        <v>447620.75</v>
      </c>
      <c r="K2258" s="40" t="n">
        <v>0</v>
      </c>
      <c r="L2258" s="40" t="n">
        <v>153462.96</v>
      </c>
    </row>
    <row r="2259" ht="12" customHeight="1">
      <c r="A2259" s="30" t="inlineStr">
        <is>
          <t>POR</t>
        </is>
      </c>
      <c r="B2259" s="30" t="inlineStr">
        <is>
          <t>Porto Real</t>
        </is>
      </c>
      <c r="C2259" s="30" t="n">
        <v>86542072</v>
      </c>
      <c r="D2259" s="30">
        <f>"08062253000444"</f>
        <v/>
      </c>
      <c r="E2259" s="30" t="inlineStr">
        <is>
          <t>CAMBRIDGE TELECOMUNICACOES LTDA</t>
        </is>
      </c>
      <c r="F2259" s="40" t="n">
        <v>4671.67</v>
      </c>
      <c r="G2259" s="40" t="n">
        <v>1367.49</v>
      </c>
      <c r="H2259" s="40" t="n">
        <v>162.43</v>
      </c>
      <c r="I2259" s="40" t="n">
        <v>0</v>
      </c>
      <c r="J2259" s="40" t="n">
        <v>0</v>
      </c>
      <c r="K2259" s="40" t="n">
        <v>0</v>
      </c>
      <c r="L2259" s="40" t="n">
        <v>0</v>
      </c>
    </row>
    <row r="2260" ht="12" customHeight="1">
      <c r="A2260" s="30" t="inlineStr">
        <is>
          <t>POR</t>
        </is>
      </c>
      <c r="B2260" s="30" t="inlineStr">
        <is>
          <t>Porto Real</t>
        </is>
      </c>
      <c r="C2260" s="30" t="n">
        <v>86566877</v>
      </c>
      <c r="D2260" s="30">
        <f>"19223780000167"</f>
        <v/>
      </c>
      <c r="E2260" s="30" t="inlineStr">
        <is>
          <t>LLF MATHIAS VIAS DE TRANSPORTES RODOVI?RIOS EIRELI</t>
        </is>
      </c>
      <c r="F2260" s="40" t="n">
        <v>0</v>
      </c>
      <c r="G2260" s="40" t="n">
        <v>55.95</v>
      </c>
      <c r="H2260" s="40" t="n">
        <v>0</v>
      </c>
      <c r="I2260" s="40" t="n">
        <v>0</v>
      </c>
      <c r="J2260" s="40" t="n">
        <v>0</v>
      </c>
      <c r="K2260" s="40" t="n">
        <v>0</v>
      </c>
      <c r="L2260" s="40" t="n">
        <v>0</v>
      </c>
    </row>
    <row r="2261" ht="12" customHeight="1">
      <c r="A2261" s="30" t="inlineStr">
        <is>
          <t>POR</t>
        </is>
      </c>
      <c r="B2261" s="30" t="inlineStr">
        <is>
          <t>Porto Real</t>
        </is>
      </c>
      <c r="C2261" s="30" t="n">
        <v>86568020</v>
      </c>
      <c r="D2261" s="30">
        <f>"02931515000483"</f>
        <v/>
      </c>
      <c r="E2261" s="30" t="inlineStr">
        <is>
          <t>EFTEC BRASIL LTDA</t>
        </is>
      </c>
      <c r="F2261" s="40" t="n">
        <v>0</v>
      </c>
      <c r="G2261" s="40" t="n">
        <v>0</v>
      </c>
      <c r="H2261" s="40" t="n">
        <v>0</v>
      </c>
      <c r="I2261" s="40" t="n">
        <v>0</v>
      </c>
      <c r="J2261" s="40" t="n">
        <v>0</v>
      </c>
      <c r="K2261" s="40" t="n">
        <v>0</v>
      </c>
      <c r="L2261" s="40" t="n">
        <v>0</v>
      </c>
    </row>
    <row r="2262" ht="12" customHeight="1">
      <c r="A2262" s="30" t="inlineStr">
        <is>
          <t>POR</t>
        </is>
      </c>
      <c r="B2262" s="30" t="inlineStr">
        <is>
          <t>Porto Real</t>
        </is>
      </c>
      <c r="C2262" s="30" t="n">
        <v>86570734</v>
      </c>
      <c r="D2262" s="30">
        <f>"96178405000860"</f>
        <v/>
      </c>
      <c r="E2262" s="30" t="inlineStr">
        <is>
          <t>SANKYU LOGISTICS DESPACHOS ADUANEIROS LTDA</t>
        </is>
      </c>
      <c r="F2262" s="40" t="n">
        <v>956.62</v>
      </c>
      <c r="G2262" s="40" t="n">
        <v>0</v>
      </c>
      <c r="H2262" s="40" t="n">
        <v>0</v>
      </c>
      <c r="I2262" s="40" t="n">
        <v>0</v>
      </c>
      <c r="J2262" s="40" t="n">
        <v>0</v>
      </c>
      <c r="K2262" s="40" t="n">
        <v>0</v>
      </c>
      <c r="L2262" s="40" t="n">
        <v>0</v>
      </c>
    </row>
    <row r="2263" ht="12" customHeight="1">
      <c r="A2263" s="30" t="inlineStr">
        <is>
          <t>POR</t>
        </is>
      </c>
      <c r="B2263" s="30" t="inlineStr">
        <is>
          <t>Porto Real</t>
        </is>
      </c>
      <c r="C2263" s="30" t="n">
        <v>86583704</v>
      </c>
      <c r="D2263" s="30">
        <f>"19224751000110"</f>
        <v/>
      </c>
      <c r="E2263" s="30" t="inlineStr">
        <is>
          <t>TNC CONSTRUTORA EIRELI</t>
        </is>
      </c>
      <c r="F2263" s="40" t="n">
        <v>0</v>
      </c>
      <c r="G2263" s="40" t="n">
        <v>0</v>
      </c>
      <c r="H2263" s="40" t="n">
        <v>0</v>
      </c>
      <c r="I2263" s="40" t="n">
        <v>0</v>
      </c>
      <c r="J2263" s="40" t="n">
        <v>0</v>
      </c>
      <c r="K2263" s="40" t="n">
        <v>0</v>
      </c>
      <c r="L2263" s="40" t="n">
        <v>0</v>
      </c>
    </row>
    <row r="2264" ht="12" customHeight="1">
      <c r="A2264" s="30" t="inlineStr">
        <is>
          <t>POR</t>
        </is>
      </c>
      <c r="B2264" s="30" t="inlineStr">
        <is>
          <t>Porto Real</t>
        </is>
      </c>
      <c r="C2264" s="30" t="n">
        <v>86589710</v>
      </c>
      <c r="D2264" s="30">
        <f>"12116971000857"</f>
        <v/>
      </c>
      <c r="E2264" s="30" t="inlineStr">
        <is>
          <t>TIMBRO COMERCIO EXTERIOR LTDA</t>
        </is>
      </c>
      <c r="F2264" s="40" t="n">
        <v>0</v>
      </c>
      <c r="G2264" s="40" t="n">
        <v>383798.16</v>
      </c>
      <c r="H2264" s="40" t="n">
        <v>0</v>
      </c>
      <c r="I2264" s="40" t="n">
        <v>0</v>
      </c>
      <c r="J2264" s="40" t="n">
        <v>0</v>
      </c>
      <c r="K2264" s="40" t="n">
        <v>0</v>
      </c>
      <c r="L2264" s="40" t="n">
        <v>0</v>
      </c>
    </row>
    <row r="2265" ht="12" customHeight="1">
      <c r="A2265" s="30" t="inlineStr">
        <is>
          <t>POR</t>
        </is>
      </c>
      <c r="B2265" s="30" t="inlineStr">
        <is>
          <t>Porto Real</t>
        </is>
      </c>
      <c r="C2265" s="30" t="n">
        <v>86604060</v>
      </c>
      <c r="D2265" s="30">
        <f>"89086144000973"</f>
        <v/>
      </c>
      <c r="E2265" s="30" t="inlineStr">
        <is>
          <t>RANDON S A IMPLEMENTOS E PARTICIPACOES</t>
        </is>
      </c>
      <c r="F2265" s="40" t="n">
        <v>0</v>
      </c>
      <c r="G2265" s="40" t="n">
        <v>0</v>
      </c>
      <c r="H2265" s="40" t="n">
        <v>0</v>
      </c>
      <c r="I2265" s="40" t="n">
        <v>85676.06</v>
      </c>
      <c r="J2265" s="40" t="n">
        <v>1363381.49</v>
      </c>
      <c r="K2265" s="40" t="n">
        <v>0</v>
      </c>
      <c r="L2265" s="40" t="n">
        <v>0</v>
      </c>
    </row>
    <row r="2266" ht="12" customHeight="1">
      <c r="A2266" s="30" t="inlineStr">
        <is>
          <t>POR</t>
        </is>
      </c>
      <c r="B2266" s="30" t="inlineStr">
        <is>
          <t>Porto Real</t>
        </is>
      </c>
      <c r="C2266" s="30" t="n">
        <v>86614707</v>
      </c>
      <c r="D2266" s="30">
        <f>"17814074000407"</f>
        <v/>
      </c>
      <c r="E2266" s="30" t="inlineStr">
        <is>
          <t>NORTES TRANSPORTE E COMERCIO E SERVICOS LTDA</t>
        </is>
      </c>
      <c r="F2266" s="40" t="n">
        <v>48.74</v>
      </c>
      <c r="G2266" s="40" t="n">
        <v>0</v>
      </c>
      <c r="H2266" s="40" t="n">
        <v>0</v>
      </c>
      <c r="I2266" s="40" t="n">
        <v>0</v>
      </c>
      <c r="J2266" s="40" t="n">
        <v>0</v>
      </c>
      <c r="K2266" s="40" t="n">
        <v>0</v>
      </c>
      <c r="L2266" s="40" t="n">
        <v>0</v>
      </c>
    </row>
    <row r="2267" ht="12" customHeight="1">
      <c r="A2267" s="30" t="inlineStr">
        <is>
          <t>POR</t>
        </is>
      </c>
      <c r="B2267" s="30" t="inlineStr">
        <is>
          <t>Porto Real</t>
        </is>
      </c>
      <c r="C2267" s="30" t="n">
        <v>86635577</v>
      </c>
      <c r="D2267" s="30">
        <f>"82270711001627"</f>
        <v/>
      </c>
      <c r="E2267" s="30" t="inlineStr">
        <is>
          <t>CARGOLIFT LOGISTICA S/A</t>
        </is>
      </c>
      <c r="F2267" s="40" t="n">
        <v>1040600.28</v>
      </c>
      <c r="G2267" s="40" t="n">
        <v>1707256.53</v>
      </c>
      <c r="H2267" s="40" t="n">
        <v>1471270.16</v>
      </c>
      <c r="I2267" s="40" t="n">
        <v>577360.01</v>
      </c>
      <c r="J2267" s="40" t="n">
        <v>0</v>
      </c>
      <c r="K2267" s="40" t="n">
        <v>0</v>
      </c>
      <c r="L2267" s="40" t="n">
        <v>0</v>
      </c>
    </row>
    <row r="2268" ht="12" customHeight="1">
      <c r="A2268" s="30" t="inlineStr">
        <is>
          <t>POR</t>
        </is>
      </c>
      <c r="B2268" s="30" t="inlineStr">
        <is>
          <t>Porto Real</t>
        </is>
      </c>
      <c r="C2268" s="30" t="n">
        <v>86639750</v>
      </c>
      <c r="D2268" s="30">
        <f>"19737004000185"</f>
        <v/>
      </c>
      <c r="E2268" s="30" t="inlineStr">
        <is>
          <t>NEW CARGO TRANSPORTE E LOGISTICA LTDA ME</t>
        </is>
      </c>
      <c r="F2268" s="40" t="n">
        <v>0</v>
      </c>
      <c r="G2268" s="40" t="n">
        <v>0</v>
      </c>
      <c r="H2268" s="40" t="n">
        <v>0</v>
      </c>
      <c r="I2268" s="40" t="n">
        <v>0</v>
      </c>
      <c r="J2268" s="40" t="n">
        <v>169493.06</v>
      </c>
      <c r="K2268" s="40" t="n">
        <v>583008.0699999999</v>
      </c>
      <c r="L2268" s="40" t="n">
        <v>832585.3199999999</v>
      </c>
    </row>
    <row r="2269" ht="12" customHeight="1">
      <c r="A2269" s="30" t="inlineStr">
        <is>
          <t>POR</t>
        </is>
      </c>
      <c r="B2269" s="30" t="inlineStr">
        <is>
          <t>Porto Real</t>
        </is>
      </c>
      <c r="C2269" s="30" t="n">
        <v>86659069</v>
      </c>
      <c r="D2269" s="30">
        <f>"06235812000607"</f>
        <v/>
      </c>
      <c r="E2269" s="30" t="inlineStr">
        <is>
          <t>CESLOG - CESARI LOGISTICA LTDA</t>
        </is>
      </c>
      <c r="F2269" s="40" t="n">
        <v>4696.65</v>
      </c>
      <c r="G2269" s="40" t="n">
        <v>1578.96</v>
      </c>
      <c r="H2269" s="40" t="n">
        <v>1698.06</v>
      </c>
      <c r="I2269" s="40" t="n">
        <v>3917.74</v>
      </c>
      <c r="J2269" s="40" t="n">
        <v>2455.63</v>
      </c>
      <c r="K2269" s="40" t="n">
        <v>0</v>
      </c>
      <c r="L2269" s="40" t="n">
        <v>0</v>
      </c>
    </row>
    <row r="2270" ht="12" customHeight="1">
      <c r="A2270" s="30" t="inlineStr">
        <is>
          <t>POR</t>
        </is>
      </c>
      <c r="B2270" s="30" t="inlineStr">
        <is>
          <t>Porto Real</t>
        </is>
      </c>
      <c r="C2270" s="30" t="n">
        <v>86678020</v>
      </c>
      <c r="D2270" s="30">
        <f>"02743895000694"</f>
        <v/>
      </c>
      <c r="E2270" s="30" t="inlineStr">
        <is>
          <t>WEST AIR CARGO LTDA</t>
        </is>
      </c>
      <c r="F2270" s="40" t="n">
        <v>0</v>
      </c>
      <c r="G2270" s="40" t="n">
        <v>0</v>
      </c>
      <c r="H2270" s="40" t="n">
        <v>0</v>
      </c>
      <c r="I2270" s="40" t="n">
        <v>0</v>
      </c>
      <c r="J2270" s="40" t="n">
        <v>0</v>
      </c>
      <c r="K2270" s="40" t="n">
        <v>4078.63</v>
      </c>
      <c r="L2270" s="40" t="n">
        <v>0</v>
      </c>
    </row>
    <row r="2271" ht="12" customHeight="1">
      <c r="A2271" s="30" t="inlineStr">
        <is>
          <t>POR</t>
        </is>
      </c>
      <c r="B2271" s="30" t="inlineStr">
        <is>
          <t>Porto Real</t>
        </is>
      </c>
      <c r="C2271" s="30" t="n">
        <v>86681919</v>
      </c>
      <c r="D2271" s="30">
        <f>"92327410000321"</f>
        <v/>
      </c>
      <c r="E2271" s="30" t="inlineStr">
        <is>
          <t>KLL EQUIPAMENTOS PARA TRANSPORTE S/A</t>
        </is>
      </c>
      <c r="F2271" s="40" t="n">
        <v>1566237.29</v>
      </c>
      <c r="G2271" s="40" t="n">
        <v>1088535.63</v>
      </c>
      <c r="H2271" s="40" t="n">
        <v>4638653.61</v>
      </c>
      <c r="I2271" s="40" t="n">
        <v>1112347.18</v>
      </c>
      <c r="J2271" s="40" t="n">
        <v>1295417.84</v>
      </c>
      <c r="K2271" s="40" t="n">
        <v>218229.11</v>
      </c>
      <c r="L2271" s="40" t="n">
        <v>0</v>
      </c>
    </row>
    <row r="2272" ht="12" customHeight="1">
      <c r="A2272" s="30" t="inlineStr">
        <is>
          <t>POR</t>
        </is>
      </c>
      <c r="B2272" s="30" t="inlineStr">
        <is>
          <t>Porto Real</t>
        </is>
      </c>
      <c r="C2272" s="30" t="n">
        <v>86682060</v>
      </c>
      <c r="D2272" s="30">
        <f>"07956015000339"</f>
        <v/>
      </c>
      <c r="E2272" s="30" t="inlineStr">
        <is>
          <t>MARLOG BRASIL LOGISTICA E ARMAZENAGEM LTDA</t>
        </is>
      </c>
      <c r="F2272" s="40" t="n">
        <v>0</v>
      </c>
      <c r="G2272" s="40" t="n">
        <v>0</v>
      </c>
      <c r="H2272" s="40" t="n">
        <v>0</v>
      </c>
      <c r="I2272" s="40" t="n">
        <v>0</v>
      </c>
      <c r="J2272" s="40" t="n">
        <v>8699.33</v>
      </c>
      <c r="K2272" s="40" t="n">
        <v>9937.059999999999</v>
      </c>
      <c r="L2272" s="40" t="n">
        <v>0</v>
      </c>
    </row>
    <row r="2273" ht="12" customHeight="1">
      <c r="A2273" s="30" t="inlineStr">
        <is>
          <t>POR</t>
        </is>
      </c>
      <c r="B2273" s="30" t="inlineStr">
        <is>
          <t>Porto Real</t>
        </is>
      </c>
      <c r="C2273" s="30" t="n">
        <v>86682303</v>
      </c>
      <c r="D2273" s="30">
        <f>"20094487000126"</f>
        <v/>
      </c>
      <c r="E2273" s="30" t="inlineStr">
        <is>
          <t>M APARECIDA OLIVEIRA TRANSPORTES E LOGISTICA ME</t>
        </is>
      </c>
      <c r="F2273" s="40" t="n">
        <v>2064768.6</v>
      </c>
      <c r="G2273" s="40" t="n">
        <v>3930485.08</v>
      </c>
      <c r="H2273" s="40" t="n">
        <v>6616643.19</v>
      </c>
      <c r="I2273" s="40" t="n">
        <v>564175.16</v>
      </c>
      <c r="J2273" s="40" t="n">
        <v>0</v>
      </c>
      <c r="K2273" s="40" t="n">
        <v>0</v>
      </c>
      <c r="L2273" s="40" t="n">
        <v>0</v>
      </c>
    </row>
    <row r="2274" ht="12" customHeight="1">
      <c r="A2274" s="30" t="inlineStr">
        <is>
          <t>POR</t>
        </is>
      </c>
      <c r="B2274" s="30" t="inlineStr">
        <is>
          <t>Porto Real</t>
        </is>
      </c>
      <c r="C2274" s="30" t="n">
        <v>86686783</v>
      </c>
      <c r="D2274" s="30">
        <f>"19275618000516"</f>
        <v/>
      </c>
      <c r="E2274" s="30" t="inlineStr">
        <is>
          <t>INOVA LOGISTICA INTEGRADA LTDA</t>
        </is>
      </c>
      <c r="F2274" s="40" t="n">
        <v>0</v>
      </c>
      <c r="G2274" s="40" t="n">
        <v>0</v>
      </c>
      <c r="H2274" s="40" t="n">
        <v>0</v>
      </c>
      <c r="I2274" s="40" t="n">
        <v>0</v>
      </c>
      <c r="J2274" s="40" t="n">
        <v>332.12</v>
      </c>
      <c r="K2274" s="40" t="n">
        <v>102.43</v>
      </c>
      <c r="L2274" s="40" t="n">
        <v>0</v>
      </c>
    </row>
    <row r="2275" ht="12" customHeight="1">
      <c r="A2275" s="30" t="inlineStr">
        <is>
          <t>POR</t>
        </is>
      </c>
      <c r="B2275" s="30" t="inlineStr">
        <is>
          <t>Porto Real</t>
        </is>
      </c>
      <c r="C2275" s="30" t="n">
        <v>86755823</v>
      </c>
      <c r="D2275" s="30">
        <f>"00193687000803"</f>
        <v/>
      </c>
      <c r="E2275" s="30" t="inlineStr">
        <is>
          <t>TROCA TRANSPORTES EIRELI</t>
        </is>
      </c>
      <c r="F2275" s="40" t="n">
        <v>0</v>
      </c>
      <c r="G2275" s="40" t="n">
        <v>259.19</v>
      </c>
      <c r="H2275" s="40" t="n">
        <v>0</v>
      </c>
      <c r="I2275" s="40" t="n">
        <v>0</v>
      </c>
      <c r="J2275" s="40" t="n">
        <v>0</v>
      </c>
      <c r="K2275" s="40" t="n">
        <v>89.76000000000001</v>
      </c>
      <c r="L2275" s="40" t="n">
        <v>395</v>
      </c>
    </row>
    <row r="2276" ht="12" customHeight="1">
      <c r="A2276" s="30" t="inlineStr">
        <is>
          <t>POR</t>
        </is>
      </c>
      <c r="B2276" s="30" t="inlineStr">
        <is>
          <t>Porto Real</t>
        </is>
      </c>
      <c r="C2276" s="30" t="n">
        <v>86762544</v>
      </c>
      <c r="D2276" s="30">
        <f>"05612165000219"</f>
        <v/>
      </c>
      <c r="E2276" s="30" t="inlineStr">
        <is>
          <t>AUTO PEÇAS NASIGER EIRELI</t>
        </is>
      </c>
      <c r="F2276" s="40" t="n">
        <v>3755550.84</v>
      </c>
      <c r="G2276" s="40" t="n">
        <v>3292177.11</v>
      </c>
      <c r="H2276" s="40" t="n">
        <v>1089093.71</v>
      </c>
      <c r="I2276" s="40" t="n">
        <v>702069.72</v>
      </c>
      <c r="J2276" s="40" t="n">
        <v>822748.85</v>
      </c>
      <c r="K2276" s="40" t="n">
        <v>1172494.76</v>
      </c>
      <c r="L2276" s="40" t="n">
        <v>1157132.89</v>
      </c>
    </row>
    <row r="2277" ht="12" customHeight="1">
      <c r="A2277" s="30" t="inlineStr">
        <is>
          <t>POR</t>
        </is>
      </c>
      <c r="B2277" s="30" t="inlineStr">
        <is>
          <t>Porto Real</t>
        </is>
      </c>
      <c r="C2277" s="30" t="n">
        <v>86789477</v>
      </c>
      <c r="D2277" s="30">
        <f>"04887927001541"</f>
        <v/>
      </c>
      <c r="E2277" s="30" t="inlineStr">
        <is>
          <t>ANDREANI LOGISTICA LTDA</t>
        </is>
      </c>
      <c r="F2277" s="40" t="n">
        <v>0</v>
      </c>
      <c r="G2277" s="40" t="n">
        <v>0</v>
      </c>
      <c r="H2277" s="40" t="n">
        <v>0</v>
      </c>
      <c r="I2277" s="40" t="n">
        <v>152.02</v>
      </c>
      <c r="J2277" s="40" t="n">
        <v>0</v>
      </c>
      <c r="K2277" s="40" t="n">
        <v>0</v>
      </c>
      <c r="L2277" s="40" t="n">
        <v>0</v>
      </c>
    </row>
    <row r="2278" ht="12" customHeight="1">
      <c r="A2278" s="30" t="inlineStr">
        <is>
          <t>POR</t>
        </is>
      </c>
      <c r="B2278" s="30" t="inlineStr">
        <is>
          <t>Porto Real</t>
        </is>
      </c>
      <c r="C2278" s="30" t="n">
        <v>86789736</v>
      </c>
      <c r="D2278" s="30">
        <f>"39207915000108"</f>
        <v/>
      </c>
      <c r="E2278" s="30" t="inlineStr">
        <is>
          <t>REAL SUL LOCAÇÃO E TRANSPORTES EIRELI</t>
        </is>
      </c>
      <c r="F2278" s="40" t="n">
        <v>0</v>
      </c>
      <c r="G2278" s="40" t="n">
        <v>0</v>
      </c>
      <c r="H2278" s="40" t="n">
        <v>0</v>
      </c>
      <c r="I2278" s="40" t="n">
        <v>0</v>
      </c>
      <c r="J2278" s="40" t="n">
        <v>0</v>
      </c>
      <c r="K2278" s="40" t="n">
        <v>0</v>
      </c>
      <c r="L2278" s="40" t="n">
        <v>0</v>
      </c>
    </row>
    <row r="2279" ht="12" customHeight="1">
      <c r="A2279" s="30" t="inlineStr">
        <is>
          <t>POR</t>
        </is>
      </c>
      <c r="B2279" s="30" t="inlineStr">
        <is>
          <t>Porto Real</t>
        </is>
      </c>
      <c r="C2279" s="30" t="n">
        <v>86791706</v>
      </c>
      <c r="D2279" s="30">
        <f>"14049467000300"</f>
        <v/>
      </c>
      <c r="E2279" s="30" t="inlineStr">
        <is>
          <t>LACTALIS DO BRASIL COMERCIO IMPORTACAO E EXPORTACAO DE LATICINIOS LTDA</t>
        </is>
      </c>
      <c r="F2279" s="40" t="n">
        <v>291117.47</v>
      </c>
      <c r="G2279" s="40" t="n">
        <v>473118.1</v>
      </c>
      <c r="H2279" s="40" t="n">
        <v>690289.13</v>
      </c>
      <c r="I2279" s="40" t="n">
        <v>1033253.16</v>
      </c>
      <c r="J2279" s="40" t="n">
        <v>1396058.67</v>
      </c>
      <c r="K2279" s="40" t="n">
        <v>1977524.66</v>
      </c>
      <c r="L2279" s="40" t="n">
        <v>1936486.33</v>
      </c>
    </row>
    <row r="2280" ht="12" customHeight="1">
      <c r="A2280" s="30" t="inlineStr">
        <is>
          <t>POR</t>
        </is>
      </c>
      <c r="B2280" s="30" t="inlineStr">
        <is>
          <t>Porto Real</t>
        </is>
      </c>
      <c r="C2280" s="30" t="n">
        <v>86810999</v>
      </c>
      <c r="D2280" s="30">
        <f>"03867580005095"</f>
        <v/>
      </c>
      <c r="E2280" s="30" t="inlineStr">
        <is>
          <t>PRONTO EXPRESS LOGISTICA SA</t>
        </is>
      </c>
      <c r="F2280" s="40" t="n">
        <v>12.17</v>
      </c>
      <c r="G2280" s="40" t="n">
        <v>0</v>
      </c>
      <c r="H2280" s="40" t="n">
        <v>0</v>
      </c>
      <c r="I2280" s="40" t="n">
        <v>0</v>
      </c>
      <c r="J2280" s="40" t="n">
        <v>0</v>
      </c>
      <c r="K2280" s="40" t="n">
        <v>0</v>
      </c>
      <c r="L2280" s="40" t="n">
        <v>0</v>
      </c>
    </row>
    <row r="2281" ht="12" customHeight="1">
      <c r="A2281" s="30" t="inlineStr">
        <is>
          <t>POR</t>
        </is>
      </c>
      <c r="B2281" s="30" t="inlineStr">
        <is>
          <t>Porto Real</t>
        </is>
      </c>
      <c r="C2281" s="30" t="n">
        <v>86824701</v>
      </c>
      <c r="D2281" s="30">
        <f>"01359916000529"</f>
        <v/>
      </c>
      <c r="E2281" s="30" t="inlineStr">
        <is>
          <t>CHEMETALL DO BRASIL LTDA</t>
        </is>
      </c>
      <c r="F2281" s="40" t="n">
        <v>0</v>
      </c>
      <c r="G2281" s="40" t="n">
        <v>0</v>
      </c>
      <c r="H2281" s="40" t="n">
        <v>0</v>
      </c>
      <c r="I2281" s="40" t="n">
        <v>0</v>
      </c>
      <c r="J2281" s="40" t="n">
        <v>0</v>
      </c>
      <c r="K2281" s="40" t="n">
        <v>0</v>
      </c>
      <c r="L2281" s="40" t="n">
        <v>0</v>
      </c>
    </row>
    <row r="2282" ht="12" customHeight="1">
      <c r="A2282" s="30" t="inlineStr">
        <is>
          <t>POR</t>
        </is>
      </c>
      <c r="B2282" s="30" t="inlineStr">
        <is>
          <t>Porto Real</t>
        </is>
      </c>
      <c r="C2282" s="30" t="n">
        <v>86828383</v>
      </c>
      <c r="D2282" s="30">
        <f>"00497373002082"</f>
        <v/>
      </c>
      <c r="E2282" s="30" t="inlineStr">
        <is>
          <t>SKY SERVICOS DE BANDA LARGA LTDA.</t>
        </is>
      </c>
      <c r="F2282" s="40" t="n">
        <v>0</v>
      </c>
      <c r="G2282" s="40" t="n">
        <v>30.95</v>
      </c>
      <c r="H2282" s="40" t="n">
        <v>74.59999999999999</v>
      </c>
      <c r="I2282" s="40" t="n">
        <v>0</v>
      </c>
      <c r="J2282" s="40" t="n">
        <v>1.33</v>
      </c>
      <c r="K2282" s="40" t="n">
        <v>0</v>
      </c>
      <c r="L2282" s="40" t="n">
        <v>0</v>
      </c>
    </row>
    <row r="2283" ht="12" customHeight="1">
      <c r="A2283" s="30" t="inlineStr">
        <is>
          <t>POR</t>
        </is>
      </c>
      <c r="B2283" s="30" t="inlineStr">
        <is>
          <t>Porto Real</t>
        </is>
      </c>
      <c r="C2283" s="30" t="n">
        <v>86831295</v>
      </c>
      <c r="D2283" s="30">
        <f>"03509101000180"</f>
        <v/>
      </c>
      <c r="E2283" s="30" t="inlineStr">
        <is>
          <t>BRASIPAN SERVIÇOS E LOGÍSTICA EIRELI</t>
        </is>
      </c>
      <c r="F2283" s="40" t="n">
        <v>0</v>
      </c>
      <c r="G2283" s="40" t="n">
        <v>0</v>
      </c>
      <c r="H2283" s="40" t="n">
        <v>0</v>
      </c>
      <c r="I2283" s="40" t="n">
        <v>0</v>
      </c>
      <c r="J2283" s="40" t="n">
        <v>0</v>
      </c>
      <c r="K2283" s="40" t="n">
        <v>20542.28</v>
      </c>
      <c r="L2283" s="40" t="n">
        <v>0</v>
      </c>
    </row>
    <row r="2284" ht="12" customHeight="1">
      <c r="A2284" s="30" t="inlineStr">
        <is>
          <t>POR</t>
        </is>
      </c>
      <c r="B2284" s="30" t="inlineStr">
        <is>
          <t>Porto Real</t>
        </is>
      </c>
      <c r="C2284" s="30" t="n">
        <v>86832194</v>
      </c>
      <c r="D2284" s="30">
        <f>"16884492000599"</f>
        <v/>
      </c>
      <c r="E2284" s="30" t="inlineStr">
        <is>
          <t>TDM TRANSPORTES LTDA</t>
        </is>
      </c>
      <c r="F2284" s="40" t="n">
        <v>0</v>
      </c>
      <c r="G2284" s="40" t="n">
        <v>0</v>
      </c>
      <c r="H2284" s="40" t="n">
        <v>0</v>
      </c>
      <c r="I2284" s="40" t="n">
        <v>296851.25</v>
      </c>
      <c r="J2284" s="40" t="n">
        <v>956099.78</v>
      </c>
      <c r="K2284" s="40" t="n">
        <v>1009992.72</v>
      </c>
      <c r="L2284" s="40" t="n">
        <v>27221.25</v>
      </c>
    </row>
    <row r="2285" ht="12" customHeight="1">
      <c r="A2285" s="30" t="inlineStr">
        <is>
          <t>POR</t>
        </is>
      </c>
      <c r="B2285" s="30" t="inlineStr">
        <is>
          <t>Porto Real</t>
        </is>
      </c>
      <c r="C2285" s="30" t="n">
        <v>86833905</v>
      </c>
      <c r="D2285" s="30">
        <f>"04968037000169"</f>
        <v/>
      </c>
      <c r="E2285" s="30" t="inlineStr">
        <is>
          <t>DACUNHA NORDESTE TRANSPORTES LTDA</t>
        </is>
      </c>
      <c r="F2285" s="40" t="n">
        <v>5005019.33</v>
      </c>
      <c r="G2285" s="40" t="n">
        <v>3657360.11</v>
      </c>
      <c r="H2285" s="40" t="n">
        <v>2540939.55</v>
      </c>
      <c r="I2285" s="40" t="n">
        <v>1739487.81</v>
      </c>
      <c r="J2285" s="40" t="n">
        <v>812369.75</v>
      </c>
      <c r="K2285" s="40" t="n">
        <v>676264.02</v>
      </c>
      <c r="L2285" s="40" t="n">
        <v>994664.96</v>
      </c>
    </row>
    <row r="2286" ht="12" customHeight="1">
      <c r="A2286" s="30" t="inlineStr">
        <is>
          <t>POR</t>
        </is>
      </c>
      <c r="B2286" s="30" t="inlineStr">
        <is>
          <t>Porto Real</t>
        </is>
      </c>
      <c r="C2286" s="30" t="n">
        <v>86850036</v>
      </c>
      <c r="D2286" s="30">
        <f>"21616620000120"</f>
        <v/>
      </c>
      <c r="E2286" s="30" t="inlineStr">
        <is>
          <t>SANTOS E DUTRA MERCEARIA LTDA ME</t>
        </is>
      </c>
      <c r="F2286" s="40" t="n">
        <v>0</v>
      </c>
      <c r="G2286" s="40" t="n">
        <v>0</v>
      </c>
      <c r="H2286" s="40" t="n">
        <v>0</v>
      </c>
      <c r="I2286" s="40" t="n">
        <v>0</v>
      </c>
      <c r="J2286" s="40" t="n">
        <v>0</v>
      </c>
      <c r="K2286" s="40" t="n">
        <v>0</v>
      </c>
      <c r="L2286" s="40" t="n">
        <v>0</v>
      </c>
    </row>
    <row r="2287" ht="12" customHeight="1">
      <c r="A2287" s="30" t="inlineStr">
        <is>
          <t>POR</t>
        </is>
      </c>
      <c r="B2287" s="30" t="inlineStr">
        <is>
          <t>Porto Real</t>
        </is>
      </c>
      <c r="C2287" s="30" t="n">
        <v>86854406</v>
      </c>
      <c r="D2287" s="30">
        <f>"03357962000352"</f>
        <v/>
      </c>
      <c r="E2287" s="30" t="inlineStr">
        <is>
          <t>AXON TRANSPORTES S A</t>
        </is>
      </c>
      <c r="F2287" s="40" t="n">
        <v>0</v>
      </c>
      <c r="G2287" s="40" t="n">
        <v>0</v>
      </c>
      <c r="H2287" s="40" t="n">
        <v>0</v>
      </c>
      <c r="I2287" s="40" t="n">
        <v>0</v>
      </c>
      <c r="J2287" s="40" t="n">
        <v>0</v>
      </c>
      <c r="K2287" s="40" t="n">
        <v>9918.379999999999</v>
      </c>
      <c r="L2287" s="40" t="n">
        <v>0</v>
      </c>
    </row>
    <row r="2288" ht="12" customHeight="1">
      <c r="A2288" s="30" t="inlineStr">
        <is>
          <t>POR</t>
        </is>
      </c>
      <c r="B2288" s="30" t="inlineStr">
        <is>
          <t>Porto Real</t>
        </is>
      </c>
      <c r="C2288" s="30" t="n">
        <v>86858363</v>
      </c>
      <c r="D2288" s="30">
        <f>"10418979000257"</f>
        <v/>
      </c>
      <c r="E2288" s="30" t="inlineStr">
        <is>
          <t>I-WAP TRANSPORTE LTDA - EPP</t>
        </is>
      </c>
      <c r="F2288" s="40" t="n">
        <v>0</v>
      </c>
      <c r="G2288" s="40" t="n">
        <v>438.91</v>
      </c>
      <c r="H2288" s="40" t="n">
        <v>0</v>
      </c>
      <c r="I2288" s="40" t="n">
        <v>0</v>
      </c>
      <c r="J2288" s="40" t="n">
        <v>0</v>
      </c>
      <c r="K2288" s="40" t="n">
        <v>0</v>
      </c>
      <c r="L2288" s="40" t="n">
        <v>0</v>
      </c>
    </row>
    <row r="2289" ht="12" customHeight="1">
      <c r="A2289" s="30" t="inlineStr">
        <is>
          <t>POR</t>
        </is>
      </c>
      <c r="B2289" s="30" t="inlineStr">
        <is>
          <t>Porto Real</t>
        </is>
      </c>
      <c r="C2289" s="30" t="n">
        <v>86864541</v>
      </c>
      <c r="D2289" s="30">
        <f>"03550974000560"</f>
        <v/>
      </c>
      <c r="E2289" s="30" t="inlineStr">
        <is>
          <t>SANTA MARIA COMERCIO E RECICLAGEM DE RESIDUOS INDUSTRIAIS LTDA</t>
        </is>
      </c>
      <c r="F2289" s="40" t="n">
        <v>0</v>
      </c>
      <c r="G2289" s="40" t="n">
        <v>0</v>
      </c>
      <c r="H2289" s="40" t="n">
        <v>0</v>
      </c>
      <c r="I2289" s="40" t="n">
        <v>0</v>
      </c>
      <c r="J2289" s="40" t="n">
        <v>0</v>
      </c>
      <c r="K2289" s="40" t="n">
        <v>187069.34</v>
      </c>
      <c r="L2289" s="40" t="n">
        <v>0</v>
      </c>
    </row>
    <row r="2290" ht="12" customHeight="1">
      <c r="A2290" s="30" t="inlineStr">
        <is>
          <t>POR</t>
        </is>
      </c>
      <c r="B2290" s="30" t="inlineStr">
        <is>
          <t>Porto Real</t>
        </is>
      </c>
      <c r="C2290" s="30" t="n">
        <v>86869942</v>
      </c>
      <c r="D2290" s="30">
        <f>"21781793000101"</f>
        <v/>
      </c>
      <c r="E2290" s="30" t="inlineStr">
        <is>
          <t>TANIA MARIA DELFINO RESTAURANTE ME</t>
        </is>
      </c>
      <c r="F2290" s="40" t="n">
        <v>0</v>
      </c>
      <c r="G2290" s="40" t="n">
        <v>0</v>
      </c>
      <c r="H2290" s="40" t="n">
        <v>0</v>
      </c>
      <c r="I2290" s="40" t="n">
        <v>0</v>
      </c>
      <c r="J2290" s="40" t="n">
        <v>0</v>
      </c>
      <c r="K2290" s="40" t="n">
        <v>0</v>
      </c>
      <c r="L2290" s="40" t="n">
        <v>0</v>
      </c>
    </row>
    <row r="2291" ht="12" customHeight="1">
      <c r="A2291" s="30" t="inlineStr">
        <is>
          <t>POR</t>
        </is>
      </c>
      <c r="B2291" s="30" t="inlineStr">
        <is>
          <t>Porto Real</t>
        </is>
      </c>
      <c r="C2291" s="30" t="n">
        <v>86877503</v>
      </c>
      <c r="D2291" s="30">
        <f>"11020954000425"</f>
        <v/>
      </c>
      <c r="E2291" s="30" t="inlineStr">
        <is>
          <t>BRAVO LOG TRANSPORTES LTDA</t>
        </is>
      </c>
      <c r="F2291" s="40" t="n">
        <v>0</v>
      </c>
      <c r="G2291" s="40" t="n">
        <v>0</v>
      </c>
      <c r="H2291" s="40" t="n">
        <v>0</v>
      </c>
      <c r="I2291" s="40" t="n">
        <v>0</v>
      </c>
      <c r="J2291" s="40" t="n">
        <v>0</v>
      </c>
      <c r="K2291" s="40" t="n">
        <v>1442.16</v>
      </c>
      <c r="L2291" s="40" t="n">
        <v>2002.6</v>
      </c>
    </row>
    <row r="2292" ht="12" customHeight="1">
      <c r="A2292" s="30" t="inlineStr">
        <is>
          <t>POR</t>
        </is>
      </c>
      <c r="B2292" s="30" t="inlineStr">
        <is>
          <t>Porto Real</t>
        </is>
      </c>
      <c r="C2292" s="30" t="n">
        <v>86879344</v>
      </c>
      <c r="D2292" s="30">
        <f>"05886614003666"</f>
        <v/>
      </c>
      <c r="E2292" s="30" t="inlineStr">
        <is>
          <t>DIRECT EXPRESS LOGISTICA INTEGRADA S/A</t>
        </is>
      </c>
      <c r="F2292" s="40" t="n">
        <v>114.02</v>
      </c>
      <c r="G2292" s="40" t="n">
        <v>0</v>
      </c>
      <c r="H2292" s="40" t="n">
        <v>0</v>
      </c>
      <c r="I2292" s="40" t="n">
        <v>0</v>
      </c>
      <c r="J2292" s="40" t="n">
        <v>0</v>
      </c>
      <c r="K2292" s="40" t="n">
        <v>0</v>
      </c>
      <c r="L2292" s="40" t="n">
        <v>0</v>
      </c>
    </row>
    <row r="2293" ht="12" customHeight="1">
      <c r="A2293" s="30" t="inlineStr">
        <is>
          <t>POR</t>
        </is>
      </c>
      <c r="B2293" s="30" t="inlineStr">
        <is>
          <t>Porto Real</t>
        </is>
      </c>
      <c r="C2293" s="30" t="n">
        <v>86882566</v>
      </c>
      <c r="D2293" s="30">
        <f>"08680888001134"</f>
        <v/>
      </c>
      <c r="E2293" s="30" t="inlineStr">
        <is>
          <t>MSC MEDITERRANEAN LOGISTICA LTDA</t>
        </is>
      </c>
      <c r="F2293" s="40" t="n">
        <v>222479.76</v>
      </c>
      <c r="G2293" s="40" t="n">
        <v>513870.97</v>
      </c>
      <c r="H2293" s="40" t="n">
        <v>441930.31</v>
      </c>
      <c r="I2293" s="40" t="n">
        <v>31314</v>
      </c>
      <c r="J2293" s="40" t="n">
        <v>10860</v>
      </c>
      <c r="K2293" s="40" t="n">
        <v>0</v>
      </c>
      <c r="L2293" s="40" t="n">
        <v>0</v>
      </c>
    </row>
    <row r="2294" ht="12" customHeight="1">
      <c r="A2294" s="30" t="inlineStr">
        <is>
          <t>POR</t>
        </is>
      </c>
      <c r="B2294" s="30" t="inlineStr">
        <is>
          <t>Porto Real</t>
        </is>
      </c>
      <c r="C2294" s="30" t="n">
        <v>86900009</v>
      </c>
      <c r="D2294" s="30">
        <f>"13819517000159"</f>
        <v/>
      </c>
      <c r="E2294" s="30" t="inlineStr">
        <is>
          <t>BR SERVICOS DE FRETAMENTO LTDA - ME</t>
        </is>
      </c>
      <c r="F2294" s="40" t="n">
        <v>0</v>
      </c>
      <c r="G2294" s="40" t="n">
        <v>0</v>
      </c>
      <c r="H2294" s="40" t="n">
        <v>0</v>
      </c>
      <c r="I2294" s="40" t="n">
        <v>0</v>
      </c>
      <c r="J2294" s="40" t="n">
        <v>0</v>
      </c>
      <c r="K2294" s="40" t="n">
        <v>0</v>
      </c>
      <c r="L2294" s="40" t="n">
        <v>0</v>
      </c>
    </row>
    <row r="2295" ht="12" customHeight="1">
      <c r="A2295" s="30" t="inlineStr">
        <is>
          <t>POR</t>
        </is>
      </c>
      <c r="B2295" s="30" t="inlineStr">
        <is>
          <t>Porto Real</t>
        </is>
      </c>
      <c r="C2295" s="30" t="n">
        <v>86906562</v>
      </c>
      <c r="D2295" s="30">
        <f>"22108301000176"</f>
        <v/>
      </c>
      <c r="E2295" s="30" t="inlineStr">
        <is>
          <t>GUINDASTÃO LOGÍSTICA LTDA.</t>
        </is>
      </c>
      <c r="F2295" s="40" t="n">
        <v>0</v>
      </c>
      <c r="G2295" s="40" t="n">
        <v>0</v>
      </c>
      <c r="H2295" s="40" t="n">
        <v>0</v>
      </c>
      <c r="I2295" s="40" t="n">
        <v>0</v>
      </c>
      <c r="J2295" s="40" t="n">
        <v>0</v>
      </c>
      <c r="K2295" s="40" t="n">
        <v>0</v>
      </c>
      <c r="L2295" s="40" t="n">
        <v>80496.37</v>
      </c>
    </row>
    <row r="2296" ht="12" customHeight="1">
      <c r="A2296" s="30" t="inlineStr">
        <is>
          <t>POR</t>
        </is>
      </c>
      <c r="B2296" s="30" t="inlineStr">
        <is>
          <t>Porto Real</t>
        </is>
      </c>
      <c r="C2296" s="30" t="n">
        <v>86913410</v>
      </c>
      <c r="D2296" s="30">
        <f>"49025695001470"</f>
        <v/>
      </c>
      <c r="E2296" s="30" t="inlineStr">
        <is>
          <t>JD COCENZO &amp; CIA LTDA</t>
        </is>
      </c>
      <c r="F2296" s="40" t="n">
        <v>0</v>
      </c>
      <c r="G2296" s="40" t="n">
        <v>139004.24</v>
      </c>
      <c r="H2296" s="40" t="n">
        <v>45645.06</v>
      </c>
      <c r="I2296" s="40" t="n">
        <v>0</v>
      </c>
      <c r="J2296" s="40" t="n">
        <v>29941.93</v>
      </c>
      <c r="K2296" s="40" t="n">
        <v>0</v>
      </c>
      <c r="L2296" s="40" t="n">
        <v>0</v>
      </c>
    </row>
    <row r="2297" ht="12" customHeight="1">
      <c r="A2297" s="30" t="inlineStr">
        <is>
          <t>POR</t>
        </is>
      </c>
      <c r="B2297" s="30" t="inlineStr">
        <is>
          <t>Porto Real</t>
        </is>
      </c>
      <c r="C2297" s="30" t="n">
        <v>86915162</v>
      </c>
      <c r="D2297" s="30">
        <f>"02465242000348"</f>
        <v/>
      </c>
      <c r="E2297" s="30" t="inlineStr">
        <is>
          <t>N S A BM TRANSPORTE E LOGISTICA LTDA EPP</t>
        </is>
      </c>
      <c r="F2297" s="40" t="n">
        <v>7311.3</v>
      </c>
      <c r="G2297" s="40" t="n">
        <v>85175.47</v>
      </c>
      <c r="H2297" s="40" t="n">
        <v>37772.84</v>
      </c>
      <c r="I2297" s="40" t="n">
        <v>1.14</v>
      </c>
      <c r="J2297" s="40" t="n">
        <v>0</v>
      </c>
      <c r="K2297" s="40" t="n">
        <v>0</v>
      </c>
      <c r="L2297" s="40" t="n">
        <v>0</v>
      </c>
    </row>
    <row r="2298" ht="12" customHeight="1">
      <c r="A2298" s="30" t="inlineStr">
        <is>
          <t>POR</t>
        </is>
      </c>
      <c r="B2298" s="30" t="inlineStr">
        <is>
          <t>Porto Real</t>
        </is>
      </c>
      <c r="C2298" s="30" t="n">
        <v>86939479</v>
      </c>
      <c r="D2298" s="30">
        <f>"46515946000515"</f>
        <v/>
      </c>
      <c r="E2298" s="30" t="inlineStr">
        <is>
          <t>NOVORUMO TRANSPORTES LTDA</t>
        </is>
      </c>
      <c r="F2298" s="40" t="n">
        <v>26433.2</v>
      </c>
      <c r="G2298" s="40" t="n">
        <v>0</v>
      </c>
      <c r="H2298" s="40" t="n">
        <v>6467.69</v>
      </c>
      <c r="I2298" s="40" t="n">
        <v>185.45</v>
      </c>
      <c r="J2298" s="40" t="n">
        <v>13756.59</v>
      </c>
      <c r="K2298" s="40" t="n">
        <v>996.09</v>
      </c>
      <c r="L2298" s="40" t="n">
        <v>0</v>
      </c>
    </row>
    <row r="2299" ht="12" customHeight="1">
      <c r="A2299" s="30" t="inlineStr">
        <is>
          <t>POR</t>
        </is>
      </c>
      <c r="B2299" s="30" t="inlineStr">
        <is>
          <t>Porto Real</t>
        </is>
      </c>
      <c r="C2299" s="30" t="n">
        <v>86939541</v>
      </c>
      <c r="D2299" s="30">
        <f>"61036141000582"</f>
        <v/>
      </c>
      <c r="E2299" s="30" t="inlineStr">
        <is>
          <t>ISRINGHAUSEN INDUSTRIAL LTDA</t>
        </is>
      </c>
      <c r="F2299" s="40" t="n">
        <v>0</v>
      </c>
      <c r="G2299" s="40" t="n">
        <v>0</v>
      </c>
      <c r="H2299" s="40" t="n">
        <v>0</v>
      </c>
      <c r="I2299" s="40" t="n">
        <v>0</v>
      </c>
      <c r="J2299" s="40" t="n">
        <v>0</v>
      </c>
      <c r="K2299" s="40" t="n">
        <v>0</v>
      </c>
      <c r="L2299" s="40" t="n">
        <v>0</v>
      </c>
    </row>
    <row r="2300" ht="12" customHeight="1">
      <c r="A2300" s="30" t="inlineStr">
        <is>
          <t>POR</t>
        </is>
      </c>
      <c r="B2300" s="30" t="inlineStr">
        <is>
          <t>Porto Real</t>
        </is>
      </c>
      <c r="C2300" s="30" t="n">
        <v>86949423</v>
      </c>
      <c r="D2300" s="30">
        <f>"02964147001956"</f>
        <v/>
      </c>
      <c r="E2300" s="30" t="inlineStr">
        <is>
          <t>PACIFICO LOG LOGISTICA E TRANSPORTES EIRELI</t>
        </is>
      </c>
      <c r="F2300" s="40" t="n">
        <v>0</v>
      </c>
      <c r="G2300" s="40" t="n">
        <v>243.39</v>
      </c>
      <c r="H2300" s="40" t="n">
        <v>0</v>
      </c>
      <c r="I2300" s="40" t="n">
        <v>0</v>
      </c>
      <c r="J2300" s="40" t="n">
        <v>0</v>
      </c>
      <c r="K2300" s="40" t="n">
        <v>0</v>
      </c>
      <c r="L2300" s="40" t="n">
        <v>0</v>
      </c>
    </row>
    <row r="2301" ht="12" customHeight="1">
      <c r="A2301" s="30" t="inlineStr">
        <is>
          <t>POR</t>
        </is>
      </c>
      <c r="B2301" s="30" t="inlineStr">
        <is>
          <t>Porto Real</t>
        </is>
      </c>
      <c r="C2301" s="30" t="n">
        <v>86965623</v>
      </c>
      <c r="D2301" s="30">
        <f>"01464557000227"</f>
        <v/>
      </c>
      <c r="E2301" s="30" t="inlineStr">
        <is>
          <t>LIKA &amp; FILHOS TRANSPORTES LTDA - EPP</t>
        </is>
      </c>
      <c r="F2301" s="40" t="n">
        <v>0</v>
      </c>
      <c r="G2301" s="40" t="n">
        <v>0</v>
      </c>
      <c r="H2301" s="40" t="n">
        <v>0</v>
      </c>
      <c r="I2301" s="40" t="n">
        <v>0</v>
      </c>
      <c r="J2301" s="40" t="n">
        <v>0</v>
      </c>
      <c r="K2301" s="40" t="n">
        <v>0</v>
      </c>
      <c r="L2301" s="40" t="n">
        <v>0</v>
      </c>
    </row>
    <row r="2302" ht="12" customHeight="1">
      <c r="A2302" s="30" t="inlineStr">
        <is>
          <t>POR</t>
        </is>
      </c>
      <c r="B2302" s="30" t="inlineStr">
        <is>
          <t>Porto Real</t>
        </is>
      </c>
      <c r="C2302" s="30" t="n">
        <v>86969963</v>
      </c>
      <c r="D2302" s="30">
        <f>"22864378000176"</f>
        <v/>
      </c>
      <c r="E2302" s="30" t="inlineStr">
        <is>
          <t>J F A DE PORTO REAL MATERIAL DE CONSTRUCAO LTDA ME</t>
        </is>
      </c>
      <c r="F2302" s="40" t="n">
        <v>0</v>
      </c>
      <c r="G2302" s="40" t="n">
        <v>0</v>
      </c>
      <c r="H2302" s="40" t="n">
        <v>0</v>
      </c>
      <c r="I2302" s="40" t="n">
        <v>0</v>
      </c>
      <c r="J2302" s="40" t="n">
        <v>0</v>
      </c>
      <c r="K2302" s="40" t="n">
        <v>0</v>
      </c>
      <c r="L2302" s="40" t="n">
        <v>0</v>
      </c>
    </row>
    <row r="2303" ht="12" customHeight="1">
      <c r="A2303" s="30" t="inlineStr">
        <is>
          <t>POR</t>
        </is>
      </c>
      <c r="B2303" s="30" t="inlineStr">
        <is>
          <t>Porto Real</t>
        </is>
      </c>
      <c r="C2303" s="30" t="n">
        <v>86990415</v>
      </c>
      <c r="D2303" s="30">
        <f>"67405936001730"</f>
        <v/>
      </c>
      <c r="E2303" s="30" t="inlineStr">
        <is>
          <t>PEUGEOT CITROEN DO BRASIL AUTOMOVEIS LTDA</t>
        </is>
      </c>
      <c r="F2303" s="40" t="n">
        <v>0</v>
      </c>
      <c r="G2303" s="40" t="n">
        <v>0</v>
      </c>
      <c r="H2303" s="40" t="n">
        <v>0</v>
      </c>
      <c r="I2303" s="40" t="n">
        <v>0</v>
      </c>
      <c r="J2303" s="40" t="n">
        <v>0</v>
      </c>
      <c r="K2303" s="40" t="n">
        <v>0</v>
      </c>
      <c r="L2303" s="40" t="n">
        <v>0</v>
      </c>
    </row>
    <row r="2304" ht="12" customHeight="1">
      <c r="A2304" s="30" t="inlineStr">
        <is>
          <t>POR</t>
        </is>
      </c>
      <c r="B2304" s="30" t="inlineStr">
        <is>
          <t>Porto Real</t>
        </is>
      </c>
      <c r="C2304" s="30" t="n">
        <v>86994178</v>
      </c>
      <c r="D2304" s="30">
        <f>"53237962003140"</f>
        <v/>
      </c>
      <c r="E2304" s="30" t="inlineStr">
        <is>
          <t>EMPRESA DE TRANSPORTES PAJUCARA LTDA</t>
        </is>
      </c>
      <c r="F2304" s="40" t="n">
        <v>1008.42</v>
      </c>
      <c r="G2304" s="40" t="n">
        <v>760598.97</v>
      </c>
      <c r="H2304" s="40" t="n">
        <v>1129498.6</v>
      </c>
      <c r="I2304" s="40" t="n">
        <v>825290.71</v>
      </c>
      <c r="J2304" s="40" t="n">
        <v>1896516.27</v>
      </c>
      <c r="K2304" s="40" t="n">
        <v>1013149.85</v>
      </c>
      <c r="L2304" s="40" t="n">
        <v>2572169.46</v>
      </c>
    </row>
    <row r="2305" ht="12" customHeight="1">
      <c r="A2305" s="30" t="inlineStr">
        <is>
          <t>POR</t>
        </is>
      </c>
      <c r="B2305" s="30" t="inlineStr">
        <is>
          <t>Porto Real</t>
        </is>
      </c>
      <c r="C2305" s="30" t="n">
        <v>86997177</v>
      </c>
      <c r="D2305" s="30">
        <f>"23126330000123"</f>
        <v/>
      </c>
      <c r="E2305" s="30" t="inlineStr">
        <is>
          <t>TRANSFUTURO LOGISTICA LTDA</t>
        </is>
      </c>
      <c r="F2305" s="40" t="n">
        <v>0</v>
      </c>
      <c r="G2305" s="40" t="n">
        <v>0</v>
      </c>
      <c r="H2305" s="40" t="n">
        <v>0</v>
      </c>
      <c r="I2305" s="40" t="n">
        <v>0</v>
      </c>
      <c r="J2305" s="40" t="n">
        <v>229224.92</v>
      </c>
      <c r="K2305" s="40" t="n">
        <v>1105663.49</v>
      </c>
      <c r="L2305" s="40" t="n">
        <v>0</v>
      </c>
    </row>
    <row r="2306" ht="12" customHeight="1">
      <c r="A2306" s="30" t="inlineStr">
        <is>
          <t>POR</t>
        </is>
      </c>
      <c r="B2306" s="30" t="inlineStr">
        <is>
          <t>Porto Real</t>
        </is>
      </c>
      <c r="C2306" s="30" t="n">
        <v>86999412</v>
      </c>
      <c r="D2306" s="30">
        <f>"01487509000254"</f>
        <v/>
      </c>
      <c r="E2306" s="30" t="inlineStr">
        <is>
          <t>TRANSPORTES MUNHOZ &amp; MUNHOZ LTDA - EPP</t>
        </is>
      </c>
      <c r="F2306" s="40" t="n">
        <v>0</v>
      </c>
      <c r="G2306" s="40" t="n">
        <v>0</v>
      </c>
      <c r="H2306" s="40" t="n">
        <v>0</v>
      </c>
      <c r="I2306" s="40" t="n">
        <v>0</v>
      </c>
      <c r="J2306" s="40" t="n">
        <v>0</v>
      </c>
      <c r="K2306" s="40" t="n">
        <v>0</v>
      </c>
      <c r="L2306" s="40" t="n">
        <v>0</v>
      </c>
    </row>
    <row r="2307" ht="12" customHeight="1">
      <c r="A2307" s="30" t="inlineStr">
        <is>
          <t>POR</t>
        </is>
      </c>
      <c r="B2307" s="30" t="inlineStr">
        <is>
          <t>Porto Real</t>
        </is>
      </c>
      <c r="C2307" s="30" t="n">
        <v>86999447</v>
      </c>
      <c r="D2307" s="30">
        <f>"22499482000109"</f>
        <v/>
      </c>
      <c r="E2307" s="30" t="inlineStr">
        <is>
          <t>DOUGLAS SANTOS SILVA TRANSPORTES EIRELI - ME</t>
        </is>
      </c>
      <c r="F2307" s="40" t="n">
        <v>0</v>
      </c>
      <c r="G2307" s="40" t="n">
        <v>0</v>
      </c>
      <c r="H2307" s="40" t="n">
        <v>0</v>
      </c>
      <c r="I2307" s="40" t="n">
        <v>0</v>
      </c>
      <c r="J2307" s="40" t="n">
        <v>0</v>
      </c>
      <c r="K2307" s="40" t="n">
        <v>0</v>
      </c>
      <c r="L2307" s="40" t="n">
        <v>0</v>
      </c>
    </row>
    <row r="2308" ht="12" customHeight="1">
      <c r="A2308" s="30" t="inlineStr">
        <is>
          <t>POR</t>
        </is>
      </c>
      <c r="B2308" s="30" t="inlineStr">
        <is>
          <t>Porto Real</t>
        </is>
      </c>
      <c r="C2308" s="30" t="n">
        <v>86999455</v>
      </c>
      <c r="D2308" s="30">
        <f>"07827837000239"</f>
        <v/>
      </c>
      <c r="E2308" s="30" t="inlineStr">
        <is>
          <t>DUCOR DEI TRANSPORTES RODOVIARIO LTDA - ME</t>
        </is>
      </c>
      <c r="F2308" s="40" t="n">
        <v>0</v>
      </c>
      <c r="G2308" s="40" t="n">
        <v>0</v>
      </c>
      <c r="H2308" s="40" t="n">
        <v>0</v>
      </c>
      <c r="I2308" s="40" t="n">
        <v>0</v>
      </c>
      <c r="J2308" s="40" t="n">
        <v>0</v>
      </c>
      <c r="K2308" s="40" t="n">
        <v>0</v>
      </c>
      <c r="L2308" s="40" t="n">
        <v>0</v>
      </c>
    </row>
    <row r="2309" ht="12" customHeight="1">
      <c r="A2309" s="30" t="inlineStr">
        <is>
          <t>POR</t>
        </is>
      </c>
      <c r="B2309" s="30" t="inlineStr">
        <is>
          <t>Porto Real</t>
        </is>
      </c>
      <c r="C2309" s="30" t="n">
        <v>86999463</v>
      </c>
      <c r="D2309" s="30">
        <f>"02730875000255"</f>
        <v/>
      </c>
      <c r="E2309" s="30" t="inlineStr">
        <is>
          <t>TRANSGUIMA LTDA - EPP</t>
        </is>
      </c>
      <c r="F2309" s="40" t="n">
        <v>0</v>
      </c>
      <c r="G2309" s="40" t="n">
        <v>0</v>
      </c>
      <c r="H2309" s="40" t="n">
        <v>0</v>
      </c>
      <c r="I2309" s="40" t="n">
        <v>0</v>
      </c>
      <c r="J2309" s="40" t="n">
        <v>0</v>
      </c>
      <c r="K2309" s="40" t="n">
        <v>0</v>
      </c>
      <c r="L2309" s="40" t="n">
        <v>0</v>
      </c>
    </row>
    <row r="2310" ht="12" customHeight="1">
      <c r="A2310" s="30" t="inlineStr">
        <is>
          <t>POR</t>
        </is>
      </c>
      <c r="B2310" s="30" t="inlineStr">
        <is>
          <t>Porto Real</t>
        </is>
      </c>
      <c r="C2310" s="30" t="n">
        <v>86999552</v>
      </c>
      <c r="D2310" s="30">
        <f>"01424847000247"</f>
        <v/>
      </c>
      <c r="E2310" s="30" t="inlineStr">
        <is>
          <t>ROTIVOIAC TRANSPORTES LTDA - EPP</t>
        </is>
      </c>
      <c r="F2310" s="40" t="n">
        <v>0</v>
      </c>
      <c r="G2310" s="40" t="n">
        <v>0</v>
      </c>
      <c r="H2310" s="40" t="n">
        <v>0</v>
      </c>
      <c r="I2310" s="40" t="n">
        <v>0</v>
      </c>
      <c r="J2310" s="40" t="n">
        <v>0</v>
      </c>
      <c r="K2310" s="40" t="n">
        <v>0</v>
      </c>
      <c r="L2310" s="40" t="n">
        <v>0</v>
      </c>
    </row>
    <row r="2311" ht="12" customHeight="1">
      <c r="A2311" s="30" t="inlineStr">
        <is>
          <t>POR</t>
        </is>
      </c>
      <c r="B2311" s="30" t="inlineStr">
        <is>
          <t>Porto Real</t>
        </is>
      </c>
      <c r="C2311" s="30" t="n">
        <v>86999617</v>
      </c>
      <c r="D2311" s="30">
        <f>"21418273000201"</f>
        <v/>
      </c>
      <c r="E2311" s="30" t="inlineStr">
        <is>
          <t>NOSSA SENHORA DO CARMO TRANSPORTES EIRELI</t>
        </is>
      </c>
      <c r="F2311" s="40" t="n">
        <v>0</v>
      </c>
      <c r="G2311" s="40" t="n">
        <v>0</v>
      </c>
      <c r="H2311" s="40" t="n">
        <v>0</v>
      </c>
      <c r="I2311" s="40" t="n">
        <v>0</v>
      </c>
      <c r="J2311" s="40" t="n">
        <v>0</v>
      </c>
      <c r="K2311" s="40" t="n">
        <v>0</v>
      </c>
      <c r="L2311" s="40" t="n">
        <v>0</v>
      </c>
    </row>
    <row r="2312" ht="12" customHeight="1">
      <c r="A2312" s="30" t="inlineStr">
        <is>
          <t>POR</t>
        </is>
      </c>
      <c r="B2312" s="30" t="inlineStr">
        <is>
          <t>Porto Real</t>
        </is>
      </c>
      <c r="C2312" s="30" t="n">
        <v>87001687</v>
      </c>
      <c r="D2312" s="30">
        <f>"05114551000280"</f>
        <v/>
      </c>
      <c r="E2312" s="30" t="inlineStr">
        <is>
          <t>LUIZ TAKAO YAMASAKI TRANSPORTES - EPP</t>
        </is>
      </c>
      <c r="F2312" s="40" t="n">
        <v>0</v>
      </c>
      <c r="G2312" s="40" t="n">
        <v>0</v>
      </c>
      <c r="H2312" s="40" t="n">
        <v>0</v>
      </c>
      <c r="I2312" s="40" t="n">
        <v>0</v>
      </c>
      <c r="J2312" s="40" t="n">
        <v>0</v>
      </c>
      <c r="K2312" s="40" t="n">
        <v>0</v>
      </c>
      <c r="L2312" s="40" t="n">
        <v>0</v>
      </c>
    </row>
    <row r="2313" ht="12" customHeight="1">
      <c r="A2313" s="30" t="inlineStr">
        <is>
          <t>POR</t>
        </is>
      </c>
      <c r="B2313" s="30" t="inlineStr">
        <is>
          <t>Porto Real</t>
        </is>
      </c>
      <c r="C2313" s="30" t="n">
        <v>87001695</v>
      </c>
      <c r="D2313" s="30">
        <f>"02261648000228"</f>
        <v/>
      </c>
      <c r="E2313" s="30" t="inlineStr">
        <is>
          <t>ADILSON ROBERTO BENTO TRANSPORTES - EPP</t>
        </is>
      </c>
      <c r="F2313" s="40" t="n">
        <v>0</v>
      </c>
      <c r="G2313" s="40" t="n">
        <v>0</v>
      </c>
      <c r="H2313" s="40" t="n">
        <v>0</v>
      </c>
      <c r="I2313" s="40" t="n">
        <v>0</v>
      </c>
      <c r="J2313" s="40" t="n">
        <v>0</v>
      </c>
      <c r="K2313" s="40" t="n">
        <v>0</v>
      </c>
      <c r="L2313" s="40" t="n">
        <v>0</v>
      </c>
    </row>
    <row r="2314" ht="12" customHeight="1">
      <c r="A2314" s="30" t="inlineStr">
        <is>
          <t>POR</t>
        </is>
      </c>
      <c r="B2314" s="30" t="inlineStr">
        <is>
          <t>Porto Real</t>
        </is>
      </c>
      <c r="C2314" s="30" t="n">
        <v>87001709</v>
      </c>
      <c r="D2314" s="30">
        <f>"03043192000292"</f>
        <v/>
      </c>
      <c r="E2314" s="30" t="inlineStr">
        <is>
          <t>TRANS CREPALDI TRANSPORTES RODOVIARIO LTDA - ME</t>
        </is>
      </c>
      <c r="F2314" s="40" t="n">
        <v>0</v>
      </c>
      <c r="G2314" s="40" t="n">
        <v>0</v>
      </c>
      <c r="H2314" s="40" t="n">
        <v>0</v>
      </c>
      <c r="I2314" s="40" t="n">
        <v>0</v>
      </c>
      <c r="J2314" s="40" t="n">
        <v>0</v>
      </c>
      <c r="K2314" s="40" t="n">
        <v>0</v>
      </c>
      <c r="L2314" s="40" t="n">
        <v>0</v>
      </c>
    </row>
    <row r="2315" ht="12" customHeight="1">
      <c r="A2315" s="30" t="inlineStr">
        <is>
          <t>POR</t>
        </is>
      </c>
      <c r="B2315" s="30" t="inlineStr">
        <is>
          <t>Porto Real</t>
        </is>
      </c>
      <c r="C2315" s="30" t="n">
        <v>87012409</v>
      </c>
      <c r="D2315" s="30">
        <f>"09913147001038"</f>
        <v/>
      </c>
      <c r="E2315" s="30" t="inlineStr">
        <is>
          <t>FL LOGISTICA BRASIL LTDA</t>
        </is>
      </c>
      <c r="F2315" s="40" t="n">
        <v>15073.15</v>
      </c>
      <c r="G2315" s="40" t="n">
        <v>481833.38</v>
      </c>
      <c r="H2315" s="40" t="n">
        <v>1273127.13</v>
      </c>
      <c r="I2315" s="40" t="n">
        <v>0</v>
      </c>
      <c r="J2315" s="40" t="n">
        <v>0</v>
      </c>
      <c r="K2315" s="40" t="n">
        <v>0</v>
      </c>
      <c r="L2315" s="40" t="n">
        <v>0</v>
      </c>
    </row>
    <row r="2316" ht="12" customHeight="1">
      <c r="A2316" s="30" t="inlineStr">
        <is>
          <t>POR</t>
        </is>
      </c>
      <c r="B2316" s="30" t="inlineStr">
        <is>
          <t>Porto Real</t>
        </is>
      </c>
      <c r="C2316" s="30" t="n">
        <v>87012930</v>
      </c>
      <c r="D2316" s="30">
        <f>"00608044000280"</f>
        <v/>
      </c>
      <c r="E2316" s="30" t="inlineStr">
        <is>
          <t>TREIS TRANSPORTES RODOVIARIOS LTDA - EPP</t>
        </is>
      </c>
      <c r="F2316" s="40" t="n">
        <v>0</v>
      </c>
      <c r="G2316" s="40" t="n">
        <v>0</v>
      </c>
      <c r="H2316" s="40" t="n">
        <v>0</v>
      </c>
      <c r="I2316" s="40" t="n">
        <v>0</v>
      </c>
      <c r="J2316" s="40" t="n">
        <v>0</v>
      </c>
      <c r="K2316" s="40" t="n">
        <v>0</v>
      </c>
      <c r="L2316" s="40" t="n">
        <v>0</v>
      </c>
    </row>
    <row r="2317" ht="12" customHeight="1">
      <c r="A2317" s="30" t="inlineStr">
        <is>
          <t>POR</t>
        </is>
      </c>
      <c r="B2317" s="30" t="inlineStr">
        <is>
          <t>Porto Real</t>
        </is>
      </c>
      <c r="C2317" s="30" t="n">
        <v>87013812</v>
      </c>
      <c r="D2317" s="30">
        <f>"14205893000388"</f>
        <v/>
      </c>
      <c r="E2317" s="30" t="inlineStr">
        <is>
          <t>TRANSBEP LOGISTICA LTDA</t>
        </is>
      </c>
      <c r="F2317" s="40" t="n">
        <v>0</v>
      </c>
      <c r="G2317" s="40" t="n">
        <v>0</v>
      </c>
      <c r="H2317" s="40" t="n">
        <v>0</v>
      </c>
      <c r="I2317" s="40" t="n">
        <v>0</v>
      </c>
      <c r="J2317" s="40" t="n">
        <v>0</v>
      </c>
      <c r="K2317" s="40" t="n">
        <v>0</v>
      </c>
      <c r="L2317" s="40" t="n">
        <v>0</v>
      </c>
    </row>
    <row r="2318" ht="12" customHeight="1">
      <c r="A2318" s="30" t="inlineStr">
        <is>
          <t>POR</t>
        </is>
      </c>
      <c r="B2318" s="30" t="inlineStr">
        <is>
          <t>Porto Real</t>
        </is>
      </c>
      <c r="C2318" s="30" t="n">
        <v>87013952</v>
      </c>
      <c r="D2318" s="30">
        <f>"05886614003585"</f>
        <v/>
      </c>
      <c r="E2318" s="30" t="inlineStr">
        <is>
          <t>DIRECT EXPRESS LOGISTICA INTEGRADA S/A</t>
        </is>
      </c>
      <c r="F2318" s="40" t="n">
        <v>2000.28</v>
      </c>
      <c r="G2318" s="40" t="n">
        <v>0</v>
      </c>
      <c r="H2318" s="40" t="n">
        <v>0</v>
      </c>
      <c r="I2318" s="40" t="n">
        <v>0</v>
      </c>
      <c r="J2318" s="40" t="n">
        <v>0</v>
      </c>
      <c r="K2318" s="40" t="n">
        <v>0</v>
      </c>
      <c r="L2318" s="40" t="n">
        <v>0</v>
      </c>
    </row>
    <row r="2319" ht="12" customHeight="1">
      <c r="A2319" s="30" t="inlineStr">
        <is>
          <t>POR</t>
        </is>
      </c>
      <c r="B2319" s="30" t="inlineStr">
        <is>
          <t>Porto Real</t>
        </is>
      </c>
      <c r="C2319" s="30" t="n">
        <v>87014169</v>
      </c>
      <c r="D2319" s="30">
        <f>"01743404000804"</f>
        <v/>
      </c>
      <c r="E2319" s="30" t="inlineStr">
        <is>
          <t>FAVORITA TRANSPORTES LTDA</t>
        </is>
      </c>
      <c r="F2319" s="40" t="n">
        <v>0</v>
      </c>
      <c r="G2319" s="40" t="n">
        <v>555056.98</v>
      </c>
      <c r="H2319" s="40" t="n">
        <v>594729.6</v>
      </c>
      <c r="I2319" s="40" t="n">
        <v>304074.79</v>
      </c>
      <c r="J2319" s="40" t="n">
        <v>298544.27</v>
      </c>
      <c r="K2319" s="40" t="n">
        <v>520700.63</v>
      </c>
      <c r="L2319" s="40" t="n">
        <v>809879.36</v>
      </c>
    </row>
    <row r="2320" ht="12" customHeight="1">
      <c r="A2320" s="30" t="inlineStr">
        <is>
          <t>POR</t>
        </is>
      </c>
      <c r="B2320" s="30" t="inlineStr">
        <is>
          <t>Porto Real</t>
        </is>
      </c>
      <c r="C2320" s="30" t="n">
        <v>87023460</v>
      </c>
      <c r="D2320" s="30">
        <f>"03469066000385"</f>
        <v/>
      </c>
      <c r="E2320" s="30" t="inlineStr">
        <is>
          <t>TELECARGO ENCOMENDAS EXPRESSAS LTDA</t>
        </is>
      </c>
      <c r="F2320" s="40" t="n">
        <v>0</v>
      </c>
      <c r="G2320" s="40" t="n">
        <v>0</v>
      </c>
      <c r="H2320" s="40" t="n">
        <v>495983.57</v>
      </c>
      <c r="I2320" s="40" t="n">
        <v>1126315.6</v>
      </c>
      <c r="J2320" s="40" t="n">
        <v>292424.22</v>
      </c>
      <c r="K2320" s="40" t="n">
        <v>0</v>
      </c>
      <c r="L2320" s="40" t="n">
        <v>0</v>
      </c>
    </row>
    <row r="2321" ht="12" customHeight="1">
      <c r="A2321" s="30" t="inlineStr">
        <is>
          <t>POR</t>
        </is>
      </c>
      <c r="B2321" s="30" t="inlineStr">
        <is>
          <t>Porto Real</t>
        </is>
      </c>
      <c r="C2321" s="30" t="n">
        <v>87030946</v>
      </c>
      <c r="D2321" s="30">
        <f>"91830836004085"</f>
        <v/>
      </c>
      <c r="E2321" s="30" t="inlineStr">
        <is>
          <t>OLFAR S/A - ALIMENTO E ENERGIA</t>
        </is>
      </c>
      <c r="F2321" s="40" t="n">
        <v>0</v>
      </c>
      <c r="G2321" s="40" t="n">
        <v>17717194.82</v>
      </c>
      <c r="H2321" s="40" t="n">
        <v>9820714.17</v>
      </c>
      <c r="I2321" s="40" t="n">
        <v>37012042.5</v>
      </c>
      <c r="J2321" s="40" t="n">
        <v>0</v>
      </c>
      <c r="K2321" s="40" t="n">
        <v>0</v>
      </c>
      <c r="L2321" s="40" t="n">
        <v>104876551.41</v>
      </c>
    </row>
    <row r="2322" ht="12" customHeight="1">
      <c r="A2322" s="30" t="inlineStr">
        <is>
          <t>POR</t>
        </is>
      </c>
      <c r="B2322" s="30" t="inlineStr">
        <is>
          <t>Porto Real</t>
        </is>
      </c>
      <c r="C2322" s="30" t="n">
        <v>87042308</v>
      </c>
      <c r="D2322" s="30">
        <f>"23547963000105"</f>
        <v/>
      </c>
      <c r="E2322" s="30" t="inlineStr">
        <is>
          <t>PORT CONSTRUTORA LTDA</t>
        </is>
      </c>
      <c r="F2322" s="40" t="n">
        <v>0</v>
      </c>
      <c r="G2322" s="40" t="n">
        <v>0</v>
      </c>
      <c r="H2322" s="40" t="n">
        <v>0</v>
      </c>
      <c r="I2322" s="40" t="n">
        <v>0</v>
      </c>
      <c r="J2322" s="40" t="n">
        <v>0</v>
      </c>
      <c r="K2322" s="40" t="n">
        <v>0</v>
      </c>
      <c r="L2322" s="40" t="n">
        <v>0</v>
      </c>
    </row>
    <row r="2323" ht="12" customHeight="1">
      <c r="A2323" s="30" t="inlineStr">
        <is>
          <t>POR</t>
        </is>
      </c>
      <c r="B2323" s="30" t="inlineStr">
        <is>
          <t>Porto Real</t>
        </is>
      </c>
      <c r="C2323" s="30" t="n">
        <v>87059910</v>
      </c>
      <c r="D2323" s="30">
        <f>"23749250000124"</f>
        <v/>
      </c>
      <c r="E2323" s="30" t="inlineStr">
        <is>
          <t>SUELLEN CARRIJO DE ALMEIDA COMERCIO DE GLP</t>
        </is>
      </c>
      <c r="F2323" s="40" t="n">
        <v>142717.74</v>
      </c>
      <c r="G2323" s="40" t="n">
        <v>168020.12</v>
      </c>
      <c r="H2323" s="40" t="n">
        <v>0</v>
      </c>
      <c r="I2323" s="40" t="n">
        <v>0</v>
      </c>
      <c r="J2323" s="40" t="n">
        <v>0</v>
      </c>
      <c r="K2323" s="40" t="n">
        <v>0</v>
      </c>
      <c r="L2323" s="40" t="n">
        <v>0</v>
      </c>
    </row>
    <row r="2324" ht="12" customHeight="1">
      <c r="A2324" s="30" t="inlineStr">
        <is>
          <t>POR</t>
        </is>
      </c>
      <c r="B2324" s="30" t="inlineStr">
        <is>
          <t>Porto Real</t>
        </is>
      </c>
      <c r="C2324" s="30" t="n">
        <v>87063771</v>
      </c>
      <c r="D2324" s="30">
        <f>"01489122000580"</f>
        <v/>
      </c>
      <c r="E2324" s="30" t="inlineStr">
        <is>
          <t>TJ4 TRANSPORTES LTDA</t>
        </is>
      </c>
      <c r="F2324" s="40" t="n">
        <v>0</v>
      </c>
      <c r="G2324" s="40" t="n">
        <v>0</v>
      </c>
      <c r="H2324" s="40" t="n">
        <v>0</v>
      </c>
      <c r="I2324" s="40" t="n">
        <v>0</v>
      </c>
      <c r="J2324" s="40" t="n">
        <v>0</v>
      </c>
      <c r="K2324" s="40" t="n">
        <v>0</v>
      </c>
      <c r="L2324" s="40" t="n">
        <v>463.48</v>
      </c>
    </row>
    <row r="2325" ht="12" customHeight="1">
      <c r="A2325" s="30" t="inlineStr">
        <is>
          <t>POR</t>
        </is>
      </c>
      <c r="B2325" s="30" t="inlineStr">
        <is>
          <t>Porto Real</t>
        </is>
      </c>
      <c r="C2325" s="30" t="n">
        <v>87067378</v>
      </c>
      <c r="D2325" s="30">
        <f>"00789764000299"</f>
        <v/>
      </c>
      <c r="E2325" s="30" t="inlineStr">
        <is>
          <t>PASQUALINI TRANSPORTES LTDA - EPP</t>
        </is>
      </c>
      <c r="F2325" s="40" t="n">
        <v>0</v>
      </c>
      <c r="G2325" s="40" t="n">
        <v>0</v>
      </c>
      <c r="H2325" s="40" t="n">
        <v>0</v>
      </c>
      <c r="I2325" s="40" t="n">
        <v>0</v>
      </c>
      <c r="J2325" s="40" t="n">
        <v>0</v>
      </c>
      <c r="K2325" s="40" t="n">
        <v>0</v>
      </c>
      <c r="L2325" s="40" t="n">
        <v>0</v>
      </c>
    </row>
    <row r="2326" ht="12" customHeight="1">
      <c r="A2326" s="30" t="inlineStr">
        <is>
          <t>POR</t>
        </is>
      </c>
      <c r="B2326" s="30" t="inlineStr">
        <is>
          <t>Porto Real</t>
        </is>
      </c>
      <c r="C2326" s="30" t="n">
        <v>87069567</v>
      </c>
      <c r="D2326" s="30">
        <f>"00687130000225"</f>
        <v/>
      </c>
      <c r="E2326" s="30" t="inlineStr">
        <is>
          <t>TRANSCARMO TRANSPORTES LTDA - EPP</t>
        </is>
      </c>
      <c r="F2326" s="40" t="n">
        <v>0</v>
      </c>
      <c r="G2326" s="40" t="n">
        <v>0</v>
      </c>
      <c r="H2326" s="40" t="n">
        <v>0</v>
      </c>
      <c r="I2326" s="40" t="n">
        <v>0</v>
      </c>
      <c r="J2326" s="40" t="n">
        <v>0</v>
      </c>
      <c r="K2326" s="40" t="n">
        <v>0</v>
      </c>
      <c r="L2326" s="40" t="n">
        <v>0</v>
      </c>
    </row>
    <row r="2327" ht="12" customHeight="1">
      <c r="A2327" s="30" t="inlineStr">
        <is>
          <t>POR</t>
        </is>
      </c>
      <c r="B2327" s="30" t="inlineStr">
        <is>
          <t>Porto Real</t>
        </is>
      </c>
      <c r="C2327" s="30" t="n">
        <v>87069583</v>
      </c>
      <c r="D2327" s="30">
        <f>"56287527000284"</f>
        <v/>
      </c>
      <c r="E2327" s="30" t="inlineStr">
        <is>
          <t>TRANSQUINCAS TRANSPORTES RODOVIARIO LTDA - EPP</t>
        </is>
      </c>
      <c r="F2327" s="40" t="n">
        <v>0</v>
      </c>
      <c r="G2327" s="40" t="n">
        <v>0</v>
      </c>
      <c r="H2327" s="40" t="n">
        <v>0</v>
      </c>
      <c r="I2327" s="40" t="n">
        <v>0</v>
      </c>
      <c r="J2327" s="40" t="n">
        <v>0</v>
      </c>
      <c r="K2327" s="40" t="n">
        <v>0</v>
      </c>
      <c r="L2327" s="40" t="n">
        <v>0</v>
      </c>
    </row>
    <row r="2328" ht="12" customHeight="1">
      <c r="A2328" s="30" t="inlineStr">
        <is>
          <t>POR</t>
        </is>
      </c>
      <c r="B2328" s="30" t="inlineStr">
        <is>
          <t>Porto Real</t>
        </is>
      </c>
      <c r="C2328" s="30" t="n">
        <v>87077187</v>
      </c>
      <c r="D2328" s="30">
        <f>"01599101002056"</f>
        <v/>
      </c>
      <c r="E2328" s="30" t="inlineStr">
        <is>
          <t>SEQUOIA LOGISTICA E TRANSPORTES S.A.</t>
        </is>
      </c>
      <c r="F2328" s="40" t="n">
        <v>0</v>
      </c>
      <c r="G2328" s="40" t="n">
        <v>0</v>
      </c>
      <c r="H2328" s="40" t="n">
        <v>0</v>
      </c>
      <c r="I2328" s="40" t="n">
        <v>0</v>
      </c>
      <c r="J2328" s="40" t="n">
        <v>0</v>
      </c>
      <c r="K2328" s="40" t="n">
        <v>1692.2</v>
      </c>
      <c r="L2328" s="40" t="n">
        <v>970.59</v>
      </c>
    </row>
    <row r="2329" ht="12" customHeight="1">
      <c r="A2329" s="30" t="inlineStr">
        <is>
          <t>POR</t>
        </is>
      </c>
      <c r="B2329" s="30" t="inlineStr">
        <is>
          <t>Porto Real</t>
        </is>
      </c>
      <c r="C2329" s="30" t="n">
        <v>87094570</v>
      </c>
      <c r="D2329" s="30">
        <f>"92023043000615"</f>
        <v/>
      </c>
      <c r="E2329" s="30" t="inlineStr">
        <is>
          <t>EXPRESSO VALE REAL LTDA</t>
        </is>
      </c>
      <c r="F2329" s="40" t="n">
        <v>509.09</v>
      </c>
      <c r="G2329" s="40" t="n">
        <v>0</v>
      </c>
      <c r="H2329" s="40" t="n">
        <v>0</v>
      </c>
      <c r="I2329" s="40" t="n">
        <v>0</v>
      </c>
      <c r="J2329" s="40" t="n">
        <v>7111.93</v>
      </c>
      <c r="K2329" s="40" t="n">
        <v>0</v>
      </c>
      <c r="L2329" s="40" t="n">
        <v>0</v>
      </c>
    </row>
    <row r="2330" ht="12" customHeight="1">
      <c r="A2330" s="30" t="inlineStr">
        <is>
          <t>POR</t>
        </is>
      </c>
      <c r="B2330" s="30" t="inlineStr">
        <is>
          <t>Porto Real</t>
        </is>
      </c>
      <c r="C2330" s="30" t="n">
        <v>87102998</v>
      </c>
      <c r="D2330" s="30">
        <f>"24191016000197"</f>
        <v/>
      </c>
      <c r="E2330" s="30" t="inlineStr">
        <is>
          <t>TW LOGISTICA E TRANSPORTES LTDA ME</t>
        </is>
      </c>
      <c r="F2330" s="40" t="n">
        <v>0</v>
      </c>
      <c r="G2330" s="40" t="n">
        <v>0</v>
      </c>
      <c r="H2330" s="40" t="n">
        <v>0</v>
      </c>
      <c r="I2330" s="40" t="n">
        <v>6615387.44</v>
      </c>
      <c r="J2330" s="40" t="n">
        <v>9438351.689999999</v>
      </c>
      <c r="K2330" s="40" t="n">
        <v>7048584.45</v>
      </c>
      <c r="L2330" s="40" t="n">
        <v>0</v>
      </c>
    </row>
    <row r="2331" ht="12" customHeight="1">
      <c r="A2331" s="30" t="inlineStr">
        <is>
          <t>POR</t>
        </is>
      </c>
      <c r="B2331" s="30" t="inlineStr">
        <is>
          <t>Porto Real</t>
        </is>
      </c>
      <c r="C2331" s="30" t="n">
        <v>87105938</v>
      </c>
      <c r="D2331" s="30">
        <f>"17619009000773"</f>
        <v/>
      </c>
      <c r="E2331" s="30" t="inlineStr">
        <is>
          <t>VENKON EXPRESS TRANSPORTES EIRELI EPP</t>
        </is>
      </c>
      <c r="F2331" s="40" t="n">
        <v>0</v>
      </c>
      <c r="G2331" s="40" t="n">
        <v>0</v>
      </c>
      <c r="H2331" s="40" t="n">
        <v>0</v>
      </c>
      <c r="I2331" s="40" t="n">
        <v>3972.03</v>
      </c>
      <c r="J2331" s="40" t="n">
        <v>4840.69</v>
      </c>
      <c r="K2331" s="40" t="n">
        <v>0</v>
      </c>
      <c r="L2331" s="40" t="n">
        <v>0</v>
      </c>
    </row>
    <row r="2332" ht="12" customHeight="1">
      <c r="A2332" s="30" t="inlineStr">
        <is>
          <t>POR</t>
        </is>
      </c>
      <c r="B2332" s="30" t="inlineStr">
        <is>
          <t>Porto Real</t>
        </is>
      </c>
      <c r="C2332" s="30" t="n">
        <v>87116760</v>
      </c>
      <c r="D2332" s="30">
        <f>"01125797002089"</f>
        <v/>
      </c>
      <c r="E2332" s="30" t="inlineStr">
        <is>
          <t>ATIVA DISTRIBUICAO E LOGISTICA LTDA</t>
        </is>
      </c>
      <c r="F2332" s="40" t="n">
        <v>0</v>
      </c>
      <c r="G2332" s="40" t="n">
        <v>0</v>
      </c>
      <c r="H2332" s="40" t="n">
        <v>1074.92</v>
      </c>
      <c r="I2332" s="40" t="n">
        <v>398.5</v>
      </c>
      <c r="J2332" s="40" t="n">
        <v>307.55</v>
      </c>
      <c r="K2332" s="40" t="n">
        <v>605.72</v>
      </c>
      <c r="L2332" s="40" t="n">
        <v>1290.4</v>
      </c>
    </row>
    <row r="2333" ht="12" customHeight="1">
      <c r="A2333" s="30" t="inlineStr">
        <is>
          <t>POR</t>
        </is>
      </c>
      <c r="B2333" s="30" t="inlineStr">
        <is>
          <t>Porto Real</t>
        </is>
      </c>
      <c r="C2333" s="30" t="n">
        <v>87132919</v>
      </c>
      <c r="D2333" s="30">
        <f>"11132060000184"</f>
        <v/>
      </c>
      <c r="E2333" s="30" t="inlineStr">
        <is>
          <t>JJAPA TRANSPORTES E LOGISTICA EIRELI</t>
        </is>
      </c>
      <c r="F2333" s="40" t="n">
        <v>0</v>
      </c>
      <c r="G2333" s="40" t="n">
        <v>0</v>
      </c>
      <c r="H2333" s="40" t="n">
        <v>0</v>
      </c>
      <c r="I2333" s="40" t="n">
        <v>0</v>
      </c>
      <c r="J2333" s="40" t="n">
        <v>1441.55</v>
      </c>
      <c r="K2333" s="40" t="n">
        <v>0</v>
      </c>
      <c r="L2333" s="40" t="n">
        <v>0</v>
      </c>
    </row>
    <row r="2334" ht="12" customHeight="1">
      <c r="A2334" s="30" t="inlineStr">
        <is>
          <t>POR</t>
        </is>
      </c>
      <c r="B2334" s="30" t="inlineStr">
        <is>
          <t>Porto Real</t>
        </is>
      </c>
      <c r="C2334" s="30" t="n">
        <v>87134369</v>
      </c>
      <c r="D2334" s="30">
        <f>"07381852001359"</f>
        <v/>
      </c>
      <c r="E2334" s="30" t="inlineStr">
        <is>
          <t>JPS FARMA LIMITADA</t>
        </is>
      </c>
      <c r="F2334" s="40" t="n">
        <v>986224.03</v>
      </c>
      <c r="G2334" s="40" t="n">
        <v>938379.29</v>
      </c>
      <c r="H2334" s="40" t="n">
        <v>1063786.81</v>
      </c>
      <c r="I2334" s="40" t="n">
        <v>1147443.81</v>
      </c>
      <c r="J2334" s="40" t="n">
        <v>885401.74</v>
      </c>
      <c r="K2334" s="40" t="n">
        <v>916031.84</v>
      </c>
      <c r="L2334" s="40" t="n">
        <v>1198730.27</v>
      </c>
    </row>
    <row r="2335" ht="12" customHeight="1">
      <c r="A2335" s="30" t="inlineStr">
        <is>
          <t>POR</t>
        </is>
      </c>
      <c r="B2335" s="30" t="inlineStr">
        <is>
          <t>Porto Real</t>
        </is>
      </c>
      <c r="C2335" s="30" t="n">
        <v>87135357</v>
      </c>
      <c r="D2335" s="30">
        <f>"60319985000225"</f>
        <v/>
      </c>
      <c r="E2335" s="30" t="inlineStr">
        <is>
          <t>JOMED TRANSPORTE E LOGISTICA EIRELI</t>
        </is>
      </c>
      <c r="F2335" s="40" t="n">
        <v>0</v>
      </c>
      <c r="G2335" s="40" t="n">
        <v>0</v>
      </c>
      <c r="H2335" s="40" t="n">
        <v>1</v>
      </c>
      <c r="I2335" s="40" t="n">
        <v>50664.75</v>
      </c>
      <c r="J2335" s="40" t="n">
        <v>0</v>
      </c>
      <c r="K2335" s="40" t="n">
        <v>0</v>
      </c>
      <c r="L2335" s="40" t="n">
        <v>0</v>
      </c>
    </row>
    <row r="2336" ht="12" customHeight="1">
      <c r="A2336" s="30" t="inlineStr">
        <is>
          <t>POR</t>
        </is>
      </c>
      <c r="B2336" s="30" t="inlineStr">
        <is>
          <t>Porto Real</t>
        </is>
      </c>
      <c r="C2336" s="30" t="n">
        <v>87141691</v>
      </c>
      <c r="D2336" s="30">
        <f>"00367894001558"</f>
        <v/>
      </c>
      <c r="E2336" s="30" t="inlineStr">
        <is>
          <t>TRANSPORTADORA REAL 94 LTDA EPP</t>
        </is>
      </c>
      <c r="F2336" s="40" t="n">
        <v>795.6799999999999</v>
      </c>
      <c r="G2336" s="40" t="n">
        <v>0</v>
      </c>
      <c r="H2336" s="40" t="n">
        <v>0</v>
      </c>
      <c r="I2336" s="40" t="n">
        <v>0</v>
      </c>
      <c r="J2336" s="40" t="n">
        <v>0</v>
      </c>
      <c r="K2336" s="40" t="n">
        <v>0</v>
      </c>
      <c r="L2336" s="40" t="n">
        <v>0</v>
      </c>
    </row>
    <row r="2337" ht="12" customHeight="1">
      <c r="A2337" s="30" t="inlineStr">
        <is>
          <t>POR</t>
        </is>
      </c>
      <c r="B2337" s="30" t="inlineStr">
        <is>
          <t>Porto Real</t>
        </is>
      </c>
      <c r="C2337" s="30" t="n">
        <v>87156109</v>
      </c>
      <c r="D2337" s="30">
        <f>"03204114000222"</f>
        <v/>
      </c>
      <c r="E2337" s="30" t="inlineStr">
        <is>
          <t>TRANS-TAVARES TRANSPORTES RODOVIARIO LTDA - EPP</t>
        </is>
      </c>
      <c r="F2337" s="40" t="n">
        <v>0</v>
      </c>
      <c r="G2337" s="40" t="n">
        <v>0</v>
      </c>
      <c r="H2337" s="40" t="n">
        <v>0</v>
      </c>
      <c r="I2337" s="40" t="n">
        <v>0</v>
      </c>
      <c r="J2337" s="40" t="n">
        <v>0</v>
      </c>
      <c r="K2337" s="40" t="n">
        <v>0</v>
      </c>
      <c r="L2337" s="40" t="n">
        <v>0</v>
      </c>
    </row>
    <row r="2338" ht="12" customHeight="1">
      <c r="A2338" s="30" t="inlineStr">
        <is>
          <t>POR</t>
        </is>
      </c>
      <c r="B2338" s="30" t="inlineStr">
        <is>
          <t>Porto Real</t>
        </is>
      </c>
      <c r="C2338" s="30" t="n">
        <v>87158543</v>
      </c>
      <c r="D2338" s="30">
        <f>"24966233000101"</f>
        <v/>
      </c>
      <c r="E2338" s="30" t="inlineStr">
        <is>
          <t>TARGETS TRANSPORTES EIRELI</t>
        </is>
      </c>
      <c r="F2338" s="40" t="n">
        <v>0</v>
      </c>
      <c r="G2338" s="40" t="n">
        <v>0</v>
      </c>
      <c r="H2338" s="40" t="n">
        <v>0</v>
      </c>
      <c r="I2338" s="40" t="n">
        <v>0</v>
      </c>
      <c r="J2338" s="40" t="n">
        <v>183539.33</v>
      </c>
      <c r="K2338" s="40" t="n">
        <v>753338.9399999999</v>
      </c>
      <c r="L2338" s="40" t="n">
        <v>664491.96</v>
      </c>
    </row>
    <row r="2339" ht="12" customHeight="1">
      <c r="A2339" s="30" t="inlineStr">
        <is>
          <t>POR</t>
        </is>
      </c>
      <c r="B2339" s="30" t="inlineStr">
        <is>
          <t>Porto Real</t>
        </is>
      </c>
      <c r="C2339" s="30" t="n">
        <v>87160084</v>
      </c>
      <c r="D2339" s="30">
        <f>"24980727000140"</f>
        <v/>
      </c>
      <c r="E2339" s="30" t="inlineStr">
        <is>
          <t>GRACA AUXILIADORA BARBOSA GONCALVES</t>
        </is>
      </c>
      <c r="F2339" s="40" t="n">
        <v>0</v>
      </c>
      <c r="G2339" s="40" t="n">
        <v>0</v>
      </c>
      <c r="H2339" s="40" t="n">
        <v>0</v>
      </c>
      <c r="I2339" s="40" t="n">
        <v>0</v>
      </c>
      <c r="J2339" s="40" t="n">
        <v>0</v>
      </c>
      <c r="K2339" s="40" t="n">
        <v>0</v>
      </c>
      <c r="L2339" s="40" t="n">
        <v>0</v>
      </c>
    </row>
    <row r="2340" ht="12" customHeight="1">
      <c r="A2340" s="30" t="inlineStr">
        <is>
          <t>POR</t>
        </is>
      </c>
      <c r="B2340" s="30" t="inlineStr">
        <is>
          <t>Porto Real</t>
        </is>
      </c>
      <c r="C2340" s="30" t="n">
        <v>87164306</v>
      </c>
      <c r="D2340" s="30">
        <f>"24153233000516"</f>
        <v/>
      </c>
      <c r="E2340" s="30" t="inlineStr">
        <is>
          <t>PLASTIC OMNIUM AUTOMOTIVE DO BRASIL INDUSTRIA E COMERCIO DE PECA</t>
        </is>
      </c>
      <c r="F2340" s="40" t="n">
        <v>0</v>
      </c>
      <c r="G2340" s="40" t="n">
        <v>0</v>
      </c>
      <c r="H2340" s="40" t="n">
        <v>0</v>
      </c>
      <c r="I2340" s="40" t="n">
        <v>0</v>
      </c>
      <c r="J2340" s="40" t="n">
        <v>0</v>
      </c>
      <c r="K2340" s="40" t="n">
        <v>0</v>
      </c>
      <c r="L2340" s="40" t="n">
        <v>0</v>
      </c>
    </row>
    <row r="2341" ht="12" customHeight="1">
      <c r="A2341" s="30" t="inlineStr">
        <is>
          <t>POR</t>
        </is>
      </c>
      <c r="B2341" s="30" t="inlineStr">
        <is>
          <t>Porto Real</t>
        </is>
      </c>
      <c r="C2341" s="30" t="n">
        <v>87172856</v>
      </c>
      <c r="D2341" s="30">
        <f>"02709439000628"</f>
        <v/>
      </c>
      <c r="E2341" s="30" t="inlineStr">
        <is>
          <t>BNLOG TRANSPORTES E LOGISTICA LTDA</t>
        </is>
      </c>
      <c r="F2341" s="40" t="n">
        <v>0</v>
      </c>
      <c r="G2341" s="40" t="n">
        <v>3963192.31</v>
      </c>
      <c r="H2341" s="40" t="n">
        <v>4086885.8</v>
      </c>
      <c r="I2341" s="40" t="n">
        <v>1074064</v>
      </c>
      <c r="J2341" s="40" t="n">
        <v>0</v>
      </c>
      <c r="K2341" s="40" t="n">
        <v>0</v>
      </c>
      <c r="L2341" s="40" t="n">
        <v>0</v>
      </c>
    </row>
    <row r="2342" ht="12" customHeight="1">
      <c r="A2342" s="30" t="inlineStr">
        <is>
          <t>POR</t>
        </is>
      </c>
      <c r="B2342" s="30" t="inlineStr">
        <is>
          <t>Porto Real</t>
        </is>
      </c>
      <c r="C2342" s="30" t="n">
        <v>87173631</v>
      </c>
      <c r="D2342" s="30">
        <f>"02099296000256"</f>
        <v/>
      </c>
      <c r="E2342" s="30" t="inlineStr">
        <is>
          <t>MECSTEEL - INDUSTRIA MECANICA LTA - EPP</t>
        </is>
      </c>
      <c r="F2342" s="40" t="n">
        <v>0</v>
      </c>
      <c r="G2342" s="40" t="n">
        <v>0</v>
      </c>
      <c r="H2342" s="40" t="n">
        <v>0</v>
      </c>
      <c r="I2342" s="40" t="n">
        <v>105363</v>
      </c>
      <c r="J2342" s="40" t="n">
        <v>859054.24</v>
      </c>
      <c r="K2342" s="40" t="n">
        <v>3563402.29</v>
      </c>
      <c r="L2342" s="40" t="n">
        <v>2813539.77</v>
      </c>
    </row>
    <row r="2343" ht="12" customHeight="1">
      <c r="A2343" s="30" t="inlineStr">
        <is>
          <t>POR</t>
        </is>
      </c>
      <c r="B2343" s="30" t="inlineStr">
        <is>
          <t>Porto Real</t>
        </is>
      </c>
      <c r="C2343" s="30" t="n">
        <v>87198120</v>
      </c>
      <c r="D2343" s="30">
        <f>"23349580000475"</f>
        <v/>
      </c>
      <c r="E2343" s="30" t="inlineStr">
        <is>
          <t>LOTUS LOGISTICA INTEGRADA LTDA</t>
        </is>
      </c>
      <c r="F2343" s="40" t="n">
        <v>93.29000000000001</v>
      </c>
      <c r="G2343" s="40" t="n">
        <v>295.88</v>
      </c>
      <c r="H2343" s="40" t="n">
        <v>0</v>
      </c>
      <c r="I2343" s="40" t="n">
        <v>0</v>
      </c>
      <c r="J2343" s="40" t="n">
        <v>0</v>
      </c>
      <c r="K2343" s="40" t="n">
        <v>0</v>
      </c>
      <c r="L2343" s="40" t="n">
        <v>0</v>
      </c>
    </row>
    <row r="2344" ht="12" customHeight="1">
      <c r="A2344" s="30" t="inlineStr">
        <is>
          <t>POR</t>
        </is>
      </c>
      <c r="B2344" s="30" t="inlineStr">
        <is>
          <t>Porto Real</t>
        </is>
      </c>
      <c r="C2344" s="30" t="n">
        <v>87213641</v>
      </c>
      <c r="D2344" s="30">
        <f>"74443623000418"</f>
        <v/>
      </c>
      <c r="E2344" s="30" t="inlineStr">
        <is>
          <t>OSAKA TRANSPORTES LTDA</t>
        </is>
      </c>
      <c r="F2344" s="40" t="n">
        <v>0</v>
      </c>
      <c r="G2344" s="40" t="n">
        <v>0</v>
      </c>
      <c r="H2344" s="40" t="n">
        <v>0</v>
      </c>
      <c r="I2344" s="40" t="n">
        <v>0</v>
      </c>
      <c r="J2344" s="40" t="n">
        <v>0</v>
      </c>
      <c r="K2344" s="40" t="n">
        <v>1000</v>
      </c>
      <c r="L2344" s="40" t="n">
        <v>300</v>
      </c>
    </row>
    <row r="2345" ht="12" customHeight="1">
      <c r="A2345" s="30" t="inlineStr">
        <is>
          <t>POR</t>
        </is>
      </c>
      <c r="B2345" s="30" t="inlineStr">
        <is>
          <t>Porto Real</t>
        </is>
      </c>
      <c r="C2345" s="30" t="n">
        <v>87220761</v>
      </c>
      <c r="D2345" s="30">
        <f>"08762025000304"</f>
        <v/>
      </c>
      <c r="E2345" s="30" t="inlineStr">
        <is>
          <t>NEXTEER INDUSTRIA E COMERCIO DE SISTEMAS AUTOMOTIVOS LTDA</t>
        </is>
      </c>
      <c r="F2345" s="40" t="n">
        <v>74783033.75</v>
      </c>
      <c r="G2345" s="40" t="n">
        <v>72458798.3</v>
      </c>
      <c r="H2345" s="40" t="n">
        <v>55572553.23</v>
      </c>
      <c r="I2345" s="40" t="n">
        <v>61358007.74</v>
      </c>
      <c r="J2345" s="40" t="n">
        <v>108377676.85</v>
      </c>
      <c r="K2345" s="40" t="n">
        <v>134349843.84</v>
      </c>
      <c r="L2345" s="40" t="n">
        <v>133935576.25</v>
      </c>
    </row>
    <row r="2346" ht="12" customHeight="1">
      <c r="A2346" s="30" t="inlineStr">
        <is>
          <t>POR</t>
        </is>
      </c>
      <c r="B2346" s="30" t="inlineStr">
        <is>
          <t>Porto Real</t>
        </is>
      </c>
      <c r="C2346" s="30" t="n">
        <v>87231607</v>
      </c>
      <c r="D2346" s="30">
        <f>"23429671000763"</f>
        <v/>
      </c>
      <c r="E2346" s="30" t="inlineStr">
        <is>
          <t>3PL BRASIL LOGISTICA S A</t>
        </is>
      </c>
      <c r="F2346" s="40" t="n">
        <v>0</v>
      </c>
      <c r="G2346" s="40" t="n">
        <v>5122.33</v>
      </c>
      <c r="H2346" s="40" t="n">
        <v>0</v>
      </c>
      <c r="I2346" s="40" t="n">
        <v>0</v>
      </c>
      <c r="J2346" s="40" t="n">
        <v>0</v>
      </c>
      <c r="K2346" s="40" t="n">
        <v>0</v>
      </c>
      <c r="L2346" s="40" t="n">
        <v>0</v>
      </c>
    </row>
    <row r="2347" ht="12" customHeight="1">
      <c r="A2347" s="30" t="inlineStr">
        <is>
          <t>POR</t>
        </is>
      </c>
      <c r="B2347" s="30" t="inlineStr">
        <is>
          <t>Porto Real</t>
        </is>
      </c>
      <c r="C2347" s="30" t="n">
        <v>87242323</v>
      </c>
      <c r="D2347" s="30">
        <f>"09487999001000"</f>
        <v/>
      </c>
      <c r="E2347" s="30" t="inlineStr">
        <is>
          <t>CAED LOGISTICA E TRANSPORTES LTDA</t>
        </is>
      </c>
      <c r="F2347" s="40" t="n">
        <v>0</v>
      </c>
      <c r="G2347" s="40" t="n">
        <v>0</v>
      </c>
      <c r="H2347" s="40" t="n">
        <v>0</v>
      </c>
      <c r="I2347" s="40" t="n">
        <v>0</v>
      </c>
      <c r="J2347" s="40" t="n">
        <v>0</v>
      </c>
      <c r="K2347" s="40" t="n">
        <v>0</v>
      </c>
      <c r="L2347" s="40" t="n">
        <v>8906.25</v>
      </c>
    </row>
    <row r="2348" ht="12" customHeight="1">
      <c r="A2348" s="30" t="inlineStr">
        <is>
          <t>POR</t>
        </is>
      </c>
      <c r="B2348" s="30" t="inlineStr">
        <is>
          <t>Porto Real</t>
        </is>
      </c>
      <c r="C2348" s="30" t="n">
        <v>87248992</v>
      </c>
      <c r="D2348" s="30">
        <f>"11423942000280"</f>
        <v/>
      </c>
      <c r="E2348" s="30" t="inlineStr">
        <is>
          <t>TTJB TRANSPORTES E LOGISTICA EIRELI</t>
        </is>
      </c>
      <c r="F2348" s="40" t="n">
        <v>310239.53</v>
      </c>
      <c r="G2348" s="40" t="n">
        <v>568702.96</v>
      </c>
      <c r="H2348" s="40" t="n">
        <v>746394.41</v>
      </c>
      <c r="I2348" s="40" t="n">
        <v>373779.85</v>
      </c>
      <c r="J2348" s="40" t="n">
        <v>0</v>
      </c>
      <c r="K2348" s="40" t="n">
        <v>0</v>
      </c>
      <c r="L2348" s="40" t="n">
        <v>487.88</v>
      </c>
    </row>
    <row r="2349" ht="12" customHeight="1">
      <c r="A2349" s="30" t="inlineStr">
        <is>
          <t>POR</t>
        </is>
      </c>
      <c r="B2349" s="30" t="inlineStr">
        <is>
          <t>Porto Real</t>
        </is>
      </c>
      <c r="C2349" s="30" t="n">
        <v>87249417</v>
      </c>
      <c r="D2349" s="30">
        <f>"94001641000961"</f>
        <v/>
      </c>
      <c r="E2349" s="30" t="inlineStr">
        <is>
          <t>BRINGER DO BRASIL AGENCIAMENTO DE CARGAS NACIONAIS E INTERNACIONAIS LTDA EPP</t>
        </is>
      </c>
      <c r="F2349" s="40" t="n">
        <v>1300.37</v>
      </c>
      <c r="G2349" s="40" t="n">
        <v>0</v>
      </c>
      <c r="H2349" s="40" t="n">
        <v>4160.14</v>
      </c>
      <c r="I2349" s="40" t="n">
        <v>965.38</v>
      </c>
      <c r="J2349" s="40" t="n">
        <v>1051.72</v>
      </c>
      <c r="K2349" s="40" t="n">
        <v>0</v>
      </c>
      <c r="L2349" s="40" t="n">
        <v>0</v>
      </c>
    </row>
    <row r="2350" ht="12" customHeight="1">
      <c r="A2350" s="30" t="inlineStr">
        <is>
          <t>POR</t>
        </is>
      </c>
      <c r="B2350" s="30" t="inlineStr">
        <is>
          <t>Porto Real</t>
        </is>
      </c>
      <c r="C2350" s="30" t="n">
        <v>87254348</v>
      </c>
      <c r="D2350" s="30">
        <f>"26529504000197"</f>
        <v/>
      </c>
      <c r="E2350" s="30" t="inlineStr">
        <is>
          <t>H7 TOOLS FERRAMENTAS E ACESSORIOS LTDA</t>
        </is>
      </c>
      <c r="F2350" s="40" t="n">
        <v>0</v>
      </c>
      <c r="G2350" s="40" t="n">
        <v>0</v>
      </c>
      <c r="H2350" s="40" t="n">
        <v>0</v>
      </c>
      <c r="I2350" s="40" t="n">
        <v>0</v>
      </c>
      <c r="J2350" s="40" t="n">
        <v>0</v>
      </c>
      <c r="K2350" s="40" t="n">
        <v>1444212.76</v>
      </c>
      <c r="L2350" s="40" t="n">
        <v>298727.87</v>
      </c>
    </row>
    <row r="2351" ht="12" customHeight="1">
      <c r="A2351" s="30" t="inlineStr">
        <is>
          <t>POR</t>
        </is>
      </c>
      <c r="B2351" s="30" t="inlineStr">
        <is>
          <t>Porto Real</t>
        </is>
      </c>
      <c r="C2351" s="30" t="n">
        <v>87270580</v>
      </c>
      <c r="D2351" s="30">
        <f>"09504931000282"</f>
        <v/>
      </c>
      <c r="E2351" s="30" t="inlineStr">
        <is>
          <t>QUIMEX LOGISTICA E TRANSPORTE LTDA EPP</t>
        </is>
      </c>
      <c r="F2351" s="40" t="n">
        <v>0</v>
      </c>
      <c r="G2351" s="40" t="n">
        <v>0</v>
      </c>
      <c r="H2351" s="40" t="n">
        <v>0</v>
      </c>
      <c r="I2351" s="40" t="n">
        <v>0</v>
      </c>
      <c r="J2351" s="40" t="n">
        <v>0</v>
      </c>
      <c r="K2351" s="40" t="n">
        <v>0</v>
      </c>
      <c r="L2351" s="40" t="n">
        <v>0</v>
      </c>
    </row>
    <row r="2352" ht="12" customHeight="1">
      <c r="A2352" s="30" t="inlineStr">
        <is>
          <t>POR</t>
        </is>
      </c>
      <c r="B2352" s="30" t="inlineStr">
        <is>
          <t>Porto Real</t>
        </is>
      </c>
      <c r="C2352" s="30" t="n">
        <v>87302504</v>
      </c>
      <c r="D2352" s="30">
        <f>"26894228000166"</f>
        <v/>
      </c>
      <c r="E2352" s="30" t="inlineStr">
        <is>
          <t>BBN TRANSPORTES RODOVIARIOS LTDA</t>
        </is>
      </c>
      <c r="F2352" s="40" t="n">
        <v>0</v>
      </c>
      <c r="G2352" s="40" t="n">
        <v>0</v>
      </c>
      <c r="H2352" s="40" t="n">
        <v>7400</v>
      </c>
      <c r="I2352" s="40" t="n">
        <v>0</v>
      </c>
      <c r="J2352" s="40" t="n">
        <v>2250</v>
      </c>
      <c r="K2352" s="40" t="n">
        <v>2200</v>
      </c>
      <c r="L2352" s="40" t="n">
        <v>3287.3</v>
      </c>
    </row>
    <row r="2353" ht="12" customHeight="1">
      <c r="A2353" s="30" t="inlineStr">
        <is>
          <t>POR</t>
        </is>
      </c>
      <c r="B2353" s="30" t="inlineStr">
        <is>
          <t>Porto Real</t>
        </is>
      </c>
      <c r="C2353" s="30" t="n">
        <v>87303411</v>
      </c>
      <c r="D2353" s="30">
        <f>"26982666000186"</f>
        <v/>
      </c>
      <c r="E2353" s="30" t="inlineStr">
        <is>
          <t>REALL FLEX LONGEVIDADE E SAUDE LTDA</t>
        </is>
      </c>
      <c r="F2353" s="40" t="n">
        <v>0</v>
      </c>
      <c r="G2353" s="40" t="n">
        <v>0</v>
      </c>
      <c r="H2353" s="40" t="n">
        <v>0</v>
      </c>
      <c r="I2353" s="40" t="n">
        <v>0</v>
      </c>
      <c r="J2353" s="40" t="n">
        <v>0</v>
      </c>
      <c r="K2353" s="40" t="n">
        <v>0</v>
      </c>
      <c r="L2353" s="40" t="n">
        <v>0</v>
      </c>
    </row>
    <row r="2354" ht="12" customHeight="1">
      <c r="A2354" s="30" t="inlineStr">
        <is>
          <t>POR</t>
        </is>
      </c>
      <c r="B2354" s="30" t="inlineStr">
        <is>
          <t>Porto Real</t>
        </is>
      </c>
      <c r="C2354" s="30" t="n">
        <v>87321878</v>
      </c>
      <c r="D2354" s="30">
        <f>"12898982001727"</f>
        <v/>
      </c>
      <c r="E2354" s="30" t="inlineStr">
        <is>
          <t>RITMO LOGISTICA S.A.</t>
        </is>
      </c>
      <c r="F2354" s="40" t="n">
        <v>875275.35</v>
      </c>
      <c r="G2354" s="40" t="n">
        <v>341414.72</v>
      </c>
      <c r="H2354" s="40" t="n">
        <v>816050.59</v>
      </c>
      <c r="I2354" s="40" t="n">
        <v>1118597.02</v>
      </c>
      <c r="J2354" s="40" t="n">
        <v>1161709.78</v>
      </c>
      <c r="K2354" s="40" t="n">
        <v>2368242.37</v>
      </c>
      <c r="L2354" s="40" t="n">
        <v>2088377.29</v>
      </c>
    </row>
    <row r="2355" ht="12" customHeight="1">
      <c r="A2355" s="30" t="inlineStr">
        <is>
          <t>POR</t>
        </is>
      </c>
      <c r="B2355" s="30" t="inlineStr">
        <is>
          <t>Porto Real</t>
        </is>
      </c>
      <c r="C2355" s="30" t="n">
        <v>87325415</v>
      </c>
      <c r="D2355" s="30">
        <f>"27276756000114"</f>
        <v/>
      </c>
      <c r="E2355" s="30" t="inlineStr">
        <is>
          <t>QUALITRANS LOGISTICA LTDA EPP</t>
        </is>
      </c>
      <c r="F2355" s="40" t="n">
        <v>0</v>
      </c>
      <c r="G2355" s="40" t="n">
        <v>0</v>
      </c>
      <c r="H2355" s="40" t="n">
        <v>0</v>
      </c>
      <c r="I2355" s="40" t="n">
        <v>0</v>
      </c>
      <c r="J2355" s="40" t="n">
        <v>6093</v>
      </c>
      <c r="K2355" s="40" t="n">
        <v>0</v>
      </c>
      <c r="L2355" s="40" t="n">
        <v>0</v>
      </c>
    </row>
    <row r="2356" ht="12" customHeight="1">
      <c r="A2356" s="30" t="inlineStr">
        <is>
          <t>POR</t>
        </is>
      </c>
      <c r="B2356" s="30" t="inlineStr">
        <is>
          <t>Porto Real</t>
        </is>
      </c>
      <c r="C2356" s="30" t="n">
        <v>87326543</v>
      </c>
      <c r="D2356" s="30">
        <f>"13214075000117"</f>
        <v/>
      </c>
      <c r="E2356" s="30" t="inlineStr">
        <is>
          <t>PROLOG TRANSPORTES E LOGISTICA LTDA ME</t>
        </is>
      </c>
      <c r="F2356" s="40" t="n">
        <v>0</v>
      </c>
      <c r="G2356" s="40" t="n">
        <v>0</v>
      </c>
      <c r="H2356" s="40" t="n">
        <v>0</v>
      </c>
      <c r="I2356" s="40" t="n">
        <v>0</v>
      </c>
      <c r="J2356" s="40" t="n">
        <v>0</v>
      </c>
      <c r="K2356" s="40" t="n">
        <v>0</v>
      </c>
      <c r="L2356" s="40" t="n">
        <v>75</v>
      </c>
    </row>
    <row r="2357" ht="12" customHeight="1">
      <c r="A2357" s="30" t="inlineStr">
        <is>
          <t>POR</t>
        </is>
      </c>
      <c r="B2357" s="30" t="inlineStr">
        <is>
          <t>Porto Real</t>
        </is>
      </c>
      <c r="C2357" s="30" t="n">
        <v>87335950</v>
      </c>
      <c r="D2357" s="30">
        <f>"08686200000151"</f>
        <v/>
      </c>
      <c r="E2357" s="30" t="inlineStr">
        <is>
          <t>ASTM TRANSPORTES E LOCACAO DE VEICULOS LTDA</t>
        </is>
      </c>
      <c r="F2357" s="40" t="n">
        <v>0</v>
      </c>
      <c r="G2357" s="40" t="n">
        <v>0</v>
      </c>
      <c r="H2357" s="40" t="n">
        <v>0</v>
      </c>
      <c r="I2357" s="40" t="n">
        <v>0</v>
      </c>
      <c r="J2357" s="40" t="n">
        <v>0</v>
      </c>
      <c r="K2357" s="40" t="n">
        <v>0.13</v>
      </c>
      <c r="L2357" s="40" t="n">
        <v>0</v>
      </c>
    </row>
    <row r="2358" ht="12" customHeight="1">
      <c r="A2358" s="30" t="inlineStr">
        <is>
          <t>POR</t>
        </is>
      </c>
      <c r="B2358" s="30" t="inlineStr">
        <is>
          <t>Porto Real</t>
        </is>
      </c>
      <c r="C2358" s="30" t="n">
        <v>87342310</v>
      </c>
      <c r="D2358" s="30">
        <f>"27499456000102"</f>
        <v/>
      </c>
      <c r="E2358" s="30" t="inlineStr">
        <is>
          <t>LLF TRANSPORTE E LOGISTICA EIRELI</t>
        </is>
      </c>
      <c r="F2358" s="40" t="n">
        <v>0</v>
      </c>
      <c r="G2358" s="40" t="n">
        <v>0</v>
      </c>
      <c r="H2358" s="40" t="n">
        <v>0</v>
      </c>
      <c r="I2358" s="40" t="n">
        <v>0</v>
      </c>
      <c r="J2358" s="40" t="n">
        <v>0</v>
      </c>
      <c r="K2358" s="40" t="n">
        <v>0</v>
      </c>
      <c r="L2358" s="40" t="n">
        <v>5504.82</v>
      </c>
    </row>
    <row r="2359" ht="12" customHeight="1">
      <c r="A2359" s="30" t="inlineStr">
        <is>
          <t>POR</t>
        </is>
      </c>
      <c r="B2359" s="30" t="inlineStr">
        <is>
          <t>Porto Real</t>
        </is>
      </c>
      <c r="C2359" s="30" t="n">
        <v>87346862</v>
      </c>
      <c r="D2359" s="30">
        <f>"27389429000179"</f>
        <v/>
      </c>
      <c r="E2359" s="30" t="inlineStr">
        <is>
          <t>MERCEARIA ANJO GABRIEL LTDA ME</t>
        </is>
      </c>
      <c r="F2359" s="40" t="n">
        <v>0</v>
      </c>
      <c r="G2359" s="40" t="n">
        <v>0</v>
      </c>
      <c r="H2359" s="40" t="n">
        <v>0</v>
      </c>
      <c r="I2359" s="40" t="n">
        <v>0</v>
      </c>
      <c r="J2359" s="40" t="n">
        <v>734179.51</v>
      </c>
      <c r="K2359" s="40" t="n">
        <v>2020983.91</v>
      </c>
      <c r="L2359" s="40" t="n">
        <v>2524494.51</v>
      </c>
    </row>
    <row r="2360" ht="12" customHeight="1">
      <c r="A2360" s="30" t="inlineStr">
        <is>
          <t>POR</t>
        </is>
      </c>
      <c r="B2360" s="30" t="inlineStr">
        <is>
          <t>Porto Real</t>
        </is>
      </c>
      <c r="C2360" s="30" t="n">
        <v>87347583</v>
      </c>
      <c r="D2360" s="30">
        <f>"00532022000283"</f>
        <v/>
      </c>
      <c r="E2360" s="30" t="inlineStr">
        <is>
          <t>KRAFTPACK EMBALAGENS LTDA</t>
        </is>
      </c>
      <c r="F2360" s="40" t="n">
        <v>0</v>
      </c>
      <c r="G2360" s="40" t="n">
        <v>0</v>
      </c>
      <c r="H2360" s="40" t="n">
        <v>0</v>
      </c>
      <c r="I2360" s="40" t="n">
        <v>0</v>
      </c>
      <c r="J2360" s="40" t="n">
        <v>0</v>
      </c>
      <c r="K2360" s="40" t="n">
        <v>0</v>
      </c>
      <c r="L2360" s="40" t="n">
        <v>0</v>
      </c>
    </row>
    <row r="2361" ht="12" customHeight="1">
      <c r="A2361" s="30" t="inlineStr">
        <is>
          <t>POR</t>
        </is>
      </c>
      <c r="B2361" s="30" t="inlineStr">
        <is>
          <t>Porto Real</t>
        </is>
      </c>
      <c r="C2361" s="30" t="n">
        <v>87351688</v>
      </c>
      <c r="D2361" s="30">
        <f>"27621139000109"</f>
        <v/>
      </c>
      <c r="E2361" s="30" t="inlineStr">
        <is>
          <t>KAERU INDUSTRIA E COMERCIO DE PECAS USINADAS LTDA</t>
        </is>
      </c>
      <c r="F2361" s="40" t="n">
        <v>8966842.51</v>
      </c>
      <c r="G2361" s="40" t="n">
        <v>9729316.17</v>
      </c>
      <c r="H2361" s="40" t="n">
        <v>7269628.96</v>
      </c>
      <c r="I2361" s="40" t="n">
        <v>5613838.85</v>
      </c>
      <c r="J2361" s="40" t="n">
        <v>9268573.699999999</v>
      </c>
      <c r="K2361" s="40" t="n">
        <v>7516153.61</v>
      </c>
      <c r="L2361" s="40" t="n">
        <v>0</v>
      </c>
    </row>
    <row r="2362" ht="12" customHeight="1">
      <c r="A2362" s="30" t="inlineStr">
        <is>
          <t>POR</t>
        </is>
      </c>
      <c r="B2362" s="30" t="inlineStr">
        <is>
          <t>Porto Real</t>
        </is>
      </c>
      <c r="C2362" s="30" t="n">
        <v>87354628</v>
      </c>
      <c r="D2362" s="30">
        <f>"05529929000479"</f>
        <v/>
      </c>
      <c r="E2362" s="30" t="inlineStr">
        <is>
          <t>AEROFLEX CARGO E LOGISTICA EIRELI - ME</t>
        </is>
      </c>
      <c r="F2362" s="40" t="n">
        <v>0</v>
      </c>
      <c r="G2362" s="40" t="n">
        <v>0</v>
      </c>
      <c r="H2362" s="40" t="n">
        <v>0</v>
      </c>
      <c r="I2362" s="40" t="n">
        <v>1671.76</v>
      </c>
      <c r="J2362" s="40" t="n">
        <v>0</v>
      </c>
      <c r="K2362" s="40" t="n">
        <v>0</v>
      </c>
      <c r="L2362" s="40" t="n">
        <v>0</v>
      </c>
    </row>
    <row r="2363" ht="12" customHeight="1">
      <c r="A2363" s="30" t="inlineStr">
        <is>
          <t>POR</t>
        </is>
      </c>
      <c r="B2363" s="30" t="inlineStr">
        <is>
          <t>Porto Real</t>
        </is>
      </c>
      <c r="C2363" s="30" t="n">
        <v>87354741</v>
      </c>
      <c r="D2363" s="30">
        <f>"89823918003755"</f>
        <v/>
      </c>
      <c r="E2363" s="30" t="inlineStr">
        <is>
          <t>TRANSPORTES TRANSLOVATO LTDA</t>
        </is>
      </c>
      <c r="F2363" s="40" t="n">
        <v>0</v>
      </c>
      <c r="G2363" s="40" t="n">
        <v>0</v>
      </c>
      <c r="H2363" s="40" t="n">
        <v>0</v>
      </c>
      <c r="I2363" s="40" t="n">
        <v>69.34</v>
      </c>
      <c r="J2363" s="40" t="n">
        <v>0</v>
      </c>
      <c r="K2363" s="40" t="n">
        <v>668.42</v>
      </c>
      <c r="L2363" s="40" t="n">
        <v>362.72</v>
      </c>
    </row>
    <row r="2364" ht="12" customHeight="1">
      <c r="A2364" s="30" t="inlineStr">
        <is>
          <t>POR</t>
        </is>
      </c>
      <c r="B2364" s="30" t="inlineStr">
        <is>
          <t>Porto Real</t>
        </is>
      </c>
      <c r="C2364" s="30" t="n">
        <v>87363660</v>
      </c>
      <c r="D2364" s="30">
        <f>"27717731000109"</f>
        <v/>
      </c>
      <c r="E2364" s="30" t="inlineStr">
        <is>
          <t>GOMES E SOUZA COMERCIO E PRESTACAO DE SERVICOS LTDA ME</t>
        </is>
      </c>
      <c r="F2364" s="40" t="n">
        <v>0</v>
      </c>
      <c r="G2364" s="40" t="n">
        <v>0</v>
      </c>
      <c r="H2364" s="40" t="n">
        <v>0</v>
      </c>
      <c r="I2364" s="40" t="n">
        <v>0</v>
      </c>
      <c r="J2364" s="40" t="n">
        <v>0</v>
      </c>
      <c r="K2364" s="40" t="n">
        <v>0</v>
      </c>
      <c r="L2364" s="40" t="n">
        <v>0</v>
      </c>
    </row>
    <row r="2365" ht="12" customHeight="1">
      <c r="A2365" s="30" t="inlineStr">
        <is>
          <t>POR</t>
        </is>
      </c>
      <c r="B2365" s="30" t="inlineStr">
        <is>
          <t>Porto Real</t>
        </is>
      </c>
      <c r="C2365" s="30" t="n">
        <v>87366774</v>
      </c>
      <c r="D2365" s="30">
        <f>"18233211001373"</f>
        <v/>
      </c>
      <c r="E2365" s="30" t="inlineStr">
        <is>
          <t>FL BRASIL HOLDING LOGISTICA E TRANSPORTE LTDA</t>
        </is>
      </c>
      <c r="F2365" s="40" t="n">
        <v>0</v>
      </c>
      <c r="G2365" s="40" t="n">
        <v>3321.96</v>
      </c>
      <c r="H2365" s="40" t="n">
        <v>1697.28</v>
      </c>
      <c r="I2365" s="40" t="n">
        <v>5553.85</v>
      </c>
      <c r="J2365" s="40" t="n">
        <v>7397.64</v>
      </c>
      <c r="K2365" s="40" t="n">
        <v>13231.25</v>
      </c>
      <c r="L2365" s="40" t="n">
        <v>6293.45</v>
      </c>
    </row>
    <row r="2366" ht="12" customHeight="1">
      <c r="A2366" s="30" t="inlineStr">
        <is>
          <t>POR</t>
        </is>
      </c>
      <c r="B2366" s="30" t="inlineStr">
        <is>
          <t>Porto Real</t>
        </is>
      </c>
      <c r="C2366" s="30" t="n">
        <v>87371530</v>
      </c>
      <c r="D2366" s="30">
        <f>"23506129000414"</f>
        <v/>
      </c>
      <c r="E2366" s="30" t="inlineStr">
        <is>
          <t>MODULO TRANSPORTE E LOGISTICA LTDA ME</t>
        </is>
      </c>
      <c r="F2366" s="40" t="n">
        <v>0</v>
      </c>
      <c r="G2366" s="40" t="n">
        <v>0</v>
      </c>
      <c r="H2366" s="40" t="n">
        <v>0</v>
      </c>
      <c r="I2366" s="40" t="n">
        <v>245.03</v>
      </c>
      <c r="J2366" s="40" t="n">
        <v>0</v>
      </c>
      <c r="K2366" s="40" t="n">
        <v>0</v>
      </c>
      <c r="L2366" s="40" t="n">
        <v>0</v>
      </c>
    </row>
    <row r="2367" ht="12" customHeight="1">
      <c r="A2367" s="30" t="inlineStr">
        <is>
          <t>POR</t>
        </is>
      </c>
      <c r="B2367" s="30" t="inlineStr">
        <is>
          <t>Porto Real</t>
        </is>
      </c>
      <c r="C2367" s="30" t="n">
        <v>87378586</v>
      </c>
      <c r="D2367" s="30">
        <f>"05460736000247"</f>
        <v/>
      </c>
      <c r="E2367" s="30" t="inlineStr">
        <is>
          <t>NET FACIL SISTEMAS ELETRONICOS LTDA - ME</t>
        </is>
      </c>
      <c r="F2367" s="40" t="n">
        <v>0</v>
      </c>
      <c r="G2367" s="40" t="n">
        <v>0</v>
      </c>
      <c r="H2367" s="40" t="n">
        <v>0</v>
      </c>
      <c r="I2367" s="40" t="n">
        <v>0</v>
      </c>
      <c r="J2367" s="40" t="n">
        <v>0</v>
      </c>
      <c r="K2367" s="40" t="n">
        <v>0</v>
      </c>
      <c r="L2367" s="40" t="n">
        <v>0</v>
      </c>
    </row>
    <row r="2368" ht="12" customHeight="1">
      <c r="A2368" s="30" t="inlineStr">
        <is>
          <t>POR</t>
        </is>
      </c>
      <c r="B2368" s="30" t="inlineStr">
        <is>
          <t>Porto Real</t>
        </is>
      </c>
      <c r="C2368" s="30" t="n">
        <v>87387143</v>
      </c>
      <c r="D2368" s="30">
        <f>"05342379000646"</f>
        <v/>
      </c>
      <c r="E2368" s="30" t="inlineStr">
        <is>
          <t>KM CARGO MULTIMODAL E LOGISTICA LTDA</t>
        </is>
      </c>
      <c r="F2368" s="40" t="n">
        <v>0</v>
      </c>
      <c r="G2368" s="40" t="n">
        <v>0</v>
      </c>
      <c r="H2368" s="40" t="n">
        <v>0</v>
      </c>
      <c r="I2368" s="40" t="n">
        <v>0</v>
      </c>
      <c r="J2368" s="40" t="n">
        <v>0</v>
      </c>
      <c r="K2368" s="40" t="n">
        <v>735.53</v>
      </c>
      <c r="L2368" s="40" t="n">
        <v>4337.49</v>
      </c>
    </row>
    <row r="2369" ht="12" customHeight="1">
      <c r="A2369" s="30" t="inlineStr">
        <is>
          <t>POR</t>
        </is>
      </c>
      <c r="B2369" s="30" t="inlineStr">
        <is>
          <t>Porto Real</t>
        </is>
      </c>
      <c r="C2369" s="30" t="n">
        <v>87391469</v>
      </c>
      <c r="D2369" s="30">
        <f>"28081130000115"</f>
        <v/>
      </c>
      <c r="E2369" s="30" t="inlineStr">
        <is>
          <t>FELISA METAIS EIRELI</t>
        </is>
      </c>
      <c r="F2369" s="40" t="n">
        <v>0</v>
      </c>
      <c r="G2369" s="40" t="n">
        <v>2580706.45</v>
      </c>
      <c r="H2369" s="40" t="n">
        <v>0</v>
      </c>
      <c r="I2369" s="40" t="n">
        <v>1086649.52</v>
      </c>
      <c r="J2369" s="40" t="n">
        <v>2049340.43</v>
      </c>
      <c r="K2369" s="40" t="n">
        <v>0</v>
      </c>
      <c r="L2369" s="40" t="n">
        <v>0</v>
      </c>
    </row>
    <row r="2370" ht="12" customHeight="1">
      <c r="A2370" s="30" t="inlineStr">
        <is>
          <t>POR</t>
        </is>
      </c>
      <c r="B2370" s="30" t="inlineStr">
        <is>
          <t>Porto Real</t>
        </is>
      </c>
      <c r="C2370" s="30" t="n">
        <v>87393038</v>
      </c>
      <c r="D2370" s="30">
        <f>"28072149000103"</f>
        <v/>
      </c>
      <c r="E2370" s="30" t="inlineStr">
        <is>
          <t>TOP FLEX COMERCIO E SERVICOS EIRELI EPP</t>
        </is>
      </c>
      <c r="F2370" s="40" t="n">
        <v>0</v>
      </c>
      <c r="G2370" s="40" t="n">
        <v>0</v>
      </c>
      <c r="H2370" s="40" t="n">
        <v>0</v>
      </c>
      <c r="I2370" s="40" t="n">
        <v>0</v>
      </c>
      <c r="J2370" s="40" t="n">
        <v>0</v>
      </c>
      <c r="K2370" s="40" t="n">
        <v>1535184.1</v>
      </c>
      <c r="L2370" s="40" t="n">
        <v>0</v>
      </c>
    </row>
    <row r="2371" ht="12" customHeight="1">
      <c r="A2371" s="30" t="inlineStr">
        <is>
          <t>POR</t>
        </is>
      </c>
      <c r="B2371" s="30" t="inlineStr">
        <is>
          <t>Porto Real</t>
        </is>
      </c>
      <c r="C2371" s="30" t="n">
        <v>87403246</v>
      </c>
      <c r="D2371" s="30">
        <f>"32492373003996"</f>
        <v/>
      </c>
      <c r="E2371" s="30" t="inlineStr">
        <is>
          <t>TRANSPORTE EXCELSIOR LTDA</t>
        </is>
      </c>
      <c r="F2371" s="40" t="n">
        <v>9355926.18</v>
      </c>
      <c r="G2371" s="40" t="n">
        <v>33509680.74</v>
      </c>
      <c r="H2371" s="40" t="n">
        <v>33219954.98</v>
      </c>
      <c r="I2371" s="40" t="n">
        <v>17870721.04</v>
      </c>
      <c r="J2371" s="40" t="n">
        <v>16823268.97</v>
      </c>
      <c r="K2371" s="40" t="n">
        <v>12279255.45</v>
      </c>
      <c r="L2371" s="40" t="n">
        <v>17388844.67</v>
      </c>
    </row>
    <row r="2372" ht="12" customHeight="1">
      <c r="A2372" s="30" t="inlineStr">
        <is>
          <t>POR</t>
        </is>
      </c>
      <c r="B2372" s="30" t="inlineStr">
        <is>
          <t>Porto Real</t>
        </is>
      </c>
      <c r="C2372" s="30" t="n">
        <v>87426912</v>
      </c>
      <c r="D2372" s="30">
        <f>"07381852002240"</f>
        <v/>
      </c>
      <c r="E2372" s="30" t="inlineStr">
        <is>
          <t>JPS FARMA LIMITADA</t>
        </is>
      </c>
      <c r="F2372" s="40" t="n">
        <v>0</v>
      </c>
      <c r="G2372" s="40" t="n">
        <v>925498.12</v>
      </c>
      <c r="H2372" s="40" t="n">
        <v>1073476.57</v>
      </c>
      <c r="I2372" s="40" t="n">
        <v>1010868.79</v>
      </c>
      <c r="J2372" s="40" t="n">
        <v>701325.8199999999</v>
      </c>
      <c r="K2372" s="40" t="n">
        <v>889448.1</v>
      </c>
      <c r="L2372" s="40" t="n">
        <v>1045389.54</v>
      </c>
    </row>
    <row r="2373" ht="12" customHeight="1">
      <c r="A2373" s="30" t="inlineStr">
        <is>
          <t>POR</t>
        </is>
      </c>
      <c r="B2373" s="30" t="inlineStr">
        <is>
          <t>Porto Real</t>
        </is>
      </c>
      <c r="C2373" s="30" t="n">
        <v>87444490</v>
      </c>
      <c r="D2373" s="30">
        <f>"28772948000184"</f>
        <v/>
      </c>
      <c r="E2373" s="30" t="inlineStr">
        <is>
          <t>FERNANDO F DE VASCONCELLOS COMÉRCIO ATACADISTA DE PRODUTOS DE HIGIENE E LIMPEZA</t>
        </is>
      </c>
      <c r="F2373" s="40" t="n">
        <v>0</v>
      </c>
      <c r="G2373" s="40" t="n">
        <v>0</v>
      </c>
      <c r="H2373" s="40" t="n">
        <v>0</v>
      </c>
      <c r="I2373" s="40" t="n">
        <v>0</v>
      </c>
      <c r="J2373" s="40" t="n">
        <v>0</v>
      </c>
      <c r="K2373" s="40" t="n">
        <v>0</v>
      </c>
      <c r="L2373" s="40" t="n">
        <v>0</v>
      </c>
    </row>
    <row r="2374" ht="12" customHeight="1">
      <c r="A2374" s="30" t="inlineStr">
        <is>
          <t>POR</t>
        </is>
      </c>
      <c r="B2374" s="30" t="inlineStr">
        <is>
          <t>Porto Real</t>
        </is>
      </c>
      <c r="C2374" s="30" t="n">
        <v>87456218</v>
      </c>
      <c r="D2374" s="30">
        <f>"01178298002211"</f>
        <v/>
      </c>
      <c r="E2374" s="30" t="inlineStr">
        <is>
          <t>FAURECIA AUTOMOTIVE DO BRASIL LTDA</t>
        </is>
      </c>
      <c r="F2374" s="40" t="n">
        <v>0</v>
      </c>
      <c r="G2374" s="40" t="n">
        <v>17675418.5</v>
      </c>
      <c r="H2374" s="40" t="n">
        <v>9167758.59</v>
      </c>
      <c r="I2374" s="40" t="n">
        <v>4649947.72</v>
      </c>
      <c r="J2374" s="40" t="n">
        <v>5500116.82</v>
      </c>
      <c r="K2374" s="40" t="n">
        <v>11228289.53</v>
      </c>
      <c r="L2374" s="40" t="n">
        <v>12090190.5</v>
      </c>
    </row>
    <row r="2375" ht="12" customHeight="1">
      <c r="A2375" s="30" t="inlineStr">
        <is>
          <t>POR</t>
        </is>
      </c>
      <c r="B2375" s="30" t="inlineStr">
        <is>
          <t>Porto Real</t>
        </is>
      </c>
      <c r="C2375" s="30" t="n">
        <v>87463737</v>
      </c>
      <c r="D2375" s="30">
        <f>"07973198000481"</f>
        <v/>
      </c>
      <c r="E2375" s="30" t="inlineStr">
        <is>
          <t>EUROLAF VEICULOS ESPECIAIS LTDA</t>
        </is>
      </c>
      <c r="F2375" s="40" t="n">
        <v>0</v>
      </c>
      <c r="G2375" s="40" t="n">
        <v>3281230.67</v>
      </c>
      <c r="H2375" s="40" t="n">
        <v>8193885.93</v>
      </c>
      <c r="I2375" s="40" t="n">
        <v>0</v>
      </c>
      <c r="J2375" s="40" t="n">
        <v>0</v>
      </c>
      <c r="K2375" s="40" t="n">
        <v>0</v>
      </c>
      <c r="L2375" s="40" t="n">
        <v>0</v>
      </c>
    </row>
    <row r="2376" ht="12" customHeight="1">
      <c r="A2376" s="30" t="inlineStr">
        <is>
          <t>POR</t>
        </is>
      </c>
      <c r="B2376" s="30" t="inlineStr">
        <is>
          <t>Porto Real</t>
        </is>
      </c>
      <c r="C2376" s="30" t="n">
        <v>87467708</v>
      </c>
      <c r="D2376" s="30">
        <f>"13786475000288"</f>
        <v/>
      </c>
      <c r="E2376" s="30" t="inlineStr">
        <is>
          <t>TRANS ARISTEU TRANSPORTES RODOVIARIOS LTDA - EPP</t>
        </is>
      </c>
      <c r="F2376" s="40" t="n">
        <v>0</v>
      </c>
      <c r="G2376" s="40" t="n">
        <v>0</v>
      </c>
      <c r="H2376" s="40" t="n">
        <v>0</v>
      </c>
      <c r="I2376" s="40" t="n">
        <v>0</v>
      </c>
      <c r="J2376" s="40" t="n">
        <v>0</v>
      </c>
      <c r="K2376" s="40" t="n">
        <v>0</v>
      </c>
      <c r="L2376" s="40" t="n">
        <v>0</v>
      </c>
    </row>
    <row r="2377" ht="12" customHeight="1">
      <c r="A2377" s="30" t="inlineStr">
        <is>
          <t>POR</t>
        </is>
      </c>
      <c r="B2377" s="30" t="inlineStr">
        <is>
          <t>Porto Real</t>
        </is>
      </c>
      <c r="C2377" s="30" t="n">
        <v>87469662</v>
      </c>
      <c r="D2377" s="30">
        <f>"28660569000100"</f>
        <v/>
      </c>
      <c r="E2377" s="30" t="inlineStr">
        <is>
          <t>T2W LOGISTICA E TRANSPORTES LTDA ME</t>
        </is>
      </c>
      <c r="F2377" s="40" t="n">
        <v>0</v>
      </c>
      <c r="G2377" s="40" t="n">
        <v>0</v>
      </c>
      <c r="H2377" s="40" t="n">
        <v>4291608.51</v>
      </c>
      <c r="I2377" s="40" t="n">
        <v>18469.5</v>
      </c>
      <c r="J2377" s="40" t="n">
        <v>0</v>
      </c>
      <c r="K2377" s="40" t="n">
        <v>0</v>
      </c>
      <c r="L2377" s="40" t="n">
        <v>0</v>
      </c>
    </row>
    <row r="2378" ht="12" customHeight="1">
      <c r="A2378" s="30" t="inlineStr">
        <is>
          <t>POR</t>
        </is>
      </c>
      <c r="B2378" s="30" t="inlineStr">
        <is>
          <t>Porto Real</t>
        </is>
      </c>
      <c r="C2378" s="30" t="n">
        <v>92002420</v>
      </c>
      <c r="D2378" s="30">
        <f>"00497373000110"</f>
        <v/>
      </c>
      <c r="E2378" s="30" t="inlineStr">
        <is>
          <t>SKY SERVICOS DE BANDA LARGA LTDA.</t>
        </is>
      </c>
      <c r="F2378" s="40" t="n">
        <v>519499.55</v>
      </c>
      <c r="G2378" s="40" t="n">
        <v>626450.6800000001</v>
      </c>
      <c r="H2378" s="40" t="n">
        <v>571982.33</v>
      </c>
      <c r="I2378" s="40" t="n">
        <v>514792.55</v>
      </c>
      <c r="J2378" s="40" t="n">
        <v>447808.89</v>
      </c>
      <c r="K2378" s="40" t="n">
        <v>394337.27</v>
      </c>
      <c r="L2378" s="40" t="n">
        <v>340356.17</v>
      </c>
    </row>
    <row r="2379" ht="12" customHeight="1">
      <c r="A2379" s="30" t="inlineStr">
        <is>
          <t>POR</t>
        </is>
      </c>
      <c r="B2379" s="30" t="inlineStr">
        <is>
          <t>Porto Real</t>
        </is>
      </c>
      <c r="C2379" s="30" t="n">
        <v>92006654</v>
      </c>
      <c r="D2379" s="30">
        <f>"72820822000120"</f>
        <v/>
      </c>
      <c r="E2379" s="30" t="inlineStr">
        <is>
          <t>SKY BRASIL SERVICOS LTDA</t>
        </is>
      </c>
      <c r="F2379" s="40" t="n">
        <v>45020.03</v>
      </c>
      <c r="G2379" s="40" t="n">
        <v>0</v>
      </c>
      <c r="H2379" s="40" t="n">
        <v>0</v>
      </c>
      <c r="I2379" s="40" t="n">
        <v>0</v>
      </c>
      <c r="J2379" s="40" t="n">
        <v>0</v>
      </c>
      <c r="K2379" s="40" t="n">
        <v>0</v>
      </c>
      <c r="L2379" s="40" t="n">
        <v>0</v>
      </c>
    </row>
    <row r="2380" ht="12" customHeight="1">
      <c r="A2380" s="30" t="inlineStr">
        <is>
          <t>POR</t>
        </is>
      </c>
      <c r="B2380" s="30" t="inlineStr">
        <is>
          <t>Porto Real</t>
        </is>
      </c>
      <c r="C2380" s="30" t="n">
        <v>92035956</v>
      </c>
      <c r="D2380" s="30">
        <f>"05206385000404"</f>
        <v/>
      </c>
      <c r="E2380" s="30" t="inlineStr">
        <is>
          <t>HUGHES TELECOMUNICACOES DO BRASIL LTDA.</t>
        </is>
      </c>
      <c r="F2380" s="40" t="n">
        <v>11613.22</v>
      </c>
      <c r="G2380" s="40" t="n">
        <v>12700.17</v>
      </c>
      <c r="H2380" s="40" t="n">
        <v>12810.26</v>
      </c>
      <c r="I2380" s="40" t="n">
        <v>9230.879999999999</v>
      </c>
      <c r="J2380" s="40" t="n">
        <v>0</v>
      </c>
      <c r="K2380" s="40" t="n">
        <v>0</v>
      </c>
      <c r="L2380" s="40" t="n">
        <v>0</v>
      </c>
    </row>
    <row r="2381" ht="12" customHeight="1">
      <c r="A2381" s="30" t="inlineStr">
        <is>
          <t>POR</t>
        </is>
      </c>
      <c r="B2381" s="30" t="inlineStr">
        <is>
          <t>Porto Real</t>
        </is>
      </c>
      <c r="C2381" s="30" t="n">
        <v>99199997</v>
      </c>
      <c r="D2381" s="30">
        <f>"42498675000152"</f>
        <v/>
      </c>
      <c r="E2381" s="30" t="inlineStr">
        <is>
          <t>RF 9999 SUPERINTENDENCIA ESTADUAL CADASTRO E INF ECON FISCAIS</t>
        </is>
      </c>
      <c r="F2381" s="40" t="n">
        <v>623699.59</v>
      </c>
      <c r="G2381" s="40" t="n">
        <v>2046919.76</v>
      </c>
      <c r="H2381" s="40" t="n">
        <v>2119690.81</v>
      </c>
      <c r="I2381" s="40" t="n">
        <v>2527277.84</v>
      </c>
      <c r="J2381" s="40" t="n">
        <v>2631273.07</v>
      </c>
      <c r="K2381" s="40" t="n">
        <v>3889569.06</v>
      </c>
      <c r="L2381" s="40" t="n">
        <v>4473459.3</v>
      </c>
    </row>
    <row r="2382" ht="12" customHeight="1">
      <c r="A2382" s="8" t="n"/>
      <c r="B2382" s="8" t="n"/>
      <c r="D2382" s="5">
        <f>SUBTOTAL(103,TB_EvolRazSoc[CPF_CNPJ])</f>
        <v/>
      </c>
      <c r="F2382" s="43">
        <f>SUBTOTAL(109,TB_EvolRazSoc[2017])</f>
        <v/>
      </c>
      <c r="G2382" s="43">
        <f>SUBTOTAL(109,TB_EvolRazSoc[2018])</f>
        <v/>
      </c>
      <c r="H2382" s="43">
        <f>SUBTOTAL(109,TB_EvolRazSoc[2019])</f>
        <v/>
      </c>
      <c r="I2382" s="43">
        <f>SUBTOTAL(109,TB_EvolRazSoc[2020])</f>
        <v/>
      </c>
      <c r="J2382" s="43">
        <f>SUBTOTAL(109,TB_EvolRazSoc[2021])</f>
        <v/>
      </c>
      <c r="K2382" s="43">
        <f>SUBTOTAL(109,TB_EvolRazSoc[2022])</f>
        <v/>
      </c>
      <c r="L2382" s="42">
        <f>SUBTOTAL(109,TB_EvolRazSoc[2023])</f>
        <v/>
      </c>
    </row>
  </sheetData>
  <pageMargins left="0.3937007874015748" right="0" top="0.3937007874015748" bottom="0.1968503937007874" header="0.1968503937007874" footer="0"/>
  <pageSetup orientation="landscape" paperSize="9" scale="63"/>
  <headerFooter>
    <oddHeader>&amp;C&amp;"Arial,Normal"&amp;8 &amp;P / &amp;N</oddHeader>
    <oddFooter/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6"/>
  <sheetViews>
    <sheetView zoomScaleNormal="100" workbookViewId="0">
      <pane ySplit="7" topLeftCell="A8" activePane="bottomLeft" state="frozen"/>
      <selection pane="bottomLeft" activeCell="O5" sqref="O5"/>
    </sheetView>
  </sheetViews>
  <sheetFormatPr baseColWidth="8" defaultRowHeight="12" customHeight="1"/>
  <cols>
    <col width="9.7109375" customWidth="1" style="1" min="1" max="1"/>
    <col width="15.7109375" customWidth="1" style="1" min="2" max="2"/>
    <col width="18.7109375" customWidth="1" style="1" min="3" max="3"/>
    <col width="18.7109375" customWidth="1" style="5" min="4" max="4"/>
    <col width="18.7109375" customWidth="1" style="42" min="5" max="10"/>
    <col width="15.7109375" customWidth="1" style="42" min="11" max="11"/>
    <col width="9.140625" customWidth="1" style="1" min="12" max="175"/>
    <col width="9.140625" customWidth="1" style="1" min="176" max="16384"/>
  </cols>
  <sheetData>
    <row r="1" ht="15" customFormat="1" customHeight="1" s="16">
      <c r="A1" s="33" t="inlineStr">
        <is>
          <t>ANÁLISE DO VALOR ADICIONADO POR MUNICÍPIO</t>
        </is>
      </c>
      <c r="B1" s="33" t="n"/>
      <c r="C1" s="33" t="n"/>
      <c r="D1" s="33" t="n"/>
      <c r="E1" s="33" t="n"/>
      <c r="F1" s="33" t="n"/>
      <c r="G1" s="33" t="n"/>
    </row>
    <row r="2" ht="15" customFormat="1" customHeight="1" s="10">
      <c r="A2" s="34" t="inlineStr">
        <is>
          <t>Gráfico - Município / Evolução Exercício</t>
        </is>
      </c>
      <c r="B2" s="34" t="n"/>
      <c r="C2" s="34" t="n"/>
      <c r="D2" s="34" t="n"/>
      <c r="E2" s="34" t="n"/>
      <c r="F2" s="34" t="n"/>
      <c r="G2" s="34" t="n"/>
    </row>
    <row r="3" ht="15" customHeight="1">
      <c r="A3" s="10" t="inlineStr">
        <is>
          <t>Município - AREAL</t>
        </is>
      </c>
    </row>
    <row r="4" ht="15" customHeight="1">
      <c r="A4" s="5" t="n"/>
    </row>
    <row r="5" ht="15" customHeight="1">
      <c r="A5" s="5" t="n"/>
    </row>
    <row r="6" ht="24" customFormat="1" customHeight="1" s="3">
      <c r="B6" s="12" t="inlineStr">
        <is>
          <t>EXERCÍCIO</t>
        </is>
      </c>
      <c r="C6" s="44">
        <f>TB_EvolRazSoc[[#Headers],[2017]]</f>
        <v/>
      </c>
      <c r="D6" s="44">
        <f>TB_EvolRazSoc[[#Headers],[2018]]</f>
        <v/>
      </c>
      <c r="E6" s="44">
        <f>TB_EvolRazSoc[[#Headers],[2019]]</f>
        <v/>
      </c>
      <c r="F6" s="44">
        <f>TB_EvolRazSoc[[#Headers],[2020]]</f>
        <v/>
      </c>
      <c r="G6" s="44">
        <f>TB_EvolRazSoc[[#Headers],[2021]]</f>
        <v/>
      </c>
      <c r="H6" s="44">
        <f>TB_EvolRazSoc[[#Headers],[2022]]</f>
        <v/>
      </c>
      <c r="I6" s="44">
        <f>TB_EvolRazSoc[[#Headers],[2023]]</f>
        <v/>
      </c>
    </row>
    <row r="7" ht="15" customHeight="1">
      <c r="B7" s="14" t="inlineStr">
        <is>
          <t>VALOR TOTAL</t>
        </is>
      </c>
      <c r="C7" s="45">
        <f>TB_EvolRazSoc[[#Totals],[2017]]</f>
        <v/>
      </c>
      <c r="D7" s="45">
        <f>TB_EvolRazSoc[[#Totals],[2018]]</f>
        <v/>
      </c>
      <c r="E7" s="45">
        <f>TB_EvolRazSoc[[#Totals],[2019]]</f>
        <v/>
      </c>
      <c r="F7" s="45">
        <f>TB_EvolRazSoc[[#Totals],[2020]]</f>
        <v/>
      </c>
      <c r="G7" s="45">
        <f>TB_EvolRazSoc[[#Totals],[2021]]</f>
        <v/>
      </c>
      <c r="H7" s="45">
        <f>TB_EvolRazSoc[[#Totals],[2022]]</f>
        <v/>
      </c>
      <c r="I7" s="45">
        <f>TB_EvolRazSoc[[#Totals],[2023]]</f>
        <v/>
      </c>
      <c r="K7" s="1" t="n"/>
    </row>
    <row r="8" ht="11.25" customHeight="1">
      <c r="D8" s="1" t="n"/>
      <c r="E8" s="1" t="n"/>
      <c r="F8" s="1" t="n"/>
      <c r="G8" s="1" t="n"/>
      <c r="H8" s="1" t="n"/>
      <c r="I8" s="1" t="n"/>
      <c r="J8" s="1" t="n"/>
      <c r="K8" s="1" t="n"/>
    </row>
    <row r="9" ht="11.25" customHeight="1">
      <c r="D9" s="1" t="n"/>
      <c r="E9" s="1" t="n"/>
      <c r="F9" s="1" t="n"/>
      <c r="G9" s="1" t="n"/>
      <c r="H9" s="1" t="n"/>
      <c r="I9" s="1" t="n"/>
      <c r="J9" s="1" t="n"/>
      <c r="K9" s="1" t="n"/>
    </row>
    <row r="10" ht="11.25" customHeight="1">
      <c r="D10" s="1" t="n"/>
      <c r="E10" s="1" t="n"/>
      <c r="F10" s="1" t="n"/>
      <c r="G10" s="1" t="n"/>
      <c r="H10" s="1" t="n"/>
      <c r="I10" s="1" t="n"/>
      <c r="J10" s="1" t="n"/>
      <c r="K10" s="1" t="n"/>
    </row>
    <row r="11" ht="11.25" customHeight="1">
      <c r="D11" s="1" t="n"/>
      <c r="E11" s="1" t="n"/>
      <c r="F11" s="1" t="n"/>
      <c r="G11" s="1" t="n"/>
      <c r="H11" s="1" t="n"/>
      <c r="I11" s="1" t="n"/>
      <c r="J11" s="1" t="n"/>
      <c r="K11" s="1" t="n"/>
    </row>
    <row r="12" ht="11.25" customHeight="1">
      <c r="D12" s="1" t="n"/>
      <c r="E12" s="1" t="n"/>
      <c r="F12" s="1" t="n"/>
      <c r="G12" s="1" t="n"/>
      <c r="H12" s="1" t="n"/>
      <c r="I12" s="1" t="n"/>
      <c r="J12" s="1" t="n"/>
      <c r="K12" s="1" t="n"/>
    </row>
    <row r="13" ht="11.25" customHeight="1">
      <c r="D13" s="1" t="n"/>
      <c r="E13" s="1" t="n"/>
      <c r="F13" s="1" t="n"/>
      <c r="G13" s="1" t="n"/>
      <c r="H13" s="1" t="n"/>
      <c r="I13" s="1" t="n"/>
      <c r="J13" s="1" t="n"/>
      <c r="K13" s="1" t="n"/>
    </row>
    <row r="14" ht="11.25" customHeight="1">
      <c r="D14" s="1" t="n"/>
      <c r="E14" s="1" t="n"/>
      <c r="F14" s="1" t="n"/>
      <c r="G14" s="1" t="n"/>
      <c r="H14" s="1" t="n"/>
      <c r="I14" s="1" t="n"/>
      <c r="J14" s="1" t="n"/>
      <c r="K14" s="1" t="n"/>
    </row>
    <row r="15" ht="11.25" customHeight="1">
      <c r="D15" s="1" t="n"/>
      <c r="E15" s="1" t="n"/>
      <c r="F15" s="1" t="n"/>
      <c r="G15" s="1" t="n"/>
      <c r="H15" s="1" t="n"/>
      <c r="I15" s="1" t="n"/>
      <c r="J15" s="1" t="n"/>
      <c r="K15" s="1" t="n"/>
    </row>
    <row r="16" ht="11.25" customHeight="1">
      <c r="D16" s="1" t="n"/>
      <c r="E16" s="1" t="n"/>
      <c r="F16" s="1" t="n"/>
      <c r="G16" s="1" t="n"/>
      <c r="H16" s="1" t="n"/>
      <c r="I16" s="1" t="n"/>
      <c r="J16" s="1" t="n"/>
      <c r="K16" s="1" t="n"/>
    </row>
    <row r="17" ht="11.25" customFormat="1" customHeight="1" s="1"/>
    <row r="18" ht="11.25" customFormat="1" customHeight="1" s="1"/>
    <row r="19" ht="11.25" customFormat="1" customHeight="1" s="1"/>
    <row r="20" ht="11.25" customFormat="1" customHeight="1" s="1"/>
    <row r="21" ht="11.25" customFormat="1" customHeight="1" s="1"/>
    <row r="22" ht="11.25" customFormat="1" customHeight="1" s="1"/>
    <row r="23" ht="11.25" customFormat="1" customHeight="1" s="1"/>
    <row r="24" ht="11.25" customFormat="1" customHeight="1" s="1"/>
    <row r="25" ht="11.25" customFormat="1" customHeight="1" s="1"/>
    <row r="26" ht="11.25" customFormat="1" customHeight="1" s="1"/>
    <row r="27" ht="11.25" customFormat="1" customHeight="1" s="1"/>
    <row r="28" ht="11.25" customFormat="1" customHeight="1" s="1"/>
    <row r="29" ht="11.25" customFormat="1" customHeight="1" s="1"/>
    <row r="30" ht="11.25" customFormat="1" customHeight="1" s="1"/>
    <row r="31" ht="11.25" customFormat="1" customHeight="1" s="1"/>
    <row r="32" ht="11.25" customFormat="1" customHeight="1" s="1"/>
    <row r="33" ht="11.25" customFormat="1" customHeight="1" s="1"/>
    <row r="34" ht="11.25" customFormat="1" customHeight="1" s="1"/>
    <row r="35" ht="11.25" customFormat="1" customHeight="1" s="1"/>
    <row r="36" ht="11.25" customFormat="1" customHeight="1" s="1"/>
    <row r="37" ht="11.25" customFormat="1" customHeight="1" s="1"/>
    <row r="38" ht="11.25" customFormat="1" customHeight="1" s="1"/>
    <row r="39" ht="11.25" customFormat="1" customHeight="1" s="1"/>
    <row r="40" ht="11.25" customFormat="1" customHeight="1" s="1"/>
    <row r="41" ht="11.25" customFormat="1" customHeight="1" s="1"/>
    <row r="42" ht="11.25" customFormat="1" customHeight="1" s="1"/>
    <row r="43" ht="11.25" customFormat="1" customHeight="1" s="1"/>
    <row r="44" ht="11.25" customFormat="1" customHeight="1" s="1"/>
    <row r="45" ht="11.25" customFormat="1" customHeight="1" s="1"/>
    <row r="46" ht="11.25" customFormat="1" customHeight="1" s="1"/>
    <row r="47" ht="11.25" customFormat="1" customHeight="1" s="1"/>
    <row r="48" ht="11.25" customFormat="1" customHeight="1" s="1"/>
    <row r="49" ht="11.25" customFormat="1" customHeight="1" s="1"/>
    <row r="50" ht="11.25" customFormat="1" customHeight="1" s="1"/>
    <row r="51" ht="11.25" customFormat="1" customHeight="1" s="1"/>
    <row r="52" ht="11.25" customFormat="1" customHeight="1" s="1"/>
    <row r="53" ht="11.25" customFormat="1" customHeight="1" s="1"/>
    <row r="54" ht="11.25" customFormat="1" customHeight="1" s="1"/>
    <row r="55" ht="11.25" customFormat="1" customHeight="1" s="1"/>
    <row r="56" ht="11.25" customFormat="1" customHeight="1" s="1"/>
    <row r="57" ht="11.25" customFormat="1" customHeight="1" s="1"/>
    <row r="58" ht="11.25" customFormat="1" customHeight="1" s="1"/>
    <row r="59" ht="11.25" customFormat="1" customHeight="1" s="1"/>
    <row r="60" ht="11.25" customFormat="1" customHeight="1" s="1"/>
    <row r="61" ht="11.25" customFormat="1" customHeight="1" s="1"/>
    <row r="62" ht="11.25" customFormat="1" customHeight="1" s="1"/>
    <row r="63" ht="11.25" customFormat="1" customHeight="1" s="1"/>
    <row r="64" ht="11.25" customFormat="1" customHeight="1" s="1"/>
    <row r="65" ht="11.25" customFormat="1" customHeight="1" s="1"/>
    <row r="66" ht="11.25" customFormat="1" customHeight="1" s="1"/>
    <row r="67" ht="11.25" customFormat="1" customHeight="1" s="1"/>
    <row r="68" ht="11.25" customFormat="1" customHeight="1" s="1"/>
    <row r="69" ht="11.25" customFormat="1" customHeight="1" s="1"/>
    <row r="70" ht="11.25" customFormat="1" customHeight="1" s="1"/>
    <row r="71" ht="11.25" customFormat="1" customHeight="1" s="1"/>
    <row r="72" ht="11.25" customFormat="1" customHeight="1" s="1"/>
    <row r="73" ht="11.25" customFormat="1" customHeight="1" s="1"/>
    <row r="74" ht="11.25" customFormat="1" customHeight="1" s="1"/>
    <row r="75" ht="11.25" customFormat="1" customHeight="1" s="1"/>
    <row r="76" ht="11.25" customFormat="1" customHeight="1" s="1"/>
    <row r="77" ht="11.25" customFormat="1" customHeight="1" s="1"/>
    <row r="78" ht="11.25" customFormat="1" customHeight="1" s="1"/>
    <row r="79" ht="11.25" customFormat="1" customHeight="1" s="1"/>
    <row r="80" ht="11.25" customFormat="1" customHeight="1" s="1"/>
    <row r="81" ht="11.25" customFormat="1" customHeight="1" s="1"/>
    <row r="82" ht="11.25" customFormat="1" customHeight="1" s="1"/>
    <row r="83" ht="11.25" customFormat="1" customHeight="1" s="1"/>
    <row r="84" ht="11.25" customFormat="1" customHeight="1" s="1"/>
    <row r="85" ht="11.25" customFormat="1" customHeight="1" s="1"/>
    <row r="86" ht="11.25" customFormat="1" customHeight="1" s="1"/>
    <row r="87" ht="11.25" customFormat="1" customHeight="1" s="1"/>
    <row r="88" ht="11.25" customFormat="1" customHeight="1" s="1"/>
    <row r="89" ht="11.25" customFormat="1" customHeight="1" s="1"/>
    <row r="90" ht="11.25" customFormat="1" customHeight="1" s="1"/>
    <row r="91" ht="11.25" customFormat="1" customHeight="1" s="1"/>
    <row r="92" ht="11.25" customFormat="1" customHeight="1" s="1"/>
    <row r="93" ht="11.25" customFormat="1" customHeight="1" s="1"/>
    <row r="94" ht="11.25" customFormat="1" customHeight="1" s="1"/>
    <row r="95" ht="11.25" customFormat="1" customHeight="1" s="1"/>
    <row r="96" ht="11.25" customFormat="1" customHeight="1" s="1"/>
    <row r="97" ht="11.25" customFormat="1" customHeight="1" s="1"/>
    <row r="98" ht="11.25" customFormat="1" customHeight="1" s="1"/>
    <row r="99" ht="11.25" customFormat="1" customHeight="1" s="1"/>
    <row r="100" ht="11.25" customFormat="1" customHeight="1" s="1"/>
    <row r="101" ht="11.25" customFormat="1" customHeight="1" s="1"/>
    <row r="102" ht="11.25" customFormat="1" customHeight="1" s="1"/>
    <row r="103" ht="11.25" customFormat="1" customHeight="1" s="1"/>
    <row r="104" ht="11.25" customFormat="1" customHeight="1" s="1"/>
    <row r="105" ht="11.25" customFormat="1" customHeight="1" s="1"/>
    <row r="106" ht="11.25" customFormat="1" customHeight="1" s="1"/>
    <row r="107" ht="11.25" customFormat="1" customHeight="1" s="1"/>
    <row r="108" ht="11.25" customFormat="1" customHeight="1" s="1"/>
    <row r="109" ht="11.25" customFormat="1" customHeight="1" s="1"/>
    <row r="110" ht="11.25" customFormat="1" customHeight="1" s="1"/>
    <row r="111" ht="11.25" customFormat="1" customHeight="1" s="1"/>
    <row r="112" ht="11.25" customFormat="1" customHeight="1" s="1"/>
    <row r="113" ht="11.25" customFormat="1" customHeight="1" s="1"/>
    <row r="114" ht="11.25" customFormat="1" customHeight="1" s="1"/>
    <row r="115" ht="11.25" customFormat="1" customHeight="1" s="1"/>
    <row r="116" ht="11.25" customFormat="1" customHeight="1" s="1"/>
    <row r="117" ht="11.25" customFormat="1" customHeight="1" s="1"/>
    <row r="118" ht="11.25" customFormat="1" customHeight="1" s="1"/>
    <row r="119" ht="11.25" customFormat="1" customHeight="1" s="1"/>
    <row r="120" ht="11.25" customFormat="1" customHeight="1" s="1"/>
    <row r="121" ht="11.25" customFormat="1" customHeight="1" s="1"/>
    <row r="122" ht="11.25" customFormat="1" customHeight="1" s="1"/>
    <row r="123" ht="11.25" customFormat="1" customHeight="1" s="1"/>
    <row r="124" ht="11.25" customFormat="1" customHeight="1" s="1"/>
    <row r="125" ht="11.25" customFormat="1" customHeight="1" s="1"/>
    <row r="126" ht="11.25" customFormat="1" customHeight="1" s="1"/>
    <row r="127" ht="11.25" customFormat="1" customHeight="1" s="1"/>
    <row r="128" ht="11.25" customFormat="1" customHeight="1" s="1"/>
    <row r="129" ht="11.25" customFormat="1" customHeight="1" s="1"/>
    <row r="130" ht="11.25" customFormat="1" customHeight="1" s="1"/>
    <row r="131" ht="11.25" customFormat="1" customHeight="1" s="1"/>
    <row r="132" ht="11.25" customFormat="1" customHeight="1" s="1"/>
    <row r="133" ht="11.25" customFormat="1" customHeight="1" s="1"/>
    <row r="134" ht="11.25" customFormat="1" customHeight="1" s="1"/>
    <row r="135" ht="11.25" customFormat="1" customHeight="1" s="1"/>
    <row r="136" ht="11.25" customFormat="1" customHeight="1" s="1"/>
    <row r="137" ht="11.25" customFormat="1" customHeight="1" s="1"/>
    <row r="138" ht="11.25" customFormat="1" customHeight="1" s="1"/>
    <row r="139" ht="11.25" customFormat="1" customHeight="1" s="1"/>
    <row r="140" ht="11.25" customFormat="1" customHeight="1" s="1"/>
    <row r="141" ht="11.25" customFormat="1" customHeight="1" s="1"/>
    <row r="142" ht="11.25" customFormat="1" customHeight="1" s="1"/>
    <row r="143" ht="11.25" customFormat="1" customHeight="1" s="1"/>
    <row r="144" ht="11.25" customFormat="1" customHeight="1" s="1"/>
    <row r="145" ht="11.25" customFormat="1" customHeight="1" s="1"/>
    <row r="146" ht="11.25" customFormat="1" customHeight="1" s="1"/>
    <row r="147" ht="11.25" customFormat="1" customHeight="1" s="1"/>
    <row r="148" ht="11.25" customFormat="1" customHeight="1" s="1"/>
    <row r="149" ht="11.25" customFormat="1" customHeight="1" s="1"/>
    <row r="150" ht="11.25" customFormat="1" customHeight="1" s="1"/>
    <row r="151" ht="11.25" customFormat="1" customHeight="1" s="1"/>
    <row r="152" ht="11.25" customFormat="1" customHeight="1" s="1"/>
    <row r="153" ht="11.25" customFormat="1" customHeight="1" s="1"/>
    <row r="154" ht="11.25" customFormat="1" customHeight="1" s="1"/>
    <row r="155" ht="11.25" customFormat="1" customHeight="1" s="1"/>
    <row r="156" ht="11.25" customFormat="1" customHeight="1" s="1"/>
    <row r="157" ht="11.25" customFormat="1" customHeight="1" s="1"/>
    <row r="158" ht="11.25" customFormat="1" customHeight="1" s="1"/>
    <row r="159" ht="11.25" customFormat="1" customHeight="1" s="1"/>
    <row r="160" ht="11.25" customFormat="1" customHeight="1" s="1"/>
    <row r="161" ht="11.25" customFormat="1" customHeight="1" s="1"/>
    <row r="162" ht="11.25" customFormat="1" customHeight="1" s="1"/>
    <row r="163" ht="11.25" customFormat="1" customHeight="1" s="1"/>
    <row r="164" ht="11.25" customFormat="1" customHeight="1" s="1"/>
    <row r="165" ht="11.25" customFormat="1" customHeight="1" s="1"/>
    <row r="166" ht="11.25" customFormat="1" customHeight="1" s="1"/>
    <row r="167" ht="11.25" customFormat="1" customHeight="1" s="1"/>
    <row r="168" ht="11.25" customFormat="1" customHeight="1" s="1"/>
    <row r="169" ht="11.25" customFormat="1" customHeight="1" s="1"/>
    <row r="170" ht="11.25" customFormat="1" customHeight="1" s="1"/>
    <row r="171" ht="11.25" customFormat="1" customHeight="1" s="1"/>
    <row r="172" ht="11.25" customFormat="1" customHeight="1" s="1"/>
    <row r="173" ht="11.25" customFormat="1" customHeight="1" s="1"/>
    <row r="174" ht="11.25" customFormat="1" customHeight="1" s="1"/>
    <row r="175" ht="11.25" customFormat="1" customHeight="1" s="1"/>
    <row r="176" ht="11.25" customFormat="1" customHeight="1" s="1"/>
    <row r="177" ht="11.25" customFormat="1" customHeight="1" s="1"/>
    <row r="178" ht="11.25" customFormat="1" customHeight="1" s="1"/>
    <row r="179" ht="11.25" customFormat="1" customHeight="1" s="1"/>
    <row r="180" ht="11.25" customFormat="1" customHeight="1" s="1"/>
    <row r="181" ht="11.25" customFormat="1" customHeight="1" s="1"/>
    <row r="182" ht="11.25" customFormat="1" customHeight="1" s="1"/>
    <row r="183" ht="11.25" customFormat="1" customHeight="1" s="1"/>
    <row r="184" ht="11.25" customFormat="1" customHeight="1" s="1"/>
    <row r="185" ht="11.25" customFormat="1" customHeight="1" s="1"/>
    <row r="186" ht="11.25" customFormat="1" customHeight="1" s="1"/>
    <row r="187" ht="11.25" customFormat="1" customHeight="1" s="1"/>
    <row r="188" ht="11.25" customFormat="1" customHeight="1" s="1"/>
    <row r="189" ht="11.25" customFormat="1" customHeight="1" s="1"/>
    <row r="190" ht="11.25" customFormat="1" customHeight="1" s="1"/>
    <row r="191" ht="11.25" customFormat="1" customHeight="1" s="1"/>
    <row r="192" ht="11.25" customFormat="1" customHeight="1" s="1"/>
    <row r="193" ht="11.25" customFormat="1" customHeight="1" s="1"/>
    <row r="194" ht="11.25" customFormat="1" customHeight="1" s="1"/>
    <row r="195" ht="11.25" customFormat="1" customHeight="1" s="1"/>
    <row r="196" ht="11.25" customFormat="1" customHeight="1" s="1"/>
    <row r="197" ht="11.25" customFormat="1" customHeight="1" s="1"/>
    <row r="198" ht="11.25" customFormat="1" customHeight="1" s="1"/>
    <row r="199" ht="11.25" customFormat="1" customHeight="1" s="1"/>
    <row r="200" ht="11.25" customFormat="1" customHeight="1" s="1"/>
    <row r="201" ht="11.25" customFormat="1" customHeight="1" s="1"/>
    <row r="202" ht="11.25" customFormat="1" customHeight="1" s="1"/>
    <row r="203" ht="11.25" customFormat="1" customHeight="1" s="1"/>
    <row r="204" ht="11.25" customFormat="1" customHeight="1" s="1"/>
    <row r="205" ht="11.25" customFormat="1" customHeight="1" s="1"/>
    <row r="206" ht="11.25" customFormat="1" customHeight="1" s="1"/>
    <row r="207" ht="11.25" customFormat="1" customHeight="1" s="1"/>
    <row r="208" ht="11.25" customFormat="1" customHeight="1" s="1"/>
    <row r="209" ht="11.25" customFormat="1" customHeight="1" s="1"/>
    <row r="210" ht="11.25" customFormat="1" customHeight="1" s="1"/>
    <row r="211" ht="11.25" customFormat="1" customHeight="1" s="1"/>
    <row r="212" ht="11.25" customFormat="1" customHeight="1" s="1"/>
    <row r="213" ht="11.25" customFormat="1" customHeight="1" s="1"/>
    <row r="214" ht="11.25" customFormat="1" customHeight="1" s="1"/>
    <row r="215" ht="11.25" customFormat="1" customHeight="1" s="1"/>
    <row r="216" ht="11.25" customFormat="1" customHeight="1" s="1"/>
    <row r="217" ht="11.25" customFormat="1" customHeight="1" s="1"/>
    <row r="218" ht="11.25" customFormat="1" customHeight="1" s="1"/>
    <row r="219" ht="11.25" customFormat="1" customHeight="1" s="1"/>
    <row r="220" ht="11.25" customFormat="1" customHeight="1" s="1"/>
    <row r="221" ht="11.25" customFormat="1" customHeight="1" s="1"/>
    <row r="222" ht="11.25" customFormat="1" customHeight="1" s="1"/>
    <row r="223" ht="11.25" customFormat="1" customHeight="1" s="1"/>
    <row r="224" ht="11.25" customFormat="1" customHeight="1" s="1"/>
    <row r="225" ht="11.25" customFormat="1" customHeight="1" s="1"/>
    <row r="226" ht="11.25" customFormat="1" customHeight="1" s="1"/>
    <row r="227" ht="11.25" customFormat="1" customHeight="1" s="1"/>
    <row r="228" ht="11.25" customFormat="1" customHeight="1" s="1"/>
    <row r="229" ht="11.25" customFormat="1" customHeight="1" s="1"/>
    <row r="230" ht="11.25" customFormat="1" customHeight="1" s="1"/>
    <row r="231" ht="11.25" customFormat="1" customHeight="1" s="1"/>
    <row r="232" ht="11.25" customFormat="1" customHeight="1" s="1"/>
    <row r="233" ht="11.25" customFormat="1" customHeight="1" s="1"/>
    <row r="234" ht="11.25" customFormat="1" customHeight="1" s="1"/>
    <row r="235" ht="11.25" customFormat="1" customHeight="1" s="1"/>
    <row r="236" ht="11.25" customFormat="1" customHeight="1" s="1"/>
    <row r="237" ht="11.25" customFormat="1" customHeight="1" s="1"/>
    <row r="238" ht="11.25" customFormat="1" customHeight="1" s="1"/>
    <row r="239" ht="11.25" customFormat="1" customHeight="1" s="1"/>
    <row r="240" ht="11.25" customFormat="1" customHeight="1" s="1"/>
    <row r="241" ht="11.25" customFormat="1" customHeight="1" s="1"/>
    <row r="242" ht="11.25" customFormat="1" customHeight="1" s="1"/>
    <row r="243" ht="11.25" customFormat="1" customHeight="1" s="1"/>
    <row r="244" ht="11.25" customFormat="1" customHeight="1" s="1"/>
    <row r="245" ht="11.25" customFormat="1" customHeight="1" s="1"/>
    <row r="246" ht="11.25" customFormat="1" customHeight="1" s="1"/>
    <row r="247" ht="11.25" customFormat="1" customHeight="1" s="1"/>
    <row r="248" ht="11.25" customFormat="1" customHeight="1" s="1"/>
    <row r="249" ht="11.25" customFormat="1" customHeight="1" s="1"/>
    <row r="250" ht="11.25" customFormat="1" customHeight="1" s="1"/>
    <row r="251" ht="11.25" customFormat="1" customHeight="1" s="1"/>
    <row r="252" ht="11.25" customFormat="1" customHeight="1" s="1"/>
    <row r="253" ht="11.25" customFormat="1" customHeight="1" s="1"/>
    <row r="254" ht="11.25" customFormat="1" customHeight="1" s="1"/>
    <row r="255" ht="11.25" customFormat="1" customHeight="1" s="1"/>
    <row r="256" ht="11.25" customFormat="1" customHeight="1" s="1"/>
    <row r="257" ht="11.25" customFormat="1" customHeight="1" s="1"/>
    <row r="258" ht="11.25" customFormat="1" customHeight="1" s="1"/>
    <row r="259" ht="11.25" customFormat="1" customHeight="1" s="1"/>
    <row r="260" ht="11.25" customFormat="1" customHeight="1" s="1"/>
    <row r="261" ht="11.25" customFormat="1" customHeight="1" s="1"/>
    <row r="262" ht="11.25" customFormat="1" customHeight="1" s="1"/>
    <row r="263" ht="11.25" customFormat="1" customHeight="1" s="1"/>
    <row r="264" ht="11.25" customFormat="1" customHeight="1" s="1"/>
    <row r="265" ht="11.25" customFormat="1" customHeight="1" s="1"/>
    <row r="266" ht="11.25" customFormat="1" customHeight="1" s="1"/>
    <row r="267" ht="11.25" customFormat="1" customHeight="1" s="1"/>
    <row r="268" ht="11.25" customFormat="1" customHeight="1" s="1"/>
    <row r="269" ht="11.25" customFormat="1" customHeight="1" s="1"/>
    <row r="270" ht="11.25" customFormat="1" customHeight="1" s="1"/>
    <row r="271" ht="11.25" customFormat="1" customHeight="1" s="1"/>
    <row r="272" ht="11.25" customFormat="1" customHeight="1" s="1"/>
    <row r="273" ht="11.25" customFormat="1" customHeight="1" s="1"/>
    <row r="274" ht="11.25" customFormat="1" customHeight="1" s="1"/>
    <row r="275" ht="11.25" customFormat="1" customHeight="1" s="1"/>
    <row r="276" ht="11.25" customFormat="1" customHeight="1" s="1"/>
    <row r="277" ht="11.25" customFormat="1" customHeight="1" s="1"/>
    <row r="278" ht="11.25" customFormat="1" customHeight="1" s="1"/>
    <row r="279" ht="11.25" customFormat="1" customHeight="1" s="1"/>
    <row r="280" ht="11.25" customFormat="1" customHeight="1" s="1"/>
    <row r="281" ht="11.25" customFormat="1" customHeight="1" s="1"/>
    <row r="282" ht="11.25" customFormat="1" customHeight="1" s="1"/>
    <row r="283" ht="11.25" customFormat="1" customHeight="1" s="1"/>
    <row r="284" ht="11.25" customFormat="1" customHeight="1" s="1"/>
    <row r="285" ht="11.25" customFormat="1" customHeight="1" s="1"/>
    <row r="286" ht="11.25" customFormat="1" customHeight="1" s="1"/>
    <row r="287" ht="11.25" customFormat="1" customHeight="1" s="1"/>
    <row r="288" ht="11.25" customFormat="1" customHeight="1" s="1"/>
    <row r="289" ht="11.25" customFormat="1" customHeight="1" s="1"/>
    <row r="290" ht="11.25" customFormat="1" customHeight="1" s="1"/>
    <row r="291" ht="11.25" customFormat="1" customHeight="1" s="1"/>
    <row r="292" ht="11.25" customFormat="1" customHeight="1" s="1"/>
    <row r="293" ht="11.25" customFormat="1" customHeight="1" s="1"/>
    <row r="294" ht="11.25" customFormat="1" customHeight="1" s="1"/>
    <row r="295" ht="11.25" customFormat="1" customHeight="1" s="1"/>
    <row r="296" ht="11.25" customFormat="1" customHeight="1" s="1"/>
    <row r="297" ht="11.25" customFormat="1" customHeight="1" s="1"/>
    <row r="298" ht="11.25" customFormat="1" customHeight="1" s="1"/>
    <row r="299" ht="11.25" customFormat="1" customHeight="1" s="1"/>
    <row r="300" ht="11.25" customFormat="1" customHeight="1" s="1"/>
    <row r="301" ht="11.25" customFormat="1" customHeight="1" s="1"/>
    <row r="302" ht="11.25" customFormat="1" customHeight="1" s="1"/>
    <row r="303" ht="11.25" customFormat="1" customHeight="1" s="1"/>
    <row r="304" ht="11.25" customFormat="1" customHeight="1" s="1"/>
    <row r="305" ht="11.25" customFormat="1" customHeight="1" s="1"/>
    <row r="306" ht="11.25" customFormat="1" customHeight="1" s="1"/>
    <row r="307" ht="11.25" customFormat="1" customHeight="1" s="1"/>
    <row r="308" ht="11.25" customFormat="1" customHeight="1" s="1"/>
    <row r="309" ht="11.25" customFormat="1" customHeight="1" s="1"/>
    <row r="310" ht="11.25" customFormat="1" customHeight="1" s="1"/>
    <row r="311" ht="11.25" customFormat="1" customHeight="1" s="1"/>
    <row r="312" ht="11.25" customFormat="1" customHeight="1" s="1"/>
    <row r="313" ht="11.25" customFormat="1" customHeight="1" s="1"/>
    <row r="314" ht="11.25" customFormat="1" customHeight="1" s="1"/>
    <row r="315" ht="11.25" customFormat="1" customHeight="1" s="1"/>
    <row r="316" ht="11.25" customFormat="1" customHeight="1" s="1"/>
    <row r="317" ht="11.25" customFormat="1" customHeight="1" s="1"/>
    <row r="318" ht="11.25" customFormat="1" customHeight="1" s="1"/>
    <row r="319" ht="11.25" customFormat="1" customHeight="1" s="1"/>
    <row r="320" ht="11.25" customFormat="1" customHeight="1" s="1"/>
    <row r="321" ht="11.25" customFormat="1" customHeight="1" s="1"/>
    <row r="322" ht="11.25" customFormat="1" customHeight="1" s="1"/>
    <row r="323" ht="11.25" customFormat="1" customHeight="1" s="1"/>
    <row r="324" ht="11.25" customFormat="1" customHeight="1" s="1"/>
    <row r="325" ht="11.25" customFormat="1" customHeight="1" s="1"/>
    <row r="326" ht="11.25" customFormat="1" customHeight="1" s="1"/>
    <row r="327" ht="11.25" customFormat="1" customHeight="1" s="1"/>
    <row r="328" ht="11.25" customFormat="1" customHeight="1" s="1"/>
    <row r="329" ht="11.25" customFormat="1" customHeight="1" s="1"/>
    <row r="330" ht="11.25" customFormat="1" customHeight="1" s="1"/>
    <row r="331" ht="11.25" customFormat="1" customHeight="1" s="1"/>
    <row r="332" ht="11.25" customFormat="1" customHeight="1" s="1"/>
    <row r="333" ht="11.25" customFormat="1" customHeight="1" s="1"/>
    <row r="334" ht="11.25" customFormat="1" customHeight="1" s="1"/>
    <row r="335" ht="11.25" customFormat="1" customHeight="1" s="1"/>
    <row r="336" ht="11.25" customFormat="1" customHeight="1" s="1"/>
    <row r="337" ht="11.25" customFormat="1" customHeight="1" s="1"/>
    <row r="338" ht="11.25" customFormat="1" customHeight="1" s="1"/>
    <row r="339" ht="11.25" customFormat="1" customHeight="1" s="1"/>
    <row r="340" ht="11.25" customFormat="1" customHeight="1" s="1"/>
    <row r="341" ht="11.25" customFormat="1" customHeight="1" s="1"/>
    <row r="342" ht="11.25" customFormat="1" customHeight="1" s="1"/>
    <row r="343" ht="11.25" customFormat="1" customHeight="1" s="1"/>
    <row r="344" ht="11.25" customFormat="1" customHeight="1" s="1"/>
    <row r="345" ht="11.25" customFormat="1" customHeight="1" s="1"/>
    <row r="346" ht="11.25" customFormat="1" customHeight="1" s="1"/>
    <row r="347" ht="11.25" customFormat="1" customHeight="1" s="1"/>
    <row r="348" ht="11.25" customFormat="1" customHeight="1" s="1"/>
    <row r="349" ht="11.25" customFormat="1" customHeight="1" s="1"/>
    <row r="350" ht="11.25" customFormat="1" customHeight="1" s="1"/>
    <row r="351" ht="11.25" customFormat="1" customHeight="1" s="1"/>
    <row r="352" ht="11.25" customFormat="1" customHeight="1" s="1"/>
    <row r="353" ht="11.25" customFormat="1" customHeight="1" s="1"/>
    <row r="354" ht="11.25" customFormat="1" customHeight="1" s="1"/>
    <row r="355" ht="11.25" customFormat="1" customHeight="1" s="1"/>
    <row r="356" ht="11.25" customFormat="1" customHeight="1" s="1"/>
    <row r="357" ht="11.25" customFormat="1" customHeight="1" s="1"/>
    <row r="358" ht="11.25" customFormat="1" customHeight="1" s="1"/>
    <row r="359" ht="11.25" customFormat="1" customHeight="1" s="1"/>
    <row r="360" ht="11.25" customFormat="1" customHeight="1" s="1"/>
    <row r="361" ht="11.25" customFormat="1" customHeight="1" s="1"/>
    <row r="362" ht="11.25" customFormat="1" customHeight="1" s="1"/>
    <row r="363" ht="11.25" customFormat="1" customHeight="1" s="1"/>
    <row r="364" ht="11.25" customFormat="1" customHeight="1" s="1"/>
    <row r="365" ht="11.25" customFormat="1" customHeight="1" s="1"/>
    <row r="366" ht="11.25" customFormat="1" customHeight="1" s="1"/>
    <row r="367" ht="11.25" customFormat="1" customHeight="1" s="1"/>
    <row r="368" ht="11.25" customFormat="1" customHeight="1" s="1"/>
    <row r="369" ht="11.25" customFormat="1" customHeight="1" s="1"/>
    <row r="370" ht="11.25" customFormat="1" customHeight="1" s="1"/>
    <row r="371" ht="11.25" customFormat="1" customHeight="1" s="1"/>
    <row r="372" ht="11.25" customFormat="1" customHeight="1" s="1"/>
    <row r="373" ht="11.25" customFormat="1" customHeight="1" s="1"/>
    <row r="374" ht="11.25" customFormat="1" customHeight="1" s="1"/>
    <row r="375" ht="11.25" customFormat="1" customHeight="1" s="1"/>
    <row r="376" ht="11.25" customFormat="1" customHeight="1" s="1"/>
    <row r="377" ht="11.25" customFormat="1" customHeight="1" s="1"/>
    <row r="378" ht="11.25" customFormat="1" customHeight="1" s="1"/>
    <row r="379" ht="11.25" customFormat="1" customHeight="1" s="1"/>
    <row r="380" ht="11.25" customFormat="1" customHeight="1" s="1"/>
    <row r="381" ht="11.25" customFormat="1" customHeight="1" s="1"/>
    <row r="382" ht="11.25" customFormat="1" customHeight="1" s="1"/>
    <row r="383" ht="11.25" customFormat="1" customHeight="1" s="1"/>
    <row r="384" ht="11.25" customFormat="1" customHeight="1" s="1"/>
    <row r="385" ht="11.25" customFormat="1" customHeight="1" s="1"/>
    <row r="386" ht="11.25" customFormat="1" customHeight="1" s="1"/>
    <row r="387" ht="11.25" customFormat="1" customHeight="1" s="1"/>
    <row r="388" ht="11.25" customFormat="1" customHeight="1" s="1"/>
    <row r="389" ht="11.25" customFormat="1" customHeight="1" s="1"/>
    <row r="390" ht="11.25" customFormat="1" customHeight="1" s="1"/>
    <row r="391" ht="11.25" customFormat="1" customHeight="1" s="1"/>
    <row r="392" ht="11.25" customFormat="1" customHeight="1" s="1"/>
    <row r="393" ht="11.25" customFormat="1" customHeight="1" s="1"/>
    <row r="394" ht="11.25" customFormat="1" customHeight="1" s="1"/>
    <row r="395" ht="11.25" customFormat="1" customHeight="1" s="1"/>
    <row r="396" ht="11.25" customFormat="1" customHeight="1" s="1"/>
    <row r="397" ht="11.25" customFormat="1" customHeight="1" s="1"/>
    <row r="398" ht="11.25" customFormat="1" customHeight="1" s="1"/>
    <row r="399" ht="11.25" customFormat="1" customHeight="1" s="1"/>
    <row r="400" ht="11.25" customFormat="1" customHeight="1" s="1"/>
    <row r="401" ht="11.25" customFormat="1" customHeight="1" s="1"/>
    <row r="402" ht="11.25" customFormat="1" customHeight="1" s="1"/>
    <row r="403" ht="11.25" customFormat="1" customHeight="1" s="1"/>
    <row r="404" ht="11.25" customFormat="1" customHeight="1" s="1"/>
    <row r="405" ht="11.25" customFormat="1" customHeight="1" s="1"/>
    <row r="406" ht="11.25" customFormat="1" customHeight="1" s="1"/>
    <row r="407" ht="11.25" customFormat="1" customHeight="1" s="1"/>
    <row r="408" ht="11.25" customFormat="1" customHeight="1" s="1"/>
    <row r="409" ht="11.25" customFormat="1" customHeight="1" s="1"/>
    <row r="410" ht="11.25" customFormat="1" customHeight="1" s="1"/>
    <row r="411" ht="11.25" customFormat="1" customHeight="1" s="1"/>
    <row r="412" ht="11.25" customFormat="1" customHeight="1" s="1"/>
    <row r="413" ht="11.25" customFormat="1" customHeight="1" s="1"/>
    <row r="414" ht="11.25" customFormat="1" customHeight="1" s="1"/>
    <row r="415" ht="11.25" customFormat="1" customHeight="1" s="1"/>
    <row r="416" ht="11.25" customFormat="1" customHeight="1" s="1"/>
    <row r="417" ht="11.25" customFormat="1" customHeight="1" s="1"/>
    <row r="418" ht="11.25" customFormat="1" customHeight="1" s="1"/>
    <row r="419" ht="11.25" customFormat="1" customHeight="1" s="1"/>
    <row r="420" ht="11.25" customFormat="1" customHeight="1" s="1"/>
    <row r="421" ht="11.25" customFormat="1" customHeight="1" s="1"/>
    <row r="422" ht="11.25" customFormat="1" customHeight="1" s="1"/>
    <row r="423" ht="11.25" customFormat="1" customHeight="1" s="1"/>
    <row r="424" ht="11.25" customFormat="1" customHeight="1" s="1"/>
    <row r="425" ht="11.25" customFormat="1" customHeight="1" s="1"/>
    <row r="426" ht="11.25" customFormat="1" customHeight="1" s="1"/>
    <row r="427" ht="11.25" customFormat="1" customHeight="1" s="1"/>
    <row r="428" ht="11.25" customFormat="1" customHeight="1" s="1"/>
    <row r="429" ht="11.25" customFormat="1" customHeight="1" s="1"/>
    <row r="430" ht="11.25" customFormat="1" customHeight="1" s="1"/>
    <row r="431" ht="11.25" customFormat="1" customHeight="1" s="1"/>
    <row r="432" ht="11.25" customFormat="1" customHeight="1" s="1"/>
    <row r="433" ht="11.25" customFormat="1" customHeight="1" s="1"/>
    <row r="434" ht="11.25" customFormat="1" customHeight="1" s="1"/>
    <row r="435" ht="11.25" customFormat="1" customHeight="1" s="1"/>
    <row r="436" ht="11.25" customFormat="1" customHeight="1" s="1"/>
    <row r="437" ht="11.25" customFormat="1" customHeight="1" s="1"/>
    <row r="438" ht="11.25" customFormat="1" customHeight="1" s="1"/>
    <row r="439" ht="11.25" customFormat="1" customHeight="1" s="1"/>
    <row r="440" ht="11.25" customFormat="1" customHeight="1" s="1"/>
    <row r="441" ht="11.25" customFormat="1" customHeight="1" s="1"/>
    <row r="442" ht="11.25" customFormat="1" customHeight="1" s="1"/>
    <row r="443" ht="11.25" customFormat="1" customHeight="1" s="1"/>
    <row r="444" ht="11.25" customFormat="1" customHeight="1" s="1"/>
    <row r="445" ht="11.25" customFormat="1" customHeight="1" s="1"/>
    <row r="446" ht="11.25" customFormat="1" customHeight="1" s="1"/>
    <row r="447" ht="11.25" customFormat="1" customHeight="1" s="1"/>
    <row r="448" ht="11.25" customFormat="1" customHeight="1" s="1"/>
    <row r="449" ht="11.25" customFormat="1" customHeight="1" s="1"/>
    <row r="450" ht="11.25" customFormat="1" customHeight="1" s="1"/>
    <row r="451" ht="11.25" customFormat="1" customHeight="1" s="1"/>
    <row r="452" ht="11.25" customFormat="1" customHeight="1" s="1"/>
    <row r="453" ht="11.25" customFormat="1" customHeight="1" s="1"/>
    <row r="454" ht="11.25" customFormat="1" customHeight="1" s="1"/>
    <row r="455" ht="11.25" customFormat="1" customHeight="1" s="1"/>
    <row r="456" ht="11.25" customFormat="1" customHeight="1" s="1"/>
    <row r="457" ht="11.25" customFormat="1" customHeight="1" s="1"/>
    <row r="458" ht="11.25" customFormat="1" customHeight="1" s="1"/>
    <row r="459" ht="11.25" customFormat="1" customHeight="1" s="1"/>
    <row r="460" ht="11.25" customFormat="1" customHeight="1" s="1"/>
    <row r="461" ht="11.25" customFormat="1" customHeight="1" s="1"/>
    <row r="462" ht="11.25" customFormat="1" customHeight="1" s="1"/>
    <row r="463" ht="11.25" customFormat="1" customHeight="1" s="1"/>
    <row r="464" ht="11.25" customFormat="1" customHeight="1" s="1"/>
    <row r="465" ht="11.25" customFormat="1" customHeight="1" s="1"/>
    <row r="466" ht="11.25" customFormat="1" customHeight="1" s="1"/>
    <row r="467" ht="11.25" customFormat="1" customHeight="1" s="1"/>
    <row r="468" ht="11.25" customFormat="1" customHeight="1" s="1"/>
    <row r="469" ht="11.25" customFormat="1" customHeight="1" s="1"/>
    <row r="470" ht="11.25" customFormat="1" customHeight="1" s="1"/>
    <row r="471" ht="11.25" customFormat="1" customHeight="1" s="1"/>
    <row r="472" ht="11.25" customFormat="1" customHeight="1" s="1"/>
    <row r="473" ht="11.25" customFormat="1" customHeight="1" s="1"/>
    <row r="474" ht="11.25" customFormat="1" customHeight="1" s="1"/>
    <row r="475" ht="11.25" customFormat="1" customHeight="1" s="1"/>
    <row r="476" ht="11.25" customFormat="1" customHeight="1" s="1"/>
    <row r="477" ht="11.25" customFormat="1" customHeight="1" s="1"/>
    <row r="478" ht="11.25" customFormat="1" customHeight="1" s="1"/>
    <row r="479" ht="11.25" customFormat="1" customHeight="1" s="1"/>
    <row r="480" ht="11.25" customFormat="1" customHeight="1" s="1"/>
    <row r="481" ht="11.25" customFormat="1" customHeight="1" s="1"/>
    <row r="482" ht="11.25" customFormat="1" customHeight="1" s="1"/>
    <row r="483" ht="11.25" customFormat="1" customHeight="1" s="1"/>
    <row r="484" ht="11.25" customFormat="1" customHeight="1" s="1"/>
    <row r="485" ht="11.25" customFormat="1" customHeight="1" s="1"/>
    <row r="486" ht="11.25" customFormat="1" customHeight="1" s="1"/>
    <row r="487" ht="11.25" customFormat="1" customHeight="1" s="1"/>
    <row r="488" ht="11.25" customFormat="1" customHeight="1" s="1"/>
    <row r="489" ht="11.25" customFormat="1" customHeight="1" s="1"/>
    <row r="490" ht="11.25" customFormat="1" customHeight="1" s="1"/>
    <row r="491" ht="11.25" customFormat="1" customHeight="1" s="1"/>
    <row r="492" ht="11.25" customFormat="1" customHeight="1" s="1"/>
    <row r="493" ht="11.25" customFormat="1" customHeight="1" s="1"/>
    <row r="494" ht="11.25" customFormat="1" customHeight="1" s="1"/>
    <row r="495" ht="11.25" customFormat="1" customHeight="1" s="1"/>
    <row r="496" ht="11.25" customFormat="1" customHeight="1" s="1"/>
    <row r="497" ht="11.25" customFormat="1" customHeight="1" s="1"/>
    <row r="498" ht="11.25" customFormat="1" customHeight="1" s="1"/>
    <row r="499" ht="11.25" customFormat="1" customHeight="1" s="1"/>
    <row r="500" ht="11.25" customFormat="1" customHeight="1" s="1"/>
    <row r="501" ht="11.25" customFormat="1" customHeight="1" s="1"/>
    <row r="502" ht="11.25" customFormat="1" customHeight="1" s="1"/>
    <row r="503" ht="11.25" customFormat="1" customHeight="1" s="1"/>
    <row r="504" ht="11.25" customFormat="1" customHeight="1" s="1"/>
    <row r="505" ht="11.25" customFormat="1" customHeight="1" s="1"/>
    <row r="506" ht="11.25" customFormat="1" customHeight="1" s="1"/>
    <row r="507" ht="11.25" customFormat="1" customHeight="1" s="1"/>
    <row r="508" ht="11.25" customFormat="1" customHeight="1" s="1"/>
    <row r="509" ht="11.25" customFormat="1" customHeight="1" s="1"/>
    <row r="510" ht="11.25" customFormat="1" customHeight="1" s="1"/>
    <row r="511" ht="11.25" customFormat="1" customHeight="1" s="1"/>
    <row r="512" ht="11.25" customFormat="1" customHeight="1" s="1"/>
    <row r="513" ht="11.25" customFormat="1" customHeight="1" s="1"/>
    <row r="514" ht="11.25" customFormat="1" customHeight="1" s="1"/>
    <row r="515" ht="11.25" customFormat="1" customHeight="1" s="1"/>
    <row r="516" ht="11.25" customFormat="1" customHeight="1" s="1"/>
    <row r="517" ht="11.25" customFormat="1" customHeight="1" s="1"/>
    <row r="518" ht="11.25" customFormat="1" customHeight="1" s="1"/>
    <row r="519" ht="11.25" customFormat="1" customHeight="1" s="1"/>
    <row r="520" ht="11.25" customFormat="1" customHeight="1" s="1"/>
    <row r="521" ht="11.25" customFormat="1" customHeight="1" s="1"/>
    <row r="522" ht="11.25" customFormat="1" customHeight="1" s="1"/>
    <row r="523" ht="11.25" customFormat="1" customHeight="1" s="1"/>
    <row r="524" ht="11.25" customFormat="1" customHeight="1" s="1"/>
    <row r="525" ht="11.25" customFormat="1" customHeight="1" s="1"/>
    <row r="526" ht="11.25" customFormat="1" customHeight="1" s="1"/>
    <row r="527" ht="11.25" customFormat="1" customHeight="1" s="1"/>
    <row r="528" ht="11.25" customFormat="1" customHeight="1" s="1"/>
    <row r="529" ht="11.25" customFormat="1" customHeight="1" s="1"/>
    <row r="530" ht="11.25" customFormat="1" customHeight="1" s="1"/>
    <row r="531" ht="11.25" customFormat="1" customHeight="1" s="1"/>
    <row r="532" ht="11.25" customFormat="1" customHeight="1" s="1"/>
    <row r="533" ht="11.25" customFormat="1" customHeight="1" s="1"/>
    <row r="534" ht="11.25" customFormat="1" customHeight="1" s="1"/>
    <row r="535" ht="11.25" customFormat="1" customHeight="1" s="1"/>
    <row r="536" ht="11.25" customFormat="1" customHeight="1" s="1"/>
    <row r="537" ht="11.25" customFormat="1" customHeight="1" s="1"/>
    <row r="538" ht="11.25" customFormat="1" customHeight="1" s="1"/>
    <row r="539" ht="11.25" customFormat="1" customHeight="1" s="1"/>
    <row r="540" ht="11.25" customFormat="1" customHeight="1" s="1"/>
    <row r="541" ht="11.25" customFormat="1" customHeight="1" s="1"/>
    <row r="542" ht="11.25" customFormat="1" customHeight="1" s="1"/>
    <row r="543" ht="11.25" customFormat="1" customHeight="1" s="1"/>
    <row r="544" ht="11.25" customFormat="1" customHeight="1" s="1"/>
    <row r="545" ht="11.25" customFormat="1" customHeight="1" s="1"/>
    <row r="546" ht="11.25" customFormat="1" customHeight="1" s="1"/>
    <row r="547" ht="11.25" customFormat="1" customHeight="1" s="1"/>
    <row r="548" ht="11.25" customFormat="1" customHeight="1" s="1"/>
    <row r="549" ht="11.25" customFormat="1" customHeight="1" s="1"/>
    <row r="550" ht="11.25" customFormat="1" customHeight="1" s="1"/>
    <row r="551" ht="11.25" customFormat="1" customHeight="1" s="1"/>
    <row r="552" ht="11.25" customFormat="1" customHeight="1" s="1"/>
    <row r="553" ht="11.25" customFormat="1" customHeight="1" s="1"/>
    <row r="554" ht="11.25" customFormat="1" customHeight="1" s="1"/>
    <row r="555" ht="11.25" customFormat="1" customHeight="1" s="1"/>
    <row r="556" ht="11.25" customFormat="1" customHeight="1" s="1"/>
    <row r="557" ht="11.25" customFormat="1" customHeight="1" s="1"/>
    <row r="558" ht="11.25" customFormat="1" customHeight="1" s="1"/>
    <row r="559" ht="11.25" customFormat="1" customHeight="1" s="1"/>
    <row r="560" ht="11.25" customFormat="1" customHeight="1" s="1"/>
    <row r="561" ht="11.25" customFormat="1" customHeight="1" s="1"/>
    <row r="562" ht="11.25" customFormat="1" customHeight="1" s="1"/>
    <row r="563" ht="11.25" customFormat="1" customHeight="1" s="1"/>
    <row r="564" ht="11.25" customFormat="1" customHeight="1" s="1"/>
    <row r="565" ht="11.25" customFormat="1" customHeight="1" s="1"/>
    <row r="566" ht="11.25" customFormat="1" customHeight="1" s="1"/>
    <row r="567" ht="11.25" customFormat="1" customHeight="1" s="1"/>
    <row r="568" ht="11.25" customFormat="1" customHeight="1" s="1"/>
    <row r="569" ht="11.25" customFormat="1" customHeight="1" s="1"/>
    <row r="570" ht="11.25" customFormat="1" customHeight="1" s="1"/>
    <row r="571" ht="11.25" customFormat="1" customHeight="1" s="1"/>
    <row r="572" ht="11.25" customFormat="1" customHeight="1" s="1"/>
    <row r="573" ht="11.25" customFormat="1" customHeight="1" s="1"/>
    <row r="574" ht="11.25" customFormat="1" customHeight="1" s="1"/>
    <row r="575" ht="11.25" customFormat="1" customHeight="1" s="1"/>
    <row r="576" ht="11.25" customFormat="1" customHeight="1" s="1"/>
    <row r="577" ht="11.25" customFormat="1" customHeight="1" s="1"/>
    <row r="578" ht="11.25" customFormat="1" customHeight="1" s="1"/>
    <row r="579" ht="11.25" customFormat="1" customHeight="1" s="1"/>
    <row r="580" ht="11.25" customFormat="1" customHeight="1" s="1"/>
    <row r="581" ht="11.25" customFormat="1" customHeight="1" s="1"/>
    <row r="582" ht="11.25" customFormat="1" customHeight="1" s="1"/>
    <row r="583" ht="11.25" customFormat="1" customHeight="1" s="1"/>
    <row r="584" ht="11.25" customFormat="1" customHeight="1" s="1"/>
    <row r="585" ht="11.25" customFormat="1" customHeight="1" s="1"/>
    <row r="586" ht="11.25" customFormat="1" customHeight="1" s="1"/>
    <row r="587" ht="11.25" customFormat="1" customHeight="1" s="1"/>
    <row r="588" ht="11.25" customFormat="1" customHeight="1" s="1"/>
    <row r="589" ht="11.25" customFormat="1" customHeight="1" s="1"/>
    <row r="590" ht="11.25" customFormat="1" customHeight="1" s="1"/>
    <row r="591" ht="11.25" customFormat="1" customHeight="1" s="1"/>
    <row r="592" ht="11.25" customFormat="1" customHeight="1" s="1"/>
    <row r="593" ht="11.25" customFormat="1" customHeight="1" s="1"/>
    <row r="594" ht="11.25" customFormat="1" customHeight="1" s="1"/>
    <row r="595" ht="11.25" customFormat="1" customHeight="1" s="1"/>
    <row r="596" ht="11.25" customFormat="1" customHeight="1" s="1"/>
    <row r="597" ht="11.25" customFormat="1" customHeight="1" s="1"/>
    <row r="598" ht="11.25" customFormat="1" customHeight="1" s="1"/>
    <row r="599" ht="11.25" customFormat="1" customHeight="1" s="1"/>
    <row r="600" ht="11.25" customFormat="1" customHeight="1" s="1"/>
    <row r="601" ht="11.25" customFormat="1" customHeight="1" s="1"/>
    <row r="602" ht="11.25" customFormat="1" customHeight="1" s="1"/>
    <row r="603" ht="11.25" customFormat="1" customHeight="1" s="1"/>
    <row r="604" ht="11.25" customFormat="1" customHeight="1" s="1"/>
    <row r="605" ht="11.25" customFormat="1" customHeight="1" s="1"/>
    <row r="606" ht="11.25" customFormat="1" customHeight="1" s="1"/>
    <row r="607" ht="11.25" customFormat="1" customHeight="1" s="1"/>
    <row r="608" ht="11.25" customFormat="1" customHeight="1" s="1"/>
    <row r="609" ht="11.25" customFormat="1" customHeight="1" s="1"/>
    <row r="610" ht="11.25" customFormat="1" customHeight="1" s="1"/>
    <row r="611" ht="11.25" customFormat="1" customHeight="1" s="1"/>
    <row r="612" ht="11.25" customFormat="1" customHeight="1" s="1"/>
    <row r="613" ht="11.25" customFormat="1" customHeight="1" s="1"/>
    <row r="614" ht="11.25" customFormat="1" customHeight="1" s="1"/>
    <row r="615" ht="11.25" customFormat="1" customHeight="1" s="1"/>
    <row r="616" ht="11.25" customFormat="1" customHeight="1" s="1"/>
    <row r="617" ht="11.25" customFormat="1" customHeight="1" s="1"/>
    <row r="618" ht="11.25" customFormat="1" customHeight="1" s="1"/>
    <row r="619" ht="11.25" customFormat="1" customHeight="1" s="1"/>
    <row r="620" ht="11.25" customFormat="1" customHeight="1" s="1"/>
    <row r="621" ht="11.25" customFormat="1" customHeight="1" s="1"/>
    <row r="622" ht="11.25" customFormat="1" customHeight="1" s="1"/>
    <row r="623" ht="11.25" customFormat="1" customHeight="1" s="1"/>
    <row r="624" ht="11.25" customFormat="1" customHeight="1" s="1"/>
    <row r="625" ht="11.25" customFormat="1" customHeight="1" s="1"/>
    <row r="626" ht="11.25" customFormat="1" customHeight="1" s="1"/>
    <row r="627" ht="11.25" customFormat="1" customHeight="1" s="1"/>
    <row r="628" ht="11.25" customFormat="1" customHeight="1" s="1"/>
    <row r="629" ht="11.25" customFormat="1" customHeight="1" s="1"/>
    <row r="630" ht="11.25" customFormat="1" customHeight="1" s="1"/>
    <row r="631" ht="11.25" customFormat="1" customHeight="1" s="1"/>
    <row r="632" ht="11.25" customFormat="1" customHeight="1" s="1"/>
    <row r="633" ht="11.25" customFormat="1" customHeight="1" s="1"/>
    <row r="634" ht="11.25" customFormat="1" customHeight="1" s="1"/>
    <row r="635" ht="11.25" customFormat="1" customHeight="1" s="1"/>
    <row r="636" ht="11.25" customFormat="1" customHeight="1" s="1"/>
    <row r="637" ht="11.25" customFormat="1" customHeight="1" s="1"/>
    <row r="638" ht="11.25" customFormat="1" customHeight="1" s="1"/>
    <row r="639" ht="11.25" customFormat="1" customHeight="1" s="1"/>
    <row r="640" ht="11.25" customFormat="1" customHeight="1" s="1"/>
    <row r="641" ht="11.25" customFormat="1" customHeight="1" s="1"/>
    <row r="642" ht="11.25" customFormat="1" customHeight="1" s="1"/>
    <row r="643" ht="11.25" customFormat="1" customHeight="1" s="1"/>
    <row r="644" ht="11.25" customFormat="1" customHeight="1" s="1"/>
    <row r="645" ht="11.25" customFormat="1" customHeight="1" s="1"/>
    <row r="646" ht="11.25" customFormat="1" customHeight="1" s="1"/>
    <row r="647" ht="11.25" customFormat="1" customHeight="1" s="1"/>
    <row r="648" ht="11.25" customFormat="1" customHeight="1" s="1"/>
    <row r="649" ht="11.25" customFormat="1" customHeight="1" s="1"/>
    <row r="650" ht="11.25" customFormat="1" customHeight="1" s="1"/>
    <row r="651" ht="11.25" customFormat="1" customHeight="1" s="1"/>
    <row r="652" ht="11.25" customFormat="1" customHeight="1" s="1"/>
    <row r="653" ht="11.25" customFormat="1" customHeight="1" s="1"/>
    <row r="654" ht="11.25" customFormat="1" customHeight="1" s="1"/>
    <row r="655" ht="11.25" customFormat="1" customHeight="1" s="1"/>
    <row r="656" ht="11.25" customFormat="1" customHeight="1" s="1"/>
    <row r="657" ht="11.25" customFormat="1" customHeight="1" s="1"/>
    <row r="658" ht="11.25" customFormat="1" customHeight="1" s="1"/>
    <row r="659" ht="11.25" customFormat="1" customHeight="1" s="1"/>
    <row r="660" ht="11.25" customFormat="1" customHeight="1" s="1"/>
    <row r="661" ht="11.25" customFormat="1" customHeight="1" s="1"/>
    <row r="662" ht="11.25" customFormat="1" customHeight="1" s="1"/>
    <row r="663" ht="11.25" customFormat="1" customHeight="1" s="1"/>
    <row r="664" ht="11.25" customFormat="1" customHeight="1" s="1"/>
    <row r="665" ht="11.25" customFormat="1" customHeight="1" s="1"/>
    <row r="666" ht="11.25" customFormat="1" customHeight="1" s="1"/>
    <row r="667" ht="11.25" customFormat="1" customHeight="1" s="1"/>
    <row r="668" ht="11.25" customFormat="1" customHeight="1" s="1"/>
    <row r="669" ht="11.25" customFormat="1" customHeight="1" s="1"/>
    <row r="670" ht="11.25" customFormat="1" customHeight="1" s="1"/>
    <row r="671" ht="11.25" customFormat="1" customHeight="1" s="1"/>
    <row r="672" ht="11.25" customFormat="1" customHeight="1" s="1"/>
    <row r="673" ht="11.25" customFormat="1" customHeight="1" s="1"/>
    <row r="674" ht="11.25" customFormat="1" customHeight="1" s="1"/>
    <row r="675" ht="11.25" customFormat="1" customHeight="1" s="1"/>
    <row r="676" ht="11.25" customFormat="1" customHeight="1" s="1"/>
    <row r="677" ht="11.25" customFormat="1" customHeight="1" s="1"/>
    <row r="678" ht="11.25" customFormat="1" customHeight="1" s="1"/>
    <row r="679" ht="11.25" customFormat="1" customHeight="1" s="1"/>
    <row r="680" ht="11.25" customFormat="1" customHeight="1" s="1"/>
    <row r="681" ht="11.25" customFormat="1" customHeight="1" s="1"/>
    <row r="682" ht="11.25" customFormat="1" customHeight="1" s="1"/>
    <row r="683" ht="11.25" customFormat="1" customHeight="1" s="1"/>
    <row r="684" ht="11.25" customFormat="1" customHeight="1" s="1"/>
    <row r="685" ht="11.25" customFormat="1" customHeight="1" s="1"/>
    <row r="686" ht="11.25" customFormat="1" customHeight="1" s="1"/>
    <row r="687" ht="11.25" customFormat="1" customHeight="1" s="1"/>
    <row r="688" ht="11.25" customFormat="1" customHeight="1" s="1"/>
    <row r="689" ht="11.25" customFormat="1" customHeight="1" s="1"/>
    <row r="690" ht="11.25" customFormat="1" customHeight="1" s="1"/>
    <row r="691" ht="11.25" customFormat="1" customHeight="1" s="1"/>
    <row r="692" ht="11.25" customFormat="1" customHeight="1" s="1"/>
    <row r="693" ht="11.25" customFormat="1" customHeight="1" s="1"/>
    <row r="694" ht="11.25" customFormat="1" customHeight="1" s="1"/>
    <row r="695" ht="11.25" customFormat="1" customHeight="1" s="1"/>
    <row r="696" ht="11.25" customFormat="1" customHeight="1" s="1"/>
    <row r="697" ht="11.25" customFormat="1" customHeight="1" s="1"/>
    <row r="698" ht="11.25" customFormat="1" customHeight="1" s="1"/>
    <row r="699" ht="11.25" customFormat="1" customHeight="1" s="1"/>
    <row r="700" ht="11.25" customFormat="1" customHeight="1" s="1"/>
    <row r="701" ht="11.25" customFormat="1" customHeight="1" s="1"/>
    <row r="702" ht="11.25" customFormat="1" customHeight="1" s="1"/>
    <row r="703" ht="11.25" customFormat="1" customHeight="1" s="1"/>
    <row r="704" ht="11.25" customFormat="1" customHeight="1" s="1"/>
    <row r="705" ht="11.25" customFormat="1" customHeight="1" s="1"/>
    <row r="706" ht="11.25" customFormat="1" customHeight="1" s="1"/>
    <row r="707" ht="11.25" customFormat="1" customHeight="1" s="1"/>
    <row r="708" ht="11.25" customFormat="1" customHeight="1" s="1"/>
    <row r="709" ht="11.25" customFormat="1" customHeight="1" s="1"/>
    <row r="710" ht="11.25" customFormat="1" customHeight="1" s="1"/>
    <row r="711" ht="11.25" customFormat="1" customHeight="1" s="1"/>
    <row r="712" ht="11.25" customFormat="1" customHeight="1" s="1"/>
    <row r="713" ht="11.25" customFormat="1" customHeight="1" s="1"/>
    <row r="714" ht="11.25" customFormat="1" customHeight="1" s="1"/>
    <row r="715" ht="11.25" customFormat="1" customHeight="1" s="1"/>
    <row r="716" ht="11.25" customFormat="1" customHeight="1" s="1"/>
    <row r="717" ht="11.25" customFormat="1" customHeight="1" s="1"/>
    <row r="718" ht="11.25" customFormat="1" customHeight="1" s="1"/>
    <row r="719" ht="11.25" customFormat="1" customHeight="1" s="1"/>
    <row r="720" ht="11.25" customFormat="1" customHeight="1" s="1"/>
    <row r="721" ht="11.25" customFormat="1" customHeight="1" s="1"/>
    <row r="722" ht="11.25" customFormat="1" customHeight="1" s="1"/>
    <row r="723" ht="11.25" customFormat="1" customHeight="1" s="1"/>
    <row r="724" ht="11.25" customFormat="1" customHeight="1" s="1"/>
    <row r="725" ht="11.25" customFormat="1" customHeight="1" s="1"/>
    <row r="726" ht="11.25" customFormat="1" customHeight="1" s="1"/>
    <row r="727" ht="11.25" customFormat="1" customHeight="1" s="1"/>
    <row r="728" ht="11.25" customFormat="1" customHeight="1" s="1"/>
    <row r="729" ht="11.25" customFormat="1" customHeight="1" s="1"/>
    <row r="730" ht="11.25" customFormat="1" customHeight="1" s="1"/>
    <row r="731" ht="11.25" customFormat="1" customHeight="1" s="1"/>
    <row r="732" ht="11.25" customFormat="1" customHeight="1" s="1"/>
    <row r="733" ht="11.25" customFormat="1" customHeight="1" s="1"/>
    <row r="734" ht="11.25" customFormat="1" customHeight="1" s="1"/>
    <row r="735" ht="11.25" customFormat="1" customHeight="1" s="1"/>
    <row r="736" ht="11.25" customFormat="1" customHeight="1" s="1"/>
    <row r="737" ht="11.25" customFormat="1" customHeight="1" s="1"/>
    <row r="738" ht="11.25" customFormat="1" customHeight="1" s="1"/>
    <row r="739" ht="11.25" customFormat="1" customHeight="1" s="1"/>
    <row r="740" ht="11.25" customFormat="1" customHeight="1" s="1"/>
    <row r="741" ht="11.25" customFormat="1" customHeight="1" s="1"/>
    <row r="742" ht="11.25" customFormat="1" customHeight="1" s="1"/>
    <row r="743" ht="11.25" customFormat="1" customHeight="1" s="1"/>
    <row r="744" ht="11.25" customFormat="1" customHeight="1" s="1"/>
    <row r="745" ht="11.25" customFormat="1" customHeight="1" s="1"/>
    <row r="746" ht="11.25" customFormat="1" customHeight="1" s="1"/>
    <row r="747" ht="11.25" customFormat="1" customHeight="1" s="1"/>
    <row r="748" ht="11.25" customFormat="1" customHeight="1" s="1"/>
    <row r="749" ht="11.25" customFormat="1" customHeight="1" s="1"/>
    <row r="750" ht="11.25" customFormat="1" customHeight="1" s="1"/>
    <row r="751" ht="11.25" customFormat="1" customHeight="1" s="1"/>
    <row r="752" ht="11.25" customFormat="1" customHeight="1" s="1"/>
    <row r="753" ht="11.25" customFormat="1" customHeight="1" s="1"/>
    <row r="754" ht="11.25" customFormat="1" customHeight="1" s="1"/>
    <row r="755" ht="11.25" customFormat="1" customHeight="1" s="1"/>
    <row r="756" ht="11.25" customFormat="1" customHeight="1" s="1"/>
    <row r="757" ht="11.25" customFormat="1" customHeight="1" s="1"/>
    <row r="758" ht="11.25" customFormat="1" customHeight="1" s="1"/>
    <row r="759" ht="11.25" customFormat="1" customHeight="1" s="1"/>
    <row r="760" ht="11.25" customFormat="1" customHeight="1" s="1"/>
    <row r="761" ht="11.25" customFormat="1" customHeight="1" s="1"/>
    <row r="762" ht="11.25" customFormat="1" customHeight="1" s="1"/>
    <row r="763" ht="11.25" customFormat="1" customHeight="1" s="1"/>
    <row r="764" ht="11.25" customFormat="1" customHeight="1" s="1"/>
    <row r="765" ht="11.25" customFormat="1" customHeight="1" s="1"/>
    <row r="766" ht="11.25" customFormat="1" customHeight="1" s="1"/>
    <row r="767" ht="11.25" customFormat="1" customHeight="1" s="1"/>
    <row r="768" ht="11.25" customFormat="1" customHeight="1" s="1"/>
    <row r="769" ht="11.25" customFormat="1" customHeight="1" s="1"/>
    <row r="770" ht="11.25" customFormat="1" customHeight="1" s="1"/>
    <row r="771" ht="11.25" customFormat="1" customHeight="1" s="1"/>
    <row r="772" ht="11.25" customFormat="1" customHeight="1" s="1"/>
    <row r="773" ht="11.25" customFormat="1" customHeight="1" s="1"/>
    <row r="774" ht="11.25" customFormat="1" customHeight="1" s="1"/>
    <row r="775" ht="11.25" customFormat="1" customHeight="1" s="1"/>
    <row r="776" ht="11.25" customFormat="1" customHeight="1" s="1"/>
    <row r="777" ht="11.25" customFormat="1" customHeight="1" s="1"/>
    <row r="778" ht="11.25" customFormat="1" customHeight="1" s="1"/>
    <row r="779" ht="11.25" customFormat="1" customHeight="1" s="1"/>
    <row r="780" ht="11.25" customFormat="1" customHeight="1" s="1"/>
    <row r="781" ht="11.25" customFormat="1" customHeight="1" s="1"/>
    <row r="782" ht="11.25" customFormat="1" customHeight="1" s="1"/>
    <row r="783" ht="11.25" customFormat="1" customHeight="1" s="1"/>
    <row r="784" ht="11.25" customFormat="1" customHeight="1" s="1"/>
    <row r="785" ht="11.25" customFormat="1" customHeight="1" s="1"/>
    <row r="786" ht="11.25" customFormat="1" customHeight="1" s="1"/>
    <row r="787" ht="11.25" customFormat="1" customHeight="1" s="1"/>
    <row r="788" ht="11.25" customFormat="1" customHeight="1" s="1"/>
    <row r="789" ht="11.25" customFormat="1" customHeight="1" s="1"/>
    <row r="790" ht="11.25" customFormat="1" customHeight="1" s="1"/>
    <row r="791" ht="11.25" customFormat="1" customHeight="1" s="1"/>
    <row r="792" ht="11.25" customFormat="1" customHeight="1" s="1"/>
    <row r="793" ht="11.25" customFormat="1" customHeight="1" s="1"/>
    <row r="794" ht="11.25" customFormat="1" customHeight="1" s="1"/>
    <row r="795" ht="11.25" customFormat="1" customHeight="1" s="1"/>
    <row r="796" ht="11.25" customFormat="1" customHeight="1" s="1"/>
    <row r="797" ht="11.25" customFormat="1" customHeight="1" s="1"/>
    <row r="798" ht="11.25" customFormat="1" customHeight="1" s="1"/>
    <row r="799" ht="11.25" customFormat="1" customHeight="1" s="1"/>
    <row r="800" ht="11.25" customFormat="1" customHeight="1" s="1"/>
    <row r="801" ht="11.25" customFormat="1" customHeight="1" s="1"/>
    <row r="802" ht="11.25" customFormat="1" customHeight="1" s="1"/>
    <row r="803" ht="11.25" customFormat="1" customHeight="1" s="1"/>
    <row r="804" ht="11.25" customFormat="1" customHeight="1" s="1"/>
    <row r="805" ht="11.25" customFormat="1" customHeight="1" s="1"/>
    <row r="806" ht="11.25" customFormat="1" customHeight="1" s="1"/>
    <row r="807" ht="11.25" customFormat="1" customHeight="1" s="1"/>
    <row r="808" ht="11.25" customFormat="1" customHeight="1" s="1"/>
    <row r="809" ht="11.25" customFormat="1" customHeight="1" s="1"/>
    <row r="810" ht="11.25" customFormat="1" customHeight="1" s="1"/>
    <row r="811" ht="11.25" customFormat="1" customHeight="1" s="1"/>
    <row r="812" ht="11.25" customFormat="1" customHeight="1" s="1"/>
    <row r="813" ht="11.25" customFormat="1" customHeight="1" s="1"/>
    <row r="814" ht="11.25" customFormat="1" customHeight="1" s="1"/>
    <row r="815" ht="11.25" customFormat="1" customHeight="1" s="1"/>
    <row r="816" ht="11.25" customFormat="1" customHeight="1" s="1"/>
    <row r="817" ht="11.25" customFormat="1" customHeight="1" s="1"/>
    <row r="818" ht="11.25" customFormat="1" customHeight="1" s="1"/>
    <row r="819" ht="11.25" customFormat="1" customHeight="1" s="1"/>
    <row r="820" ht="11.25" customFormat="1" customHeight="1" s="1"/>
    <row r="821" ht="11.25" customFormat="1" customHeight="1" s="1"/>
    <row r="822" ht="11.25" customFormat="1" customHeight="1" s="1"/>
    <row r="823" ht="11.25" customFormat="1" customHeight="1" s="1"/>
    <row r="824" ht="11.25" customFormat="1" customHeight="1" s="1"/>
    <row r="825" ht="11.25" customFormat="1" customHeight="1" s="1"/>
    <row r="826" ht="11.25" customFormat="1" customHeight="1" s="1"/>
    <row r="827" ht="11.25" customFormat="1" customHeight="1" s="1"/>
    <row r="828" ht="11.25" customFormat="1" customHeight="1" s="1"/>
    <row r="829" ht="11.25" customFormat="1" customHeight="1" s="1"/>
    <row r="830" ht="11.25" customFormat="1" customHeight="1" s="1"/>
    <row r="831" ht="11.25" customFormat="1" customHeight="1" s="1"/>
    <row r="832" ht="11.25" customFormat="1" customHeight="1" s="1"/>
    <row r="833" ht="11.25" customFormat="1" customHeight="1" s="1"/>
    <row r="834" ht="11.25" customFormat="1" customHeight="1" s="1"/>
    <row r="835" ht="11.25" customFormat="1" customHeight="1" s="1"/>
    <row r="836" ht="11.25" customFormat="1" customHeight="1" s="1"/>
    <row r="837" ht="11.25" customFormat="1" customHeight="1" s="1"/>
    <row r="838" ht="11.25" customFormat="1" customHeight="1" s="1"/>
    <row r="839" ht="11.25" customFormat="1" customHeight="1" s="1"/>
    <row r="840" ht="11.25" customFormat="1" customHeight="1" s="1"/>
    <row r="841" ht="11.25" customFormat="1" customHeight="1" s="1"/>
    <row r="842" ht="11.25" customFormat="1" customHeight="1" s="1"/>
    <row r="843" ht="11.25" customFormat="1" customHeight="1" s="1"/>
    <row r="844" ht="11.25" customFormat="1" customHeight="1" s="1"/>
    <row r="845" ht="11.25" customFormat="1" customHeight="1" s="1"/>
    <row r="846" ht="11.25" customFormat="1" customHeight="1" s="1"/>
    <row r="847" ht="11.25" customFormat="1" customHeight="1" s="1"/>
    <row r="848" ht="11.25" customFormat="1" customHeight="1" s="1"/>
    <row r="849" ht="11.25" customFormat="1" customHeight="1" s="1"/>
    <row r="850" ht="11.25" customFormat="1" customHeight="1" s="1"/>
    <row r="851" ht="11.25" customFormat="1" customHeight="1" s="1"/>
    <row r="852" ht="11.25" customFormat="1" customHeight="1" s="1"/>
    <row r="853" ht="11.25" customFormat="1" customHeight="1" s="1"/>
    <row r="854" ht="11.25" customFormat="1" customHeight="1" s="1"/>
    <row r="855" ht="11.25" customFormat="1" customHeight="1" s="1"/>
    <row r="856" ht="11.25" customFormat="1" customHeight="1" s="1"/>
    <row r="857" ht="11.25" customFormat="1" customHeight="1" s="1"/>
    <row r="858" ht="11.25" customFormat="1" customHeight="1" s="1"/>
    <row r="859" ht="11.25" customFormat="1" customHeight="1" s="1"/>
    <row r="860" ht="11.25" customFormat="1" customHeight="1" s="1"/>
    <row r="861" ht="11.25" customFormat="1" customHeight="1" s="1"/>
    <row r="862" ht="11.25" customFormat="1" customHeight="1" s="1"/>
    <row r="863" ht="11.25" customFormat="1" customHeight="1" s="1"/>
    <row r="864" ht="11.25" customFormat="1" customHeight="1" s="1"/>
    <row r="865" ht="11.25" customFormat="1" customHeight="1" s="1"/>
    <row r="866" ht="11.25" customFormat="1" customHeight="1" s="1"/>
    <row r="867" ht="11.25" customFormat="1" customHeight="1" s="1"/>
    <row r="868" ht="11.25" customFormat="1" customHeight="1" s="1"/>
    <row r="869" ht="11.25" customFormat="1" customHeight="1" s="1"/>
    <row r="870" ht="11.25" customFormat="1" customHeight="1" s="1"/>
    <row r="871" ht="11.25" customFormat="1" customHeight="1" s="1"/>
    <row r="872" ht="11.25" customFormat="1" customHeight="1" s="1"/>
    <row r="873" ht="11.25" customFormat="1" customHeight="1" s="1"/>
    <row r="874" ht="11.25" customFormat="1" customHeight="1" s="1"/>
    <row r="875" ht="11.25" customFormat="1" customHeight="1" s="1"/>
    <row r="876" ht="11.25" customFormat="1" customHeight="1" s="1"/>
    <row r="877" ht="11.25" customFormat="1" customHeight="1" s="1"/>
    <row r="878" ht="11.25" customFormat="1" customHeight="1" s="1"/>
    <row r="879" ht="11.25" customFormat="1" customHeight="1" s="1"/>
    <row r="880" ht="11.25" customFormat="1" customHeight="1" s="1"/>
    <row r="881" ht="11.25" customFormat="1" customHeight="1" s="1"/>
    <row r="882" ht="11.25" customFormat="1" customHeight="1" s="1"/>
    <row r="883" ht="11.25" customFormat="1" customHeight="1" s="1"/>
    <row r="884" ht="11.25" customFormat="1" customHeight="1" s="1"/>
    <row r="885" ht="11.25" customFormat="1" customHeight="1" s="1"/>
    <row r="886" ht="11.25" customFormat="1" customHeight="1" s="1"/>
    <row r="887" ht="11.25" customFormat="1" customHeight="1" s="1"/>
    <row r="888" ht="11.25" customFormat="1" customHeight="1" s="1"/>
    <row r="889" ht="11.25" customFormat="1" customHeight="1" s="1"/>
    <row r="890" ht="11.25" customFormat="1" customHeight="1" s="1"/>
    <row r="891" ht="11.25" customFormat="1" customHeight="1" s="1"/>
    <row r="892" ht="11.25" customFormat="1" customHeight="1" s="1"/>
    <row r="893" ht="11.25" customFormat="1" customHeight="1" s="1"/>
    <row r="894" ht="11.25" customFormat="1" customHeight="1" s="1"/>
    <row r="895" ht="11.25" customFormat="1" customHeight="1" s="1"/>
    <row r="896" ht="11.25" customFormat="1" customHeight="1" s="1"/>
    <row r="897" ht="11.25" customFormat="1" customHeight="1" s="1"/>
    <row r="898" ht="11.25" customFormat="1" customHeight="1" s="1"/>
    <row r="899" ht="11.25" customFormat="1" customHeight="1" s="1"/>
    <row r="900" ht="11.25" customFormat="1" customHeight="1" s="1"/>
    <row r="901" ht="11.25" customFormat="1" customHeight="1" s="1"/>
    <row r="902" ht="11.25" customFormat="1" customHeight="1" s="1"/>
    <row r="903" ht="11.25" customFormat="1" customHeight="1" s="1"/>
    <row r="904" ht="11.25" customFormat="1" customHeight="1" s="1"/>
    <row r="905" ht="11.25" customFormat="1" customHeight="1" s="1"/>
    <row r="906" ht="11.25" customFormat="1" customHeight="1" s="1"/>
    <row r="907" ht="11.25" customFormat="1" customHeight="1" s="1"/>
    <row r="908" ht="11.25" customFormat="1" customHeight="1" s="1"/>
    <row r="909" ht="11.25" customFormat="1" customHeight="1" s="1"/>
    <row r="910" ht="11.25" customFormat="1" customHeight="1" s="1"/>
    <row r="911" ht="11.25" customFormat="1" customHeight="1" s="1"/>
    <row r="912" ht="11.25" customFormat="1" customHeight="1" s="1"/>
    <row r="913" ht="11.25" customFormat="1" customHeight="1" s="1"/>
    <row r="914" ht="11.25" customFormat="1" customHeight="1" s="1"/>
    <row r="915" ht="11.25" customFormat="1" customHeight="1" s="1"/>
    <row r="916" ht="11.25" customFormat="1" customHeight="1" s="1"/>
    <row r="917" ht="11.25" customFormat="1" customHeight="1" s="1"/>
    <row r="918" ht="11.25" customFormat="1" customHeight="1" s="1"/>
    <row r="919" ht="11.25" customFormat="1" customHeight="1" s="1"/>
    <row r="920" ht="11.25" customFormat="1" customHeight="1" s="1"/>
    <row r="921" ht="11.25" customFormat="1" customHeight="1" s="1"/>
    <row r="922" ht="11.25" customFormat="1" customHeight="1" s="1"/>
    <row r="923" ht="11.25" customFormat="1" customHeight="1" s="1"/>
    <row r="924" ht="11.25" customFormat="1" customHeight="1" s="1"/>
    <row r="925" ht="11.25" customFormat="1" customHeight="1" s="1"/>
    <row r="926" ht="11.25" customFormat="1" customHeight="1" s="1"/>
    <row r="927" ht="11.25" customFormat="1" customHeight="1" s="1"/>
    <row r="928" ht="11.25" customFormat="1" customHeight="1" s="1"/>
    <row r="929" ht="11.25" customFormat="1" customHeight="1" s="1"/>
    <row r="930" ht="11.25" customFormat="1" customHeight="1" s="1"/>
    <row r="931" ht="11.25" customFormat="1" customHeight="1" s="1"/>
    <row r="932" ht="11.25" customFormat="1" customHeight="1" s="1"/>
    <row r="933" ht="11.25" customFormat="1" customHeight="1" s="1"/>
    <row r="934" ht="11.25" customFormat="1" customHeight="1" s="1"/>
    <row r="935" ht="11.25" customFormat="1" customHeight="1" s="1"/>
    <row r="936" ht="11.25" customFormat="1" customHeight="1" s="1"/>
    <row r="937" ht="11.25" customFormat="1" customHeight="1" s="1"/>
    <row r="938" ht="11.25" customFormat="1" customHeight="1" s="1"/>
    <row r="939" ht="11.25" customFormat="1" customHeight="1" s="1"/>
    <row r="940" ht="11.25" customFormat="1" customHeight="1" s="1"/>
    <row r="941" ht="11.25" customFormat="1" customHeight="1" s="1"/>
    <row r="942" ht="11.25" customFormat="1" customHeight="1" s="1"/>
    <row r="943" ht="11.25" customFormat="1" customHeight="1" s="1"/>
    <row r="944" ht="11.25" customFormat="1" customHeight="1" s="1"/>
    <row r="945" ht="11.25" customFormat="1" customHeight="1" s="1"/>
    <row r="946" ht="11.25" customFormat="1" customHeight="1" s="1"/>
    <row r="947" ht="11.25" customFormat="1" customHeight="1" s="1"/>
    <row r="948" ht="11.25" customFormat="1" customHeight="1" s="1"/>
    <row r="949" ht="11.25" customFormat="1" customHeight="1" s="1"/>
    <row r="950" ht="11.25" customFormat="1" customHeight="1" s="1"/>
    <row r="951" ht="11.25" customFormat="1" customHeight="1" s="1"/>
    <row r="952" ht="11.25" customFormat="1" customHeight="1" s="1"/>
    <row r="953" ht="11.25" customFormat="1" customHeight="1" s="1"/>
    <row r="954" ht="11.25" customFormat="1" customHeight="1" s="1"/>
    <row r="955" ht="11.25" customFormat="1" customHeight="1" s="1"/>
    <row r="956" ht="11.25" customFormat="1" customHeight="1" s="1"/>
    <row r="957" ht="11.25" customFormat="1" customHeight="1" s="1"/>
    <row r="958" ht="11.25" customFormat="1" customHeight="1" s="1"/>
    <row r="959" ht="11.25" customFormat="1" customHeight="1" s="1"/>
    <row r="960" ht="11.25" customFormat="1" customHeight="1" s="1"/>
    <row r="961" ht="11.25" customFormat="1" customHeight="1" s="1"/>
    <row r="962" ht="11.25" customFormat="1" customHeight="1" s="1"/>
    <row r="963" ht="11.25" customFormat="1" customHeight="1" s="1"/>
    <row r="964" ht="11.25" customFormat="1" customHeight="1" s="1"/>
    <row r="965" ht="11.25" customFormat="1" customHeight="1" s="1"/>
    <row r="966" ht="11.25" customFormat="1" customHeight="1" s="1"/>
    <row r="967" ht="11.25" customFormat="1" customHeight="1" s="1"/>
    <row r="968" ht="11.25" customFormat="1" customHeight="1" s="1"/>
    <row r="969" ht="11.25" customFormat="1" customHeight="1" s="1"/>
    <row r="970" ht="11.25" customFormat="1" customHeight="1" s="1"/>
    <row r="971" ht="11.25" customFormat="1" customHeight="1" s="1"/>
    <row r="972" ht="11.25" customFormat="1" customHeight="1" s="1"/>
    <row r="973" ht="11.25" customFormat="1" customHeight="1" s="1"/>
    <row r="974" ht="11.25" customFormat="1" customHeight="1" s="1"/>
    <row r="975" ht="11.25" customFormat="1" customHeight="1" s="1"/>
    <row r="976" ht="11.25" customFormat="1" customHeight="1" s="1"/>
    <row r="977" ht="11.25" customFormat="1" customHeight="1" s="1"/>
    <row r="978" ht="11.25" customFormat="1" customHeight="1" s="1"/>
    <row r="979" ht="11.25" customFormat="1" customHeight="1" s="1"/>
    <row r="980" ht="11.25" customFormat="1" customHeight="1" s="1"/>
    <row r="981" ht="11.25" customFormat="1" customHeight="1" s="1"/>
    <row r="982" ht="11.25" customFormat="1" customHeight="1" s="1"/>
    <row r="983" ht="11.25" customFormat="1" customHeight="1" s="1"/>
    <row r="984" ht="11.25" customFormat="1" customHeight="1" s="1"/>
    <row r="985" ht="11.25" customFormat="1" customHeight="1" s="1"/>
    <row r="986" ht="11.25" customFormat="1" customHeight="1" s="1"/>
    <row r="987" ht="11.25" customFormat="1" customHeight="1" s="1"/>
    <row r="988" ht="11.25" customFormat="1" customHeight="1" s="1"/>
    <row r="989" ht="11.25" customFormat="1" customHeight="1" s="1"/>
    <row r="990" ht="11.25" customFormat="1" customHeight="1" s="1"/>
    <row r="991" ht="11.25" customFormat="1" customHeight="1" s="1"/>
    <row r="992" ht="11.25" customFormat="1" customHeight="1" s="1"/>
    <row r="993" ht="11.25" customFormat="1" customHeight="1" s="1"/>
    <row r="994" ht="11.25" customFormat="1" customHeight="1" s="1"/>
    <row r="995" ht="12" customFormat="1" customHeight="1" s="1"/>
    <row r="996" ht="11.25" customFormat="1" customHeight="1" s="1"/>
    <row r="997" ht="11.25" customFormat="1" customHeight="1" s="1"/>
    <row r="998" ht="11.25" customFormat="1" customHeight="1" s="1"/>
    <row r="999" ht="11.25" customFormat="1" customHeight="1" s="1"/>
    <row r="1000" ht="11.25" customFormat="1" customHeight="1" s="1"/>
    <row r="1001" ht="11.25" customFormat="1" customHeight="1" s="1"/>
    <row r="1002" ht="11.25" customFormat="1" customHeight="1" s="1"/>
    <row r="1003" ht="11.25" customFormat="1" customHeight="1" s="1"/>
    <row r="1004" ht="11.25" customFormat="1" customHeight="1" s="1"/>
    <row r="1005" ht="11.25" customFormat="1" customHeight="1" s="1"/>
    <row r="1006" ht="11.25" customFormat="1" customHeight="1" s="1"/>
    <row r="1007" ht="11.25" customFormat="1" customHeight="1" s="1"/>
    <row r="1008" ht="11.25" customFormat="1" customHeight="1" s="1"/>
    <row r="1009" ht="11.25" customFormat="1" customHeight="1" s="1"/>
    <row r="1010" ht="11.25" customFormat="1" customHeight="1" s="1"/>
    <row r="1011" ht="11.25" customFormat="1" customHeight="1" s="1"/>
    <row r="1012" ht="11.25" customFormat="1" customHeight="1" s="1"/>
    <row r="1013" ht="11.25" customFormat="1" customHeight="1" s="1"/>
    <row r="1014" ht="11.25" customFormat="1" customHeight="1" s="1"/>
    <row r="1015" ht="11.25" customFormat="1" customHeight="1" s="1"/>
    <row r="1016" ht="11.25" customFormat="1" customHeight="1" s="1"/>
    <row r="1017" ht="11.25" customFormat="1" customHeight="1" s="1"/>
    <row r="1018" ht="11.25" customFormat="1" customHeight="1" s="1"/>
    <row r="1019" ht="11.25" customFormat="1" customHeight="1" s="1"/>
    <row r="1020" ht="11.25" customFormat="1" customHeight="1" s="1"/>
    <row r="1021" ht="11.25" customFormat="1" customHeight="1" s="1"/>
    <row r="1022" ht="11.25" customFormat="1" customHeight="1" s="1"/>
    <row r="1023" ht="11.25" customFormat="1" customHeight="1" s="1"/>
    <row r="1024" ht="11.25" customFormat="1" customHeight="1" s="1"/>
    <row r="1025" ht="11.25" customFormat="1" customHeight="1" s="1"/>
    <row r="1026" ht="11.25" customFormat="1" customHeight="1" s="1"/>
    <row r="1027" ht="11.25" customFormat="1" customHeight="1" s="1"/>
    <row r="1028" ht="11.25" customFormat="1" customHeight="1" s="1"/>
    <row r="1029" ht="11.25" customFormat="1" customHeight="1" s="1"/>
    <row r="1030" ht="11.25" customFormat="1" customHeight="1" s="1"/>
    <row r="1031" ht="11.25" customFormat="1" customHeight="1" s="1"/>
    <row r="1032" ht="11.25" customFormat="1" customHeight="1" s="1"/>
    <row r="1033" ht="11.25" customFormat="1" customHeight="1" s="1"/>
    <row r="1034" ht="11.25" customFormat="1" customHeight="1" s="1"/>
    <row r="1035" ht="11.25" customFormat="1" customHeight="1" s="1"/>
    <row r="1036" ht="11.25" customFormat="1" customHeight="1" s="1"/>
    <row r="1037" ht="11.25" customFormat="1" customHeight="1" s="1"/>
    <row r="1038" ht="11.25" customFormat="1" customHeight="1" s="1"/>
    <row r="1039" ht="11.25" customFormat="1" customHeight="1" s="1"/>
    <row r="1040" ht="11.25" customFormat="1" customHeight="1" s="1"/>
    <row r="1041" ht="11.25" customFormat="1" customHeight="1" s="1"/>
    <row r="1042" ht="11.25" customFormat="1" customHeight="1" s="1"/>
    <row r="1043" ht="11.25" customFormat="1" customHeight="1" s="1"/>
    <row r="1044" ht="11.25" customFormat="1" customHeight="1" s="1"/>
    <row r="1045" ht="11.25" customFormat="1" customHeight="1" s="1"/>
    <row r="1046" ht="11.25" customFormat="1" customHeight="1" s="1"/>
    <row r="1047" ht="11.25" customFormat="1" customHeight="1" s="1"/>
    <row r="1048" ht="11.25" customFormat="1" customHeight="1" s="1"/>
    <row r="1049" ht="11.25" customFormat="1" customHeight="1" s="1"/>
    <row r="1050" ht="11.25" customFormat="1" customHeight="1" s="1"/>
    <row r="1051" ht="11.25" customFormat="1" customHeight="1" s="1"/>
    <row r="1052" ht="11.25" customFormat="1" customHeight="1" s="1"/>
    <row r="1053" ht="11.25" customFormat="1" customHeight="1" s="1"/>
    <row r="1054" ht="11.25" customFormat="1" customHeight="1" s="1"/>
    <row r="1055" ht="11.25" customFormat="1" customHeight="1" s="1"/>
    <row r="1056" ht="11.25" customFormat="1" customHeight="1" s="1"/>
    <row r="1057" ht="11.25" customFormat="1" customHeight="1" s="1"/>
    <row r="1058" ht="11.25" customFormat="1" customHeight="1" s="1"/>
    <row r="1059" ht="11.25" customFormat="1" customHeight="1" s="1"/>
    <row r="1060" ht="11.25" customFormat="1" customHeight="1" s="1"/>
    <row r="1061" ht="11.25" customFormat="1" customHeight="1" s="1"/>
    <row r="1062" ht="11.25" customFormat="1" customHeight="1" s="1"/>
    <row r="1063" ht="11.25" customFormat="1" customHeight="1" s="1"/>
    <row r="1064" ht="11.25" customFormat="1" customHeight="1" s="1"/>
    <row r="1065" ht="11.25" customFormat="1" customHeight="1" s="1"/>
    <row r="1066" ht="11.25" customFormat="1" customHeight="1" s="1"/>
    <row r="1067" ht="11.25" customFormat="1" customHeight="1" s="1"/>
    <row r="1068" ht="11.25" customFormat="1" customHeight="1" s="1"/>
    <row r="1069" ht="11.25" customFormat="1" customHeight="1" s="1"/>
    <row r="1070" ht="11.25" customFormat="1" customHeight="1" s="1"/>
    <row r="1071" ht="11.25" customFormat="1" customHeight="1" s="1"/>
    <row r="1072" ht="11.25" customFormat="1" customHeight="1" s="1"/>
    <row r="1073" ht="11.25" customFormat="1" customHeight="1" s="1"/>
    <row r="1074" ht="11.25" customFormat="1" customHeight="1" s="1"/>
    <row r="1075" ht="11.25" customFormat="1" customHeight="1" s="1"/>
    <row r="1076" ht="11.25" customFormat="1" customHeight="1" s="1"/>
    <row r="1077" ht="11.25" customFormat="1" customHeight="1" s="1"/>
    <row r="1078" ht="11.25" customFormat="1" customHeight="1" s="1"/>
    <row r="1079" ht="11.25" customFormat="1" customHeight="1" s="1"/>
    <row r="1080" ht="11.25" customFormat="1" customHeight="1" s="1"/>
    <row r="1081" ht="11.25" customFormat="1" customHeight="1" s="1"/>
    <row r="1082" ht="11.25" customFormat="1" customHeight="1" s="1"/>
    <row r="1083" ht="11.25" customFormat="1" customHeight="1" s="1"/>
    <row r="1084" ht="11.25" customFormat="1" customHeight="1" s="1"/>
    <row r="1085" ht="11.25" customFormat="1" customHeight="1" s="1"/>
    <row r="1086" ht="11.25" customFormat="1" customHeight="1" s="1"/>
    <row r="1087" ht="11.25" customFormat="1" customHeight="1" s="1"/>
    <row r="1088" ht="11.25" customFormat="1" customHeight="1" s="1"/>
    <row r="1089" ht="11.25" customFormat="1" customHeight="1" s="1"/>
    <row r="1090" ht="11.25" customFormat="1" customHeight="1" s="1"/>
    <row r="1091" ht="11.25" customFormat="1" customHeight="1" s="1"/>
    <row r="1092" ht="11.25" customFormat="1" customHeight="1" s="1"/>
    <row r="1093" ht="11.25" customFormat="1" customHeight="1" s="1"/>
    <row r="1094" ht="11.25" customFormat="1" customHeight="1" s="1"/>
    <row r="1095" ht="11.25" customFormat="1" customHeight="1" s="1"/>
    <row r="1096" ht="11.25" customFormat="1" customHeight="1" s="1"/>
    <row r="1097" ht="11.25" customFormat="1" customHeight="1" s="1"/>
    <row r="1098" ht="11.25" customFormat="1" customHeight="1" s="1"/>
    <row r="1099" ht="11.25" customFormat="1" customHeight="1" s="1"/>
    <row r="1100" ht="11.25" customFormat="1" customHeight="1" s="1"/>
    <row r="1101" ht="11.25" customFormat="1" customHeight="1" s="1"/>
    <row r="1102" ht="11.25" customFormat="1" customHeight="1" s="1"/>
    <row r="1103" ht="11.25" customFormat="1" customHeight="1" s="1"/>
    <row r="1104" ht="11.25" customFormat="1" customHeight="1" s="1"/>
    <row r="1105" ht="11.25" customFormat="1" customHeight="1" s="1"/>
    <row r="1106" ht="11.25" customFormat="1" customHeight="1" s="1"/>
    <row r="1107" ht="11.25" customFormat="1" customHeight="1" s="1"/>
    <row r="1108" ht="11.25" customFormat="1" customHeight="1" s="1"/>
    <row r="1109" ht="11.25" customFormat="1" customHeight="1" s="1"/>
    <row r="1110" ht="11.25" customFormat="1" customHeight="1" s="1"/>
    <row r="1111" ht="11.25" customFormat="1" customHeight="1" s="1"/>
    <row r="1112" ht="11.25" customFormat="1" customHeight="1" s="1"/>
    <row r="1113" ht="11.25" customFormat="1" customHeight="1" s="1"/>
    <row r="1114" ht="11.25" customFormat="1" customHeight="1" s="1"/>
    <row r="1115" ht="11.25" customFormat="1" customHeight="1" s="1"/>
    <row r="1116" ht="11.25" customFormat="1" customHeight="1" s="1"/>
    <row r="1117" ht="11.25" customFormat="1" customHeight="1" s="1"/>
    <row r="1118" ht="11.25" customFormat="1" customHeight="1" s="1"/>
    <row r="1119" ht="11.25" customFormat="1" customHeight="1" s="1"/>
    <row r="1120" ht="11.25" customFormat="1" customHeight="1" s="1"/>
    <row r="1121" ht="11.25" customFormat="1" customHeight="1" s="1"/>
    <row r="1122" ht="11.25" customFormat="1" customHeight="1" s="1"/>
    <row r="1123" ht="11.25" customFormat="1" customHeight="1" s="1"/>
    <row r="1124" ht="11.25" customFormat="1" customHeight="1" s="1"/>
    <row r="1125" ht="11.25" customFormat="1" customHeight="1" s="1"/>
    <row r="1126" ht="11.25" customFormat="1" customHeight="1" s="1"/>
    <row r="1127" ht="11.25" customFormat="1" customHeight="1" s="1"/>
    <row r="1128" ht="11.25" customFormat="1" customHeight="1" s="1"/>
    <row r="1129" ht="11.25" customFormat="1" customHeight="1" s="1"/>
    <row r="1130" ht="11.25" customFormat="1" customHeight="1" s="1"/>
    <row r="1131" ht="11.25" customFormat="1" customHeight="1" s="1"/>
    <row r="1132" ht="11.25" customFormat="1" customHeight="1" s="1"/>
    <row r="1133" ht="11.25" customFormat="1" customHeight="1" s="1"/>
    <row r="1134" ht="11.25" customFormat="1" customHeight="1" s="1"/>
    <row r="1135" ht="11.25" customFormat="1" customHeight="1" s="1"/>
    <row r="1136" ht="11.25" customFormat="1" customHeight="1" s="1"/>
    <row r="1137" ht="11.25" customFormat="1" customHeight="1" s="1"/>
    <row r="1138" ht="11.25" customFormat="1" customHeight="1" s="1"/>
    <row r="1139" ht="11.25" customFormat="1" customHeight="1" s="1"/>
    <row r="1140" ht="11.25" customFormat="1" customHeight="1" s="1"/>
    <row r="1141" ht="11.25" customFormat="1" customHeight="1" s="1"/>
    <row r="1142" ht="11.25" customFormat="1" customHeight="1" s="1"/>
    <row r="1143" ht="11.25" customFormat="1" customHeight="1" s="1"/>
    <row r="1144" ht="11.25" customFormat="1" customHeight="1" s="1"/>
    <row r="1145" ht="11.25" customFormat="1" customHeight="1" s="1"/>
    <row r="1146" ht="11.25" customFormat="1" customHeight="1" s="1"/>
    <row r="1147" ht="11.25" customFormat="1" customHeight="1" s="1"/>
    <row r="1148" ht="11.25" customFormat="1" customHeight="1" s="1"/>
    <row r="1149" ht="11.25" customFormat="1" customHeight="1" s="1"/>
    <row r="1150" ht="11.25" customFormat="1" customHeight="1" s="1"/>
    <row r="1151" ht="11.25" customFormat="1" customHeight="1" s="1"/>
    <row r="1152" ht="11.25" customFormat="1" customHeight="1" s="1"/>
    <row r="1153" ht="11.25" customFormat="1" customHeight="1" s="1"/>
    <row r="1154" ht="11.25" customFormat="1" customHeight="1" s="1"/>
    <row r="1155" ht="11.25" customFormat="1" customHeight="1" s="1"/>
    <row r="1156" ht="11.25" customFormat="1" customHeight="1" s="1"/>
    <row r="1157" ht="11.25" customFormat="1" customHeight="1" s="1"/>
    <row r="1158" ht="11.25" customFormat="1" customHeight="1" s="1"/>
    <row r="1159" ht="11.25" customFormat="1" customHeight="1" s="1"/>
    <row r="1160" ht="11.25" customFormat="1" customHeight="1" s="1"/>
    <row r="1161" ht="11.25" customFormat="1" customHeight="1" s="1"/>
    <row r="1162" ht="11.25" customFormat="1" customHeight="1" s="1"/>
    <row r="1163" ht="11.25" customFormat="1" customHeight="1" s="1"/>
    <row r="1164" ht="11.25" customFormat="1" customHeight="1" s="1"/>
    <row r="1165" ht="11.25" customFormat="1" customHeight="1" s="1"/>
    <row r="1166" ht="11.25" customFormat="1" customHeight="1" s="1"/>
    <row r="1167" ht="11.25" customFormat="1" customHeight="1" s="1"/>
    <row r="1168" ht="11.25" customFormat="1" customHeight="1" s="1"/>
    <row r="1169" ht="11.25" customFormat="1" customHeight="1" s="1"/>
    <row r="1170" ht="11.25" customFormat="1" customHeight="1" s="1"/>
    <row r="1171" ht="11.25" customFormat="1" customHeight="1" s="1"/>
    <row r="1172" ht="11.25" customFormat="1" customHeight="1" s="1"/>
    <row r="1173" ht="11.25" customFormat="1" customHeight="1" s="1"/>
    <row r="1174" ht="11.25" customFormat="1" customHeight="1" s="1"/>
    <row r="1175" ht="11.25" customFormat="1" customHeight="1" s="1"/>
    <row r="1176" ht="11.25" customFormat="1" customHeight="1" s="1"/>
    <row r="1177" ht="11.25" customFormat="1" customHeight="1" s="1"/>
    <row r="1178" ht="11.25" customFormat="1" customHeight="1" s="1"/>
    <row r="1179" ht="11.25" customFormat="1" customHeight="1" s="1"/>
    <row r="1180" ht="11.25" customFormat="1" customHeight="1" s="1"/>
    <row r="1181" ht="11.25" customFormat="1" customHeight="1" s="1"/>
    <row r="1182" ht="11.25" customFormat="1" customHeight="1" s="1"/>
    <row r="1183" ht="11.25" customFormat="1" customHeight="1" s="1"/>
    <row r="1184" ht="11.25" customFormat="1" customHeight="1" s="1"/>
    <row r="1185" ht="11.25" customFormat="1" customHeight="1" s="1"/>
    <row r="1186" ht="11.25" customFormat="1" customHeight="1" s="1"/>
    <row r="1187" ht="11.25" customFormat="1" customHeight="1" s="1"/>
    <row r="1188" ht="11.25" customFormat="1" customHeight="1" s="1"/>
    <row r="1189" ht="11.25" customFormat="1" customHeight="1" s="1"/>
    <row r="1190" ht="11.25" customFormat="1" customHeight="1" s="1"/>
    <row r="1191" ht="11.25" customFormat="1" customHeight="1" s="1"/>
    <row r="1192" ht="11.25" customFormat="1" customHeight="1" s="1"/>
    <row r="1193" ht="11.25" customFormat="1" customHeight="1" s="1"/>
    <row r="1194" ht="11.25" customFormat="1" customHeight="1" s="1"/>
    <row r="1195" ht="11.25" customFormat="1" customHeight="1" s="1"/>
    <row r="1196" ht="11.25" customFormat="1" customHeight="1" s="1"/>
    <row r="1197" ht="11.25" customFormat="1" customHeight="1" s="1"/>
    <row r="1198" ht="11.25" customFormat="1" customHeight="1" s="1"/>
    <row r="1199" ht="11.25" customFormat="1" customHeight="1" s="1"/>
    <row r="1200" ht="11.25" customFormat="1" customHeight="1" s="1"/>
    <row r="1201" ht="11.25" customFormat="1" customHeight="1" s="1"/>
    <row r="1202" ht="11.25" customFormat="1" customHeight="1" s="1"/>
    <row r="1203" ht="11.25" customFormat="1" customHeight="1" s="1"/>
    <row r="1204" ht="11.25" customFormat="1" customHeight="1" s="1"/>
    <row r="1205" ht="11.25" customFormat="1" customHeight="1" s="1"/>
    <row r="1206" ht="11.25" customFormat="1" customHeight="1" s="1"/>
    <row r="1207" ht="11.25" customFormat="1" customHeight="1" s="1"/>
    <row r="1208" ht="11.25" customFormat="1" customHeight="1" s="1"/>
    <row r="1209" ht="11.25" customFormat="1" customHeight="1" s="1"/>
    <row r="1210" ht="11.25" customFormat="1" customHeight="1" s="1"/>
    <row r="1211" ht="11.25" customFormat="1" customHeight="1" s="1"/>
    <row r="1212" ht="11.25" customFormat="1" customHeight="1" s="1"/>
    <row r="1213" ht="11.25" customFormat="1" customHeight="1" s="1"/>
    <row r="1214" ht="11.25" customFormat="1" customHeight="1" s="1"/>
    <row r="1215" ht="11.25" customFormat="1" customHeight="1" s="1"/>
    <row r="1216" ht="11.25" customFormat="1" customHeight="1" s="1"/>
    <row r="1217" ht="11.25" customFormat="1" customHeight="1" s="1"/>
    <row r="1218" ht="11.25" customFormat="1" customHeight="1" s="1"/>
    <row r="1219" ht="11.25" customFormat="1" customHeight="1" s="1"/>
    <row r="1220" ht="11.25" customFormat="1" customHeight="1" s="1"/>
    <row r="1221" ht="11.25" customFormat="1" customHeight="1" s="1"/>
    <row r="1222" ht="11.25" customFormat="1" customHeight="1" s="1"/>
    <row r="1223" ht="11.25" customFormat="1" customHeight="1" s="1"/>
    <row r="1224" ht="11.25" customFormat="1" customHeight="1" s="1"/>
    <row r="1225" ht="11.25" customFormat="1" customHeight="1" s="1"/>
    <row r="1226" ht="11.25" customFormat="1" customHeight="1" s="1"/>
    <row r="1227" ht="11.25" customFormat="1" customHeight="1" s="1"/>
    <row r="1228" ht="11.25" customFormat="1" customHeight="1" s="1"/>
    <row r="1229" ht="11.25" customFormat="1" customHeight="1" s="1"/>
    <row r="1230" ht="11.25" customFormat="1" customHeight="1" s="1"/>
    <row r="1231" ht="11.25" customFormat="1" customHeight="1" s="1"/>
    <row r="1232" ht="11.25" customFormat="1" customHeight="1" s="1"/>
    <row r="1233" ht="11.25" customFormat="1" customHeight="1" s="1"/>
    <row r="1234" ht="11.25" customFormat="1" customHeight="1" s="1"/>
    <row r="1235" ht="11.25" customFormat="1" customHeight="1" s="1"/>
    <row r="1236" ht="11.25" customFormat="1" customHeight="1" s="1"/>
    <row r="1237" ht="11.25" customFormat="1" customHeight="1" s="1"/>
    <row r="1238" ht="11.25" customFormat="1" customHeight="1" s="1"/>
    <row r="1239" ht="11.25" customFormat="1" customHeight="1" s="1"/>
    <row r="1240" ht="11.25" customFormat="1" customHeight="1" s="1"/>
    <row r="1241" ht="11.25" customFormat="1" customHeight="1" s="1"/>
    <row r="1242" ht="11.25" customFormat="1" customHeight="1" s="1"/>
    <row r="1243" ht="11.25" customFormat="1" customHeight="1" s="1"/>
    <row r="1244" ht="11.25" customFormat="1" customHeight="1" s="1"/>
    <row r="1245" ht="11.25" customFormat="1" customHeight="1" s="1"/>
    <row r="1246" ht="11.25" customFormat="1" customHeight="1" s="1"/>
    <row r="1247" ht="11.25" customFormat="1" customHeight="1" s="1"/>
    <row r="1248" ht="11.25" customFormat="1" customHeight="1" s="1"/>
    <row r="1249" ht="11.25" customFormat="1" customHeight="1" s="1"/>
    <row r="1250" ht="11.25" customFormat="1" customHeight="1" s="1"/>
    <row r="1251" ht="11.25" customFormat="1" customHeight="1" s="1"/>
    <row r="1252" ht="11.25" customFormat="1" customHeight="1" s="1"/>
    <row r="1253" ht="11.25" customFormat="1" customHeight="1" s="1"/>
    <row r="1254" ht="11.25" customFormat="1" customHeight="1" s="1"/>
    <row r="1255" ht="11.25" customFormat="1" customHeight="1" s="1"/>
    <row r="1256" ht="11.25" customFormat="1" customHeight="1" s="1"/>
    <row r="1257" ht="11.25" customFormat="1" customHeight="1" s="1"/>
    <row r="1258" ht="11.25" customFormat="1" customHeight="1" s="1"/>
    <row r="1259" ht="11.25" customFormat="1" customHeight="1" s="1"/>
    <row r="1260" ht="11.25" customFormat="1" customHeight="1" s="1"/>
    <row r="1261" ht="11.25" customFormat="1" customHeight="1" s="1"/>
    <row r="1262" ht="11.25" customFormat="1" customHeight="1" s="1"/>
    <row r="1263" ht="11.25" customFormat="1" customHeight="1" s="1"/>
    <row r="1264" ht="11.25" customFormat="1" customHeight="1" s="1"/>
    <row r="1265" ht="11.25" customFormat="1" customHeight="1" s="1"/>
    <row r="1266" ht="11.25" customFormat="1" customHeight="1" s="1"/>
    <row r="1267" ht="11.25" customFormat="1" customHeight="1" s="1"/>
    <row r="1268" ht="11.25" customFormat="1" customHeight="1" s="1"/>
    <row r="1269" ht="11.25" customFormat="1" customHeight="1" s="1"/>
    <row r="1270" ht="11.25" customFormat="1" customHeight="1" s="1"/>
    <row r="1271" ht="11.25" customFormat="1" customHeight="1" s="1"/>
    <row r="1272" ht="11.25" customFormat="1" customHeight="1" s="1"/>
    <row r="1273" ht="11.25" customFormat="1" customHeight="1" s="1"/>
    <row r="1274" ht="11.25" customFormat="1" customHeight="1" s="1"/>
    <row r="1275" ht="11.25" customFormat="1" customHeight="1" s="1"/>
    <row r="1276" ht="11.25" customFormat="1" customHeight="1" s="1"/>
    <row r="1277" ht="11.25" customFormat="1" customHeight="1" s="1"/>
    <row r="1278" ht="11.25" customFormat="1" customHeight="1" s="1"/>
    <row r="1279" ht="11.25" customFormat="1" customHeight="1" s="1"/>
    <row r="1280" ht="11.25" customFormat="1" customHeight="1" s="1"/>
    <row r="1281" ht="11.25" customFormat="1" customHeight="1" s="1"/>
    <row r="1282" ht="11.25" customFormat="1" customHeight="1" s="1"/>
    <row r="1283" ht="11.25" customFormat="1" customHeight="1" s="1"/>
    <row r="1284" ht="11.25" customFormat="1" customHeight="1" s="1"/>
    <row r="1285" ht="11.25" customFormat="1" customHeight="1" s="1"/>
    <row r="1286" ht="11.25" customFormat="1" customHeight="1" s="1"/>
    <row r="1287" ht="11.25" customFormat="1" customHeight="1" s="1"/>
    <row r="1288" ht="11.25" customFormat="1" customHeight="1" s="1"/>
    <row r="1289" ht="11.25" customFormat="1" customHeight="1" s="1"/>
    <row r="1290" ht="11.25" customFormat="1" customHeight="1" s="1"/>
    <row r="1291" ht="11.25" customFormat="1" customHeight="1" s="1"/>
    <row r="1292" ht="11.25" customFormat="1" customHeight="1" s="1"/>
    <row r="1293" ht="11.25" customFormat="1" customHeight="1" s="1"/>
    <row r="1294" ht="11.25" customFormat="1" customHeight="1" s="1"/>
    <row r="1295" ht="11.25" customFormat="1" customHeight="1" s="1"/>
    <row r="1296" ht="11.25" customFormat="1" customHeight="1" s="1"/>
    <row r="1297" ht="11.25" customFormat="1" customHeight="1" s="1"/>
    <row r="1298" ht="11.25" customFormat="1" customHeight="1" s="1"/>
    <row r="1299" ht="11.25" customFormat="1" customHeight="1" s="1"/>
    <row r="1300" ht="11.25" customFormat="1" customHeight="1" s="1"/>
    <row r="1301" ht="11.25" customFormat="1" customHeight="1" s="1"/>
    <row r="1302" ht="11.25" customFormat="1" customHeight="1" s="1"/>
    <row r="1303" ht="11.25" customFormat="1" customHeight="1" s="1"/>
    <row r="1304" ht="11.25" customFormat="1" customHeight="1" s="1"/>
    <row r="1305" ht="11.25" customFormat="1" customHeight="1" s="1"/>
    <row r="1306" ht="11.25" customFormat="1" customHeight="1" s="1"/>
    <row r="1307" ht="11.25" customFormat="1" customHeight="1" s="1"/>
    <row r="1308" ht="11.25" customFormat="1" customHeight="1" s="1"/>
    <row r="1309" ht="11.25" customFormat="1" customHeight="1" s="1"/>
    <row r="1310" ht="11.25" customFormat="1" customHeight="1" s="1"/>
    <row r="1311" ht="11.25" customFormat="1" customHeight="1" s="1"/>
    <row r="1312" ht="11.25" customFormat="1" customHeight="1" s="1"/>
    <row r="1313" ht="11.25" customFormat="1" customHeight="1" s="1"/>
    <row r="1314" ht="11.25" customFormat="1" customHeight="1" s="1"/>
    <row r="1315" ht="11.25" customFormat="1" customHeight="1" s="1"/>
    <row r="1316" ht="11.25" customFormat="1" customHeight="1" s="1"/>
    <row r="1317" ht="11.25" customFormat="1" customHeight="1" s="1"/>
    <row r="1318" ht="11.25" customFormat="1" customHeight="1" s="1"/>
    <row r="1319" ht="11.25" customFormat="1" customHeight="1" s="1"/>
    <row r="1320" ht="11.25" customFormat="1" customHeight="1" s="1"/>
    <row r="1321" ht="11.25" customFormat="1" customHeight="1" s="1"/>
    <row r="1322" ht="11.25" customFormat="1" customHeight="1" s="1"/>
    <row r="1323" ht="11.25" customFormat="1" customHeight="1" s="1"/>
    <row r="1324" ht="11.25" customFormat="1" customHeight="1" s="1"/>
    <row r="1325" ht="11.25" customFormat="1" customHeight="1" s="1"/>
    <row r="1326" ht="11.25" customFormat="1" customHeight="1" s="1"/>
    <row r="1327" ht="11.25" customFormat="1" customHeight="1" s="1"/>
    <row r="1328" ht="11.25" customFormat="1" customHeight="1" s="1"/>
    <row r="1329" ht="11.25" customFormat="1" customHeight="1" s="1"/>
    <row r="1330" ht="11.25" customFormat="1" customHeight="1" s="1"/>
    <row r="1331" ht="11.25" customFormat="1" customHeight="1" s="1"/>
    <row r="1332" ht="11.25" customFormat="1" customHeight="1" s="1"/>
    <row r="1333" ht="11.25" customFormat="1" customHeight="1" s="1"/>
    <row r="1334" ht="11.25" customFormat="1" customHeight="1" s="1"/>
    <row r="1335" ht="11.25" customFormat="1" customHeight="1" s="1"/>
    <row r="1336" ht="11.25" customFormat="1" customHeight="1" s="1"/>
    <row r="1337" ht="11.25" customFormat="1" customHeight="1" s="1"/>
    <row r="1338" ht="11.25" customFormat="1" customHeight="1" s="1"/>
    <row r="1339" ht="11.25" customFormat="1" customHeight="1" s="1"/>
    <row r="1340" ht="11.25" customFormat="1" customHeight="1" s="1"/>
    <row r="1341" ht="11.25" customFormat="1" customHeight="1" s="1"/>
    <row r="1342" ht="11.25" customFormat="1" customHeight="1" s="1"/>
    <row r="1343" ht="11.25" customFormat="1" customHeight="1" s="1"/>
    <row r="1344" ht="11.25" customFormat="1" customHeight="1" s="1"/>
    <row r="1345" ht="11.25" customFormat="1" customHeight="1" s="1"/>
    <row r="1346" ht="11.25" customFormat="1" customHeight="1" s="1"/>
    <row r="1347" ht="11.25" customFormat="1" customHeight="1" s="1"/>
    <row r="1348" ht="11.25" customFormat="1" customHeight="1" s="1"/>
    <row r="1349" ht="11.25" customFormat="1" customHeight="1" s="1"/>
    <row r="1350" ht="11.25" customFormat="1" customHeight="1" s="1"/>
    <row r="1351" ht="11.25" customFormat="1" customHeight="1" s="1"/>
    <row r="1352" ht="11.25" customFormat="1" customHeight="1" s="1"/>
    <row r="1353" ht="11.25" customFormat="1" customHeight="1" s="1"/>
    <row r="1354" ht="11.25" customFormat="1" customHeight="1" s="1"/>
    <row r="1355" ht="11.25" customFormat="1" customHeight="1" s="1"/>
    <row r="1356" ht="11.25" customFormat="1" customHeight="1" s="1"/>
    <row r="1357" ht="11.25" customFormat="1" customHeight="1" s="1"/>
    <row r="1358" ht="11.25" customFormat="1" customHeight="1" s="1"/>
    <row r="1359" ht="11.25" customFormat="1" customHeight="1" s="1"/>
    <row r="1360" ht="11.25" customFormat="1" customHeight="1" s="1"/>
    <row r="1361" ht="11.25" customFormat="1" customHeight="1" s="1"/>
    <row r="1362" ht="11.25" customFormat="1" customHeight="1" s="1"/>
    <row r="1363" ht="11.25" customFormat="1" customHeight="1" s="1"/>
    <row r="1364" ht="11.25" customFormat="1" customHeight="1" s="1"/>
    <row r="1365" ht="11.25" customFormat="1" customHeight="1" s="1"/>
    <row r="1366" ht="11.25" customFormat="1" customHeight="1" s="1"/>
    <row r="1367" ht="11.25" customFormat="1" customHeight="1" s="1"/>
    <row r="1368" ht="11.25" customFormat="1" customHeight="1" s="1"/>
    <row r="1369" ht="11.25" customFormat="1" customHeight="1" s="1"/>
    <row r="1370" ht="11.25" customFormat="1" customHeight="1" s="1"/>
    <row r="1371" ht="11.25" customFormat="1" customHeight="1" s="1"/>
    <row r="1372" ht="11.25" customFormat="1" customHeight="1" s="1"/>
    <row r="1373" ht="11.25" customFormat="1" customHeight="1" s="1"/>
    <row r="1374" ht="11.25" customFormat="1" customHeight="1" s="1"/>
    <row r="1375" ht="11.25" customFormat="1" customHeight="1" s="1"/>
    <row r="1376" ht="11.25" customFormat="1" customHeight="1" s="1"/>
    <row r="1377" ht="11.25" customFormat="1" customHeight="1" s="1"/>
    <row r="1378" ht="11.25" customFormat="1" customHeight="1" s="1"/>
    <row r="1379" ht="11.25" customFormat="1" customHeight="1" s="1"/>
    <row r="1380" ht="11.25" customFormat="1" customHeight="1" s="1"/>
    <row r="1381" ht="11.25" customFormat="1" customHeight="1" s="1"/>
    <row r="1382" ht="11.25" customFormat="1" customHeight="1" s="1"/>
    <row r="1383" ht="11.25" customFormat="1" customHeight="1" s="1"/>
    <row r="1384" ht="11.25" customFormat="1" customHeight="1" s="1"/>
    <row r="1385" ht="11.25" customFormat="1" customHeight="1" s="1"/>
    <row r="1386" ht="11.25" customFormat="1" customHeight="1" s="1"/>
    <row r="1387" ht="11.25" customFormat="1" customHeight="1" s="1"/>
    <row r="1388" ht="11.25" customFormat="1" customHeight="1" s="1"/>
    <row r="1389" ht="11.25" customFormat="1" customHeight="1" s="1"/>
    <row r="1390" ht="11.25" customFormat="1" customHeight="1" s="1"/>
    <row r="1391" ht="11.25" customFormat="1" customHeight="1" s="1"/>
    <row r="1392" ht="11.25" customFormat="1" customHeight="1" s="1"/>
    <row r="1393" ht="11.25" customFormat="1" customHeight="1" s="1"/>
    <row r="1394" ht="11.25" customFormat="1" customHeight="1" s="1"/>
    <row r="1395" ht="11.25" customFormat="1" customHeight="1" s="1"/>
    <row r="1396" ht="11.25" customFormat="1" customHeight="1" s="1"/>
    <row r="1397" ht="11.25" customFormat="1" customHeight="1" s="1"/>
    <row r="1398" ht="11.25" customFormat="1" customHeight="1" s="1"/>
    <row r="1399" ht="11.25" customFormat="1" customHeight="1" s="1"/>
    <row r="1400" ht="11.25" customFormat="1" customHeight="1" s="1"/>
    <row r="1401" ht="11.25" customFormat="1" customHeight="1" s="1"/>
    <row r="1402" ht="11.25" customFormat="1" customHeight="1" s="1"/>
    <row r="1403" ht="11.25" customFormat="1" customHeight="1" s="1"/>
    <row r="1404" ht="11.25" customFormat="1" customHeight="1" s="1"/>
    <row r="1405" ht="11.25" customFormat="1" customHeight="1" s="1"/>
    <row r="1406" ht="11.25" customFormat="1" customHeight="1" s="1"/>
    <row r="1407" ht="11.25" customFormat="1" customHeight="1" s="1"/>
    <row r="1408" ht="11.25" customFormat="1" customHeight="1" s="1"/>
    <row r="1409" ht="11.25" customFormat="1" customHeight="1" s="1"/>
    <row r="1410" ht="11.25" customFormat="1" customHeight="1" s="1"/>
    <row r="1411" ht="11.25" customFormat="1" customHeight="1" s="1"/>
    <row r="1412" ht="11.25" customFormat="1" customHeight="1" s="1"/>
    <row r="1413" ht="11.25" customFormat="1" customHeight="1" s="1"/>
    <row r="1414" ht="11.25" customFormat="1" customHeight="1" s="1"/>
    <row r="1415" ht="11.25" customFormat="1" customHeight="1" s="1"/>
    <row r="1416" ht="11.25" customFormat="1" customHeight="1" s="1"/>
    <row r="1417" ht="11.25" customFormat="1" customHeight="1" s="1"/>
    <row r="1418" ht="11.25" customFormat="1" customHeight="1" s="1"/>
    <row r="1419" ht="11.25" customFormat="1" customHeight="1" s="1"/>
    <row r="1420" ht="11.25" customFormat="1" customHeight="1" s="1"/>
    <row r="1421" ht="11.25" customFormat="1" customHeight="1" s="1"/>
    <row r="1422" ht="11.25" customFormat="1" customHeight="1" s="1"/>
    <row r="1423" ht="11.25" customFormat="1" customHeight="1" s="1"/>
    <row r="1424" ht="11.25" customFormat="1" customHeight="1" s="1"/>
    <row r="1425" ht="11.25" customFormat="1" customHeight="1" s="1"/>
    <row r="1426" ht="11.25" customFormat="1" customHeight="1" s="1"/>
    <row r="1427" ht="11.25" customFormat="1" customHeight="1" s="1"/>
    <row r="1428" ht="11.25" customFormat="1" customHeight="1" s="1"/>
    <row r="1429" ht="11.25" customFormat="1" customHeight="1" s="1"/>
    <row r="1430" ht="11.25" customFormat="1" customHeight="1" s="1"/>
    <row r="1431" ht="11.25" customFormat="1" customHeight="1" s="1"/>
    <row r="1432" ht="11.25" customFormat="1" customHeight="1" s="1"/>
    <row r="1433" ht="11.25" customFormat="1" customHeight="1" s="1"/>
    <row r="1434" ht="11.25" customFormat="1" customHeight="1" s="1"/>
    <row r="1435" ht="11.25" customFormat="1" customHeight="1" s="1"/>
    <row r="1436" ht="11.25" customFormat="1" customHeight="1" s="1"/>
    <row r="1437" ht="11.25" customFormat="1" customHeight="1" s="1"/>
    <row r="1438" ht="11.25" customFormat="1" customHeight="1" s="1"/>
    <row r="1439" ht="11.25" customFormat="1" customHeight="1" s="1"/>
    <row r="1440" ht="11.25" customFormat="1" customHeight="1" s="1"/>
    <row r="1441" ht="11.25" customFormat="1" customHeight="1" s="1"/>
    <row r="1442" ht="11.25" customFormat="1" customHeight="1" s="1"/>
    <row r="1443" ht="11.25" customFormat="1" customHeight="1" s="1"/>
    <row r="1444" ht="11.25" customFormat="1" customHeight="1" s="1"/>
    <row r="1445" ht="11.25" customFormat="1" customHeight="1" s="1"/>
    <row r="1446" ht="11.25" customFormat="1" customHeight="1" s="1"/>
    <row r="1447" ht="11.25" customFormat="1" customHeight="1" s="1"/>
    <row r="1448" ht="11.25" customFormat="1" customHeight="1" s="1"/>
    <row r="1449" ht="11.25" customFormat="1" customHeight="1" s="1"/>
    <row r="1450" ht="11.25" customFormat="1" customHeight="1" s="1"/>
    <row r="1451" ht="11.25" customFormat="1" customHeight="1" s="1"/>
    <row r="1452" ht="11.25" customFormat="1" customHeight="1" s="1"/>
    <row r="1453" ht="11.25" customFormat="1" customHeight="1" s="1"/>
    <row r="1454" ht="11.25" customFormat="1" customHeight="1" s="1"/>
    <row r="1455" ht="11.25" customFormat="1" customHeight="1" s="1"/>
    <row r="1456" ht="11.25" customFormat="1" customHeight="1" s="1"/>
    <row r="1457" ht="11.25" customFormat="1" customHeight="1" s="1"/>
    <row r="1458" ht="11.25" customFormat="1" customHeight="1" s="1"/>
    <row r="1459" ht="11.25" customFormat="1" customHeight="1" s="1"/>
    <row r="1460" ht="11.25" customFormat="1" customHeight="1" s="1"/>
    <row r="1461" ht="11.25" customFormat="1" customHeight="1" s="1"/>
    <row r="1462" ht="11.25" customFormat="1" customHeight="1" s="1"/>
    <row r="1463" ht="11.25" customFormat="1" customHeight="1" s="1"/>
    <row r="1464" ht="11.25" customFormat="1" customHeight="1" s="1"/>
    <row r="1465" ht="11.25" customFormat="1" customHeight="1" s="1"/>
    <row r="1466" ht="11.25" customFormat="1" customHeight="1" s="1"/>
    <row r="1467" ht="11.25" customFormat="1" customHeight="1" s="1"/>
    <row r="1468" ht="11.25" customFormat="1" customHeight="1" s="1"/>
    <row r="1469" ht="11.25" customFormat="1" customHeight="1" s="1"/>
    <row r="1470" ht="11.25" customFormat="1" customHeight="1" s="1"/>
    <row r="1471" ht="11.25" customFormat="1" customHeight="1" s="1"/>
    <row r="1472" ht="11.25" customFormat="1" customHeight="1" s="1"/>
    <row r="1473" ht="11.25" customFormat="1" customHeight="1" s="1"/>
    <row r="1474" ht="11.25" customFormat="1" customHeight="1" s="1"/>
    <row r="1475" ht="11.25" customFormat="1" customHeight="1" s="1"/>
    <row r="1476" ht="11.25" customFormat="1" customHeight="1" s="1"/>
    <row r="1477" ht="11.25" customFormat="1" customHeight="1" s="1"/>
    <row r="1478" ht="11.25" customFormat="1" customHeight="1" s="1"/>
    <row r="1479" ht="11.25" customFormat="1" customHeight="1" s="1"/>
    <row r="1480" ht="11.25" customFormat="1" customHeight="1" s="1"/>
    <row r="1481" ht="11.25" customFormat="1" customHeight="1" s="1"/>
    <row r="1482" ht="11.25" customFormat="1" customHeight="1" s="1"/>
    <row r="1483" ht="11.25" customFormat="1" customHeight="1" s="1"/>
    <row r="1484" ht="11.25" customFormat="1" customHeight="1" s="1"/>
    <row r="1485" ht="11.25" customFormat="1" customHeight="1" s="1"/>
    <row r="1486" ht="11.25" customFormat="1" customHeight="1" s="1"/>
    <row r="1487" ht="11.25" customFormat="1" customHeight="1" s="1"/>
    <row r="1488" ht="11.25" customFormat="1" customHeight="1" s="1"/>
    <row r="1489" ht="11.25" customFormat="1" customHeight="1" s="1"/>
    <row r="1490" ht="11.25" customFormat="1" customHeight="1" s="1"/>
    <row r="1491" ht="11.25" customFormat="1" customHeight="1" s="1"/>
    <row r="1492" ht="11.25" customFormat="1" customHeight="1" s="1"/>
    <row r="1493" ht="11.25" customFormat="1" customHeight="1" s="1"/>
    <row r="1494" ht="11.25" customFormat="1" customHeight="1" s="1"/>
    <row r="1495" ht="11.25" customFormat="1" customHeight="1" s="1"/>
    <row r="1496" ht="11.25" customFormat="1" customHeight="1" s="1"/>
    <row r="1497" ht="11.25" customFormat="1" customHeight="1" s="1"/>
    <row r="1498" ht="11.25" customFormat="1" customHeight="1" s="1"/>
    <row r="1499" ht="11.25" customFormat="1" customHeight="1" s="1"/>
    <row r="1500" ht="11.25" customFormat="1" customHeight="1" s="1"/>
    <row r="1501" ht="11.25" customFormat="1" customHeight="1" s="1"/>
    <row r="1502" ht="11.25" customFormat="1" customHeight="1" s="1"/>
    <row r="1503" ht="11.25" customFormat="1" customHeight="1" s="1"/>
    <row r="1504" ht="11.25" customFormat="1" customHeight="1" s="1"/>
    <row r="1505" ht="11.25" customFormat="1" customHeight="1" s="1"/>
    <row r="1506" ht="11.25" customFormat="1" customHeight="1" s="1"/>
    <row r="1507" ht="11.25" customFormat="1" customHeight="1" s="1"/>
    <row r="1508" ht="11.25" customFormat="1" customHeight="1" s="1"/>
    <row r="1509" ht="11.25" customFormat="1" customHeight="1" s="1"/>
    <row r="1510" ht="11.25" customFormat="1" customHeight="1" s="1"/>
    <row r="1511" ht="11.25" customFormat="1" customHeight="1" s="1"/>
    <row r="1512" ht="11.25" customFormat="1" customHeight="1" s="1"/>
    <row r="1513" ht="11.25" customFormat="1" customHeight="1" s="1"/>
    <row r="1514" ht="11.25" customFormat="1" customHeight="1" s="1"/>
    <row r="1515" ht="11.25" customFormat="1" customHeight="1" s="1"/>
    <row r="1516" ht="11.25" customFormat="1" customHeight="1" s="1"/>
    <row r="1517" ht="11.25" customFormat="1" customHeight="1" s="1"/>
    <row r="1518" ht="11.25" customFormat="1" customHeight="1" s="1"/>
    <row r="1519" ht="11.25" customFormat="1" customHeight="1" s="1"/>
    <row r="1520" ht="11.25" customFormat="1" customHeight="1" s="1"/>
    <row r="1521" ht="11.25" customFormat="1" customHeight="1" s="1"/>
    <row r="1522" ht="11.25" customFormat="1" customHeight="1" s="1"/>
    <row r="1523" ht="11.25" customFormat="1" customHeight="1" s="1"/>
    <row r="1524" ht="11.25" customFormat="1" customHeight="1" s="1"/>
    <row r="1525" ht="11.25" customFormat="1" customHeight="1" s="1"/>
    <row r="1526" ht="11.25" customFormat="1" customHeight="1" s="1"/>
    <row r="1527" ht="11.25" customFormat="1" customHeight="1" s="1"/>
    <row r="1528" ht="11.25" customFormat="1" customHeight="1" s="1"/>
    <row r="1529" ht="11.25" customFormat="1" customHeight="1" s="1"/>
    <row r="1530" ht="11.25" customFormat="1" customHeight="1" s="1"/>
    <row r="1531" ht="11.25" customFormat="1" customHeight="1" s="1"/>
    <row r="1532" ht="11.25" customFormat="1" customHeight="1" s="1"/>
    <row r="1533" ht="11.25" customFormat="1" customHeight="1" s="1"/>
    <row r="1534" ht="11.25" customFormat="1" customHeight="1" s="1"/>
    <row r="1535" ht="11.25" customFormat="1" customHeight="1" s="1"/>
    <row r="1536" ht="11.25" customFormat="1" customHeight="1" s="1"/>
    <row r="1537" ht="11.25" customFormat="1" customHeight="1" s="1"/>
    <row r="1538" ht="11.25" customFormat="1" customHeight="1" s="1"/>
    <row r="1539" ht="11.25" customFormat="1" customHeight="1" s="1"/>
    <row r="1540" ht="11.25" customFormat="1" customHeight="1" s="1"/>
    <row r="1541" ht="11.25" customFormat="1" customHeight="1" s="1"/>
    <row r="1542" ht="11.25" customFormat="1" customHeight="1" s="1"/>
    <row r="1543" ht="11.25" customFormat="1" customHeight="1" s="1"/>
    <row r="1544" ht="11.25" customFormat="1" customHeight="1" s="1"/>
    <row r="1545" ht="11.25" customFormat="1" customHeight="1" s="1"/>
    <row r="1546" ht="11.25" customFormat="1" customHeight="1" s="1"/>
    <row r="1547" ht="11.25" customFormat="1" customHeight="1" s="1"/>
    <row r="1548" ht="11.25" customFormat="1" customHeight="1" s="1"/>
    <row r="1549" ht="11.25" customFormat="1" customHeight="1" s="1"/>
    <row r="1550" ht="11.25" customFormat="1" customHeight="1" s="1"/>
    <row r="1551" ht="11.25" customFormat="1" customHeight="1" s="1"/>
    <row r="1552" ht="11.25" customFormat="1" customHeight="1" s="1"/>
    <row r="1553" ht="11.25" customFormat="1" customHeight="1" s="1"/>
    <row r="1554" ht="11.25" customFormat="1" customHeight="1" s="1"/>
    <row r="1555" ht="11.25" customFormat="1" customHeight="1" s="1"/>
    <row r="1556" ht="11.25" customFormat="1" customHeight="1" s="1"/>
    <row r="1557" ht="11.25" customFormat="1" customHeight="1" s="1"/>
    <row r="1558" ht="11.25" customFormat="1" customHeight="1" s="1"/>
    <row r="1559" ht="11.25" customFormat="1" customHeight="1" s="1"/>
    <row r="1560" ht="11.25" customFormat="1" customHeight="1" s="1"/>
    <row r="1561" ht="11.25" customFormat="1" customHeight="1" s="1"/>
    <row r="1562" ht="11.25" customFormat="1" customHeight="1" s="1"/>
    <row r="1563" ht="11.25" customFormat="1" customHeight="1" s="1"/>
    <row r="1564" ht="11.25" customFormat="1" customHeight="1" s="1"/>
    <row r="1565" ht="11.25" customFormat="1" customHeight="1" s="1"/>
    <row r="1566" ht="11.25" customFormat="1" customHeight="1" s="1"/>
    <row r="1567" ht="11.25" customFormat="1" customHeight="1" s="1"/>
    <row r="1568" ht="11.25" customFormat="1" customHeight="1" s="1"/>
    <row r="1569" ht="11.25" customFormat="1" customHeight="1" s="1"/>
    <row r="1570" ht="11.25" customFormat="1" customHeight="1" s="1"/>
    <row r="1571" ht="11.25" customFormat="1" customHeight="1" s="1"/>
    <row r="1572" ht="11.25" customFormat="1" customHeight="1" s="1"/>
    <row r="1573" ht="11.25" customFormat="1" customHeight="1" s="1"/>
    <row r="1574" ht="11.25" customFormat="1" customHeight="1" s="1"/>
    <row r="1575" ht="11.25" customFormat="1" customHeight="1" s="1"/>
    <row r="1576" ht="11.25" customFormat="1" customHeight="1" s="1"/>
    <row r="1577" ht="11.25" customFormat="1" customHeight="1" s="1"/>
    <row r="1578" ht="11.25" customFormat="1" customHeight="1" s="1"/>
    <row r="1579" ht="11.25" customFormat="1" customHeight="1" s="1"/>
    <row r="1580" ht="11.25" customFormat="1" customHeight="1" s="1"/>
    <row r="1581" ht="11.25" customFormat="1" customHeight="1" s="1"/>
    <row r="1582" ht="11.25" customFormat="1" customHeight="1" s="1"/>
    <row r="1583" ht="11.25" customFormat="1" customHeight="1" s="1"/>
    <row r="1584" ht="11.25" customFormat="1" customHeight="1" s="1"/>
    <row r="1585" ht="11.25" customFormat="1" customHeight="1" s="1"/>
    <row r="1586" ht="11.25" customFormat="1" customHeight="1" s="1"/>
    <row r="1587" ht="11.25" customFormat="1" customHeight="1" s="1"/>
    <row r="1588" ht="11.25" customFormat="1" customHeight="1" s="1"/>
    <row r="1589" ht="11.25" customFormat="1" customHeight="1" s="1"/>
    <row r="1590" ht="11.25" customFormat="1" customHeight="1" s="1"/>
    <row r="1591" ht="11.25" customFormat="1" customHeight="1" s="1"/>
    <row r="1592" ht="11.25" customFormat="1" customHeight="1" s="1"/>
    <row r="1593" ht="11.25" customFormat="1" customHeight="1" s="1"/>
    <row r="1594" ht="11.25" customFormat="1" customHeight="1" s="1"/>
    <row r="1595" ht="11.25" customFormat="1" customHeight="1" s="1"/>
    <row r="1596" ht="11.25" customFormat="1" customHeight="1" s="1"/>
    <row r="1597" ht="11.25" customFormat="1" customHeight="1" s="1"/>
    <row r="1598" ht="11.25" customFormat="1" customHeight="1" s="1"/>
    <row r="1599" ht="11.25" customFormat="1" customHeight="1" s="1"/>
    <row r="1600" ht="11.25" customFormat="1" customHeight="1" s="1"/>
    <row r="1601" ht="11.25" customFormat="1" customHeight="1" s="1"/>
    <row r="1602" ht="11.25" customFormat="1" customHeight="1" s="1"/>
    <row r="1603" ht="11.25" customFormat="1" customHeight="1" s="1"/>
    <row r="1604" ht="11.25" customFormat="1" customHeight="1" s="1"/>
    <row r="1605" ht="11.25" customFormat="1" customHeight="1" s="1"/>
    <row r="1606" ht="11.25" customFormat="1" customHeight="1" s="1"/>
    <row r="1607" ht="11.25" customFormat="1" customHeight="1" s="1"/>
    <row r="1608" ht="11.25" customFormat="1" customHeight="1" s="1"/>
    <row r="1609" ht="11.25" customFormat="1" customHeight="1" s="1"/>
    <row r="1610" ht="11.25" customFormat="1" customHeight="1" s="1"/>
    <row r="1611" ht="11.25" customFormat="1" customHeight="1" s="1"/>
    <row r="1612" ht="11.25" customFormat="1" customHeight="1" s="1"/>
    <row r="1613" ht="11.25" customFormat="1" customHeight="1" s="1"/>
    <row r="1614" ht="11.25" customFormat="1" customHeight="1" s="1"/>
    <row r="1615" ht="11.25" customFormat="1" customHeight="1" s="1"/>
    <row r="1616" ht="11.25" customFormat="1" customHeight="1" s="1"/>
    <row r="1617" ht="11.25" customFormat="1" customHeight="1" s="1"/>
    <row r="1618" ht="11.25" customFormat="1" customHeight="1" s="1"/>
    <row r="1619" ht="11.25" customFormat="1" customHeight="1" s="1"/>
    <row r="1620" ht="11.25" customFormat="1" customHeight="1" s="1"/>
    <row r="1621" ht="11.25" customFormat="1" customHeight="1" s="1"/>
    <row r="1622" ht="11.25" customFormat="1" customHeight="1" s="1"/>
    <row r="1623" ht="11.25" customFormat="1" customHeight="1" s="1"/>
    <row r="1624" ht="11.25" customFormat="1" customHeight="1" s="1"/>
    <row r="1625" ht="11.25" customFormat="1" customHeight="1" s="1"/>
    <row r="1626" ht="11.25" customFormat="1" customHeight="1" s="1"/>
    <row r="1627" ht="11.25" customFormat="1" customHeight="1" s="1"/>
    <row r="1628" ht="11.25" customFormat="1" customHeight="1" s="1"/>
    <row r="1629" ht="11.25" customFormat="1" customHeight="1" s="1"/>
    <row r="1630" ht="11.25" customFormat="1" customHeight="1" s="1"/>
    <row r="1631" ht="11.25" customFormat="1" customHeight="1" s="1"/>
    <row r="1632" ht="11.25" customFormat="1" customHeight="1" s="1"/>
    <row r="1633" ht="11.25" customFormat="1" customHeight="1" s="1"/>
    <row r="1634" ht="11.25" customFormat="1" customHeight="1" s="1"/>
    <row r="1635" ht="11.25" customFormat="1" customHeight="1" s="1"/>
    <row r="1636" ht="11.25" customFormat="1" customHeight="1" s="1"/>
    <row r="1637" ht="11.25" customFormat="1" customHeight="1" s="1"/>
    <row r="1638" ht="11.25" customFormat="1" customHeight="1" s="1"/>
    <row r="1639" ht="11.25" customFormat="1" customHeight="1" s="1"/>
    <row r="1640" ht="11.25" customFormat="1" customHeight="1" s="1"/>
    <row r="1641" ht="11.25" customFormat="1" customHeight="1" s="1"/>
    <row r="1642" ht="11.25" customFormat="1" customHeight="1" s="1"/>
    <row r="1643" ht="11.25" customFormat="1" customHeight="1" s="1"/>
    <row r="1644" ht="11.25" customFormat="1" customHeight="1" s="1"/>
    <row r="1645" ht="11.25" customFormat="1" customHeight="1" s="1"/>
    <row r="1646" ht="11.25" customFormat="1" customHeight="1" s="1"/>
    <row r="1647" ht="11.25" customFormat="1" customHeight="1" s="1"/>
    <row r="1648" ht="11.25" customFormat="1" customHeight="1" s="1"/>
    <row r="1649" ht="11.25" customFormat="1" customHeight="1" s="1"/>
    <row r="1650" ht="11.25" customFormat="1" customHeight="1" s="1"/>
    <row r="1651" ht="11.25" customFormat="1" customHeight="1" s="1"/>
    <row r="1652" ht="11.25" customFormat="1" customHeight="1" s="1"/>
    <row r="1653" ht="11.25" customFormat="1" customHeight="1" s="1"/>
    <row r="1654" ht="11.25" customFormat="1" customHeight="1" s="1"/>
    <row r="1655" ht="11.25" customFormat="1" customHeight="1" s="1"/>
    <row r="1656" ht="11.25" customFormat="1" customHeight="1" s="1"/>
    <row r="1657" ht="11.25" customFormat="1" customHeight="1" s="1"/>
    <row r="1658" ht="11.25" customFormat="1" customHeight="1" s="1"/>
    <row r="1659" ht="11.25" customFormat="1" customHeight="1" s="1"/>
    <row r="1660" ht="11.25" customFormat="1" customHeight="1" s="1"/>
    <row r="1661" ht="11.25" customFormat="1" customHeight="1" s="1"/>
    <row r="1662" ht="11.25" customFormat="1" customHeight="1" s="1"/>
    <row r="1663" ht="11.25" customFormat="1" customHeight="1" s="1"/>
    <row r="1664" ht="11.25" customFormat="1" customHeight="1" s="1"/>
    <row r="1665" ht="11.25" customFormat="1" customHeight="1" s="1"/>
    <row r="1666" ht="11.25" customFormat="1" customHeight="1" s="1"/>
    <row r="1667" ht="11.25" customFormat="1" customHeight="1" s="1"/>
    <row r="1668" ht="11.25" customFormat="1" customHeight="1" s="1"/>
    <row r="1669" ht="11.25" customFormat="1" customHeight="1" s="1"/>
    <row r="1670" ht="11.25" customFormat="1" customHeight="1" s="1"/>
    <row r="1671" ht="11.25" customFormat="1" customHeight="1" s="1"/>
    <row r="1672" ht="11.25" customFormat="1" customHeight="1" s="1"/>
    <row r="1673" ht="11.25" customFormat="1" customHeight="1" s="1"/>
    <row r="1674" ht="11.25" customFormat="1" customHeight="1" s="1"/>
    <row r="1675" ht="11.25" customFormat="1" customHeight="1" s="1"/>
    <row r="1676" ht="11.25" customFormat="1" customHeight="1" s="1"/>
    <row r="1677" ht="11.25" customFormat="1" customHeight="1" s="1"/>
    <row r="1678" ht="11.25" customFormat="1" customHeight="1" s="1"/>
    <row r="1679" ht="11.25" customFormat="1" customHeight="1" s="1"/>
    <row r="1680" ht="11.25" customFormat="1" customHeight="1" s="1"/>
    <row r="1681" ht="11.25" customFormat="1" customHeight="1" s="1"/>
    <row r="1682" ht="11.25" customFormat="1" customHeight="1" s="1"/>
    <row r="1683" ht="11.25" customFormat="1" customHeight="1" s="1"/>
    <row r="1684" ht="11.25" customFormat="1" customHeight="1" s="1"/>
    <row r="1685" ht="11.25" customFormat="1" customHeight="1" s="1"/>
    <row r="1686" ht="11.25" customFormat="1" customHeight="1" s="1"/>
    <row r="1687" ht="11.25" customFormat="1" customHeight="1" s="1"/>
    <row r="1688" ht="11.25" customFormat="1" customHeight="1" s="1"/>
    <row r="1689" ht="11.25" customFormat="1" customHeight="1" s="1"/>
    <row r="1690" ht="11.25" customFormat="1" customHeight="1" s="1"/>
    <row r="1691" ht="11.25" customFormat="1" customHeight="1" s="1"/>
    <row r="1692" ht="11.25" customFormat="1" customHeight="1" s="1"/>
    <row r="1693" ht="11.25" customFormat="1" customHeight="1" s="1"/>
    <row r="1694" ht="11.25" customFormat="1" customHeight="1" s="1"/>
    <row r="1695" ht="11.25" customFormat="1" customHeight="1" s="1"/>
    <row r="1696" ht="11.25" customFormat="1" customHeight="1" s="1"/>
    <row r="1697" ht="11.25" customFormat="1" customHeight="1" s="1"/>
    <row r="1698" ht="11.25" customFormat="1" customHeight="1" s="1"/>
    <row r="1699" ht="11.25" customFormat="1" customHeight="1" s="1"/>
    <row r="1700" ht="11.25" customFormat="1" customHeight="1" s="1"/>
    <row r="1701" ht="11.25" customFormat="1" customHeight="1" s="1"/>
    <row r="1702" ht="11.25" customFormat="1" customHeight="1" s="1"/>
    <row r="1703" ht="11.25" customFormat="1" customHeight="1" s="1"/>
    <row r="1704" ht="11.25" customFormat="1" customHeight="1" s="1"/>
    <row r="1705" ht="11.25" customFormat="1" customHeight="1" s="1"/>
    <row r="1706" ht="11.25" customFormat="1" customHeight="1" s="1"/>
    <row r="1707" ht="11.25" customFormat="1" customHeight="1" s="1"/>
    <row r="1708" ht="11.25" customFormat="1" customHeight="1" s="1"/>
    <row r="1709" ht="11.25" customFormat="1" customHeight="1" s="1"/>
    <row r="1710" ht="11.25" customFormat="1" customHeight="1" s="1"/>
    <row r="1711" ht="11.25" customFormat="1" customHeight="1" s="1"/>
    <row r="1712" ht="11.25" customFormat="1" customHeight="1" s="1"/>
    <row r="1713" ht="11.25" customFormat="1" customHeight="1" s="1"/>
    <row r="1714" ht="11.25" customFormat="1" customHeight="1" s="1"/>
    <row r="1715" ht="11.25" customFormat="1" customHeight="1" s="1"/>
    <row r="1716" ht="11.25" customFormat="1" customHeight="1" s="1"/>
    <row r="1717" ht="11.25" customFormat="1" customHeight="1" s="1"/>
    <row r="1718" ht="11.25" customFormat="1" customHeight="1" s="1"/>
    <row r="1719" ht="11.25" customFormat="1" customHeight="1" s="1"/>
    <row r="1720" ht="11.25" customFormat="1" customHeight="1" s="1"/>
    <row r="1721" ht="11.25" customFormat="1" customHeight="1" s="1"/>
    <row r="1722" ht="11.25" customFormat="1" customHeight="1" s="1"/>
    <row r="1723" ht="11.25" customFormat="1" customHeight="1" s="1"/>
    <row r="1724" ht="11.25" customFormat="1" customHeight="1" s="1"/>
    <row r="1725" ht="11.25" customFormat="1" customHeight="1" s="1"/>
    <row r="1726" ht="11.25" customFormat="1" customHeight="1" s="1"/>
    <row r="1727" ht="11.25" customFormat="1" customHeight="1" s="1"/>
    <row r="1728" ht="11.25" customFormat="1" customHeight="1" s="1"/>
    <row r="1729" ht="11.25" customFormat="1" customHeight="1" s="1"/>
    <row r="1730" ht="11.25" customFormat="1" customHeight="1" s="1"/>
    <row r="1731" ht="11.25" customFormat="1" customHeight="1" s="1"/>
    <row r="1732" ht="11.25" customFormat="1" customHeight="1" s="1"/>
    <row r="1733" ht="11.25" customFormat="1" customHeight="1" s="1"/>
    <row r="1734" ht="11.25" customFormat="1" customHeight="1" s="1"/>
    <row r="1735" ht="11.25" customFormat="1" customHeight="1" s="1"/>
    <row r="1736" ht="11.25" customFormat="1" customHeight="1" s="1"/>
    <row r="1737" ht="11.25" customFormat="1" customHeight="1" s="1"/>
    <row r="1738" ht="11.25" customFormat="1" customHeight="1" s="1"/>
    <row r="1739" ht="11.25" customFormat="1" customHeight="1" s="1"/>
    <row r="1740" ht="11.25" customFormat="1" customHeight="1" s="1"/>
    <row r="1741" ht="11.25" customFormat="1" customHeight="1" s="1"/>
    <row r="1742" ht="11.25" customFormat="1" customHeight="1" s="1"/>
    <row r="1743" ht="11.25" customFormat="1" customHeight="1" s="1"/>
    <row r="1744" ht="11.25" customFormat="1" customHeight="1" s="1"/>
    <row r="1745" ht="11.25" customFormat="1" customHeight="1" s="1"/>
    <row r="1746" ht="11.25" customFormat="1" customHeight="1" s="1"/>
    <row r="1747" ht="11.25" customFormat="1" customHeight="1" s="1"/>
    <row r="1748" ht="11.25" customFormat="1" customHeight="1" s="1"/>
    <row r="1749" ht="11.25" customFormat="1" customHeight="1" s="1"/>
    <row r="1750" ht="11.25" customFormat="1" customHeight="1" s="1"/>
    <row r="1751" ht="11.25" customFormat="1" customHeight="1" s="1"/>
    <row r="1752" ht="11.25" customFormat="1" customHeight="1" s="1"/>
    <row r="1753" ht="11.25" customFormat="1" customHeight="1" s="1"/>
    <row r="1754" ht="11.25" customFormat="1" customHeight="1" s="1"/>
    <row r="1755" ht="11.25" customFormat="1" customHeight="1" s="1"/>
    <row r="1756" ht="11.25" customFormat="1" customHeight="1" s="1"/>
    <row r="1757" ht="11.25" customFormat="1" customHeight="1" s="1"/>
    <row r="1758" ht="11.25" customFormat="1" customHeight="1" s="1"/>
    <row r="1759" ht="11.25" customFormat="1" customHeight="1" s="1"/>
    <row r="1760" ht="11.25" customFormat="1" customHeight="1" s="1"/>
    <row r="1761" ht="11.25" customFormat="1" customHeight="1" s="1"/>
    <row r="1762" ht="11.25" customFormat="1" customHeight="1" s="1"/>
    <row r="1763" ht="11.25" customFormat="1" customHeight="1" s="1"/>
    <row r="1764" ht="11.25" customFormat="1" customHeight="1" s="1"/>
    <row r="1765" ht="11.25" customFormat="1" customHeight="1" s="1"/>
    <row r="1766" ht="11.25" customFormat="1" customHeight="1" s="1"/>
    <row r="1767" ht="11.25" customFormat="1" customHeight="1" s="1"/>
    <row r="1768" ht="11.25" customFormat="1" customHeight="1" s="1"/>
    <row r="1769" ht="11.25" customFormat="1" customHeight="1" s="1"/>
    <row r="1770" ht="11.25" customFormat="1" customHeight="1" s="1"/>
    <row r="1771" ht="11.25" customFormat="1" customHeight="1" s="1"/>
    <row r="1772" ht="11.25" customFormat="1" customHeight="1" s="1"/>
    <row r="1773" ht="11.25" customFormat="1" customHeight="1" s="1"/>
    <row r="1774" ht="11.25" customFormat="1" customHeight="1" s="1"/>
    <row r="1775" ht="11.25" customFormat="1" customHeight="1" s="1"/>
    <row r="1776" ht="11.25" customFormat="1" customHeight="1" s="1"/>
    <row r="1777" ht="11.25" customFormat="1" customHeight="1" s="1"/>
    <row r="1778" ht="11.25" customFormat="1" customHeight="1" s="1"/>
    <row r="1779" ht="11.25" customFormat="1" customHeight="1" s="1"/>
    <row r="1780" ht="11.25" customFormat="1" customHeight="1" s="1"/>
    <row r="1781" ht="11.25" customFormat="1" customHeight="1" s="1"/>
    <row r="1782" ht="11.25" customFormat="1" customHeight="1" s="1"/>
    <row r="1783" ht="11.25" customFormat="1" customHeight="1" s="1"/>
    <row r="1784" ht="11.25" customFormat="1" customHeight="1" s="1"/>
    <row r="1785" ht="11.25" customFormat="1" customHeight="1" s="1"/>
    <row r="1786" ht="11.25" customFormat="1" customHeight="1" s="1"/>
    <row r="1787" ht="11.25" customFormat="1" customHeight="1" s="1"/>
    <row r="1788" ht="11.25" customFormat="1" customHeight="1" s="1"/>
    <row r="1789" ht="11.25" customFormat="1" customHeight="1" s="1"/>
    <row r="1790" ht="11.25" customFormat="1" customHeight="1" s="1"/>
    <row r="1791" ht="11.25" customFormat="1" customHeight="1" s="1"/>
    <row r="1792" ht="11.25" customFormat="1" customHeight="1" s="1"/>
    <row r="1793" ht="11.25" customFormat="1" customHeight="1" s="1"/>
    <row r="1794" ht="11.25" customFormat="1" customHeight="1" s="1"/>
    <row r="1795" ht="11.25" customFormat="1" customHeight="1" s="1"/>
    <row r="1796" ht="11.25" customFormat="1" customHeight="1" s="1"/>
    <row r="1797" ht="11.25" customFormat="1" customHeight="1" s="1"/>
    <row r="1798" ht="11.25" customFormat="1" customHeight="1" s="1"/>
    <row r="1799" ht="11.25" customFormat="1" customHeight="1" s="1"/>
    <row r="1800" ht="11.25" customFormat="1" customHeight="1" s="1"/>
    <row r="1801" ht="11.25" customFormat="1" customHeight="1" s="1"/>
    <row r="1802" ht="11.25" customFormat="1" customHeight="1" s="1"/>
    <row r="1803" ht="11.25" customFormat="1" customHeight="1" s="1"/>
    <row r="1804" ht="11.25" customFormat="1" customHeight="1" s="1"/>
    <row r="1805" ht="11.25" customFormat="1" customHeight="1" s="1"/>
    <row r="1806" ht="11.25" customFormat="1" customHeight="1" s="1"/>
    <row r="1807" ht="11.25" customFormat="1" customHeight="1" s="1"/>
    <row r="1808" ht="11.25" customFormat="1" customHeight="1" s="1"/>
    <row r="1809" ht="11.25" customFormat="1" customHeight="1" s="1"/>
    <row r="1810" ht="11.25" customFormat="1" customHeight="1" s="1"/>
    <row r="1811" ht="11.25" customFormat="1" customHeight="1" s="1"/>
    <row r="1812" ht="11.25" customFormat="1" customHeight="1" s="1"/>
    <row r="1813" ht="11.25" customFormat="1" customHeight="1" s="1"/>
    <row r="1814" ht="11.25" customFormat="1" customHeight="1" s="1"/>
    <row r="1815" ht="11.25" customFormat="1" customHeight="1" s="1"/>
    <row r="1816" ht="11.25" customFormat="1" customHeight="1" s="1"/>
    <row r="1817" ht="11.25" customFormat="1" customHeight="1" s="1"/>
    <row r="1818" ht="11.25" customFormat="1" customHeight="1" s="1"/>
    <row r="1819" ht="11.25" customFormat="1" customHeight="1" s="1"/>
    <row r="1820" ht="11.25" customFormat="1" customHeight="1" s="1"/>
    <row r="1821" ht="11.25" customFormat="1" customHeight="1" s="1"/>
    <row r="1822" ht="11.25" customFormat="1" customHeight="1" s="1"/>
    <row r="1823" ht="11.25" customFormat="1" customHeight="1" s="1"/>
    <row r="1824" ht="11.25" customFormat="1" customHeight="1" s="1"/>
    <row r="1825" ht="11.25" customFormat="1" customHeight="1" s="1"/>
    <row r="1826" ht="11.25" customFormat="1" customHeight="1" s="1"/>
    <row r="1827" ht="11.25" customFormat="1" customHeight="1" s="1"/>
    <row r="1828" ht="11.25" customFormat="1" customHeight="1" s="1"/>
    <row r="1829" ht="11.25" customFormat="1" customHeight="1" s="1"/>
    <row r="1830" ht="11.25" customFormat="1" customHeight="1" s="1"/>
    <row r="1831" ht="11.25" customFormat="1" customHeight="1" s="1"/>
    <row r="1832" ht="11.25" customFormat="1" customHeight="1" s="1"/>
    <row r="1833" ht="11.25" customFormat="1" customHeight="1" s="1"/>
    <row r="1834" ht="11.25" customFormat="1" customHeight="1" s="1"/>
    <row r="1835" ht="11.25" customFormat="1" customHeight="1" s="1"/>
    <row r="1836" ht="11.25" customFormat="1" customHeight="1" s="1"/>
    <row r="1837" ht="11.25" customFormat="1" customHeight="1" s="1"/>
    <row r="1838" ht="11.25" customFormat="1" customHeight="1" s="1"/>
    <row r="1839" ht="11.25" customFormat="1" customHeight="1" s="1"/>
    <row r="1840" ht="11.25" customFormat="1" customHeight="1" s="1"/>
    <row r="1841" ht="11.25" customFormat="1" customHeight="1" s="1"/>
    <row r="1842" ht="11.25" customFormat="1" customHeight="1" s="1"/>
    <row r="1843" ht="11.25" customFormat="1" customHeight="1" s="1"/>
    <row r="1844" ht="11.25" customFormat="1" customHeight="1" s="1"/>
    <row r="1845" ht="11.25" customFormat="1" customHeight="1" s="1"/>
    <row r="1846" ht="11.25" customFormat="1" customHeight="1" s="1"/>
    <row r="1847" ht="11.25" customFormat="1" customHeight="1" s="1"/>
    <row r="1848" ht="11.25" customFormat="1" customHeight="1" s="1"/>
    <row r="1849" ht="11.25" customFormat="1" customHeight="1" s="1"/>
    <row r="1850" ht="11.25" customFormat="1" customHeight="1" s="1"/>
    <row r="1851" ht="11.25" customFormat="1" customHeight="1" s="1"/>
    <row r="1852" ht="11.25" customFormat="1" customHeight="1" s="1"/>
    <row r="1853" ht="11.25" customFormat="1" customHeight="1" s="1"/>
    <row r="1854" ht="11.25" customFormat="1" customHeight="1" s="1"/>
    <row r="1855" ht="11.25" customFormat="1" customHeight="1" s="1"/>
    <row r="1856" ht="11.25" customFormat="1" customHeight="1" s="1"/>
    <row r="1857" ht="11.25" customFormat="1" customHeight="1" s="1"/>
    <row r="1858" ht="11.25" customFormat="1" customHeight="1" s="1"/>
    <row r="1859" ht="11.25" customFormat="1" customHeight="1" s="1"/>
    <row r="1860" ht="11.25" customFormat="1" customHeight="1" s="1"/>
    <row r="1861" ht="11.25" customFormat="1" customHeight="1" s="1"/>
    <row r="1862" ht="11.25" customFormat="1" customHeight="1" s="1"/>
    <row r="1863" ht="11.25" customFormat="1" customHeight="1" s="1"/>
    <row r="1864" ht="11.25" customFormat="1" customHeight="1" s="1"/>
    <row r="1865" ht="11.25" customFormat="1" customHeight="1" s="1"/>
    <row r="1866" ht="11.25" customFormat="1" customHeight="1" s="1"/>
    <row r="1867" ht="11.25" customFormat="1" customHeight="1" s="1"/>
    <row r="1868" ht="11.25" customFormat="1" customHeight="1" s="1"/>
    <row r="1869" ht="11.25" customFormat="1" customHeight="1" s="1"/>
    <row r="1870" ht="11.25" customFormat="1" customHeight="1" s="1"/>
    <row r="1871" ht="11.25" customFormat="1" customHeight="1" s="1"/>
    <row r="1872" ht="11.25" customFormat="1" customHeight="1" s="1"/>
    <row r="1873" ht="11.25" customFormat="1" customHeight="1" s="1"/>
    <row r="1874" ht="11.25" customFormat="1" customHeight="1" s="1"/>
    <row r="1875" ht="11.25" customFormat="1" customHeight="1" s="1"/>
    <row r="1876" ht="11.25" customFormat="1" customHeight="1" s="1"/>
    <row r="1877" ht="11.25" customFormat="1" customHeight="1" s="1"/>
    <row r="1878" ht="11.25" customFormat="1" customHeight="1" s="1"/>
    <row r="1879" ht="11.25" customFormat="1" customHeight="1" s="1"/>
    <row r="1880" ht="11.25" customFormat="1" customHeight="1" s="1"/>
    <row r="1881" ht="11.25" customFormat="1" customHeight="1" s="1"/>
    <row r="1882" ht="11.25" customFormat="1" customHeight="1" s="1"/>
    <row r="1883" ht="11.25" customFormat="1" customHeight="1" s="1"/>
    <row r="1884" ht="11.25" customFormat="1" customHeight="1" s="1"/>
    <row r="1885" ht="11.25" customFormat="1" customHeight="1" s="1"/>
    <row r="1886" ht="11.25" customFormat="1" customHeight="1" s="1"/>
    <row r="1887" ht="11.25" customFormat="1" customHeight="1" s="1"/>
    <row r="1888" ht="11.25" customFormat="1" customHeight="1" s="1"/>
    <row r="1889" ht="11.25" customFormat="1" customHeight="1" s="1"/>
    <row r="1890" ht="11.25" customFormat="1" customHeight="1" s="1"/>
    <row r="1891" ht="11.25" customFormat="1" customHeight="1" s="1"/>
    <row r="1892" ht="11.25" customFormat="1" customHeight="1" s="1"/>
    <row r="1893" ht="11.25" customFormat="1" customHeight="1" s="1"/>
    <row r="1894" ht="11.25" customFormat="1" customHeight="1" s="1"/>
    <row r="1895" ht="11.25" customFormat="1" customHeight="1" s="1"/>
    <row r="1896" ht="11.25" customFormat="1" customHeight="1" s="1"/>
    <row r="1897" ht="11.25" customFormat="1" customHeight="1" s="1"/>
    <row r="1898" ht="11.25" customFormat="1" customHeight="1" s="1"/>
    <row r="1899" ht="11.25" customFormat="1" customHeight="1" s="1"/>
    <row r="1900" ht="11.25" customFormat="1" customHeight="1" s="1"/>
    <row r="1901" ht="11.25" customFormat="1" customHeight="1" s="1"/>
    <row r="1902" ht="11.25" customFormat="1" customHeight="1" s="1"/>
    <row r="1903" ht="11.25" customFormat="1" customHeight="1" s="1"/>
    <row r="1904" ht="11.25" customFormat="1" customHeight="1" s="1"/>
    <row r="1905" ht="11.25" customFormat="1" customHeight="1" s="1"/>
    <row r="1906" ht="11.25" customFormat="1" customHeight="1" s="1"/>
    <row r="1907" ht="11.25" customFormat="1" customHeight="1" s="1"/>
    <row r="1908" ht="11.25" customFormat="1" customHeight="1" s="1"/>
    <row r="1909" ht="11.25" customFormat="1" customHeight="1" s="1"/>
    <row r="1910" ht="11.25" customFormat="1" customHeight="1" s="1"/>
    <row r="1911" ht="11.25" customFormat="1" customHeight="1" s="1"/>
    <row r="1912" ht="11.25" customFormat="1" customHeight="1" s="1"/>
    <row r="1913" ht="11.25" customFormat="1" customHeight="1" s="1"/>
    <row r="1914" ht="11.25" customFormat="1" customHeight="1" s="1"/>
    <row r="1915" ht="11.25" customFormat="1" customHeight="1" s="1"/>
    <row r="1916" ht="11.25" customFormat="1" customHeight="1" s="1"/>
    <row r="1917" ht="11.25" customFormat="1" customHeight="1" s="1"/>
    <row r="1918" ht="11.25" customFormat="1" customHeight="1" s="1"/>
    <row r="1919" ht="11.25" customFormat="1" customHeight="1" s="1"/>
    <row r="1920" ht="11.25" customFormat="1" customHeight="1" s="1"/>
    <row r="1921" ht="11.25" customFormat="1" customHeight="1" s="1"/>
    <row r="1922" ht="11.25" customFormat="1" customHeight="1" s="1"/>
    <row r="1923" ht="11.25" customFormat="1" customHeight="1" s="1"/>
    <row r="1924" ht="11.25" customFormat="1" customHeight="1" s="1"/>
    <row r="1925" ht="11.25" customFormat="1" customHeight="1" s="1"/>
    <row r="1926" ht="11.25" customFormat="1" customHeight="1" s="1"/>
    <row r="1927" ht="11.25" customFormat="1" customHeight="1" s="1"/>
    <row r="1928" ht="11.25" customFormat="1" customHeight="1" s="1"/>
    <row r="1929" ht="11.25" customFormat="1" customHeight="1" s="1"/>
    <row r="1930" ht="11.25" customFormat="1" customHeight="1" s="1"/>
    <row r="1931" ht="11.25" customFormat="1" customHeight="1" s="1"/>
    <row r="1932" ht="11.25" customFormat="1" customHeight="1" s="1"/>
    <row r="1933" ht="11.25" customFormat="1" customHeight="1" s="1"/>
    <row r="1934" ht="11.25" customFormat="1" customHeight="1" s="1"/>
    <row r="1935" ht="11.25" customFormat="1" customHeight="1" s="1"/>
    <row r="1936" ht="11.25" customFormat="1" customHeight="1" s="1"/>
    <row r="1937" ht="11.25" customFormat="1" customHeight="1" s="1"/>
    <row r="1938" ht="11.25" customFormat="1" customHeight="1" s="1"/>
    <row r="1939" ht="11.25" customFormat="1" customHeight="1" s="1"/>
    <row r="1940" ht="11.25" customFormat="1" customHeight="1" s="1"/>
    <row r="1941" ht="11.25" customFormat="1" customHeight="1" s="1"/>
    <row r="1942" ht="11.25" customFormat="1" customHeight="1" s="1"/>
    <row r="1943" ht="11.25" customFormat="1" customHeight="1" s="1"/>
    <row r="1944" ht="11.25" customFormat="1" customHeight="1" s="1"/>
    <row r="1945" ht="11.25" customFormat="1" customHeight="1" s="1"/>
    <row r="1946" ht="11.25" customFormat="1" customHeight="1" s="1"/>
    <row r="1947" ht="11.25" customFormat="1" customHeight="1" s="1"/>
    <row r="1948" ht="11.25" customFormat="1" customHeight="1" s="1"/>
    <row r="1949" ht="11.25" customFormat="1" customHeight="1" s="1"/>
    <row r="1950" ht="11.25" customFormat="1" customHeight="1" s="1"/>
    <row r="1951" ht="11.25" customFormat="1" customHeight="1" s="1"/>
    <row r="1952" ht="11.25" customFormat="1" customHeight="1" s="1"/>
    <row r="1953" ht="11.25" customFormat="1" customHeight="1" s="1"/>
    <row r="1954" ht="11.25" customFormat="1" customHeight="1" s="1"/>
    <row r="1955" ht="11.25" customFormat="1" customHeight="1" s="1"/>
    <row r="1956" ht="11.25" customFormat="1" customHeight="1" s="1"/>
    <row r="1957" ht="11.25" customFormat="1" customHeight="1" s="1"/>
    <row r="1958" ht="11.25" customFormat="1" customHeight="1" s="1"/>
    <row r="1959" ht="11.25" customFormat="1" customHeight="1" s="1"/>
    <row r="1960" ht="11.25" customFormat="1" customHeight="1" s="1"/>
    <row r="1961" ht="11.25" customFormat="1" customHeight="1" s="1"/>
    <row r="1962" ht="11.25" customFormat="1" customHeight="1" s="1"/>
    <row r="1963" ht="11.25" customFormat="1" customHeight="1" s="1"/>
    <row r="1964" ht="11.25" customFormat="1" customHeight="1" s="1"/>
    <row r="1965" ht="11.25" customFormat="1" customHeight="1" s="1"/>
    <row r="1966" ht="11.25" customFormat="1" customHeight="1" s="1"/>
    <row r="1967" ht="11.25" customFormat="1" customHeight="1" s="1"/>
    <row r="1968" ht="11.25" customFormat="1" customHeight="1" s="1"/>
    <row r="1969" ht="11.25" customFormat="1" customHeight="1" s="1"/>
    <row r="1970" ht="11.25" customFormat="1" customHeight="1" s="1"/>
    <row r="1971" ht="11.25" customFormat="1" customHeight="1" s="1"/>
    <row r="1972" ht="11.25" customFormat="1" customHeight="1" s="1"/>
    <row r="1973" ht="11.25" customFormat="1" customHeight="1" s="1"/>
    <row r="1974" ht="11.25" customFormat="1" customHeight="1" s="1"/>
    <row r="1975" ht="11.25" customFormat="1" customHeight="1" s="1"/>
    <row r="1976" ht="11.25" customFormat="1" customHeight="1" s="1"/>
    <row r="1977" ht="11.25" customFormat="1" customHeight="1" s="1"/>
    <row r="1978" ht="11.25" customFormat="1" customHeight="1" s="1"/>
    <row r="1979" ht="11.25" customFormat="1" customHeight="1" s="1"/>
    <row r="1980" ht="11.25" customFormat="1" customHeight="1" s="1"/>
    <row r="1981" ht="11.25" customFormat="1" customHeight="1" s="1"/>
    <row r="1982" ht="11.25" customFormat="1" customHeight="1" s="1"/>
    <row r="1983" ht="11.25" customFormat="1" customHeight="1" s="1"/>
    <row r="1984" ht="11.25" customFormat="1" customHeight="1" s="1"/>
    <row r="1985" ht="11.25" customFormat="1" customHeight="1" s="1"/>
    <row r="1986" ht="11.25" customFormat="1" customHeight="1" s="1"/>
    <row r="1987" ht="11.25" customFormat="1" customHeight="1" s="1"/>
    <row r="1988" ht="11.25" customFormat="1" customHeight="1" s="1"/>
    <row r="1989" ht="11.25" customFormat="1" customHeight="1" s="1"/>
    <row r="1990" ht="11.25" customFormat="1" customHeight="1" s="1"/>
    <row r="1991" ht="11.25" customFormat="1" customHeight="1" s="1"/>
    <row r="1992" ht="11.25" customFormat="1" customHeight="1" s="1"/>
    <row r="1993" ht="11.25" customFormat="1" customHeight="1" s="1"/>
    <row r="1994" ht="11.25" customFormat="1" customHeight="1" s="1"/>
    <row r="1995" ht="11.25" customFormat="1" customHeight="1" s="1"/>
    <row r="1996" ht="11.25" customFormat="1" customHeight="1" s="1"/>
    <row r="1997" ht="11.25" customFormat="1" customHeight="1" s="1"/>
    <row r="1998" ht="11.25" customFormat="1" customHeight="1" s="1"/>
    <row r="1999" ht="11.25" customFormat="1" customHeight="1" s="1"/>
    <row r="2000" ht="11.25" customFormat="1" customHeight="1" s="1"/>
    <row r="2001" ht="11.25" customFormat="1" customHeight="1" s="1"/>
    <row r="2002" ht="11.25" customFormat="1" customHeight="1" s="1"/>
    <row r="2003" ht="11.25" customFormat="1" customHeight="1" s="1"/>
    <row r="2004" ht="11.25" customFormat="1" customHeight="1" s="1"/>
    <row r="2005" ht="11.25" customFormat="1" customHeight="1" s="1"/>
    <row r="2006" ht="11.25" customFormat="1" customHeight="1" s="1"/>
    <row r="2007" ht="11.25" customFormat="1" customHeight="1" s="1"/>
    <row r="2008" ht="11.25" customFormat="1" customHeight="1" s="1"/>
    <row r="2009" ht="11.25" customFormat="1" customHeight="1" s="1"/>
    <row r="2010" ht="11.25" customFormat="1" customHeight="1" s="1"/>
    <row r="2011" ht="11.25" customFormat="1" customHeight="1" s="1"/>
    <row r="2012" ht="11.25" customFormat="1" customHeight="1" s="1"/>
    <row r="2013" ht="11.25" customFormat="1" customHeight="1" s="1"/>
    <row r="2014" ht="11.25" customFormat="1" customHeight="1" s="1"/>
    <row r="2015" ht="11.25" customFormat="1" customHeight="1" s="1"/>
    <row r="2016" ht="11.25" customFormat="1" customHeight="1" s="1"/>
    <row r="2017" ht="11.25" customFormat="1" customHeight="1" s="1"/>
    <row r="2018" ht="11.25" customFormat="1" customHeight="1" s="1"/>
    <row r="2019" ht="11.25" customFormat="1" customHeight="1" s="1"/>
    <row r="2020" ht="11.25" customFormat="1" customHeight="1" s="1"/>
    <row r="2021" ht="11.25" customFormat="1" customHeight="1" s="1"/>
    <row r="2022" ht="11.25" customFormat="1" customHeight="1" s="1"/>
    <row r="2023" ht="11.25" customFormat="1" customHeight="1" s="1"/>
    <row r="2024" ht="11.25" customFormat="1" customHeight="1" s="1"/>
    <row r="2025" ht="11.25" customFormat="1" customHeight="1" s="1"/>
    <row r="2026" ht="11.25" customFormat="1" customHeight="1" s="1"/>
    <row r="2027" ht="11.25" customFormat="1" customHeight="1" s="1"/>
    <row r="2028" ht="11.25" customFormat="1" customHeight="1" s="1"/>
    <row r="2029" ht="11.25" customFormat="1" customHeight="1" s="1"/>
    <row r="2030" ht="11.25" customFormat="1" customHeight="1" s="1"/>
    <row r="2031" ht="11.25" customFormat="1" customHeight="1" s="1"/>
    <row r="2032" ht="11.25" customFormat="1" customHeight="1" s="1"/>
    <row r="2033" ht="11.25" customFormat="1" customHeight="1" s="1"/>
    <row r="2034" ht="11.25" customFormat="1" customHeight="1" s="1"/>
    <row r="2035" ht="11.25" customFormat="1" customHeight="1" s="1"/>
    <row r="2036" ht="11.25" customFormat="1" customHeight="1" s="1"/>
    <row r="2037" ht="11.25" customFormat="1" customHeight="1" s="1"/>
    <row r="2038" ht="11.25" customFormat="1" customHeight="1" s="1"/>
    <row r="2039" ht="11.25" customFormat="1" customHeight="1" s="1"/>
    <row r="2040" ht="11.25" customFormat="1" customHeight="1" s="1"/>
    <row r="2041" ht="11.25" customFormat="1" customHeight="1" s="1"/>
    <row r="2042" ht="11.25" customFormat="1" customHeight="1" s="1"/>
    <row r="2043" ht="11.25" customFormat="1" customHeight="1" s="1"/>
    <row r="2044" ht="11.25" customFormat="1" customHeight="1" s="1"/>
    <row r="2045" ht="11.25" customFormat="1" customHeight="1" s="1"/>
    <row r="2046" ht="11.25" customFormat="1" customHeight="1" s="1"/>
    <row r="2047" ht="11.25" customFormat="1" customHeight="1" s="1"/>
    <row r="2048" ht="11.25" customFormat="1" customHeight="1" s="1"/>
    <row r="2049" ht="11.25" customFormat="1" customHeight="1" s="1"/>
    <row r="2050" ht="11.25" customFormat="1" customHeight="1" s="1"/>
    <row r="2051" ht="11.25" customFormat="1" customHeight="1" s="1"/>
    <row r="2052" ht="11.25" customFormat="1" customHeight="1" s="1"/>
    <row r="2053" ht="11.25" customFormat="1" customHeight="1" s="1"/>
    <row r="2054" ht="11.25" customFormat="1" customHeight="1" s="1"/>
    <row r="2055" ht="11.25" customFormat="1" customHeight="1" s="1"/>
    <row r="2056" ht="11.25" customFormat="1" customHeight="1" s="1"/>
    <row r="2057" ht="11.25" customFormat="1" customHeight="1" s="1"/>
    <row r="2058" ht="11.25" customFormat="1" customHeight="1" s="1"/>
    <row r="2059" ht="11.25" customFormat="1" customHeight="1" s="1"/>
    <row r="2060" ht="11.25" customFormat="1" customHeight="1" s="1"/>
    <row r="2061" ht="11.25" customFormat="1" customHeight="1" s="1"/>
    <row r="2062" ht="11.25" customFormat="1" customHeight="1" s="1"/>
    <row r="2063" ht="11.25" customFormat="1" customHeight="1" s="1"/>
    <row r="2064" ht="11.25" customFormat="1" customHeight="1" s="1"/>
    <row r="2065" ht="11.25" customFormat="1" customHeight="1" s="1"/>
    <row r="2066" ht="11.25" customFormat="1" customHeight="1" s="1"/>
    <row r="2067" ht="11.25" customFormat="1" customHeight="1" s="1"/>
    <row r="2068" ht="11.25" customFormat="1" customHeight="1" s="1"/>
    <row r="2069" ht="11.25" customFormat="1" customHeight="1" s="1"/>
    <row r="2070" ht="11.25" customFormat="1" customHeight="1" s="1"/>
    <row r="2071" ht="11.25" customFormat="1" customHeight="1" s="1"/>
    <row r="2072" ht="11.25" customFormat="1" customHeight="1" s="1"/>
    <row r="2073" ht="11.25" customFormat="1" customHeight="1" s="1"/>
    <row r="2074" ht="11.25" customFormat="1" customHeight="1" s="1"/>
    <row r="2075" ht="11.25" customFormat="1" customHeight="1" s="1"/>
    <row r="2076" ht="11.25" customFormat="1" customHeight="1" s="1"/>
    <row r="2077" ht="11.25" customFormat="1" customHeight="1" s="1"/>
    <row r="2078" ht="11.25" customFormat="1" customHeight="1" s="1"/>
    <row r="2079" ht="11.25" customFormat="1" customHeight="1" s="1"/>
    <row r="2080" ht="11.25" customFormat="1" customHeight="1" s="1"/>
    <row r="2081" ht="11.25" customFormat="1" customHeight="1" s="1"/>
    <row r="2082" ht="11.25" customFormat="1" customHeight="1" s="1"/>
    <row r="2083" ht="11.25" customFormat="1" customHeight="1" s="1"/>
    <row r="2084" ht="11.25" customFormat="1" customHeight="1" s="1"/>
    <row r="2085" ht="11.25" customFormat="1" customHeight="1" s="1"/>
    <row r="2086" ht="11.25" customFormat="1" customHeight="1" s="1"/>
    <row r="2087" ht="11.25" customFormat="1" customHeight="1" s="1"/>
    <row r="2088" ht="11.25" customFormat="1" customHeight="1" s="1"/>
    <row r="2089" ht="11.25" customFormat="1" customHeight="1" s="1"/>
    <row r="2090" ht="11.25" customFormat="1" customHeight="1" s="1"/>
    <row r="2091" ht="11.25" customFormat="1" customHeight="1" s="1"/>
    <row r="2092" ht="11.25" customFormat="1" customHeight="1" s="1"/>
    <row r="2093" ht="11.25" customFormat="1" customHeight="1" s="1"/>
    <row r="2094" ht="11.25" customFormat="1" customHeight="1" s="1"/>
    <row r="2095" ht="11.25" customFormat="1" customHeight="1" s="1"/>
    <row r="2096" ht="11.25" customFormat="1" customHeight="1" s="1"/>
    <row r="2097" ht="11.25" customFormat="1" customHeight="1" s="1"/>
    <row r="2098" ht="11.25" customFormat="1" customHeight="1" s="1"/>
    <row r="2099" ht="11.25" customFormat="1" customHeight="1" s="1"/>
    <row r="2100" ht="11.25" customFormat="1" customHeight="1" s="1"/>
    <row r="2101" ht="11.25" customFormat="1" customHeight="1" s="1"/>
    <row r="2102" ht="11.25" customFormat="1" customHeight="1" s="1"/>
    <row r="2103" ht="11.25" customFormat="1" customHeight="1" s="1"/>
    <row r="2104" ht="11.25" customFormat="1" customHeight="1" s="1"/>
    <row r="2105" ht="11.25" customFormat="1" customHeight="1" s="1"/>
    <row r="2106" ht="11.25" customFormat="1" customHeight="1" s="1"/>
    <row r="2107" ht="11.25" customFormat="1" customHeight="1" s="1"/>
    <row r="2108" ht="11.25" customFormat="1" customHeight="1" s="1"/>
    <row r="2109" ht="11.25" customFormat="1" customHeight="1" s="1"/>
    <row r="2110" ht="11.25" customFormat="1" customHeight="1" s="1"/>
    <row r="2111" ht="11.25" customFormat="1" customHeight="1" s="1"/>
    <row r="2112" ht="11.25" customFormat="1" customHeight="1" s="1"/>
    <row r="2113" ht="11.25" customFormat="1" customHeight="1" s="1"/>
    <row r="2114" ht="11.25" customFormat="1" customHeight="1" s="1"/>
    <row r="2115" ht="11.25" customFormat="1" customHeight="1" s="1"/>
    <row r="2116" ht="11.25" customFormat="1" customHeight="1" s="1"/>
    <row r="2117" ht="11.25" customFormat="1" customHeight="1" s="1"/>
    <row r="2118" ht="11.25" customFormat="1" customHeight="1" s="1"/>
    <row r="2119" ht="11.25" customFormat="1" customHeight="1" s="1"/>
    <row r="2120" ht="11.25" customFormat="1" customHeight="1" s="1"/>
    <row r="2121" ht="11.25" customFormat="1" customHeight="1" s="1"/>
    <row r="2122" ht="11.25" customFormat="1" customHeight="1" s="1"/>
    <row r="2123" ht="11.25" customFormat="1" customHeight="1" s="1"/>
    <row r="2124" ht="11.25" customFormat="1" customHeight="1" s="1"/>
    <row r="2125" ht="11.25" customFormat="1" customHeight="1" s="1"/>
    <row r="2126" ht="11.25" customFormat="1" customHeight="1" s="1"/>
    <row r="2127" ht="11.25" customFormat="1" customHeight="1" s="1"/>
    <row r="2128" ht="11.25" customFormat="1" customHeight="1" s="1"/>
    <row r="2129" ht="11.25" customFormat="1" customHeight="1" s="1"/>
    <row r="2130" ht="11.25" customFormat="1" customHeight="1" s="1"/>
    <row r="2131" ht="11.25" customFormat="1" customHeight="1" s="1"/>
    <row r="2132" ht="11.25" customFormat="1" customHeight="1" s="1"/>
    <row r="2133" ht="11.25" customFormat="1" customHeight="1" s="1"/>
    <row r="2134" ht="11.25" customFormat="1" customHeight="1" s="1"/>
    <row r="2135" ht="11.25" customFormat="1" customHeight="1" s="1"/>
    <row r="2136" ht="11.25" customFormat="1" customHeight="1" s="1"/>
    <row r="2137" ht="11.25" customFormat="1" customHeight="1" s="1"/>
    <row r="2138" ht="11.25" customFormat="1" customHeight="1" s="1"/>
    <row r="2139" ht="11.25" customFormat="1" customHeight="1" s="1"/>
    <row r="2140" ht="11.25" customFormat="1" customHeight="1" s="1"/>
    <row r="2141" ht="11.25" customFormat="1" customHeight="1" s="1"/>
    <row r="2142" ht="11.25" customFormat="1" customHeight="1" s="1"/>
    <row r="2143" ht="11.25" customFormat="1" customHeight="1" s="1"/>
    <row r="2144" ht="11.25" customFormat="1" customHeight="1" s="1"/>
    <row r="2145" ht="11.25" customFormat="1" customHeight="1" s="1"/>
    <row r="2146" ht="11.25" customFormat="1" customHeight="1" s="1"/>
    <row r="2147" ht="11.25" customFormat="1" customHeight="1" s="1"/>
    <row r="2148" ht="11.25" customFormat="1" customHeight="1" s="1"/>
    <row r="2149" ht="11.25" customFormat="1" customHeight="1" s="1"/>
    <row r="2150" ht="11.25" customFormat="1" customHeight="1" s="1"/>
    <row r="2151" ht="11.25" customFormat="1" customHeight="1" s="1"/>
    <row r="2152" ht="11.25" customFormat="1" customHeight="1" s="1"/>
    <row r="2153" ht="11.25" customFormat="1" customHeight="1" s="1"/>
    <row r="2154" ht="11.25" customFormat="1" customHeight="1" s="1"/>
    <row r="2155" ht="11.25" customFormat="1" customHeight="1" s="1"/>
    <row r="2156" ht="11.25" customFormat="1" customHeight="1" s="1"/>
    <row r="2157" ht="11.25" customFormat="1" customHeight="1" s="1"/>
    <row r="2158" ht="11.25" customFormat="1" customHeight="1" s="1"/>
    <row r="2159" ht="11.25" customFormat="1" customHeight="1" s="1"/>
    <row r="2160" ht="11.25" customFormat="1" customHeight="1" s="1"/>
    <row r="2161" ht="11.25" customFormat="1" customHeight="1" s="1"/>
    <row r="2162" ht="11.25" customFormat="1" customHeight="1" s="1"/>
    <row r="2163" ht="11.25" customFormat="1" customHeight="1" s="1"/>
    <row r="2164" ht="11.25" customFormat="1" customHeight="1" s="1"/>
    <row r="2165" ht="11.25" customFormat="1" customHeight="1" s="1"/>
    <row r="2166" ht="11.25" customFormat="1" customHeight="1" s="1"/>
    <row r="2167" ht="11.25" customFormat="1" customHeight="1" s="1"/>
    <row r="2168" ht="11.25" customFormat="1" customHeight="1" s="1"/>
    <row r="2169" ht="11.25" customFormat="1" customHeight="1" s="1"/>
    <row r="2170" ht="11.25" customFormat="1" customHeight="1" s="1"/>
    <row r="2171" ht="11.25" customFormat="1" customHeight="1" s="1"/>
    <row r="2172" ht="11.25" customFormat="1" customHeight="1" s="1"/>
    <row r="2173" ht="11.25" customFormat="1" customHeight="1" s="1"/>
    <row r="2174" ht="11.25" customFormat="1" customHeight="1" s="1"/>
    <row r="2175" ht="11.25" customFormat="1" customHeight="1" s="1"/>
    <row r="2176" ht="11.25" customFormat="1" customHeight="1" s="1"/>
    <row r="2177" ht="11.25" customFormat="1" customHeight="1" s="1"/>
    <row r="2178" ht="11.25" customFormat="1" customHeight="1" s="1"/>
    <row r="2179" ht="11.25" customFormat="1" customHeight="1" s="1"/>
    <row r="2180" ht="11.25" customFormat="1" customHeight="1" s="1"/>
    <row r="2181" ht="11.25" customFormat="1" customHeight="1" s="1"/>
    <row r="2182" ht="11.25" customFormat="1" customHeight="1" s="1"/>
    <row r="2183" ht="11.25" customFormat="1" customHeight="1" s="1"/>
    <row r="2184" ht="11.25" customFormat="1" customHeight="1" s="1"/>
    <row r="2185" ht="11.25" customFormat="1" customHeight="1" s="1"/>
    <row r="2186" ht="11.25" customFormat="1" customHeight="1" s="1"/>
    <row r="2187" ht="11.25" customFormat="1" customHeight="1" s="1"/>
    <row r="2188" ht="11.25" customFormat="1" customHeight="1" s="1"/>
    <row r="2189" ht="11.25" customFormat="1" customHeight="1" s="1"/>
    <row r="2190" ht="11.25" customFormat="1" customHeight="1" s="1"/>
    <row r="2191" ht="11.25" customFormat="1" customHeight="1" s="1"/>
    <row r="2192" ht="11.25" customFormat="1" customHeight="1" s="1"/>
    <row r="2193" ht="11.25" customFormat="1" customHeight="1" s="1"/>
    <row r="2194" ht="11.25" customFormat="1" customHeight="1" s="1"/>
    <row r="2195" ht="11.25" customFormat="1" customHeight="1" s="1"/>
    <row r="2196" ht="11.25" customFormat="1" customHeight="1" s="1"/>
    <row r="2197" ht="11.25" customFormat="1" customHeight="1" s="1"/>
    <row r="2198" ht="11.25" customFormat="1" customHeight="1" s="1"/>
    <row r="2199" ht="11.25" customFormat="1" customHeight="1" s="1"/>
    <row r="2200" ht="11.25" customFormat="1" customHeight="1" s="1"/>
    <row r="2201" ht="11.25" customFormat="1" customHeight="1" s="1"/>
    <row r="2202" ht="11.25" customFormat="1" customHeight="1" s="1"/>
    <row r="2203" ht="11.25" customFormat="1" customHeight="1" s="1"/>
    <row r="2204" ht="11.25" customFormat="1" customHeight="1" s="1"/>
    <row r="2205" ht="11.25" customFormat="1" customHeight="1" s="1"/>
    <row r="2206" ht="11.25" customFormat="1" customHeight="1" s="1"/>
    <row r="2207" ht="11.25" customFormat="1" customHeight="1" s="1"/>
    <row r="2208" ht="11.25" customFormat="1" customHeight="1" s="1"/>
    <row r="2209" ht="11.25" customFormat="1" customHeight="1" s="1"/>
    <row r="2210" ht="11.25" customFormat="1" customHeight="1" s="1"/>
    <row r="2211" ht="11.25" customFormat="1" customHeight="1" s="1"/>
    <row r="2212" ht="11.25" customFormat="1" customHeight="1" s="1"/>
    <row r="2213" ht="11.25" customFormat="1" customHeight="1" s="1"/>
    <row r="2214" ht="11.25" customFormat="1" customHeight="1" s="1"/>
    <row r="2215" ht="11.25" customFormat="1" customHeight="1" s="1"/>
    <row r="2216" ht="11.25" customFormat="1" customHeight="1" s="1"/>
    <row r="2217" ht="11.25" customFormat="1" customHeight="1" s="1"/>
    <row r="2218" ht="11.25" customFormat="1" customHeight="1" s="1"/>
    <row r="2219" ht="11.25" customFormat="1" customHeight="1" s="1"/>
    <row r="2220" ht="11.25" customFormat="1" customHeight="1" s="1"/>
    <row r="2221" ht="11.25" customFormat="1" customHeight="1" s="1"/>
    <row r="2222" ht="11.25" customFormat="1" customHeight="1" s="1"/>
    <row r="2223" ht="11.25" customFormat="1" customHeight="1" s="1"/>
    <row r="2224" ht="11.25" customFormat="1" customHeight="1" s="1"/>
    <row r="2225" ht="11.25" customFormat="1" customHeight="1" s="1"/>
    <row r="2226" ht="11.25" customFormat="1" customHeight="1" s="1"/>
    <row r="2227" ht="11.25" customFormat="1" customHeight="1" s="1"/>
    <row r="2228" ht="11.25" customFormat="1" customHeight="1" s="1"/>
    <row r="2229" ht="11.25" customFormat="1" customHeight="1" s="1"/>
    <row r="2230" ht="11.25" customFormat="1" customHeight="1" s="1"/>
    <row r="2231" ht="11.25" customFormat="1" customHeight="1" s="1"/>
    <row r="2232" ht="11.25" customFormat="1" customHeight="1" s="1"/>
    <row r="2233" ht="11.25" customFormat="1" customHeight="1" s="1"/>
    <row r="2234" ht="11.25" customFormat="1" customHeight="1" s="1"/>
    <row r="2235" ht="11.25" customFormat="1" customHeight="1" s="1"/>
    <row r="2236" ht="11.25" customFormat="1" customHeight="1" s="1"/>
    <row r="2237" ht="11.25" customFormat="1" customHeight="1" s="1"/>
    <row r="2238" ht="11.25" customFormat="1" customHeight="1" s="1"/>
    <row r="2239" ht="11.25" customFormat="1" customHeight="1" s="1"/>
    <row r="2240" ht="11.25" customFormat="1" customHeight="1" s="1"/>
    <row r="2241" ht="11.25" customFormat="1" customHeight="1" s="1"/>
    <row r="2242" ht="11.25" customFormat="1" customHeight="1" s="1"/>
    <row r="2243" ht="11.25" customFormat="1" customHeight="1" s="1"/>
    <row r="2244" ht="11.25" customFormat="1" customHeight="1" s="1"/>
    <row r="2245" ht="11.25" customFormat="1" customHeight="1" s="1"/>
    <row r="2246" ht="11.25" customFormat="1" customHeight="1" s="1"/>
    <row r="2247" ht="11.25" customFormat="1" customHeight="1" s="1"/>
    <row r="2248" ht="11.25" customFormat="1" customHeight="1" s="1"/>
    <row r="2249" ht="11.25" customFormat="1" customHeight="1" s="1"/>
    <row r="2250" ht="11.25" customFormat="1" customHeight="1" s="1"/>
    <row r="2251" ht="11.25" customFormat="1" customHeight="1" s="1"/>
    <row r="2252" ht="11.25" customFormat="1" customHeight="1" s="1"/>
    <row r="2253" ht="11.25" customFormat="1" customHeight="1" s="1"/>
    <row r="2254" ht="11.25" customFormat="1" customHeight="1" s="1"/>
    <row r="2255" ht="11.25" customFormat="1" customHeight="1" s="1"/>
    <row r="2256" ht="11.25" customFormat="1" customHeight="1" s="1"/>
    <row r="2257" ht="11.25" customFormat="1" customHeight="1" s="1"/>
    <row r="2258" ht="11.25" customFormat="1" customHeight="1" s="1"/>
    <row r="2259" ht="11.25" customFormat="1" customHeight="1" s="1"/>
    <row r="2260" ht="11.25" customFormat="1" customHeight="1" s="1"/>
    <row r="2261" ht="11.25" customFormat="1" customHeight="1" s="1"/>
    <row r="2262" ht="11.25" customFormat="1" customHeight="1" s="1"/>
    <row r="2263" ht="11.25" customFormat="1" customHeight="1" s="1"/>
    <row r="2264" ht="11.25" customFormat="1" customHeight="1" s="1"/>
    <row r="2265" ht="11.25" customFormat="1" customHeight="1" s="1"/>
    <row r="2266" ht="11.25" customFormat="1" customHeight="1" s="1"/>
    <row r="2267" ht="11.25" customFormat="1" customHeight="1" s="1"/>
    <row r="2268" ht="11.25" customFormat="1" customHeight="1" s="1"/>
    <row r="2269" ht="11.25" customFormat="1" customHeight="1" s="1"/>
    <row r="2270" ht="11.25" customFormat="1" customHeight="1" s="1"/>
    <row r="2271" ht="11.25" customFormat="1" customHeight="1" s="1"/>
    <row r="2272" ht="11.25" customFormat="1" customHeight="1" s="1"/>
    <row r="2273" ht="11.25" customFormat="1" customHeight="1" s="1"/>
    <row r="2274" ht="11.25" customFormat="1" customHeight="1" s="1"/>
    <row r="2275" ht="11.25" customFormat="1" customHeight="1" s="1"/>
    <row r="2276" ht="11.25" customFormat="1" customHeight="1" s="1"/>
    <row r="2277" ht="11.25" customFormat="1" customHeight="1" s="1"/>
    <row r="2278" ht="11.25" customFormat="1" customHeight="1" s="1"/>
    <row r="2279" ht="11.25" customFormat="1" customHeight="1" s="1"/>
    <row r="2280" ht="11.25" customFormat="1" customHeight="1" s="1"/>
    <row r="2281" ht="11.25" customFormat="1" customHeight="1" s="1"/>
    <row r="2282" ht="11.25" customFormat="1" customHeight="1" s="1"/>
    <row r="2283" ht="11.25" customFormat="1" customHeight="1" s="1"/>
    <row r="2284" ht="11.25" customFormat="1" customHeight="1" s="1"/>
    <row r="2285" ht="11.25" customFormat="1" customHeight="1" s="1"/>
    <row r="2286" ht="11.25" customFormat="1" customHeight="1" s="1"/>
    <row r="2287" ht="11.25" customFormat="1" customHeight="1" s="1"/>
    <row r="2288" ht="11.25" customFormat="1" customHeight="1" s="1"/>
    <row r="2289" ht="11.25" customFormat="1" customHeight="1" s="1"/>
    <row r="2290" ht="11.25" customFormat="1" customHeight="1" s="1"/>
    <row r="2291" ht="11.25" customFormat="1" customHeight="1" s="1"/>
    <row r="2292" ht="11.25" customFormat="1" customHeight="1" s="1"/>
    <row r="2293" ht="11.25" customFormat="1" customHeight="1" s="1"/>
    <row r="2294" ht="11.25" customFormat="1" customHeight="1" s="1"/>
    <row r="2295" ht="11.25" customFormat="1" customHeight="1" s="1"/>
    <row r="2296" ht="11.25" customFormat="1" customHeight="1" s="1"/>
    <row r="2297" ht="11.25" customFormat="1" customHeight="1" s="1"/>
    <row r="2298" ht="11.25" customFormat="1" customHeight="1" s="1"/>
    <row r="2299" ht="11.25" customFormat="1" customHeight="1" s="1"/>
    <row r="2300" ht="11.25" customFormat="1" customHeight="1" s="1"/>
    <row r="2301" ht="11.25" customFormat="1" customHeight="1" s="1"/>
    <row r="2302" ht="11.25" customFormat="1" customHeight="1" s="1"/>
    <row r="2303" ht="11.25" customFormat="1" customHeight="1" s="1"/>
    <row r="2304" ht="11.25" customFormat="1" customHeight="1" s="1"/>
    <row r="2305" ht="11.25" customFormat="1" customHeight="1" s="1"/>
    <row r="2306" ht="11.25" customFormat="1" customHeight="1" s="1"/>
    <row r="2307" ht="11.25" customFormat="1" customHeight="1" s="1"/>
    <row r="2308" ht="11.25" customFormat="1" customHeight="1" s="1"/>
    <row r="2309" ht="11.25" customFormat="1" customHeight="1" s="1"/>
    <row r="2310" ht="11.25" customFormat="1" customHeight="1" s="1"/>
    <row r="2311" ht="11.25" customFormat="1" customHeight="1" s="1"/>
    <row r="2312" ht="11.25" customFormat="1" customHeight="1" s="1"/>
    <row r="2313" ht="11.25" customFormat="1" customHeight="1" s="1"/>
    <row r="2314" ht="11.25" customFormat="1" customHeight="1" s="1"/>
    <row r="2315" ht="11.25" customFormat="1" customHeight="1" s="1"/>
    <row r="2316" ht="11.25" customFormat="1" customHeight="1" s="1"/>
    <row r="2317" ht="11.25" customFormat="1" customHeight="1" s="1"/>
    <row r="2318" ht="11.25" customFormat="1" customHeight="1" s="1"/>
    <row r="2319" ht="11.25" customFormat="1" customHeight="1" s="1"/>
    <row r="2320" ht="11.25" customFormat="1" customHeight="1" s="1"/>
    <row r="2321" ht="11.25" customFormat="1" customHeight="1" s="1"/>
    <row r="2322" ht="11.25" customFormat="1" customHeight="1" s="1"/>
    <row r="2323" ht="11.25" customFormat="1" customHeight="1" s="1"/>
    <row r="2324" ht="11.25" customFormat="1" customHeight="1" s="1"/>
    <row r="2325" ht="11.25" customFormat="1" customHeight="1" s="1"/>
    <row r="2326" ht="11.25" customFormat="1" customHeight="1" s="1"/>
    <row r="2327" ht="11.25" customFormat="1" customHeight="1" s="1"/>
    <row r="2328" ht="11.25" customFormat="1" customHeight="1" s="1"/>
    <row r="2329" ht="11.25" customFormat="1" customHeight="1" s="1"/>
    <row r="2330" ht="11.25" customFormat="1" customHeight="1" s="1"/>
    <row r="2331" ht="11.25" customFormat="1" customHeight="1" s="1"/>
    <row r="2332" ht="11.25" customFormat="1" customHeight="1" s="1"/>
    <row r="2333" ht="11.25" customFormat="1" customHeight="1" s="1"/>
    <row r="2334" ht="11.25" customFormat="1" customHeight="1" s="1"/>
    <row r="2335" ht="11.25" customFormat="1" customHeight="1" s="1"/>
    <row r="2336" ht="11.25" customFormat="1" customHeight="1" s="1"/>
    <row r="2337" ht="11.25" customFormat="1" customHeight="1" s="1"/>
    <row r="2338" ht="11.25" customFormat="1" customHeight="1" s="1"/>
    <row r="2339" ht="11.25" customFormat="1" customHeight="1" s="1"/>
    <row r="2340" ht="11.25" customFormat="1" customHeight="1" s="1"/>
    <row r="2341" ht="11.25" customFormat="1" customHeight="1" s="1"/>
    <row r="2342" ht="11.25" customFormat="1" customHeight="1" s="1"/>
    <row r="2343" ht="11.25" customFormat="1" customHeight="1" s="1"/>
    <row r="2344" ht="11.25" customFormat="1" customHeight="1" s="1"/>
    <row r="2345" ht="11.25" customFormat="1" customHeight="1" s="1"/>
    <row r="2346" ht="11.25" customFormat="1" customHeight="1" s="1"/>
    <row r="2347" ht="11.25" customFormat="1" customHeight="1" s="1"/>
    <row r="2348" ht="11.25" customFormat="1" customHeight="1" s="1"/>
    <row r="2349" ht="11.25" customFormat="1" customHeight="1" s="1"/>
    <row r="2350" ht="11.25" customFormat="1" customHeight="1" s="1"/>
    <row r="2351" ht="11.25" customFormat="1" customHeight="1" s="1"/>
    <row r="2352" ht="11.25" customFormat="1" customHeight="1" s="1"/>
    <row r="2353" ht="11.25" customFormat="1" customHeight="1" s="1"/>
    <row r="2354" ht="11.25" customFormat="1" customHeight="1" s="1"/>
    <row r="2355" ht="11.25" customFormat="1" customHeight="1" s="1"/>
    <row r="2356" ht="11.25" customFormat="1" customHeight="1" s="1"/>
    <row r="2357" ht="11.25" customFormat="1" customHeight="1" s="1"/>
    <row r="2358" ht="11.25" customFormat="1" customHeight="1" s="1"/>
    <row r="2359" ht="11.25" customFormat="1" customHeight="1" s="1"/>
    <row r="2360" ht="11.25" customFormat="1" customHeight="1" s="1"/>
    <row r="2361" ht="11.25" customFormat="1" customHeight="1" s="1"/>
    <row r="2362" ht="11.25" customFormat="1" customHeight="1" s="1"/>
    <row r="2363" ht="11.25" customFormat="1" customHeight="1" s="1"/>
    <row r="2364" ht="11.25" customFormat="1" customHeight="1" s="1"/>
    <row r="2365" ht="11.25" customFormat="1" customHeight="1" s="1"/>
    <row r="2366" ht="11.25" customFormat="1" customHeight="1" s="1"/>
    <row r="2367" ht="11.25" customFormat="1" customHeight="1" s="1"/>
    <row r="2368" ht="11.25" customFormat="1" customHeight="1" s="1"/>
    <row r="2369" ht="11.25" customFormat="1" customHeight="1" s="1"/>
    <row r="2370" ht="11.25" customFormat="1" customHeight="1" s="1"/>
    <row r="2371" ht="11.25" customFormat="1" customHeight="1" s="1"/>
    <row r="2372" ht="11.25" customFormat="1" customHeight="1" s="1"/>
    <row r="2373" ht="11.25" customFormat="1" customHeight="1" s="1"/>
    <row r="2374" ht="11.25" customFormat="1" customHeight="1" s="1"/>
    <row r="2375" ht="11.25" customFormat="1" customHeight="1" s="1"/>
    <row r="2376" ht="11.25" customFormat="1" customHeight="1" s="1"/>
    <row r="2377" ht="11.25" customFormat="1" customHeight="1" s="1"/>
    <row r="2378" ht="11.25" customFormat="1" customHeight="1" s="1"/>
    <row r="2379" ht="11.25" customFormat="1" customHeight="1" s="1"/>
    <row r="2380" ht="11.25" customFormat="1" customHeight="1" s="1"/>
    <row r="2381" ht="12" customFormat="1" customHeight="1" s="1"/>
  </sheetData>
  <pageMargins left="0.3937007874015748" right="0" top="0.3937007874015748" bottom="0.1968503937007874" header="0.1968503937007874" footer="0"/>
  <pageSetup orientation="landscape" paperSize="9" scale="72"/>
  <headerFooter>
    <oddHeader>&amp;C&amp;"Arial,Normal"&amp;8 &amp;P / &amp;N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369"/>
  <sheetViews>
    <sheetView zoomScaleNormal="100" workbookViewId="0">
      <pane xSplit="2" ySplit="6" topLeftCell="C346" activePane="bottomRight" state="frozen"/>
      <selection pane="topRight" activeCell="C1" sqref="C1"/>
      <selection pane="bottomLeft" activeCell="A7" sqref="A7"/>
      <selection pane="bottomRight" activeCell="A7" sqref="A7:Q368"/>
    </sheetView>
  </sheetViews>
  <sheetFormatPr baseColWidth="8" defaultRowHeight="12" customHeight="1"/>
  <cols>
    <col width="11" customWidth="1" style="1" min="1" max="1"/>
    <col width="9.7109375" customWidth="1" style="1" min="2" max="2"/>
    <col width="15.7109375" customWidth="1" style="1" min="3" max="3"/>
    <col width="51.7109375" customWidth="1" style="5" min="4" max="4"/>
    <col width="15.7109375" customWidth="1" style="1" min="5" max="6"/>
    <col width="9.7109375" customWidth="1" style="1" min="7" max="7"/>
    <col width="15.7109375" customWidth="1" style="1" min="8" max="8"/>
    <col width="9.7109375" customWidth="1" style="1" min="9" max="9"/>
    <col width="15.7109375" customWidth="1" style="1" min="10" max="10"/>
    <col width="9.7109375" customWidth="1" style="1" min="11" max="11"/>
    <col width="15.7109375" customWidth="1" style="1" min="12" max="12"/>
    <col width="9.7109375" customWidth="1" style="1" min="13" max="13"/>
    <col width="15.7109375" customWidth="1" style="1" min="14" max="14"/>
    <col width="9.7109375" customWidth="1" style="1" min="15" max="15"/>
    <col width="15.7109375" customWidth="1" style="1" min="16" max="16"/>
    <col width="9.7109375" customWidth="1" style="1" min="17" max="17"/>
    <col width="9.140625" customWidth="1" style="1" min="18" max="80"/>
    <col width="9.140625" customWidth="1" style="1" min="81" max="16384"/>
  </cols>
  <sheetData>
    <row r="1" ht="15" customFormat="1" customHeight="1" s="16">
      <c r="A1" s="33" t="inlineStr">
        <is>
          <t>ANÁLISE DO VALOR ADICIONADO POR MUNICÍPIO</t>
        </is>
      </c>
      <c r="B1" s="33" t="n"/>
      <c r="C1" s="33" t="n"/>
      <c r="D1" s="33" t="n"/>
      <c r="E1" s="33" t="n"/>
      <c r="F1" s="33" t="n"/>
      <c r="G1" s="33" t="n"/>
    </row>
    <row r="2" ht="15" customFormat="1" customHeight="1" s="10">
      <c r="A2" s="34" t="inlineStr">
        <is>
          <t>Relatório - Município / Evolução Comparativa Exercício</t>
        </is>
      </c>
      <c r="B2" s="34" t="n"/>
      <c r="C2" s="34" t="n"/>
      <c r="D2" s="34" t="n"/>
      <c r="E2" s="34" t="n"/>
      <c r="F2" s="34" t="n"/>
      <c r="G2" s="34" t="n"/>
    </row>
    <row r="3" ht="15" customHeight="1">
      <c r="A3" s="10" t="inlineStr">
        <is>
          <t>Município - AREAL</t>
        </is>
      </c>
      <c r="E3" s="42" t="n"/>
      <c r="F3" s="42" t="n"/>
      <c r="G3" s="42" t="n"/>
      <c r="H3" s="42" t="n"/>
      <c r="I3" s="42" t="n"/>
      <c r="J3" s="42" t="n"/>
      <c r="K3" s="42" t="n"/>
    </row>
    <row r="4" ht="15" customFormat="1" customHeight="1" s="8">
      <c r="A4" s="28" t="n"/>
      <c r="D4" s="5" t="n"/>
    </row>
    <row r="5" ht="15" customHeight="1">
      <c r="A5" s="5" t="n"/>
    </row>
    <row r="6" ht="24" customHeight="1">
      <c r="A6" s="22" t="inlineStr">
        <is>
          <t>MUNICIPIO</t>
        </is>
      </c>
      <c r="B6" s="23" t="inlineStr">
        <is>
          <t>InscEst</t>
        </is>
      </c>
      <c r="C6" s="23" t="inlineStr">
        <is>
          <t>CPF_CNPJ</t>
        </is>
      </c>
      <c r="D6" s="24" t="inlineStr">
        <is>
          <t>RazSoc</t>
        </is>
      </c>
      <c r="E6" s="29" t="inlineStr">
        <is>
          <t>2017 R$</t>
        </is>
      </c>
      <c r="F6" s="23" t="inlineStr">
        <is>
          <t>2018 R$</t>
        </is>
      </c>
      <c r="G6" s="23" t="inlineStr">
        <is>
          <t>17/18 %</t>
        </is>
      </c>
      <c r="H6" s="23" t="inlineStr">
        <is>
          <t>2019 R$</t>
        </is>
      </c>
      <c r="I6" s="23" t="inlineStr">
        <is>
          <t>18/19 %</t>
        </is>
      </c>
      <c r="J6" s="23" t="inlineStr">
        <is>
          <t>2020 R$</t>
        </is>
      </c>
      <c r="K6" s="23" t="inlineStr">
        <is>
          <t>19/20 %</t>
        </is>
      </c>
      <c r="L6" s="23" t="inlineStr">
        <is>
          <t>2021 R$</t>
        </is>
      </c>
      <c r="M6" s="23" t="inlineStr">
        <is>
          <t>20/21 %</t>
        </is>
      </c>
      <c r="N6" s="23" t="inlineStr">
        <is>
          <t>2022 R$</t>
        </is>
      </c>
      <c r="O6" s="23" t="inlineStr">
        <is>
          <t>21/22 %</t>
        </is>
      </c>
      <c r="P6" s="23" t="inlineStr">
        <is>
          <t>2023 R$</t>
        </is>
      </c>
      <c r="Q6" s="23" t="inlineStr">
        <is>
          <t>22/23 %</t>
        </is>
      </c>
    </row>
    <row r="7" ht="12" customHeight="1">
      <c r="A7" s="30" t="inlineStr">
        <is>
          <t>Areal</t>
        </is>
      </c>
      <c r="B7" s="30" t="n">
        <v>11025641</v>
      </c>
      <c r="C7" s="30">
        <f>"22883593001196"</f>
        <v/>
      </c>
      <c r="D7" s="30" t="inlineStr">
        <is>
          <t>EFFICAX TRANSPORTES LTDA</t>
        </is>
      </c>
      <c r="E7" s="40" t="n">
        <v>0</v>
      </c>
      <c r="F7" s="40" t="n">
        <v>2051.21</v>
      </c>
      <c r="G7" s="40" t="n">
        <v>100</v>
      </c>
      <c r="H7" s="40" t="n">
        <v>0</v>
      </c>
      <c r="I7" s="46" t="n">
        <v>-100</v>
      </c>
      <c r="J7" s="40" t="n">
        <v>0</v>
      </c>
      <c r="K7" s="40" t="n">
        <v>0</v>
      </c>
      <c r="L7" s="40" t="n">
        <v>0</v>
      </c>
      <c r="M7" s="40" t="n">
        <v>0</v>
      </c>
      <c r="N7" s="40" t="n">
        <v>0</v>
      </c>
      <c r="O7" s="40" t="n">
        <v>0</v>
      </c>
      <c r="P7" s="40" t="n">
        <v>0</v>
      </c>
      <c r="Q7" s="40" t="n">
        <v>0</v>
      </c>
      <c r="R7" s="47" t="n"/>
      <c r="S7" s="47" t="n"/>
      <c r="T7" s="47" t="n"/>
      <c r="U7" s="47" t="n"/>
      <c r="V7" s="47" t="n"/>
      <c r="W7" s="47" t="n"/>
    </row>
    <row r="8" ht="12" customHeight="1">
      <c r="A8" s="30" t="inlineStr">
        <is>
          <t>Areal</t>
        </is>
      </c>
      <c r="B8" s="30" t="n">
        <v>11052517</v>
      </c>
      <c r="C8" s="30">
        <f>"29457434000105"</f>
        <v/>
      </c>
      <c r="D8" s="30" t="inlineStr">
        <is>
          <t>ZR AUTOMOVEIS EIRELI ME</t>
        </is>
      </c>
      <c r="E8" s="40" t="n">
        <v>0</v>
      </c>
      <c r="F8" s="40" t="n">
        <v>109072.18</v>
      </c>
      <c r="G8" s="40" t="n">
        <v>100</v>
      </c>
      <c r="H8" s="40" t="n">
        <v>8961.709999999999</v>
      </c>
      <c r="I8" s="46" t="n">
        <v>-91.78</v>
      </c>
      <c r="J8" s="40" t="n">
        <v>0</v>
      </c>
      <c r="K8" s="46" t="n">
        <v>-100</v>
      </c>
      <c r="L8" s="40" t="n">
        <v>0</v>
      </c>
      <c r="M8" s="40" t="n">
        <v>0</v>
      </c>
      <c r="N8" s="40" t="n">
        <v>0</v>
      </c>
      <c r="O8" s="40" t="n">
        <v>0</v>
      </c>
      <c r="P8" s="40" t="n">
        <v>0</v>
      </c>
      <c r="Q8" s="40" t="n">
        <v>0</v>
      </c>
      <c r="R8" s="47" t="n"/>
      <c r="S8" s="47" t="n"/>
      <c r="T8" s="47" t="n"/>
      <c r="U8" s="47" t="n"/>
      <c r="V8" s="47" t="n"/>
      <c r="W8" s="47" t="n"/>
    </row>
    <row r="9" ht="12" customHeight="1">
      <c r="A9" s="30" t="inlineStr">
        <is>
          <t>Areal</t>
        </is>
      </c>
      <c r="B9" s="30" t="n">
        <v>11080553</v>
      </c>
      <c r="C9" s="30">
        <f>"74570986749"</f>
        <v/>
      </c>
      <c r="D9" s="30" t="inlineStr">
        <is>
          <t>TERESA DA GAMA PASSOS</t>
        </is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>
        <v>0</v>
      </c>
      <c r="N9" s="40" t="n">
        <v>75763.42</v>
      </c>
      <c r="O9" s="40" t="n">
        <v>100</v>
      </c>
      <c r="P9" s="40" t="n">
        <v>0</v>
      </c>
      <c r="Q9" s="46" t="n">
        <v>-100</v>
      </c>
      <c r="R9" s="47" t="n"/>
      <c r="S9" s="47" t="n"/>
      <c r="T9" s="47" t="n"/>
      <c r="U9" s="47" t="n"/>
      <c r="V9" s="47" t="n"/>
      <c r="W9" s="47" t="n"/>
    </row>
    <row r="10" ht="12" customHeight="1">
      <c r="A10" s="30" t="inlineStr">
        <is>
          <t>Areal</t>
        </is>
      </c>
      <c r="B10" s="30" t="n">
        <v>11117562</v>
      </c>
      <c r="C10" s="30">
        <f>"14268258701"</f>
        <v/>
      </c>
      <c r="D10" s="30" t="inlineStr">
        <is>
          <t>JESSICA DA SILVA CARVALHO</t>
        </is>
      </c>
      <c r="E10" s="40" t="n">
        <v>0</v>
      </c>
      <c r="F10" s="40" t="n">
        <v>0</v>
      </c>
      <c r="G10" s="40" t="n">
        <v>0</v>
      </c>
      <c r="H10" s="40" t="n">
        <v>0</v>
      </c>
      <c r="I10" s="40" t="n">
        <v>0</v>
      </c>
      <c r="J10" s="40" t="n">
        <v>4198</v>
      </c>
      <c r="K10" s="40" t="n">
        <v>100</v>
      </c>
      <c r="L10" s="40" t="n">
        <v>0</v>
      </c>
      <c r="M10" s="46" t="n">
        <v>-100</v>
      </c>
      <c r="N10" s="40" t="n">
        <v>0</v>
      </c>
      <c r="O10" s="40" t="n">
        <v>0</v>
      </c>
      <c r="P10" s="40" t="n">
        <v>0</v>
      </c>
      <c r="Q10" s="40" t="n">
        <v>0</v>
      </c>
      <c r="R10" s="47" t="n"/>
      <c r="S10" s="47" t="n"/>
      <c r="T10" s="47" t="n"/>
      <c r="U10" s="47" t="n"/>
      <c r="V10" s="47" t="n"/>
      <c r="W10" s="47" t="n"/>
    </row>
    <row r="11" ht="12" customHeight="1">
      <c r="A11" s="30" t="inlineStr">
        <is>
          <t>Areal</t>
        </is>
      </c>
      <c r="B11" s="30" t="n">
        <v>11123961</v>
      </c>
      <c r="C11" s="30">
        <f>"00233065003879"</f>
        <v/>
      </c>
      <c r="D11" s="30" t="inlineStr">
        <is>
          <t>UNIDOCK"S ASSESSORIA E LOGISTICA DE MATERIAIS LTDA</t>
        </is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3689.52</v>
      </c>
      <c r="M11" s="40" t="n">
        <v>100</v>
      </c>
      <c r="N11" s="40" t="n">
        <v>21206.36</v>
      </c>
      <c r="O11" s="40" t="n">
        <v>474.77</v>
      </c>
      <c r="P11" s="40" t="n">
        <v>7374.62</v>
      </c>
      <c r="Q11" s="46" t="n">
        <v>-65.22</v>
      </c>
      <c r="R11" s="47" t="n"/>
      <c r="S11" s="47" t="n"/>
      <c r="T11" s="47" t="n"/>
      <c r="U11" s="47" t="n"/>
      <c r="V11" s="47" t="n"/>
      <c r="W11" s="47" t="n"/>
    </row>
    <row r="12" ht="12" customHeight="1">
      <c r="A12" s="30" t="inlineStr">
        <is>
          <t>Areal</t>
        </is>
      </c>
      <c r="B12" s="30" t="n">
        <v>11132219</v>
      </c>
      <c r="C12" s="30">
        <f>"30308329000185"</f>
        <v/>
      </c>
      <c r="D12" s="30" t="inlineStr">
        <is>
          <t>TLOG RJ TRANSPORTADORA DE CARGAS LTDA</t>
        </is>
      </c>
      <c r="E12" s="40" t="n">
        <v>0</v>
      </c>
      <c r="F12" s="40" t="n">
        <v>0</v>
      </c>
      <c r="G12" s="40" t="n">
        <v>0</v>
      </c>
      <c r="H12" s="40" t="n">
        <v>0</v>
      </c>
      <c r="I12" s="40" t="n">
        <v>0</v>
      </c>
      <c r="J12" s="40" t="n">
        <v>2490.34</v>
      </c>
      <c r="K12" s="40" t="n">
        <v>100</v>
      </c>
      <c r="L12" s="40" t="n">
        <v>0</v>
      </c>
      <c r="M12" s="46" t="n">
        <v>-100</v>
      </c>
      <c r="N12" s="40" t="n">
        <v>0</v>
      </c>
      <c r="O12" s="40" t="n">
        <v>0</v>
      </c>
      <c r="P12" s="40" t="n">
        <v>0</v>
      </c>
      <c r="Q12" s="40" t="n">
        <v>0</v>
      </c>
      <c r="R12" s="47" t="n"/>
      <c r="S12" s="47" t="n"/>
      <c r="T12" s="47" t="n"/>
      <c r="U12" s="47" t="n"/>
      <c r="V12" s="47" t="n"/>
      <c r="W12" s="47" t="n"/>
    </row>
    <row r="13" ht="12" customHeight="1">
      <c r="A13" s="30" t="inlineStr">
        <is>
          <t>Areal</t>
        </is>
      </c>
      <c r="B13" s="30" t="n">
        <v>11136397</v>
      </c>
      <c r="C13" s="30">
        <f>"15055734752"</f>
        <v/>
      </c>
      <c r="D13" s="30" t="inlineStr">
        <is>
          <t>JENIFER SOARES MEDEIROS</t>
        </is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21434.34</v>
      </c>
      <c r="K13" s="40" t="n">
        <v>100</v>
      </c>
      <c r="L13" s="40" t="n">
        <v>0</v>
      </c>
      <c r="M13" s="46" t="n">
        <v>-100</v>
      </c>
      <c r="N13" s="40" t="n">
        <v>0</v>
      </c>
      <c r="O13" s="40" t="n">
        <v>0</v>
      </c>
      <c r="P13" s="40" t="n">
        <v>0</v>
      </c>
      <c r="Q13" s="40" t="n">
        <v>0</v>
      </c>
      <c r="R13" s="47" t="n"/>
      <c r="S13" s="47" t="n"/>
      <c r="T13" s="47" t="n"/>
      <c r="U13" s="47" t="n"/>
      <c r="V13" s="47" t="n"/>
      <c r="W13" s="47" t="n"/>
    </row>
    <row r="14" ht="12" customHeight="1">
      <c r="A14" s="30" t="inlineStr">
        <is>
          <t>Areal</t>
        </is>
      </c>
      <c r="B14" s="30" t="n">
        <v>11175791</v>
      </c>
      <c r="C14" s="30">
        <f>"29106584000166"</f>
        <v/>
      </c>
      <c r="D14" s="30" t="inlineStr">
        <is>
          <t>DO SEU LAR COMERCIO VAREJISTA EIRELI ME</t>
        </is>
      </c>
      <c r="E14" s="40" t="n">
        <v>0</v>
      </c>
      <c r="F14" s="40" t="n">
        <v>0</v>
      </c>
      <c r="G14" s="40" t="n">
        <v>0</v>
      </c>
      <c r="H14" s="40" t="n">
        <v>0</v>
      </c>
      <c r="I14" s="40" t="n">
        <v>0</v>
      </c>
      <c r="J14" s="40" t="n">
        <v>85269.64</v>
      </c>
      <c r="K14" s="40" t="n">
        <v>100</v>
      </c>
      <c r="L14" s="40" t="n">
        <v>0</v>
      </c>
      <c r="M14" s="46" t="n">
        <v>-100</v>
      </c>
      <c r="N14" s="40" t="n">
        <v>380544.43</v>
      </c>
      <c r="O14" s="40" t="n">
        <v>100</v>
      </c>
      <c r="P14" s="40" t="n">
        <v>0</v>
      </c>
      <c r="Q14" s="46" t="n">
        <v>-100</v>
      </c>
      <c r="R14" s="47" t="n"/>
      <c r="S14" s="47" t="n"/>
      <c r="T14" s="47" t="n"/>
      <c r="U14" s="47" t="n"/>
      <c r="V14" s="47" t="n"/>
      <c r="W14" s="47" t="n"/>
    </row>
    <row r="15" ht="12" customHeight="1">
      <c r="A15" s="30" t="inlineStr">
        <is>
          <t>Areal</t>
        </is>
      </c>
      <c r="B15" s="30" t="n">
        <v>11179991</v>
      </c>
      <c r="C15" s="30">
        <f>"14780646766"</f>
        <v/>
      </c>
      <c r="D15" s="30" t="inlineStr">
        <is>
          <t>SAULO DA SILVA RAMOS MOREIRA</t>
        </is>
      </c>
      <c r="E15" s="40" t="n">
        <v>0</v>
      </c>
      <c r="F15" s="40" t="n">
        <v>3800</v>
      </c>
      <c r="G15" s="40" t="n">
        <v>100</v>
      </c>
      <c r="H15" s="40" t="n">
        <v>0</v>
      </c>
      <c r="I15" s="46" t="n">
        <v>-100</v>
      </c>
      <c r="J15" s="40" t="n">
        <v>0</v>
      </c>
      <c r="K15" s="40" t="n">
        <v>0</v>
      </c>
      <c r="L15" s="40" t="n">
        <v>0</v>
      </c>
      <c r="M15" s="40" t="n">
        <v>0</v>
      </c>
      <c r="N15" s="40" t="n">
        <v>0</v>
      </c>
      <c r="O15" s="40" t="n">
        <v>0</v>
      </c>
      <c r="P15" s="40" t="n">
        <v>0</v>
      </c>
      <c r="Q15" s="40" t="n">
        <v>0</v>
      </c>
      <c r="R15" s="47" t="n"/>
      <c r="S15" s="47" t="n"/>
      <c r="T15" s="47" t="n"/>
      <c r="U15" s="47" t="n"/>
      <c r="V15" s="47" t="n"/>
      <c r="W15" s="47" t="n"/>
    </row>
    <row r="16" ht="12" customHeight="1">
      <c r="A16" s="30" t="inlineStr">
        <is>
          <t>Areal</t>
        </is>
      </c>
      <c r="B16" s="30" t="n">
        <v>11211615</v>
      </c>
      <c r="C16" s="30">
        <f>"54631793791"</f>
        <v/>
      </c>
      <c r="D16" s="30" t="inlineStr">
        <is>
          <t>MAURICIO CARDOSO AROUCA</t>
        </is>
      </c>
      <c r="E16" s="40" t="n">
        <v>0</v>
      </c>
      <c r="F16" s="40" t="n">
        <v>0</v>
      </c>
      <c r="G16" s="40" t="n">
        <v>0</v>
      </c>
      <c r="H16" s="40" t="n">
        <v>0</v>
      </c>
      <c r="I16" s="40" t="n">
        <v>0</v>
      </c>
      <c r="J16" s="40" t="n">
        <v>0</v>
      </c>
      <c r="K16" s="40" t="n">
        <v>0</v>
      </c>
      <c r="L16" s="40" t="n">
        <v>0</v>
      </c>
      <c r="M16" s="40" t="n">
        <v>0</v>
      </c>
      <c r="N16" s="40" t="n">
        <v>0</v>
      </c>
      <c r="O16" s="40" t="n">
        <v>0</v>
      </c>
      <c r="P16" s="40" t="n">
        <v>0</v>
      </c>
      <c r="Q16" s="40" t="n">
        <v>0</v>
      </c>
      <c r="R16" s="47" t="n"/>
      <c r="S16" s="47" t="n"/>
      <c r="T16" s="47" t="n"/>
      <c r="U16" s="47" t="n"/>
      <c r="V16" s="47" t="n"/>
      <c r="W16" s="47" t="n"/>
    </row>
    <row r="17" ht="12" customHeight="1">
      <c r="A17" s="30" t="inlineStr">
        <is>
          <t>Areal</t>
        </is>
      </c>
      <c r="B17" s="30" t="n">
        <v>11226043</v>
      </c>
      <c r="C17" s="30">
        <f>"31318831000130"</f>
        <v/>
      </c>
      <c r="D17" s="30" t="inlineStr">
        <is>
          <t>R.S.COMÉRCIO DE GAS LTDA</t>
        </is>
      </c>
      <c r="E17" s="40" t="n">
        <v>0</v>
      </c>
      <c r="F17" s="40" t="n">
        <v>0</v>
      </c>
      <c r="G17" s="40" t="n">
        <v>0</v>
      </c>
      <c r="H17" s="40" t="n">
        <v>0</v>
      </c>
      <c r="I17" s="40" t="n">
        <v>0</v>
      </c>
      <c r="J17" s="40" t="n">
        <v>0</v>
      </c>
      <c r="K17" s="40" t="n">
        <v>0</v>
      </c>
      <c r="L17" s="40" t="n">
        <v>0</v>
      </c>
      <c r="M17" s="40" t="n">
        <v>0</v>
      </c>
      <c r="N17" s="40" t="n">
        <v>0</v>
      </c>
      <c r="O17" s="40" t="n">
        <v>0</v>
      </c>
      <c r="P17" s="40" t="n">
        <v>0</v>
      </c>
      <c r="Q17" s="40" t="n">
        <v>0</v>
      </c>
      <c r="R17" s="47" t="n"/>
      <c r="S17" s="47" t="n"/>
      <c r="T17" s="47" t="n"/>
      <c r="U17" s="47" t="n"/>
      <c r="V17" s="47" t="n"/>
      <c r="W17" s="47" t="n"/>
    </row>
    <row r="18" ht="12" customHeight="1">
      <c r="A18" s="30" t="inlineStr">
        <is>
          <t>Areal</t>
        </is>
      </c>
      <c r="B18" s="30" t="n">
        <v>11227392</v>
      </c>
      <c r="C18" s="30">
        <f>"21160941000324"</f>
        <v/>
      </c>
      <c r="D18" s="30" t="inlineStr">
        <is>
          <t>ARC TRANSPORTE &amp; LOGISTICA DO TRANSPORTE - EIRELI</t>
        </is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0" t="n">
        <v>0</v>
      </c>
      <c r="L18" s="40" t="n">
        <v>0</v>
      </c>
      <c r="M18" s="40" t="n">
        <v>0</v>
      </c>
      <c r="N18" s="40" t="n">
        <v>454.56</v>
      </c>
      <c r="O18" s="40" t="n">
        <v>100</v>
      </c>
      <c r="P18" s="40" t="n">
        <v>0</v>
      </c>
      <c r="Q18" s="46" t="n">
        <v>-100</v>
      </c>
      <c r="R18" s="47" t="n"/>
      <c r="S18" s="47" t="n"/>
      <c r="T18" s="47" t="n"/>
      <c r="U18" s="47" t="n"/>
      <c r="V18" s="47" t="n"/>
      <c r="W18" s="47" t="n"/>
    </row>
    <row r="19" ht="12" customHeight="1">
      <c r="A19" s="30" t="inlineStr">
        <is>
          <t>Areal</t>
        </is>
      </c>
      <c r="B19" s="30" t="n">
        <v>11233945</v>
      </c>
      <c r="C19" s="30">
        <f>"00941293000454"</f>
        <v/>
      </c>
      <c r="D19" s="30" t="inlineStr">
        <is>
          <t>SAO JOAQUIM TRANSPORTES LTDA</t>
        </is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0" t="n">
        <v>0</v>
      </c>
      <c r="L19" s="40" t="n">
        <v>0</v>
      </c>
      <c r="M19" s="40" t="n">
        <v>0</v>
      </c>
      <c r="N19" s="40" t="n">
        <v>0</v>
      </c>
      <c r="O19" s="40" t="n">
        <v>0</v>
      </c>
      <c r="P19" s="40" t="n">
        <v>2159.38</v>
      </c>
      <c r="Q19" s="40" t="n">
        <v>100</v>
      </c>
      <c r="R19" s="47" t="n"/>
      <c r="S19" s="47" t="n"/>
      <c r="T19" s="47" t="n"/>
      <c r="U19" s="47" t="n"/>
      <c r="V19" s="47" t="n"/>
      <c r="W19" s="47" t="n"/>
    </row>
    <row r="20" ht="12" customHeight="1">
      <c r="A20" s="30" t="inlineStr">
        <is>
          <t>Areal</t>
        </is>
      </c>
      <c r="B20" s="30" t="n">
        <v>11256589</v>
      </c>
      <c r="C20" s="30">
        <f>"54336600791"</f>
        <v/>
      </c>
      <c r="D20" s="30" t="inlineStr">
        <is>
          <t>MAX SALLES</t>
        </is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0" t="n">
        <v>0</v>
      </c>
      <c r="L20" s="40" t="n">
        <v>0</v>
      </c>
      <c r="M20" s="40" t="n">
        <v>0</v>
      </c>
      <c r="N20" s="40" t="n">
        <v>0</v>
      </c>
      <c r="O20" s="40" t="n">
        <v>0</v>
      </c>
      <c r="P20" s="40" t="n">
        <v>0</v>
      </c>
      <c r="Q20" s="40" t="n">
        <v>0</v>
      </c>
      <c r="R20" s="47" t="n"/>
      <c r="S20" s="47" t="n"/>
      <c r="T20" s="47" t="n"/>
      <c r="U20" s="47" t="n"/>
      <c r="V20" s="47" t="n"/>
      <c r="W20" s="47" t="n"/>
    </row>
    <row r="21" ht="12" customHeight="1">
      <c r="A21" s="30" t="inlineStr">
        <is>
          <t>Areal</t>
        </is>
      </c>
      <c r="B21" s="30" t="n">
        <v>11270557</v>
      </c>
      <c r="C21" s="30">
        <f>"30566256000121"</f>
        <v/>
      </c>
      <c r="D21" s="30" t="inlineStr">
        <is>
          <t>AUTO POSTO DFR LTDA</t>
        </is>
      </c>
      <c r="E21" s="40" t="n">
        <v>0</v>
      </c>
      <c r="F21" s="40" t="n">
        <v>0</v>
      </c>
      <c r="G21" s="40" t="n">
        <v>0</v>
      </c>
      <c r="H21" s="40" t="n">
        <v>887917.99</v>
      </c>
      <c r="I21" s="40" t="n">
        <v>100</v>
      </c>
      <c r="J21" s="40" t="n">
        <v>805767.01</v>
      </c>
      <c r="K21" s="46" t="n">
        <v>-9.25</v>
      </c>
      <c r="L21" s="40" t="n">
        <v>815676.6899999999</v>
      </c>
      <c r="M21" s="40" t="n">
        <v>1.23</v>
      </c>
      <c r="N21" s="40" t="n">
        <v>1172896.87</v>
      </c>
      <c r="O21" s="40" t="n">
        <v>43.79</v>
      </c>
      <c r="P21" s="40" t="n">
        <v>1392752</v>
      </c>
      <c r="Q21" s="40" t="n">
        <v>18.74</v>
      </c>
      <c r="R21" s="47" t="n"/>
      <c r="S21" s="47" t="n"/>
      <c r="T21" s="47" t="n"/>
      <c r="U21" s="47" t="n"/>
      <c r="V21" s="47" t="n"/>
      <c r="W21" s="47" t="n"/>
    </row>
    <row r="22" ht="12" customHeight="1">
      <c r="A22" s="30" t="inlineStr">
        <is>
          <t>Areal</t>
        </is>
      </c>
      <c r="B22" s="30" t="n">
        <v>11278892</v>
      </c>
      <c r="C22" s="30">
        <f>"05112286000544"</f>
        <v/>
      </c>
      <c r="D22" s="30" t="inlineStr">
        <is>
          <t>BINHO TRANSPORTES E LOGISTICA EIRELI</t>
        </is>
      </c>
      <c r="E22" s="40" t="n">
        <v>0</v>
      </c>
      <c r="F22" s="40" t="n">
        <v>0</v>
      </c>
      <c r="G22" s="40" t="n">
        <v>0</v>
      </c>
      <c r="H22" s="40" t="n">
        <v>36421.33</v>
      </c>
      <c r="I22" s="40" t="n">
        <v>100</v>
      </c>
      <c r="J22" s="40" t="n">
        <v>22381.75</v>
      </c>
      <c r="K22" s="46" t="n">
        <v>-38.55</v>
      </c>
      <c r="L22" s="40" t="n">
        <v>0</v>
      </c>
      <c r="M22" s="46" t="n">
        <v>-100</v>
      </c>
      <c r="N22" s="40" t="n">
        <v>0</v>
      </c>
      <c r="O22" s="40" t="n">
        <v>0</v>
      </c>
      <c r="P22" s="40" t="n">
        <v>0</v>
      </c>
      <c r="Q22" s="40" t="n">
        <v>0</v>
      </c>
      <c r="R22" s="47" t="n"/>
      <c r="S22" s="47" t="n"/>
      <c r="T22" s="47" t="n"/>
      <c r="U22" s="47" t="n"/>
      <c r="V22" s="47" t="n"/>
      <c r="W22" s="47" t="n"/>
    </row>
    <row r="23" ht="12" customHeight="1">
      <c r="A23" s="30" t="inlineStr">
        <is>
          <t>Areal</t>
        </is>
      </c>
      <c r="B23" s="30" t="n">
        <v>11284671</v>
      </c>
      <c r="C23" s="30">
        <f>"77799526734"</f>
        <v/>
      </c>
      <c r="D23" s="30" t="inlineStr">
        <is>
          <t>ADILSON PAULO ALVES DA COSTA</t>
        </is>
      </c>
      <c r="E23" s="40" t="n">
        <v>0</v>
      </c>
      <c r="F23" s="40" t="n">
        <v>0</v>
      </c>
      <c r="G23" s="40" t="n">
        <v>0</v>
      </c>
      <c r="H23" s="40" t="n">
        <v>2250</v>
      </c>
      <c r="I23" s="40" t="n">
        <v>100</v>
      </c>
      <c r="J23" s="40" t="n">
        <v>0</v>
      </c>
      <c r="K23" s="46" t="n">
        <v>-100</v>
      </c>
      <c r="L23" s="40" t="n">
        <v>9813.5</v>
      </c>
      <c r="M23" s="40" t="n">
        <v>100</v>
      </c>
      <c r="N23" s="40" t="n">
        <v>0</v>
      </c>
      <c r="O23" s="46" t="n">
        <v>-100</v>
      </c>
      <c r="P23" s="40" t="n">
        <v>17245</v>
      </c>
      <c r="Q23" s="40" t="n">
        <v>100</v>
      </c>
      <c r="R23" s="47" t="n"/>
      <c r="S23" s="47" t="n"/>
      <c r="T23" s="47" t="n"/>
      <c r="U23" s="47" t="n"/>
      <c r="V23" s="47" t="n"/>
      <c r="W23" s="47" t="n"/>
    </row>
    <row r="24" ht="12" customHeight="1">
      <c r="A24" s="30" t="inlineStr">
        <is>
          <t>Areal</t>
        </is>
      </c>
      <c r="B24" s="30" t="n">
        <v>11286810</v>
      </c>
      <c r="C24" s="30">
        <f>"28570101000117"</f>
        <v/>
      </c>
      <c r="D24" s="30" t="inlineStr">
        <is>
          <t>BUBLIM ACESSORIOS EIRELI</t>
        </is>
      </c>
      <c r="E24" s="40" t="n">
        <v>0</v>
      </c>
      <c r="F24" s="40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>
        <v>0</v>
      </c>
      <c r="N24" s="40" t="n">
        <v>110933.75</v>
      </c>
      <c r="O24" s="40" t="n">
        <v>100</v>
      </c>
      <c r="P24" s="40" t="n">
        <v>0</v>
      </c>
      <c r="Q24" s="46" t="n">
        <v>-100</v>
      </c>
      <c r="R24" s="47" t="n"/>
      <c r="S24" s="47" t="n"/>
      <c r="T24" s="47" t="n"/>
      <c r="U24" s="47" t="n"/>
      <c r="V24" s="47" t="n"/>
      <c r="W24" s="47" t="n"/>
    </row>
    <row r="25" ht="12" customHeight="1">
      <c r="A25" s="30" t="inlineStr">
        <is>
          <t>Areal</t>
        </is>
      </c>
      <c r="B25" s="30" t="n">
        <v>11298109</v>
      </c>
      <c r="C25" s="30">
        <f>"04178652796"</f>
        <v/>
      </c>
      <c r="D25" s="30" t="inlineStr">
        <is>
          <t>ROBERTA APARECIDA OLIVEIRA RIBEIRO</t>
        </is>
      </c>
      <c r="E25" s="40" t="n">
        <v>0</v>
      </c>
      <c r="F25" s="40" t="n">
        <v>0</v>
      </c>
      <c r="G25" s="40" t="n">
        <v>0</v>
      </c>
      <c r="H25" s="40" t="n">
        <v>0</v>
      </c>
      <c r="I25" s="40" t="n">
        <v>0</v>
      </c>
      <c r="J25" s="40" t="n">
        <v>14519</v>
      </c>
      <c r="K25" s="40" t="n">
        <v>100</v>
      </c>
      <c r="L25" s="40" t="n">
        <v>0</v>
      </c>
      <c r="M25" s="46" t="n">
        <v>-100</v>
      </c>
      <c r="N25" s="40" t="n">
        <v>0</v>
      </c>
      <c r="O25" s="40" t="n">
        <v>0</v>
      </c>
      <c r="P25" s="40" t="n">
        <v>0</v>
      </c>
      <c r="Q25" s="40" t="n">
        <v>0</v>
      </c>
      <c r="R25" s="47" t="n"/>
      <c r="S25" s="47" t="n"/>
      <c r="T25" s="47" t="n"/>
      <c r="U25" s="47" t="n"/>
      <c r="V25" s="47" t="n"/>
      <c r="W25" s="47" t="n"/>
    </row>
    <row r="26" ht="12" customHeight="1">
      <c r="A26" s="30" t="inlineStr">
        <is>
          <t>Areal</t>
        </is>
      </c>
      <c r="B26" s="30" t="n">
        <v>11302165</v>
      </c>
      <c r="C26" s="30">
        <f>"71471324753"</f>
        <v/>
      </c>
      <c r="D26" s="30" t="inlineStr">
        <is>
          <t>LUIZ RONALDO ESTEVES DE ABREU</t>
        </is>
      </c>
      <c r="E26" s="40" t="n">
        <v>0</v>
      </c>
      <c r="F26" s="40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>
        <v>0</v>
      </c>
      <c r="N26" s="40" t="n">
        <v>0</v>
      </c>
      <c r="O26" s="40" t="n">
        <v>0</v>
      </c>
      <c r="P26" s="40" t="n">
        <v>0</v>
      </c>
      <c r="Q26" s="40" t="n">
        <v>0</v>
      </c>
      <c r="R26" s="47" t="n"/>
      <c r="S26" s="47" t="n"/>
      <c r="T26" s="47" t="n"/>
      <c r="U26" s="47" t="n"/>
      <c r="V26" s="47" t="n"/>
      <c r="W26" s="47" t="n"/>
    </row>
    <row r="27" ht="12" customHeight="1">
      <c r="A27" s="30" t="inlineStr">
        <is>
          <t>Areal</t>
        </is>
      </c>
      <c r="B27" s="30" t="n">
        <v>11306870</v>
      </c>
      <c r="C27" s="30">
        <f>"26607430000321"</f>
        <v/>
      </c>
      <c r="D27" s="30" t="inlineStr">
        <is>
          <t>EXPRESSO JA LTDA</t>
        </is>
      </c>
      <c r="E27" s="40" t="n">
        <v>0</v>
      </c>
      <c r="F27" s="40" t="n">
        <v>0</v>
      </c>
      <c r="G27" s="40" t="n">
        <v>0</v>
      </c>
      <c r="H27" s="40" t="n">
        <v>0</v>
      </c>
      <c r="I27" s="40" t="n">
        <v>0</v>
      </c>
      <c r="J27" s="40" t="n">
        <v>0</v>
      </c>
      <c r="K27" s="40" t="n">
        <v>0</v>
      </c>
      <c r="L27" s="40" t="n">
        <v>36.5</v>
      </c>
      <c r="M27" s="40" t="n">
        <v>100</v>
      </c>
      <c r="N27" s="40" t="n">
        <v>0</v>
      </c>
      <c r="O27" s="46" t="n">
        <v>-100</v>
      </c>
      <c r="P27" s="40" t="n">
        <v>0</v>
      </c>
      <c r="Q27" s="40" t="n">
        <v>0</v>
      </c>
      <c r="R27" s="47" t="n"/>
      <c r="S27" s="47" t="n"/>
      <c r="T27" s="47" t="n"/>
      <c r="U27" s="47" t="n"/>
      <c r="V27" s="47" t="n"/>
      <c r="W27" s="47" t="n"/>
    </row>
    <row r="28" ht="12" customHeight="1">
      <c r="A28" s="30" t="inlineStr">
        <is>
          <t>Areal</t>
        </is>
      </c>
      <c r="B28" s="30" t="n">
        <v>11317030</v>
      </c>
      <c r="C28" s="30">
        <f>"32201646000123"</f>
        <v/>
      </c>
      <c r="D28" s="30" t="inlineStr">
        <is>
          <t>SIM ADMINISTRA??O E SERVI?OS DE GEST?O DE DOCUMENTOS LTDA</t>
        </is>
      </c>
      <c r="E28" s="40" t="n">
        <v>0</v>
      </c>
      <c r="F28" s="40" t="n">
        <v>0</v>
      </c>
      <c r="G28" s="40" t="n">
        <v>0</v>
      </c>
      <c r="H28" s="40" t="n">
        <v>0</v>
      </c>
      <c r="I28" s="40" t="n">
        <v>0</v>
      </c>
      <c r="J28" s="40" t="n">
        <v>0</v>
      </c>
      <c r="K28" s="40" t="n">
        <v>0</v>
      </c>
      <c r="L28" s="40" t="n">
        <v>0</v>
      </c>
      <c r="M28" s="40" t="n">
        <v>0</v>
      </c>
      <c r="N28" s="40" t="n">
        <v>0</v>
      </c>
      <c r="O28" s="40" t="n">
        <v>0</v>
      </c>
      <c r="P28" s="40" t="n">
        <v>0</v>
      </c>
      <c r="Q28" s="40" t="n">
        <v>0</v>
      </c>
      <c r="R28" s="47" t="n"/>
      <c r="S28" s="47" t="n"/>
      <c r="T28" s="47" t="n"/>
      <c r="U28" s="47" t="n"/>
      <c r="V28" s="47" t="n"/>
      <c r="W28" s="47" t="n"/>
    </row>
    <row r="29" ht="12" customHeight="1">
      <c r="A29" s="30" t="inlineStr">
        <is>
          <t>Areal</t>
        </is>
      </c>
      <c r="B29" s="30" t="n">
        <v>11366660</v>
      </c>
      <c r="C29" s="30">
        <f>"05530576001075"</f>
        <v/>
      </c>
      <c r="D29" s="30" t="inlineStr">
        <is>
          <t>LOGFAR LOGISTICA LTDA</t>
        </is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>
        <v>0</v>
      </c>
      <c r="N29" s="40" t="n">
        <v>4611.73</v>
      </c>
      <c r="O29" s="40" t="n">
        <v>100</v>
      </c>
      <c r="P29" s="40" t="n">
        <v>73791.83</v>
      </c>
      <c r="Q29" s="40" t="n">
        <v>1500.09</v>
      </c>
      <c r="R29" s="47" t="n"/>
      <c r="S29" s="47" t="n"/>
      <c r="T29" s="47" t="n"/>
      <c r="U29" s="47" t="n"/>
      <c r="V29" s="47" t="n"/>
      <c r="W29" s="47" t="n"/>
    </row>
    <row r="30" ht="12" customHeight="1">
      <c r="A30" s="30" t="inlineStr">
        <is>
          <t>Areal</t>
        </is>
      </c>
      <c r="B30" s="30" t="n">
        <v>11386431</v>
      </c>
      <c r="C30" s="30">
        <f>"29080308000338"</f>
        <v/>
      </c>
      <c r="D30" s="30" t="inlineStr">
        <is>
          <t>R&amp;D CARGO TRANSPORTES LTDA</t>
        </is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662.23</v>
      </c>
      <c r="O30" s="40" t="n">
        <v>100</v>
      </c>
      <c r="P30" s="40" t="n">
        <v>0</v>
      </c>
      <c r="Q30" s="46" t="n">
        <v>-100</v>
      </c>
      <c r="R30" s="47" t="n"/>
      <c r="S30" s="47" t="n"/>
      <c r="T30" s="47" t="n"/>
      <c r="U30" s="47" t="n"/>
      <c r="V30" s="47" t="n"/>
      <c r="W30" s="47" t="n"/>
    </row>
    <row r="31" ht="12" customHeight="1">
      <c r="A31" s="30" t="inlineStr">
        <is>
          <t>Areal</t>
        </is>
      </c>
      <c r="B31" s="30" t="n">
        <v>11461484</v>
      </c>
      <c r="C31" s="30">
        <f>"11679511742"</f>
        <v/>
      </c>
      <c r="D31" s="30" t="inlineStr">
        <is>
          <t>VALTAIR AMORIM FERNANDES</t>
        </is>
      </c>
      <c r="E31" s="40" t="n">
        <v>0</v>
      </c>
      <c r="F31" s="40" t="n">
        <v>0</v>
      </c>
      <c r="G31" s="40" t="n">
        <v>0</v>
      </c>
      <c r="H31" s="40" t="n">
        <v>1847.82</v>
      </c>
      <c r="I31" s="40" t="n">
        <v>100</v>
      </c>
      <c r="J31" s="40" t="n">
        <v>1847.82</v>
      </c>
      <c r="K31" s="40" t="n">
        <v>0</v>
      </c>
      <c r="L31" s="40" t="n">
        <v>15761.8</v>
      </c>
      <c r="M31" s="40" t="n">
        <v>752.99</v>
      </c>
      <c r="N31" s="40" t="n">
        <v>0</v>
      </c>
      <c r="O31" s="46" t="n">
        <v>-100</v>
      </c>
      <c r="P31" s="40" t="n">
        <v>0</v>
      </c>
      <c r="Q31" s="40" t="n">
        <v>0</v>
      </c>
      <c r="R31" s="47" t="n"/>
      <c r="S31" s="47" t="n"/>
      <c r="T31" s="47" t="n"/>
      <c r="U31" s="47" t="n"/>
      <c r="V31" s="47" t="n"/>
      <c r="W31" s="47" t="n"/>
    </row>
    <row r="32" ht="12" customHeight="1">
      <c r="A32" s="30" t="inlineStr">
        <is>
          <t>Areal</t>
        </is>
      </c>
      <c r="B32" s="30" t="n">
        <v>11517943</v>
      </c>
      <c r="C32" s="30">
        <f>"03789519715"</f>
        <v/>
      </c>
      <c r="D32" s="30" t="inlineStr">
        <is>
          <t>ZACHAROULA LAGOS SIMOES</t>
        </is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1920</v>
      </c>
      <c r="K32" s="40" t="n">
        <v>100</v>
      </c>
      <c r="L32" s="40" t="n">
        <v>2790</v>
      </c>
      <c r="M32" s="40" t="n">
        <v>45.31</v>
      </c>
      <c r="N32" s="40" t="n">
        <v>525</v>
      </c>
      <c r="O32" s="46" t="n">
        <v>-81.18000000000001</v>
      </c>
      <c r="P32" s="40" t="n">
        <v>0</v>
      </c>
      <c r="Q32" s="46" t="n">
        <v>-100</v>
      </c>
      <c r="R32" s="47" t="n"/>
      <c r="S32" s="47" t="n"/>
      <c r="T32" s="47" t="n"/>
      <c r="U32" s="47" t="n"/>
      <c r="V32" s="47" t="n"/>
      <c r="W32" s="47" t="n"/>
    </row>
    <row r="33" ht="12" customHeight="1">
      <c r="A33" s="30" t="inlineStr">
        <is>
          <t>Areal</t>
        </is>
      </c>
      <c r="B33" s="30" t="n">
        <v>11545220</v>
      </c>
      <c r="C33" s="30">
        <f>"02089969003393"</f>
        <v/>
      </c>
      <c r="D33" s="30" t="inlineStr">
        <is>
          <t>LATICINIOS BELA VISTA LTDA</t>
        </is>
      </c>
      <c r="E33" s="40" t="n">
        <v>0</v>
      </c>
      <c r="F33" s="40" t="n">
        <v>0</v>
      </c>
      <c r="G33" s="40" t="n">
        <v>0</v>
      </c>
      <c r="H33" s="40" t="n">
        <v>1150.63</v>
      </c>
      <c r="I33" s="40" t="n">
        <v>100</v>
      </c>
      <c r="J33" s="40" t="n">
        <v>52978.13</v>
      </c>
      <c r="K33" s="40" t="n">
        <v>4504.27</v>
      </c>
      <c r="L33" s="40" t="n">
        <v>38433.26</v>
      </c>
      <c r="M33" s="46" t="n">
        <v>-27.45</v>
      </c>
      <c r="N33" s="40" t="n">
        <v>0</v>
      </c>
      <c r="O33" s="46" t="n">
        <v>-100</v>
      </c>
      <c r="P33" s="40" t="n">
        <v>0</v>
      </c>
      <c r="Q33" s="40" t="n">
        <v>0</v>
      </c>
      <c r="R33" s="47" t="n"/>
      <c r="S33" s="47" t="n"/>
      <c r="T33" s="47" t="n"/>
      <c r="U33" s="47" t="n"/>
      <c r="V33" s="47" t="n"/>
      <c r="W33" s="47" t="n"/>
    </row>
    <row r="34" ht="12" customHeight="1">
      <c r="A34" s="30" t="inlineStr">
        <is>
          <t>Areal</t>
        </is>
      </c>
      <c r="B34" s="30" t="n">
        <v>11549276</v>
      </c>
      <c r="C34" s="30">
        <f>"34891172000114"</f>
        <v/>
      </c>
      <c r="D34" s="30" t="inlineStr">
        <is>
          <t>MAVEN COMÉRCIO ATACADISTA EM GERAL, CONSTRUTORA, SERVIÇOS E SOLUÇÕES ADMINISTRATIVAS EIRELI</t>
        </is>
      </c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>
        <v>0</v>
      </c>
      <c r="N34" s="40" t="n">
        <v>0</v>
      </c>
      <c r="O34" s="40" t="n">
        <v>0</v>
      </c>
      <c r="P34" s="40" t="n">
        <v>0</v>
      </c>
      <c r="Q34" s="40" t="n">
        <v>0</v>
      </c>
      <c r="R34" s="47" t="n"/>
      <c r="S34" s="47" t="n"/>
      <c r="T34" s="47" t="n"/>
      <c r="U34" s="47" t="n"/>
      <c r="V34" s="47" t="n"/>
      <c r="W34" s="47" t="n"/>
    </row>
    <row r="35" ht="12" customHeight="1">
      <c r="A35" s="30" t="inlineStr">
        <is>
          <t>Areal</t>
        </is>
      </c>
      <c r="B35" s="30" t="n">
        <v>11632610</v>
      </c>
      <c r="C35" s="30">
        <f>"11165614000140"</f>
        <v/>
      </c>
      <c r="D35" s="30" t="inlineStr">
        <is>
          <t>STEFANELLY MODAS LTDA ME</t>
        </is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7" t="n"/>
      <c r="S35" s="47" t="n"/>
      <c r="T35" s="47" t="n"/>
      <c r="U35" s="47" t="n"/>
      <c r="V35" s="47" t="n"/>
      <c r="W35" s="47" t="n"/>
    </row>
    <row r="36" ht="12" customHeight="1">
      <c r="A36" s="30" t="inlineStr">
        <is>
          <t>Areal</t>
        </is>
      </c>
      <c r="B36" s="30" t="n">
        <v>11639623</v>
      </c>
      <c r="C36" s="30">
        <f>"35839942000142"</f>
        <v/>
      </c>
      <c r="D36" s="30" t="inlineStr">
        <is>
          <t>TMA SUDESTE TRANSPORTE E LOG?STICA LTDA</t>
        </is>
      </c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633.26</v>
      </c>
      <c r="K36" s="40" t="n">
        <v>100</v>
      </c>
      <c r="L36" s="40" t="n">
        <v>746.49</v>
      </c>
      <c r="M36" s="40" t="n">
        <v>17.88</v>
      </c>
      <c r="N36" s="40" t="n">
        <v>0</v>
      </c>
      <c r="O36" s="46" t="n">
        <v>-100</v>
      </c>
      <c r="P36" s="40" t="n">
        <v>0</v>
      </c>
      <c r="Q36" s="40" t="n">
        <v>0</v>
      </c>
      <c r="R36" s="47" t="n"/>
      <c r="S36" s="47" t="n"/>
      <c r="T36" s="47" t="n"/>
      <c r="U36" s="47" t="n"/>
      <c r="V36" s="47" t="n"/>
      <c r="W36" s="47" t="n"/>
    </row>
    <row r="37" ht="12" customHeight="1">
      <c r="A37" s="30" t="inlineStr">
        <is>
          <t>Areal</t>
        </is>
      </c>
      <c r="B37" s="30" t="n">
        <v>11669689</v>
      </c>
      <c r="C37" s="30">
        <f>"33050071024502"</f>
        <v/>
      </c>
      <c r="D37" s="30" t="inlineStr">
        <is>
          <t>AMPLA ENERGIA E SERVICOS S.A.</t>
        </is>
      </c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>
        <v>0</v>
      </c>
      <c r="N37" s="40" t="n">
        <v>0</v>
      </c>
      <c r="O37" s="40" t="n">
        <v>0</v>
      </c>
      <c r="P37" s="40" t="n">
        <v>0</v>
      </c>
      <c r="Q37" s="40" t="n">
        <v>0</v>
      </c>
      <c r="R37" s="47" t="n"/>
      <c r="S37" s="47" t="n"/>
      <c r="T37" s="47" t="n"/>
      <c r="U37" s="47" t="n"/>
      <c r="V37" s="47" t="n"/>
      <c r="W37" s="47" t="n"/>
    </row>
    <row r="38" ht="12" customHeight="1">
      <c r="A38" s="30" t="inlineStr">
        <is>
          <t>Areal</t>
        </is>
      </c>
      <c r="B38" s="30" t="n">
        <v>11682510</v>
      </c>
      <c r="C38" s="30">
        <f>"00088358160763"</f>
        <v/>
      </c>
      <c r="D38" s="30" t="inlineStr">
        <is>
          <t>PAULO JOSE ALVES DA COSTA</t>
        </is>
      </c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>
        <v>0</v>
      </c>
      <c r="N38" s="40" t="n">
        <v>0</v>
      </c>
      <c r="O38" s="40" t="n">
        <v>0</v>
      </c>
      <c r="P38" s="40" t="n">
        <v>0</v>
      </c>
      <c r="Q38" s="40" t="n">
        <v>0</v>
      </c>
      <c r="R38" s="47" t="n"/>
      <c r="S38" s="47" t="n"/>
      <c r="T38" s="47" t="n"/>
      <c r="U38" s="47" t="n"/>
      <c r="V38" s="47" t="n"/>
      <c r="W38" s="47" t="n"/>
    </row>
    <row r="39" ht="12" customHeight="1">
      <c r="A39" s="30" t="inlineStr">
        <is>
          <t>Areal</t>
        </is>
      </c>
      <c r="B39" s="30" t="n">
        <v>11699375</v>
      </c>
      <c r="C39" s="30">
        <f>"20121850002107"</f>
        <v/>
      </c>
      <c r="D39" s="30" t="inlineStr">
        <is>
          <t>MERCADO ENVIOS SERVICOS DE LOGISTICA LTDA</t>
        </is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122073.85</v>
      </c>
      <c r="O39" s="40" t="n">
        <v>100</v>
      </c>
      <c r="P39" s="40" t="n">
        <v>0</v>
      </c>
      <c r="Q39" s="46" t="n">
        <v>-100</v>
      </c>
      <c r="R39" s="47" t="n"/>
      <c r="S39" s="47" t="n"/>
      <c r="T39" s="47" t="n"/>
      <c r="U39" s="47" t="n"/>
      <c r="V39" s="47" t="n"/>
      <c r="W39" s="47" t="n"/>
    </row>
    <row r="40" ht="12" customHeight="1">
      <c r="A40" s="30" t="inlineStr">
        <is>
          <t>Areal</t>
        </is>
      </c>
      <c r="B40" s="30" t="n">
        <v>11712908</v>
      </c>
      <c r="C40" s="30">
        <f>"36012579000150"</f>
        <v/>
      </c>
      <c r="D40" s="30" t="inlineStr">
        <is>
          <t>COZANI RJ INFRAESTRUTURA E REDES DE TELECOMUNICA??ES S.A</t>
        </is>
      </c>
      <c r="E40" s="40" t="n">
        <v>0</v>
      </c>
      <c r="F40" s="40" t="n">
        <v>0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>
        <v>0</v>
      </c>
      <c r="N40" s="40" t="n">
        <v>133514.36</v>
      </c>
      <c r="O40" s="40" t="n">
        <v>100</v>
      </c>
      <c r="P40" s="40" t="n">
        <v>0</v>
      </c>
      <c r="Q40" s="46" t="n">
        <v>-100</v>
      </c>
      <c r="R40" s="47" t="n"/>
      <c r="S40" s="47" t="n"/>
      <c r="T40" s="47" t="n"/>
      <c r="U40" s="47" t="n"/>
      <c r="V40" s="47" t="n"/>
      <c r="W40" s="47" t="n"/>
    </row>
    <row r="41" ht="12" customHeight="1">
      <c r="A41" s="30" t="inlineStr">
        <is>
          <t>Areal</t>
        </is>
      </c>
      <c r="B41" s="30" t="n">
        <v>11719376</v>
      </c>
      <c r="C41" s="30">
        <f>"37299947000155"</f>
        <v/>
      </c>
      <c r="D41" s="30" t="inlineStr">
        <is>
          <t>RAROS DE MINAS COM?RCIO DE PRODUTOS ALIMENT?CIOS LTDA</t>
        </is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>
        <v>0</v>
      </c>
      <c r="N41" s="40" t="n">
        <v>0</v>
      </c>
      <c r="O41" s="40" t="n">
        <v>0</v>
      </c>
      <c r="P41" s="40" t="n">
        <v>203397.01</v>
      </c>
      <c r="Q41" s="40" t="n">
        <v>100</v>
      </c>
      <c r="R41" s="47" t="n"/>
      <c r="S41" s="47" t="n"/>
      <c r="T41" s="47" t="n"/>
      <c r="U41" s="47" t="n"/>
      <c r="V41" s="47" t="n"/>
      <c r="W41" s="47" t="n"/>
    </row>
    <row r="42" ht="12" customHeight="1">
      <c r="A42" s="30" t="inlineStr">
        <is>
          <t>Areal</t>
        </is>
      </c>
      <c r="B42" s="30" t="n">
        <v>11743501</v>
      </c>
      <c r="C42" s="30">
        <f>"18247063001770"</f>
        <v/>
      </c>
      <c r="D42" s="30" t="inlineStr">
        <is>
          <t>DOMINALOG EXPRESS LOGISTICA INTEGRADA LTDA</t>
        </is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123.73</v>
      </c>
      <c r="Q42" s="40" t="n">
        <v>100</v>
      </c>
      <c r="R42" s="47" t="n"/>
      <c r="S42" s="47" t="n"/>
      <c r="T42" s="47" t="n"/>
      <c r="U42" s="47" t="n"/>
      <c r="V42" s="47" t="n"/>
      <c r="W42" s="47" t="n"/>
    </row>
    <row r="43" ht="12" customHeight="1">
      <c r="A43" s="30" t="inlineStr">
        <is>
          <t>Areal</t>
        </is>
      </c>
      <c r="B43" s="30" t="n">
        <v>11774504</v>
      </c>
      <c r="C43" s="30">
        <f>"00972696001351"</f>
        <v/>
      </c>
      <c r="D43" s="30" t="inlineStr">
        <is>
          <t>V.M.RAMOS &amp; CIA LTDA</t>
        </is>
      </c>
      <c r="E43" s="40" t="n">
        <v>0</v>
      </c>
      <c r="F43" s="40" t="n">
        <v>0</v>
      </c>
      <c r="G43" s="40" t="n">
        <v>0</v>
      </c>
      <c r="H43" s="40" t="n">
        <v>0</v>
      </c>
      <c r="I43" s="40" t="n">
        <v>0</v>
      </c>
      <c r="J43" s="40" t="n">
        <v>5000.61</v>
      </c>
      <c r="K43" s="40" t="n">
        <v>100</v>
      </c>
      <c r="L43" s="40" t="n">
        <v>15781.29</v>
      </c>
      <c r="M43" s="40" t="n">
        <v>215.59</v>
      </c>
      <c r="N43" s="40" t="n">
        <v>12983.63</v>
      </c>
      <c r="O43" s="46" t="n">
        <v>-17.73</v>
      </c>
      <c r="P43" s="40" t="n">
        <v>5582.37</v>
      </c>
      <c r="Q43" s="46" t="n">
        <v>-57</v>
      </c>
      <c r="R43" s="47" t="n"/>
      <c r="S43" s="47" t="n"/>
      <c r="T43" s="47" t="n"/>
      <c r="U43" s="47" t="n"/>
      <c r="V43" s="47" t="n"/>
      <c r="W43" s="47" t="n"/>
    </row>
    <row r="44" ht="12" customHeight="1">
      <c r="A44" s="30" t="inlineStr">
        <is>
          <t>Areal</t>
        </is>
      </c>
      <c r="B44" s="30" t="n">
        <v>11774997</v>
      </c>
      <c r="C44" s="30">
        <f>"37982963000148"</f>
        <v/>
      </c>
      <c r="D44" s="30" t="inlineStr">
        <is>
          <t>EKO PLASTO RECICLAGEM LTDA</t>
        </is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>
        <v>0</v>
      </c>
      <c r="N44" s="40" t="n">
        <v>0</v>
      </c>
      <c r="O44" s="40" t="n">
        <v>0</v>
      </c>
      <c r="P44" s="40" t="n">
        <v>0</v>
      </c>
      <c r="Q44" s="40" t="n">
        <v>0</v>
      </c>
      <c r="R44" s="47" t="n"/>
      <c r="S44" s="47" t="n"/>
      <c r="T44" s="47" t="n"/>
      <c r="U44" s="47" t="n"/>
      <c r="V44" s="47" t="n"/>
      <c r="W44" s="47" t="n"/>
    </row>
    <row r="45" ht="12" customHeight="1">
      <c r="A45" s="30" t="inlineStr">
        <is>
          <t>Areal</t>
        </is>
      </c>
      <c r="B45" s="30" t="n">
        <v>11810381</v>
      </c>
      <c r="C45" s="30">
        <f>"05206385004400"</f>
        <v/>
      </c>
      <c r="D45" s="30" t="inlineStr">
        <is>
          <t>HUGHES TELECOMUNICACOES DO BRASIL LTDA</t>
        </is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24950.27</v>
      </c>
      <c r="K45" s="40" t="n">
        <v>100</v>
      </c>
      <c r="L45" s="40" t="n">
        <v>92404.7</v>
      </c>
      <c r="M45" s="40" t="n">
        <v>270.36</v>
      </c>
      <c r="N45" s="40" t="n">
        <v>44408.78</v>
      </c>
      <c r="O45" s="46" t="n">
        <v>-51.94</v>
      </c>
      <c r="P45" s="40" t="n">
        <v>23963.89</v>
      </c>
      <c r="Q45" s="46" t="n">
        <v>-46.04</v>
      </c>
      <c r="R45" s="47" t="n"/>
      <c r="S45" s="47" t="n"/>
      <c r="T45" s="47" t="n"/>
      <c r="U45" s="47" t="n"/>
      <c r="V45" s="47" t="n"/>
      <c r="W45" s="47" t="n"/>
    </row>
    <row r="46" ht="12" customHeight="1">
      <c r="A46" s="30" t="inlineStr">
        <is>
          <t>Areal</t>
        </is>
      </c>
      <c r="B46" s="30" t="n">
        <v>11813801</v>
      </c>
      <c r="C46" s="30">
        <f>"08848231003772"</f>
        <v/>
      </c>
      <c r="D46" s="30" t="inlineStr">
        <is>
          <t>ATUAL CARGAS TRANSPORTES LTDA</t>
        </is>
      </c>
      <c r="E46" s="40" t="n">
        <v>0</v>
      </c>
      <c r="F46" s="40" t="n">
        <v>0</v>
      </c>
      <c r="G46" s="40" t="n">
        <v>0</v>
      </c>
      <c r="H46" s="40" t="n">
        <v>0</v>
      </c>
      <c r="I46" s="40" t="n">
        <v>0</v>
      </c>
      <c r="J46" s="40" t="n">
        <v>0</v>
      </c>
      <c r="K46" s="40" t="n">
        <v>0</v>
      </c>
      <c r="L46" s="40" t="n">
        <v>0</v>
      </c>
      <c r="M46" s="40" t="n">
        <v>0</v>
      </c>
      <c r="N46" s="40" t="n">
        <v>190.16</v>
      </c>
      <c r="O46" s="40" t="n">
        <v>100</v>
      </c>
      <c r="P46" s="40" t="n">
        <v>262.67</v>
      </c>
      <c r="Q46" s="40" t="n">
        <v>38.13</v>
      </c>
      <c r="R46" s="47" t="n"/>
      <c r="S46" s="47" t="n"/>
      <c r="T46" s="47" t="n"/>
      <c r="U46" s="47" t="n"/>
      <c r="V46" s="47" t="n"/>
      <c r="W46" s="47" t="n"/>
    </row>
    <row r="47" ht="12" customHeight="1">
      <c r="A47" s="30" t="inlineStr">
        <is>
          <t>Areal</t>
        </is>
      </c>
      <c r="B47" s="30" t="n">
        <v>11814077</v>
      </c>
      <c r="C47" s="30">
        <f>"38346448000134"</f>
        <v/>
      </c>
      <c r="D47" s="30" t="inlineStr">
        <is>
          <t>STN COMERCIO DE MATERIAL ELETRICO LTDA</t>
        </is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207979.33</v>
      </c>
      <c r="K47" s="40" t="n">
        <v>100</v>
      </c>
      <c r="L47" s="40" t="n">
        <v>7492585.71</v>
      </c>
      <c r="M47" s="40" t="n">
        <v>3502.56</v>
      </c>
      <c r="N47" s="40" t="n">
        <v>43600.31</v>
      </c>
      <c r="O47" s="46" t="n">
        <v>-99.42</v>
      </c>
      <c r="P47" s="40" t="n">
        <v>292630.17</v>
      </c>
      <c r="Q47" s="40" t="n">
        <v>571.17</v>
      </c>
      <c r="R47" s="47" t="n"/>
      <c r="S47" s="47" t="n"/>
      <c r="T47" s="47" t="n"/>
      <c r="U47" s="47" t="n"/>
      <c r="V47" s="47" t="n"/>
      <c r="W47" s="47" t="n"/>
    </row>
    <row r="48" ht="12" customHeight="1">
      <c r="A48" s="30" t="inlineStr">
        <is>
          <t>Areal</t>
        </is>
      </c>
      <c r="B48" s="30" t="n">
        <v>11823033</v>
      </c>
      <c r="C48" s="30">
        <f>"37185266000166"</f>
        <v/>
      </c>
      <c r="D48" s="30" t="inlineStr">
        <is>
          <t>JONAVA RJ INFRAESTRUTURA E REDES DE TELECOMUNICACOES S.A.</t>
        </is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>
        <v>189.23</v>
      </c>
      <c r="O48" s="40" t="n">
        <v>100</v>
      </c>
      <c r="P48" s="40" t="n">
        <v>0</v>
      </c>
      <c r="Q48" s="46" t="n">
        <v>-100</v>
      </c>
      <c r="R48" s="47" t="n"/>
      <c r="S48" s="47" t="n"/>
      <c r="T48" s="47" t="n"/>
      <c r="U48" s="47" t="n"/>
      <c r="V48" s="47" t="n"/>
      <c r="W48" s="47" t="n"/>
    </row>
    <row r="49" ht="12" customHeight="1">
      <c r="A49" s="30" t="inlineStr">
        <is>
          <t>Areal</t>
        </is>
      </c>
      <c r="B49" s="30" t="n">
        <v>11853137</v>
      </c>
      <c r="C49" s="30">
        <f>"48740351014972"</f>
        <v/>
      </c>
      <c r="D49" s="30" t="inlineStr">
        <is>
          <t>BRASPRESS TRANSPORTES URGENTES LTDA</t>
        </is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>
        <v>0</v>
      </c>
      <c r="N49" s="40" t="n">
        <v>34.17</v>
      </c>
      <c r="O49" s="40" t="n">
        <v>100</v>
      </c>
      <c r="P49" s="40" t="n">
        <v>28.78</v>
      </c>
      <c r="Q49" s="46" t="n">
        <v>-15.77</v>
      </c>
      <c r="R49" s="47" t="n"/>
      <c r="S49" s="47" t="n"/>
      <c r="T49" s="47" t="n"/>
      <c r="U49" s="47" t="n"/>
      <c r="V49" s="47" t="n"/>
      <c r="W49" s="47" t="n"/>
    </row>
    <row r="50" ht="12" customHeight="1">
      <c r="A50" s="30" t="inlineStr">
        <is>
          <t>Areal</t>
        </is>
      </c>
      <c r="B50" s="30" t="n">
        <v>11894909</v>
      </c>
      <c r="C50" s="30">
        <f>"19507906000206"</f>
        <v/>
      </c>
      <c r="D50" s="30" t="inlineStr">
        <is>
          <t>AUTO TRUCK PNEUS, PECAS, ACESSORIOS E SERVICOS LTDA</t>
        </is>
      </c>
      <c r="E50" s="40" t="n">
        <v>0</v>
      </c>
      <c r="F50" s="40" t="n">
        <v>0</v>
      </c>
      <c r="G50" s="40" t="n">
        <v>0</v>
      </c>
      <c r="H50" s="40" t="n">
        <v>0</v>
      </c>
      <c r="I50" s="40" t="n">
        <v>0</v>
      </c>
      <c r="J50" s="40" t="n">
        <v>0</v>
      </c>
      <c r="K50" s="40" t="n">
        <v>0</v>
      </c>
      <c r="L50" s="40" t="n">
        <v>0</v>
      </c>
      <c r="M50" s="40" t="n">
        <v>0</v>
      </c>
      <c r="N50" s="40" t="n">
        <v>0</v>
      </c>
      <c r="O50" s="40" t="n">
        <v>0</v>
      </c>
      <c r="P50" s="40" t="n">
        <v>0</v>
      </c>
      <c r="Q50" s="40" t="n">
        <v>0</v>
      </c>
      <c r="R50" s="47" t="n"/>
      <c r="S50" s="47" t="n"/>
      <c r="T50" s="47" t="n"/>
      <c r="U50" s="47" t="n"/>
      <c r="V50" s="47" t="n"/>
      <c r="W50" s="47" t="n"/>
    </row>
    <row r="51" ht="12" customHeight="1">
      <c r="A51" s="30" t="inlineStr">
        <is>
          <t>Areal</t>
        </is>
      </c>
      <c r="B51" s="30" t="n">
        <v>11920985</v>
      </c>
      <c r="C51" s="30">
        <f>"82110818002841"</f>
        <v/>
      </c>
      <c r="D51" s="30" t="inlineStr">
        <is>
          <t>ALFA TRANSPORTES LTDA</t>
        </is>
      </c>
      <c r="E51" s="40" t="n">
        <v>0</v>
      </c>
      <c r="F51" s="40" t="n">
        <v>0</v>
      </c>
      <c r="G51" s="40" t="n">
        <v>0</v>
      </c>
      <c r="H51" s="40" t="n">
        <v>0</v>
      </c>
      <c r="I51" s="40" t="n">
        <v>0</v>
      </c>
      <c r="J51" s="40" t="n">
        <v>0</v>
      </c>
      <c r="K51" s="40" t="n">
        <v>0</v>
      </c>
      <c r="L51" s="40" t="n">
        <v>1446.06</v>
      </c>
      <c r="M51" s="40" t="n">
        <v>100</v>
      </c>
      <c r="N51" s="40" t="n">
        <v>3683.32</v>
      </c>
      <c r="O51" s="40" t="n">
        <v>154.71</v>
      </c>
      <c r="P51" s="40" t="n">
        <v>0</v>
      </c>
      <c r="Q51" s="46" t="n">
        <v>-100</v>
      </c>
      <c r="R51" s="47" t="n"/>
      <c r="S51" s="47" t="n"/>
      <c r="T51" s="47" t="n"/>
      <c r="U51" s="47" t="n"/>
      <c r="V51" s="47" t="n"/>
      <c r="W51" s="47" t="n"/>
    </row>
    <row r="52" ht="12" customHeight="1">
      <c r="A52" s="30" t="inlineStr">
        <is>
          <t>Areal</t>
        </is>
      </c>
      <c r="B52" s="30" t="n">
        <v>11933424</v>
      </c>
      <c r="C52" s="30">
        <f>"40172797000129"</f>
        <v/>
      </c>
      <c r="D52" s="30" t="inlineStr">
        <is>
          <t>LESTE GROUP TELECOMUNICA??ES DO BRASIL LTDA</t>
        </is>
      </c>
      <c r="E52" s="40" t="n">
        <v>0</v>
      </c>
      <c r="F52" s="40" t="n">
        <v>0</v>
      </c>
      <c r="G52" s="40" t="n">
        <v>0</v>
      </c>
      <c r="H52" s="40" t="n">
        <v>0</v>
      </c>
      <c r="I52" s="40" t="n">
        <v>0</v>
      </c>
      <c r="J52" s="40" t="n">
        <v>0</v>
      </c>
      <c r="K52" s="40" t="n">
        <v>0</v>
      </c>
      <c r="L52" s="40" t="n">
        <v>0</v>
      </c>
      <c r="M52" s="40" t="n">
        <v>0</v>
      </c>
      <c r="N52" s="40" t="n">
        <v>0</v>
      </c>
      <c r="O52" s="40" t="n">
        <v>0</v>
      </c>
      <c r="P52" s="40" t="n">
        <v>46.76</v>
      </c>
      <c r="Q52" s="40" t="n">
        <v>100</v>
      </c>
      <c r="R52" s="47" t="n"/>
      <c r="S52" s="47" t="n"/>
      <c r="T52" s="47" t="n"/>
      <c r="U52" s="47" t="n"/>
      <c r="V52" s="47" t="n"/>
      <c r="W52" s="47" t="n"/>
    </row>
    <row r="53" ht="12" customHeight="1">
      <c r="A53" s="30" t="inlineStr">
        <is>
          <t>Areal</t>
        </is>
      </c>
      <c r="B53" s="30" t="n">
        <v>11972977</v>
      </c>
      <c r="C53" s="30">
        <f>"01125797002593"</f>
        <v/>
      </c>
      <c r="D53" s="30" t="inlineStr">
        <is>
          <t>ATIVA DISTRIBUICAO E LOGISTICA LTDA</t>
        </is>
      </c>
      <c r="E53" s="40" t="n">
        <v>0</v>
      </c>
      <c r="F53" s="40" t="n">
        <v>0</v>
      </c>
      <c r="G53" s="40" t="n">
        <v>0</v>
      </c>
      <c r="H53" s="40" t="n">
        <v>0</v>
      </c>
      <c r="I53" s="40" t="n">
        <v>0</v>
      </c>
      <c r="J53" s="40" t="n">
        <v>0</v>
      </c>
      <c r="K53" s="40" t="n">
        <v>0</v>
      </c>
      <c r="L53" s="40" t="n">
        <v>71872.89</v>
      </c>
      <c r="M53" s="40" t="n">
        <v>100</v>
      </c>
      <c r="N53" s="40" t="n">
        <v>95980.22</v>
      </c>
      <c r="O53" s="40" t="n">
        <v>33.54</v>
      </c>
      <c r="P53" s="40" t="n">
        <v>160412.74</v>
      </c>
      <c r="Q53" s="40" t="n">
        <v>67.13</v>
      </c>
      <c r="R53" s="47" t="n"/>
      <c r="S53" s="47" t="n"/>
      <c r="T53" s="47" t="n"/>
      <c r="U53" s="47" t="n"/>
      <c r="V53" s="47" t="n"/>
      <c r="W53" s="47" t="n"/>
    </row>
    <row r="54" ht="12" customHeight="1">
      <c r="A54" s="30" t="inlineStr">
        <is>
          <t>Areal</t>
        </is>
      </c>
      <c r="B54" s="30" t="n">
        <v>11981011</v>
      </c>
      <c r="C54" s="30">
        <f>"37188703000790"</f>
        <v/>
      </c>
      <c r="D54" s="30" t="inlineStr">
        <is>
          <t>T &amp; M TRANSPORTE DE CARGAS LTDA</t>
        </is>
      </c>
      <c r="E54" s="40" t="n">
        <v>0</v>
      </c>
      <c r="F54" s="40" t="n">
        <v>0</v>
      </c>
      <c r="G54" s="40" t="n">
        <v>0</v>
      </c>
      <c r="H54" s="40" t="n">
        <v>0</v>
      </c>
      <c r="I54" s="40" t="n">
        <v>0</v>
      </c>
      <c r="J54" s="40" t="n">
        <v>0</v>
      </c>
      <c r="K54" s="40" t="n">
        <v>0</v>
      </c>
      <c r="L54" s="40" t="n">
        <v>0</v>
      </c>
      <c r="M54" s="40" t="n">
        <v>0</v>
      </c>
      <c r="N54" s="40" t="n">
        <v>10</v>
      </c>
      <c r="O54" s="40" t="n">
        <v>100</v>
      </c>
      <c r="P54" s="40" t="n">
        <v>0</v>
      </c>
      <c r="Q54" s="46" t="n">
        <v>-100</v>
      </c>
      <c r="R54" s="47" t="n"/>
      <c r="S54" s="47" t="n"/>
      <c r="T54" s="47" t="n"/>
      <c r="U54" s="47" t="n"/>
      <c r="V54" s="47" t="n"/>
      <c r="W54" s="47" t="n"/>
    </row>
    <row r="55" ht="12" customHeight="1">
      <c r="A55" s="30" t="inlineStr">
        <is>
          <t>Areal</t>
        </is>
      </c>
      <c r="B55" s="30" t="n">
        <v>11985432</v>
      </c>
      <c r="C55" s="30">
        <f>"01172831000103"</f>
        <v/>
      </c>
      <c r="D55" s="30" t="inlineStr">
        <is>
          <t>EMPREITEIRA MARCIO JUNIOR LTDA</t>
        </is>
      </c>
      <c r="E55" s="40" t="n">
        <v>0</v>
      </c>
      <c r="F55" s="40" t="n">
        <v>0</v>
      </c>
      <c r="G55" s="40" t="n">
        <v>0</v>
      </c>
      <c r="H55" s="40" t="n">
        <v>0</v>
      </c>
      <c r="I55" s="40" t="n">
        <v>0</v>
      </c>
      <c r="J55" s="40" t="n">
        <v>0</v>
      </c>
      <c r="K55" s="40" t="n">
        <v>0</v>
      </c>
      <c r="L55" s="40" t="n">
        <v>0</v>
      </c>
      <c r="M55" s="40" t="n">
        <v>0</v>
      </c>
      <c r="N55" s="40" t="n">
        <v>0</v>
      </c>
      <c r="O55" s="40" t="n">
        <v>0</v>
      </c>
      <c r="P55" s="40" t="n">
        <v>0</v>
      </c>
      <c r="Q55" s="40" t="n">
        <v>0</v>
      </c>
      <c r="R55" s="47" t="n"/>
      <c r="S55" s="47" t="n"/>
      <c r="T55" s="47" t="n"/>
      <c r="U55" s="47" t="n"/>
      <c r="V55" s="47" t="n"/>
      <c r="W55" s="47" t="n"/>
    </row>
    <row r="56" ht="12" customHeight="1">
      <c r="A56" s="30" t="inlineStr">
        <is>
          <t>Areal</t>
        </is>
      </c>
      <c r="B56" s="30" t="n">
        <v>12085290</v>
      </c>
      <c r="C56" s="30">
        <f>"43244631005985"</f>
        <v/>
      </c>
      <c r="D56" s="30" t="inlineStr">
        <is>
          <t>TRANSPORTADORA AMERICANA LTDA</t>
        </is>
      </c>
      <c r="E56" s="40" t="n">
        <v>0</v>
      </c>
      <c r="F56" s="40" t="n">
        <v>0</v>
      </c>
      <c r="G56" s="40" t="n">
        <v>0</v>
      </c>
      <c r="H56" s="40" t="n">
        <v>0</v>
      </c>
      <c r="I56" s="40" t="n">
        <v>0</v>
      </c>
      <c r="J56" s="40" t="n">
        <v>0</v>
      </c>
      <c r="K56" s="40" t="n">
        <v>0</v>
      </c>
      <c r="L56" s="40" t="n">
        <v>0</v>
      </c>
      <c r="M56" s="40" t="n">
        <v>0</v>
      </c>
      <c r="N56" s="40" t="n">
        <v>0</v>
      </c>
      <c r="O56" s="40" t="n">
        <v>0</v>
      </c>
      <c r="P56" s="40" t="n">
        <v>6.26</v>
      </c>
      <c r="Q56" s="40" t="n">
        <v>100</v>
      </c>
      <c r="R56" s="47" t="n"/>
      <c r="S56" s="47" t="n"/>
      <c r="T56" s="47" t="n"/>
      <c r="U56" s="47" t="n"/>
      <c r="V56" s="47" t="n"/>
      <c r="W56" s="47" t="n"/>
    </row>
    <row r="57" ht="12" customHeight="1">
      <c r="A57" s="30" t="inlineStr">
        <is>
          <t>Areal</t>
        </is>
      </c>
      <c r="B57" s="30" t="n">
        <v>12087810</v>
      </c>
      <c r="C57" s="30">
        <f>"29453826000511"</f>
        <v/>
      </c>
      <c r="D57" s="30" t="inlineStr">
        <is>
          <t>TRANSPORTE GENEROSO LTDA</t>
        </is>
      </c>
      <c r="E57" s="40" t="n">
        <v>0</v>
      </c>
      <c r="F57" s="40" t="n">
        <v>0</v>
      </c>
      <c r="G57" s="40" t="n">
        <v>0</v>
      </c>
      <c r="H57" s="40" t="n">
        <v>0</v>
      </c>
      <c r="I57" s="40" t="n">
        <v>0</v>
      </c>
      <c r="J57" s="40" t="n">
        <v>0</v>
      </c>
      <c r="K57" s="40" t="n">
        <v>0</v>
      </c>
      <c r="L57" s="40" t="n">
        <v>0</v>
      </c>
      <c r="M57" s="40" t="n">
        <v>0</v>
      </c>
      <c r="N57" s="40" t="n">
        <v>0</v>
      </c>
      <c r="O57" s="40" t="n">
        <v>0</v>
      </c>
      <c r="P57" s="40" t="n">
        <v>525.42</v>
      </c>
      <c r="Q57" s="40" t="n">
        <v>100</v>
      </c>
      <c r="R57" s="47" t="n"/>
      <c r="S57" s="47" t="n"/>
      <c r="T57" s="47" t="n"/>
      <c r="U57" s="47" t="n"/>
      <c r="V57" s="47" t="n"/>
      <c r="W57" s="47" t="n"/>
    </row>
    <row r="58" ht="12" customHeight="1">
      <c r="A58" s="30" t="inlineStr">
        <is>
          <t>Areal</t>
        </is>
      </c>
      <c r="B58" s="30" t="n">
        <v>12122675</v>
      </c>
      <c r="C58" s="30">
        <f>"42476615000139"</f>
        <v/>
      </c>
      <c r="D58" s="30" t="inlineStr">
        <is>
          <t>JUSAN LOGISTICA E TRANSPORTES LTDA</t>
        </is>
      </c>
      <c r="E58" s="40" t="n">
        <v>0</v>
      </c>
      <c r="F58" s="40" t="n">
        <v>0</v>
      </c>
      <c r="G58" s="40" t="n">
        <v>0</v>
      </c>
      <c r="H58" s="40" t="n">
        <v>0</v>
      </c>
      <c r="I58" s="40" t="n">
        <v>0</v>
      </c>
      <c r="J58" s="40" t="n">
        <v>0</v>
      </c>
      <c r="K58" s="40" t="n">
        <v>0</v>
      </c>
      <c r="L58" s="40" t="n">
        <v>0</v>
      </c>
      <c r="M58" s="40" t="n">
        <v>0</v>
      </c>
      <c r="N58" s="40" t="n">
        <v>0</v>
      </c>
      <c r="O58" s="40" t="n">
        <v>0</v>
      </c>
      <c r="P58" s="40" t="n">
        <v>41.48</v>
      </c>
      <c r="Q58" s="40" t="n">
        <v>100</v>
      </c>
      <c r="R58" s="47" t="n"/>
      <c r="S58" s="47" t="n"/>
      <c r="T58" s="47" t="n"/>
      <c r="U58" s="47" t="n"/>
      <c r="V58" s="47" t="n"/>
      <c r="W58" s="47" t="n"/>
    </row>
    <row r="59" ht="12" customHeight="1">
      <c r="A59" s="30" t="inlineStr">
        <is>
          <t>Areal</t>
        </is>
      </c>
      <c r="B59" s="30" t="n">
        <v>12143559</v>
      </c>
      <c r="C59" s="30">
        <f>"00043224334649"</f>
        <v/>
      </c>
      <c r="D59" s="30" t="inlineStr">
        <is>
          <t>CARLOS HENRIQUE GOMES COELHO</t>
        </is>
      </c>
      <c r="E59" s="40" t="n">
        <v>0</v>
      </c>
      <c r="F59" s="40" t="n">
        <v>0</v>
      </c>
      <c r="G59" s="40" t="n">
        <v>0</v>
      </c>
      <c r="H59" s="40" t="n">
        <v>0</v>
      </c>
      <c r="I59" s="40" t="n">
        <v>0</v>
      </c>
      <c r="J59" s="40" t="n">
        <v>0</v>
      </c>
      <c r="K59" s="40" t="n">
        <v>0</v>
      </c>
      <c r="L59" s="40" t="n">
        <v>0</v>
      </c>
      <c r="M59" s="40" t="n">
        <v>0</v>
      </c>
      <c r="N59" s="40" t="n">
        <v>0</v>
      </c>
      <c r="O59" s="40" t="n">
        <v>0</v>
      </c>
      <c r="P59" s="40" t="n">
        <v>0</v>
      </c>
      <c r="Q59" s="40" t="n">
        <v>0</v>
      </c>
      <c r="R59" s="47" t="n"/>
      <c r="S59" s="47" t="n"/>
      <c r="T59" s="47" t="n"/>
      <c r="U59" s="47" t="n"/>
      <c r="V59" s="47" t="n"/>
      <c r="W59" s="47" t="n"/>
    </row>
    <row r="60" ht="12" customHeight="1">
      <c r="A60" s="30" t="inlineStr">
        <is>
          <t>Areal</t>
        </is>
      </c>
      <c r="B60" s="30" t="n">
        <v>12144750</v>
      </c>
      <c r="C60" s="30">
        <f>"42715061000185"</f>
        <v/>
      </c>
      <c r="D60" s="30" t="inlineStr">
        <is>
          <t>IRON LOG TRANSPORTES LTDA</t>
        </is>
      </c>
      <c r="E60" s="40" t="n">
        <v>0</v>
      </c>
      <c r="F60" s="40" t="n">
        <v>0</v>
      </c>
      <c r="G60" s="40" t="n">
        <v>0</v>
      </c>
      <c r="H60" s="40" t="n">
        <v>0</v>
      </c>
      <c r="I60" s="40" t="n">
        <v>0</v>
      </c>
      <c r="J60" s="40" t="n">
        <v>0</v>
      </c>
      <c r="K60" s="40" t="n">
        <v>0</v>
      </c>
      <c r="L60" s="40" t="n">
        <v>6818.18</v>
      </c>
      <c r="M60" s="40" t="n">
        <v>100</v>
      </c>
      <c r="N60" s="40" t="n">
        <v>0</v>
      </c>
      <c r="O60" s="46" t="n">
        <v>-100</v>
      </c>
      <c r="P60" s="40" t="n">
        <v>0</v>
      </c>
      <c r="Q60" s="40" t="n">
        <v>0</v>
      </c>
      <c r="R60" s="47" t="n"/>
      <c r="S60" s="47" t="n"/>
      <c r="T60" s="47" t="n"/>
      <c r="U60" s="47" t="n"/>
      <c r="V60" s="47" t="n"/>
      <c r="W60" s="47" t="n"/>
    </row>
    <row r="61" ht="12" customHeight="1">
      <c r="A61" s="30" t="inlineStr">
        <is>
          <t>Areal</t>
        </is>
      </c>
      <c r="B61" s="30" t="n">
        <v>12181639</v>
      </c>
      <c r="C61" s="30">
        <f>"00027471446587"</f>
        <v/>
      </c>
      <c r="D61" s="30" t="inlineStr">
        <is>
          <t>KATYA BARBOSA DE SOUZA  E ALMEIDA</t>
        </is>
      </c>
      <c r="E61" s="40" t="n">
        <v>0</v>
      </c>
      <c r="F61" s="40" t="n">
        <v>0</v>
      </c>
      <c r="G61" s="40" t="n">
        <v>0</v>
      </c>
      <c r="H61" s="40" t="n">
        <v>0</v>
      </c>
      <c r="I61" s="40" t="n">
        <v>0</v>
      </c>
      <c r="J61" s="40" t="n">
        <v>0</v>
      </c>
      <c r="K61" s="40" t="n">
        <v>0</v>
      </c>
      <c r="L61" s="40" t="n">
        <v>0</v>
      </c>
      <c r="M61" s="40" t="n">
        <v>0</v>
      </c>
      <c r="N61" s="40" t="n">
        <v>0</v>
      </c>
      <c r="O61" s="40" t="n">
        <v>0</v>
      </c>
      <c r="P61" s="40" t="n">
        <v>0</v>
      </c>
      <c r="Q61" s="40" t="n">
        <v>0</v>
      </c>
      <c r="R61" s="47" t="n"/>
      <c r="S61" s="47" t="n"/>
      <c r="T61" s="47" t="n"/>
      <c r="U61" s="47" t="n"/>
      <c r="V61" s="47" t="n"/>
      <c r="W61" s="47" t="n"/>
    </row>
    <row r="62" ht="12" customHeight="1">
      <c r="A62" s="30" t="inlineStr">
        <is>
          <t>Areal</t>
        </is>
      </c>
      <c r="B62" s="30" t="n">
        <v>12197454</v>
      </c>
      <c r="C62" s="30">
        <f>"23416669000164"</f>
        <v/>
      </c>
      <c r="D62" s="30" t="inlineStr">
        <is>
          <t>BR ING COM EXP E IMP LTDA</t>
        </is>
      </c>
      <c r="E62" s="40" t="n">
        <v>0</v>
      </c>
      <c r="F62" s="40" t="n">
        <v>0</v>
      </c>
      <c r="G62" s="40" t="n">
        <v>0</v>
      </c>
      <c r="H62" s="40" t="n">
        <v>0</v>
      </c>
      <c r="I62" s="40" t="n">
        <v>0</v>
      </c>
      <c r="J62" s="40" t="n">
        <v>0</v>
      </c>
      <c r="K62" s="40" t="n">
        <v>0</v>
      </c>
      <c r="L62" s="40" t="n">
        <v>0</v>
      </c>
      <c r="M62" s="40" t="n">
        <v>0</v>
      </c>
      <c r="N62" s="40" t="n">
        <v>0</v>
      </c>
      <c r="O62" s="40" t="n">
        <v>0</v>
      </c>
      <c r="P62" s="40" t="n">
        <v>0</v>
      </c>
      <c r="Q62" s="40" t="n">
        <v>0</v>
      </c>
      <c r="R62" s="47" t="n"/>
      <c r="S62" s="47" t="n"/>
      <c r="T62" s="47" t="n"/>
      <c r="U62" s="47" t="n"/>
      <c r="V62" s="47" t="n"/>
      <c r="W62" s="47" t="n"/>
    </row>
    <row r="63" ht="12" customHeight="1">
      <c r="A63" s="30" t="inlineStr">
        <is>
          <t>Areal</t>
        </is>
      </c>
      <c r="B63" s="30" t="n">
        <v>12202482</v>
      </c>
      <c r="C63" s="30">
        <f>"00011061504735"</f>
        <v/>
      </c>
      <c r="D63" s="30" t="inlineStr">
        <is>
          <t>UILIAN DO ESPIRITO SANTO SILVA</t>
        </is>
      </c>
      <c r="E63" s="40" t="n">
        <v>0</v>
      </c>
      <c r="F63" s="40" t="n">
        <v>0</v>
      </c>
      <c r="G63" s="40" t="n">
        <v>0</v>
      </c>
      <c r="H63" s="40" t="n">
        <v>0</v>
      </c>
      <c r="I63" s="40" t="n">
        <v>0</v>
      </c>
      <c r="J63" s="40" t="n">
        <v>0</v>
      </c>
      <c r="K63" s="40" t="n">
        <v>0</v>
      </c>
      <c r="L63" s="40" t="n">
        <v>0</v>
      </c>
      <c r="M63" s="40" t="n">
        <v>0</v>
      </c>
      <c r="N63" s="40" t="n">
        <v>0</v>
      </c>
      <c r="O63" s="40" t="n">
        <v>0</v>
      </c>
      <c r="P63" s="40" t="n">
        <v>0</v>
      </c>
      <c r="Q63" s="40" t="n">
        <v>0</v>
      </c>
      <c r="R63" s="47" t="n"/>
      <c r="S63" s="47" t="n"/>
      <c r="T63" s="47" t="n"/>
      <c r="U63" s="47" t="n"/>
      <c r="V63" s="47" t="n"/>
      <c r="W63" s="47" t="n"/>
    </row>
    <row r="64" ht="12" customHeight="1">
      <c r="A64" s="30" t="inlineStr">
        <is>
          <t>Areal</t>
        </is>
      </c>
      <c r="B64" s="30" t="n">
        <v>12275595</v>
      </c>
      <c r="C64" s="30">
        <f>"44133274000124"</f>
        <v/>
      </c>
      <c r="D64" s="30" t="inlineStr">
        <is>
          <t>RECOMBACK ENGENHARIA LTDA</t>
        </is>
      </c>
      <c r="E64" s="40" t="n">
        <v>0</v>
      </c>
      <c r="F64" s="40" t="n">
        <v>0</v>
      </c>
      <c r="G64" s="40" t="n">
        <v>0</v>
      </c>
      <c r="H64" s="40" t="n">
        <v>0</v>
      </c>
      <c r="I64" s="40" t="n">
        <v>0</v>
      </c>
      <c r="J64" s="40" t="n">
        <v>0</v>
      </c>
      <c r="K64" s="40" t="n">
        <v>0</v>
      </c>
      <c r="L64" s="40" t="n">
        <v>0</v>
      </c>
      <c r="M64" s="40" t="n">
        <v>0</v>
      </c>
      <c r="N64" s="40" t="n">
        <v>0</v>
      </c>
      <c r="O64" s="40" t="n">
        <v>0</v>
      </c>
      <c r="P64" s="40" t="n">
        <v>0</v>
      </c>
      <c r="Q64" s="40" t="n">
        <v>0</v>
      </c>
      <c r="R64" s="47" t="n"/>
      <c r="S64" s="47" t="n"/>
      <c r="T64" s="47" t="n"/>
      <c r="U64" s="47" t="n"/>
      <c r="V64" s="47" t="n"/>
      <c r="W64" s="47" t="n"/>
    </row>
    <row r="65" ht="12" customHeight="1">
      <c r="A65" s="30" t="inlineStr">
        <is>
          <t>Areal</t>
        </is>
      </c>
      <c r="B65" s="30" t="n">
        <v>12320132</v>
      </c>
      <c r="C65" s="30">
        <f>"42584754000348"</f>
        <v/>
      </c>
      <c r="D65" s="30" t="inlineStr">
        <is>
          <t>J&amp;T EXPRESS BRAZIL LTDA.</t>
        </is>
      </c>
      <c r="E65" s="40" t="n">
        <v>0</v>
      </c>
      <c r="F65" s="40" t="n">
        <v>0</v>
      </c>
      <c r="G65" s="40" t="n">
        <v>0</v>
      </c>
      <c r="H65" s="40" t="n">
        <v>0</v>
      </c>
      <c r="I65" s="40" t="n">
        <v>0</v>
      </c>
      <c r="J65" s="40" t="n">
        <v>0</v>
      </c>
      <c r="K65" s="40" t="n">
        <v>0</v>
      </c>
      <c r="L65" s="40" t="n">
        <v>0</v>
      </c>
      <c r="M65" s="40" t="n">
        <v>0</v>
      </c>
      <c r="N65" s="40" t="n">
        <v>0</v>
      </c>
      <c r="O65" s="40" t="n">
        <v>0</v>
      </c>
      <c r="P65" s="40" t="n">
        <v>29.52</v>
      </c>
      <c r="Q65" s="40" t="n">
        <v>100</v>
      </c>
      <c r="R65" s="47" t="n"/>
      <c r="S65" s="47" t="n"/>
      <c r="T65" s="47" t="n"/>
      <c r="U65" s="47" t="n"/>
      <c r="V65" s="47" t="n"/>
      <c r="W65" s="47" t="n"/>
    </row>
    <row r="66" ht="12" customHeight="1">
      <c r="A66" s="30" t="inlineStr">
        <is>
          <t>Areal</t>
        </is>
      </c>
      <c r="B66" s="30" t="n">
        <v>12335784</v>
      </c>
      <c r="C66" s="30">
        <f>"40154884000153"</f>
        <v/>
      </c>
      <c r="D66" s="30" t="inlineStr">
        <is>
          <t>STARLINK BRAZIL SERVICOS DE INTERNET LTDA.</t>
        </is>
      </c>
      <c r="E66" s="40" t="n">
        <v>0</v>
      </c>
      <c r="F66" s="40" t="n">
        <v>0</v>
      </c>
      <c r="G66" s="40" t="n">
        <v>0</v>
      </c>
      <c r="H66" s="40" t="n">
        <v>0</v>
      </c>
      <c r="I66" s="40" t="n">
        <v>0</v>
      </c>
      <c r="J66" s="40" t="n">
        <v>0</v>
      </c>
      <c r="K66" s="40" t="n">
        <v>0</v>
      </c>
      <c r="L66" s="40" t="n">
        <v>0</v>
      </c>
      <c r="M66" s="40" t="n">
        <v>0</v>
      </c>
      <c r="N66" s="40" t="n">
        <v>0</v>
      </c>
      <c r="O66" s="40" t="n">
        <v>0</v>
      </c>
      <c r="P66" s="40" t="n">
        <v>16910.58</v>
      </c>
      <c r="Q66" s="40" t="n">
        <v>100</v>
      </c>
      <c r="R66" s="47" t="n"/>
      <c r="S66" s="47" t="n"/>
      <c r="T66" s="47" t="n"/>
      <c r="U66" s="47" t="n"/>
      <c r="V66" s="47" t="n"/>
      <c r="W66" s="47" t="n"/>
    </row>
    <row r="67" ht="12" customHeight="1">
      <c r="A67" s="30" t="inlineStr">
        <is>
          <t>Areal</t>
        </is>
      </c>
      <c r="B67" s="30" t="n">
        <v>12362498</v>
      </c>
      <c r="C67" s="30">
        <f>"15032773000470"</f>
        <v/>
      </c>
      <c r="D67" s="30" t="inlineStr">
        <is>
          <t>YESCO ADMINISTRADORA DE BENS S/A.</t>
        </is>
      </c>
      <c r="E67" s="40" t="n">
        <v>0</v>
      </c>
      <c r="F67" s="40" t="n">
        <v>0</v>
      </c>
      <c r="G67" s="40" t="n">
        <v>0</v>
      </c>
      <c r="H67" s="40" t="n">
        <v>0</v>
      </c>
      <c r="I67" s="40" t="n">
        <v>0</v>
      </c>
      <c r="J67" s="40" t="n">
        <v>0</v>
      </c>
      <c r="K67" s="40" t="n">
        <v>0</v>
      </c>
      <c r="L67" s="40" t="n">
        <v>0</v>
      </c>
      <c r="M67" s="40" t="n">
        <v>0</v>
      </c>
      <c r="N67" s="40" t="n">
        <v>0</v>
      </c>
      <c r="O67" s="40" t="n">
        <v>0</v>
      </c>
      <c r="P67" s="40" t="n">
        <v>168.75</v>
      </c>
      <c r="Q67" s="40" t="n">
        <v>100</v>
      </c>
      <c r="R67" s="47" t="n"/>
      <c r="S67" s="47" t="n"/>
      <c r="T67" s="47" t="n"/>
      <c r="U67" s="47" t="n"/>
      <c r="V67" s="47" t="n"/>
      <c r="W67" s="47" t="n"/>
    </row>
    <row r="68" ht="12" customHeight="1">
      <c r="A68" s="30" t="inlineStr">
        <is>
          <t>Areal</t>
        </is>
      </c>
      <c r="B68" s="30" t="n">
        <v>12469942</v>
      </c>
      <c r="C68" s="30">
        <f>"45450026000170"</f>
        <v/>
      </c>
      <c r="D68" s="30" t="inlineStr">
        <is>
          <t>AZUL 8 AREAL EMPREENDIMENTOS E CONSTRU??ES LTDA</t>
        </is>
      </c>
      <c r="E68" s="40" t="n">
        <v>0</v>
      </c>
      <c r="F68" s="40" t="n">
        <v>0</v>
      </c>
      <c r="G68" s="40" t="n">
        <v>0</v>
      </c>
      <c r="H68" s="40" t="n">
        <v>0</v>
      </c>
      <c r="I68" s="40" t="n">
        <v>0</v>
      </c>
      <c r="J68" s="40" t="n">
        <v>0</v>
      </c>
      <c r="K68" s="40" t="n">
        <v>0</v>
      </c>
      <c r="L68" s="40" t="n">
        <v>0</v>
      </c>
      <c r="M68" s="40" t="n">
        <v>0</v>
      </c>
      <c r="N68" s="40" t="n">
        <v>0</v>
      </c>
      <c r="O68" s="40" t="n">
        <v>0</v>
      </c>
      <c r="P68" s="40" t="n">
        <v>0</v>
      </c>
      <c r="Q68" s="40" t="n">
        <v>0</v>
      </c>
      <c r="R68" s="47" t="n"/>
      <c r="S68" s="47" t="n"/>
      <c r="T68" s="47" t="n"/>
      <c r="U68" s="47" t="n"/>
      <c r="V68" s="47" t="n"/>
      <c r="W68" s="47" t="n"/>
    </row>
    <row r="69" ht="12" customHeight="1">
      <c r="A69" s="30" t="inlineStr">
        <is>
          <t>Areal</t>
        </is>
      </c>
      <c r="B69" s="30" t="n">
        <v>12570511</v>
      </c>
      <c r="C69" s="30">
        <f>"47463100000118"</f>
        <v/>
      </c>
      <c r="D69" s="30" t="inlineStr">
        <is>
          <t>LM SOARES SERVICOS E EMPREENDIMENTOS IMOBILI?RIOS LTDA</t>
        </is>
      </c>
      <c r="E69" s="40" t="n">
        <v>0</v>
      </c>
      <c r="F69" s="40" t="n">
        <v>0</v>
      </c>
      <c r="G69" s="40" t="n">
        <v>0</v>
      </c>
      <c r="H69" s="40" t="n">
        <v>0</v>
      </c>
      <c r="I69" s="40" t="n">
        <v>0</v>
      </c>
      <c r="J69" s="40" t="n">
        <v>0</v>
      </c>
      <c r="K69" s="40" t="n">
        <v>0</v>
      </c>
      <c r="L69" s="40" t="n">
        <v>0</v>
      </c>
      <c r="M69" s="40" t="n">
        <v>0</v>
      </c>
      <c r="N69" s="40" t="n">
        <v>0</v>
      </c>
      <c r="O69" s="40" t="n">
        <v>0</v>
      </c>
      <c r="P69" s="40" t="n">
        <v>0</v>
      </c>
      <c r="Q69" s="40" t="n">
        <v>0</v>
      </c>
      <c r="R69" s="47" t="n"/>
      <c r="S69" s="47" t="n"/>
      <c r="T69" s="47" t="n"/>
      <c r="U69" s="47" t="n"/>
      <c r="V69" s="47" t="n"/>
      <c r="W69" s="47" t="n"/>
    </row>
    <row r="70" ht="12" customHeight="1">
      <c r="A70" s="30" t="inlineStr">
        <is>
          <t>Areal</t>
        </is>
      </c>
      <c r="B70" s="30" t="n">
        <v>12594569</v>
      </c>
      <c r="C70" s="30">
        <f>"19451038005330"</f>
        <v/>
      </c>
      <c r="D70" s="30" t="inlineStr">
        <is>
          <t>RODOVIARIO CAMILO DOS SANTOS FILHO LTDA</t>
        </is>
      </c>
      <c r="E70" s="40" t="n">
        <v>0</v>
      </c>
      <c r="F70" s="40" t="n">
        <v>0</v>
      </c>
      <c r="G70" s="40" t="n">
        <v>0</v>
      </c>
      <c r="H70" s="40" t="n">
        <v>0</v>
      </c>
      <c r="I70" s="40" t="n">
        <v>0</v>
      </c>
      <c r="J70" s="40" t="n">
        <v>0</v>
      </c>
      <c r="K70" s="40" t="n">
        <v>0</v>
      </c>
      <c r="L70" s="40" t="n">
        <v>0</v>
      </c>
      <c r="M70" s="40" t="n">
        <v>0</v>
      </c>
      <c r="N70" s="40" t="n">
        <v>0</v>
      </c>
      <c r="O70" s="40" t="n">
        <v>0</v>
      </c>
      <c r="P70" s="40" t="n">
        <v>5024.54</v>
      </c>
      <c r="Q70" s="40" t="n">
        <v>100</v>
      </c>
      <c r="R70" s="47" t="n"/>
      <c r="S70" s="47" t="n"/>
      <c r="T70" s="47" t="n"/>
      <c r="U70" s="47" t="n"/>
      <c r="V70" s="47" t="n"/>
      <c r="W70" s="47" t="n"/>
    </row>
    <row r="71" ht="12" customHeight="1">
      <c r="A71" s="30" t="inlineStr">
        <is>
          <t>Areal</t>
        </is>
      </c>
      <c r="B71" s="30" t="n">
        <v>12758014</v>
      </c>
      <c r="C71" s="30">
        <f>"49445865000150"</f>
        <v/>
      </c>
      <c r="D71" s="30" t="inlineStr">
        <is>
          <t>MULTI - TEXTIL IND?STRIA E COM?RCIO LTDA</t>
        </is>
      </c>
      <c r="E71" s="40" t="n">
        <v>0</v>
      </c>
      <c r="F71" s="40" t="n">
        <v>0</v>
      </c>
      <c r="G71" s="40" t="n">
        <v>0</v>
      </c>
      <c r="H71" s="40" t="n">
        <v>0</v>
      </c>
      <c r="I71" s="40" t="n">
        <v>0</v>
      </c>
      <c r="J71" s="40" t="n">
        <v>0</v>
      </c>
      <c r="K71" s="40" t="n">
        <v>0</v>
      </c>
      <c r="L71" s="40" t="n">
        <v>0</v>
      </c>
      <c r="M71" s="40" t="n">
        <v>0</v>
      </c>
      <c r="N71" s="40" t="n">
        <v>0</v>
      </c>
      <c r="O71" s="40" t="n">
        <v>0</v>
      </c>
      <c r="P71" s="40" t="n">
        <v>744478.67</v>
      </c>
      <c r="Q71" s="40" t="n">
        <v>100</v>
      </c>
      <c r="R71" s="47" t="n"/>
      <c r="S71" s="47" t="n"/>
      <c r="T71" s="47" t="n"/>
      <c r="U71" s="47" t="n"/>
      <c r="V71" s="47" t="n"/>
      <c r="W71" s="47" t="n"/>
    </row>
    <row r="72" ht="12" customHeight="1">
      <c r="A72" s="30" t="inlineStr">
        <is>
          <t>Areal</t>
        </is>
      </c>
      <c r="B72" s="30" t="n">
        <v>12805446</v>
      </c>
      <c r="C72" s="30">
        <f>"08969326000214"</f>
        <v/>
      </c>
      <c r="D72" s="30" t="inlineStr">
        <is>
          <t>POLICARPO LOGISTICA E TRANSPORTES LTDA</t>
        </is>
      </c>
      <c r="E72" s="40" t="n">
        <v>0</v>
      </c>
      <c r="F72" s="40" t="n">
        <v>0</v>
      </c>
      <c r="G72" s="40" t="n">
        <v>0</v>
      </c>
      <c r="H72" s="40" t="n">
        <v>0</v>
      </c>
      <c r="I72" s="40" t="n">
        <v>0</v>
      </c>
      <c r="J72" s="40" t="n">
        <v>0</v>
      </c>
      <c r="K72" s="40" t="n">
        <v>0</v>
      </c>
      <c r="L72" s="40" t="n">
        <v>0</v>
      </c>
      <c r="M72" s="40" t="n">
        <v>0</v>
      </c>
      <c r="N72" s="40" t="n">
        <v>0</v>
      </c>
      <c r="O72" s="40" t="n">
        <v>0</v>
      </c>
      <c r="P72" s="40" t="n">
        <v>1065.93</v>
      </c>
      <c r="Q72" s="40" t="n">
        <v>100</v>
      </c>
      <c r="R72" s="47" t="n"/>
      <c r="S72" s="47" t="n"/>
      <c r="T72" s="47" t="n"/>
      <c r="U72" s="47" t="n"/>
      <c r="V72" s="47" t="n"/>
      <c r="W72" s="47" t="n"/>
    </row>
    <row r="73" ht="12" customHeight="1">
      <c r="A73" s="30" t="inlineStr">
        <is>
          <t>Areal</t>
        </is>
      </c>
      <c r="B73" s="30" t="n">
        <v>14311637</v>
      </c>
      <c r="C73" s="30">
        <f>"53308501000104"</f>
        <v/>
      </c>
      <c r="D73" s="30" t="inlineStr">
        <is>
          <t>AC FIT2 LTDA</t>
        </is>
      </c>
      <c r="E73" s="40" t="n">
        <v>0</v>
      </c>
      <c r="F73" s="40" t="n">
        <v>0</v>
      </c>
      <c r="G73" s="40" t="n">
        <v>0</v>
      </c>
      <c r="H73" s="40" t="n">
        <v>0</v>
      </c>
      <c r="I73" s="40" t="n">
        <v>0</v>
      </c>
      <c r="J73" s="40" t="n">
        <v>0</v>
      </c>
      <c r="K73" s="40" t="n">
        <v>0</v>
      </c>
      <c r="L73" s="40" t="n">
        <v>0</v>
      </c>
      <c r="M73" s="40" t="n">
        <v>0</v>
      </c>
      <c r="N73" s="40" t="n">
        <v>0</v>
      </c>
      <c r="O73" s="40" t="n">
        <v>0</v>
      </c>
      <c r="P73" s="40" t="n">
        <v>0</v>
      </c>
      <c r="Q73" s="40" t="n">
        <v>0</v>
      </c>
      <c r="R73" s="47" t="n"/>
      <c r="S73" s="47" t="n"/>
      <c r="T73" s="47" t="n"/>
      <c r="U73" s="47" t="n"/>
      <c r="V73" s="47" t="n"/>
      <c r="W73" s="47" t="n"/>
    </row>
    <row r="74" ht="12" customHeight="1">
      <c r="A74" s="30" t="inlineStr">
        <is>
          <t>Areal</t>
        </is>
      </c>
      <c r="B74" s="30" t="n">
        <v>71155587</v>
      </c>
      <c r="C74" s="30">
        <f>"46904379715"</f>
        <v/>
      </c>
      <c r="D74" s="30" t="inlineStr">
        <is>
          <t>JEFFREY COPELAND BRANTLY</t>
        </is>
      </c>
      <c r="E74" s="40" t="n">
        <v>135936.68</v>
      </c>
      <c r="F74" s="40" t="n">
        <v>153109.98</v>
      </c>
      <c r="G74" s="40" t="n">
        <v>12.63</v>
      </c>
      <c r="H74" s="40" t="n">
        <v>238924.9</v>
      </c>
      <c r="I74" s="40" t="n">
        <v>56.05</v>
      </c>
      <c r="J74" s="40" t="n">
        <v>361646.06</v>
      </c>
      <c r="K74" s="40" t="n">
        <v>51.36</v>
      </c>
      <c r="L74" s="40" t="n">
        <v>1361598.14</v>
      </c>
      <c r="M74" s="40" t="n">
        <v>276.5</v>
      </c>
      <c r="N74" s="40" t="n">
        <v>324999.15</v>
      </c>
      <c r="O74" s="46" t="n">
        <v>-76.13</v>
      </c>
      <c r="P74" s="40" t="n">
        <v>0</v>
      </c>
      <c r="Q74" s="46" t="n">
        <v>-100</v>
      </c>
      <c r="R74" s="47" t="n"/>
      <c r="S74" s="47" t="n"/>
      <c r="T74" s="47" t="n"/>
      <c r="U74" s="47" t="n"/>
      <c r="V74" s="47" t="n"/>
      <c r="W74" s="47" t="n"/>
    </row>
    <row r="75" ht="12" customHeight="1">
      <c r="A75" s="30" t="inlineStr">
        <is>
          <t>Areal</t>
        </is>
      </c>
      <c r="B75" s="30" t="n">
        <v>71155625</v>
      </c>
      <c r="C75" s="30">
        <f>"04453360720"</f>
        <v/>
      </c>
      <c r="D75" s="30" t="inlineStr">
        <is>
          <t>PAULO ROBERTO SARMENTO NICOLAU</t>
        </is>
      </c>
      <c r="E75" s="40" t="n">
        <v>0</v>
      </c>
      <c r="F75" s="40" t="n">
        <v>0</v>
      </c>
      <c r="G75" s="40" t="n">
        <v>0</v>
      </c>
      <c r="H75" s="40" t="n">
        <v>0</v>
      </c>
      <c r="I75" s="40" t="n">
        <v>0</v>
      </c>
      <c r="J75" s="40" t="n">
        <v>0</v>
      </c>
      <c r="K75" s="40" t="n">
        <v>0</v>
      </c>
      <c r="L75" s="40" t="n">
        <v>0</v>
      </c>
      <c r="M75" s="40" t="n">
        <v>0</v>
      </c>
      <c r="N75" s="40" t="n">
        <v>0</v>
      </c>
      <c r="O75" s="40" t="n">
        <v>0</v>
      </c>
      <c r="P75" s="40" t="n">
        <v>0</v>
      </c>
      <c r="Q75" s="40" t="n">
        <v>0</v>
      </c>
      <c r="R75" s="47" t="n"/>
      <c r="S75" s="47" t="n"/>
      <c r="T75" s="47" t="n"/>
      <c r="U75" s="47" t="n"/>
      <c r="V75" s="47" t="n"/>
      <c r="W75" s="47" t="n"/>
    </row>
    <row r="76" ht="12" customHeight="1">
      <c r="A76" s="30" t="inlineStr">
        <is>
          <t>Areal</t>
        </is>
      </c>
      <c r="B76" s="30" t="n">
        <v>71445690</v>
      </c>
      <c r="C76" s="30">
        <f>"23954620715"</f>
        <v/>
      </c>
      <c r="D76" s="30" t="inlineStr">
        <is>
          <t>MAURICIO SIQUEIRA BRANDI</t>
        </is>
      </c>
      <c r="E76" s="40" t="n">
        <v>0</v>
      </c>
      <c r="F76" s="40" t="n">
        <v>0</v>
      </c>
      <c r="G76" s="40" t="n">
        <v>0</v>
      </c>
      <c r="H76" s="40" t="n">
        <v>0</v>
      </c>
      <c r="I76" s="40" t="n">
        <v>0</v>
      </c>
      <c r="J76" s="40" t="n">
        <v>0</v>
      </c>
      <c r="K76" s="40" t="n">
        <v>0</v>
      </c>
      <c r="L76" s="40" t="n">
        <v>0</v>
      </c>
      <c r="M76" s="40" t="n">
        <v>0</v>
      </c>
      <c r="N76" s="40" t="n">
        <v>0</v>
      </c>
      <c r="O76" s="40" t="n">
        <v>0</v>
      </c>
      <c r="P76" s="40" t="n">
        <v>0</v>
      </c>
      <c r="Q76" s="40" t="n">
        <v>0</v>
      </c>
      <c r="R76" s="47" t="n"/>
      <c r="S76" s="47" t="n"/>
      <c r="T76" s="47" t="n"/>
      <c r="U76" s="47" t="n"/>
      <c r="V76" s="47" t="n"/>
      <c r="W76" s="47" t="n"/>
    </row>
    <row r="77" ht="12" customHeight="1">
      <c r="A77" s="30" t="inlineStr">
        <is>
          <t>Areal</t>
        </is>
      </c>
      <c r="B77" s="30" t="n">
        <v>71702944</v>
      </c>
      <c r="C77" s="30">
        <f>"02780992700"</f>
        <v/>
      </c>
      <c r="D77" s="30" t="inlineStr">
        <is>
          <t>WILMA FORLEO GATZENMEIER</t>
        </is>
      </c>
      <c r="E77" s="40" t="n">
        <v>0</v>
      </c>
      <c r="F77" s="40" t="n">
        <v>0</v>
      </c>
      <c r="G77" s="40" t="n">
        <v>0</v>
      </c>
      <c r="H77" s="40" t="n">
        <v>0</v>
      </c>
      <c r="I77" s="40" t="n">
        <v>0</v>
      </c>
      <c r="J77" s="40" t="n">
        <v>0</v>
      </c>
      <c r="K77" s="40" t="n">
        <v>0</v>
      </c>
      <c r="L77" s="40" t="n">
        <v>0</v>
      </c>
      <c r="M77" s="40" t="n">
        <v>0</v>
      </c>
      <c r="N77" s="40" t="n">
        <v>0</v>
      </c>
      <c r="O77" s="40" t="n">
        <v>0</v>
      </c>
      <c r="P77" s="40" t="n">
        <v>0</v>
      </c>
      <c r="Q77" s="40" t="n">
        <v>0</v>
      </c>
      <c r="R77" s="47" t="n"/>
      <c r="S77" s="47" t="n"/>
      <c r="T77" s="47" t="n"/>
      <c r="U77" s="47" t="n"/>
      <c r="V77" s="47" t="n"/>
      <c r="W77" s="47" t="n"/>
    </row>
    <row r="78" ht="12" customHeight="1">
      <c r="A78" s="30" t="inlineStr">
        <is>
          <t>Areal</t>
        </is>
      </c>
      <c r="B78" s="30" t="n">
        <v>71703266</v>
      </c>
      <c r="C78" s="30">
        <f>"00264202791"</f>
        <v/>
      </c>
      <c r="D78" s="30" t="inlineStr">
        <is>
          <t>ANTONIO JOSE DE BRITO</t>
        </is>
      </c>
      <c r="E78" s="40" t="n">
        <v>0</v>
      </c>
      <c r="F78" s="40" t="n">
        <v>0</v>
      </c>
      <c r="G78" s="40" t="n">
        <v>0</v>
      </c>
      <c r="H78" s="40" t="n">
        <v>0</v>
      </c>
      <c r="I78" s="40" t="n">
        <v>0</v>
      </c>
      <c r="J78" s="40" t="n">
        <v>0</v>
      </c>
      <c r="K78" s="40" t="n">
        <v>0</v>
      </c>
      <c r="L78" s="40" t="n">
        <v>0</v>
      </c>
      <c r="M78" s="40" t="n">
        <v>0</v>
      </c>
      <c r="N78" s="40" t="n">
        <v>0</v>
      </c>
      <c r="O78" s="40" t="n">
        <v>0</v>
      </c>
      <c r="P78" s="40" t="n">
        <v>0</v>
      </c>
      <c r="Q78" s="40" t="n">
        <v>0</v>
      </c>
      <c r="R78" s="47" t="n"/>
      <c r="S78" s="47" t="n"/>
      <c r="T78" s="47" t="n"/>
      <c r="U78" s="47" t="n"/>
      <c r="V78" s="47" t="n"/>
      <c r="W78" s="47" t="n"/>
    </row>
    <row r="79" ht="12" customHeight="1">
      <c r="A79" s="30" t="inlineStr">
        <is>
          <t>Areal</t>
        </is>
      </c>
      <c r="B79" s="30" t="n">
        <v>71703339</v>
      </c>
      <c r="C79" s="30">
        <f>"00800775791"</f>
        <v/>
      </c>
      <c r="D79" s="30" t="inlineStr">
        <is>
          <t>JOSE AUGUSTO VILLELA PEDRAS</t>
        </is>
      </c>
      <c r="E79" s="40" t="n">
        <v>263689.51</v>
      </c>
      <c r="F79" s="40" t="n">
        <v>0</v>
      </c>
      <c r="G79" s="46" t="n">
        <v>-100</v>
      </c>
      <c r="H79" s="40" t="n">
        <v>0</v>
      </c>
      <c r="I79" s="40" t="n">
        <v>0</v>
      </c>
      <c r="J79" s="40" t="n">
        <v>0</v>
      </c>
      <c r="K79" s="40" t="n">
        <v>0</v>
      </c>
      <c r="L79" s="40" t="n">
        <v>0</v>
      </c>
      <c r="M79" s="40" t="n">
        <v>0</v>
      </c>
      <c r="N79" s="40" t="n">
        <v>0</v>
      </c>
      <c r="O79" s="40" t="n">
        <v>0</v>
      </c>
      <c r="P79" s="40" t="n">
        <v>0</v>
      </c>
      <c r="Q79" s="40" t="n">
        <v>0</v>
      </c>
      <c r="R79" s="47" t="n"/>
      <c r="S79" s="47" t="n"/>
      <c r="T79" s="47" t="n"/>
      <c r="U79" s="47" t="n"/>
      <c r="V79" s="47" t="n"/>
      <c r="W79" s="47" t="n"/>
    </row>
    <row r="80" ht="12" customHeight="1">
      <c r="A80" s="30" t="inlineStr">
        <is>
          <t>Areal</t>
        </is>
      </c>
      <c r="B80" s="30" t="n">
        <v>71703355</v>
      </c>
      <c r="C80" s="30">
        <f>"00011687320772"</f>
        <v/>
      </c>
      <c r="D80" s="30" t="inlineStr">
        <is>
          <t>CARLOS EMILIO DE MOURA</t>
        </is>
      </c>
      <c r="E80" s="40" t="n">
        <v>0</v>
      </c>
      <c r="F80" s="40" t="n">
        <v>0</v>
      </c>
      <c r="G80" s="40" t="n">
        <v>0</v>
      </c>
      <c r="H80" s="40" t="n">
        <v>0</v>
      </c>
      <c r="I80" s="40" t="n">
        <v>0</v>
      </c>
      <c r="J80" s="40" t="n">
        <v>0</v>
      </c>
      <c r="K80" s="40" t="n">
        <v>0</v>
      </c>
      <c r="L80" s="40" t="n">
        <v>0</v>
      </c>
      <c r="M80" s="40" t="n">
        <v>0</v>
      </c>
      <c r="N80" s="40" t="n">
        <v>0</v>
      </c>
      <c r="O80" s="40" t="n">
        <v>0</v>
      </c>
      <c r="P80" s="40" t="n">
        <v>0</v>
      </c>
      <c r="Q80" s="40" t="n">
        <v>0</v>
      </c>
      <c r="R80" s="47" t="n"/>
      <c r="S80" s="47" t="n"/>
      <c r="T80" s="47" t="n"/>
      <c r="U80" s="47" t="n"/>
      <c r="V80" s="47" t="n"/>
      <c r="W80" s="47" t="n"/>
    </row>
    <row r="81" ht="12" customHeight="1">
      <c r="A81" s="30" t="inlineStr">
        <is>
          <t>Areal</t>
        </is>
      </c>
      <c r="B81" s="30" t="n">
        <v>71703444</v>
      </c>
      <c r="C81" s="30">
        <f>"08190216791"</f>
        <v/>
      </c>
      <c r="D81" s="30" t="inlineStr">
        <is>
          <t>JOSE MAURO PEREIRA</t>
        </is>
      </c>
      <c r="E81" s="40" t="n">
        <v>0</v>
      </c>
      <c r="F81" s="40" t="n">
        <v>0</v>
      </c>
      <c r="G81" s="40" t="n">
        <v>0</v>
      </c>
      <c r="H81" s="40" t="n">
        <v>0</v>
      </c>
      <c r="I81" s="40" t="n">
        <v>0</v>
      </c>
      <c r="J81" s="40" t="n">
        <v>0</v>
      </c>
      <c r="K81" s="40" t="n">
        <v>0</v>
      </c>
      <c r="L81" s="40" t="n">
        <v>0</v>
      </c>
      <c r="M81" s="40" t="n">
        <v>0</v>
      </c>
      <c r="N81" s="40" t="n">
        <v>0</v>
      </c>
      <c r="O81" s="40" t="n">
        <v>0</v>
      </c>
      <c r="P81" s="40" t="n">
        <v>0</v>
      </c>
      <c r="Q81" s="40" t="n">
        <v>0</v>
      </c>
      <c r="R81" s="47" t="n"/>
      <c r="S81" s="47" t="n"/>
      <c r="T81" s="47" t="n"/>
      <c r="U81" s="47" t="n"/>
      <c r="V81" s="47" t="n"/>
      <c r="W81" s="47" t="n"/>
    </row>
    <row r="82" ht="12" customHeight="1">
      <c r="A82" s="30" t="inlineStr">
        <is>
          <t>Areal</t>
        </is>
      </c>
      <c r="B82" s="30" t="n">
        <v>71703509</v>
      </c>
      <c r="C82" s="30">
        <f>"00726028720"</f>
        <v/>
      </c>
      <c r="D82" s="30" t="inlineStr">
        <is>
          <t>SERGIO ALBERTO MONTEIRO DE CARVALHO</t>
        </is>
      </c>
      <c r="E82" s="40" t="n">
        <v>16408.33</v>
      </c>
      <c r="F82" s="40" t="n">
        <v>48499.62</v>
      </c>
      <c r="G82" s="40" t="n">
        <v>195.58</v>
      </c>
      <c r="H82" s="40" t="n">
        <v>0</v>
      </c>
      <c r="I82" s="46" t="n">
        <v>-100</v>
      </c>
      <c r="J82" s="40" t="n">
        <v>59990.01</v>
      </c>
      <c r="K82" s="40" t="n">
        <v>100</v>
      </c>
      <c r="L82" s="40" t="n">
        <v>13527</v>
      </c>
      <c r="M82" s="46" t="n">
        <v>-77.45</v>
      </c>
      <c r="N82" s="40" t="n">
        <v>36000</v>
      </c>
      <c r="O82" s="40" t="n">
        <v>166.13</v>
      </c>
      <c r="P82" s="40" t="n">
        <v>0</v>
      </c>
      <c r="Q82" s="46" t="n">
        <v>-100</v>
      </c>
      <c r="R82" s="47" t="n"/>
      <c r="S82" s="47" t="n"/>
      <c r="T82" s="47" t="n"/>
      <c r="U82" s="47" t="n"/>
      <c r="V82" s="47" t="n"/>
      <c r="W82" s="47" t="n"/>
    </row>
    <row r="83" ht="12" customHeight="1">
      <c r="A83" s="30" t="inlineStr">
        <is>
          <t>Areal</t>
        </is>
      </c>
      <c r="B83" s="30" t="n">
        <v>71703541</v>
      </c>
      <c r="C83" s="30">
        <f>"01419811720"</f>
        <v/>
      </c>
      <c r="D83" s="30" t="inlineStr">
        <is>
          <t>JOSE AUGUSTO DE ARAUJO MARTINS</t>
        </is>
      </c>
      <c r="E83" s="40" t="n">
        <v>0</v>
      </c>
      <c r="F83" s="40" t="n">
        <v>0</v>
      </c>
      <c r="G83" s="40" t="n">
        <v>0</v>
      </c>
      <c r="H83" s="40" t="n">
        <v>0</v>
      </c>
      <c r="I83" s="40" t="n">
        <v>0</v>
      </c>
      <c r="J83" s="40" t="n">
        <v>0</v>
      </c>
      <c r="K83" s="40" t="n">
        <v>0</v>
      </c>
      <c r="L83" s="40" t="n">
        <v>0</v>
      </c>
      <c r="M83" s="40" t="n">
        <v>0</v>
      </c>
      <c r="N83" s="40" t="n">
        <v>0</v>
      </c>
      <c r="O83" s="40" t="n">
        <v>0</v>
      </c>
      <c r="P83" s="40" t="n">
        <v>0</v>
      </c>
      <c r="Q83" s="40" t="n">
        <v>0</v>
      </c>
      <c r="R83" s="47" t="n"/>
      <c r="S83" s="47" t="n"/>
      <c r="T83" s="47" t="n"/>
      <c r="U83" s="47" t="n"/>
      <c r="V83" s="47" t="n"/>
      <c r="W83" s="47" t="n"/>
    </row>
    <row r="84" ht="12" customHeight="1">
      <c r="A84" s="30" t="inlineStr">
        <is>
          <t>Areal</t>
        </is>
      </c>
      <c r="B84" s="30" t="n">
        <v>71703630</v>
      </c>
      <c r="C84" s="30">
        <f>"02602156787"</f>
        <v/>
      </c>
      <c r="D84" s="30" t="inlineStr">
        <is>
          <t>MANOEL FIALHO LONDRES</t>
        </is>
      </c>
      <c r="E84" s="40" t="n">
        <v>0</v>
      </c>
      <c r="F84" s="40" t="n">
        <v>0</v>
      </c>
      <c r="G84" s="40" t="n">
        <v>0</v>
      </c>
      <c r="H84" s="40" t="n">
        <v>0</v>
      </c>
      <c r="I84" s="40" t="n">
        <v>0</v>
      </c>
      <c r="J84" s="40" t="n">
        <v>0</v>
      </c>
      <c r="K84" s="40" t="n">
        <v>0</v>
      </c>
      <c r="L84" s="40" t="n">
        <v>0</v>
      </c>
      <c r="M84" s="40" t="n">
        <v>0</v>
      </c>
      <c r="N84" s="40" t="n">
        <v>0</v>
      </c>
      <c r="O84" s="40" t="n">
        <v>0</v>
      </c>
      <c r="P84" s="40" t="n">
        <v>0</v>
      </c>
      <c r="Q84" s="40" t="n">
        <v>0</v>
      </c>
      <c r="R84" s="47" t="n"/>
      <c r="S84" s="47" t="n"/>
      <c r="T84" s="47" t="n"/>
      <c r="U84" s="47" t="n"/>
      <c r="V84" s="47" t="n"/>
      <c r="W84" s="47" t="n"/>
    </row>
    <row r="85" ht="12" customHeight="1">
      <c r="A85" s="30" t="inlineStr">
        <is>
          <t>Areal</t>
        </is>
      </c>
      <c r="B85" s="30" t="n">
        <v>71703835</v>
      </c>
      <c r="C85" s="30">
        <f>"19262604734"</f>
        <v/>
      </c>
      <c r="D85" s="30" t="inlineStr">
        <is>
          <t>HELENA FIALHO LONDRES</t>
        </is>
      </c>
      <c r="E85" s="40" t="n">
        <v>0</v>
      </c>
      <c r="F85" s="40" t="n">
        <v>0</v>
      </c>
      <c r="G85" s="40" t="n">
        <v>0</v>
      </c>
      <c r="H85" s="40" t="n">
        <v>0</v>
      </c>
      <c r="I85" s="40" t="n">
        <v>0</v>
      </c>
      <c r="J85" s="40" t="n">
        <v>0</v>
      </c>
      <c r="K85" s="40" t="n">
        <v>0</v>
      </c>
      <c r="L85" s="40" t="n">
        <v>0</v>
      </c>
      <c r="M85" s="40" t="n">
        <v>0</v>
      </c>
      <c r="N85" s="40" t="n">
        <v>0</v>
      </c>
      <c r="O85" s="40" t="n">
        <v>0</v>
      </c>
      <c r="P85" s="40" t="n">
        <v>0</v>
      </c>
      <c r="Q85" s="40" t="n">
        <v>0</v>
      </c>
      <c r="R85" s="47" t="n"/>
      <c r="S85" s="47" t="n"/>
      <c r="T85" s="47" t="n"/>
      <c r="U85" s="47" t="n"/>
      <c r="V85" s="47" t="n"/>
      <c r="W85" s="47" t="n"/>
    </row>
    <row r="86" ht="12" customHeight="1">
      <c r="A86" s="30" t="inlineStr">
        <is>
          <t>Areal</t>
        </is>
      </c>
      <c r="B86" s="30" t="n">
        <v>71704270</v>
      </c>
      <c r="C86" s="30">
        <f>"47674202704"</f>
        <v/>
      </c>
      <c r="D86" s="30" t="inlineStr">
        <is>
          <t>EMILSON RAIMUNDO DE SOUZA</t>
        </is>
      </c>
      <c r="E86" s="40" t="n">
        <v>0</v>
      </c>
      <c r="F86" s="40" t="n">
        <v>111759</v>
      </c>
      <c r="G86" s="40" t="n">
        <v>100</v>
      </c>
      <c r="H86" s="40" t="n">
        <v>147800</v>
      </c>
      <c r="I86" s="40" t="n">
        <v>32.25</v>
      </c>
      <c r="J86" s="40" t="n">
        <v>94000</v>
      </c>
      <c r="K86" s="46" t="n">
        <v>-36.4</v>
      </c>
      <c r="L86" s="40" t="n">
        <v>180000</v>
      </c>
      <c r="M86" s="40" t="n">
        <v>91.48999999999999</v>
      </c>
      <c r="N86" s="40" t="n">
        <v>67572.28999999999</v>
      </c>
      <c r="O86" s="46" t="n">
        <v>-62.46</v>
      </c>
      <c r="P86" s="40" t="n">
        <v>136000</v>
      </c>
      <c r="Q86" s="40" t="n">
        <v>101.27</v>
      </c>
      <c r="R86" s="47" t="n"/>
      <c r="S86" s="47" t="n"/>
      <c r="T86" s="47" t="n"/>
      <c r="U86" s="47" t="n"/>
      <c r="V86" s="47" t="n"/>
      <c r="W86" s="47" t="n"/>
    </row>
    <row r="87" ht="12" customHeight="1">
      <c r="A87" s="30" t="inlineStr">
        <is>
          <t>Areal</t>
        </is>
      </c>
      <c r="B87" s="30" t="n">
        <v>71704289</v>
      </c>
      <c r="C87" s="30">
        <f>"01680268724"</f>
        <v/>
      </c>
      <c r="D87" s="30" t="inlineStr">
        <is>
          <t>HELOISA MARIA V SOARES ALHADEFF</t>
        </is>
      </c>
      <c r="E87" s="40" t="n">
        <v>74299.61</v>
      </c>
      <c r="F87" s="40" t="n">
        <v>44805</v>
      </c>
      <c r="G87" s="46" t="n">
        <v>-39.7</v>
      </c>
      <c r="H87" s="40" t="n">
        <v>66215</v>
      </c>
      <c r="I87" s="40" t="n">
        <v>47.78</v>
      </c>
      <c r="J87" s="40" t="n">
        <v>53240</v>
      </c>
      <c r="K87" s="46" t="n">
        <v>-19.6</v>
      </c>
      <c r="L87" s="40" t="n">
        <v>88409</v>
      </c>
      <c r="M87" s="40" t="n">
        <v>66.06</v>
      </c>
      <c r="N87" s="40" t="n">
        <v>60020</v>
      </c>
      <c r="O87" s="46" t="n">
        <v>-32.11</v>
      </c>
      <c r="P87" s="40" t="n">
        <v>52714</v>
      </c>
      <c r="Q87" s="46" t="n">
        <v>-12.17</v>
      </c>
      <c r="R87" s="47" t="n"/>
      <c r="S87" s="47" t="n"/>
      <c r="T87" s="47" t="n"/>
      <c r="U87" s="47" t="n"/>
      <c r="V87" s="47" t="n"/>
      <c r="W87" s="47" t="n"/>
    </row>
    <row r="88" ht="12" customHeight="1">
      <c r="A88" s="30" t="inlineStr">
        <is>
          <t>Areal</t>
        </is>
      </c>
      <c r="B88" s="30" t="n">
        <v>71802574</v>
      </c>
      <c r="C88" s="30">
        <f>"71317805704"</f>
        <v/>
      </c>
      <c r="D88" s="30" t="inlineStr">
        <is>
          <t>ODETTE DE LIMA SOARES</t>
        </is>
      </c>
      <c r="E88" s="40" t="n">
        <v>0</v>
      </c>
      <c r="F88" s="40" t="n">
        <v>0</v>
      </c>
      <c r="G88" s="40" t="n">
        <v>0</v>
      </c>
      <c r="H88" s="40" t="n">
        <v>0</v>
      </c>
      <c r="I88" s="40" t="n">
        <v>0</v>
      </c>
      <c r="J88" s="40" t="n">
        <v>0</v>
      </c>
      <c r="K88" s="40" t="n">
        <v>0</v>
      </c>
      <c r="L88" s="40" t="n">
        <v>0</v>
      </c>
      <c r="M88" s="40" t="n">
        <v>0</v>
      </c>
      <c r="N88" s="40" t="n">
        <v>0</v>
      </c>
      <c r="O88" s="40" t="n">
        <v>0</v>
      </c>
      <c r="P88" s="40" t="n">
        <v>0</v>
      </c>
      <c r="Q88" s="40" t="n">
        <v>0</v>
      </c>
      <c r="R88" s="47" t="n"/>
      <c r="S88" s="47" t="n"/>
      <c r="T88" s="47" t="n"/>
      <c r="U88" s="47" t="n"/>
      <c r="V88" s="47" t="n"/>
      <c r="W88" s="47" t="n"/>
    </row>
    <row r="89" ht="12" customHeight="1">
      <c r="A89" s="30" t="inlineStr">
        <is>
          <t>Areal</t>
        </is>
      </c>
      <c r="B89" s="30" t="n">
        <v>71802604</v>
      </c>
      <c r="C89" s="30">
        <f>"06966439797"</f>
        <v/>
      </c>
      <c r="D89" s="30" t="inlineStr">
        <is>
          <t>LUCIANA CARDIM DE CARVALHO</t>
        </is>
      </c>
      <c r="E89" s="40" t="n">
        <v>34855</v>
      </c>
      <c r="F89" s="40" t="n">
        <v>32390</v>
      </c>
      <c r="G89" s="46" t="n">
        <v>-7.07</v>
      </c>
      <c r="H89" s="40" t="n">
        <v>29610</v>
      </c>
      <c r="I89" s="46" t="n">
        <v>-8.58</v>
      </c>
      <c r="J89" s="40" t="n">
        <v>27538</v>
      </c>
      <c r="K89" s="46" t="n">
        <v>-7</v>
      </c>
      <c r="L89" s="40" t="n">
        <v>27405</v>
      </c>
      <c r="M89" s="46" t="n">
        <v>-0.48</v>
      </c>
      <c r="N89" s="40" t="n">
        <v>26280</v>
      </c>
      <c r="O89" s="46" t="n">
        <v>-4.11</v>
      </c>
      <c r="P89" s="40" t="n">
        <v>26280</v>
      </c>
      <c r="Q89" s="40" t="n">
        <v>0</v>
      </c>
      <c r="R89" s="47" t="n"/>
      <c r="S89" s="47" t="n"/>
      <c r="T89" s="47" t="n"/>
      <c r="U89" s="47" t="n"/>
      <c r="V89" s="47" t="n"/>
      <c r="W89" s="47" t="n"/>
    </row>
    <row r="90" ht="12" customHeight="1">
      <c r="A90" s="30" t="inlineStr">
        <is>
          <t>Areal</t>
        </is>
      </c>
      <c r="B90" s="30" t="n">
        <v>71802612</v>
      </c>
      <c r="C90" s="30">
        <f>"10824138791"</f>
        <v/>
      </c>
      <c r="D90" s="30" t="inlineStr">
        <is>
          <t>IVANY LACERDA MONTEIRO RAMOS</t>
        </is>
      </c>
      <c r="E90" s="40" t="n">
        <v>12000</v>
      </c>
      <c r="F90" s="40" t="n">
        <v>0</v>
      </c>
      <c r="G90" s="46" t="n">
        <v>-100</v>
      </c>
      <c r="H90" s="40" t="n">
        <v>0</v>
      </c>
      <c r="I90" s="40" t="n">
        <v>0</v>
      </c>
      <c r="J90" s="40" t="n">
        <v>0</v>
      </c>
      <c r="K90" s="40" t="n">
        <v>0</v>
      </c>
      <c r="L90" s="40" t="n">
        <v>0</v>
      </c>
      <c r="M90" s="40" t="n">
        <v>0</v>
      </c>
      <c r="N90" s="40" t="n">
        <v>11000</v>
      </c>
      <c r="O90" s="40" t="n">
        <v>100</v>
      </c>
      <c r="P90" s="40" t="n">
        <v>0</v>
      </c>
      <c r="Q90" s="46" t="n">
        <v>-100</v>
      </c>
      <c r="R90" s="47" t="n"/>
      <c r="S90" s="47" t="n"/>
      <c r="T90" s="47" t="n"/>
      <c r="U90" s="47" t="n"/>
      <c r="V90" s="47" t="n"/>
      <c r="W90" s="47" t="n"/>
    </row>
    <row r="91" ht="12" customHeight="1">
      <c r="A91" s="30" t="inlineStr">
        <is>
          <t>Areal</t>
        </is>
      </c>
      <c r="B91" s="30" t="n">
        <v>71802620</v>
      </c>
      <c r="C91" s="30">
        <f>"60937955868"</f>
        <v/>
      </c>
      <c r="D91" s="30" t="inlineStr">
        <is>
          <t>REGIS DE CASTILHO BARBOSA</t>
        </is>
      </c>
      <c r="E91" s="40" t="n">
        <v>0</v>
      </c>
      <c r="F91" s="40" t="n">
        <v>0</v>
      </c>
      <c r="G91" s="40" t="n">
        <v>0</v>
      </c>
      <c r="H91" s="40" t="n">
        <v>0</v>
      </c>
      <c r="I91" s="40" t="n">
        <v>0</v>
      </c>
      <c r="J91" s="40" t="n">
        <v>0</v>
      </c>
      <c r="K91" s="40" t="n">
        <v>0</v>
      </c>
      <c r="L91" s="40" t="n">
        <v>0</v>
      </c>
      <c r="M91" s="40" t="n">
        <v>0</v>
      </c>
      <c r="N91" s="40" t="n">
        <v>0</v>
      </c>
      <c r="O91" s="40" t="n">
        <v>0</v>
      </c>
      <c r="P91" s="40" t="n">
        <v>0</v>
      </c>
      <c r="Q91" s="40" t="n">
        <v>0</v>
      </c>
      <c r="R91" s="47" t="n"/>
      <c r="S91" s="47" t="n"/>
      <c r="T91" s="47" t="n"/>
      <c r="U91" s="47" t="n"/>
      <c r="V91" s="47" t="n"/>
      <c r="W91" s="47" t="n"/>
    </row>
    <row r="92" ht="12" customHeight="1">
      <c r="A92" s="30" t="inlineStr">
        <is>
          <t>Areal</t>
        </is>
      </c>
      <c r="B92" s="30" t="n">
        <v>72007085</v>
      </c>
      <c r="C92" s="30">
        <f>"00673626725"</f>
        <v/>
      </c>
      <c r="D92" s="30" t="inlineStr">
        <is>
          <t>LUIZ CARLOS COELHO</t>
        </is>
      </c>
      <c r="E92" s="40" t="n">
        <v>143000</v>
      </c>
      <c r="F92" s="40" t="n">
        <v>140000</v>
      </c>
      <c r="G92" s="46" t="n">
        <v>-2.1</v>
      </c>
      <c r="H92" s="40" t="n">
        <v>140000</v>
      </c>
      <c r="I92" s="40" t="n">
        <v>0</v>
      </c>
      <c r="J92" s="40" t="n">
        <v>143000</v>
      </c>
      <c r="K92" s="40" t="n">
        <v>2.14</v>
      </c>
      <c r="L92" s="40" t="n">
        <v>120000</v>
      </c>
      <c r="M92" s="46" t="n">
        <v>-16.08</v>
      </c>
      <c r="N92" s="40" t="n">
        <v>158000</v>
      </c>
      <c r="O92" s="40" t="n">
        <v>31.67</v>
      </c>
      <c r="P92" s="40" t="n">
        <v>120000</v>
      </c>
      <c r="Q92" s="46" t="n">
        <v>-24.05</v>
      </c>
      <c r="R92" s="47" t="n"/>
      <c r="S92" s="47" t="n"/>
      <c r="T92" s="47" t="n"/>
      <c r="U92" s="47" t="n"/>
      <c r="V92" s="47" t="n"/>
      <c r="W92" s="47" t="n"/>
    </row>
    <row r="93" ht="12" customHeight="1">
      <c r="A93" s="30" t="inlineStr">
        <is>
          <t>Areal</t>
        </is>
      </c>
      <c r="B93" s="30" t="n">
        <v>72046072</v>
      </c>
      <c r="C93" s="30">
        <f>"04914228734"</f>
        <v/>
      </c>
      <c r="D93" s="30" t="inlineStr">
        <is>
          <t>MARIO SERGIO LOMBA GALVAO</t>
        </is>
      </c>
      <c r="E93" s="40" t="n">
        <v>0</v>
      </c>
      <c r="F93" s="40" t="n">
        <v>0</v>
      </c>
      <c r="G93" s="40" t="n">
        <v>0</v>
      </c>
      <c r="H93" s="40" t="n">
        <v>0</v>
      </c>
      <c r="I93" s="40" t="n">
        <v>0</v>
      </c>
      <c r="J93" s="40" t="n">
        <v>0</v>
      </c>
      <c r="K93" s="40" t="n">
        <v>0</v>
      </c>
      <c r="L93" s="40" t="n">
        <v>0</v>
      </c>
      <c r="M93" s="40" t="n">
        <v>0</v>
      </c>
      <c r="N93" s="40" t="n">
        <v>0</v>
      </c>
      <c r="O93" s="40" t="n">
        <v>0</v>
      </c>
      <c r="P93" s="40" t="n">
        <v>0</v>
      </c>
      <c r="Q93" s="40" t="n">
        <v>0</v>
      </c>
      <c r="R93" s="47" t="n"/>
      <c r="S93" s="47" t="n"/>
      <c r="T93" s="47" t="n"/>
      <c r="U93" s="47" t="n"/>
      <c r="V93" s="47" t="n"/>
      <c r="W93" s="47" t="n"/>
    </row>
    <row r="94" ht="12" customHeight="1">
      <c r="A94" s="30" t="inlineStr">
        <is>
          <t>Areal</t>
        </is>
      </c>
      <c r="B94" s="30" t="n">
        <v>72058593</v>
      </c>
      <c r="C94" s="30">
        <f>"07360181747"</f>
        <v/>
      </c>
      <c r="D94" s="30" t="inlineStr">
        <is>
          <t>SILVIA MAGRANI VIEIRA</t>
        </is>
      </c>
      <c r="E94" s="40" t="n">
        <v>0</v>
      </c>
      <c r="F94" s="40" t="n">
        <v>0</v>
      </c>
      <c r="G94" s="40" t="n">
        <v>0</v>
      </c>
      <c r="H94" s="40" t="n">
        <v>0</v>
      </c>
      <c r="I94" s="40" t="n">
        <v>0</v>
      </c>
      <c r="J94" s="40" t="n">
        <v>0</v>
      </c>
      <c r="K94" s="40" t="n">
        <v>0</v>
      </c>
      <c r="L94" s="40" t="n">
        <v>0</v>
      </c>
      <c r="M94" s="40" t="n">
        <v>0</v>
      </c>
      <c r="N94" s="40" t="n">
        <v>0</v>
      </c>
      <c r="O94" s="40" t="n">
        <v>0</v>
      </c>
      <c r="P94" s="40" t="n">
        <v>0</v>
      </c>
      <c r="Q94" s="40" t="n">
        <v>0</v>
      </c>
      <c r="R94" s="47" t="n"/>
      <c r="S94" s="47" t="n"/>
      <c r="T94" s="47" t="n"/>
      <c r="U94" s="47" t="n"/>
      <c r="V94" s="47" t="n"/>
      <c r="W94" s="47" t="n"/>
    </row>
    <row r="95" ht="12" customHeight="1">
      <c r="A95" s="30" t="inlineStr">
        <is>
          <t>Areal</t>
        </is>
      </c>
      <c r="B95" s="30" t="n">
        <v>72066030</v>
      </c>
      <c r="C95" s="30">
        <f>"74533975704"</f>
        <v/>
      </c>
      <c r="D95" s="30" t="inlineStr">
        <is>
          <t>EDUARDO WERNERCK BARROSO</t>
        </is>
      </c>
      <c r="E95" s="40" t="n">
        <v>0</v>
      </c>
      <c r="F95" s="40" t="n">
        <v>1</v>
      </c>
      <c r="G95" s="40" t="n">
        <v>100</v>
      </c>
      <c r="H95" s="40" t="n">
        <v>120000</v>
      </c>
      <c r="I95" s="40" t="n">
        <v>11999900</v>
      </c>
      <c r="J95" s="40" t="n">
        <v>142000</v>
      </c>
      <c r="K95" s="40" t="n">
        <v>18.33</v>
      </c>
      <c r="L95" s="40" t="n">
        <v>10000</v>
      </c>
      <c r="M95" s="46" t="n">
        <v>-92.95999999999999</v>
      </c>
      <c r="N95" s="40" t="n">
        <v>10000</v>
      </c>
      <c r="O95" s="40" t="n">
        <v>0</v>
      </c>
      <c r="P95" s="40" t="n">
        <v>120000</v>
      </c>
      <c r="Q95" s="40" t="n">
        <v>1100</v>
      </c>
      <c r="R95" s="47" t="n"/>
      <c r="S95" s="47" t="n"/>
      <c r="T95" s="47" t="n"/>
      <c r="U95" s="47" t="n"/>
      <c r="V95" s="47" t="n"/>
      <c r="W95" s="47" t="n"/>
    </row>
    <row r="96" ht="12" customHeight="1">
      <c r="A96" s="30" t="inlineStr">
        <is>
          <t>Areal</t>
        </is>
      </c>
      <c r="B96" s="30" t="n">
        <v>72078519</v>
      </c>
      <c r="C96" s="30">
        <f>"00672823772"</f>
        <v/>
      </c>
      <c r="D96" s="30" t="inlineStr">
        <is>
          <t>JOSE LUIZ DE SA CAVALCANTI</t>
        </is>
      </c>
      <c r="E96" s="40" t="n">
        <v>0</v>
      </c>
      <c r="F96" s="40" t="n">
        <v>0</v>
      </c>
      <c r="G96" s="40" t="n">
        <v>0</v>
      </c>
      <c r="H96" s="40" t="n">
        <v>0</v>
      </c>
      <c r="I96" s="40" t="n">
        <v>0</v>
      </c>
      <c r="J96" s="40" t="n">
        <v>0</v>
      </c>
      <c r="K96" s="40" t="n">
        <v>0</v>
      </c>
      <c r="L96" s="40" t="n">
        <v>0</v>
      </c>
      <c r="M96" s="40" t="n">
        <v>0</v>
      </c>
      <c r="N96" s="40" t="n">
        <v>0</v>
      </c>
      <c r="O96" s="40" t="n">
        <v>0</v>
      </c>
      <c r="P96" s="40" t="n">
        <v>0</v>
      </c>
      <c r="Q96" s="40" t="n">
        <v>0</v>
      </c>
      <c r="R96" s="47" t="n"/>
      <c r="S96" s="47" t="n"/>
      <c r="T96" s="47" t="n"/>
      <c r="U96" s="47" t="n"/>
      <c r="V96" s="47" t="n"/>
      <c r="W96" s="47" t="n"/>
    </row>
    <row r="97" ht="12" customHeight="1">
      <c r="A97" s="30" t="inlineStr">
        <is>
          <t>Areal</t>
        </is>
      </c>
      <c r="B97" s="30" t="n">
        <v>72120981</v>
      </c>
      <c r="C97" s="30">
        <f>"00031899706"</f>
        <v/>
      </c>
      <c r="D97" s="30" t="inlineStr">
        <is>
          <t>RICARDO ANDRE VASCONCELOS RAMOS</t>
        </is>
      </c>
      <c r="E97" s="40" t="n">
        <v>142000</v>
      </c>
      <c r="F97" s="40" t="n">
        <v>141000</v>
      </c>
      <c r="G97" s="46" t="n">
        <v>-0.7</v>
      </c>
      <c r="H97" s="40" t="n">
        <v>140000</v>
      </c>
      <c r="I97" s="46" t="n">
        <v>-0.71</v>
      </c>
      <c r="J97" s="40" t="n">
        <v>142000</v>
      </c>
      <c r="K97" s="40" t="n">
        <v>1.43</v>
      </c>
      <c r="L97" s="40" t="n">
        <v>120000</v>
      </c>
      <c r="M97" s="46" t="n">
        <v>-15.49</v>
      </c>
      <c r="N97" s="40" t="n">
        <v>145000</v>
      </c>
      <c r="O97" s="40" t="n">
        <v>20.83</v>
      </c>
      <c r="P97" s="40" t="n">
        <v>120000</v>
      </c>
      <c r="Q97" s="46" t="n">
        <v>-17.24</v>
      </c>
      <c r="R97" s="47" t="n"/>
      <c r="S97" s="47" t="n"/>
      <c r="T97" s="47" t="n"/>
      <c r="U97" s="47" t="n"/>
      <c r="V97" s="47" t="n"/>
      <c r="W97" s="47" t="n"/>
    </row>
    <row r="98" ht="12" customHeight="1">
      <c r="A98" s="30" t="inlineStr">
        <is>
          <t>Areal</t>
        </is>
      </c>
      <c r="B98" s="30" t="n">
        <v>72150694</v>
      </c>
      <c r="C98" s="30">
        <f>"75998750772"</f>
        <v/>
      </c>
      <c r="D98" s="30" t="inlineStr">
        <is>
          <t>SANDRO ROGERIO SANTOS MACHADO</t>
        </is>
      </c>
      <c r="E98" s="40" t="n">
        <v>0</v>
      </c>
      <c r="F98" s="40" t="n">
        <v>0</v>
      </c>
      <c r="G98" s="40" t="n">
        <v>0</v>
      </c>
      <c r="H98" s="40" t="n">
        <v>0</v>
      </c>
      <c r="I98" s="40" t="n">
        <v>0</v>
      </c>
      <c r="J98" s="40" t="n">
        <v>0</v>
      </c>
      <c r="K98" s="40" t="n">
        <v>0</v>
      </c>
      <c r="L98" s="40" t="n">
        <v>0</v>
      </c>
      <c r="M98" s="40" t="n">
        <v>0</v>
      </c>
      <c r="N98" s="40" t="n">
        <v>0</v>
      </c>
      <c r="O98" s="40" t="n">
        <v>0</v>
      </c>
      <c r="P98" s="40" t="n">
        <v>0</v>
      </c>
      <c r="Q98" s="40" t="n">
        <v>0</v>
      </c>
      <c r="R98" s="47" t="n"/>
      <c r="S98" s="47" t="n"/>
      <c r="T98" s="47" t="n"/>
      <c r="U98" s="47" t="n"/>
      <c r="V98" s="47" t="n"/>
      <c r="W98" s="47" t="n"/>
    </row>
    <row r="99" ht="12" customHeight="1">
      <c r="A99" s="30" t="inlineStr">
        <is>
          <t>Areal</t>
        </is>
      </c>
      <c r="B99" s="30" t="n">
        <v>72204824</v>
      </c>
      <c r="C99" s="30">
        <f>"54370000734"</f>
        <v/>
      </c>
      <c r="D99" s="30" t="inlineStr">
        <is>
          <t>PAULO CESAR CARVALHO DA SILVA AFONSO</t>
        </is>
      </c>
      <c r="E99" s="40" t="n">
        <v>0</v>
      </c>
      <c r="F99" s="40" t="n">
        <v>0</v>
      </c>
      <c r="G99" s="40" t="n">
        <v>0</v>
      </c>
      <c r="H99" s="40" t="n">
        <v>0</v>
      </c>
      <c r="I99" s="40" t="n">
        <v>0</v>
      </c>
      <c r="J99" s="40" t="n">
        <v>0</v>
      </c>
      <c r="K99" s="40" t="n">
        <v>0</v>
      </c>
      <c r="L99" s="40" t="n">
        <v>0</v>
      </c>
      <c r="M99" s="40" t="n">
        <v>0</v>
      </c>
      <c r="N99" s="40" t="n">
        <v>0</v>
      </c>
      <c r="O99" s="40" t="n">
        <v>0</v>
      </c>
      <c r="P99" s="40" t="n">
        <v>0</v>
      </c>
      <c r="Q99" s="40" t="n">
        <v>0</v>
      </c>
      <c r="R99" s="47" t="n"/>
      <c r="S99" s="47" t="n"/>
      <c r="T99" s="47" t="n"/>
      <c r="U99" s="47" t="n"/>
      <c r="V99" s="47" t="n"/>
      <c r="W99" s="47" t="n"/>
    </row>
    <row r="100" ht="12" customHeight="1">
      <c r="A100" s="30" t="inlineStr">
        <is>
          <t>Areal</t>
        </is>
      </c>
      <c r="B100" s="30" t="n">
        <v>72316517</v>
      </c>
      <c r="C100" s="30">
        <f>"01679277790"</f>
        <v/>
      </c>
      <c r="D100" s="30" t="inlineStr">
        <is>
          <t>GILBERTO SAYAO DA SILVA</t>
        </is>
      </c>
      <c r="E100" s="40" t="n">
        <v>0</v>
      </c>
      <c r="F100" s="40" t="n">
        <v>0</v>
      </c>
      <c r="G100" s="40" t="n">
        <v>0</v>
      </c>
      <c r="H100" s="40" t="n">
        <v>0</v>
      </c>
      <c r="I100" s="40" t="n">
        <v>0</v>
      </c>
      <c r="J100" s="40" t="n">
        <v>0</v>
      </c>
      <c r="K100" s="40" t="n">
        <v>0</v>
      </c>
      <c r="L100" s="40" t="n">
        <v>0</v>
      </c>
      <c r="M100" s="40" t="n">
        <v>0</v>
      </c>
      <c r="N100" s="40" t="n">
        <v>0</v>
      </c>
      <c r="O100" s="40" t="n">
        <v>0</v>
      </c>
      <c r="P100" s="40" t="n">
        <v>0</v>
      </c>
      <c r="Q100" s="40" t="n">
        <v>0</v>
      </c>
      <c r="R100" s="47" t="n"/>
      <c r="S100" s="47" t="n"/>
      <c r="T100" s="47" t="n"/>
      <c r="U100" s="47" t="n"/>
      <c r="V100" s="47" t="n"/>
      <c r="W100" s="47" t="n"/>
    </row>
    <row r="101" ht="12" customHeight="1">
      <c r="A101" s="30" t="inlineStr">
        <is>
          <t>Areal</t>
        </is>
      </c>
      <c r="B101" s="30" t="n">
        <v>72351398</v>
      </c>
      <c r="C101" s="30">
        <f>"00211672734"</f>
        <v/>
      </c>
      <c r="D101" s="30" t="inlineStr">
        <is>
          <t>ANTONIO ROBERTO DE DEUS VIEIRA</t>
        </is>
      </c>
      <c r="E101" s="40" t="n">
        <v>0</v>
      </c>
      <c r="F101" s="40" t="n">
        <v>0</v>
      </c>
      <c r="G101" s="40" t="n">
        <v>0</v>
      </c>
      <c r="H101" s="40" t="n">
        <v>0</v>
      </c>
      <c r="I101" s="40" t="n">
        <v>0</v>
      </c>
      <c r="J101" s="40" t="n">
        <v>0</v>
      </c>
      <c r="K101" s="40" t="n">
        <v>0</v>
      </c>
      <c r="L101" s="40" t="n">
        <v>0</v>
      </c>
      <c r="M101" s="40" t="n">
        <v>0</v>
      </c>
      <c r="N101" s="40" t="n">
        <v>0</v>
      </c>
      <c r="O101" s="40" t="n">
        <v>0</v>
      </c>
      <c r="P101" s="40" t="n">
        <v>0</v>
      </c>
      <c r="Q101" s="40" t="n">
        <v>0</v>
      </c>
      <c r="R101" s="47" t="n"/>
      <c r="S101" s="47" t="n"/>
      <c r="T101" s="47" t="n"/>
      <c r="U101" s="47" t="n"/>
      <c r="V101" s="47" t="n"/>
      <c r="W101" s="47" t="n"/>
    </row>
    <row r="102" ht="12" customHeight="1">
      <c r="A102" s="30" t="inlineStr">
        <is>
          <t>Areal</t>
        </is>
      </c>
      <c r="B102" s="30" t="n">
        <v>72354117</v>
      </c>
      <c r="C102" s="30">
        <f>"87420376700"</f>
        <v/>
      </c>
      <c r="D102" s="30" t="inlineStr">
        <is>
          <t>JORGE MAGRANI PIRES</t>
        </is>
      </c>
      <c r="E102" s="40" t="n">
        <v>94426</v>
      </c>
      <c r="F102" s="40" t="n">
        <v>27169</v>
      </c>
      <c r="G102" s="46" t="n">
        <v>-71.23</v>
      </c>
      <c r="H102" s="40" t="n">
        <v>34026</v>
      </c>
      <c r="I102" s="40" t="n">
        <v>25.24</v>
      </c>
      <c r="J102" s="40" t="n">
        <v>24217</v>
      </c>
      <c r="K102" s="46" t="n">
        <v>-28.83</v>
      </c>
      <c r="L102" s="40" t="n">
        <v>0</v>
      </c>
      <c r="M102" s="46" t="n">
        <v>-100</v>
      </c>
      <c r="N102" s="40" t="n">
        <v>0</v>
      </c>
      <c r="O102" s="40" t="n">
        <v>0</v>
      </c>
      <c r="P102" s="40" t="n">
        <v>8920</v>
      </c>
      <c r="Q102" s="40" t="n">
        <v>100</v>
      </c>
      <c r="R102" s="47" t="n"/>
      <c r="S102" s="47" t="n"/>
      <c r="T102" s="47" t="n"/>
      <c r="U102" s="47" t="n"/>
      <c r="V102" s="47" t="n"/>
      <c r="W102" s="47" t="n"/>
    </row>
    <row r="103" ht="12" customHeight="1">
      <c r="A103" s="30" t="inlineStr">
        <is>
          <t>Areal</t>
        </is>
      </c>
      <c r="B103" s="30" t="n">
        <v>72364139</v>
      </c>
      <c r="C103" s="30">
        <f>"66418623720"</f>
        <v/>
      </c>
      <c r="D103" s="30" t="inlineStr">
        <is>
          <t>MAURO VEIGA SOARES DE CARVALHO</t>
        </is>
      </c>
      <c r="E103" s="40" t="n">
        <v>0</v>
      </c>
      <c r="F103" s="40" t="n">
        <v>0</v>
      </c>
      <c r="G103" s="40" t="n">
        <v>0</v>
      </c>
      <c r="H103" s="40" t="n">
        <v>0</v>
      </c>
      <c r="I103" s="40" t="n">
        <v>0</v>
      </c>
      <c r="J103" s="40" t="n">
        <v>0</v>
      </c>
      <c r="K103" s="40" t="n">
        <v>0</v>
      </c>
      <c r="L103" s="40" t="n">
        <v>0</v>
      </c>
      <c r="M103" s="40" t="n">
        <v>0</v>
      </c>
      <c r="N103" s="40" t="n">
        <v>0</v>
      </c>
      <c r="O103" s="40" t="n">
        <v>0</v>
      </c>
      <c r="P103" s="40" t="n">
        <v>0</v>
      </c>
      <c r="Q103" s="40" t="n">
        <v>0</v>
      </c>
      <c r="R103" s="47" t="n"/>
      <c r="S103" s="47" t="n"/>
      <c r="T103" s="47" t="n"/>
      <c r="U103" s="47" t="n"/>
      <c r="V103" s="47" t="n"/>
      <c r="W103" s="47" t="n"/>
    </row>
    <row r="104" ht="12" customHeight="1">
      <c r="A104" s="30" t="inlineStr">
        <is>
          <t>Areal</t>
        </is>
      </c>
      <c r="B104" s="30" t="n">
        <v>72382552</v>
      </c>
      <c r="C104" s="30">
        <f>"08397705708"</f>
        <v/>
      </c>
      <c r="D104" s="30" t="inlineStr">
        <is>
          <t>GILMAR COELHO</t>
        </is>
      </c>
      <c r="E104" s="40" t="n">
        <v>143000</v>
      </c>
      <c r="F104" s="40" t="n">
        <v>141000</v>
      </c>
      <c r="G104" s="46" t="n">
        <v>-1.4</v>
      </c>
      <c r="H104" s="40" t="n">
        <v>142000</v>
      </c>
      <c r="I104" s="40" t="n">
        <v>0.71</v>
      </c>
      <c r="J104" s="40" t="n">
        <v>150000</v>
      </c>
      <c r="K104" s="40" t="n">
        <v>5.63</v>
      </c>
      <c r="L104" s="40" t="n">
        <v>125000</v>
      </c>
      <c r="M104" s="46" t="n">
        <v>-16.67</v>
      </c>
      <c r="N104" s="40" t="n">
        <v>150000</v>
      </c>
      <c r="O104" s="40" t="n">
        <v>20</v>
      </c>
      <c r="P104" s="40" t="n">
        <v>145150</v>
      </c>
      <c r="Q104" s="46" t="n">
        <v>-3.23</v>
      </c>
      <c r="R104" s="47" t="n"/>
      <c r="S104" s="47" t="n"/>
      <c r="T104" s="47" t="n"/>
      <c r="U104" s="47" t="n"/>
      <c r="V104" s="47" t="n"/>
      <c r="W104" s="47" t="n"/>
    </row>
    <row r="105" ht="12" customHeight="1">
      <c r="A105" s="30" t="inlineStr">
        <is>
          <t>Areal</t>
        </is>
      </c>
      <c r="B105" s="30" t="n">
        <v>72397592</v>
      </c>
      <c r="C105" s="30">
        <f>"57502625615"</f>
        <v/>
      </c>
      <c r="D105" s="30" t="inlineStr">
        <is>
          <t>IVAN ADHEMAR DE CARVALHO FILHO</t>
        </is>
      </c>
      <c r="E105" s="40" t="n">
        <v>268528</v>
      </c>
      <c r="F105" s="40" t="n">
        <v>25500</v>
      </c>
      <c r="G105" s="46" t="n">
        <v>-90.5</v>
      </c>
      <c r="H105" s="40" t="n">
        <v>0</v>
      </c>
      <c r="I105" s="46" t="n">
        <v>-100</v>
      </c>
      <c r="J105" s="40" t="n">
        <v>0</v>
      </c>
      <c r="K105" s="40" t="n">
        <v>0</v>
      </c>
      <c r="L105" s="40" t="n">
        <v>0</v>
      </c>
      <c r="M105" s="40" t="n">
        <v>0</v>
      </c>
      <c r="N105" s="40" t="n">
        <v>0</v>
      </c>
      <c r="O105" s="40" t="n">
        <v>0</v>
      </c>
      <c r="P105" s="40" t="n">
        <v>0</v>
      </c>
      <c r="Q105" s="40" t="n">
        <v>0</v>
      </c>
      <c r="R105" s="47" t="n"/>
      <c r="S105" s="47" t="n"/>
      <c r="T105" s="47" t="n"/>
      <c r="U105" s="47" t="n"/>
      <c r="V105" s="47" t="n"/>
      <c r="W105" s="47" t="n"/>
    </row>
    <row r="106" ht="12" customHeight="1">
      <c r="A106" s="30" t="inlineStr">
        <is>
          <t>Areal</t>
        </is>
      </c>
      <c r="B106" s="30" t="n">
        <v>72404300</v>
      </c>
      <c r="C106" s="30">
        <f>"59142995787"</f>
        <v/>
      </c>
      <c r="D106" s="30" t="inlineStr">
        <is>
          <t>JORGE LUIS DA CRUZ</t>
        </is>
      </c>
      <c r="E106" s="40" t="n">
        <v>38027.09</v>
      </c>
      <c r="F106" s="40" t="n">
        <v>94459.89</v>
      </c>
      <c r="G106" s="40" t="n">
        <v>148.4</v>
      </c>
      <c r="H106" s="40" t="n">
        <v>0</v>
      </c>
      <c r="I106" s="46" t="n">
        <v>-100</v>
      </c>
      <c r="J106" s="40" t="n">
        <v>0</v>
      </c>
      <c r="K106" s="40" t="n">
        <v>0</v>
      </c>
      <c r="L106" s="40" t="n">
        <v>0</v>
      </c>
      <c r="M106" s="40" t="n">
        <v>0</v>
      </c>
      <c r="N106" s="40" t="n">
        <v>0</v>
      </c>
      <c r="O106" s="40" t="n">
        <v>0</v>
      </c>
      <c r="P106" s="40" t="n">
        <v>0</v>
      </c>
      <c r="Q106" s="40" t="n">
        <v>0</v>
      </c>
      <c r="R106" s="47" t="n"/>
      <c r="S106" s="47" t="n"/>
      <c r="T106" s="47" t="n"/>
      <c r="U106" s="47" t="n"/>
      <c r="V106" s="47" t="n"/>
      <c r="W106" s="47" t="n"/>
    </row>
    <row r="107" ht="12" customHeight="1">
      <c r="A107" s="30" t="inlineStr">
        <is>
          <t>Areal</t>
        </is>
      </c>
      <c r="B107" s="30" t="n">
        <v>72429532</v>
      </c>
      <c r="C107" s="30">
        <f>"76681599753"</f>
        <v/>
      </c>
      <c r="D107" s="30" t="inlineStr">
        <is>
          <t>JOSE MAURO DOS SANTOS</t>
        </is>
      </c>
      <c r="E107" s="40" t="n">
        <v>0</v>
      </c>
      <c r="F107" s="40" t="n">
        <v>0</v>
      </c>
      <c r="G107" s="40" t="n">
        <v>0</v>
      </c>
      <c r="H107" s="40" t="n">
        <v>0</v>
      </c>
      <c r="I107" s="40" t="n">
        <v>0</v>
      </c>
      <c r="J107" s="40" t="n">
        <v>0</v>
      </c>
      <c r="K107" s="40" t="n">
        <v>0</v>
      </c>
      <c r="L107" s="40" t="n">
        <v>0</v>
      </c>
      <c r="M107" s="40" t="n">
        <v>0</v>
      </c>
      <c r="N107" s="40" t="n">
        <v>0</v>
      </c>
      <c r="O107" s="40" t="n">
        <v>0</v>
      </c>
      <c r="P107" s="40" t="n">
        <v>0</v>
      </c>
      <c r="Q107" s="40" t="n">
        <v>0</v>
      </c>
      <c r="R107" s="47" t="n"/>
      <c r="S107" s="47" t="n"/>
      <c r="T107" s="47" t="n"/>
      <c r="U107" s="47" t="n"/>
      <c r="V107" s="47" t="n"/>
      <c r="W107" s="47" t="n"/>
    </row>
    <row r="108" ht="12" customHeight="1">
      <c r="A108" s="30" t="inlineStr">
        <is>
          <t>Areal</t>
        </is>
      </c>
      <c r="B108" s="30" t="n">
        <v>72440153</v>
      </c>
      <c r="C108" s="30">
        <f>"53227883791"</f>
        <v/>
      </c>
      <c r="D108" s="30" t="inlineStr">
        <is>
          <t>LUIZ DE ALENCAR ARARIPE JUNIOR</t>
        </is>
      </c>
      <c r="E108" s="40" t="n">
        <v>620000</v>
      </c>
      <c r="F108" s="40" t="n">
        <v>51520</v>
      </c>
      <c r="G108" s="46" t="n">
        <v>-91.69</v>
      </c>
      <c r="H108" s="40" t="n">
        <v>0</v>
      </c>
      <c r="I108" s="46" t="n">
        <v>-100</v>
      </c>
      <c r="J108" s="40" t="n">
        <v>0</v>
      </c>
      <c r="K108" s="40" t="n">
        <v>0</v>
      </c>
      <c r="L108" s="40" t="n">
        <v>0</v>
      </c>
      <c r="M108" s="40" t="n">
        <v>0</v>
      </c>
      <c r="N108" s="40" t="n">
        <v>0</v>
      </c>
      <c r="O108" s="40" t="n">
        <v>0</v>
      </c>
      <c r="P108" s="40" t="n">
        <v>0</v>
      </c>
      <c r="Q108" s="40" t="n">
        <v>0</v>
      </c>
      <c r="R108" s="47" t="n"/>
      <c r="S108" s="47" t="n"/>
      <c r="T108" s="47" t="n"/>
      <c r="U108" s="47" t="n"/>
      <c r="V108" s="47" t="n"/>
      <c r="W108" s="47" t="n"/>
    </row>
    <row r="109" ht="12" customHeight="1">
      <c r="A109" s="30" t="inlineStr">
        <is>
          <t>Areal</t>
        </is>
      </c>
      <c r="B109" s="30" t="n">
        <v>72441532</v>
      </c>
      <c r="C109" s="30">
        <f>"26933098753"</f>
        <v/>
      </c>
      <c r="D109" s="30" t="inlineStr">
        <is>
          <t>GABRIEL MARTINS VILLELA DE AFFONSECA</t>
        </is>
      </c>
      <c r="E109" s="40" t="n">
        <v>0</v>
      </c>
      <c r="F109" s="40" t="n">
        <v>0</v>
      </c>
      <c r="G109" s="40" t="n">
        <v>0</v>
      </c>
      <c r="H109" s="40" t="n">
        <v>0</v>
      </c>
      <c r="I109" s="40" t="n">
        <v>0</v>
      </c>
      <c r="J109" s="40" t="n">
        <v>0</v>
      </c>
      <c r="K109" s="40" t="n">
        <v>0</v>
      </c>
      <c r="L109" s="40" t="n">
        <v>0</v>
      </c>
      <c r="M109" s="40" t="n">
        <v>0</v>
      </c>
      <c r="N109" s="40" t="n">
        <v>0</v>
      </c>
      <c r="O109" s="40" t="n">
        <v>0</v>
      </c>
      <c r="P109" s="40" t="n">
        <v>0</v>
      </c>
      <c r="Q109" s="40" t="n">
        <v>0</v>
      </c>
      <c r="R109" s="47" t="n"/>
      <c r="S109" s="47" t="n"/>
      <c r="T109" s="47" t="n"/>
      <c r="U109" s="47" t="n"/>
      <c r="V109" s="47" t="n"/>
      <c r="W109" s="47" t="n"/>
    </row>
    <row r="110" ht="12" customHeight="1">
      <c r="A110" s="30" t="inlineStr">
        <is>
          <t>Areal</t>
        </is>
      </c>
      <c r="B110" s="30" t="n">
        <v>72441605</v>
      </c>
      <c r="C110" s="30">
        <f>"17000330856"</f>
        <v/>
      </c>
      <c r="D110" s="30" t="inlineStr">
        <is>
          <t>REGIS DE CASTILHO BARBOSA FILHO</t>
        </is>
      </c>
      <c r="E110" s="40" t="n">
        <v>62677.08</v>
      </c>
      <c r="F110" s="40" t="n">
        <v>71493</v>
      </c>
      <c r="G110" s="40" t="n">
        <v>14.07</v>
      </c>
      <c r="H110" s="40" t="n">
        <v>0</v>
      </c>
      <c r="I110" s="46" t="n">
        <v>-100</v>
      </c>
      <c r="J110" s="40" t="n">
        <v>0</v>
      </c>
      <c r="K110" s="40" t="n">
        <v>0</v>
      </c>
      <c r="L110" s="40" t="n">
        <v>0</v>
      </c>
      <c r="M110" s="40" t="n">
        <v>0</v>
      </c>
      <c r="N110" s="40" t="n">
        <v>284533.34</v>
      </c>
      <c r="O110" s="40" t="n">
        <v>100</v>
      </c>
      <c r="P110" s="40" t="n">
        <v>0</v>
      </c>
      <c r="Q110" s="46" t="n">
        <v>-100</v>
      </c>
      <c r="R110" s="47" t="n"/>
      <c r="S110" s="47" t="n"/>
      <c r="T110" s="47" t="n"/>
      <c r="U110" s="47" t="n"/>
      <c r="V110" s="47" t="n"/>
      <c r="W110" s="47" t="n"/>
    </row>
    <row r="111" ht="12" customHeight="1">
      <c r="A111" s="30" t="inlineStr">
        <is>
          <t>Areal</t>
        </is>
      </c>
      <c r="B111" s="30" t="n">
        <v>72451279</v>
      </c>
      <c r="C111" s="30">
        <f>"01456895737"</f>
        <v/>
      </c>
      <c r="D111" s="30" t="inlineStr">
        <is>
          <t>MANOEL LUIZ DE SOUZA NETO</t>
        </is>
      </c>
      <c r="E111" s="40" t="n">
        <v>0</v>
      </c>
      <c r="F111" s="40" t="n">
        <v>22854.8</v>
      </c>
      <c r="G111" s="40" t="n">
        <v>100</v>
      </c>
      <c r="H111" s="40" t="n">
        <v>0</v>
      </c>
      <c r="I111" s="46" t="n">
        <v>-100</v>
      </c>
      <c r="J111" s="40" t="n">
        <v>0</v>
      </c>
      <c r="K111" s="40" t="n">
        <v>0</v>
      </c>
      <c r="L111" s="40" t="n">
        <v>0</v>
      </c>
      <c r="M111" s="40" t="n">
        <v>0</v>
      </c>
      <c r="N111" s="40" t="n">
        <v>71769</v>
      </c>
      <c r="O111" s="40" t="n">
        <v>100</v>
      </c>
      <c r="P111" s="40" t="n">
        <v>75644</v>
      </c>
      <c r="Q111" s="40" t="n">
        <v>5.4</v>
      </c>
      <c r="R111" s="47" t="n"/>
      <c r="S111" s="47" t="n"/>
      <c r="T111" s="47" t="n"/>
      <c r="U111" s="47" t="n"/>
      <c r="V111" s="47" t="n"/>
      <c r="W111" s="47" t="n"/>
    </row>
    <row r="112" ht="12" customHeight="1">
      <c r="A112" s="30" t="inlineStr">
        <is>
          <t>Areal</t>
        </is>
      </c>
      <c r="B112" s="30" t="n">
        <v>72457714</v>
      </c>
      <c r="C112" s="30">
        <f>"08405527770"</f>
        <v/>
      </c>
      <c r="D112" s="30" t="inlineStr">
        <is>
          <t>MARCELO ALVES MONFORT DE MELLO</t>
        </is>
      </c>
      <c r="E112" s="40" t="n">
        <v>0</v>
      </c>
      <c r="F112" s="40" t="n">
        <v>0</v>
      </c>
      <c r="G112" s="40" t="n">
        <v>0</v>
      </c>
      <c r="H112" s="40" t="n">
        <v>0</v>
      </c>
      <c r="I112" s="40" t="n">
        <v>0</v>
      </c>
      <c r="J112" s="40" t="n">
        <v>0</v>
      </c>
      <c r="K112" s="40" t="n">
        <v>0</v>
      </c>
      <c r="L112" s="40" t="n">
        <v>0</v>
      </c>
      <c r="M112" s="40" t="n">
        <v>0</v>
      </c>
      <c r="N112" s="40" t="n">
        <v>0</v>
      </c>
      <c r="O112" s="40" t="n">
        <v>0</v>
      </c>
      <c r="P112" s="40" t="n">
        <v>0</v>
      </c>
      <c r="Q112" s="40" t="n">
        <v>0</v>
      </c>
      <c r="R112" s="47" t="n"/>
      <c r="S112" s="47" t="n"/>
      <c r="T112" s="47" t="n"/>
      <c r="U112" s="47" t="n"/>
      <c r="V112" s="47" t="n"/>
      <c r="W112" s="47" t="n"/>
    </row>
    <row r="113" ht="12" customHeight="1">
      <c r="A113" s="30" t="inlineStr">
        <is>
          <t>Areal</t>
        </is>
      </c>
      <c r="B113" s="30" t="n">
        <v>72460669</v>
      </c>
      <c r="C113" s="30">
        <f>"00071109773749"</f>
        <v/>
      </c>
      <c r="D113" s="30" t="inlineStr">
        <is>
          <t>SEBASTIANA REGINA DA SILVA</t>
        </is>
      </c>
      <c r="E113" s="40" t="n">
        <v>0</v>
      </c>
      <c r="F113" s="40" t="n">
        <v>0</v>
      </c>
      <c r="G113" s="40" t="n">
        <v>0</v>
      </c>
      <c r="H113" s="40" t="n">
        <v>0</v>
      </c>
      <c r="I113" s="40" t="n">
        <v>0</v>
      </c>
      <c r="J113" s="40" t="n">
        <v>0</v>
      </c>
      <c r="K113" s="40" t="n">
        <v>0</v>
      </c>
      <c r="L113" s="40" t="n">
        <v>0</v>
      </c>
      <c r="M113" s="40" t="n">
        <v>0</v>
      </c>
      <c r="N113" s="40" t="n">
        <v>0</v>
      </c>
      <c r="O113" s="40" t="n">
        <v>0</v>
      </c>
      <c r="P113" s="40" t="n">
        <v>0</v>
      </c>
      <c r="Q113" s="40" t="n">
        <v>0</v>
      </c>
      <c r="R113" s="47" t="n"/>
      <c r="S113" s="47" t="n"/>
      <c r="T113" s="47" t="n"/>
      <c r="U113" s="47" t="n"/>
      <c r="V113" s="47" t="n"/>
      <c r="W113" s="47" t="n"/>
    </row>
    <row r="114" ht="12" customHeight="1">
      <c r="A114" s="30" t="inlineStr">
        <is>
          <t>Areal</t>
        </is>
      </c>
      <c r="B114" s="30" t="n">
        <v>72474465</v>
      </c>
      <c r="C114" s="30">
        <f>"01491346736"</f>
        <v/>
      </c>
      <c r="D114" s="30" t="inlineStr">
        <is>
          <t>ANA PAULA DE ARAUJO</t>
        </is>
      </c>
      <c r="E114" s="40" t="n">
        <v>143000</v>
      </c>
      <c r="F114" s="40" t="n">
        <v>0</v>
      </c>
      <c r="G114" s="46" t="n">
        <v>-100</v>
      </c>
      <c r="H114" s="40" t="n">
        <v>0</v>
      </c>
      <c r="I114" s="40" t="n">
        <v>0</v>
      </c>
      <c r="J114" s="40" t="n">
        <v>0</v>
      </c>
      <c r="K114" s="40" t="n">
        <v>0</v>
      </c>
      <c r="L114" s="40" t="n">
        <v>0</v>
      </c>
      <c r="M114" s="40" t="n">
        <v>0</v>
      </c>
      <c r="N114" s="40" t="n">
        <v>0</v>
      </c>
      <c r="O114" s="40" t="n">
        <v>0</v>
      </c>
      <c r="P114" s="40" t="n">
        <v>0</v>
      </c>
      <c r="Q114" s="40" t="n">
        <v>0</v>
      </c>
      <c r="R114" s="47" t="n"/>
      <c r="S114" s="47" t="n"/>
      <c r="T114" s="47" t="n"/>
      <c r="U114" s="47" t="n"/>
      <c r="V114" s="47" t="n"/>
      <c r="W114" s="47" t="n"/>
    </row>
    <row r="115" ht="12" customHeight="1">
      <c r="A115" s="30" t="inlineStr">
        <is>
          <t>Areal</t>
        </is>
      </c>
      <c r="B115" s="30" t="n">
        <v>72476484</v>
      </c>
      <c r="C115" s="30">
        <f>"12067889761"</f>
        <v/>
      </c>
      <c r="D115" s="30" t="inlineStr">
        <is>
          <t>THIAGO CANTO NEVES</t>
        </is>
      </c>
      <c r="E115" s="40" t="n">
        <v>17092.6</v>
      </c>
      <c r="F115" s="40" t="n">
        <v>107413.1</v>
      </c>
      <c r="G115" s="40" t="n">
        <v>528.42</v>
      </c>
      <c r="H115" s="40" t="n">
        <v>139578.8</v>
      </c>
      <c r="I115" s="40" t="n">
        <v>29.95</v>
      </c>
      <c r="J115" s="40" t="n">
        <v>0</v>
      </c>
      <c r="K115" s="46" t="n">
        <v>-100</v>
      </c>
      <c r="L115" s="40" t="n">
        <v>0</v>
      </c>
      <c r="M115" s="40" t="n">
        <v>0</v>
      </c>
      <c r="N115" s="40" t="n">
        <v>0</v>
      </c>
      <c r="O115" s="40" t="n">
        <v>0</v>
      </c>
      <c r="P115" s="40" t="n">
        <v>0</v>
      </c>
      <c r="Q115" s="40" t="n">
        <v>0</v>
      </c>
      <c r="R115" s="47" t="n"/>
      <c r="S115" s="47" t="n"/>
      <c r="T115" s="47" t="n"/>
      <c r="U115" s="47" t="n"/>
      <c r="V115" s="47" t="n"/>
      <c r="W115" s="47" t="n"/>
    </row>
    <row r="116" ht="12" customHeight="1">
      <c r="A116" s="30" t="inlineStr">
        <is>
          <t>Areal</t>
        </is>
      </c>
      <c r="B116" s="30" t="n">
        <v>72498798</v>
      </c>
      <c r="C116" s="30">
        <f>"01616514701"</f>
        <v/>
      </c>
      <c r="D116" s="30" t="inlineStr">
        <is>
          <t>MAURO HENRIQUE MAGDALENA CORTASIO</t>
        </is>
      </c>
      <c r="E116" s="40" t="n">
        <v>0</v>
      </c>
      <c r="F116" s="40" t="n">
        <v>58150</v>
      </c>
      <c r="G116" s="40" t="n">
        <v>100</v>
      </c>
      <c r="H116" s="40" t="n">
        <v>0</v>
      </c>
      <c r="I116" s="46" t="n">
        <v>-100</v>
      </c>
      <c r="J116" s="40" t="n">
        <v>0</v>
      </c>
      <c r="K116" s="40" t="n">
        <v>0</v>
      </c>
      <c r="L116" s="40" t="n">
        <v>17500</v>
      </c>
      <c r="M116" s="40" t="n">
        <v>100</v>
      </c>
      <c r="N116" s="40" t="n">
        <v>0</v>
      </c>
      <c r="O116" s="46" t="n">
        <v>-100</v>
      </c>
      <c r="P116" s="40" t="n">
        <v>0</v>
      </c>
      <c r="Q116" s="40" t="n">
        <v>0</v>
      </c>
      <c r="R116" s="47" t="n"/>
      <c r="S116" s="47" t="n"/>
      <c r="T116" s="47" t="n"/>
      <c r="U116" s="47" t="n"/>
      <c r="V116" s="47" t="n"/>
      <c r="W116" s="47" t="n"/>
    </row>
    <row r="117" ht="12" customHeight="1">
      <c r="A117" s="30" t="inlineStr">
        <is>
          <t>Areal</t>
        </is>
      </c>
      <c r="B117" s="30" t="n">
        <v>72500199</v>
      </c>
      <c r="C117" s="30">
        <f>"11939706793"</f>
        <v/>
      </c>
      <c r="D117" s="30" t="inlineStr">
        <is>
          <t>AUGUSTO VILLELA PEDRAS POLONIA</t>
        </is>
      </c>
      <c r="E117" s="40" t="n">
        <v>0</v>
      </c>
      <c r="F117" s="40" t="n">
        <v>0</v>
      </c>
      <c r="G117" s="40" t="n">
        <v>0</v>
      </c>
      <c r="H117" s="40" t="n">
        <v>80700</v>
      </c>
      <c r="I117" s="40" t="n">
        <v>100</v>
      </c>
      <c r="J117" s="40" t="n">
        <v>0</v>
      </c>
      <c r="K117" s="46" t="n">
        <v>-100</v>
      </c>
      <c r="L117" s="40" t="n">
        <v>0</v>
      </c>
      <c r="M117" s="40" t="n">
        <v>0</v>
      </c>
      <c r="N117" s="40" t="n">
        <v>0</v>
      </c>
      <c r="O117" s="40" t="n">
        <v>0</v>
      </c>
      <c r="P117" s="40" t="n">
        <v>0</v>
      </c>
      <c r="Q117" s="40" t="n">
        <v>0</v>
      </c>
      <c r="R117" s="47" t="n"/>
      <c r="S117" s="47" t="n"/>
      <c r="T117" s="47" t="n"/>
      <c r="U117" s="47" t="n"/>
      <c r="V117" s="47" t="n"/>
      <c r="W117" s="47" t="n"/>
    </row>
    <row r="118" ht="12" customHeight="1">
      <c r="A118" s="30" t="inlineStr">
        <is>
          <t>Areal</t>
        </is>
      </c>
      <c r="B118" s="30" t="n">
        <v>72500202</v>
      </c>
      <c r="C118" s="30">
        <f>"09897443703"</f>
        <v/>
      </c>
      <c r="D118" s="30" t="inlineStr">
        <is>
          <t>MARCOS VILLELA PEDRAS POLONIA</t>
        </is>
      </c>
      <c r="E118" s="40" t="n">
        <v>0</v>
      </c>
      <c r="F118" s="40" t="n">
        <v>72951.7</v>
      </c>
      <c r="G118" s="40" t="n">
        <v>100</v>
      </c>
      <c r="H118" s="40" t="n">
        <v>725034.9</v>
      </c>
      <c r="I118" s="40" t="n">
        <v>893.86</v>
      </c>
      <c r="J118" s="40" t="n">
        <v>0</v>
      </c>
      <c r="K118" s="46" t="n">
        <v>-100</v>
      </c>
      <c r="L118" s="40" t="n">
        <v>0</v>
      </c>
      <c r="M118" s="40" t="n">
        <v>0</v>
      </c>
      <c r="N118" s="40" t="n">
        <v>0</v>
      </c>
      <c r="O118" s="40" t="n">
        <v>0</v>
      </c>
      <c r="P118" s="40" t="n">
        <v>0</v>
      </c>
      <c r="Q118" s="40" t="n">
        <v>0</v>
      </c>
      <c r="R118" s="47" t="n"/>
      <c r="S118" s="47" t="n"/>
      <c r="T118" s="47" t="n"/>
      <c r="U118" s="47" t="n"/>
      <c r="V118" s="47" t="n"/>
      <c r="W118" s="47" t="n"/>
    </row>
    <row r="119" ht="12" customHeight="1">
      <c r="A119" s="30" t="inlineStr">
        <is>
          <t>Areal</t>
        </is>
      </c>
      <c r="B119" s="30" t="n">
        <v>72500210</v>
      </c>
      <c r="C119" s="30">
        <f>"50440080797"</f>
        <v/>
      </c>
      <c r="D119" s="30" t="inlineStr">
        <is>
          <t>SANDRA VILLELA PEDRAS POLONIA</t>
        </is>
      </c>
      <c r="E119" s="40" t="n">
        <v>0</v>
      </c>
      <c r="F119" s="40" t="n">
        <v>271325.88</v>
      </c>
      <c r="G119" s="40" t="n">
        <v>100</v>
      </c>
      <c r="H119" s="40" t="n">
        <v>205647.82</v>
      </c>
      <c r="I119" s="46" t="n">
        <v>-24.21</v>
      </c>
      <c r="J119" s="40" t="n">
        <v>52978.13</v>
      </c>
      <c r="K119" s="46" t="n">
        <v>-74.23999999999999</v>
      </c>
      <c r="L119" s="40" t="n">
        <v>0</v>
      </c>
      <c r="M119" s="46" t="n">
        <v>-100</v>
      </c>
      <c r="N119" s="40" t="n">
        <v>0</v>
      </c>
      <c r="O119" s="40" t="n">
        <v>0</v>
      </c>
      <c r="P119" s="40" t="n">
        <v>0</v>
      </c>
      <c r="Q119" s="40" t="n">
        <v>0</v>
      </c>
      <c r="R119" s="47" t="n"/>
      <c r="S119" s="47" t="n"/>
      <c r="T119" s="47" t="n"/>
      <c r="U119" s="47" t="n"/>
      <c r="V119" s="47" t="n"/>
      <c r="W119" s="47" t="n"/>
    </row>
    <row r="120" ht="12" customHeight="1">
      <c r="A120" s="30" t="inlineStr">
        <is>
          <t>Areal</t>
        </is>
      </c>
      <c r="B120" s="30" t="n">
        <v>72505425</v>
      </c>
      <c r="C120" s="30">
        <f>"58928936772"</f>
        <v/>
      </c>
      <c r="D120" s="30" t="inlineStr">
        <is>
          <t>VALDEMIR LOPES</t>
        </is>
      </c>
      <c r="E120" s="40" t="n">
        <v>0.01</v>
      </c>
      <c r="F120" s="40" t="n">
        <v>0</v>
      </c>
      <c r="G120" s="46" t="n">
        <v>-100</v>
      </c>
      <c r="H120" s="40" t="n">
        <v>0</v>
      </c>
      <c r="I120" s="40" t="n">
        <v>0</v>
      </c>
      <c r="J120" s="40" t="n">
        <v>0</v>
      </c>
      <c r="K120" s="40" t="n">
        <v>0</v>
      </c>
      <c r="L120" s="40" t="n">
        <v>0</v>
      </c>
      <c r="M120" s="40" t="n">
        <v>0</v>
      </c>
      <c r="N120" s="40" t="n">
        <v>0</v>
      </c>
      <c r="O120" s="40" t="n">
        <v>0</v>
      </c>
      <c r="P120" s="40" t="n">
        <v>0</v>
      </c>
      <c r="Q120" s="40" t="n">
        <v>0</v>
      </c>
      <c r="R120" s="47" t="n"/>
      <c r="S120" s="47" t="n"/>
      <c r="T120" s="47" t="n"/>
      <c r="U120" s="47" t="n"/>
      <c r="V120" s="47" t="n"/>
      <c r="W120" s="47" t="n"/>
    </row>
    <row r="121" ht="12" customHeight="1">
      <c r="A121" s="30" t="inlineStr">
        <is>
          <t>Areal</t>
        </is>
      </c>
      <c r="B121" s="30" t="n">
        <v>72524250</v>
      </c>
      <c r="C121" s="30">
        <f>"10492118710"</f>
        <v/>
      </c>
      <c r="D121" s="30" t="inlineStr">
        <is>
          <t>JONAS DE PADUA DOMINGUES</t>
        </is>
      </c>
      <c r="E121" s="40" t="n">
        <v>0</v>
      </c>
      <c r="F121" s="40" t="n">
        <v>10200</v>
      </c>
      <c r="G121" s="40" t="n">
        <v>100</v>
      </c>
      <c r="H121" s="40" t="n">
        <v>51680</v>
      </c>
      <c r="I121" s="40" t="n">
        <v>406.67</v>
      </c>
      <c r="J121" s="40" t="n">
        <v>98620</v>
      </c>
      <c r="K121" s="40" t="n">
        <v>90.83</v>
      </c>
      <c r="L121" s="40" t="n">
        <v>162244.8</v>
      </c>
      <c r="M121" s="40" t="n">
        <v>64.52</v>
      </c>
      <c r="N121" s="40" t="n">
        <v>32900</v>
      </c>
      <c r="O121" s="46" t="n">
        <v>-79.72</v>
      </c>
      <c r="P121" s="40" t="n">
        <v>0</v>
      </c>
      <c r="Q121" s="46" t="n">
        <v>-100</v>
      </c>
      <c r="R121" s="47" t="n"/>
      <c r="S121" s="47" t="n"/>
      <c r="T121" s="47" t="n"/>
      <c r="U121" s="47" t="n"/>
      <c r="V121" s="47" t="n"/>
      <c r="W121" s="47" t="n"/>
    </row>
    <row r="122" ht="12" customHeight="1">
      <c r="A122" s="30" t="inlineStr">
        <is>
          <t>Areal</t>
        </is>
      </c>
      <c r="B122" s="30" t="n">
        <v>75701535</v>
      </c>
      <c r="C122" s="30">
        <f>"29899143000169"</f>
        <v/>
      </c>
      <c r="D122" s="30" t="inlineStr">
        <is>
          <t>VIACAO TREZE DE JUNHO LTDA</t>
        </is>
      </c>
      <c r="E122" s="40" t="n">
        <v>0</v>
      </c>
      <c r="F122" s="40" t="n">
        <v>0</v>
      </c>
      <c r="G122" s="40" t="n">
        <v>0</v>
      </c>
      <c r="H122" s="40" t="n">
        <v>0</v>
      </c>
      <c r="I122" s="40" t="n">
        <v>0</v>
      </c>
      <c r="J122" s="40" t="n">
        <v>0</v>
      </c>
      <c r="K122" s="40" t="n">
        <v>0</v>
      </c>
      <c r="L122" s="40" t="n">
        <v>0</v>
      </c>
      <c r="M122" s="40" t="n">
        <v>0</v>
      </c>
      <c r="N122" s="40" t="n">
        <v>800</v>
      </c>
      <c r="O122" s="40" t="n">
        <v>100</v>
      </c>
      <c r="P122" s="40" t="n">
        <v>100</v>
      </c>
      <c r="Q122" s="46" t="n">
        <v>-87.5</v>
      </c>
      <c r="R122" s="47" t="n"/>
      <c r="S122" s="47" t="n"/>
      <c r="T122" s="47" t="n"/>
      <c r="U122" s="47" t="n"/>
      <c r="V122" s="47" t="n"/>
      <c r="W122" s="47" t="n"/>
    </row>
    <row r="123" ht="12" customHeight="1">
      <c r="A123" s="30" t="inlineStr">
        <is>
          <t>Areal</t>
        </is>
      </c>
      <c r="B123" s="30" t="n">
        <v>75786220</v>
      </c>
      <c r="C123" s="30">
        <f>"02533755000187"</f>
        <v/>
      </c>
      <c r="D123" s="30" t="inlineStr">
        <is>
          <t>LESTE FLU SERVICOS DE TELECOM LTDA</t>
        </is>
      </c>
      <c r="E123" s="40" t="n">
        <v>0</v>
      </c>
      <c r="F123" s="40" t="n">
        <v>0</v>
      </c>
      <c r="G123" s="40" t="n">
        <v>0</v>
      </c>
      <c r="H123" s="40" t="n">
        <v>0</v>
      </c>
      <c r="I123" s="40" t="n">
        <v>0</v>
      </c>
      <c r="J123" s="40" t="n">
        <v>0</v>
      </c>
      <c r="K123" s="40" t="n">
        <v>0</v>
      </c>
      <c r="L123" s="40" t="n">
        <v>0</v>
      </c>
      <c r="M123" s="40" t="n">
        <v>0</v>
      </c>
      <c r="N123" s="40" t="n">
        <v>0</v>
      </c>
      <c r="O123" s="40" t="n">
        <v>0</v>
      </c>
      <c r="P123" s="40" t="n">
        <v>324.81</v>
      </c>
      <c r="Q123" s="40" t="n">
        <v>100</v>
      </c>
      <c r="R123" s="47" t="n"/>
      <c r="S123" s="47" t="n"/>
      <c r="T123" s="47" t="n"/>
      <c r="U123" s="47" t="n"/>
      <c r="V123" s="47" t="n"/>
      <c r="W123" s="47" t="n"/>
    </row>
    <row r="124" ht="12" customHeight="1">
      <c r="A124" s="30" t="inlineStr">
        <is>
          <t>Areal</t>
        </is>
      </c>
      <c r="B124" s="30" t="n">
        <v>75794134</v>
      </c>
      <c r="C124" s="30">
        <f>"43244631002455"</f>
        <v/>
      </c>
      <c r="D124" s="30" t="inlineStr">
        <is>
          <t>TRANSPORTADORA AMERICANA LTDA</t>
        </is>
      </c>
      <c r="E124" s="40" t="n">
        <v>223.74</v>
      </c>
      <c r="F124" s="40" t="n">
        <v>78.75</v>
      </c>
      <c r="G124" s="46" t="n">
        <v>-64.8</v>
      </c>
      <c r="H124" s="40" t="n">
        <v>145.31</v>
      </c>
      <c r="I124" s="40" t="n">
        <v>84.52</v>
      </c>
      <c r="J124" s="40" t="n">
        <v>451.6</v>
      </c>
      <c r="K124" s="40" t="n">
        <v>210.78</v>
      </c>
      <c r="L124" s="40" t="n">
        <v>118.58</v>
      </c>
      <c r="M124" s="46" t="n">
        <v>-73.73999999999999</v>
      </c>
      <c r="N124" s="40" t="n">
        <v>54.62</v>
      </c>
      <c r="O124" s="46" t="n">
        <v>-53.94</v>
      </c>
      <c r="P124" s="40" t="n">
        <v>0</v>
      </c>
      <c r="Q124" s="46" t="n">
        <v>-100</v>
      </c>
      <c r="R124" s="47" t="n"/>
      <c r="S124" s="47" t="n"/>
      <c r="T124" s="47" t="n"/>
      <c r="U124" s="47" t="n"/>
      <c r="V124" s="47" t="n"/>
      <c r="W124" s="47" t="n"/>
    </row>
    <row r="125" ht="12" customHeight="1">
      <c r="A125" s="30" t="inlineStr">
        <is>
          <t>Areal</t>
        </is>
      </c>
      <c r="B125" s="30" t="n">
        <v>75846223</v>
      </c>
      <c r="C125" s="30">
        <f>"02653803000170"</f>
        <v/>
      </c>
      <c r="D125" s="30" t="inlineStr">
        <is>
          <t>SM - RIO TRANSPORTE E LOGÍSTICA EIRELI</t>
        </is>
      </c>
      <c r="E125" s="40" t="n">
        <v>3920.44</v>
      </c>
      <c r="F125" s="40" t="n">
        <v>10833.91</v>
      </c>
      <c r="G125" s="40" t="n">
        <v>176.34</v>
      </c>
      <c r="H125" s="40" t="n">
        <v>0</v>
      </c>
      <c r="I125" s="46" t="n">
        <v>-100</v>
      </c>
      <c r="J125" s="40" t="n">
        <v>0</v>
      </c>
      <c r="K125" s="40" t="n">
        <v>0</v>
      </c>
      <c r="L125" s="40" t="n">
        <v>0</v>
      </c>
      <c r="M125" s="40" t="n">
        <v>0</v>
      </c>
      <c r="N125" s="40" t="n">
        <v>0</v>
      </c>
      <c r="O125" s="40" t="n">
        <v>0</v>
      </c>
      <c r="P125" s="40" t="n">
        <v>0</v>
      </c>
      <c r="Q125" s="40" t="n">
        <v>0</v>
      </c>
      <c r="R125" s="47" t="n"/>
      <c r="S125" s="47" t="n"/>
      <c r="T125" s="47" t="n"/>
      <c r="U125" s="47" t="n"/>
      <c r="V125" s="47" t="n"/>
      <c r="W125" s="47" t="n"/>
    </row>
    <row r="126" ht="12" customHeight="1">
      <c r="A126" s="30" t="inlineStr">
        <is>
          <t>Areal</t>
        </is>
      </c>
      <c r="B126" s="30" t="n">
        <v>75849567</v>
      </c>
      <c r="C126" s="30">
        <f>"19694199000476"</f>
        <v/>
      </c>
      <c r="D126" s="30" t="inlineStr">
        <is>
          <t>TRANSREFER TRANSPORTE E LOGISTICA LTDA</t>
        </is>
      </c>
      <c r="E126" s="40" t="n">
        <v>51547.47</v>
      </c>
      <c r="F126" s="40" t="n">
        <v>0</v>
      </c>
      <c r="G126" s="46" t="n">
        <v>-100</v>
      </c>
      <c r="H126" s="40" t="n">
        <v>0</v>
      </c>
      <c r="I126" s="40" t="n">
        <v>0</v>
      </c>
      <c r="J126" s="40" t="n">
        <v>0</v>
      </c>
      <c r="K126" s="40" t="n">
        <v>0</v>
      </c>
      <c r="L126" s="40" t="n">
        <v>0</v>
      </c>
      <c r="M126" s="40" t="n">
        <v>0</v>
      </c>
      <c r="N126" s="40" t="n">
        <v>0</v>
      </c>
      <c r="O126" s="40" t="n">
        <v>0</v>
      </c>
      <c r="P126" s="40" t="n">
        <v>0</v>
      </c>
      <c r="Q126" s="40" t="n">
        <v>0</v>
      </c>
      <c r="R126" s="47" t="n"/>
      <c r="S126" s="47" t="n"/>
      <c r="T126" s="47" t="n"/>
      <c r="U126" s="47" t="n"/>
      <c r="V126" s="47" t="n"/>
      <c r="W126" s="47" t="n"/>
    </row>
    <row r="127" ht="12" customHeight="1">
      <c r="A127" s="30" t="inlineStr">
        <is>
          <t>Areal</t>
        </is>
      </c>
      <c r="B127" s="30" t="n">
        <v>75849699</v>
      </c>
      <c r="C127" s="30">
        <f>"58506155000427"</f>
        <v/>
      </c>
      <c r="D127" s="30" t="inlineStr">
        <is>
          <t>MIRA OTM TRANSPORTES LTDA</t>
        </is>
      </c>
      <c r="E127" s="40" t="n">
        <v>0</v>
      </c>
      <c r="F127" s="40" t="n">
        <v>0</v>
      </c>
      <c r="G127" s="40" t="n">
        <v>0</v>
      </c>
      <c r="H127" s="40" t="n">
        <v>9310.26</v>
      </c>
      <c r="I127" s="40" t="n">
        <v>100</v>
      </c>
      <c r="J127" s="40" t="n">
        <v>0</v>
      </c>
      <c r="K127" s="46" t="n">
        <v>-100</v>
      </c>
      <c r="L127" s="40" t="n">
        <v>0</v>
      </c>
      <c r="M127" s="40" t="n">
        <v>0</v>
      </c>
      <c r="N127" s="40" t="n">
        <v>0</v>
      </c>
      <c r="O127" s="40" t="n">
        <v>0</v>
      </c>
      <c r="P127" s="40" t="n">
        <v>0</v>
      </c>
      <c r="Q127" s="40" t="n">
        <v>0</v>
      </c>
      <c r="R127" s="47" t="n"/>
      <c r="S127" s="47" t="n"/>
      <c r="T127" s="47" t="n"/>
      <c r="U127" s="47" t="n"/>
      <c r="V127" s="47" t="n"/>
      <c r="W127" s="47" t="n"/>
    </row>
    <row r="128" ht="12" customHeight="1">
      <c r="A128" s="30" t="inlineStr">
        <is>
          <t>Areal</t>
        </is>
      </c>
      <c r="B128" s="30" t="n">
        <v>76026831</v>
      </c>
      <c r="C128" s="30">
        <f>"60664828007340"</f>
        <v/>
      </c>
      <c r="D128" s="30" t="inlineStr">
        <is>
          <t>EMPRESA DE TRANSPORTES ATLAS LTDA</t>
        </is>
      </c>
      <c r="E128" s="40" t="n">
        <v>33127.59</v>
      </c>
      <c r="F128" s="40" t="n">
        <v>22946.13</v>
      </c>
      <c r="G128" s="46" t="n">
        <v>-30.73</v>
      </c>
      <c r="H128" s="40" t="n">
        <v>290.94</v>
      </c>
      <c r="I128" s="46" t="n">
        <v>-98.73</v>
      </c>
      <c r="J128" s="40" t="n">
        <v>0</v>
      </c>
      <c r="K128" s="46" t="n">
        <v>-100</v>
      </c>
      <c r="L128" s="40" t="n">
        <v>0</v>
      </c>
      <c r="M128" s="40" t="n">
        <v>0</v>
      </c>
      <c r="N128" s="40" t="n">
        <v>0</v>
      </c>
      <c r="O128" s="40" t="n">
        <v>0</v>
      </c>
      <c r="P128" s="40" t="n">
        <v>0</v>
      </c>
      <c r="Q128" s="40" t="n">
        <v>0</v>
      </c>
      <c r="R128" s="47" t="n"/>
      <c r="S128" s="47" t="n"/>
      <c r="T128" s="47" t="n"/>
      <c r="U128" s="47" t="n"/>
      <c r="V128" s="47" t="n"/>
      <c r="W128" s="47" t="n"/>
    </row>
    <row r="129" ht="12" customHeight="1">
      <c r="A129" s="30" t="inlineStr">
        <is>
          <t>Areal</t>
        </is>
      </c>
      <c r="B129" s="30" t="n">
        <v>76085927</v>
      </c>
      <c r="C129" s="30">
        <f>"26341222000323"</f>
        <v/>
      </c>
      <c r="D129" s="30" t="inlineStr">
        <is>
          <t>EXPRESSO M 2000 LTDA</t>
        </is>
      </c>
      <c r="E129" s="40" t="n">
        <v>0</v>
      </c>
      <c r="F129" s="40" t="n">
        <v>0</v>
      </c>
      <c r="G129" s="40" t="n">
        <v>0</v>
      </c>
      <c r="H129" s="40" t="n">
        <v>0</v>
      </c>
      <c r="I129" s="40" t="n">
        <v>0</v>
      </c>
      <c r="J129" s="40" t="n">
        <v>221.68</v>
      </c>
      <c r="K129" s="40" t="n">
        <v>100</v>
      </c>
      <c r="L129" s="40" t="n">
        <v>0</v>
      </c>
      <c r="M129" s="46" t="n">
        <v>-100</v>
      </c>
      <c r="N129" s="40" t="n">
        <v>0</v>
      </c>
      <c r="O129" s="40" t="n">
        <v>0</v>
      </c>
      <c r="P129" s="40" t="n">
        <v>0</v>
      </c>
      <c r="Q129" s="40" t="n">
        <v>0</v>
      </c>
      <c r="R129" s="47" t="n"/>
      <c r="S129" s="47" t="n"/>
      <c r="T129" s="47" t="n"/>
      <c r="U129" s="47" t="n"/>
      <c r="V129" s="47" t="n"/>
      <c r="W129" s="47" t="n"/>
    </row>
    <row r="130" ht="12" customHeight="1">
      <c r="A130" s="30" t="inlineStr">
        <is>
          <t>Areal</t>
        </is>
      </c>
      <c r="B130" s="30" t="n">
        <v>76105502</v>
      </c>
      <c r="C130" s="30">
        <f>"03419953000187"</f>
        <v/>
      </c>
      <c r="D130" s="30" t="inlineStr">
        <is>
          <t>MARFRAN TRANSPORTES E LOGISTICA LTDA ME</t>
        </is>
      </c>
      <c r="E130" s="40" t="n">
        <v>900.6</v>
      </c>
      <c r="F130" s="40" t="n">
        <v>19871.91</v>
      </c>
      <c r="G130" s="40" t="n">
        <v>2106.52</v>
      </c>
      <c r="H130" s="40" t="n">
        <v>0</v>
      </c>
      <c r="I130" s="46" t="n">
        <v>-100</v>
      </c>
      <c r="J130" s="40" t="n">
        <v>0</v>
      </c>
      <c r="K130" s="40" t="n">
        <v>0</v>
      </c>
      <c r="L130" s="40" t="n">
        <v>0</v>
      </c>
      <c r="M130" s="40" t="n">
        <v>0</v>
      </c>
      <c r="N130" s="40" t="n">
        <v>0</v>
      </c>
      <c r="O130" s="40" t="n">
        <v>0</v>
      </c>
      <c r="P130" s="40" t="n">
        <v>0</v>
      </c>
      <c r="Q130" s="40" t="n">
        <v>0</v>
      </c>
      <c r="R130" s="47" t="n"/>
      <c r="S130" s="47" t="n"/>
      <c r="T130" s="47" t="n"/>
      <c r="U130" s="47" t="n"/>
      <c r="V130" s="47" t="n"/>
      <c r="W130" s="47" t="n"/>
    </row>
    <row r="131" ht="12" customHeight="1">
      <c r="A131" s="30" t="inlineStr">
        <is>
          <t>Areal</t>
        </is>
      </c>
      <c r="B131" s="30" t="n">
        <v>77054545</v>
      </c>
      <c r="C131" s="30">
        <f>"03757239000107"</f>
        <v/>
      </c>
      <c r="D131" s="30" t="inlineStr">
        <is>
          <t>SPEED WORK TRANSPORTES EIRELI</t>
        </is>
      </c>
      <c r="E131" s="40" t="n">
        <v>1.3</v>
      </c>
      <c r="F131" s="40" t="n">
        <v>1.3</v>
      </c>
      <c r="G131" s="40" t="n">
        <v>0</v>
      </c>
      <c r="H131" s="40" t="n">
        <v>0</v>
      </c>
      <c r="I131" s="46" t="n">
        <v>-100</v>
      </c>
      <c r="J131" s="40" t="n">
        <v>0</v>
      </c>
      <c r="K131" s="40" t="n">
        <v>0</v>
      </c>
      <c r="L131" s="40" t="n">
        <v>0</v>
      </c>
      <c r="M131" s="40" t="n">
        <v>0</v>
      </c>
      <c r="N131" s="40" t="n">
        <v>133.04</v>
      </c>
      <c r="O131" s="40" t="n">
        <v>100</v>
      </c>
      <c r="P131" s="40" t="n">
        <v>0</v>
      </c>
      <c r="Q131" s="46" t="n">
        <v>-100</v>
      </c>
      <c r="R131" s="47" t="n"/>
      <c r="S131" s="47" t="n"/>
      <c r="T131" s="47" t="n"/>
      <c r="U131" s="47" t="n"/>
      <c r="V131" s="47" t="n"/>
      <c r="W131" s="47" t="n"/>
    </row>
    <row r="132" ht="12" customHeight="1">
      <c r="A132" s="30" t="inlineStr">
        <is>
          <t>Areal</t>
        </is>
      </c>
      <c r="B132" s="30" t="n">
        <v>77071431</v>
      </c>
      <c r="C132" s="30">
        <f>"01125797000620"</f>
        <v/>
      </c>
      <c r="D132" s="30" t="inlineStr">
        <is>
          <t>ATIVA DISTRIBUICAO E LOGISTICA LTDA</t>
        </is>
      </c>
      <c r="E132" s="40" t="n">
        <v>46486.15</v>
      </c>
      <c r="F132" s="40" t="n">
        <v>2169.93</v>
      </c>
      <c r="G132" s="46" t="n">
        <v>-95.33</v>
      </c>
      <c r="H132" s="40" t="n">
        <v>37580.85</v>
      </c>
      <c r="I132" s="40" t="n">
        <v>1631.89</v>
      </c>
      <c r="J132" s="40" t="n">
        <v>105456.63</v>
      </c>
      <c r="K132" s="40" t="n">
        <v>180.61</v>
      </c>
      <c r="L132" s="40" t="n">
        <v>14706.93</v>
      </c>
      <c r="M132" s="46" t="n">
        <v>-86.05</v>
      </c>
      <c r="N132" s="40" t="n">
        <v>0</v>
      </c>
      <c r="O132" s="46" t="n">
        <v>-100</v>
      </c>
      <c r="P132" s="40" t="n">
        <v>0</v>
      </c>
      <c r="Q132" s="40" t="n">
        <v>0</v>
      </c>
      <c r="R132" s="47" t="n"/>
      <c r="S132" s="47" t="n"/>
      <c r="T132" s="47" t="n"/>
      <c r="U132" s="47" t="n"/>
      <c r="V132" s="47" t="n"/>
      <c r="W132" s="47" t="n"/>
    </row>
    <row r="133" ht="12" customHeight="1">
      <c r="A133" s="30" t="inlineStr">
        <is>
          <t>Areal</t>
        </is>
      </c>
      <c r="B133" s="30" t="n">
        <v>77142126</v>
      </c>
      <c r="C133" s="30">
        <f>"04155259000324"</f>
        <v/>
      </c>
      <c r="D133" s="30" t="inlineStr">
        <is>
          <t>TRANSPORTADORA M M A LTDA</t>
        </is>
      </c>
      <c r="E133" s="40" t="n">
        <v>0</v>
      </c>
      <c r="F133" s="40" t="n">
        <v>0</v>
      </c>
      <c r="G133" s="40" t="n">
        <v>0</v>
      </c>
      <c r="H133" s="40" t="n">
        <v>0</v>
      </c>
      <c r="I133" s="40" t="n">
        <v>0</v>
      </c>
      <c r="J133" s="40" t="n">
        <v>267.94</v>
      </c>
      <c r="K133" s="40" t="n">
        <v>100</v>
      </c>
      <c r="L133" s="40" t="n">
        <v>1225.32</v>
      </c>
      <c r="M133" s="40" t="n">
        <v>357.31</v>
      </c>
      <c r="N133" s="40" t="n">
        <v>760.37</v>
      </c>
      <c r="O133" s="46" t="n">
        <v>-37.95</v>
      </c>
      <c r="P133" s="40" t="n">
        <v>224.61</v>
      </c>
      <c r="Q133" s="46" t="n">
        <v>-70.45999999999999</v>
      </c>
      <c r="R133" s="47" t="n"/>
      <c r="S133" s="47" t="n"/>
      <c r="T133" s="47" t="n"/>
      <c r="U133" s="47" t="n"/>
      <c r="V133" s="47" t="n"/>
      <c r="W133" s="47" t="n"/>
    </row>
    <row r="134" ht="12" customHeight="1">
      <c r="A134" s="30" t="inlineStr">
        <is>
          <t>Areal</t>
        </is>
      </c>
      <c r="B134" s="30" t="n">
        <v>77238182</v>
      </c>
      <c r="C134" s="30">
        <f>"04206050004410"</f>
        <v/>
      </c>
      <c r="D134" s="30" t="inlineStr">
        <is>
          <t>TIM CELULAR S/A</t>
        </is>
      </c>
      <c r="E134" s="40" t="n">
        <v>111619.76</v>
      </c>
      <c r="F134" s="40" t="n">
        <v>94613.39</v>
      </c>
      <c r="G134" s="46" t="n">
        <v>-15.24</v>
      </c>
      <c r="H134" s="40" t="n">
        <v>0</v>
      </c>
      <c r="I134" s="46" t="n">
        <v>-100</v>
      </c>
      <c r="J134" s="40" t="n">
        <v>0</v>
      </c>
      <c r="K134" s="40" t="n">
        <v>0</v>
      </c>
      <c r="L134" s="40" t="n">
        <v>0</v>
      </c>
      <c r="M134" s="40" t="n">
        <v>0</v>
      </c>
      <c r="N134" s="40" t="n">
        <v>0</v>
      </c>
      <c r="O134" s="40" t="n">
        <v>0</v>
      </c>
      <c r="P134" s="40" t="n">
        <v>0</v>
      </c>
      <c r="Q134" s="40" t="n">
        <v>0</v>
      </c>
      <c r="R134" s="47" t="n"/>
      <c r="S134" s="47" t="n"/>
      <c r="T134" s="47" t="n"/>
      <c r="U134" s="47" t="n"/>
      <c r="V134" s="47" t="n"/>
      <c r="W134" s="47" t="n"/>
    </row>
    <row r="135" ht="12" customHeight="1">
      <c r="A135" s="30" t="inlineStr">
        <is>
          <t>Areal</t>
        </is>
      </c>
      <c r="B135" s="30" t="n">
        <v>77290028</v>
      </c>
      <c r="C135" s="30">
        <f>"03341775000461"</f>
        <v/>
      </c>
      <c r="D135" s="30" t="inlineStr">
        <is>
          <t>TRANSPORTES MOBILINE LTDA</t>
        </is>
      </c>
      <c r="E135" s="40" t="n">
        <v>0</v>
      </c>
      <c r="F135" s="40" t="n">
        <v>750</v>
      </c>
      <c r="G135" s="40" t="n">
        <v>100</v>
      </c>
      <c r="H135" s="40" t="n">
        <v>89</v>
      </c>
      <c r="I135" s="46" t="n">
        <v>-88.13</v>
      </c>
      <c r="J135" s="40" t="n">
        <v>0</v>
      </c>
      <c r="K135" s="46" t="n">
        <v>-100</v>
      </c>
      <c r="L135" s="40" t="n">
        <v>0</v>
      </c>
      <c r="M135" s="40" t="n">
        <v>0</v>
      </c>
      <c r="N135" s="40" t="n">
        <v>0</v>
      </c>
      <c r="O135" s="40" t="n">
        <v>0</v>
      </c>
      <c r="P135" s="40" t="n">
        <v>0</v>
      </c>
      <c r="Q135" s="40" t="n">
        <v>0</v>
      </c>
      <c r="R135" s="47" t="n"/>
      <c r="S135" s="47" t="n"/>
      <c r="T135" s="47" t="n"/>
      <c r="U135" s="47" t="n"/>
      <c r="V135" s="47" t="n"/>
      <c r="W135" s="47" t="n"/>
    </row>
    <row r="136" ht="12" customHeight="1">
      <c r="A136" s="30" t="inlineStr">
        <is>
          <t>Areal</t>
        </is>
      </c>
      <c r="B136" s="30" t="n">
        <v>77327070</v>
      </c>
      <c r="C136" s="30">
        <f>"04918341000100"</f>
        <v/>
      </c>
      <c r="D136" s="30" t="inlineStr">
        <is>
          <t>NOVA A3 INDUSTRIA E COMERCIO LTDA</t>
        </is>
      </c>
      <c r="E136" s="40" t="n">
        <v>16540421.07</v>
      </c>
      <c r="F136" s="40" t="n">
        <v>18879565.79</v>
      </c>
      <c r="G136" s="40" t="n">
        <v>14.14</v>
      </c>
      <c r="H136" s="40" t="n">
        <v>19044618.43</v>
      </c>
      <c r="I136" s="40" t="n">
        <v>0.87</v>
      </c>
      <c r="J136" s="40" t="n">
        <v>19921309.33</v>
      </c>
      <c r="K136" s="40" t="n">
        <v>4.6</v>
      </c>
      <c r="L136" s="40" t="n">
        <v>24921212.44</v>
      </c>
      <c r="M136" s="40" t="n">
        <v>25.1</v>
      </c>
      <c r="N136" s="40" t="n">
        <v>24493696.55</v>
      </c>
      <c r="O136" s="46" t="n">
        <v>-1.72</v>
      </c>
      <c r="P136" s="40" t="n">
        <v>19647521.73</v>
      </c>
      <c r="Q136" s="46" t="n">
        <v>-19.79</v>
      </c>
      <c r="R136" s="47" t="n"/>
      <c r="S136" s="47" t="n"/>
      <c r="T136" s="47" t="n"/>
      <c r="U136" s="47" t="n"/>
      <c r="V136" s="47" t="n"/>
      <c r="W136" s="47" t="n"/>
    </row>
    <row r="137" ht="12" customHeight="1">
      <c r="A137" s="30" t="inlineStr">
        <is>
          <t>Areal</t>
        </is>
      </c>
      <c r="B137" s="30" t="n">
        <v>77330429</v>
      </c>
      <c r="C137" s="30">
        <f>"04608263000139"</f>
        <v/>
      </c>
      <c r="D137" s="30" t="inlineStr">
        <is>
          <t>CLUBE FAZENDA SANTA MONICA</t>
        </is>
      </c>
      <c r="E137" s="40" t="n">
        <v>0</v>
      </c>
      <c r="F137" s="40" t="n">
        <v>0</v>
      </c>
      <c r="G137" s="40" t="n">
        <v>0</v>
      </c>
      <c r="H137" s="40" t="n">
        <v>0</v>
      </c>
      <c r="I137" s="40" t="n">
        <v>0</v>
      </c>
      <c r="J137" s="40" t="n">
        <v>0</v>
      </c>
      <c r="K137" s="40" t="n">
        <v>0</v>
      </c>
      <c r="L137" s="40" t="n">
        <v>0</v>
      </c>
      <c r="M137" s="40" t="n">
        <v>0</v>
      </c>
      <c r="N137" s="40" t="n">
        <v>0</v>
      </c>
      <c r="O137" s="40" t="n">
        <v>0</v>
      </c>
      <c r="P137" s="40" t="n">
        <v>8602.700000000001</v>
      </c>
      <c r="Q137" s="40" t="n">
        <v>100</v>
      </c>
      <c r="R137" s="47" t="n"/>
      <c r="S137" s="47" t="n"/>
      <c r="T137" s="47" t="n"/>
      <c r="U137" s="47" t="n"/>
      <c r="V137" s="47" t="n"/>
      <c r="W137" s="47" t="n"/>
    </row>
    <row r="138" ht="12" customHeight="1">
      <c r="A138" s="30" t="inlineStr">
        <is>
          <t>Areal</t>
        </is>
      </c>
      <c r="B138" s="30" t="n">
        <v>77394869</v>
      </c>
      <c r="C138" s="30">
        <f>"05129326000137"</f>
        <v/>
      </c>
      <c r="D138" s="30" t="inlineStr">
        <is>
          <t>REBRAMED COMERCIAL LTDA ME</t>
        </is>
      </c>
      <c r="E138" s="40" t="n">
        <v>0</v>
      </c>
      <c r="F138" s="40" t="n">
        <v>0</v>
      </c>
      <c r="G138" s="40" t="n">
        <v>0</v>
      </c>
      <c r="H138" s="40" t="n">
        <v>0</v>
      </c>
      <c r="I138" s="40" t="n">
        <v>0</v>
      </c>
      <c r="J138" s="40" t="n">
        <v>0</v>
      </c>
      <c r="K138" s="40" t="n">
        <v>0</v>
      </c>
      <c r="L138" s="40" t="n">
        <v>0</v>
      </c>
      <c r="M138" s="40" t="n">
        <v>0</v>
      </c>
      <c r="N138" s="40" t="n">
        <v>0</v>
      </c>
      <c r="O138" s="40" t="n">
        <v>0</v>
      </c>
      <c r="P138" s="40" t="n">
        <v>0</v>
      </c>
      <c r="Q138" s="40" t="n">
        <v>0</v>
      </c>
      <c r="R138" s="47" t="n"/>
      <c r="S138" s="47" t="n"/>
      <c r="T138" s="47" t="n"/>
      <c r="U138" s="47" t="n"/>
      <c r="V138" s="47" t="n"/>
      <c r="W138" s="47" t="n"/>
    </row>
    <row r="139" ht="12" customHeight="1">
      <c r="A139" s="30" t="inlineStr">
        <is>
          <t>Areal</t>
        </is>
      </c>
      <c r="B139" s="30" t="n">
        <v>77421718</v>
      </c>
      <c r="C139" s="30">
        <f>"01014373000508"</f>
        <v/>
      </c>
      <c r="D139" s="30" t="inlineStr">
        <is>
          <t>AEROSOFT CARGAS AEREAS LTDA</t>
        </is>
      </c>
      <c r="E139" s="40" t="n">
        <v>0</v>
      </c>
      <c r="F139" s="40" t="n">
        <v>0</v>
      </c>
      <c r="G139" s="40" t="n">
        <v>0</v>
      </c>
      <c r="H139" s="40" t="n">
        <v>0</v>
      </c>
      <c r="I139" s="40" t="n">
        <v>0</v>
      </c>
      <c r="J139" s="40" t="n">
        <v>0</v>
      </c>
      <c r="K139" s="40" t="n">
        <v>0</v>
      </c>
      <c r="L139" s="40" t="n">
        <v>0</v>
      </c>
      <c r="M139" s="40" t="n">
        <v>0</v>
      </c>
      <c r="N139" s="40" t="n">
        <v>0</v>
      </c>
      <c r="O139" s="40" t="n">
        <v>0</v>
      </c>
      <c r="P139" s="40" t="n">
        <v>79.26000000000001</v>
      </c>
      <c r="Q139" s="40" t="n">
        <v>100</v>
      </c>
      <c r="R139" s="47" t="n"/>
      <c r="S139" s="47" t="n"/>
      <c r="T139" s="47" t="n"/>
      <c r="U139" s="47" t="n"/>
      <c r="V139" s="47" t="n"/>
      <c r="W139" s="47" t="n"/>
    </row>
    <row r="140" ht="12" customHeight="1">
      <c r="A140" s="30" t="inlineStr">
        <is>
          <t>Areal</t>
        </is>
      </c>
      <c r="B140" s="30" t="n">
        <v>77452443</v>
      </c>
      <c r="C140" s="30">
        <f>"02558157001487"</f>
        <v/>
      </c>
      <c r="D140" s="30" t="inlineStr">
        <is>
          <t>TELEFONICA BRASIL S.A.</t>
        </is>
      </c>
      <c r="E140" s="40" t="n">
        <v>1032235.75</v>
      </c>
      <c r="F140" s="40" t="n">
        <v>883658.3100000001</v>
      </c>
      <c r="G140" s="46" t="n">
        <v>-14.39</v>
      </c>
      <c r="H140" s="40" t="n">
        <v>834898.89</v>
      </c>
      <c r="I140" s="46" t="n">
        <v>-5.52</v>
      </c>
      <c r="J140" s="40" t="n">
        <v>780778.96</v>
      </c>
      <c r="K140" s="46" t="n">
        <v>-6.48</v>
      </c>
      <c r="L140" s="40" t="n">
        <v>1323040.47</v>
      </c>
      <c r="M140" s="40" t="n">
        <v>69.45</v>
      </c>
      <c r="N140" s="40" t="n">
        <v>1304143.21</v>
      </c>
      <c r="O140" s="46" t="n">
        <v>-1.43</v>
      </c>
      <c r="P140" s="40" t="n">
        <v>1908121.28</v>
      </c>
      <c r="Q140" s="40" t="n">
        <v>46.31</v>
      </c>
      <c r="R140" s="47" t="n"/>
      <c r="S140" s="47" t="n"/>
      <c r="T140" s="47" t="n"/>
      <c r="U140" s="47" t="n"/>
      <c r="V140" s="47" t="n"/>
      <c r="W140" s="47" t="n"/>
    </row>
    <row r="141" ht="12" customHeight="1">
      <c r="A141" s="30" t="inlineStr">
        <is>
          <t>Areal</t>
        </is>
      </c>
      <c r="B141" s="30" t="n">
        <v>77543309</v>
      </c>
      <c r="C141" s="30">
        <f>"05636406000189"</f>
        <v/>
      </c>
      <c r="D141" s="30" t="inlineStr">
        <is>
          <t>AUTO POSTO AREAL LTDA</t>
        </is>
      </c>
      <c r="E141" s="40" t="n">
        <v>51947.1</v>
      </c>
      <c r="F141" s="40" t="n">
        <v>0</v>
      </c>
      <c r="G141" s="46" t="n">
        <v>-100</v>
      </c>
      <c r="H141" s="40" t="n">
        <v>1019118.52</v>
      </c>
      <c r="I141" s="40" t="n">
        <v>100</v>
      </c>
      <c r="J141" s="40" t="n">
        <v>1111537.93</v>
      </c>
      <c r="K141" s="40" t="n">
        <v>9.07</v>
      </c>
      <c r="L141" s="40" t="n">
        <v>1053279.46</v>
      </c>
      <c r="M141" s="46" t="n">
        <v>-5.24</v>
      </c>
      <c r="N141" s="40" t="n">
        <v>0</v>
      </c>
      <c r="O141" s="46" t="n">
        <v>-100</v>
      </c>
      <c r="P141" s="40" t="n">
        <v>2686386.79</v>
      </c>
      <c r="Q141" s="40" t="n">
        <v>100</v>
      </c>
      <c r="R141" s="47" t="n"/>
      <c r="S141" s="47" t="n"/>
      <c r="T141" s="47" t="n"/>
      <c r="U141" s="47" t="n"/>
      <c r="V141" s="47" t="n"/>
      <c r="W141" s="47" t="n"/>
    </row>
    <row r="142" ht="12" customHeight="1">
      <c r="A142" s="30" t="inlineStr">
        <is>
          <t>Areal</t>
        </is>
      </c>
      <c r="B142" s="30" t="n">
        <v>77594949</v>
      </c>
      <c r="C142" s="30">
        <f>"00650831000370"</f>
        <v/>
      </c>
      <c r="D142" s="30" t="inlineStr">
        <is>
          <t>EFITRANS TRANSPORTES LTDA</t>
        </is>
      </c>
      <c r="E142" s="40" t="n">
        <v>9455.780000000001</v>
      </c>
      <c r="F142" s="40" t="n">
        <v>63590.52</v>
      </c>
      <c r="G142" s="40" t="n">
        <v>572.5</v>
      </c>
      <c r="H142" s="40" t="n">
        <v>21654.17</v>
      </c>
      <c r="I142" s="46" t="n">
        <v>-65.95</v>
      </c>
      <c r="J142" s="40" t="n">
        <v>0</v>
      </c>
      <c r="K142" s="46" t="n">
        <v>-100</v>
      </c>
      <c r="L142" s="40" t="n">
        <v>133.99</v>
      </c>
      <c r="M142" s="40" t="n">
        <v>100</v>
      </c>
      <c r="N142" s="40" t="n">
        <v>0</v>
      </c>
      <c r="O142" s="46" t="n">
        <v>-100</v>
      </c>
      <c r="P142" s="40" t="n">
        <v>1294.41</v>
      </c>
      <c r="Q142" s="40" t="n">
        <v>100</v>
      </c>
      <c r="R142" s="47" t="n"/>
      <c r="S142" s="47" t="n"/>
      <c r="T142" s="47" t="n"/>
      <c r="U142" s="47" t="n"/>
      <c r="V142" s="47" t="n"/>
      <c r="W142" s="47" t="n"/>
    </row>
    <row r="143" ht="12" customHeight="1">
      <c r="A143" s="30" t="inlineStr">
        <is>
          <t>Areal</t>
        </is>
      </c>
      <c r="B143" s="30" t="n">
        <v>77613129</v>
      </c>
      <c r="C143" s="30">
        <f>"05514580000230"</f>
        <v/>
      </c>
      <c r="D143" s="30" t="inlineStr">
        <is>
          <t>EXPRESSO MONTCAR 2003 LTDA</t>
        </is>
      </c>
      <c r="E143" s="40" t="n">
        <v>255.87</v>
      </c>
      <c r="F143" s="40" t="n">
        <v>0</v>
      </c>
      <c r="G143" s="46" t="n">
        <v>-100</v>
      </c>
      <c r="H143" s="40" t="n">
        <v>0</v>
      </c>
      <c r="I143" s="40" t="n">
        <v>0</v>
      </c>
      <c r="J143" s="40" t="n">
        <v>0</v>
      </c>
      <c r="K143" s="40" t="n">
        <v>0</v>
      </c>
      <c r="L143" s="40" t="n">
        <v>0</v>
      </c>
      <c r="M143" s="40" t="n">
        <v>0</v>
      </c>
      <c r="N143" s="40" t="n">
        <v>0</v>
      </c>
      <c r="O143" s="40" t="n">
        <v>0</v>
      </c>
      <c r="P143" s="40" t="n">
        <v>0</v>
      </c>
      <c r="Q143" s="40" t="n">
        <v>0</v>
      </c>
      <c r="R143" s="47" t="n"/>
      <c r="S143" s="47" t="n"/>
      <c r="T143" s="47" t="n"/>
      <c r="U143" s="47" t="n"/>
      <c r="V143" s="47" t="n"/>
      <c r="W143" s="47" t="n"/>
    </row>
    <row r="144" ht="12" customHeight="1">
      <c r="A144" s="30" t="inlineStr">
        <is>
          <t>Areal</t>
        </is>
      </c>
      <c r="B144" s="30" t="n">
        <v>77663711</v>
      </c>
      <c r="C144" s="30">
        <f>"05931640000139"</f>
        <v/>
      </c>
      <c r="D144" s="30" t="inlineStr">
        <is>
          <t>TRANSPORTES SOUZA ARAUJO LTDA</t>
        </is>
      </c>
      <c r="E144" s="40" t="n">
        <v>0</v>
      </c>
      <c r="F144" s="40" t="n">
        <v>0</v>
      </c>
      <c r="G144" s="40" t="n">
        <v>0</v>
      </c>
      <c r="H144" s="40" t="n">
        <v>0</v>
      </c>
      <c r="I144" s="40" t="n">
        <v>0</v>
      </c>
      <c r="J144" s="40" t="n">
        <v>6767.42</v>
      </c>
      <c r="K144" s="40" t="n">
        <v>100</v>
      </c>
      <c r="L144" s="40" t="n">
        <v>0</v>
      </c>
      <c r="M144" s="46" t="n">
        <v>-100</v>
      </c>
      <c r="N144" s="40" t="n">
        <v>0</v>
      </c>
      <c r="O144" s="40" t="n">
        <v>0</v>
      </c>
      <c r="P144" s="40" t="n">
        <v>69822.28</v>
      </c>
      <c r="Q144" s="40" t="n">
        <v>100</v>
      </c>
      <c r="R144" s="47" t="n"/>
      <c r="S144" s="47" t="n"/>
      <c r="T144" s="47" t="n"/>
      <c r="U144" s="47" t="n"/>
      <c r="V144" s="47" t="n"/>
      <c r="W144" s="47" t="n"/>
    </row>
    <row r="145" ht="12" customHeight="1">
      <c r="A145" s="30" t="inlineStr">
        <is>
          <t>Areal</t>
        </is>
      </c>
      <c r="B145" s="30" t="n">
        <v>77685022</v>
      </c>
      <c r="C145" s="30">
        <f>"76535764033157"</f>
        <v/>
      </c>
      <c r="D145" s="30" t="inlineStr">
        <is>
          <t>OI SA - EM RECUPERACAO JUDICIAL</t>
        </is>
      </c>
      <c r="E145" s="40" t="n">
        <v>0</v>
      </c>
      <c r="F145" s="40" t="n">
        <v>0</v>
      </c>
      <c r="G145" s="40" t="n">
        <v>0</v>
      </c>
      <c r="H145" s="40" t="n">
        <v>0</v>
      </c>
      <c r="I145" s="40" t="n">
        <v>0</v>
      </c>
      <c r="J145" s="40" t="n">
        <v>0</v>
      </c>
      <c r="K145" s="40" t="n">
        <v>0</v>
      </c>
      <c r="L145" s="40" t="n">
        <v>261424.88</v>
      </c>
      <c r="M145" s="40" t="n">
        <v>100</v>
      </c>
      <c r="N145" s="40" t="n">
        <v>779939.29</v>
      </c>
      <c r="O145" s="40" t="n">
        <v>198.34</v>
      </c>
      <c r="P145" s="40" t="n">
        <v>899402.88</v>
      </c>
      <c r="Q145" s="40" t="n">
        <v>15.32</v>
      </c>
      <c r="R145" s="47" t="n"/>
      <c r="S145" s="47" t="n"/>
      <c r="T145" s="47" t="n"/>
      <c r="U145" s="47" t="n"/>
      <c r="V145" s="47" t="n"/>
      <c r="W145" s="47" t="n"/>
    </row>
    <row r="146" ht="12" customHeight="1">
      <c r="A146" s="30" t="inlineStr">
        <is>
          <t>Areal</t>
        </is>
      </c>
      <c r="B146" s="30" t="n">
        <v>77693459</v>
      </c>
      <c r="C146" s="30">
        <f>"67901140000292"</f>
        <v/>
      </c>
      <c r="D146" s="30" t="inlineStr">
        <is>
          <t>COTRALTI - COOPERATIVA DE TRANSPORTE E LOGISTICA DO ALTO TIETE</t>
        </is>
      </c>
      <c r="E146" s="40" t="n">
        <v>0</v>
      </c>
      <c r="F146" s="40" t="n">
        <v>0</v>
      </c>
      <c r="G146" s="40" t="n">
        <v>0</v>
      </c>
      <c r="H146" s="40" t="n">
        <v>0</v>
      </c>
      <c r="I146" s="40" t="n">
        <v>0</v>
      </c>
      <c r="J146" s="40" t="n">
        <v>124.6</v>
      </c>
      <c r="K146" s="40" t="n">
        <v>100</v>
      </c>
      <c r="L146" s="40" t="n">
        <v>0</v>
      </c>
      <c r="M146" s="46" t="n">
        <v>-100</v>
      </c>
      <c r="N146" s="40" t="n">
        <v>1248.89</v>
      </c>
      <c r="O146" s="40" t="n">
        <v>100</v>
      </c>
      <c r="P146" s="40" t="n">
        <v>14908.22</v>
      </c>
      <c r="Q146" s="40" t="n">
        <v>1093.72</v>
      </c>
      <c r="R146" s="47" t="n"/>
      <c r="S146" s="47" t="n"/>
      <c r="T146" s="47" t="n"/>
      <c r="U146" s="47" t="n"/>
      <c r="V146" s="47" t="n"/>
      <c r="W146" s="47" t="n"/>
    </row>
    <row r="147" ht="12" customHeight="1">
      <c r="A147" s="30" t="inlineStr">
        <is>
          <t>Areal</t>
        </is>
      </c>
      <c r="B147" s="30" t="n">
        <v>77700501</v>
      </c>
      <c r="C147" s="30">
        <f>"71208516017140"</f>
        <v/>
      </c>
      <c r="D147" s="30" t="inlineStr">
        <is>
          <t>ALGAR TELECOM S A</t>
        </is>
      </c>
      <c r="E147" s="40" t="n">
        <v>0</v>
      </c>
      <c r="F147" s="40" t="n">
        <v>189.16</v>
      </c>
      <c r="G147" s="40" t="n">
        <v>100</v>
      </c>
      <c r="H147" s="40" t="n">
        <v>9.24</v>
      </c>
      <c r="I147" s="46" t="n">
        <v>-95.12</v>
      </c>
      <c r="J147" s="40" t="n">
        <v>12.47</v>
      </c>
      <c r="K147" s="40" t="n">
        <v>34.96</v>
      </c>
      <c r="L147" s="40" t="n">
        <v>1.08</v>
      </c>
      <c r="M147" s="46" t="n">
        <v>-91.34</v>
      </c>
      <c r="N147" s="40" t="n">
        <v>14.69</v>
      </c>
      <c r="O147" s="40" t="n">
        <v>1260.19</v>
      </c>
      <c r="P147" s="40" t="n">
        <v>0</v>
      </c>
      <c r="Q147" s="46" t="n">
        <v>-100</v>
      </c>
      <c r="R147" s="47" t="n"/>
      <c r="S147" s="47" t="n"/>
      <c r="T147" s="47" t="n"/>
      <c r="U147" s="47" t="n"/>
      <c r="V147" s="47" t="n"/>
      <c r="W147" s="47" t="n"/>
    </row>
    <row r="148" ht="12" customHeight="1">
      <c r="A148" s="30" t="inlineStr">
        <is>
          <t>Areal</t>
        </is>
      </c>
      <c r="B148" s="30" t="n">
        <v>77730729</v>
      </c>
      <c r="C148" s="30">
        <f>"48740351000408"</f>
        <v/>
      </c>
      <c r="D148" s="30" t="inlineStr">
        <is>
          <t>BRASPRESS TRANSPORTES URGENTES LTDA</t>
        </is>
      </c>
      <c r="E148" s="40" t="n">
        <v>3625.61</v>
      </c>
      <c r="F148" s="40" t="n">
        <v>2558.86</v>
      </c>
      <c r="G148" s="46" t="n">
        <v>-29.42</v>
      </c>
      <c r="H148" s="40" t="n">
        <v>486.14</v>
      </c>
      <c r="I148" s="46" t="n">
        <v>-81</v>
      </c>
      <c r="J148" s="40" t="n">
        <v>105.51</v>
      </c>
      <c r="K148" s="46" t="n">
        <v>-78.3</v>
      </c>
      <c r="L148" s="40" t="n">
        <v>0</v>
      </c>
      <c r="M148" s="46" t="n">
        <v>-100</v>
      </c>
      <c r="N148" s="40" t="n">
        <v>50450.3</v>
      </c>
      <c r="O148" s="40" t="n">
        <v>100</v>
      </c>
      <c r="P148" s="40" t="n">
        <v>281141.96</v>
      </c>
      <c r="Q148" s="40" t="n">
        <v>457.27</v>
      </c>
      <c r="R148" s="47" t="n"/>
      <c r="S148" s="47" t="n"/>
      <c r="T148" s="47" t="n"/>
      <c r="U148" s="47" t="n"/>
      <c r="V148" s="47" t="n"/>
      <c r="W148" s="47" t="n"/>
    </row>
    <row r="149" ht="12" customHeight="1">
      <c r="A149" s="30" t="inlineStr">
        <is>
          <t>Areal</t>
        </is>
      </c>
      <c r="B149" s="30" t="n">
        <v>77734686</v>
      </c>
      <c r="C149" s="30">
        <f>"48740351003008"</f>
        <v/>
      </c>
      <c r="D149" s="30" t="inlineStr">
        <is>
          <t>BRASPRESS TRANSPORTES URGENTES LTDA</t>
        </is>
      </c>
      <c r="E149" s="40" t="n">
        <v>321.75</v>
      </c>
      <c r="F149" s="40" t="n">
        <v>475.92</v>
      </c>
      <c r="G149" s="40" t="n">
        <v>47.92</v>
      </c>
      <c r="H149" s="40" t="n">
        <v>0</v>
      </c>
      <c r="I149" s="46" t="n">
        <v>-100</v>
      </c>
      <c r="J149" s="40" t="n">
        <v>0</v>
      </c>
      <c r="K149" s="40" t="n">
        <v>0</v>
      </c>
      <c r="L149" s="40" t="n">
        <v>0</v>
      </c>
      <c r="M149" s="40" t="n">
        <v>0</v>
      </c>
      <c r="N149" s="40" t="n">
        <v>0</v>
      </c>
      <c r="O149" s="40" t="n">
        <v>0</v>
      </c>
      <c r="P149" s="40" t="n">
        <v>0</v>
      </c>
      <c r="Q149" s="40" t="n">
        <v>0</v>
      </c>
      <c r="R149" s="47" t="n"/>
      <c r="S149" s="47" t="n"/>
      <c r="T149" s="47" t="n"/>
      <c r="U149" s="47" t="n"/>
      <c r="V149" s="47" t="n"/>
      <c r="W149" s="47" t="n"/>
    </row>
    <row r="150" ht="12" customHeight="1">
      <c r="A150" s="30" t="inlineStr">
        <is>
          <t>Areal</t>
        </is>
      </c>
      <c r="B150" s="30" t="n">
        <v>77768386</v>
      </c>
      <c r="C150" s="30">
        <f>"67901140000373"</f>
        <v/>
      </c>
      <c r="D150" s="30" t="inlineStr">
        <is>
          <t>COTRALTI - COOPERATIVA DE TRANSPORTE E LOGISTICA DO ALTO TIETE</t>
        </is>
      </c>
      <c r="E150" s="40" t="n">
        <v>132.5</v>
      </c>
      <c r="F150" s="40" t="n">
        <v>0</v>
      </c>
      <c r="G150" s="46" t="n">
        <v>-100</v>
      </c>
      <c r="H150" s="40" t="n">
        <v>0</v>
      </c>
      <c r="I150" s="40" t="n">
        <v>0</v>
      </c>
      <c r="J150" s="40" t="n">
        <v>0</v>
      </c>
      <c r="K150" s="40" t="n">
        <v>0</v>
      </c>
      <c r="L150" s="40" t="n">
        <v>0</v>
      </c>
      <c r="M150" s="40" t="n">
        <v>0</v>
      </c>
      <c r="N150" s="40" t="n">
        <v>0</v>
      </c>
      <c r="O150" s="40" t="n">
        <v>0</v>
      </c>
      <c r="P150" s="40" t="n">
        <v>0</v>
      </c>
      <c r="Q150" s="40" t="n">
        <v>0</v>
      </c>
      <c r="R150" s="47" t="n"/>
      <c r="S150" s="47" t="n"/>
      <c r="T150" s="47" t="n"/>
      <c r="U150" s="47" t="n"/>
      <c r="V150" s="47" t="n"/>
      <c r="W150" s="47" t="n"/>
    </row>
    <row r="151" ht="12" customHeight="1">
      <c r="A151" s="30" t="inlineStr">
        <is>
          <t>Areal</t>
        </is>
      </c>
      <c r="B151" s="30" t="n">
        <v>77771930</v>
      </c>
      <c r="C151" s="30">
        <f>"06701081000133"</f>
        <v/>
      </c>
      <c r="D151" s="30" t="inlineStr">
        <is>
          <t>GOLD MILENIO TRANSPORTES LTDA ME</t>
        </is>
      </c>
      <c r="E151" s="40" t="n">
        <v>0</v>
      </c>
      <c r="F151" s="40" t="n">
        <v>0</v>
      </c>
      <c r="G151" s="40" t="n">
        <v>0</v>
      </c>
      <c r="H151" s="40" t="n">
        <v>0</v>
      </c>
      <c r="I151" s="40" t="n">
        <v>0</v>
      </c>
      <c r="J151" s="40" t="n">
        <v>0</v>
      </c>
      <c r="K151" s="40" t="n">
        <v>0</v>
      </c>
      <c r="L151" s="40" t="n">
        <v>200</v>
      </c>
      <c r="M151" s="40" t="n">
        <v>100</v>
      </c>
      <c r="N151" s="40" t="n">
        <v>0</v>
      </c>
      <c r="O151" s="46" t="n">
        <v>-100</v>
      </c>
      <c r="P151" s="40" t="n">
        <v>0</v>
      </c>
      <c r="Q151" s="40" t="n">
        <v>0</v>
      </c>
      <c r="R151" s="47" t="n"/>
      <c r="S151" s="47" t="n"/>
      <c r="T151" s="47" t="n"/>
      <c r="U151" s="47" t="n"/>
      <c r="V151" s="47" t="n"/>
      <c r="W151" s="47" t="n"/>
    </row>
    <row r="152" ht="12" customHeight="1">
      <c r="A152" s="30" t="inlineStr">
        <is>
          <t>Areal</t>
        </is>
      </c>
      <c r="B152" s="30" t="n">
        <v>77785361</v>
      </c>
      <c r="C152" s="30">
        <f>"00972696000380"</f>
        <v/>
      </c>
      <c r="D152" s="30" t="inlineStr">
        <is>
          <t>V M RAMOS &amp; CIA LTDA</t>
        </is>
      </c>
      <c r="E152" s="40" t="n">
        <v>17252.72</v>
      </c>
      <c r="F152" s="40" t="n">
        <v>3862.88</v>
      </c>
      <c r="G152" s="46" t="n">
        <v>-77.61</v>
      </c>
      <c r="H152" s="40" t="n">
        <v>3772.77</v>
      </c>
      <c r="I152" s="46" t="n">
        <v>-2.33</v>
      </c>
      <c r="J152" s="40" t="n">
        <v>1456.33</v>
      </c>
      <c r="K152" s="46" t="n">
        <v>-61.4</v>
      </c>
      <c r="L152" s="40" t="n">
        <v>0</v>
      </c>
      <c r="M152" s="46" t="n">
        <v>-100</v>
      </c>
      <c r="N152" s="40" t="n">
        <v>0</v>
      </c>
      <c r="O152" s="40" t="n">
        <v>0</v>
      </c>
      <c r="P152" s="40" t="n">
        <v>0</v>
      </c>
      <c r="Q152" s="40" t="n">
        <v>0</v>
      </c>
      <c r="R152" s="47" t="n"/>
      <c r="S152" s="47" t="n"/>
      <c r="T152" s="47" t="n"/>
      <c r="U152" s="47" t="n"/>
      <c r="V152" s="47" t="n"/>
      <c r="W152" s="47" t="n"/>
    </row>
    <row r="153" ht="12" customHeight="1">
      <c r="A153" s="30" t="inlineStr">
        <is>
          <t>Areal</t>
        </is>
      </c>
      <c r="B153" s="30" t="n">
        <v>77812814</v>
      </c>
      <c r="C153" s="30">
        <f>"06371265000182"</f>
        <v/>
      </c>
      <c r="D153" s="30" t="inlineStr">
        <is>
          <t>MP 2019 TRANSPORTES LTDA</t>
        </is>
      </c>
      <c r="E153" s="40" t="n">
        <v>0</v>
      </c>
      <c r="F153" s="40" t="n">
        <v>0</v>
      </c>
      <c r="G153" s="40" t="n">
        <v>0</v>
      </c>
      <c r="H153" s="40" t="n">
        <v>0</v>
      </c>
      <c r="I153" s="40" t="n">
        <v>0</v>
      </c>
      <c r="J153" s="40" t="n">
        <v>0</v>
      </c>
      <c r="K153" s="40" t="n">
        <v>0</v>
      </c>
      <c r="L153" s="40" t="n">
        <v>553.7</v>
      </c>
      <c r="M153" s="40" t="n">
        <v>100</v>
      </c>
      <c r="N153" s="40" t="n">
        <v>0</v>
      </c>
      <c r="O153" s="46" t="n">
        <v>-100</v>
      </c>
      <c r="P153" s="40" t="n">
        <v>0</v>
      </c>
      <c r="Q153" s="40" t="n">
        <v>0</v>
      </c>
      <c r="R153" s="47" t="n"/>
      <c r="S153" s="47" t="n"/>
      <c r="T153" s="47" t="n"/>
      <c r="U153" s="47" t="n"/>
      <c r="V153" s="47" t="n"/>
      <c r="W153" s="47" t="n"/>
    </row>
    <row r="154" ht="12" customHeight="1">
      <c r="A154" s="30" t="inlineStr">
        <is>
          <t>Areal</t>
        </is>
      </c>
      <c r="B154" s="30" t="n">
        <v>77836349</v>
      </c>
      <c r="C154" s="30">
        <f>"03708458000279"</f>
        <v/>
      </c>
      <c r="D154" s="30" t="inlineStr">
        <is>
          <t>REDIVIX TRANSPORTES LTDA</t>
        </is>
      </c>
      <c r="E154" s="40" t="n">
        <v>0</v>
      </c>
      <c r="F154" s="40" t="n">
        <v>0</v>
      </c>
      <c r="G154" s="40" t="n">
        <v>0</v>
      </c>
      <c r="H154" s="40" t="n">
        <v>0</v>
      </c>
      <c r="I154" s="40" t="n">
        <v>0</v>
      </c>
      <c r="J154" s="40" t="n">
        <v>104.04</v>
      </c>
      <c r="K154" s="40" t="n">
        <v>100</v>
      </c>
      <c r="L154" s="40" t="n">
        <v>157.04</v>
      </c>
      <c r="M154" s="40" t="n">
        <v>50.94</v>
      </c>
      <c r="N154" s="40" t="n">
        <v>0</v>
      </c>
      <c r="O154" s="46" t="n">
        <v>-100</v>
      </c>
      <c r="P154" s="40" t="n">
        <v>0</v>
      </c>
      <c r="Q154" s="40" t="n">
        <v>0</v>
      </c>
      <c r="R154" s="47" t="n"/>
      <c r="S154" s="47" t="n"/>
      <c r="T154" s="47" t="n"/>
      <c r="U154" s="47" t="n"/>
      <c r="V154" s="47" t="n"/>
      <c r="W154" s="47" t="n"/>
    </row>
    <row r="155" ht="12" customHeight="1">
      <c r="A155" s="30" t="inlineStr">
        <is>
          <t>Areal</t>
        </is>
      </c>
      <c r="B155" s="30" t="n">
        <v>77866612</v>
      </c>
      <c r="C155" s="30">
        <f>"07217922000102"</f>
        <v/>
      </c>
      <c r="D155" s="30" t="inlineStr">
        <is>
          <t>COOP TRESUL COOPERATIVA DE PROPRIETARIOS DE VANS DE TRES RIOS E PARAIBA DO SUL</t>
        </is>
      </c>
      <c r="E155" s="40" t="n">
        <v>300</v>
      </c>
      <c r="F155" s="40" t="n">
        <v>120</v>
      </c>
      <c r="G155" s="46" t="n">
        <v>-60</v>
      </c>
      <c r="H155" s="40" t="n">
        <v>0</v>
      </c>
      <c r="I155" s="46" t="n">
        <v>-100</v>
      </c>
      <c r="J155" s="40" t="n">
        <v>0</v>
      </c>
      <c r="K155" s="40" t="n">
        <v>0</v>
      </c>
      <c r="L155" s="40" t="n">
        <v>0</v>
      </c>
      <c r="M155" s="40" t="n">
        <v>0</v>
      </c>
      <c r="N155" s="40" t="n">
        <v>0</v>
      </c>
      <c r="O155" s="40" t="n">
        <v>0</v>
      </c>
      <c r="P155" s="40" t="n">
        <v>0</v>
      </c>
      <c r="Q155" s="40" t="n">
        <v>0</v>
      </c>
      <c r="R155" s="47" t="n"/>
      <c r="S155" s="47" t="n"/>
      <c r="T155" s="47" t="n"/>
      <c r="U155" s="47" t="n"/>
      <c r="V155" s="47" t="n"/>
      <c r="W155" s="47" t="n"/>
    </row>
    <row r="156" ht="12" customHeight="1">
      <c r="A156" s="30" t="inlineStr">
        <is>
          <t>Areal</t>
        </is>
      </c>
      <c r="B156" s="30" t="n">
        <v>77876987</v>
      </c>
      <c r="C156" s="30">
        <f>"07211685000164"</f>
        <v/>
      </c>
      <c r="D156" s="30" t="inlineStr">
        <is>
          <t>DISPLAY DISTRIBUIDORA DE PRODUTOS ALIMENTICIOS LTDA ME</t>
        </is>
      </c>
      <c r="E156" s="40" t="n">
        <v>0</v>
      </c>
      <c r="F156" s="40" t="n">
        <v>0</v>
      </c>
      <c r="G156" s="40" t="n">
        <v>0</v>
      </c>
      <c r="H156" s="40" t="n">
        <v>0</v>
      </c>
      <c r="I156" s="40" t="n">
        <v>0</v>
      </c>
      <c r="J156" s="40" t="n">
        <v>0</v>
      </c>
      <c r="K156" s="40" t="n">
        <v>0</v>
      </c>
      <c r="L156" s="40" t="n">
        <v>0</v>
      </c>
      <c r="M156" s="40" t="n">
        <v>0</v>
      </c>
      <c r="N156" s="40" t="n">
        <v>0</v>
      </c>
      <c r="O156" s="40" t="n">
        <v>0</v>
      </c>
      <c r="P156" s="40" t="n">
        <v>1100281.66</v>
      </c>
      <c r="Q156" s="40" t="n">
        <v>100</v>
      </c>
      <c r="R156" s="47" t="n"/>
      <c r="S156" s="47" t="n"/>
      <c r="T156" s="47" t="n"/>
      <c r="U156" s="47" t="n"/>
      <c r="V156" s="47" t="n"/>
      <c r="W156" s="47" t="n"/>
    </row>
    <row r="157" ht="12" customHeight="1">
      <c r="A157" s="30" t="inlineStr">
        <is>
          <t>Areal</t>
        </is>
      </c>
      <c r="B157" s="30" t="n">
        <v>77908854</v>
      </c>
      <c r="C157" s="30">
        <f>"05017780002573"</f>
        <v/>
      </c>
      <c r="D157" s="30" t="inlineStr">
        <is>
          <t>RIO BRANCO ALIMENTOS SA</t>
        </is>
      </c>
      <c r="E157" s="40" t="n">
        <v>0</v>
      </c>
      <c r="F157" s="40" t="n">
        <v>0</v>
      </c>
      <c r="G157" s="40" t="n">
        <v>0</v>
      </c>
      <c r="H157" s="40" t="n">
        <v>0</v>
      </c>
      <c r="I157" s="40" t="n">
        <v>0</v>
      </c>
      <c r="J157" s="40" t="n">
        <v>2620.12</v>
      </c>
      <c r="K157" s="40" t="n">
        <v>100</v>
      </c>
      <c r="L157" s="40" t="n">
        <v>0</v>
      </c>
      <c r="M157" s="46" t="n">
        <v>-100</v>
      </c>
      <c r="N157" s="40" t="n">
        <v>55399.62</v>
      </c>
      <c r="O157" s="40" t="n">
        <v>100</v>
      </c>
      <c r="P157" s="40" t="n">
        <v>0</v>
      </c>
      <c r="Q157" s="46" t="n">
        <v>-100</v>
      </c>
      <c r="R157" s="47" t="n"/>
      <c r="S157" s="47" t="n"/>
      <c r="T157" s="47" t="n"/>
      <c r="U157" s="47" t="n"/>
      <c r="V157" s="47" t="n"/>
      <c r="W157" s="47" t="n"/>
    </row>
    <row r="158" ht="12" customHeight="1">
      <c r="A158" s="30" t="inlineStr">
        <is>
          <t>Areal</t>
        </is>
      </c>
      <c r="B158" s="30" t="n">
        <v>77909028</v>
      </c>
      <c r="C158" s="30">
        <f>"03558055001009"</f>
        <v/>
      </c>
      <c r="D158" s="30" t="inlineStr">
        <is>
          <t>INTERMODAL BRASIL LOGISTICA LTDA</t>
        </is>
      </c>
      <c r="E158" s="40" t="n">
        <v>0</v>
      </c>
      <c r="F158" s="40" t="n">
        <v>0</v>
      </c>
      <c r="G158" s="40" t="n">
        <v>0</v>
      </c>
      <c r="H158" s="40" t="n">
        <v>0</v>
      </c>
      <c r="I158" s="40" t="n">
        <v>0</v>
      </c>
      <c r="J158" s="40" t="n">
        <v>0</v>
      </c>
      <c r="K158" s="40" t="n">
        <v>0</v>
      </c>
      <c r="L158" s="40" t="n">
        <v>0</v>
      </c>
      <c r="M158" s="40" t="n">
        <v>0</v>
      </c>
      <c r="N158" s="40" t="n">
        <v>0.26</v>
      </c>
      <c r="O158" s="40" t="n">
        <v>100</v>
      </c>
      <c r="P158" s="40" t="n">
        <v>0</v>
      </c>
      <c r="Q158" s="46" t="n">
        <v>-100</v>
      </c>
      <c r="R158" s="47" t="n"/>
      <c r="S158" s="47" t="n"/>
      <c r="T158" s="47" t="n"/>
      <c r="U158" s="47" t="n"/>
      <c r="V158" s="47" t="n"/>
      <c r="W158" s="47" t="n"/>
    </row>
    <row r="159" ht="12" customHeight="1">
      <c r="A159" s="30" t="inlineStr">
        <is>
          <t>Areal</t>
        </is>
      </c>
      <c r="B159" s="30" t="n">
        <v>78002840</v>
      </c>
      <c r="C159" s="30">
        <f>"40432544006269"</f>
        <v/>
      </c>
      <c r="D159" s="30" t="inlineStr">
        <is>
          <t>CLARO S/A</t>
        </is>
      </c>
      <c r="E159" s="40" t="n">
        <v>4172708.04</v>
      </c>
      <c r="F159" s="40" t="n">
        <v>3753808.08</v>
      </c>
      <c r="G159" s="46" t="n">
        <v>-10.04</v>
      </c>
      <c r="H159" s="40" t="n">
        <v>3542250.55</v>
      </c>
      <c r="I159" s="46" t="n">
        <v>-5.64</v>
      </c>
      <c r="J159" s="40" t="n">
        <v>3579521.36</v>
      </c>
      <c r="K159" s="40" t="n">
        <v>1.05</v>
      </c>
      <c r="L159" s="40" t="n">
        <v>2973802.18</v>
      </c>
      <c r="M159" s="46" t="n">
        <v>-16.92</v>
      </c>
      <c r="N159" s="40" t="n">
        <v>1835284.36</v>
      </c>
      <c r="O159" s="46" t="n">
        <v>-38.28</v>
      </c>
      <c r="P159" s="40" t="n">
        <v>1862344.61</v>
      </c>
      <c r="Q159" s="40" t="n">
        <v>1.47</v>
      </c>
      <c r="R159" s="47" t="n"/>
      <c r="S159" s="47" t="n"/>
      <c r="T159" s="47" t="n"/>
      <c r="U159" s="47" t="n"/>
      <c r="V159" s="47" t="n"/>
      <c r="W159" s="47" t="n"/>
    </row>
    <row r="160" ht="12" customHeight="1">
      <c r="A160" s="30" t="inlineStr">
        <is>
          <t>Areal</t>
        </is>
      </c>
      <c r="B160" s="30" t="n">
        <v>78015144</v>
      </c>
      <c r="C160" s="30">
        <f>"07694182000197"</f>
        <v/>
      </c>
      <c r="D160" s="30" t="inlineStr">
        <is>
          <t>BAR E RESTAURANTE QUARENTAO LTDA</t>
        </is>
      </c>
      <c r="E160" s="40" t="n">
        <v>0</v>
      </c>
      <c r="F160" s="40" t="n">
        <v>0</v>
      </c>
      <c r="G160" s="40" t="n">
        <v>0</v>
      </c>
      <c r="H160" s="40" t="n">
        <v>0</v>
      </c>
      <c r="I160" s="40" t="n">
        <v>0</v>
      </c>
      <c r="J160" s="40" t="n">
        <v>0</v>
      </c>
      <c r="K160" s="40" t="n">
        <v>0</v>
      </c>
      <c r="L160" s="40" t="n">
        <v>0</v>
      </c>
      <c r="M160" s="40" t="n">
        <v>0</v>
      </c>
      <c r="N160" s="40" t="n">
        <v>0</v>
      </c>
      <c r="O160" s="40" t="n">
        <v>0</v>
      </c>
      <c r="P160" s="40" t="n">
        <v>0</v>
      </c>
      <c r="Q160" s="40" t="n">
        <v>0</v>
      </c>
      <c r="R160" s="47" t="n"/>
      <c r="S160" s="47" t="n"/>
      <c r="T160" s="47" t="n"/>
      <c r="U160" s="47" t="n"/>
      <c r="V160" s="47" t="n"/>
      <c r="W160" s="47" t="n"/>
    </row>
    <row r="161" ht="12" customHeight="1">
      <c r="A161" s="30" t="inlineStr">
        <is>
          <t>Areal</t>
        </is>
      </c>
      <c r="B161" s="30" t="n">
        <v>78027703</v>
      </c>
      <c r="C161" s="30">
        <f>"07715126000191"</f>
        <v/>
      </c>
      <c r="D161" s="30" t="inlineStr">
        <is>
          <t>YOUX COMERCIO INTERNACIONAL LTDA ME</t>
        </is>
      </c>
      <c r="E161" s="40" t="n">
        <v>0</v>
      </c>
      <c r="F161" s="40" t="n">
        <v>0</v>
      </c>
      <c r="G161" s="40" t="n">
        <v>0</v>
      </c>
      <c r="H161" s="40" t="n">
        <v>0</v>
      </c>
      <c r="I161" s="40" t="n">
        <v>0</v>
      </c>
      <c r="J161" s="40" t="n">
        <v>0</v>
      </c>
      <c r="K161" s="40" t="n">
        <v>0</v>
      </c>
      <c r="L161" s="40" t="n">
        <v>0</v>
      </c>
      <c r="M161" s="40" t="n">
        <v>0</v>
      </c>
      <c r="N161" s="40" t="n">
        <v>0</v>
      </c>
      <c r="O161" s="40" t="n">
        <v>0</v>
      </c>
      <c r="P161" s="40" t="n">
        <v>0</v>
      </c>
      <c r="Q161" s="40" t="n">
        <v>0</v>
      </c>
      <c r="R161" s="47" t="n"/>
      <c r="S161" s="47" t="n"/>
      <c r="T161" s="47" t="n"/>
      <c r="U161" s="47" t="n"/>
      <c r="V161" s="47" t="n"/>
      <c r="W161" s="47" t="n"/>
    </row>
    <row r="162" ht="12" customHeight="1">
      <c r="A162" s="30" t="inlineStr">
        <is>
          <t>Areal</t>
        </is>
      </c>
      <c r="B162" s="30" t="n">
        <v>78030844</v>
      </c>
      <c r="C162" s="30">
        <f>"07714104000107"</f>
        <v/>
      </c>
      <c r="D162" s="30" t="inlineStr">
        <is>
          <t>VM OPENLINK COMUNICAÇÃO MULTIMIDIA S.A.</t>
        </is>
      </c>
      <c r="E162" s="40" t="n">
        <v>241749.22</v>
      </c>
      <c r="F162" s="40" t="n">
        <v>65483.66</v>
      </c>
      <c r="G162" s="46" t="n">
        <v>-72.91</v>
      </c>
      <c r="H162" s="40" t="n">
        <v>394.09</v>
      </c>
      <c r="I162" s="46" t="n">
        <v>-99.40000000000001</v>
      </c>
      <c r="J162" s="40" t="n">
        <v>5637.43</v>
      </c>
      <c r="K162" s="40" t="n">
        <v>1330.49</v>
      </c>
      <c r="L162" s="40" t="n">
        <v>3161.08</v>
      </c>
      <c r="M162" s="46" t="n">
        <v>-43.93</v>
      </c>
      <c r="N162" s="40" t="n">
        <v>1528.03</v>
      </c>
      <c r="O162" s="46" t="n">
        <v>-51.66</v>
      </c>
      <c r="P162" s="40" t="n">
        <v>636.28</v>
      </c>
      <c r="Q162" s="46" t="n">
        <v>-58.36</v>
      </c>
      <c r="R162" s="47" t="n"/>
      <c r="S162" s="47" t="n"/>
      <c r="T162" s="47" t="n"/>
      <c r="U162" s="47" t="n"/>
      <c r="V162" s="47" t="n"/>
      <c r="W162" s="47" t="n"/>
    </row>
    <row r="163" ht="12" customHeight="1">
      <c r="A163" s="30" t="inlineStr">
        <is>
          <t>Areal</t>
        </is>
      </c>
      <c r="B163" s="30" t="n">
        <v>78069325</v>
      </c>
      <c r="C163" s="30">
        <f>"07322807000190"</f>
        <v/>
      </c>
      <c r="D163" s="30" t="inlineStr">
        <is>
          <t>BIRD GOLDEN COMERCIO DE AVES LTDA</t>
        </is>
      </c>
      <c r="E163" s="40" t="n">
        <v>0</v>
      </c>
      <c r="F163" s="40" t="n">
        <v>0</v>
      </c>
      <c r="G163" s="40" t="n">
        <v>0</v>
      </c>
      <c r="H163" s="40" t="n">
        <v>0</v>
      </c>
      <c r="I163" s="40" t="n">
        <v>0</v>
      </c>
      <c r="J163" s="40" t="n">
        <v>0</v>
      </c>
      <c r="K163" s="40" t="n">
        <v>0</v>
      </c>
      <c r="L163" s="40" t="n">
        <v>0</v>
      </c>
      <c r="M163" s="40" t="n">
        <v>0</v>
      </c>
      <c r="N163" s="40" t="n">
        <v>0</v>
      </c>
      <c r="O163" s="40" t="n">
        <v>0</v>
      </c>
      <c r="P163" s="40" t="n">
        <v>0</v>
      </c>
      <c r="Q163" s="40" t="n">
        <v>0</v>
      </c>
      <c r="R163" s="47" t="n"/>
      <c r="S163" s="47" t="n"/>
      <c r="T163" s="47" t="n"/>
      <c r="U163" s="47" t="n"/>
      <c r="V163" s="47" t="n"/>
      <c r="W163" s="47" t="n"/>
    </row>
    <row r="164" ht="12" customHeight="1">
      <c r="A164" s="30" t="inlineStr">
        <is>
          <t>Areal</t>
        </is>
      </c>
      <c r="B164" s="30" t="n">
        <v>78107944</v>
      </c>
      <c r="C164" s="30">
        <f>"04425426000229"</f>
        <v/>
      </c>
      <c r="D164" s="30" t="inlineStr">
        <is>
          <t>RADIO E TELEVISAO MODELO PAULISTA</t>
        </is>
      </c>
      <c r="E164" s="40" t="n">
        <v>1863.99</v>
      </c>
      <c r="F164" s="40" t="n">
        <v>1750.56</v>
      </c>
      <c r="G164" s="46" t="n">
        <v>-6.09</v>
      </c>
      <c r="H164" s="40" t="n">
        <v>1753.29</v>
      </c>
      <c r="I164" s="40" t="n">
        <v>0.16</v>
      </c>
      <c r="J164" s="40" t="n">
        <v>1965.1</v>
      </c>
      <c r="K164" s="40" t="n">
        <v>12.08</v>
      </c>
      <c r="L164" s="40" t="n">
        <v>2718.98</v>
      </c>
      <c r="M164" s="40" t="n">
        <v>38.36</v>
      </c>
      <c r="N164" s="40" t="n">
        <v>3015.15</v>
      </c>
      <c r="O164" s="40" t="n">
        <v>10.89</v>
      </c>
      <c r="P164" s="40" t="n">
        <v>5062.99</v>
      </c>
      <c r="Q164" s="40" t="n">
        <v>67.92</v>
      </c>
      <c r="R164" s="47" t="n"/>
      <c r="S164" s="47" t="n"/>
      <c r="T164" s="47" t="n"/>
      <c r="U164" s="47" t="n"/>
      <c r="V164" s="47" t="n"/>
      <c r="W164" s="47" t="n"/>
    </row>
    <row r="165" ht="12" customHeight="1">
      <c r="A165" s="30" t="inlineStr">
        <is>
          <t>Areal</t>
        </is>
      </c>
      <c r="B165" s="30" t="n">
        <v>78145153</v>
      </c>
      <c r="C165" s="30">
        <f>"08004247000198"</f>
        <v/>
      </c>
      <c r="D165" s="30" t="inlineStr">
        <is>
          <t>PENA &amp; MENEGHITTI 2006 TRANSPORTES LTDA EPP</t>
        </is>
      </c>
      <c r="E165" s="40" t="n">
        <v>0</v>
      </c>
      <c r="F165" s="40" t="n">
        <v>0</v>
      </c>
      <c r="G165" s="40" t="n">
        <v>0</v>
      </c>
      <c r="H165" s="40" t="n">
        <v>0</v>
      </c>
      <c r="I165" s="40" t="n">
        <v>0</v>
      </c>
      <c r="J165" s="40" t="n">
        <v>0</v>
      </c>
      <c r="K165" s="40" t="n">
        <v>0</v>
      </c>
      <c r="L165" s="40" t="n">
        <v>25.44</v>
      </c>
      <c r="M165" s="40" t="n">
        <v>100</v>
      </c>
      <c r="N165" s="40" t="n">
        <v>0</v>
      </c>
      <c r="O165" s="46" t="n">
        <v>-100</v>
      </c>
      <c r="P165" s="40" t="n">
        <v>86.13</v>
      </c>
      <c r="Q165" s="40" t="n">
        <v>100</v>
      </c>
      <c r="R165" s="47" t="n"/>
      <c r="S165" s="47" t="n"/>
      <c r="T165" s="47" t="n"/>
      <c r="U165" s="47" t="n"/>
      <c r="V165" s="47" t="n"/>
      <c r="W165" s="47" t="n"/>
    </row>
    <row r="166" ht="12" customHeight="1">
      <c r="A166" s="30" t="inlineStr">
        <is>
          <t>Areal</t>
        </is>
      </c>
      <c r="B166" s="30" t="n">
        <v>78148640</v>
      </c>
      <c r="C166" s="30">
        <f>"07642982000164"</f>
        <v/>
      </c>
      <c r="D166" s="30" t="inlineStr">
        <is>
          <t>QUANTA GERACAO S/A</t>
        </is>
      </c>
      <c r="E166" s="40" t="n">
        <v>11486769.93</v>
      </c>
      <c r="F166" s="40" t="n">
        <v>14212457.11</v>
      </c>
      <c r="G166" s="40" t="n">
        <v>23.73</v>
      </c>
      <c r="H166" s="40" t="n">
        <v>2289663.88</v>
      </c>
      <c r="I166" s="46" t="n">
        <v>-83.89</v>
      </c>
      <c r="J166" s="40" t="n">
        <v>79976668.5</v>
      </c>
      <c r="K166" s="40" t="n">
        <v>3392.94</v>
      </c>
      <c r="L166" s="40" t="n">
        <v>74636800.20999999</v>
      </c>
      <c r="M166" s="46" t="n">
        <v>-6.68</v>
      </c>
      <c r="N166" s="40" t="n">
        <v>68169566.65000001</v>
      </c>
      <c r="O166" s="46" t="n">
        <v>-8.66</v>
      </c>
      <c r="P166" s="40" t="n">
        <v>55164379.35</v>
      </c>
      <c r="Q166" s="46" t="n">
        <v>-19.08</v>
      </c>
      <c r="R166" s="47" t="n"/>
      <c r="S166" s="47" t="n"/>
      <c r="T166" s="47" t="n"/>
      <c r="U166" s="47" t="n"/>
      <c r="V166" s="47" t="n"/>
      <c r="W166" s="47" t="n"/>
    </row>
    <row r="167" ht="12" customHeight="1">
      <c r="A167" s="30" t="inlineStr">
        <is>
          <t>Areal</t>
        </is>
      </c>
      <c r="B167" s="30" t="n">
        <v>78156090</v>
      </c>
      <c r="C167" s="30">
        <f>"08239521000108"</f>
        <v/>
      </c>
      <c r="D167" s="30" t="inlineStr">
        <is>
          <t>QUATRO IRMAOS SERVICOS DE TRANSPORTES LTDA EPP</t>
        </is>
      </c>
      <c r="E167" s="40" t="n">
        <v>0</v>
      </c>
      <c r="F167" s="40" t="n">
        <v>0</v>
      </c>
      <c r="G167" s="40" t="n">
        <v>0</v>
      </c>
      <c r="H167" s="40" t="n">
        <v>0</v>
      </c>
      <c r="I167" s="40" t="n">
        <v>0</v>
      </c>
      <c r="J167" s="40" t="n">
        <v>0</v>
      </c>
      <c r="K167" s="40" t="n">
        <v>0</v>
      </c>
      <c r="L167" s="40" t="n">
        <v>0</v>
      </c>
      <c r="M167" s="40" t="n">
        <v>0</v>
      </c>
      <c r="N167" s="40" t="n">
        <v>0</v>
      </c>
      <c r="O167" s="40" t="n">
        <v>0</v>
      </c>
      <c r="P167" s="40" t="n">
        <v>48.88</v>
      </c>
      <c r="Q167" s="40" t="n">
        <v>100</v>
      </c>
      <c r="R167" s="47" t="n"/>
      <c r="S167" s="47" t="n"/>
      <c r="T167" s="47" t="n"/>
      <c r="U167" s="47" t="n"/>
      <c r="V167" s="47" t="n"/>
      <c r="W167" s="47" t="n"/>
    </row>
    <row r="168" ht="12" customHeight="1">
      <c r="A168" s="30" t="inlineStr">
        <is>
          <t>Areal</t>
        </is>
      </c>
      <c r="B168" s="30" t="n">
        <v>78156872</v>
      </c>
      <c r="C168" s="30">
        <f>"73939449000940"</f>
        <v/>
      </c>
      <c r="D168" s="30" t="inlineStr">
        <is>
          <t>TEX COURIER LTDA EM RECUPERACAO JUDICIAL</t>
        </is>
      </c>
      <c r="E168" s="40" t="n">
        <v>0</v>
      </c>
      <c r="F168" s="40" t="n">
        <v>0</v>
      </c>
      <c r="G168" s="40" t="n">
        <v>0</v>
      </c>
      <c r="H168" s="40" t="n">
        <v>0</v>
      </c>
      <c r="I168" s="40" t="n">
        <v>0</v>
      </c>
      <c r="J168" s="40" t="n">
        <v>0</v>
      </c>
      <c r="K168" s="40" t="n">
        <v>0</v>
      </c>
      <c r="L168" s="40" t="n">
        <v>717.99</v>
      </c>
      <c r="M168" s="40" t="n">
        <v>100</v>
      </c>
      <c r="N168" s="40" t="n">
        <v>0</v>
      </c>
      <c r="O168" s="46" t="n">
        <v>-100</v>
      </c>
      <c r="P168" s="40" t="n">
        <v>0</v>
      </c>
      <c r="Q168" s="40" t="n">
        <v>0</v>
      </c>
      <c r="R168" s="47" t="n"/>
      <c r="S168" s="47" t="n"/>
      <c r="T168" s="47" t="n"/>
      <c r="U168" s="47" t="n"/>
      <c r="V168" s="47" t="n"/>
      <c r="W168" s="47" t="n"/>
    </row>
    <row r="169" ht="12" customHeight="1">
      <c r="A169" s="30" t="inlineStr">
        <is>
          <t>Areal</t>
        </is>
      </c>
      <c r="B169" s="30" t="n">
        <v>78252596</v>
      </c>
      <c r="C169" s="30">
        <f>"01497047000175"</f>
        <v/>
      </c>
      <c r="D169" s="30" t="inlineStr">
        <is>
          <t>PASTELARIA E LANCHES DE AREAL LTDA ME</t>
        </is>
      </c>
      <c r="E169" s="40" t="n">
        <v>0</v>
      </c>
      <c r="F169" s="40" t="n">
        <v>0</v>
      </c>
      <c r="G169" s="40" t="n">
        <v>0</v>
      </c>
      <c r="H169" s="40" t="n">
        <v>0</v>
      </c>
      <c r="I169" s="40" t="n">
        <v>0</v>
      </c>
      <c r="J169" s="40" t="n">
        <v>0</v>
      </c>
      <c r="K169" s="40" t="n">
        <v>0</v>
      </c>
      <c r="L169" s="40" t="n">
        <v>0</v>
      </c>
      <c r="M169" s="40" t="n">
        <v>0</v>
      </c>
      <c r="N169" s="40" t="n">
        <v>0</v>
      </c>
      <c r="O169" s="40" t="n">
        <v>0</v>
      </c>
      <c r="P169" s="40" t="n">
        <v>0</v>
      </c>
      <c r="Q169" s="40" t="n">
        <v>0</v>
      </c>
      <c r="R169" s="47" t="n"/>
      <c r="S169" s="47" t="n"/>
      <c r="T169" s="47" t="n"/>
      <c r="U169" s="47" t="n"/>
      <c r="V169" s="47" t="n"/>
      <c r="W169" s="47" t="n"/>
    </row>
    <row r="170" ht="12" customHeight="1">
      <c r="A170" s="30" t="inlineStr">
        <is>
          <t>Areal</t>
        </is>
      </c>
      <c r="B170" s="30" t="n">
        <v>78258950</v>
      </c>
      <c r="C170" s="30">
        <f>"08219203000690"</f>
        <v/>
      </c>
      <c r="D170" s="30" t="inlineStr">
        <is>
          <t>DIRECIONAL TRANSPORTE E LOGISTICA S A</t>
        </is>
      </c>
      <c r="E170" s="40" t="n">
        <v>0</v>
      </c>
      <c r="F170" s="40" t="n">
        <v>0</v>
      </c>
      <c r="G170" s="40" t="n">
        <v>0</v>
      </c>
      <c r="H170" s="40" t="n">
        <v>0</v>
      </c>
      <c r="I170" s="40" t="n">
        <v>0</v>
      </c>
      <c r="J170" s="40" t="n">
        <v>0</v>
      </c>
      <c r="K170" s="40" t="n">
        <v>0</v>
      </c>
      <c r="L170" s="40" t="n">
        <v>1569.18</v>
      </c>
      <c r="M170" s="40" t="n">
        <v>100</v>
      </c>
      <c r="N170" s="40" t="n">
        <v>0</v>
      </c>
      <c r="O170" s="46" t="n">
        <v>-100</v>
      </c>
      <c r="P170" s="40" t="n">
        <v>0</v>
      </c>
      <c r="Q170" s="40" t="n">
        <v>0</v>
      </c>
      <c r="R170" s="47" t="n"/>
      <c r="S170" s="47" t="n"/>
      <c r="T170" s="47" t="n"/>
      <c r="U170" s="47" t="n"/>
      <c r="V170" s="47" t="n"/>
      <c r="W170" s="47" t="n"/>
    </row>
    <row r="171" ht="12" customHeight="1">
      <c r="A171" s="30" t="inlineStr">
        <is>
          <t>Areal</t>
        </is>
      </c>
      <c r="B171" s="30" t="n">
        <v>78275650</v>
      </c>
      <c r="C171" s="30">
        <f>"07625852000113"</f>
        <v/>
      </c>
      <c r="D171" s="30" t="inlineStr">
        <is>
          <t>TELEXPERTS TELECOMUNICACOES LTDA</t>
        </is>
      </c>
      <c r="E171" s="40" t="n">
        <v>0</v>
      </c>
      <c r="F171" s="40" t="n">
        <v>0</v>
      </c>
      <c r="G171" s="40" t="n">
        <v>0</v>
      </c>
      <c r="H171" s="40" t="n">
        <v>0</v>
      </c>
      <c r="I171" s="40" t="n">
        <v>0</v>
      </c>
      <c r="J171" s="40" t="n">
        <v>0</v>
      </c>
      <c r="K171" s="40" t="n">
        <v>0</v>
      </c>
      <c r="L171" s="40" t="n">
        <v>1008</v>
      </c>
      <c r="M171" s="40" t="n">
        <v>100</v>
      </c>
      <c r="N171" s="40" t="n">
        <v>8249.83</v>
      </c>
      <c r="O171" s="40" t="n">
        <v>718.4400000000001</v>
      </c>
      <c r="P171" s="40" t="n">
        <v>7220.35</v>
      </c>
      <c r="Q171" s="46" t="n">
        <v>-12.48</v>
      </c>
      <c r="R171" s="47" t="n"/>
      <c r="S171" s="47" t="n"/>
      <c r="T171" s="47" t="n"/>
      <c r="U171" s="47" t="n"/>
      <c r="V171" s="47" t="n"/>
      <c r="W171" s="47" t="n"/>
    </row>
    <row r="172" ht="12" customHeight="1">
      <c r="A172" s="30" t="inlineStr">
        <is>
          <t>Areal</t>
        </is>
      </c>
      <c r="B172" s="30" t="n">
        <v>78284242</v>
      </c>
      <c r="C172" s="30">
        <f>"93949899000336"</f>
        <v/>
      </c>
      <c r="D172" s="30" t="inlineStr">
        <is>
          <t>VENETOSUL TRANSPORTES LTDA</t>
        </is>
      </c>
      <c r="E172" s="40" t="n">
        <v>0</v>
      </c>
      <c r="F172" s="40" t="n">
        <v>136.82</v>
      </c>
      <c r="G172" s="40" t="n">
        <v>100</v>
      </c>
      <c r="H172" s="40" t="n">
        <v>0</v>
      </c>
      <c r="I172" s="46" t="n">
        <v>-100</v>
      </c>
      <c r="J172" s="40" t="n">
        <v>0</v>
      </c>
      <c r="K172" s="40" t="n">
        <v>0</v>
      </c>
      <c r="L172" s="40" t="n">
        <v>0</v>
      </c>
      <c r="M172" s="40" t="n">
        <v>0</v>
      </c>
      <c r="N172" s="40" t="n">
        <v>0</v>
      </c>
      <c r="O172" s="40" t="n">
        <v>0</v>
      </c>
      <c r="P172" s="40" t="n">
        <v>0</v>
      </c>
      <c r="Q172" s="40" t="n">
        <v>0</v>
      </c>
      <c r="R172" s="47" t="n"/>
      <c r="S172" s="47" t="n"/>
      <c r="T172" s="47" t="n"/>
      <c r="U172" s="47" t="n"/>
      <c r="V172" s="47" t="n"/>
      <c r="W172" s="47" t="n"/>
    </row>
    <row r="173" ht="12" customHeight="1">
      <c r="A173" s="30" t="inlineStr">
        <is>
          <t>Areal</t>
        </is>
      </c>
      <c r="B173" s="30" t="n">
        <v>78290188</v>
      </c>
      <c r="C173" s="30">
        <f>"01009876000242"</f>
        <v/>
      </c>
      <c r="D173" s="30" t="inlineStr">
        <is>
          <t>FALKLAND TECNOLOGIA EM TELECOMUNICACOES S/A</t>
        </is>
      </c>
      <c r="E173" s="40" t="n">
        <v>8303.76</v>
      </c>
      <c r="F173" s="40" t="n">
        <v>8671.26</v>
      </c>
      <c r="G173" s="40" t="n">
        <v>4.43</v>
      </c>
      <c r="H173" s="40" t="n">
        <v>1403.96</v>
      </c>
      <c r="I173" s="46" t="n">
        <v>-83.81</v>
      </c>
      <c r="J173" s="40" t="n">
        <v>120.27</v>
      </c>
      <c r="K173" s="46" t="n">
        <v>-91.43000000000001</v>
      </c>
      <c r="L173" s="40" t="n">
        <v>0</v>
      </c>
      <c r="M173" s="46" t="n">
        <v>-100</v>
      </c>
      <c r="N173" s="40" t="n">
        <v>0</v>
      </c>
      <c r="O173" s="40" t="n">
        <v>0</v>
      </c>
      <c r="P173" s="40" t="n">
        <v>0</v>
      </c>
      <c r="Q173" s="40" t="n">
        <v>0</v>
      </c>
      <c r="R173" s="47" t="n"/>
      <c r="S173" s="47" t="n"/>
      <c r="T173" s="47" t="n"/>
      <c r="U173" s="47" t="n"/>
      <c r="V173" s="47" t="n"/>
      <c r="W173" s="47" t="n"/>
    </row>
    <row r="174" ht="12" customHeight="1">
      <c r="A174" s="30" t="inlineStr">
        <is>
          <t>Areal</t>
        </is>
      </c>
      <c r="B174" s="30" t="n">
        <v>78318554</v>
      </c>
      <c r="C174" s="30">
        <f>"07642982000750"</f>
        <v/>
      </c>
      <c r="D174" s="30" t="inlineStr">
        <is>
          <t>QUANTA GERACAO S/A</t>
        </is>
      </c>
      <c r="E174" s="40" t="n">
        <v>13356548.23</v>
      </c>
      <c r="F174" s="40" t="n">
        <v>12421537.46</v>
      </c>
      <c r="G174" s="46" t="n">
        <v>-7</v>
      </c>
      <c r="H174" s="40" t="n">
        <v>8778476.560000001</v>
      </c>
      <c r="I174" s="46" t="n">
        <v>-29.33</v>
      </c>
      <c r="J174" s="40" t="n">
        <v>10019442.08</v>
      </c>
      <c r="K174" s="40" t="n">
        <v>14.14</v>
      </c>
      <c r="L174" s="40" t="n">
        <v>11111503.85</v>
      </c>
      <c r="M174" s="40" t="n">
        <v>10.9</v>
      </c>
      <c r="N174" s="40" t="n">
        <v>3813038.58</v>
      </c>
      <c r="O174" s="46" t="n">
        <v>-65.68000000000001</v>
      </c>
      <c r="P174" s="40" t="n">
        <v>0.01</v>
      </c>
      <c r="Q174" s="46" t="n">
        <v>-100</v>
      </c>
      <c r="R174" s="47" t="n"/>
      <c r="S174" s="47" t="n"/>
      <c r="T174" s="47" t="n"/>
      <c r="U174" s="47" t="n"/>
      <c r="V174" s="47" t="n"/>
      <c r="W174" s="47" t="n"/>
    </row>
    <row r="175" ht="12" customHeight="1">
      <c r="A175" s="30" t="inlineStr">
        <is>
          <t>Areal</t>
        </is>
      </c>
      <c r="B175" s="30" t="n">
        <v>78344261</v>
      </c>
      <c r="C175" s="30">
        <f>"08165642000233"</f>
        <v/>
      </c>
      <c r="D175" s="30" t="inlineStr">
        <is>
          <t>GAT LOGISTICAS LTDA</t>
        </is>
      </c>
      <c r="E175" s="40" t="n">
        <v>54.74</v>
      </c>
      <c r="F175" s="40" t="n">
        <v>0</v>
      </c>
      <c r="G175" s="46" t="n">
        <v>-100</v>
      </c>
      <c r="H175" s="40" t="n">
        <v>0</v>
      </c>
      <c r="I175" s="40" t="n">
        <v>0</v>
      </c>
      <c r="J175" s="40" t="n">
        <v>0</v>
      </c>
      <c r="K175" s="40" t="n">
        <v>0</v>
      </c>
      <c r="L175" s="40" t="n">
        <v>0</v>
      </c>
      <c r="M175" s="40" t="n">
        <v>0</v>
      </c>
      <c r="N175" s="40" t="n">
        <v>12.94</v>
      </c>
      <c r="O175" s="40" t="n">
        <v>100</v>
      </c>
      <c r="P175" s="40" t="n">
        <v>0</v>
      </c>
      <c r="Q175" s="46" t="n">
        <v>-100</v>
      </c>
      <c r="R175" s="47" t="n"/>
      <c r="S175" s="47" t="n"/>
      <c r="T175" s="47" t="n"/>
      <c r="U175" s="47" t="n"/>
      <c r="V175" s="47" t="n"/>
      <c r="W175" s="47" t="n"/>
    </row>
    <row r="176" ht="12" customHeight="1">
      <c r="A176" s="30" t="inlineStr">
        <is>
          <t>Areal</t>
        </is>
      </c>
      <c r="B176" s="30" t="n">
        <v>78349301</v>
      </c>
      <c r="C176" s="30">
        <f>"06979577000416"</f>
        <v/>
      </c>
      <c r="D176" s="30" t="inlineStr">
        <is>
          <t>JC THEDIN TRANSPORTES LTDA</t>
        </is>
      </c>
      <c r="E176" s="40" t="n">
        <v>0</v>
      </c>
      <c r="F176" s="40" t="n">
        <v>0</v>
      </c>
      <c r="G176" s="40" t="n">
        <v>0</v>
      </c>
      <c r="H176" s="40" t="n">
        <v>0</v>
      </c>
      <c r="I176" s="40" t="n">
        <v>0</v>
      </c>
      <c r="J176" s="40" t="n">
        <v>70</v>
      </c>
      <c r="K176" s="40" t="n">
        <v>100</v>
      </c>
      <c r="L176" s="40" t="n">
        <v>0</v>
      </c>
      <c r="M176" s="46" t="n">
        <v>-100</v>
      </c>
      <c r="N176" s="40" t="n">
        <v>0</v>
      </c>
      <c r="O176" s="40" t="n">
        <v>0</v>
      </c>
      <c r="P176" s="40" t="n">
        <v>0</v>
      </c>
      <c r="Q176" s="40" t="n">
        <v>0</v>
      </c>
      <c r="R176" s="47" t="n"/>
      <c r="S176" s="47" t="n"/>
      <c r="T176" s="47" t="n"/>
      <c r="U176" s="47" t="n"/>
      <c r="V176" s="47" t="n"/>
      <c r="W176" s="47" t="n"/>
    </row>
    <row r="177" ht="12" customHeight="1">
      <c r="A177" s="30" t="inlineStr">
        <is>
          <t>Areal</t>
        </is>
      </c>
      <c r="B177" s="30" t="n">
        <v>78361336</v>
      </c>
      <c r="C177" s="30">
        <f>"08860184000414"</f>
        <v/>
      </c>
      <c r="D177" s="30" t="inlineStr">
        <is>
          <t>AGUIA BRANCA ENCOMENDAS</t>
        </is>
      </c>
      <c r="E177" s="40" t="n">
        <v>0</v>
      </c>
      <c r="F177" s="40" t="n">
        <v>0</v>
      </c>
      <c r="G177" s="40" t="n">
        <v>0</v>
      </c>
      <c r="H177" s="40" t="n">
        <v>0</v>
      </c>
      <c r="I177" s="40" t="n">
        <v>0</v>
      </c>
      <c r="J177" s="40" t="n">
        <v>0</v>
      </c>
      <c r="K177" s="40" t="n">
        <v>0</v>
      </c>
      <c r="L177" s="40" t="n">
        <v>0</v>
      </c>
      <c r="M177" s="40" t="n">
        <v>0</v>
      </c>
      <c r="N177" s="40" t="n">
        <v>0</v>
      </c>
      <c r="O177" s="40" t="n">
        <v>0</v>
      </c>
      <c r="P177" s="40" t="n">
        <v>247</v>
      </c>
      <c r="Q177" s="40" t="n">
        <v>100</v>
      </c>
      <c r="R177" s="47" t="n"/>
      <c r="S177" s="47" t="n"/>
      <c r="T177" s="47" t="n"/>
      <c r="U177" s="47" t="n"/>
      <c r="V177" s="47" t="n"/>
      <c r="W177" s="47" t="n"/>
    </row>
    <row r="178" ht="12" customHeight="1">
      <c r="A178" s="30" t="inlineStr">
        <is>
          <t>Areal</t>
        </is>
      </c>
      <c r="B178" s="30" t="n">
        <v>78373571</v>
      </c>
      <c r="C178" s="30">
        <f>"09059609000100"</f>
        <v/>
      </c>
      <c r="D178" s="30" t="inlineStr">
        <is>
          <t>MM TRANSPORTES LOGISTICA E ARMAZENS LTDA ME</t>
        </is>
      </c>
      <c r="E178" s="40" t="n">
        <v>0</v>
      </c>
      <c r="F178" s="40" t="n">
        <v>0</v>
      </c>
      <c r="G178" s="40" t="n">
        <v>0</v>
      </c>
      <c r="H178" s="40" t="n">
        <v>0</v>
      </c>
      <c r="I178" s="40" t="n">
        <v>0</v>
      </c>
      <c r="J178" s="40" t="n">
        <v>0</v>
      </c>
      <c r="K178" s="40" t="n">
        <v>0</v>
      </c>
      <c r="L178" s="40" t="n">
        <v>0</v>
      </c>
      <c r="M178" s="40" t="n">
        <v>0</v>
      </c>
      <c r="N178" s="40" t="n">
        <v>0</v>
      </c>
      <c r="O178" s="40" t="n">
        <v>0</v>
      </c>
      <c r="P178" s="40" t="n">
        <v>1496.44</v>
      </c>
      <c r="Q178" s="40" t="n">
        <v>100</v>
      </c>
      <c r="R178" s="47" t="n"/>
      <c r="S178" s="47" t="n"/>
      <c r="T178" s="47" t="n"/>
      <c r="U178" s="47" t="n"/>
      <c r="V178" s="47" t="n"/>
      <c r="W178" s="47" t="n"/>
    </row>
    <row r="179" ht="12" customHeight="1">
      <c r="A179" s="30" t="inlineStr">
        <is>
          <t>Areal</t>
        </is>
      </c>
      <c r="B179" s="30" t="n">
        <v>78387548</v>
      </c>
      <c r="C179" s="30">
        <f>"09132659000176"</f>
        <v/>
      </c>
      <c r="D179" s="30" t="inlineStr">
        <is>
          <t>EMBRATEL TVSAT TELECOMUNICACOES S A</t>
        </is>
      </c>
      <c r="E179" s="40" t="n">
        <v>251551.6</v>
      </c>
      <c r="F179" s="40" t="n">
        <v>196947.3</v>
      </c>
      <c r="G179" s="46" t="n">
        <v>-21.71</v>
      </c>
      <c r="H179" s="40" t="n">
        <v>178800.75</v>
      </c>
      <c r="I179" s="46" t="n">
        <v>-9.210000000000001</v>
      </c>
      <c r="J179" s="40" t="n">
        <v>129621.37</v>
      </c>
      <c r="K179" s="46" t="n">
        <v>-27.51</v>
      </c>
      <c r="L179" s="40" t="n">
        <v>102391.74</v>
      </c>
      <c r="M179" s="46" t="n">
        <v>-21.01</v>
      </c>
      <c r="N179" s="40" t="n">
        <v>82333.67</v>
      </c>
      <c r="O179" s="46" t="n">
        <v>-19.59</v>
      </c>
      <c r="P179" s="40" t="n">
        <v>67323.53999999999</v>
      </c>
      <c r="Q179" s="46" t="n">
        <v>-18.23</v>
      </c>
      <c r="R179" s="47" t="n"/>
      <c r="S179" s="47" t="n"/>
      <c r="T179" s="47" t="n"/>
      <c r="U179" s="47" t="n"/>
      <c r="V179" s="47" t="n"/>
      <c r="W179" s="47" t="n"/>
    </row>
    <row r="180" ht="12" customHeight="1">
      <c r="A180" s="30" t="inlineStr">
        <is>
          <t>Areal</t>
        </is>
      </c>
      <c r="B180" s="30" t="n">
        <v>78402687</v>
      </c>
      <c r="C180" s="30">
        <f>"04884082000640"</f>
        <v/>
      </c>
      <c r="D180" s="30" t="inlineStr">
        <is>
          <t>JADLOG LOGISTICA S.A.</t>
        </is>
      </c>
      <c r="E180" s="40" t="n">
        <v>0</v>
      </c>
      <c r="F180" s="40" t="n">
        <v>5937.76</v>
      </c>
      <c r="G180" s="40" t="n">
        <v>100</v>
      </c>
      <c r="H180" s="40" t="n">
        <v>15992.31</v>
      </c>
      <c r="I180" s="40" t="n">
        <v>169.33</v>
      </c>
      <c r="J180" s="40" t="n">
        <v>0</v>
      </c>
      <c r="K180" s="46" t="n">
        <v>-100</v>
      </c>
      <c r="L180" s="40" t="n">
        <v>0</v>
      </c>
      <c r="M180" s="40" t="n">
        <v>0</v>
      </c>
      <c r="N180" s="40" t="n">
        <v>14864.65</v>
      </c>
      <c r="O180" s="40" t="n">
        <v>100</v>
      </c>
      <c r="P180" s="40" t="n">
        <v>8131.78</v>
      </c>
      <c r="Q180" s="46" t="n">
        <v>-45.29</v>
      </c>
      <c r="R180" s="47" t="n"/>
      <c r="S180" s="47" t="n"/>
      <c r="T180" s="47" t="n"/>
      <c r="U180" s="47" t="n"/>
      <c r="V180" s="47" t="n"/>
      <c r="W180" s="47" t="n"/>
    </row>
    <row r="181" ht="12" customHeight="1">
      <c r="A181" s="30" t="inlineStr">
        <is>
          <t>Areal</t>
        </is>
      </c>
      <c r="B181" s="30" t="n">
        <v>78419709</v>
      </c>
      <c r="C181" s="30">
        <f>"09229680000194"</f>
        <v/>
      </c>
      <c r="D181" s="30" t="inlineStr">
        <is>
          <t>MONTEIRO &amp; NASCIMENTO TRANSPORTADORA LTDA EPP</t>
        </is>
      </c>
      <c r="E181" s="40" t="n">
        <v>0</v>
      </c>
      <c r="F181" s="40" t="n">
        <v>0</v>
      </c>
      <c r="G181" s="40" t="n">
        <v>0</v>
      </c>
      <c r="H181" s="40" t="n">
        <v>0</v>
      </c>
      <c r="I181" s="40" t="n">
        <v>0</v>
      </c>
      <c r="J181" s="40" t="n">
        <v>192.69</v>
      </c>
      <c r="K181" s="40" t="n">
        <v>100</v>
      </c>
      <c r="L181" s="40" t="n">
        <v>0</v>
      </c>
      <c r="M181" s="46" t="n">
        <v>-100</v>
      </c>
      <c r="N181" s="40" t="n">
        <v>0</v>
      </c>
      <c r="O181" s="40" t="n">
        <v>0</v>
      </c>
      <c r="P181" s="40" t="n">
        <v>0</v>
      </c>
      <c r="Q181" s="40" t="n">
        <v>0</v>
      </c>
      <c r="R181" s="47" t="n"/>
      <c r="S181" s="47" t="n"/>
      <c r="T181" s="47" t="n"/>
      <c r="U181" s="47" t="n"/>
      <c r="V181" s="47" t="n"/>
      <c r="W181" s="47" t="n"/>
    </row>
    <row r="182" ht="12" customHeight="1">
      <c r="A182" s="30" t="inlineStr">
        <is>
          <t>Areal</t>
        </is>
      </c>
      <c r="B182" s="30" t="n">
        <v>78448920</v>
      </c>
      <c r="C182" s="30">
        <f>"09087539000102"</f>
        <v/>
      </c>
      <c r="D182" s="30" t="inlineStr">
        <is>
          <t>MARCIO M PEREIRA SERVICOS DE ELETROMECANICA ME VEICULOS AUTOMOTO</t>
        </is>
      </c>
      <c r="E182" s="40" t="n">
        <v>0</v>
      </c>
      <c r="F182" s="40" t="n">
        <v>0</v>
      </c>
      <c r="G182" s="40" t="n">
        <v>0</v>
      </c>
      <c r="H182" s="40" t="n">
        <v>0</v>
      </c>
      <c r="I182" s="40" t="n">
        <v>0</v>
      </c>
      <c r="J182" s="40" t="n">
        <v>0</v>
      </c>
      <c r="K182" s="40" t="n">
        <v>0</v>
      </c>
      <c r="L182" s="40" t="n">
        <v>0</v>
      </c>
      <c r="M182" s="40" t="n">
        <v>0</v>
      </c>
      <c r="N182" s="40" t="n">
        <v>0</v>
      </c>
      <c r="O182" s="40" t="n">
        <v>0</v>
      </c>
      <c r="P182" s="40" t="n">
        <v>0</v>
      </c>
      <c r="Q182" s="40" t="n">
        <v>0</v>
      </c>
      <c r="R182" s="47" t="n"/>
      <c r="S182" s="47" t="n"/>
      <c r="T182" s="47" t="n"/>
      <c r="U182" s="47" t="n"/>
      <c r="V182" s="47" t="n"/>
      <c r="W182" s="47" t="n"/>
    </row>
    <row r="183" ht="12" customHeight="1">
      <c r="A183" s="30" t="inlineStr">
        <is>
          <t>Areal</t>
        </is>
      </c>
      <c r="B183" s="30" t="n">
        <v>78489995</v>
      </c>
      <c r="C183" s="30">
        <f>"21570775000334"</f>
        <v/>
      </c>
      <c r="D183" s="30" t="inlineStr">
        <is>
          <t>PICORELLI S/A TRANSPORTES</t>
        </is>
      </c>
      <c r="E183" s="40" t="n">
        <v>64085.34</v>
      </c>
      <c r="F183" s="40" t="n">
        <v>113489.35</v>
      </c>
      <c r="G183" s="40" t="n">
        <v>77.09</v>
      </c>
      <c r="H183" s="40" t="n">
        <v>204831.81</v>
      </c>
      <c r="I183" s="40" t="n">
        <v>80.48999999999999</v>
      </c>
      <c r="J183" s="40" t="n">
        <v>138064.49</v>
      </c>
      <c r="K183" s="46" t="n">
        <v>-32.6</v>
      </c>
      <c r="L183" s="40" t="n">
        <v>108817.09</v>
      </c>
      <c r="M183" s="46" t="n">
        <v>-21.18</v>
      </c>
      <c r="N183" s="40" t="n">
        <v>45413.19</v>
      </c>
      <c r="O183" s="46" t="n">
        <v>-58.27</v>
      </c>
      <c r="P183" s="40" t="n">
        <v>23359.2</v>
      </c>
      <c r="Q183" s="46" t="n">
        <v>-48.56</v>
      </c>
      <c r="R183" s="47" t="n"/>
      <c r="S183" s="47" t="n"/>
      <c r="T183" s="47" t="n"/>
      <c r="U183" s="47" t="n"/>
      <c r="V183" s="47" t="n"/>
      <c r="W183" s="47" t="n"/>
    </row>
    <row r="184" ht="12" customHeight="1">
      <c r="A184" s="30" t="inlineStr">
        <is>
          <t>Areal</t>
        </is>
      </c>
      <c r="B184" s="30" t="n">
        <v>78494506</v>
      </c>
      <c r="C184" s="30">
        <f>"00634453000846"</f>
        <v/>
      </c>
      <c r="D184" s="30" t="inlineStr">
        <is>
          <t>T S V TRANSPORTES RAPIDOS LTDA</t>
        </is>
      </c>
      <c r="E184" s="40" t="n">
        <v>0</v>
      </c>
      <c r="F184" s="40" t="n">
        <v>0</v>
      </c>
      <c r="G184" s="40" t="n">
        <v>0</v>
      </c>
      <c r="H184" s="40" t="n">
        <v>0</v>
      </c>
      <c r="I184" s="40" t="n">
        <v>0</v>
      </c>
      <c r="J184" s="40" t="n">
        <v>90.90000000000001</v>
      </c>
      <c r="K184" s="40" t="n">
        <v>100</v>
      </c>
      <c r="L184" s="40" t="n">
        <v>0</v>
      </c>
      <c r="M184" s="46" t="n">
        <v>-100</v>
      </c>
      <c r="N184" s="40" t="n">
        <v>365.56</v>
      </c>
      <c r="O184" s="40" t="n">
        <v>100</v>
      </c>
      <c r="P184" s="40" t="n">
        <v>151.52</v>
      </c>
      <c r="Q184" s="46" t="n">
        <v>-58.55</v>
      </c>
      <c r="R184" s="47" t="n"/>
      <c r="S184" s="47" t="n"/>
      <c r="T184" s="47" t="n"/>
      <c r="U184" s="47" t="n"/>
      <c r="V184" s="47" t="n"/>
      <c r="W184" s="47" t="n"/>
    </row>
    <row r="185" ht="12" customHeight="1">
      <c r="A185" s="30" t="inlineStr">
        <is>
          <t>Areal</t>
        </is>
      </c>
      <c r="B185" s="30" t="n">
        <v>78498560</v>
      </c>
      <c r="C185" s="30">
        <f>"01107327000553"</f>
        <v/>
      </c>
      <c r="D185" s="30" t="inlineStr">
        <is>
          <t>BBM LOGISTICA SA</t>
        </is>
      </c>
      <c r="E185" s="40" t="n">
        <v>0</v>
      </c>
      <c r="F185" s="40" t="n">
        <v>2858.16</v>
      </c>
      <c r="G185" s="40" t="n">
        <v>100</v>
      </c>
      <c r="H185" s="40" t="n">
        <v>2859.63</v>
      </c>
      <c r="I185" s="40" t="n">
        <v>0.05</v>
      </c>
      <c r="J185" s="40" t="n">
        <v>1213.61</v>
      </c>
      <c r="K185" s="46" t="n">
        <v>-57.56</v>
      </c>
      <c r="L185" s="40" t="n">
        <v>2713.11</v>
      </c>
      <c r="M185" s="40" t="n">
        <v>123.56</v>
      </c>
      <c r="N185" s="40" t="n">
        <v>1910.11</v>
      </c>
      <c r="O185" s="46" t="n">
        <v>-29.6</v>
      </c>
      <c r="P185" s="40" t="n">
        <v>1945.06</v>
      </c>
      <c r="Q185" s="40" t="n">
        <v>1.83</v>
      </c>
      <c r="R185" s="47" t="n"/>
      <c r="S185" s="47" t="n"/>
      <c r="T185" s="47" t="n"/>
      <c r="U185" s="47" t="n"/>
      <c r="V185" s="47" t="n"/>
      <c r="W185" s="47" t="n"/>
    </row>
    <row r="186" ht="12" customHeight="1">
      <c r="A186" s="30" t="inlineStr">
        <is>
          <t>Areal</t>
        </is>
      </c>
      <c r="B186" s="30" t="n">
        <v>78604077</v>
      </c>
      <c r="C186" s="30">
        <f>"08835989000165"</f>
        <v/>
      </c>
      <c r="D186" s="30" t="inlineStr">
        <is>
          <t>RESILOG TRANSPORTES E LOGISTICA LTDA</t>
        </is>
      </c>
      <c r="E186" s="40" t="n">
        <v>0</v>
      </c>
      <c r="F186" s="40" t="n">
        <v>0</v>
      </c>
      <c r="G186" s="40" t="n">
        <v>0</v>
      </c>
      <c r="H186" s="40" t="n">
        <v>0</v>
      </c>
      <c r="I186" s="40" t="n">
        <v>0</v>
      </c>
      <c r="J186" s="40" t="n">
        <v>0</v>
      </c>
      <c r="K186" s="40" t="n">
        <v>0</v>
      </c>
      <c r="L186" s="40" t="n">
        <v>0</v>
      </c>
      <c r="M186" s="40" t="n">
        <v>0</v>
      </c>
      <c r="N186" s="40" t="n">
        <v>15904</v>
      </c>
      <c r="O186" s="40" t="n">
        <v>100</v>
      </c>
      <c r="P186" s="40" t="n">
        <v>0</v>
      </c>
      <c r="Q186" s="46" t="n">
        <v>-100</v>
      </c>
      <c r="R186" s="47" t="n"/>
      <c r="S186" s="47" t="n"/>
      <c r="T186" s="47" t="n"/>
      <c r="U186" s="47" t="n"/>
      <c r="V186" s="47" t="n"/>
      <c r="W186" s="47" t="n"/>
    </row>
    <row r="187" ht="12" customHeight="1">
      <c r="A187" s="30" t="inlineStr">
        <is>
          <t>Areal</t>
        </is>
      </c>
      <c r="B187" s="30" t="n">
        <v>78624094</v>
      </c>
      <c r="C187" s="30">
        <f>"04268083000155"</f>
        <v/>
      </c>
      <c r="D187" s="30" t="inlineStr">
        <is>
          <t>BEM CHIC STORE CALCADOS E ACESSORIOS LTDA</t>
        </is>
      </c>
      <c r="E187" s="40" t="n">
        <v>0</v>
      </c>
      <c r="F187" s="40" t="n">
        <v>0</v>
      </c>
      <c r="G187" s="40" t="n">
        <v>0</v>
      </c>
      <c r="H187" s="40" t="n">
        <v>0</v>
      </c>
      <c r="I187" s="40" t="n">
        <v>0</v>
      </c>
      <c r="J187" s="40" t="n">
        <v>0</v>
      </c>
      <c r="K187" s="40" t="n">
        <v>0</v>
      </c>
      <c r="L187" s="40" t="n">
        <v>0</v>
      </c>
      <c r="M187" s="40" t="n">
        <v>0</v>
      </c>
      <c r="N187" s="40" t="n">
        <v>0</v>
      </c>
      <c r="O187" s="40" t="n">
        <v>0</v>
      </c>
      <c r="P187" s="40" t="n">
        <v>0</v>
      </c>
      <c r="Q187" s="40" t="n">
        <v>0</v>
      </c>
      <c r="R187" s="47" t="n"/>
      <c r="S187" s="47" t="n"/>
      <c r="T187" s="47" t="n"/>
      <c r="U187" s="47" t="n"/>
      <c r="V187" s="47" t="n"/>
      <c r="W187" s="47" t="n"/>
    </row>
    <row r="188" ht="12" customHeight="1">
      <c r="A188" s="30" t="inlineStr">
        <is>
          <t>Areal</t>
        </is>
      </c>
      <c r="B188" s="30" t="n">
        <v>78643463</v>
      </c>
      <c r="C188" s="30">
        <f>"00591531000368"</f>
        <v/>
      </c>
      <c r="D188" s="30" t="inlineStr">
        <is>
          <t>E J DE SOUZA - TRANSPORTES</t>
        </is>
      </c>
      <c r="E188" s="40" t="n">
        <v>0</v>
      </c>
      <c r="F188" s="40" t="n">
        <v>0</v>
      </c>
      <c r="G188" s="40" t="n">
        <v>0</v>
      </c>
      <c r="H188" s="40" t="n">
        <v>203.83</v>
      </c>
      <c r="I188" s="40" t="n">
        <v>100</v>
      </c>
      <c r="J188" s="40" t="n">
        <v>0.01</v>
      </c>
      <c r="K188" s="46" t="n">
        <v>-100</v>
      </c>
      <c r="L188" s="40" t="n">
        <v>0</v>
      </c>
      <c r="M188" s="46" t="n">
        <v>-100</v>
      </c>
      <c r="N188" s="40" t="n">
        <v>0</v>
      </c>
      <c r="O188" s="40" t="n">
        <v>0</v>
      </c>
      <c r="P188" s="40" t="n">
        <v>0</v>
      </c>
      <c r="Q188" s="40" t="n">
        <v>0</v>
      </c>
      <c r="R188" s="47" t="n"/>
      <c r="S188" s="47" t="n"/>
      <c r="T188" s="47" t="n"/>
      <c r="U188" s="47" t="n"/>
      <c r="V188" s="47" t="n"/>
      <c r="W188" s="47" t="n"/>
    </row>
    <row r="189" ht="12" customHeight="1">
      <c r="A189" s="30" t="inlineStr">
        <is>
          <t>Areal</t>
        </is>
      </c>
      <c r="B189" s="30" t="n">
        <v>78655038</v>
      </c>
      <c r="C189" s="30">
        <f>"10516951000171"</f>
        <v/>
      </c>
      <c r="D189" s="30" t="inlineStr">
        <is>
          <t>GASAL- COMERCIO VAREJISTA DE GAS AREAL LTDA</t>
        </is>
      </c>
      <c r="E189" s="40" t="n">
        <v>155818.83</v>
      </c>
      <c r="F189" s="40" t="n">
        <v>66594.22</v>
      </c>
      <c r="G189" s="46" t="n">
        <v>-57.26</v>
      </c>
      <c r="H189" s="40" t="n">
        <v>445750.06</v>
      </c>
      <c r="I189" s="40" t="n">
        <v>569.35</v>
      </c>
      <c r="J189" s="40" t="n">
        <v>52599.47</v>
      </c>
      <c r="K189" s="46" t="n">
        <v>-88.2</v>
      </c>
      <c r="L189" s="40" t="n">
        <v>62405.79</v>
      </c>
      <c r="M189" s="40" t="n">
        <v>18.64</v>
      </c>
      <c r="N189" s="40" t="n">
        <v>55616.64</v>
      </c>
      <c r="O189" s="46" t="n">
        <v>-10.88</v>
      </c>
      <c r="P189" s="40" t="n">
        <v>43360.77</v>
      </c>
      <c r="Q189" s="46" t="n">
        <v>-22.04</v>
      </c>
      <c r="R189" s="47" t="n"/>
      <c r="S189" s="47" t="n"/>
      <c r="T189" s="47" t="n"/>
      <c r="U189" s="47" t="n"/>
      <c r="V189" s="47" t="n"/>
      <c r="W189" s="47" t="n"/>
    </row>
    <row r="190" ht="12" customHeight="1">
      <c r="A190" s="30" t="inlineStr">
        <is>
          <t>Areal</t>
        </is>
      </c>
      <c r="B190" s="30" t="n">
        <v>78672820</v>
      </c>
      <c r="C190" s="30">
        <f>"03915195000198"</f>
        <v/>
      </c>
      <c r="D190" s="30" t="inlineStr">
        <is>
          <t>VALTEC INDUSTRIA E COMERCIO DE PLASTICOS LTDA ME</t>
        </is>
      </c>
      <c r="E190" s="40" t="n">
        <v>0</v>
      </c>
      <c r="F190" s="40" t="n">
        <v>0</v>
      </c>
      <c r="G190" s="40" t="n">
        <v>0</v>
      </c>
      <c r="H190" s="40" t="n">
        <v>797439.47</v>
      </c>
      <c r="I190" s="40" t="n">
        <v>100</v>
      </c>
      <c r="J190" s="40" t="n">
        <v>0</v>
      </c>
      <c r="K190" s="46" t="n">
        <v>-100</v>
      </c>
      <c r="L190" s="40" t="n">
        <v>0</v>
      </c>
      <c r="M190" s="40" t="n">
        <v>0</v>
      </c>
      <c r="N190" s="40" t="n">
        <v>8034280.7</v>
      </c>
      <c r="O190" s="40" t="n">
        <v>100</v>
      </c>
      <c r="P190" s="40" t="n">
        <v>869907.58</v>
      </c>
      <c r="Q190" s="46" t="n">
        <v>-89.17</v>
      </c>
      <c r="R190" s="47" t="n"/>
      <c r="S190" s="47" t="n"/>
      <c r="T190" s="47" t="n"/>
      <c r="U190" s="47" t="n"/>
      <c r="V190" s="47" t="n"/>
      <c r="W190" s="47" t="n"/>
    </row>
    <row r="191" ht="12" customHeight="1">
      <c r="A191" s="30" t="inlineStr">
        <is>
          <t>Areal</t>
        </is>
      </c>
      <c r="B191" s="30" t="n">
        <v>78676850</v>
      </c>
      <c r="C191" s="30">
        <f>"09296295000321"</f>
        <v/>
      </c>
      <c r="D191" s="30" t="inlineStr">
        <is>
          <t>AZUL LINHAS AEREAS BRASILEIRAS S A</t>
        </is>
      </c>
      <c r="E191" s="40" t="n">
        <v>769.92</v>
      </c>
      <c r="F191" s="40" t="n">
        <v>213.7</v>
      </c>
      <c r="G191" s="46" t="n">
        <v>-72.23999999999999</v>
      </c>
      <c r="H191" s="40" t="n">
        <v>0</v>
      </c>
      <c r="I191" s="46" t="n">
        <v>-100</v>
      </c>
      <c r="J191" s="40" t="n">
        <v>0</v>
      </c>
      <c r="K191" s="40" t="n">
        <v>0</v>
      </c>
      <c r="L191" s="40" t="n">
        <v>0</v>
      </c>
      <c r="M191" s="40" t="n">
        <v>0</v>
      </c>
      <c r="N191" s="40" t="n">
        <v>0</v>
      </c>
      <c r="O191" s="40" t="n">
        <v>0</v>
      </c>
      <c r="P191" s="40" t="n">
        <v>0</v>
      </c>
      <c r="Q191" s="40" t="n">
        <v>0</v>
      </c>
      <c r="R191" s="47" t="n"/>
      <c r="S191" s="47" t="n"/>
      <c r="T191" s="47" t="n"/>
      <c r="U191" s="47" t="n"/>
      <c r="V191" s="47" t="n"/>
      <c r="W191" s="47" t="n"/>
    </row>
    <row r="192" ht="12" customHeight="1">
      <c r="A192" s="30" t="inlineStr">
        <is>
          <t>Areal</t>
        </is>
      </c>
      <c r="B192" s="30" t="n">
        <v>78707925</v>
      </c>
      <c r="C192" s="30">
        <f>"10691700000123"</f>
        <v/>
      </c>
      <c r="D192" s="30" t="inlineStr">
        <is>
          <t>VAREJAO CORREA LTDA ME</t>
        </is>
      </c>
      <c r="E192" s="40" t="n">
        <v>7980</v>
      </c>
      <c r="F192" s="40" t="n">
        <v>4560</v>
      </c>
      <c r="G192" s="46" t="n">
        <v>-42.86</v>
      </c>
      <c r="H192" s="40" t="n">
        <v>0</v>
      </c>
      <c r="I192" s="46" t="n">
        <v>-100</v>
      </c>
      <c r="J192" s="40" t="n">
        <v>0</v>
      </c>
      <c r="K192" s="40" t="n">
        <v>0</v>
      </c>
      <c r="L192" s="40" t="n">
        <v>0</v>
      </c>
      <c r="M192" s="40" t="n">
        <v>0</v>
      </c>
      <c r="N192" s="40" t="n">
        <v>0</v>
      </c>
      <c r="O192" s="40" t="n">
        <v>0</v>
      </c>
      <c r="P192" s="40" t="n">
        <v>0</v>
      </c>
      <c r="Q192" s="40" t="n">
        <v>0</v>
      </c>
      <c r="R192" s="47" t="n"/>
      <c r="S192" s="47" t="n"/>
      <c r="T192" s="47" t="n"/>
      <c r="U192" s="47" t="n"/>
      <c r="V192" s="47" t="n"/>
      <c r="W192" s="47" t="n"/>
    </row>
    <row r="193" ht="12" customHeight="1">
      <c r="A193" s="30" t="inlineStr">
        <is>
          <t>Areal</t>
        </is>
      </c>
      <c r="B193" s="30" t="n">
        <v>78726113</v>
      </c>
      <c r="C193" s="30">
        <f>"09245894000154"</f>
        <v/>
      </c>
      <c r="D193" s="30" t="inlineStr">
        <is>
          <t>AREAL ALIMENTOS SEM GLUTEN INDUSTRIA COMERCIO SERVICOS IMPORTACA</t>
        </is>
      </c>
      <c r="E193" s="40" t="n">
        <v>2305047.04</v>
      </c>
      <c r="F193" s="40" t="n">
        <v>1847064.72</v>
      </c>
      <c r="G193" s="46" t="n">
        <v>-19.87</v>
      </c>
      <c r="H193" s="40" t="n">
        <v>624351.91</v>
      </c>
      <c r="I193" s="46" t="n">
        <v>-66.2</v>
      </c>
      <c r="J193" s="40" t="n">
        <v>572409.33</v>
      </c>
      <c r="K193" s="46" t="n">
        <v>-8.32</v>
      </c>
      <c r="L193" s="40" t="n">
        <v>0</v>
      </c>
      <c r="M193" s="46" t="n">
        <v>-100</v>
      </c>
      <c r="N193" s="40" t="n">
        <v>0</v>
      </c>
      <c r="O193" s="40" t="n">
        <v>0</v>
      </c>
      <c r="P193" s="40" t="n">
        <v>0</v>
      </c>
      <c r="Q193" s="40" t="n">
        <v>0</v>
      </c>
      <c r="R193" s="47" t="n"/>
      <c r="S193" s="47" t="n"/>
      <c r="T193" s="47" t="n"/>
      <c r="U193" s="47" t="n"/>
      <c r="V193" s="47" t="n"/>
      <c r="W193" s="47" t="n"/>
    </row>
    <row r="194" ht="12" customHeight="1">
      <c r="A194" s="30" t="inlineStr">
        <is>
          <t>Areal</t>
        </is>
      </c>
      <c r="B194" s="30" t="n">
        <v>78731451</v>
      </c>
      <c r="C194" s="30">
        <f>"07360468000217"</f>
        <v/>
      </c>
      <c r="D194" s="30" t="inlineStr">
        <is>
          <t>MTR LOGISTICA LTDA</t>
        </is>
      </c>
      <c r="E194" s="40" t="n">
        <v>237.25</v>
      </c>
      <c r="F194" s="40" t="n">
        <v>0</v>
      </c>
      <c r="G194" s="46" t="n">
        <v>-100</v>
      </c>
      <c r="H194" s="40" t="n">
        <v>0</v>
      </c>
      <c r="I194" s="40" t="n">
        <v>0</v>
      </c>
      <c r="J194" s="40" t="n">
        <v>0</v>
      </c>
      <c r="K194" s="40" t="n">
        <v>0</v>
      </c>
      <c r="L194" s="40" t="n">
        <v>0</v>
      </c>
      <c r="M194" s="40" t="n">
        <v>0</v>
      </c>
      <c r="N194" s="40" t="n">
        <v>0</v>
      </c>
      <c r="O194" s="40" t="n">
        <v>0</v>
      </c>
      <c r="P194" s="40" t="n">
        <v>0</v>
      </c>
      <c r="Q194" s="40" t="n">
        <v>0</v>
      </c>
      <c r="R194" s="47" t="n"/>
      <c r="S194" s="47" t="n"/>
      <c r="T194" s="47" t="n"/>
      <c r="U194" s="47" t="n"/>
      <c r="V194" s="47" t="n"/>
      <c r="W194" s="47" t="n"/>
    </row>
    <row r="195" ht="12" customHeight="1">
      <c r="A195" s="30" t="inlineStr">
        <is>
          <t>Areal</t>
        </is>
      </c>
      <c r="B195" s="30" t="n">
        <v>78776323</v>
      </c>
      <c r="C195" s="30">
        <f>"03098929000436"</f>
        <v/>
      </c>
      <c r="D195" s="30" t="inlineStr">
        <is>
          <t>SETE LAGOAS TRANSPORTES LTDA ME</t>
        </is>
      </c>
      <c r="E195" s="40" t="n">
        <v>0</v>
      </c>
      <c r="F195" s="40" t="n">
        <v>0</v>
      </c>
      <c r="G195" s="40" t="n">
        <v>0</v>
      </c>
      <c r="H195" s="40" t="n">
        <v>0</v>
      </c>
      <c r="I195" s="40" t="n">
        <v>0</v>
      </c>
      <c r="J195" s="40" t="n">
        <v>570</v>
      </c>
      <c r="K195" s="40" t="n">
        <v>100</v>
      </c>
      <c r="L195" s="40" t="n">
        <v>98.72</v>
      </c>
      <c r="M195" s="46" t="n">
        <v>-82.68000000000001</v>
      </c>
      <c r="N195" s="40" t="n">
        <v>320.34</v>
      </c>
      <c r="O195" s="40" t="n">
        <v>224.49</v>
      </c>
      <c r="P195" s="40" t="n">
        <v>329.11</v>
      </c>
      <c r="Q195" s="40" t="n">
        <v>2.74</v>
      </c>
      <c r="R195" s="47" t="n"/>
      <c r="S195" s="47" t="n"/>
      <c r="T195" s="47" t="n"/>
      <c r="U195" s="47" t="n"/>
      <c r="V195" s="47" t="n"/>
      <c r="W195" s="47" t="n"/>
    </row>
    <row r="196" ht="12" customHeight="1">
      <c r="A196" s="30" t="inlineStr">
        <is>
          <t>Areal</t>
        </is>
      </c>
      <c r="B196" s="30" t="n">
        <v>78808217</v>
      </c>
      <c r="C196" s="30">
        <f>"00824808000193"</f>
        <v/>
      </c>
      <c r="D196" s="30" t="inlineStr">
        <is>
          <t>A S VIEIRA MOVEIS ME</t>
        </is>
      </c>
      <c r="E196" s="40" t="n">
        <v>0</v>
      </c>
      <c r="F196" s="40" t="n">
        <v>0</v>
      </c>
      <c r="G196" s="40" t="n">
        <v>0</v>
      </c>
      <c r="H196" s="40" t="n">
        <v>0</v>
      </c>
      <c r="I196" s="40" t="n">
        <v>0</v>
      </c>
      <c r="J196" s="40" t="n">
        <v>0</v>
      </c>
      <c r="K196" s="40" t="n">
        <v>0</v>
      </c>
      <c r="L196" s="40" t="n">
        <v>0</v>
      </c>
      <c r="M196" s="40" t="n">
        <v>0</v>
      </c>
      <c r="N196" s="40" t="n">
        <v>0</v>
      </c>
      <c r="O196" s="40" t="n">
        <v>0</v>
      </c>
      <c r="P196" s="40" t="n">
        <v>0</v>
      </c>
      <c r="Q196" s="40" t="n">
        <v>0</v>
      </c>
      <c r="R196" s="47" t="n"/>
      <c r="S196" s="47" t="n"/>
      <c r="T196" s="47" t="n"/>
      <c r="U196" s="47" t="n"/>
      <c r="V196" s="47" t="n"/>
      <c r="W196" s="47" t="n"/>
    </row>
    <row r="197" ht="12" customHeight="1">
      <c r="A197" s="30" t="inlineStr">
        <is>
          <t>Areal</t>
        </is>
      </c>
      <c r="B197" s="30" t="n">
        <v>78845988</v>
      </c>
      <c r="C197" s="30">
        <f>"48740351010390"</f>
        <v/>
      </c>
      <c r="D197" s="30" t="inlineStr">
        <is>
          <t>BRASPRESS TRANSPORTES URGENTES LTDA</t>
        </is>
      </c>
      <c r="E197" s="40" t="n">
        <v>225.32</v>
      </c>
      <c r="F197" s="40" t="n">
        <v>0</v>
      </c>
      <c r="G197" s="46" t="n">
        <v>-100</v>
      </c>
      <c r="H197" s="40" t="n">
        <v>0</v>
      </c>
      <c r="I197" s="40" t="n">
        <v>0</v>
      </c>
      <c r="J197" s="40" t="n">
        <v>0</v>
      </c>
      <c r="K197" s="40" t="n">
        <v>0</v>
      </c>
      <c r="L197" s="40" t="n">
        <v>0</v>
      </c>
      <c r="M197" s="40" t="n">
        <v>0</v>
      </c>
      <c r="N197" s="40" t="n">
        <v>0</v>
      </c>
      <c r="O197" s="40" t="n">
        <v>0</v>
      </c>
      <c r="P197" s="40" t="n">
        <v>0</v>
      </c>
      <c r="Q197" s="40" t="n">
        <v>0</v>
      </c>
      <c r="R197" s="47" t="n"/>
      <c r="S197" s="47" t="n"/>
      <c r="T197" s="47" t="n"/>
      <c r="U197" s="47" t="n"/>
      <c r="V197" s="47" t="n"/>
      <c r="W197" s="47" t="n"/>
    </row>
    <row r="198" ht="12" customHeight="1">
      <c r="A198" s="30" t="inlineStr">
        <is>
          <t>Areal</t>
        </is>
      </c>
      <c r="B198" s="30" t="n">
        <v>78847980</v>
      </c>
      <c r="C198" s="30">
        <f>"11038325000260"</f>
        <v/>
      </c>
      <c r="D198" s="30" t="inlineStr">
        <is>
          <t>ADVANCED NUTRITION IND COM DE ALIMENTOS E COSMETICOS LTDA</t>
        </is>
      </c>
      <c r="E198" s="40" t="n">
        <v>8919226.300000001</v>
      </c>
      <c r="F198" s="40" t="n">
        <v>7392163.67</v>
      </c>
      <c r="G198" s="46" t="n">
        <v>-17.12</v>
      </c>
      <c r="H198" s="40" t="n">
        <v>7007392.01</v>
      </c>
      <c r="I198" s="46" t="n">
        <v>-5.21</v>
      </c>
      <c r="J198" s="40" t="n">
        <v>5541242.76</v>
      </c>
      <c r="K198" s="46" t="n">
        <v>-20.92</v>
      </c>
      <c r="L198" s="40" t="n">
        <v>4833330.28</v>
      </c>
      <c r="M198" s="46" t="n">
        <v>-12.78</v>
      </c>
      <c r="N198" s="40" t="n">
        <v>3279920.91</v>
      </c>
      <c r="O198" s="46" t="n">
        <v>-32.14</v>
      </c>
      <c r="P198" s="40" t="n">
        <v>4864768.93</v>
      </c>
      <c r="Q198" s="40" t="n">
        <v>48.32</v>
      </c>
      <c r="R198" s="47" t="n"/>
      <c r="S198" s="47" t="n"/>
      <c r="T198" s="47" t="n"/>
      <c r="U198" s="47" t="n"/>
      <c r="V198" s="47" t="n"/>
      <c r="W198" s="47" t="n"/>
    </row>
    <row r="199" ht="12" customHeight="1">
      <c r="A199" s="30" t="inlineStr">
        <is>
          <t>Areal</t>
        </is>
      </c>
      <c r="B199" s="30" t="n">
        <v>78922206</v>
      </c>
      <c r="C199" s="30">
        <f>"11243817000107"</f>
        <v/>
      </c>
      <c r="D199" s="30" t="inlineStr">
        <is>
          <t>CEDRO LOCADORA E TRANSPORTADORA LTDA ME</t>
        </is>
      </c>
      <c r="E199" s="40" t="n">
        <v>0</v>
      </c>
      <c r="F199" s="40" t="n">
        <v>24000</v>
      </c>
      <c r="G199" s="40" t="n">
        <v>100</v>
      </c>
      <c r="H199" s="40" t="n">
        <v>0</v>
      </c>
      <c r="I199" s="46" t="n">
        <v>-100</v>
      </c>
      <c r="J199" s="40" t="n">
        <v>12400</v>
      </c>
      <c r="K199" s="40" t="n">
        <v>100</v>
      </c>
      <c r="L199" s="40" t="n">
        <v>19100</v>
      </c>
      <c r="M199" s="40" t="n">
        <v>54.03</v>
      </c>
      <c r="N199" s="40" t="n">
        <v>26600</v>
      </c>
      <c r="O199" s="40" t="n">
        <v>39.27</v>
      </c>
      <c r="P199" s="40" t="n">
        <v>15600</v>
      </c>
      <c r="Q199" s="46" t="n">
        <v>-41.35</v>
      </c>
      <c r="R199" s="47" t="n"/>
      <c r="S199" s="47" t="n"/>
      <c r="T199" s="47" t="n"/>
      <c r="U199" s="47" t="n"/>
      <c r="V199" s="47" t="n"/>
      <c r="W199" s="47" t="n"/>
    </row>
    <row r="200" ht="12" customHeight="1">
      <c r="A200" s="30" t="inlineStr">
        <is>
          <t>Areal</t>
        </is>
      </c>
      <c r="B200" s="30" t="n">
        <v>78932953</v>
      </c>
      <c r="C200" s="30">
        <f>"07303446000134"</f>
        <v/>
      </c>
      <c r="D200" s="30" t="inlineStr">
        <is>
          <t>LOCADORA VAI BEM DE VEICULOS LTDA</t>
        </is>
      </c>
      <c r="E200" s="40" t="n">
        <v>0</v>
      </c>
      <c r="F200" s="40" t="n">
        <v>0</v>
      </c>
      <c r="G200" s="40" t="n">
        <v>0</v>
      </c>
      <c r="H200" s="40" t="n">
        <v>0</v>
      </c>
      <c r="I200" s="40" t="n">
        <v>0</v>
      </c>
      <c r="J200" s="40" t="n">
        <v>0</v>
      </c>
      <c r="K200" s="40" t="n">
        <v>0</v>
      </c>
      <c r="L200" s="40" t="n">
        <v>0</v>
      </c>
      <c r="M200" s="40" t="n">
        <v>0</v>
      </c>
      <c r="N200" s="40" t="n">
        <v>0</v>
      </c>
      <c r="O200" s="40" t="n">
        <v>0</v>
      </c>
      <c r="P200" s="40" t="n">
        <v>0</v>
      </c>
      <c r="Q200" s="40" t="n">
        <v>0</v>
      </c>
      <c r="R200" s="47" t="n"/>
      <c r="S200" s="47" t="n"/>
      <c r="T200" s="47" t="n"/>
      <c r="U200" s="47" t="n"/>
      <c r="V200" s="47" t="n"/>
      <c r="W200" s="47" t="n"/>
    </row>
    <row r="201" ht="12" customHeight="1">
      <c r="A201" s="30" t="inlineStr">
        <is>
          <t>Areal</t>
        </is>
      </c>
      <c r="B201" s="30" t="n">
        <v>78933844</v>
      </c>
      <c r="C201" s="30">
        <f>"10687157000190"</f>
        <v/>
      </c>
      <c r="D201" s="30" t="inlineStr">
        <is>
          <t>R MASTER SERVICOS EM CONSTRUCAO EIRELI ME</t>
        </is>
      </c>
      <c r="E201" s="40" t="n">
        <v>0</v>
      </c>
      <c r="F201" s="40" t="n">
        <v>0</v>
      </c>
      <c r="G201" s="40" t="n">
        <v>0</v>
      </c>
      <c r="H201" s="40" t="n">
        <v>0</v>
      </c>
      <c r="I201" s="40" t="n">
        <v>0</v>
      </c>
      <c r="J201" s="40" t="n">
        <v>0</v>
      </c>
      <c r="K201" s="40" t="n">
        <v>0</v>
      </c>
      <c r="L201" s="40" t="n">
        <v>0</v>
      </c>
      <c r="M201" s="40" t="n">
        <v>0</v>
      </c>
      <c r="N201" s="40" t="n">
        <v>0</v>
      </c>
      <c r="O201" s="40" t="n">
        <v>0</v>
      </c>
      <c r="P201" s="40" t="n">
        <v>0</v>
      </c>
      <c r="Q201" s="40" t="n">
        <v>0</v>
      </c>
      <c r="R201" s="47" t="n"/>
      <c r="S201" s="47" t="n"/>
      <c r="T201" s="47" t="n"/>
      <c r="U201" s="47" t="n"/>
      <c r="V201" s="47" t="n"/>
      <c r="W201" s="47" t="n"/>
    </row>
    <row r="202" ht="12" customHeight="1">
      <c r="A202" s="30" t="inlineStr">
        <is>
          <t>Areal</t>
        </is>
      </c>
      <c r="B202" s="30" t="n">
        <v>78943742</v>
      </c>
      <c r="C202" s="30">
        <f>"79942140002697"</f>
        <v/>
      </c>
      <c r="D202" s="30" t="inlineStr">
        <is>
          <t>TRANSMAGNA TRANSPORTES EIRELI</t>
        </is>
      </c>
      <c r="E202" s="40" t="n">
        <v>0</v>
      </c>
      <c r="F202" s="40" t="n">
        <v>0</v>
      </c>
      <c r="G202" s="40" t="n">
        <v>0</v>
      </c>
      <c r="H202" s="40" t="n">
        <v>33706.98</v>
      </c>
      <c r="I202" s="40" t="n">
        <v>100</v>
      </c>
      <c r="J202" s="40" t="n">
        <v>63904.32</v>
      </c>
      <c r="K202" s="40" t="n">
        <v>89.59</v>
      </c>
      <c r="L202" s="40" t="n">
        <v>80511.5</v>
      </c>
      <c r="M202" s="40" t="n">
        <v>25.99</v>
      </c>
      <c r="N202" s="40" t="n">
        <v>0</v>
      </c>
      <c r="O202" s="46" t="n">
        <v>-100</v>
      </c>
      <c r="P202" s="40" t="n">
        <v>0</v>
      </c>
      <c r="Q202" s="40" t="n">
        <v>0</v>
      </c>
      <c r="R202" s="47" t="n"/>
      <c r="S202" s="47" t="n"/>
      <c r="T202" s="47" t="n"/>
      <c r="U202" s="47" t="n"/>
      <c r="V202" s="47" t="n"/>
      <c r="W202" s="47" t="n"/>
    </row>
    <row r="203" ht="12" customHeight="1">
      <c r="A203" s="30" t="inlineStr">
        <is>
          <t>Areal</t>
        </is>
      </c>
      <c r="B203" s="30" t="n">
        <v>78998121</v>
      </c>
      <c r="C203" s="30">
        <f>"01489122000407"</f>
        <v/>
      </c>
      <c r="D203" s="30" t="inlineStr">
        <is>
          <t>TJ4 TRANSPORTES EIRELI</t>
        </is>
      </c>
      <c r="E203" s="40" t="n">
        <v>0</v>
      </c>
      <c r="F203" s="40" t="n">
        <v>0</v>
      </c>
      <c r="G203" s="40" t="n">
        <v>0</v>
      </c>
      <c r="H203" s="40" t="n">
        <v>0</v>
      </c>
      <c r="I203" s="40" t="n">
        <v>0</v>
      </c>
      <c r="J203" s="40" t="n">
        <v>0</v>
      </c>
      <c r="K203" s="40" t="n">
        <v>0</v>
      </c>
      <c r="L203" s="40" t="n">
        <v>0</v>
      </c>
      <c r="M203" s="40" t="n">
        <v>0</v>
      </c>
      <c r="N203" s="40" t="n">
        <v>0</v>
      </c>
      <c r="O203" s="40" t="n">
        <v>0</v>
      </c>
      <c r="P203" s="40" t="n">
        <v>69.06</v>
      </c>
      <c r="Q203" s="40" t="n">
        <v>100</v>
      </c>
      <c r="R203" s="47" t="n"/>
      <c r="S203" s="47" t="n"/>
      <c r="T203" s="47" t="n"/>
      <c r="U203" s="47" t="n"/>
      <c r="V203" s="47" t="n"/>
      <c r="W203" s="47" t="n"/>
    </row>
    <row r="204" ht="12" customHeight="1">
      <c r="A204" s="30" t="inlineStr">
        <is>
          <t>Areal</t>
        </is>
      </c>
      <c r="B204" s="30" t="n">
        <v>79063789</v>
      </c>
      <c r="C204" s="30">
        <f>"11389422000389"</f>
        <v/>
      </c>
      <c r="D204" s="30" t="inlineStr">
        <is>
          <t>ABT-LOG TRANSPORTES EIRELI EPP</t>
        </is>
      </c>
      <c r="E204" s="40" t="n">
        <v>75</v>
      </c>
      <c r="F204" s="40" t="n">
        <v>1484.57</v>
      </c>
      <c r="G204" s="40" t="n">
        <v>1879.43</v>
      </c>
      <c r="H204" s="40" t="n">
        <v>1258.61</v>
      </c>
      <c r="I204" s="46" t="n">
        <v>-15.22</v>
      </c>
      <c r="J204" s="40" t="n">
        <v>0</v>
      </c>
      <c r="K204" s="46" t="n">
        <v>-100</v>
      </c>
      <c r="L204" s="40" t="n">
        <v>0</v>
      </c>
      <c r="M204" s="40" t="n">
        <v>0</v>
      </c>
      <c r="N204" s="40" t="n">
        <v>0</v>
      </c>
      <c r="O204" s="40" t="n">
        <v>0</v>
      </c>
      <c r="P204" s="40" t="n">
        <v>0</v>
      </c>
      <c r="Q204" s="40" t="n">
        <v>0</v>
      </c>
      <c r="R204" s="47" t="n"/>
      <c r="S204" s="47" t="n"/>
      <c r="T204" s="47" t="n"/>
      <c r="U204" s="47" t="n"/>
      <c r="V204" s="47" t="n"/>
      <c r="W204" s="47" t="n"/>
    </row>
    <row r="205" ht="12" customHeight="1">
      <c r="A205" s="30" t="inlineStr">
        <is>
          <t>Areal</t>
        </is>
      </c>
      <c r="B205" s="30" t="n">
        <v>79084298</v>
      </c>
      <c r="C205" s="30">
        <f>"12091571000168"</f>
        <v/>
      </c>
      <c r="D205" s="30" t="inlineStr">
        <is>
          <t>METAPLAST IND?STRIA E COM?RCIO DE PL?STICOS LTDA</t>
        </is>
      </c>
      <c r="E205" s="40" t="n">
        <v>0</v>
      </c>
      <c r="F205" s="40" t="n">
        <v>736044.51</v>
      </c>
      <c r="G205" s="40" t="n">
        <v>100</v>
      </c>
      <c r="H205" s="40" t="n">
        <v>266196.42</v>
      </c>
      <c r="I205" s="46" t="n">
        <v>-63.83</v>
      </c>
      <c r="J205" s="40" t="n">
        <v>232449.98</v>
      </c>
      <c r="K205" s="46" t="n">
        <v>-12.68</v>
      </c>
      <c r="L205" s="40" t="n">
        <v>133284.97</v>
      </c>
      <c r="M205" s="46" t="n">
        <v>-42.66</v>
      </c>
      <c r="N205" s="40" t="n">
        <v>0</v>
      </c>
      <c r="O205" s="46" t="n">
        <v>-100</v>
      </c>
      <c r="P205" s="40" t="n">
        <v>0</v>
      </c>
      <c r="Q205" s="40" t="n">
        <v>0</v>
      </c>
      <c r="R205" s="47" t="n"/>
      <c r="S205" s="47" t="n"/>
      <c r="T205" s="47" t="n"/>
      <c r="U205" s="47" t="n"/>
      <c r="V205" s="47" t="n"/>
      <c r="W205" s="47" t="n"/>
    </row>
    <row r="206" ht="12" customHeight="1">
      <c r="A206" s="30" t="inlineStr">
        <is>
          <t>Areal</t>
        </is>
      </c>
      <c r="B206" s="30" t="n">
        <v>79084875</v>
      </c>
      <c r="C206" s="30">
        <f>"12054134000174"</f>
        <v/>
      </c>
      <c r="D206" s="30" t="inlineStr">
        <is>
          <t>NOBELLA INDUSTRIA DE MOVEIS E EQUIPAMENTOS LTDA</t>
        </is>
      </c>
      <c r="E206" s="40" t="n">
        <v>0</v>
      </c>
      <c r="F206" s="40" t="n">
        <v>0</v>
      </c>
      <c r="G206" s="40" t="n">
        <v>0</v>
      </c>
      <c r="H206" s="40" t="n">
        <v>0</v>
      </c>
      <c r="I206" s="40" t="n">
        <v>0</v>
      </c>
      <c r="J206" s="40" t="n">
        <v>0</v>
      </c>
      <c r="K206" s="40" t="n">
        <v>0</v>
      </c>
      <c r="L206" s="40" t="n">
        <v>0</v>
      </c>
      <c r="M206" s="40" t="n">
        <v>0</v>
      </c>
      <c r="N206" s="40" t="n">
        <v>0</v>
      </c>
      <c r="O206" s="40" t="n">
        <v>0</v>
      </c>
      <c r="P206" s="40" t="n">
        <v>0</v>
      </c>
      <c r="Q206" s="40" t="n">
        <v>0</v>
      </c>
      <c r="R206" s="47" t="n"/>
      <c r="S206" s="47" t="n"/>
      <c r="T206" s="47" t="n"/>
      <c r="U206" s="47" t="n"/>
      <c r="V206" s="47" t="n"/>
      <c r="W206" s="47" t="n"/>
    </row>
    <row r="207" ht="12" customHeight="1">
      <c r="A207" s="30" t="inlineStr">
        <is>
          <t>Areal</t>
        </is>
      </c>
      <c r="B207" s="30" t="n">
        <v>79111678</v>
      </c>
      <c r="C207" s="30">
        <f>"60157377000504"</f>
        <v/>
      </c>
      <c r="D207" s="30" t="inlineStr">
        <is>
          <t>TRANS WELL S EXPRESSO RODOVIARIO EIRELI</t>
        </is>
      </c>
      <c r="E207" s="40" t="n">
        <v>0</v>
      </c>
      <c r="F207" s="40" t="n">
        <v>0</v>
      </c>
      <c r="G207" s="40" t="n">
        <v>0</v>
      </c>
      <c r="H207" s="40" t="n">
        <v>0</v>
      </c>
      <c r="I207" s="40" t="n">
        <v>0</v>
      </c>
      <c r="J207" s="40" t="n">
        <v>0</v>
      </c>
      <c r="K207" s="40" t="n">
        <v>0</v>
      </c>
      <c r="L207" s="40" t="n">
        <v>0</v>
      </c>
      <c r="M207" s="40" t="n">
        <v>0</v>
      </c>
      <c r="N207" s="40" t="n">
        <v>946.62</v>
      </c>
      <c r="O207" s="40" t="n">
        <v>100</v>
      </c>
      <c r="P207" s="40" t="n">
        <v>0</v>
      </c>
      <c r="Q207" s="46" t="n">
        <v>-100</v>
      </c>
      <c r="R207" s="47" t="n"/>
      <c r="S207" s="47" t="n"/>
      <c r="T207" s="47" t="n"/>
      <c r="U207" s="47" t="n"/>
      <c r="V207" s="47" t="n"/>
      <c r="W207" s="47" t="n"/>
    </row>
    <row r="208" ht="12" customHeight="1">
      <c r="A208" s="30" t="inlineStr">
        <is>
          <t>Areal</t>
        </is>
      </c>
      <c r="B208" s="30" t="n">
        <v>79129119</v>
      </c>
      <c r="C208" s="30">
        <f>"11389422000460"</f>
        <v/>
      </c>
      <c r="D208" s="30" t="inlineStr">
        <is>
          <t>ABT-LOG TRANSPORTES EIRELI EPP</t>
        </is>
      </c>
      <c r="E208" s="40" t="n">
        <v>691.14</v>
      </c>
      <c r="F208" s="40" t="n">
        <v>265.48</v>
      </c>
      <c r="G208" s="46" t="n">
        <v>-61.59</v>
      </c>
      <c r="H208" s="40" t="n">
        <v>0</v>
      </c>
      <c r="I208" s="46" t="n">
        <v>-100</v>
      </c>
      <c r="J208" s="40" t="n">
        <v>0</v>
      </c>
      <c r="K208" s="40" t="n">
        <v>0</v>
      </c>
      <c r="L208" s="40" t="n">
        <v>0</v>
      </c>
      <c r="M208" s="40" t="n">
        <v>0</v>
      </c>
      <c r="N208" s="40" t="n">
        <v>0</v>
      </c>
      <c r="O208" s="40" t="n">
        <v>0</v>
      </c>
      <c r="P208" s="40" t="n">
        <v>0</v>
      </c>
      <c r="Q208" s="40" t="n">
        <v>0</v>
      </c>
      <c r="R208" s="47" t="n"/>
      <c r="S208" s="47" t="n"/>
      <c r="T208" s="47" t="n"/>
      <c r="U208" s="47" t="n"/>
      <c r="V208" s="47" t="n"/>
      <c r="W208" s="47" t="n"/>
    </row>
    <row r="209" ht="12" customHeight="1">
      <c r="A209" s="30" t="inlineStr">
        <is>
          <t>Areal</t>
        </is>
      </c>
      <c r="B209" s="30" t="n">
        <v>79146641</v>
      </c>
      <c r="C209" s="30">
        <f>"60960473001304"</f>
        <v/>
      </c>
      <c r="D209" s="30" t="inlineStr">
        <is>
          <t>RODOGARCIA TRANSPORTES RODOVIARIOS LTDA</t>
        </is>
      </c>
      <c r="E209" s="40" t="n">
        <v>0</v>
      </c>
      <c r="F209" s="40" t="n">
        <v>0</v>
      </c>
      <c r="G209" s="40" t="n">
        <v>0</v>
      </c>
      <c r="H209" s="40" t="n">
        <v>0</v>
      </c>
      <c r="I209" s="40" t="n">
        <v>0</v>
      </c>
      <c r="J209" s="40" t="n">
        <v>0</v>
      </c>
      <c r="K209" s="40" t="n">
        <v>0</v>
      </c>
      <c r="L209" s="40" t="n">
        <v>0</v>
      </c>
      <c r="M209" s="40" t="n">
        <v>0</v>
      </c>
      <c r="N209" s="40" t="n">
        <v>0</v>
      </c>
      <c r="O209" s="40" t="n">
        <v>0</v>
      </c>
      <c r="P209" s="40" t="n">
        <v>150</v>
      </c>
      <c r="Q209" s="40" t="n">
        <v>100</v>
      </c>
      <c r="R209" s="47" t="n"/>
      <c r="S209" s="47" t="n"/>
      <c r="T209" s="47" t="n"/>
      <c r="U209" s="47" t="n"/>
      <c r="V209" s="47" t="n"/>
      <c r="W209" s="47" t="n"/>
    </row>
    <row r="210" ht="12" customHeight="1">
      <c r="A210" s="30" t="inlineStr">
        <is>
          <t>Areal</t>
        </is>
      </c>
      <c r="B210" s="30" t="n">
        <v>79173290</v>
      </c>
      <c r="C210" s="30">
        <f>"10895160000108"</f>
        <v/>
      </c>
      <c r="D210" s="30" t="inlineStr">
        <is>
          <t>ORION GESTAO DE PROJETOS LOGISTICA E COMERCIO LTDA</t>
        </is>
      </c>
      <c r="E210" s="40" t="n">
        <v>76298.95</v>
      </c>
      <c r="F210" s="40" t="n">
        <v>0</v>
      </c>
      <c r="G210" s="46" t="n">
        <v>-100</v>
      </c>
      <c r="H210" s="40" t="n">
        <v>0</v>
      </c>
      <c r="I210" s="40" t="n">
        <v>0</v>
      </c>
      <c r="J210" s="40" t="n">
        <v>0</v>
      </c>
      <c r="K210" s="40" t="n">
        <v>0</v>
      </c>
      <c r="L210" s="40" t="n">
        <v>0</v>
      </c>
      <c r="M210" s="40" t="n">
        <v>0</v>
      </c>
      <c r="N210" s="40" t="n">
        <v>0</v>
      </c>
      <c r="O210" s="40" t="n">
        <v>0</v>
      </c>
      <c r="P210" s="40" t="n">
        <v>0</v>
      </c>
      <c r="Q210" s="40" t="n">
        <v>0</v>
      </c>
      <c r="R210" s="47" t="n"/>
      <c r="S210" s="47" t="n"/>
      <c r="T210" s="47" t="n"/>
      <c r="U210" s="47" t="n"/>
      <c r="V210" s="47" t="n"/>
      <c r="W210" s="47" t="n"/>
    </row>
    <row r="211" ht="12" customHeight="1">
      <c r="A211" s="30" t="inlineStr">
        <is>
          <t>Areal</t>
        </is>
      </c>
      <c r="B211" s="30" t="n">
        <v>79273236</v>
      </c>
      <c r="C211" s="30">
        <f>"31586480000148"</f>
        <v/>
      </c>
      <c r="D211" s="30" t="inlineStr">
        <is>
          <t>HEAVYMAC SERVI?OS LTDA</t>
        </is>
      </c>
      <c r="E211" s="40" t="n">
        <v>0</v>
      </c>
      <c r="F211" s="40" t="n">
        <v>0</v>
      </c>
      <c r="G211" s="40" t="n">
        <v>0</v>
      </c>
      <c r="H211" s="40" t="n">
        <v>0</v>
      </c>
      <c r="I211" s="40" t="n">
        <v>0</v>
      </c>
      <c r="J211" s="40" t="n">
        <v>0</v>
      </c>
      <c r="K211" s="40" t="n">
        <v>0</v>
      </c>
      <c r="L211" s="40" t="n">
        <v>0</v>
      </c>
      <c r="M211" s="40" t="n">
        <v>0</v>
      </c>
      <c r="N211" s="40" t="n">
        <v>0</v>
      </c>
      <c r="O211" s="40" t="n">
        <v>0</v>
      </c>
      <c r="P211" s="40" t="n">
        <v>0</v>
      </c>
      <c r="Q211" s="40" t="n">
        <v>0</v>
      </c>
      <c r="R211" s="47" t="n"/>
      <c r="S211" s="47" t="n"/>
      <c r="T211" s="47" t="n"/>
      <c r="U211" s="47" t="n"/>
      <c r="V211" s="47" t="n"/>
      <c r="W211" s="47" t="n"/>
    </row>
    <row r="212" ht="12" customHeight="1">
      <c r="A212" s="30" t="inlineStr">
        <is>
          <t>Areal</t>
        </is>
      </c>
      <c r="B212" s="30" t="n">
        <v>79274321</v>
      </c>
      <c r="C212" s="30">
        <f>"13019479000150"</f>
        <v/>
      </c>
      <c r="D212" s="30" t="inlineStr">
        <is>
          <t>LINOS EXPRESS TRANSPORTES LTDA ME</t>
        </is>
      </c>
      <c r="E212" s="40" t="n">
        <v>5324.8</v>
      </c>
      <c r="F212" s="40" t="n">
        <v>0</v>
      </c>
      <c r="G212" s="46" t="n">
        <v>-100</v>
      </c>
      <c r="H212" s="40" t="n">
        <v>0</v>
      </c>
      <c r="I212" s="40" t="n">
        <v>0</v>
      </c>
      <c r="J212" s="40" t="n">
        <v>0</v>
      </c>
      <c r="K212" s="40" t="n">
        <v>0</v>
      </c>
      <c r="L212" s="40" t="n">
        <v>37840</v>
      </c>
      <c r="M212" s="40" t="n">
        <v>100</v>
      </c>
      <c r="N212" s="40" t="n">
        <v>16765</v>
      </c>
      <c r="O212" s="46" t="n">
        <v>-55.7</v>
      </c>
      <c r="P212" s="40" t="n">
        <v>0</v>
      </c>
      <c r="Q212" s="46" t="n">
        <v>-100</v>
      </c>
      <c r="R212" s="47" t="n"/>
      <c r="S212" s="47" t="n"/>
      <c r="T212" s="47" t="n"/>
      <c r="U212" s="47" t="n"/>
      <c r="V212" s="47" t="n"/>
      <c r="W212" s="47" t="n"/>
    </row>
    <row r="213" ht="12" customHeight="1">
      <c r="A213" s="30" t="inlineStr">
        <is>
          <t>Areal</t>
        </is>
      </c>
      <c r="B213" s="30" t="n">
        <v>79278840</v>
      </c>
      <c r="C213" s="30">
        <f>"13075470000166"</f>
        <v/>
      </c>
      <c r="D213" s="30" t="inlineStr">
        <is>
          <t>AREAL ARTEFATOS DE CONCRETO EIRELI EPP</t>
        </is>
      </c>
      <c r="E213" s="40" t="n">
        <v>0</v>
      </c>
      <c r="F213" s="40" t="n">
        <v>0</v>
      </c>
      <c r="G213" s="40" t="n">
        <v>0</v>
      </c>
      <c r="H213" s="40" t="n">
        <v>0</v>
      </c>
      <c r="I213" s="40" t="n">
        <v>0</v>
      </c>
      <c r="J213" s="40" t="n">
        <v>0</v>
      </c>
      <c r="K213" s="40" t="n">
        <v>0</v>
      </c>
      <c r="L213" s="40" t="n">
        <v>0</v>
      </c>
      <c r="M213" s="40" t="n">
        <v>0</v>
      </c>
      <c r="N213" s="40" t="n">
        <v>65106.41</v>
      </c>
      <c r="O213" s="40" t="n">
        <v>100</v>
      </c>
      <c r="P213" s="40" t="n">
        <v>0</v>
      </c>
      <c r="Q213" s="46" t="n">
        <v>-100</v>
      </c>
      <c r="R213" s="47" t="n"/>
      <c r="S213" s="47" t="n"/>
      <c r="T213" s="47" t="n"/>
      <c r="U213" s="47" t="n"/>
      <c r="V213" s="47" t="n"/>
      <c r="W213" s="47" t="n"/>
    </row>
    <row r="214" ht="12" customHeight="1">
      <c r="A214" s="30" t="inlineStr">
        <is>
          <t>Areal</t>
        </is>
      </c>
      <c r="B214" s="30" t="n">
        <v>79342254</v>
      </c>
      <c r="C214" s="30">
        <f>"11689769000185"</f>
        <v/>
      </c>
      <c r="D214" s="30" t="inlineStr">
        <is>
          <t>REIS SERVI?OS IMOBILI?RIOS EIRELI</t>
        </is>
      </c>
      <c r="E214" s="40" t="n">
        <v>0</v>
      </c>
      <c r="F214" s="40" t="n">
        <v>0</v>
      </c>
      <c r="G214" s="40" t="n">
        <v>0</v>
      </c>
      <c r="H214" s="40" t="n">
        <v>0</v>
      </c>
      <c r="I214" s="40" t="n">
        <v>0</v>
      </c>
      <c r="J214" s="40" t="n">
        <v>0</v>
      </c>
      <c r="K214" s="40" t="n">
        <v>0</v>
      </c>
      <c r="L214" s="40" t="n">
        <v>0</v>
      </c>
      <c r="M214" s="40" t="n">
        <v>0</v>
      </c>
      <c r="N214" s="40" t="n">
        <v>0</v>
      </c>
      <c r="O214" s="40" t="n">
        <v>0</v>
      </c>
      <c r="P214" s="40" t="n">
        <v>0</v>
      </c>
      <c r="Q214" s="40" t="n">
        <v>0</v>
      </c>
      <c r="R214" s="47" t="n"/>
      <c r="S214" s="47" t="n"/>
      <c r="T214" s="47" t="n"/>
      <c r="U214" s="47" t="n"/>
      <c r="V214" s="47" t="n"/>
      <c r="W214" s="47" t="n"/>
    </row>
    <row r="215" ht="12" customHeight="1">
      <c r="A215" s="30" t="inlineStr">
        <is>
          <t>Areal</t>
        </is>
      </c>
      <c r="B215" s="30" t="n">
        <v>79345091</v>
      </c>
      <c r="C215" s="30">
        <f>"48740351012252"</f>
        <v/>
      </c>
      <c r="D215" s="30" t="inlineStr">
        <is>
          <t>BRASPRESS TRANSPORTES URGENTES LTDA</t>
        </is>
      </c>
      <c r="E215" s="40" t="n">
        <v>0</v>
      </c>
      <c r="F215" s="40" t="n">
        <v>82.97</v>
      </c>
      <c r="G215" s="40" t="n">
        <v>100</v>
      </c>
      <c r="H215" s="40" t="n">
        <v>0</v>
      </c>
      <c r="I215" s="46" t="n">
        <v>-100</v>
      </c>
      <c r="J215" s="40" t="n">
        <v>0</v>
      </c>
      <c r="K215" s="40" t="n">
        <v>0</v>
      </c>
      <c r="L215" s="40" t="n">
        <v>0</v>
      </c>
      <c r="M215" s="40" t="n">
        <v>0</v>
      </c>
      <c r="N215" s="40" t="n">
        <v>0</v>
      </c>
      <c r="O215" s="40" t="n">
        <v>0</v>
      </c>
      <c r="P215" s="40" t="n">
        <v>0</v>
      </c>
      <c r="Q215" s="40" t="n">
        <v>0</v>
      </c>
      <c r="R215" s="47" t="n"/>
      <c r="S215" s="47" t="n"/>
      <c r="T215" s="47" t="n"/>
      <c r="U215" s="47" t="n"/>
      <c r="V215" s="47" t="n"/>
      <c r="W215" s="47" t="n"/>
    </row>
    <row r="216" ht="12" customHeight="1">
      <c r="A216" s="30" t="inlineStr">
        <is>
          <t>Areal</t>
        </is>
      </c>
      <c r="B216" s="30" t="n">
        <v>79358630</v>
      </c>
      <c r="C216" s="30">
        <f>"08022054000160"</f>
        <v/>
      </c>
      <c r="D216" s="30" t="inlineStr">
        <is>
          <t>OSTARA TELECOMUNICACOES LTDA</t>
        </is>
      </c>
      <c r="E216" s="40" t="n">
        <v>35140.13</v>
      </c>
      <c r="F216" s="40" t="n">
        <v>30000</v>
      </c>
      <c r="G216" s="46" t="n">
        <v>-14.63</v>
      </c>
      <c r="H216" s="40" t="n">
        <v>57.57</v>
      </c>
      <c r="I216" s="46" t="n">
        <v>-99.81</v>
      </c>
      <c r="J216" s="40" t="n">
        <v>882.01</v>
      </c>
      <c r="K216" s="40" t="n">
        <v>1432.07</v>
      </c>
      <c r="L216" s="40" t="n">
        <v>0</v>
      </c>
      <c r="M216" s="46" t="n">
        <v>-100</v>
      </c>
      <c r="N216" s="40" t="n">
        <v>0</v>
      </c>
      <c r="O216" s="40" t="n">
        <v>0</v>
      </c>
      <c r="P216" s="40" t="n">
        <v>0</v>
      </c>
      <c r="Q216" s="40" t="n">
        <v>0</v>
      </c>
      <c r="R216" s="47" t="n"/>
      <c r="S216" s="47" t="n"/>
      <c r="T216" s="47" t="n"/>
      <c r="U216" s="47" t="n"/>
      <c r="V216" s="47" t="n"/>
      <c r="W216" s="47" t="n"/>
    </row>
    <row r="217" ht="12" customHeight="1">
      <c r="A217" s="30" t="inlineStr">
        <is>
          <t>Areal</t>
        </is>
      </c>
      <c r="B217" s="30" t="n">
        <v>79442178</v>
      </c>
      <c r="C217" s="30">
        <f>"14000190000151"</f>
        <v/>
      </c>
      <c r="D217" s="30" t="inlineStr">
        <is>
          <t>MG RODRIGUES TRANSPORTES LTDA ME</t>
        </is>
      </c>
      <c r="E217" s="40" t="n">
        <v>0</v>
      </c>
      <c r="F217" s="40" t="n">
        <v>0</v>
      </c>
      <c r="G217" s="40" t="n">
        <v>0</v>
      </c>
      <c r="H217" s="40" t="n">
        <v>300</v>
      </c>
      <c r="I217" s="40" t="n">
        <v>100</v>
      </c>
      <c r="J217" s="40" t="n">
        <v>0</v>
      </c>
      <c r="K217" s="46" t="n">
        <v>-100</v>
      </c>
      <c r="L217" s="40" t="n">
        <v>0</v>
      </c>
      <c r="M217" s="40" t="n">
        <v>0</v>
      </c>
      <c r="N217" s="40" t="n">
        <v>0</v>
      </c>
      <c r="O217" s="40" t="n">
        <v>0</v>
      </c>
      <c r="P217" s="40" t="n">
        <v>0</v>
      </c>
      <c r="Q217" s="40" t="n">
        <v>0</v>
      </c>
      <c r="R217" s="47" t="n"/>
      <c r="S217" s="47" t="n"/>
      <c r="T217" s="47" t="n"/>
      <c r="U217" s="47" t="n"/>
      <c r="V217" s="47" t="n"/>
      <c r="W217" s="47" t="n"/>
    </row>
    <row r="218" ht="12" customHeight="1">
      <c r="A218" s="30" t="inlineStr">
        <is>
          <t>Areal</t>
        </is>
      </c>
      <c r="B218" s="30" t="n">
        <v>79456748</v>
      </c>
      <c r="C218" s="30">
        <f>"14120369000142"</f>
        <v/>
      </c>
      <c r="D218" s="30" t="inlineStr">
        <is>
          <t>JARBAS GONCALVES DIAS EIRELI</t>
        </is>
      </c>
      <c r="E218" s="40" t="n">
        <v>0</v>
      </c>
      <c r="F218" s="40" t="n">
        <v>90.51000000000001</v>
      </c>
      <c r="G218" s="40" t="n">
        <v>100</v>
      </c>
      <c r="H218" s="40" t="n">
        <v>0</v>
      </c>
      <c r="I218" s="46" t="n">
        <v>-100</v>
      </c>
      <c r="J218" s="40" t="n">
        <v>0</v>
      </c>
      <c r="K218" s="40" t="n">
        <v>0</v>
      </c>
      <c r="L218" s="40" t="n">
        <v>0</v>
      </c>
      <c r="M218" s="40" t="n">
        <v>0</v>
      </c>
      <c r="N218" s="40" t="n">
        <v>0</v>
      </c>
      <c r="O218" s="40" t="n">
        <v>0</v>
      </c>
      <c r="P218" s="40" t="n">
        <v>0</v>
      </c>
      <c r="Q218" s="40" t="n">
        <v>0</v>
      </c>
      <c r="R218" s="47" t="n"/>
      <c r="S218" s="47" t="n"/>
      <c r="T218" s="47" t="n"/>
      <c r="U218" s="47" t="n"/>
      <c r="V218" s="47" t="n"/>
      <c r="W218" s="47" t="n"/>
    </row>
    <row r="219" ht="12" customHeight="1">
      <c r="A219" s="30" t="inlineStr">
        <is>
          <t>Areal</t>
        </is>
      </c>
      <c r="B219" s="30" t="n">
        <v>79532320</v>
      </c>
      <c r="C219" s="30">
        <f>"11799788000245"</f>
        <v/>
      </c>
      <c r="D219" s="30" t="inlineStr">
        <is>
          <t>NESTLE SUDESTE ALIMENTOS E BEBIDAS LTDA</t>
        </is>
      </c>
      <c r="E219" s="40" t="n">
        <v>0</v>
      </c>
      <c r="F219" s="40" t="n">
        <v>0</v>
      </c>
      <c r="G219" s="40" t="n">
        <v>0</v>
      </c>
      <c r="H219" s="40" t="n">
        <v>573977.09</v>
      </c>
      <c r="I219" s="40" t="n">
        <v>100</v>
      </c>
      <c r="J219" s="40" t="n">
        <v>0</v>
      </c>
      <c r="K219" s="46" t="n">
        <v>-100</v>
      </c>
      <c r="L219" s="40" t="n">
        <v>0</v>
      </c>
      <c r="M219" s="40" t="n">
        <v>0</v>
      </c>
      <c r="N219" s="40" t="n">
        <v>0</v>
      </c>
      <c r="O219" s="40" t="n">
        <v>0</v>
      </c>
      <c r="P219" s="40" t="n">
        <v>0</v>
      </c>
      <c r="Q219" s="40" t="n">
        <v>0</v>
      </c>
      <c r="R219" s="47" t="n"/>
      <c r="S219" s="47" t="n"/>
      <c r="T219" s="47" t="n"/>
      <c r="U219" s="47" t="n"/>
      <c r="V219" s="47" t="n"/>
      <c r="W219" s="47" t="n"/>
    </row>
    <row r="220" ht="12" customHeight="1">
      <c r="A220" s="30" t="inlineStr">
        <is>
          <t>Areal</t>
        </is>
      </c>
      <c r="B220" s="30" t="n">
        <v>79536644</v>
      </c>
      <c r="C220" s="30">
        <f>"50935436003751"</f>
        <v/>
      </c>
      <c r="D220" s="30" t="inlineStr">
        <is>
          <t>EXPRESSO JUNDIAI LOGISTICA E TRANSPORTE LTDA</t>
        </is>
      </c>
      <c r="E220" s="40" t="n">
        <v>72837.02</v>
      </c>
      <c r="F220" s="40" t="n">
        <v>0</v>
      </c>
      <c r="G220" s="46" t="n">
        <v>-100</v>
      </c>
      <c r="H220" s="40" t="n">
        <v>0</v>
      </c>
      <c r="I220" s="40" t="n">
        <v>0</v>
      </c>
      <c r="J220" s="40" t="n">
        <v>0</v>
      </c>
      <c r="K220" s="40" t="n">
        <v>0</v>
      </c>
      <c r="L220" s="40" t="n">
        <v>0</v>
      </c>
      <c r="M220" s="40" t="n">
        <v>0</v>
      </c>
      <c r="N220" s="40" t="n">
        <v>0</v>
      </c>
      <c r="O220" s="40" t="n">
        <v>0</v>
      </c>
      <c r="P220" s="40" t="n">
        <v>0</v>
      </c>
      <c r="Q220" s="40" t="n">
        <v>0</v>
      </c>
      <c r="R220" s="47" t="n"/>
      <c r="S220" s="47" t="n"/>
      <c r="T220" s="47" t="n"/>
      <c r="U220" s="47" t="n"/>
      <c r="V220" s="47" t="n"/>
      <c r="W220" s="47" t="n"/>
    </row>
    <row r="221" ht="12" customHeight="1">
      <c r="A221" s="30" t="inlineStr">
        <is>
          <t>Areal</t>
        </is>
      </c>
      <c r="B221" s="30" t="n">
        <v>79537837</v>
      </c>
      <c r="C221" s="30">
        <f>"33051491001120"</f>
        <v/>
      </c>
      <c r="D221" s="30" t="inlineStr">
        <is>
          <t>LABORATORIOS PIERRE FABRE DO BRASIL LTDA</t>
        </is>
      </c>
      <c r="E221" s="40" t="n">
        <v>60473486.38</v>
      </c>
      <c r="F221" s="40" t="n">
        <v>3618498.51</v>
      </c>
      <c r="G221" s="46" t="n">
        <v>-94.02</v>
      </c>
      <c r="H221" s="40" t="n">
        <v>665870.09</v>
      </c>
      <c r="I221" s="46" t="n">
        <v>-81.59999999999999</v>
      </c>
      <c r="J221" s="40" t="n">
        <v>2058664.88</v>
      </c>
      <c r="K221" s="40" t="n">
        <v>209.17</v>
      </c>
      <c r="L221" s="40" t="n">
        <v>7786954.17</v>
      </c>
      <c r="M221" s="40" t="n">
        <v>278.25</v>
      </c>
      <c r="N221" s="40" t="n">
        <v>0</v>
      </c>
      <c r="O221" s="46" t="n">
        <v>-100</v>
      </c>
      <c r="P221" s="40" t="n">
        <v>0</v>
      </c>
      <c r="Q221" s="40" t="n">
        <v>0</v>
      </c>
      <c r="R221" s="47" t="n"/>
      <c r="S221" s="47" t="n"/>
      <c r="T221" s="47" t="n"/>
      <c r="U221" s="47" t="n"/>
      <c r="V221" s="47" t="n"/>
      <c r="W221" s="47" t="n"/>
    </row>
    <row r="222" ht="12" customHeight="1">
      <c r="A222" s="30" t="inlineStr">
        <is>
          <t>Areal</t>
        </is>
      </c>
      <c r="B222" s="30" t="n">
        <v>79568600</v>
      </c>
      <c r="C222" s="30">
        <f>"13547587000103"</f>
        <v/>
      </c>
      <c r="D222" s="30" t="inlineStr">
        <is>
          <t>M3RX COMERCIO DE TELECOMUNICACOES LTDA</t>
        </is>
      </c>
      <c r="E222" s="40" t="n">
        <v>3152.79</v>
      </c>
      <c r="F222" s="40" t="n">
        <v>1684.68</v>
      </c>
      <c r="G222" s="46" t="n">
        <v>-46.57</v>
      </c>
      <c r="H222" s="40" t="n">
        <v>0</v>
      </c>
      <c r="I222" s="46" t="n">
        <v>-100</v>
      </c>
      <c r="J222" s="40" t="n">
        <v>0</v>
      </c>
      <c r="K222" s="40" t="n">
        <v>0</v>
      </c>
      <c r="L222" s="40" t="n">
        <v>0</v>
      </c>
      <c r="M222" s="40" t="n">
        <v>0</v>
      </c>
      <c r="N222" s="40" t="n">
        <v>0</v>
      </c>
      <c r="O222" s="40" t="n">
        <v>0</v>
      </c>
      <c r="P222" s="40" t="n">
        <v>0</v>
      </c>
      <c r="Q222" s="40" t="n">
        <v>0</v>
      </c>
      <c r="R222" s="47" t="n"/>
      <c r="S222" s="47" t="n"/>
      <c r="T222" s="47" t="n"/>
      <c r="U222" s="47" t="n"/>
      <c r="V222" s="47" t="n"/>
      <c r="W222" s="47" t="n"/>
    </row>
    <row r="223" ht="12" customHeight="1">
      <c r="A223" s="30" t="inlineStr">
        <is>
          <t>Areal</t>
        </is>
      </c>
      <c r="B223" s="30" t="n">
        <v>79574783</v>
      </c>
      <c r="C223" s="30">
        <f>"14856721000102"</f>
        <v/>
      </c>
      <c r="D223" s="30" t="inlineStr">
        <is>
          <t>CORSINO MOVEIS E MADEIRAS LTDA ME</t>
        </is>
      </c>
      <c r="E223" s="40" t="n">
        <v>0</v>
      </c>
      <c r="F223" s="40" t="n">
        <v>0</v>
      </c>
      <c r="G223" s="40" t="n">
        <v>0</v>
      </c>
      <c r="H223" s="40" t="n">
        <v>0</v>
      </c>
      <c r="I223" s="40" t="n">
        <v>0</v>
      </c>
      <c r="J223" s="40" t="n">
        <v>0</v>
      </c>
      <c r="K223" s="40" t="n">
        <v>0</v>
      </c>
      <c r="L223" s="40" t="n">
        <v>0</v>
      </c>
      <c r="M223" s="40" t="n">
        <v>0</v>
      </c>
      <c r="N223" s="40" t="n">
        <v>0</v>
      </c>
      <c r="O223" s="40" t="n">
        <v>0</v>
      </c>
      <c r="P223" s="40" t="n">
        <v>0</v>
      </c>
      <c r="Q223" s="40" t="n">
        <v>0</v>
      </c>
      <c r="R223" s="47" t="n"/>
      <c r="S223" s="47" t="n"/>
      <c r="T223" s="47" t="n"/>
      <c r="U223" s="47" t="n"/>
      <c r="V223" s="47" t="n"/>
      <c r="W223" s="47" t="n"/>
    </row>
    <row r="224" ht="12" customHeight="1">
      <c r="A224" s="30" t="inlineStr">
        <is>
          <t>Areal</t>
        </is>
      </c>
      <c r="B224" s="30" t="n">
        <v>79582980</v>
      </c>
      <c r="C224" s="30">
        <f>"78815958001280"</f>
        <v/>
      </c>
      <c r="D224" s="30" t="inlineStr">
        <is>
          <t>JOSE OSVALDO DE OLIVEIRA EIRELI</t>
        </is>
      </c>
      <c r="E224" s="40" t="n">
        <v>0.12</v>
      </c>
      <c r="F224" s="40" t="n">
        <v>0</v>
      </c>
      <c r="G224" s="46" t="n">
        <v>-100</v>
      </c>
      <c r="H224" s="40" t="n">
        <v>0</v>
      </c>
      <c r="I224" s="40" t="n">
        <v>0</v>
      </c>
      <c r="J224" s="40" t="n">
        <v>0</v>
      </c>
      <c r="K224" s="40" t="n">
        <v>0</v>
      </c>
      <c r="L224" s="40" t="n">
        <v>0</v>
      </c>
      <c r="M224" s="40" t="n">
        <v>0</v>
      </c>
      <c r="N224" s="40" t="n">
        <v>164.18</v>
      </c>
      <c r="O224" s="40" t="n">
        <v>100</v>
      </c>
      <c r="P224" s="40" t="n">
        <v>146.9</v>
      </c>
      <c r="Q224" s="46" t="n">
        <v>-10.53</v>
      </c>
      <c r="R224" s="47" t="n"/>
      <c r="S224" s="47" t="n"/>
      <c r="T224" s="47" t="n"/>
      <c r="U224" s="47" t="n"/>
      <c r="V224" s="47" t="n"/>
      <c r="W224" s="47" t="n"/>
    </row>
    <row r="225" ht="12" customHeight="1">
      <c r="A225" s="30" t="inlineStr">
        <is>
          <t>Areal</t>
        </is>
      </c>
      <c r="B225" s="30" t="n">
        <v>79622761</v>
      </c>
      <c r="C225" s="30">
        <f>"15163525000115"</f>
        <v/>
      </c>
      <c r="D225" s="30" t="inlineStr">
        <is>
          <t>COTRIM TRANSPORTE E LOCACAO DE MAQUINAS EIRELI ME</t>
        </is>
      </c>
      <c r="E225" s="40" t="n">
        <v>0</v>
      </c>
      <c r="F225" s="40" t="n">
        <v>1800</v>
      </c>
      <c r="G225" s="40" t="n">
        <v>100</v>
      </c>
      <c r="H225" s="40" t="n">
        <v>0</v>
      </c>
      <c r="I225" s="46" t="n">
        <v>-100</v>
      </c>
      <c r="J225" s="40" t="n">
        <v>0</v>
      </c>
      <c r="K225" s="40" t="n">
        <v>0</v>
      </c>
      <c r="L225" s="40" t="n">
        <v>0</v>
      </c>
      <c r="M225" s="40" t="n">
        <v>0</v>
      </c>
      <c r="N225" s="40" t="n">
        <v>0</v>
      </c>
      <c r="O225" s="40" t="n">
        <v>0</v>
      </c>
      <c r="P225" s="40" t="n">
        <v>0</v>
      </c>
      <c r="Q225" s="40" t="n">
        <v>0</v>
      </c>
      <c r="R225" s="47" t="n"/>
      <c r="S225" s="47" t="n"/>
      <c r="T225" s="47" t="n"/>
      <c r="U225" s="47" t="n"/>
      <c r="V225" s="47" t="n"/>
      <c r="W225" s="47" t="n"/>
    </row>
    <row r="226" ht="12" customHeight="1">
      <c r="A226" s="30" t="inlineStr">
        <is>
          <t>Areal</t>
        </is>
      </c>
      <c r="B226" s="30" t="n">
        <v>79639990</v>
      </c>
      <c r="C226" s="30">
        <f>"04605519000235"</f>
        <v/>
      </c>
      <c r="D226" s="30" t="inlineStr">
        <is>
          <t>TRANS TRUCK LOGISTICA E TRANSPORTES LTDA</t>
        </is>
      </c>
      <c r="E226" s="40" t="n">
        <v>0</v>
      </c>
      <c r="F226" s="40" t="n">
        <v>0</v>
      </c>
      <c r="G226" s="40" t="n">
        <v>0</v>
      </c>
      <c r="H226" s="40" t="n">
        <v>58.52</v>
      </c>
      <c r="I226" s="40" t="n">
        <v>100</v>
      </c>
      <c r="J226" s="40" t="n">
        <v>18.09</v>
      </c>
      <c r="K226" s="46" t="n">
        <v>-69.09</v>
      </c>
      <c r="L226" s="40" t="n">
        <v>0</v>
      </c>
      <c r="M226" s="46" t="n">
        <v>-100</v>
      </c>
      <c r="N226" s="40" t="n">
        <v>0</v>
      </c>
      <c r="O226" s="40" t="n">
        <v>0</v>
      </c>
      <c r="P226" s="40" t="n">
        <v>0</v>
      </c>
      <c r="Q226" s="40" t="n">
        <v>0</v>
      </c>
      <c r="R226" s="47" t="n"/>
      <c r="S226" s="47" t="n"/>
      <c r="T226" s="47" t="n"/>
      <c r="U226" s="47" t="n"/>
      <c r="V226" s="47" t="n"/>
      <c r="W226" s="47" t="n"/>
    </row>
    <row r="227" ht="12" customHeight="1">
      <c r="A227" s="30" t="inlineStr">
        <is>
          <t>Areal</t>
        </is>
      </c>
      <c r="B227" s="30" t="n">
        <v>79653918</v>
      </c>
      <c r="C227" s="30">
        <f>"12738343000137"</f>
        <v/>
      </c>
      <c r="D227" s="30" t="inlineStr">
        <is>
          <t>ELISANDRO DE MELO P SERV ELET E COM DE PEC EM VEIC AUT ME</t>
        </is>
      </c>
      <c r="E227" s="40" t="n">
        <v>0</v>
      </c>
      <c r="F227" s="40" t="n">
        <v>0</v>
      </c>
      <c r="G227" s="40" t="n">
        <v>0</v>
      </c>
      <c r="H227" s="40" t="n">
        <v>0</v>
      </c>
      <c r="I227" s="40" t="n">
        <v>0</v>
      </c>
      <c r="J227" s="40" t="n">
        <v>0</v>
      </c>
      <c r="K227" s="40" t="n">
        <v>0</v>
      </c>
      <c r="L227" s="40" t="n">
        <v>0</v>
      </c>
      <c r="M227" s="40" t="n">
        <v>0</v>
      </c>
      <c r="N227" s="40" t="n">
        <v>0</v>
      </c>
      <c r="O227" s="40" t="n">
        <v>0</v>
      </c>
      <c r="P227" s="40" t="n">
        <v>0</v>
      </c>
      <c r="Q227" s="40" t="n">
        <v>0</v>
      </c>
      <c r="R227" s="47" t="n"/>
      <c r="S227" s="47" t="n"/>
      <c r="T227" s="47" t="n"/>
      <c r="U227" s="47" t="n"/>
      <c r="V227" s="47" t="n"/>
      <c r="W227" s="47" t="n"/>
    </row>
    <row r="228" ht="12" customHeight="1">
      <c r="A228" s="30" t="inlineStr">
        <is>
          <t>Areal</t>
        </is>
      </c>
      <c r="B228" s="30" t="n">
        <v>79722049</v>
      </c>
      <c r="C228" s="30">
        <f>"16539434000102"</f>
        <v/>
      </c>
      <c r="D228" s="30" t="inlineStr">
        <is>
          <t>CORTASIO COMERCIO DE VEICULOS EIRELI</t>
        </is>
      </c>
      <c r="E228" s="40" t="n">
        <v>173000</v>
      </c>
      <c r="F228" s="40" t="n">
        <v>205000</v>
      </c>
      <c r="G228" s="40" t="n">
        <v>18.5</v>
      </c>
      <c r="H228" s="40" t="n">
        <v>217300</v>
      </c>
      <c r="I228" s="40" t="n">
        <v>6</v>
      </c>
      <c r="J228" s="40" t="n">
        <v>188500</v>
      </c>
      <c r="K228" s="46" t="n">
        <v>-13.25</v>
      </c>
      <c r="L228" s="40" t="n">
        <v>85000</v>
      </c>
      <c r="M228" s="46" t="n">
        <v>-54.91</v>
      </c>
      <c r="N228" s="40" t="n">
        <v>169000</v>
      </c>
      <c r="O228" s="40" t="n">
        <v>98.81999999999999</v>
      </c>
      <c r="P228" s="40" t="n">
        <v>269000</v>
      </c>
      <c r="Q228" s="40" t="n">
        <v>59.17</v>
      </c>
      <c r="R228" s="47" t="n"/>
      <c r="S228" s="47" t="n"/>
      <c r="T228" s="47" t="n"/>
      <c r="U228" s="47" t="n"/>
      <c r="V228" s="47" t="n"/>
      <c r="W228" s="47" t="n"/>
    </row>
    <row r="229" ht="12" customHeight="1">
      <c r="A229" s="30" t="inlineStr">
        <is>
          <t>Areal</t>
        </is>
      </c>
      <c r="B229" s="30" t="n">
        <v>79747432</v>
      </c>
      <c r="C229" s="30">
        <f>"16842610000172"</f>
        <v/>
      </c>
      <c r="D229" s="30" t="inlineStr">
        <is>
          <t>P P M DE FREITAS REAL BAMBU</t>
        </is>
      </c>
      <c r="E229" s="40" t="n">
        <v>0</v>
      </c>
      <c r="F229" s="40" t="n">
        <v>0</v>
      </c>
      <c r="G229" s="40" t="n">
        <v>0</v>
      </c>
      <c r="H229" s="40" t="n">
        <v>0</v>
      </c>
      <c r="I229" s="40" t="n">
        <v>0</v>
      </c>
      <c r="J229" s="40" t="n">
        <v>0</v>
      </c>
      <c r="K229" s="40" t="n">
        <v>0</v>
      </c>
      <c r="L229" s="40" t="n">
        <v>0</v>
      </c>
      <c r="M229" s="40" t="n">
        <v>0</v>
      </c>
      <c r="N229" s="40" t="n">
        <v>0</v>
      </c>
      <c r="O229" s="40" t="n">
        <v>0</v>
      </c>
      <c r="P229" s="40" t="n">
        <v>0</v>
      </c>
      <c r="Q229" s="40" t="n">
        <v>0</v>
      </c>
      <c r="R229" s="47" t="n"/>
      <c r="S229" s="47" t="n"/>
      <c r="T229" s="47" t="n"/>
      <c r="U229" s="47" t="n"/>
      <c r="V229" s="47" t="n"/>
      <c r="W229" s="47" t="n"/>
    </row>
    <row r="230" ht="12" customHeight="1">
      <c r="A230" s="30" t="inlineStr">
        <is>
          <t>Areal</t>
        </is>
      </c>
      <c r="B230" s="30" t="n">
        <v>79757934</v>
      </c>
      <c r="C230" s="30">
        <f>"16907562000153"</f>
        <v/>
      </c>
      <c r="D230" s="30" t="inlineStr">
        <is>
          <t>VAREJAO SALDANHA LTDA EPP</t>
        </is>
      </c>
      <c r="E230" s="40" t="n">
        <v>0</v>
      </c>
      <c r="F230" s="40" t="n">
        <v>0</v>
      </c>
      <c r="G230" s="40" t="n">
        <v>0</v>
      </c>
      <c r="H230" s="40" t="n">
        <v>0</v>
      </c>
      <c r="I230" s="40" t="n">
        <v>0</v>
      </c>
      <c r="J230" s="40" t="n">
        <v>0</v>
      </c>
      <c r="K230" s="40" t="n">
        <v>0</v>
      </c>
      <c r="L230" s="40" t="n">
        <v>0</v>
      </c>
      <c r="M230" s="40" t="n">
        <v>0</v>
      </c>
      <c r="N230" s="40" t="n">
        <v>0</v>
      </c>
      <c r="O230" s="40" t="n">
        <v>0</v>
      </c>
      <c r="P230" s="40" t="n">
        <v>0</v>
      </c>
      <c r="Q230" s="40" t="n">
        <v>0</v>
      </c>
      <c r="R230" s="47" t="n"/>
      <c r="S230" s="47" t="n"/>
      <c r="T230" s="47" t="n"/>
      <c r="U230" s="47" t="n"/>
      <c r="V230" s="47" t="n"/>
      <c r="W230" s="47" t="n"/>
    </row>
    <row r="231" ht="12" customHeight="1">
      <c r="A231" s="30" t="inlineStr">
        <is>
          <t>Areal</t>
        </is>
      </c>
      <c r="B231" s="30" t="n">
        <v>79789461</v>
      </c>
      <c r="C231" s="30">
        <f>"12842869000162"</f>
        <v/>
      </c>
      <c r="D231" s="30" t="inlineStr">
        <is>
          <t>NEWSTEC - SERVICO TECNICO EM MONTAGEM, MANUTENCAO DE CALDEIRAS E CONSTRUCOES EIRELI</t>
        </is>
      </c>
      <c r="E231" s="40" t="n">
        <v>0</v>
      </c>
      <c r="F231" s="40" t="n">
        <v>0</v>
      </c>
      <c r="G231" s="40" t="n">
        <v>0</v>
      </c>
      <c r="H231" s="40" t="n">
        <v>0</v>
      </c>
      <c r="I231" s="40" t="n">
        <v>0</v>
      </c>
      <c r="J231" s="40" t="n">
        <v>360967.44</v>
      </c>
      <c r="K231" s="40" t="n">
        <v>100</v>
      </c>
      <c r="L231" s="40" t="n">
        <v>0</v>
      </c>
      <c r="M231" s="46" t="n">
        <v>-100</v>
      </c>
      <c r="N231" s="40" t="n">
        <v>0</v>
      </c>
      <c r="O231" s="40" t="n">
        <v>0</v>
      </c>
      <c r="P231" s="40" t="n">
        <v>1053476.25</v>
      </c>
      <c r="Q231" s="40" t="n">
        <v>100</v>
      </c>
      <c r="R231" s="47" t="n"/>
      <c r="S231" s="47" t="n"/>
      <c r="T231" s="47" t="n"/>
      <c r="U231" s="47" t="n"/>
      <c r="V231" s="47" t="n"/>
      <c r="W231" s="47" t="n"/>
    </row>
    <row r="232" ht="12" customHeight="1">
      <c r="A232" s="30" t="inlineStr">
        <is>
          <t>Areal</t>
        </is>
      </c>
      <c r="B232" s="30" t="n">
        <v>79790869</v>
      </c>
      <c r="C232" s="30">
        <f>"15694108000107"</f>
        <v/>
      </c>
      <c r="D232" s="30" t="inlineStr">
        <is>
          <t>ARIEL DIAS CURVELLO CRIACAO DE CAVALOS</t>
        </is>
      </c>
      <c r="E232" s="40" t="n">
        <v>0</v>
      </c>
      <c r="F232" s="40" t="n">
        <v>0</v>
      </c>
      <c r="G232" s="40" t="n">
        <v>0</v>
      </c>
      <c r="H232" s="40" t="n">
        <v>0</v>
      </c>
      <c r="I232" s="40" t="n">
        <v>0</v>
      </c>
      <c r="J232" s="40" t="n">
        <v>0</v>
      </c>
      <c r="K232" s="40" t="n">
        <v>0</v>
      </c>
      <c r="L232" s="40" t="n">
        <v>0</v>
      </c>
      <c r="M232" s="40" t="n">
        <v>0</v>
      </c>
      <c r="N232" s="40" t="n">
        <v>0</v>
      </c>
      <c r="O232" s="40" t="n">
        <v>0</v>
      </c>
      <c r="P232" s="40" t="n">
        <v>0</v>
      </c>
      <c r="Q232" s="40" t="n">
        <v>0</v>
      </c>
      <c r="R232" s="47" t="n"/>
      <c r="S232" s="47" t="n"/>
      <c r="T232" s="47" t="n"/>
      <c r="U232" s="47" t="n"/>
      <c r="V232" s="47" t="n"/>
      <c r="W232" s="47" t="n"/>
    </row>
    <row r="233" ht="12" customHeight="1">
      <c r="A233" s="30" t="inlineStr">
        <is>
          <t>Areal</t>
        </is>
      </c>
      <c r="B233" s="30" t="n">
        <v>79798460</v>
      </c>
      <c r="C233" s="30">
        <f>"05597965000470"</f>
        <v/>
      </c>
      <c r="D233" s="30" t="inlineStr">
        <is>
          <t>KR TRANSPORTES E LOGISTICA LTDA</t>
        </is>
      </c>
      <c r="E233" s="40" t="n">
        <v>0</v>
      </c>
      <c r="F233" s="40" t="n">
        <v>0</v>
      </c>
      <c r="G233" s="40" t="n">
        <v>0</v>
      </c>
      <c r="H233" s="40" t="n">
        <v>0</v>
      </c>
      <c r="I233" s="40" t="n">
        <v>0</v>
      </c>
      <c r="J233" s="40" t="n">
        <v>0</v>
      </c>
      <c r="K233" s="40" t="n">
        <v>0</v>
      </c>
      <c r="L233" s="40" t="n">
        <v>0</v>
      </c>
      <c r="M233" s="40" t="n">
        <v>0</v>
      </c>
      <c r="N233" s="40" t="n">
        <v>0</v>
      </c>
      <c r="O233" s="40" t="n">
        <v>0</v>
      </c>
      <c r="P233" s="40" t="n">
        <v>172.31</v>
      </c>
      <c r="Q233" s="40" t="n">
        <v>100</v>
      </c>
      <c r="R233" s="47" t="n"/>
      <c r="S233" s="47" t="n"/>
      <c r="T233" s="47" t="n"/>
      <c r="U233" s="47" t="n"/>
      <c r="V233" s="47" t="n"/>
      <c r="W233" s="47" t="n"/>
    </row>
    <row r="234" ht="12" customHeight="1">
      <c r="A234" s="30" t="inlineStr">
        <is>
          <t>Areal</t>
        </is>
      </c>
      <c r="B234" s="30" t="n">
        <v>79810169</v>
      </c>
      <c r="C234" s="30">
        <f>"01838723041311"</f>
        <v/>
      </c>
      <c r="D234" s="30" t="inlineStr">
        <is>
          <t>BRF S A</t>
        </is>
      </c>
      <c r="E234" s="40" t="n">
        <v>0</v>
      </c>
      <c r="F234" s="40" t="n">
        <v>0</v>
      </c>
      <c r="G234" s="40" t="n">
        <v>0</v>
      </c>
      <c r="H234" s="40" t="n">
        <v>0</v>
      </c>
      <c r="I234" s="40" t="n">
        <v>0</v>
      </c>
      <c r="J234" s="40" t="n">
        <v>0</v>
      </c>
      <c r="K234" s="40" t="n">
        <v>0</v>
      </c>
      <c r="L234" s="40" t="n">
        <v>0</v>
      </c>
      <c r="M234" s="40" t="n">
        <v>0</v>
      </c>
      <c r="N234" s="40" t="n">
        <v>22686.83</v>
      </c>
      <c r="O234" s="40" t="n">
        <v>100</v>
      </c>
      <c r="P234" s="40" t="n">
        <v>94120.14999999999</v>
      </c>
      <c r="Q234" s="40" t="n">
        <v>314.87</v>
      </c>
      <c r="R234" s="47" t="n"/>
      <c r="S234" s="47" t="n"/>
      <c r="T234" s="47" t="n"/>
      <c r="U234" s="47" t="n"/>
      <c r="V234" s="47" t="n"/>
      <c r="W234" s="47" t="n"/>
    </row>
    <row r="235" ht="12" customHeight="1">
      <c r="A235" s="30" t="inlineStr">
        <is>
          <t>Areal</t>
        </is>
      </c>
      <c r="B235" s="30" t="n">
        <v>79812927</v>
      </c>
      <c r="C235" s="30">
        <f>"12591548000213"</f>
        <v/>
      </c>
      <c r="D235" s="30" t="inlineStr">
        <is>
          <t>EFX TRANSPORTES E LOGISTICA LTDA</t>
        </is>
      </c>
      <c r="E235" s="40" t="n">
        <v>122.45</v>
      </c>
      <c r="F235" s="40" t="n">
        <v>0</v>
      </c>
      <c r="G235" s="46" t="n">
        <v>-100</v>
      </c>
      <c r="H235" s="40" t="n">
        <v>0</v>
      </c>
      <c r="I235" s="40" t="n">
        <v>0</v>
      </c>
      <c r="J235" s="40" t="n">
        <v>0</v>
      </c>
      <c r="K235" s="40" t="n">
        <v>0</v>
      </c>
      <c r="L235" s="40" t="n">
        <v>0</v>
      </c>
      <c r="M235" s="40" t="n">
        <v>0</v>
      </c>
      <c r="N235" s="40" t="n">
        <v>0</v>
      </c>
      <c r="O235" s="40" t="n">
        <v>0</v>
      </c>
      <c r="P235" s="40" t="n">
        <v>0</v>
      </c>
      <c r="Q235" s="40" t="n">
        <v>0</v>
      </c>
      <c r="R235" s="47" t="n"/>
      <c r="S235" s="47" t="n"/>
      <c r="T235" s="47" t="n"/>
      <c r="U235" s="47" t="n"/>
      <c r="V235" s="47" t="n"/>
      <c r="W235" s="47" t="n"/>
    </row>
    <row r="236" ht="12" customHeight="1">
      <c r="A236" s="30" t="inlineStr">
        <is>
          <t>Areal</t>
        </is>
      </c>
      <c r="B236" s="30" t="n">
        <v>79816930</v>
      </c>
      <c r="C236" s="30">
        <f>"05423963013361"</f>
        <v/>
      </c>
      <c r="D236" s="30" t="inlineStr">
        <is>
          <t>OI MOVEL S.A. - EM RECUPERACAO JUDICIAL</t>
        </is>
      </c>
      <c r="E236" s="40" t="n">
        <v>600561.89</v>
      </c>
      <c r="F236" s="40" t="n">
        <v>547903.4</v>
      </c>
      <c r="G236" s="46" t="n">
        <v>-8.77</v>
      </c>
      <c r="H236" s="40" t="n">
        <v>496761.13</v>
      </c>
      <c r="I236" s="46" t="n">
        <v>-9.33</v>
      </c>
      <c r="J236" s="40" t="n">
        <v>504215.56</v>
      </c>
      <c r="K236" s="40" t="n">
        <v>1.5</v>
      </c>
      <c r="L236" s="40" t="n">
        <v>526478.9399999999</v>
      </c>
      <c r="M236" s="40" t="n">
        <v>4.42</v>
      </c>
      <c r="N236" s="40" t="n">
        <v>42641.45</v>
      </c>
      <c r="O236" s="46" t="n">
        <v>-91.90000000000001</v>
      </c>
      <c r="P236" s="40" t="n">
        <v>0</v>
      </c>
      <c r="Q236" s="46" t="n">
        <v>-100</v>
      </c>
      <c r="R236" s="47" t="n"/>
      <c r="S236" s="47" t="n"/>
      <c r="T236" s="47" t="n"/>
      <c r="U236" s="47" t="n"/>
      <c r="V236" s="47" t="n"/>
      <c r="W236" s="47" t="n"/>
    </row>
    <row r="237" ht="12" customHeight="1">
      <c r="A237" s="30" t="inlineStr">
        <is>
          <t>Areal</t>
        </is>
      </c>
      <c r="B237" s="30" t="n">
        <v>79825719</v>
      </c>
      <c r="C237" s="30">
        <f>"11040609000100"</f>
        <v/>
      </c>
      <c r="D237" s="30" t="inlineStr">
        <is>
          <t>H D LOG TRANSPORTES LTDA ME</t>
        </is>
      </c>
      <c r="E237" s="40" t="n">
        <v>0</v>
      </c>
      <c r="F237" s="40" t="n">
        <v>0</v>
      </c>
      <c r="G237" s="40" t="n">
        <v>0</v>
      </c>
      <c r="H237" s="40" t="n">
        <v>0</v>
      </c>
      <c r="I237" s="40" t="n">
        <v>0</v>
      </c>
      <c r="J237" s="40" t="n">
        <v>0</v>
      </c>
      <c r="K237" s="40" t="n">
        <v>0</v>
      </c>
      <c r="L237" s="40" t="n">
        <v>0</v>
      </c>
      <c r="M237" s="40" t="n">
        <v>0</v>
      </c>
      <c r="N237" s="40" t="n">
        <v>486.37</v>
      </c>
      <c r="O237" s="40" t="n">
        <v>100</v>
      </c>
      <c r="P237" s="40" t="n">
        <v>0</v>
      </c>
      <c r="Q237" s="46" t="n">
        <v>-100</v>
      </c>
      <c r="R237" s="47" t="n"/>
      <c r="S237" s="47" t="n"/>
      <c r="T237" s="47" t="n"/>
      <c r="U237" s="47" t="n"/>
      <c r="V237" s="47" t="n"/>
      <c r="W237" s="47" t="n"/>
    </row>
    <row r="238" ht="12" customHeight="1">
      <c r="A238" s="30" t="inlineStr">
        <is>
          <t>Areal</t>
        </is>
      </c>
      <c r="B238" s="30" t="n">
        <v>79893587</v>
      </c>
      <c r="C238" s="30">
        <f>"17893044000190"</f>
        <v/>
      </c>
      <c r="D238" s="30" t="inlineStr">
        <is>
          <t>RARO COMERCIO E SERVIÇOS EIRELI</t>
        </is>
      </c>
      <c r="E238" s="40" t="n">
        <v>0</v>
      </c>
      <c r="F238" s="40" t="n">
        <v>0</v>
      </c>
      <c r="G238" s="40" t="n">
        <v>0</v>
      </c>
      <c r="H238" s="40" t="n">
        <v>1515462.29</v>
      </c>
      <c r="I238" s="40" t="n">
        <v>100</v>
      </c>
      <c r="J238" s="40" t="n">
        <v>0</v>
      </c>
      <c r="K238" s="46" t="n">
        <v>-100</v>
      </c>
      <c r="L238" s="40" t="n">
        <v>0</v>
      </c>
      <c r="M238" s="40" t="n">
        <v>0</v>
      </c>
      <c r="N238" s="40" t="n">
        <v>0</v>
      </c>
      <c r="O238" s="40" t="n">
        <v>0</v>
      </c>
      <c r="P238" s="40" t="n">
        <v>0</v>
      </c>
      <c r="Q238" s="40" t="n">
        <v>0</v>
      </c>
      <c r="R238" s="47" t="n"/>
      <c r="S238" s="47" t="n"/>
      <c r="T238" s="47" t="n"/>
      <c r="U238" s="47" t="n"/>
      <c r="V238" s="47" t="n"/>
      <c r="W238" s="47" t="n"/>
    </row>
    <row r="239" ht="12" customHeight="1">
      <c r="A239" s="30" t="inlineStr">
        <is>
          <t>Areal</t>
        </is>
      </c>
      <c r="B239" s="30" t="n">
        <v>79918768</v>
      </c>
      <c r="C239" s="30">
        <f>"17636490000110"</f>
        <v/>
      </c>
      <c r="D239" s="30" t="inlineStr">
        <is>
          <t>TMA TRANSPORTE LOTACAO E LOGISTICA LTDA</t>
        </is>
      </c>
      <c r="E239" s="40" t="n">
        <v>0</v>
      </c>
      <c r="F239" s="40" t="n">
        <v>288.79</v>
      </c>
      <c r="G239" s="40" t="n">
        <v>100</v>
      </c>
      <c r="H239" s="40" t="n">
        <v>523.6900000000001</v>
      </c>
      <c r="I239" s="40" t="n">
        <v>81.34</v>
      </c>
      <c r="J239" s="40" t="n">
        <v>125.53</v>
      </c>
      <c r="K239" s="46" t="n">
        <v>-76.03</v>
      </c>
      <c r="L239" s="40" t="n">
        <v>0</v>
      </c>
      <c r="M239" s="46" t="n">
        <v>-100</v>
      </c>
      <c r="N239" s="40" t="n">
        <v>0</v>
      </c>
      <c r="O239" s="40" t="n">
        <v>0</v>
      </c>
      <c r="P239" s="40" t="n">
        <v>0</v>
      </c>
      <c r="Q239" s="40" t="n">
        <v>0</v>
      </c>
      <c r="R239" s="47" t="n"/>
      <c r="S239" s="47" t="n"/>
      <c r="T239" s="47" t="n"/>
      <c r="U239" s="47" t="n"/>
      <c r="V239" s="47" t="n"/>
      <c r="W239" s="47" t="n"/>
    </row>
    <row r="240" ht="12" customHeight="1">
      <c r="A240" s="30" t="inlineStr">
        <is>
          <t>Areal</t>
        </is>
      </c>
      <c r="B240" s="30" t="n">
        <v>79933635</v>
      </c>
      <c r="C240" s="30">
        <f>"18265135000144"</f>
        <v/>
      </c>
      <c r="D240" s="30" t="inlineStr">
        <is>
          <t>H TEIXEIRA NETO PRODUTOS DE LIMPEZA</t>
        </is>
      </c>
      <c r="E240" s="40" t="n">
        <v>0</v>
      </c>
      <c r="F240" s="40" t="n">
        <v>0</v>
      </c>
      <c r="G240" s="40" t="n">
        <v>0</v>
      </c>
      <c r="H240" s="40" t="n">
        <v>0</v>
      </c>
      <c r="I240" s="40" t="n">
        <v>0</v>
      </c>
      <c r="J240" s="40" t="n">
        <v>0</v>
      </c>
      <c r="K240" s="40" t="n">
        <v>0</v>
      </c>
      <c r="L240" s="40" t="n">
        <v>0</v>
      </c>
      <c r="M240" s="40" t="n">
        <v>0</v>
      </c>
      <c r="N240" s="40" t="n">
        <v>0</v>
      </c>
      <c r="O240" s="40" t="n">
        <v>0</v>
      </c>
      <c r="P240" s="40" t="n">
        <v>0</v>
      </c>
      <c r="Q240" s="40" t="n">
        <v>0</v>
      </c>
      <c r="R240" s="47" t="n"/>
      <c r="S240" s="47" t="n"/>
      <c r="T240" s="47" t="n"/>
      <c r="U240" s="47" t="n"/>
      <c r="V240" s="47" t="n"/>
      <c r="W240" s="47" t="n"/>
    </row>
    <row r="241" ht="12" customHeight="1">
      <c r="A241" s="30" t="inlineStr">
        <is>
          <t>Areal</t>
        </is>
      </c>
      <c r="B241" s="30" t="n">
        <v>79979619</v>
      </c>
      <c r="C241" s="30">
        <f>"18485555000136"</f>
        <v/>
      </c>
      <c r="D241" s="30" t="inlineStr">
        <is>
          <t>VELOEX LOGISTICA E TRANSPORTES DE CARGAS LTDA EPP</t>
        </is>
      </c>
      <c r="E241" s="40" t="n">
        <v>0</v>
      </c>
      <c r="F241" s="40" t="n">
        <v>0</v>
      </c>
      <c r="G241" s="40" t="n">
        <v>0</v>
      </c>
      <c r="H241" s="40" t="n">
        <v>0</v>
      </c>
      <c r="I241" s="40" t="n">
        <v>0</v>
      </c>
      <c r="J241" s="40" t="n">
        <v>158.04</v>
      </c>
      <c r="K241" s="40" t="n">
        <v>100</v>
      </c>
      <c r="L241" s="40" t="n">
        <v>0</v>
      </c>
      <c r="M241" s="46" t="n">
        <v>-100</v>
      </c>
      <c r="N241" s="40" t="n">
        <v>0</v>
      </c>
      <c r="O241" s="40" t="n">
        <v>0</v>
      </c>
      <c r="P241" s="40" t="n">
        <v>0</v>
      </c>
      <c r="Q241" s="40" t="n">
        <v>0</v>
      </c>
      <c r="R241" s="47" t="n"/>
      <c r="S241" s="47" t="n"/>
      <c r="T241" s="47" t="n"/>
      <c r="U241" s="47" t="n"/>
      <c r="V241" s="47" t="n"/>
      <c r="W241" s="47" t="n"/>
    </row>
    <row r="242" ht="12" customHeight="1">
      <c r="A242" s="30" t="inlineStr">
        <is>
          <t>Areal</t>
        </is>
      </c>
      <c r="B242" s="30" t="n">
        <v>80046561</v>
      </c>
      <c r="C242" s="30">
        <f>"33050071000158"</f>
        <v/>
      </c>
      <c r="D242" s="30" t="inlineStr">
        <is>
          <t>AMPLA ENERGIA E SERVICOS S.A.</t>
        </is>
      </c>
      <c r="E242" s="40" t="n">
        <v>14897501.74</v>
      </c>
      <c r="F242" s="40" t="n">
        <v>16794962.62</v>
      </c>
      <c r="G242" s="40" t="n">
        <v>12.74</v>
      </c>
      <c r="H242" s="40" t="n">
        <v>18304939.41</v>
      </c>
      <c r="I242" s="40" t="n">
        <v>8.99</v>
      </c>
      <c r="J242" s="40" t="n">
        <v>17820848.99</v>
      </c>
      <c r="K242" s="46" t="n">
        <v>-2.64</v>
      </c>
      <c r="L242" s="40" t="n">
        <v>20486129.47</v>
      </c>
      <c r="M242" s="40" t="n">
        <v>14.96</v>
      </c>
      <c r="N242" s="40" t="n">
        <v>23195294.6</v>
      </c>
      <c r="O242" s="40" t="n">
        <v>13.22</v>
      </c>
      <c r="P242" s="40" t="n">
        <v>24647183.54</v>
      </c>
      <c r="Q242" s="40" t="n">
        <v>6.26</v>
      </c>
      <c r="R242" s="47" t="n"/>
      <c r="S242" s="47" t="n"/>
      <c r="T242" s="47" t="n"/>
      <c r="U242" s="47" t="n"/>
      <c r="V242" s="47" t="n"/>
      <c r="W242" s="47" t="n"/>
    </row>
    <row r="243" ht="12" customHeight="1">
      <c r="A243" s="30" t="inlineStr">
        <is>
          <t>Areal</t>
        </is>
      </c>
      <c r="B243" s="30" t="n">
        <v>80048068</v>
      </c>
      <c r="C243" s="30">
        <f>"30069314000101"</f>
        <v/>
      </c>
      <c r="D243" s="30" t="inlineStr">
        <is>
          <t>AUTO VIACAO 1001 LTDA</t>
        </is>
      </c>
      <c r="E243" s="40" t="n">
        <v>0</v>
      </c>
      <c r="F243" s="40" t="n">
        <v>0</v>
      </c>
      <c r="G243" s="40" t="n">
        <v>0</v>
      </c>
      <c r="H243" s="40" t="n">
        <v>0</v>
      </c>
      <c r="I243" s="40" t="n">
        <v>0</v>
      </c>
      <c r="J243" s="40" t="n">
        <v>0</v>
      </c>
      <c r="K243" s="40" t="n">
        <v>0</v>
      </c>
      <c r="L243" s="40" t="n">
        <v>0</v>
      </c>
      <c r="M243" s="40" t="n">
        <v>0</v>
      </c>
      <c r="N243" s="40" t="n">
        <v>3450</v>
      </c>
      <c r="O243" s="40" t="n">
        <v>100</v>
      </c>
      <c r="P243" s="40" t="n">
        <v>0</v>
      </c>
      <c r="Q243" s="46" t="n">
        <v>-100</v>
      </c>
      <c r="R243" s="47" t="n"/>
      <c r="S243" s="47" t="n"/>
      <c r="T243" s="47" t="n"/>
      <c r="U243" s="47" t="n"/>
      <c r="V243" s="47" t="n"/>
      <c r="W243" s="47" t="n"/>
    </row>
    <row r="244" ht="12" customHeight="1">
      <c r="A244" s="30" t="inlineStr">
        <is>
          <t>Areal</t>
        </is>
      </c>
      <c r="B244" s="30" t="n">
        <v>80428197</v>
      </c>
      <c r="C244" s="30">
        <f>"28568392000109"</f>
        <v/>
      </c>
      <c r="D244" s="30" t="inlineStr">
        <is>
          <t>TRANSPORTADORA BARRENSE LTDA</t>
        </is>
      </c>
      <c r="E244" s="40" t="n">
        <v>0</v>
      </c>
      <c r="F244" s="40" t="n">
        <v>0</v>
      </c>
      <c r="G244" s="40" t="n">
        <v>0</v>
      </c>
      <c r="H244" s="40" t="n">
        <v>0</v>
      </c>
      <c r="I244" s="40" t="n">
        <v>0</v>
      </c>
      <c r="J244" s="40" t="n">
        <v>0</v>
      </c>
      <c r="K244" s="40" t="n">
        <v>0</v>
      </c>
      <c r="L244" s="40" t="n">
        <v>0</v>
      </c>
      <c r="M244" s="40" t="n">
        <v>0</v>
      </c>
      <c r="N244" s="40" t="n">
        <v>0</v>
      </c>
      <c r="O244" s="40" t="n">
        <v>0</v>
      </c>
      <c r="P244" s="40" t="n">
        <v>2097.57</v>
      </c>
      <c r="Q244" s="40" t="n">
        <v>100</v>
      </c>
      <c r="R244" s="47" t="n"/>
      <c r="S244" s="47" t="n"/>
      <c r="T244" s="47" t="n"/>
      <c r="U244" s="47" t="n"/>
      <c r="V244" s="47" t="n"/>
      <c r="W244" s="47" t="n"/>
    </row>
    <row r="245" ht="12" customHeight="1">
      <c r="A245" s="30" t="inlineStr">
        <is>
          <t>Areal</t>
        </is>
      </c>
      <c r="B245" s="30" t="n">
        <v>80530838</v>
      </c>
      <c r="C245" s="30">
        <f>"29291184000178"</f>
        <v/>
      </c>
      <c r="D245" s="30" t="inlineStr">
        <is>
          <t>TRANSPORTES TONIATO LTDA</t>
        </is>
      </c>
      <c r="E245" s="40" t="n">
        <v>0</v>
      </c>
      <c r="F245" s="40" t="n">
        <v>0</v>
      </c>
      <c r="G245" s="40" t="n">
        <v>0</v>
      </c>
      <c r="H245" s="40" t="n">
        <v>0</v>
      </c>
      <c r="I245" s="40" t="n">
        <v>0</v>
      </c>
      <c r="J245" s="40" t="n">
        <v>140.41</v>
      </c>
      <c r="K245" s="40" t="n">
        <v>100</v>
      </c>
      <c r="L245" s="40" t="n">
        <v>0</v>
      </c>
      <c r="M245" s="46" t="n">
        <v>-100</v>
      </c>
      <c r="N245" s="40" t="n">
        <v>1774.86</v>
      </c>
      <c r="O245" s="40" t="n">
        <v>100</v>
      </c>
      <c r="P245" s="40" t="n">
        <v>3248.39</v>
      </c>
      <c r="Q245" s="40" t="n">
        <v>83.02</v>
      </c>
      <c r="R245" s="47" t="n"/>
      <c r="S245" s="47" t="n"/>
      <c r="T245" s="47" t="n"/>
      <c r="U245" s="47" t="n"/>
      <c r="V245" s="47" t="n"/>
      <c r="W245" s="47" t="n"/>
    </row>
    <row r="246" ht="12" customHeight="1">
      <c r="A246" s="30" t="inlineStr">
        <is>
          <t>Areal</t>
        </is>
      </c>
      <c r="B246" s="30" t="n">
        <v>80710933</v>
      </c>
      <c r="C246" s="30">
        <f>"28333011000102"</f>
        <v/>
      </c>
      <c r="D246" s="30" t="inlineStr">
        <is>
          <t>IRMAG - INDUSTRIA E COMERCIO DE PLASTICOS LTDA - ME</t>
        </is>
      </c>
      <c r="E246" s="40" t="n">
        <v>0</v>
      </c>
      <c r="F246" s="40" t="n">
        <v>0</v>
      </c>
      <c r="G246" s="40" t="n">
        <v>0</v>
      </c>
      <c r="H246" s="40" t="n">
        <v>0</v>
      </c>
      <c r="I246" s="40" t="n">
        <v>0</v>
      </c>
      <c r="J246" s="40" t="n">
        <v>0</v>
      </c>
      <c r="K246" s="40" t="n">
        <v>0</v>
      </c>
      <c r="L246" s="40" t="n">
        <v>0</v>
      </c>
      <c r="M246" s="40" t="n">
        <v>0</v>
      </c>
      <c r="N246" s="40" t="n">
        <v>0</v>
      </c>
      <c r="O246" s="40" t="n">
        <v>0</v>
      </c>
      <c r="P246" s="40" t="n">
        <v>0</v>
      </c>
      <c r="Q246" s="40" t="n">
        <v>0</v>
      </c>
      <c r="R246" s="47" t="n"/>
      <c r="S246" s="47" t="n"/>
      <c r="T246" s="47" t="n"/>
      <c r="U246" s="47" t="n"/>
      <c r="V246" s="47" t="n"/>
      <c r="W246" s="47" t="n"/>
    </row>
    <row r="247" ht="12" customHeight="1">
      <c r="A247" s="30" t="inlineStr">
        <is>
          <t>Areal</t>
        </is>
      </c>
      <c r="B247" s="30" t="n">
        <v>80735936</v>
      </c>
      <c r="C247" s="30">
        <f>"49930514002693"</f>
        <v/>
      </c>
      <c r="D247" s="30" t="inlineStr">
        <is>
          <t>SODEXO DO BRASIL COMERCIAL S A</t>
        </is>
      </c>
      <c r="E247" s="40" t="n">
        <v>0</v>
      </c>
      <c r="F247" s="40" t="n">
        <v>0</v>
      </c>
      <c r="G247" s="40" t="n">
        <v>0</v>
      </c>
      <c r="H247" s="40" t="n">
        <v>0</v>
      </c>
      <c r="I247" s="40" t="n">
        <v>0</v>
      </c>
      <c r="J247" s="40" t="n">
        <v>398224.44</v>
      </c>
      <c r="K247" s="40" t="n">
        <v>100</v>
      </c>
      <c r="L247" s="40" t="n">
        <v>310256.76</v>
      </c>
      <c r="M247" s="46" t="n">
        <v>-22.09</v>
      </c>
      <c r="N247" s="40" t="n">
        <v>267616.11</v>
      </c>
      <c r="O247" s="46" t="n">
        <v>-13.74</v>
      </c>
      <c r="P247" s="40" t="n">
        <v>57321.77</v>
      </c>
      <c r="Q247" s="46" t="n">
        <v>-78.58</v>
      </c>
      <c r="R247" s="47" t="n"/>
      <c r="S247" s="47" t="n"/>
      <c r="T247" s="47" t="n"/>
      <c r="U247" s="47" t="n"/>
      <c r="V247" s="47" t="n"/>
      <c r="W247" s="47" t="n"/>
    </row>
    <row r="248" ht="12" customHeight="1">
      <c r="A248" s="30" t="inlineStr">
        <is>
          <t>Areal</t>
        </is>
      </c>
      <c r="B248" s="30" t="n">
        <v>80781431</v>
      </c>
      <c r="C248" s="30">
        <f>"32285454000142"</f>
        <v/>
      </c>
      <c r="D248" s="30" t="inlineStr">
        <is>
          <t>VIACAO SALUTARIS E TURISMO SA</t>
        </is>
      </c>
      <c r="E248" s="40" t="n">
        <v>49302.48</v>
      </c>
      <c r="F248" s="40" t="n">
        <v>25184.97</v>
      </c>
      <c r="G248" s="46" t="n">
        <v>-48.92</v>
      </c>
      <c r="H248" s="40" t="n">
        <v>69083.87</v>
      </c>
      <c r="I248" s="40" t="n">
        <v>174.31</v>
      </c>
      <c r="J248" s="40" t="n">
        <v>2894.34</v>
      </c>
      <c r="K248" s="46" t="n">
        <v>-95.81</v>
      </c>
      <c r="L248" s="40" t="n">
        <v>26046.79</v>
      </c>
      <c r="M248" s="40" t="n">
        <v>799.92</v>
      </c>
      <c r="N248" s="40" t="n">
        <v>86502.46000000001</v>
      </c>
      <c r="O248" s="40" t="n">
        <v>232.1</v>
      </c>
      <c r="P248" s="40" t="n">
        <v>66099.03999999999</v>
      </c>
      <c r="Q248" s="46" t="n">
        <v>-23.59</v>
      </c>
      <c r="R248" s="47" t="n"/>
      <c r="S248" s="47" t="n"/>
      <c r="T248" s="47" t="n"/>
      <c r="U248" s="47" t="n"/>
      <c r="V248" s="47" t="n"/>
      <c r="W248" s="47" t="n"/>
    </row>
    <row r="249" ht="12" customHeight="1">
      <c r="A249" s="30" t="inlineStr">
        <is>
          <t>Areal</t>
        </is>
      </c>
      <c r="B249" s="30" t="n">
        <v>80820151</v>
      </c>
      <c r="C249" s="30">
        <f>"32296378000251"</f>
        <v/>
      </c>
      <c r="D249" s="30" t="inlineStr">
        <is>
          <t>CEREAIS BRAMIL LTDA</t>
        </is>
      </c>
      <c r="E249" s="40" t="n">
        <v>7408668.46</v>
      </c>
      <c r="F249" s="40" t="n">
        <v>7058601.88</v>
      </c>
      <c r="G249" s="46" t="n">
        <v>-4.73</v>
      </c>
      <c r="H249" s="40" t="n">
        <v>7282340.46</v>
      </c>
      <c r="I249" s="40" t="n">
        <v>3.17</v>
      </c>
      <c r="J249" s="40" t="n">
        <v>9161444.49</v>
      </c>
      <c r="K249" s="40" t="n">
        <v>25.8</v>
      </c>
      <c r="L249" s="40" t="n">
        <v>9088206.24</v>
      </c>
      <c r="M249" s="46" t="n">
        <v>-0.8</v>
      </c>
      <c r="N249" s="40" t="n">
        <v>8560462.220000001</v>
      </c>
      <c r="O249" s="46" t="n">
        <v>-5.81</v>
      </c>
      <c r="P249" s="40" t="n">
        <v>11826029.99</v>
      </c>
      <c r="Q249" s="40" t="n">
        <v>38.15</v>
      </c>
      <c r="R249" s="47" t="n"/>
      <c r="S249" s="47" t="n"/>
      <c r="T249" s="47" t="n"/>
      <c r="U249" s="47" t="n"/>
      <c r="V249" s="47" t="n"/>
      <c r="W249" s="47" t="n"/>
    </row>
    <row r="250" ht="12" customHeight="1">
      <c r="A250" s="30" t="inlineStr">
        <is>
          <t>Areal</t>
        </is>
      </c>
      <c r="B250" s="30" t="n">
        <v>80824130</v>
      </c>
      <c r="C250" s="30">
        <f>"32287369000113"</f>
        <v/>
      </c>
      <c r="D250" s="30" t="inlineStr">
        <is>
          <t>POSTO DE SERVICO LIDER LTDA</t>
        </is>
      </c>
      <c r="E250" s="40" t="n">
        <v>425433.17</v>
      </c>
      <c r="F250" s="40" t="n">
        <v>0</v>
      </c>
      <c r="G250" s="46" t="n">
        <v>-100</v>
      </c>
      <c r="H250" s="40" t="n">
        <v>0</v>
      </c>
      <c r="I250" s="40" t="n">
        <v>0</v>
      </c>
      <c r="J250" s="40" t="n">
        <v>0</v>
      </c>
      <c r="K250" s="40" t="n">
        <v>0</v>
      </c>
      <c r="L250" s="40" t="n">
        <v>0</v>
      </c>
      <c r="M250" s="40" t="n">
        <v>0</v>
      </c>
      <c r="N250" s="40" t="n">
        <v>0</v>
      </c>
      <c r="O250" s="40" t="n">
        <v>0</v>
      </c>
      <c r="P250" s="40" t="n">
        <v>0</v>
      </c>
      <c r="Q250" s="40" t="n">
        <v>0</v>
      </c>
      <c r="R250" s="47" t="n"/>
      <c r="S250" s="47" t="n"/>
      <c r="T250" s="47" t="n"/>
      <c r="U250" s="47" t="n"/>
      <c r="V250" s="47" t="n"/>
      <c r="W250" s="47" t="n"/>
    </row>
    <row r="251" ht="12" customHeight="1">
      <c r="A251" s="30" t="inlineStr">
        <is>
          <t>Areal</t>
        </is>
      </c>
      <c r="B251" s="30" t="n">
        <v>80824335</v>
      </c>
      <c r="C251" s="30">
        <f>"33051491000159"</f>
        <v/>
      </c>
      <c r="D251" s="30" t="inlineStr">
        <is>
          <t>LABORATORIOS PIERRE FABRE DO BRASIL LTDA</t>
        </is>
      </c>
      <c r="E251" s="40" t="n">
        <v>98145244.69</v>
      </c>
      <c r="F251" s="40" t="n">
        <v>119795784.15</v>
      </c>
      <c r="G251" s="40" t="n">
        <v>22.06</v>
      </c>
      <c r="H251" s="40" t="n">
        <v>151160530.12</v>
      </c>
      <c r="I251" s="40" t="n">
        <v>26.18</v>
      </c>
      <c r="J251" s="40" t="n">
        <v>169925024.06</v>
      </c>
      <c r="K251" s="40" t="n">
        <v>12.41</v>
      </c>
      <c r="L251" s="40" t="n">
        <v>254355647.01</v>
      </c>
      <c r="M251" s="40" t="n">
        <v>49.69</v>
      </c>
      <c r="N251" s="40" t="n">
        <v>362379432.97</v>
      </c>
      <c r="O251" s="40" t="n">
        <v>42.47</v>
      </c>
      <c r="P251" s="40" t="n">
        <v>446037285.42</v>
      </c>
      <c r="Q251" s="40" t="n">
        <v>23.09</v>
      </c>
      <c r="R251" s="47" t="n"/>
      <c r="S251" s="47" t="n"/>
      <c r="T251" s="47" t="n"/>
      <c r="U251" s="47" t="n"/>
      <c r="V251" s="47" t="n"/>
      <c r="W251" s="47" t="n"/>
    </row>
    <row r="252" ht="12" customHeight="1">
      <c r="A252" s="30" t="inlineStr">
        <is>
          <t>Areal</t>
        </is>
      </c>
      <c r="B252" s="30" t="n">
        <v>80825323</v>
      </c>
      <c r="C252" s="30">
        <f>"29148210000103"</f>
        <v/>
      </c>
      <c r="D252" s="30" t="inlineStr">
        <is>
          <t>AREAL MATERIAL DE CONSTRUCAO LTDA</t>
        </is>
      </c>
      <c r="E252" s="40" t="n">
        <v>907810.65</v>
      </c>
      <c r="F252" s="40" t="n">
        <v>779724.49</v>
      </c>
      <c r="G252" s="46" t="n">
        <v>-14.11</v>
      </c>
      <c r="H252" s="40" t="n">
        <v>1295605.1</v>
      </c>
      <c r="I252" s="40" t="n">
        <v>66.16</v>
      </c>
      <c r="J252" s="40" t="n">
        <v>1004685.25</v>
      </c>
      <c r="K252" s="46" t="n">
        <v>-22.45</v>
      </c>
      <c r="L252" s="40" t="n">
        <v>1068716.47</v>
      </c>
      <c r="M252" s="40" t="n">
        <v>6.37</v>
      </c>
      <c r="N252" s="40" t="n">
        <v>1370103.15</v>
      </c>
      <c r="O252" s="40" t="n">
        <v>28.2</v>
      </c>
      <c r="P252" s="40" t="n">
        <v>1388749.01</v>
      </c>
      <c r="Q252" s="40" t="n">
        <v>1.36</v>
      </c>
      <c r="R252" s="47" t="n"/>
      <c r="S252" s="47" t="n"/>
      <c r="T252" s="47" t="n"/>
      <c r="U252" s="47" t="n"/>
      <c r="V252" s="47" t="n"/>
      <c r="W252" s="47" t="n"/>
    </row>
    <row r="253" ht="12" customHeight="1">
      <c r="A253" s="30" t="inlineStr">
        <is>
          <t>Areal</t>
        </is>
      </c>
      <c r="B253" s="30" t="n">
        <v>80826834</v>
      </c>
      <c r="C253" s="30">
        <f>"29157872000140"</f>
        <v/>
      </c>
      <c r="D253" s="30" t="inlineStr">
        <is>
          <t>FARMACIA CENTRO AREALENSE LTDA</t>
        </is>
      </c>
      <c r="E253" s="40" t="n">
        <v>0</v>
      </c>
      <c r="F253" s="40" t="n">
        <v>0</v>
      </c>
      <c r="G253" s="40" t="n">
        <v>0</v>
      </c>
      <c r="H253" s="40" t="n">
        <v>0</v>
      </c>
      <c r="I253" s="40" t="n">
        <v>0</v>
      </c>
      <c r="J253" s="40" t="n">
        <v>0</v>
      </c>
      <c r="K253" s="40" t="n">
        <v>0</v>
      </c>
      <c r="L253" s="40" t="n">
        <v>0</v>
      </c>
      <c r="M253" s="40" t="n">
        <v>0</v>
      </c>
      <c r="N253" s="40" t="n">
        <v>0</v>
      </c>
      <c r="O253" s="40" t="n">
        <v>0</v>
      </c>
      <c r="P253" s="40" t="n">
        <v>0</v>
      </c>
      <c r="Q253" s="40" t="n">
        <v>0</v>
      </c>
      <c r="R253" s="47" t="n"/>
      <c r="S253" s="47" t="n"/>
      <c r="T253" s="47" t="n"/>
      <c r="U253" s="47" t="n"/>
      <c r="V253" s="47" t="n"/>
      <c r="W253" s="47" t="n"/>
    </row>
    <row r="254" ht="12" customHeight="1">
      <c r="A254" s="30" t="inlineStr">
        <is>
          <t>Areal</t>
        </is>
      </c>
      <c r="B254" s="30" t="n">
        <v>80829795</v>
      </c>
      <c r="C254" s="30">
        <f>"32404063000108"</f>
        <v/>
      </c>
      <c r="D254" s="30" t="inlineStr">
        <is>
          <t>VIACAO PROGRESSO E TURISMO S/A</t>
        </is>
      </c>
      <c r="E254" s="40" t="n">
        <v>600652.66</v>
      </c>
      <c r="F254" s="40" t="n">
        <v>836497.77</v>
      </c>
      <c r="G254" s="40" t="n">
        <v>39.26</v>
      </c>
      <c r="H254" s="40" t="n">
        <v>796807.52</v>
      </c>
      <c r="I254" s="46" t="n">
        <v>-4.74</v>
      </c>
      <c r="J254" s="40" t="n">
        <v>341840.16</v>
      </c>
      <c r="K254" s="46" t="n">
        <v>-57.1</v>
      </c>
      <c r="L254" s="40" t="n">
        <v>321652.03</v>
      </c>
      <c r="M254" s="46" t="n">
        <v>-5.91</v>
      </c>
      <c r="N254" s="40" t="n">
        <v>319251.82</v>
      </c>
      <c r="O254" s="46" t="n">
        <v>-0.75</v>
      </c>
      <c r="P254" s="40" t="n">
        <v>1408176.45</v>
      </c>
      <c r="Q254" s="40" t="n">
        <v>341.09</v>
      </c>
      <c r="R254" s="47" t="n"/>
      <c r="S254" s="47" t="n"/>
      <c r="T254" s="47" t="n"/>
      <c r="U254" s="47" t="n"/>
      <c r="V254" s="47" t="n"/>
      <c r="W254" s="47" t="n"/>
    </row>
    <row r="255" ht="12" customHeight="1">
      <c r="A255" s="30" t="inlineStr">
        <is>
          <t>Areal</t>
        </is>
      </c>
      <c r="B255" s="30" t="n">
        <v>80832982</v>
      </c>
      <c r="C255" s="30">
        <f>"30893010000164"</f>
        <v/>
      </c>
      <c r="D255" s="30" t="inlineStr">
        <is>
          <t>JARDINARTE PAISAGISMO LTDA</t>
        </is>
      </c>
      <c r="E255" s="40" t="n">
        <v>0</v>
      </c>
      <c r="F255" s="40" t="n">
        <v>0</v>
      </c>
      <c r="G255" s="40" t="n">
        <v>0</v>
      </c>
      <c r="H255" s="40" t="n">
        <v>0</v>
      </c>
      <c r="I255" s="40" t="n">
        <v>0</v>
      </c>
      <c r="J255" s="40" t="n">
        <v>0</v>
      </c>
      <c r="K255" s="40" t="n">
        <v>0</v>
      </c>
      <c r="L255" s="40" t="n">
        <v>0</v>
      </c>
      <c r="M255" s="40" t="n">
        <v>0</v>
      </c>
      <c r="N255" s="40" t="n">
        <v>0</v>
      </c>
      <c r="O255" s="40" t="n">
        <v>0</v>
      </c>
      <c r="P255" s="40" t="n">
        <v>0</v>
      </c>
      <c r="Q255" s="40" t="n">
        <v>0</v>
      </c>
      <c r="R255" s="47" t="n"/>
      <c r="S255" s="47" t="n"/>
      <c r="T255" s="47" t="n"/>
      <c r="U255" s="47" t="n"/>
      <c r="V255" s="47" t="n"/>
      <c r="W255" s="47" t="n"/>
    </row>
    <row r="256" ht="12" customHeight="1">
      <c r="A256" s="30" t="inlineStr">
        <is>
          <t>Areal</t>
        </is>
      </c>
      <c r="B256" s="30" t="n">
        <v>81258872</v>
      </c>
      <c r="C256" s="30">
        <f>"87183570000738"</f>
        <v/>
      </c>
      <c r="D256" s="30" t="inlineStr">
        <is>
          <t>TRANSPORTADORA MINUANO LTDA</t>
        </is>
      </c>
      <c r="E256" s="40" t="n">
        <v>0</v>
      </c>
      <c r="F256" s="40" t="n">
        <v>0</v>
      </c>
      <c r="G256" s="40" t="n">
        <v>0</v>
      </c>
      <c r="H256" s="40" t="n">
        <v>2209.64</v>
      </c>
      <c r="I256" s="40" t="n">
        <v>100</v>
      </c>
      <c r="J256" s="40" t="n">
        <v>160</v>
      </c>
      <c r="K256" s="46" t="n">
        <v>-92.76000000000001</v>
      </c>
      <c r="L256" s="40" t="n">
        <v>795.24</v>
      </c>
      <c r="M256" s="40" t="n">
        <v>397.02</v>
      </c>
      <c r="N256" s="40" t="n">
        <v>410.23</v>
      </c>
      <c r="O256" s="46" t="n">
        <v>-48.41</v>
      </c>
      <c r="P256" s="40" t="n">
        <v>315.52</v>
      </c>
      <c r="Q256" s="46" t="n">
        <v>-23.09</v>
      </c>
      <c r="R256" s="47" t="n"/>
      <c r="S256" s="47" t="n"/>
      <c r="T256" s="47" t="n"/>
      <c r="U256" s="47" t="n"/>
      <c r="V256" s="47" t="n"/>
      <c r="W256" s="47" t="n"/>
    </row>
    <row r="257" ht="12" customHeight="1">
      <c r="A257" s="30" t="inlineStr">
        <is>
          <t>Areal</t>
        </is>
      </c>
      <c r="B257" s="30" t="n">
        <v>81330174</v>
      </c>
      <c r="C257" s="30">
        <f>"02905110001957"</f>
        <v/>
      </c>
      <c r="D257" s="30" t="inlineStr">
        <is>
          <t>GR SERVICOS E ALIMENTACAO LTDA</t>
        </is>
      </c>
      <c r="E257" s="40" t="n">
        <v>0</v>
      </c>
      <c r="F257" s="40" t="n">
        <v>0</v>
      </c>
      <c r="G257" s="40" t="n">
        <v>0</v>
      </c>
      <c r="H257" s="40" t="n">
        <v>0</v>
      </c>
      <c r="I257" s="40" t="n">
        <v>0</v>
      </c>
      <c r="J257" s="40" t="n">
        <v>0</v>
      </c>
      <c r="K257" s="40" t="n">
        <v>0</v>
      </c>
      <c r="L257" s="40" t="n">
        <v>0</v>
      </c>
      <c r="M257" s="40" t="n">
        <v>0</v>
      </c>
      <c r="N257" s="40" t="n">
        <v>0</v>
      </c>
      <c r="O257" s="40" t="n">
        <v>0</v>
      </c>
      <c r="P257" s="40" t="n">
        <v>904397.74</v>
      </c>
      <c r="Q257" s="40" t="n">
        <v>100</v>
      </c>
      <c r="R257" s="47" t="n"/>
      <c r="S257" s="47" t="n"/>
      <c r="T257" s="47" t="n"/>
      <c r="U257" s="47" t="n"/>
      <c r="V257" s="47" t="n"/>
      <c r="W257" s="47" t="n"/>
    </row>
    <row r="258" ht="12" customHeight="1">
      <c r="A258" s="30" t="inlineStr">
        <is>
          <t>Areal</t>
        </is>
      </c>
      <c r="B258" s="30" t="n">
        <v>81613524</v>
      </c>
      <c r="C258" s="30">
        <f>"34028316000294"</f>
        <v/>
      </c>
      <c r="D258" s="30" t="inlineStr">
        <is>
          <t>EMPRESA BRASILEIRA DE CORREIOS E TELEGRAFOS</t>
        </is>
      </c>
      <c r="E258" s="40" t="n">
        <v>646.6</v>
      </c>
      <c r="F258" s="40" t="n">
        <v>376.3</v>
      </c>
      <c r="G258" s="46" t="n">
        <v>-41.8</v>
      </c>
      <c r="H258" s="40" t="n">
        <v>1907.6</v>
      </c>
      <c r="I258" s="40" t="n">
        <v>406.94</v>
      </c>
      <c r="J258" s="40" t="n">
        <v>4285.53</v>
      </c>
      <c r="K258" s="40" t="n">
        <v>124.66</v>
      </c>
      <c r="L258" s="40" t="n">
        <v>4002.98</v>
      </c>
      <c r="M258" s="46" t="n">
        <v>-6.59</v>
      </c>
      <c r="N258" s="40" t="n">
        <v>4437.11</v>
      </c>
      <c r="O258" s="40" t="n">
        <v>10.85</v>
      </c>
      <c r="P258" s="40" t="n">
        <v>3741.72</v>
      </c>
      <c r="Q258" s="46" t="n">
        <v>-15.67</v>
      </c>
      <c r="R258" s="47" t="n"/>
      <c r="S258" s="47" t="n"/>
      <c r="T258" s="47" t="n"/>
      <c r="U258" s="47" t="n"/>
      <c r="V258" s="47" t="n"/>
      <c r="W258" s="47" t="n"/>
    </row>
    <row r="259" ht="12" customHeight="1">
      <c r="A259" s="30" t="inlineStr">
        <is>
          <t>Areal</t>
        </is>
      </c>
      <c r="B259" s="30" t="n">
        <v>81615470</v>
      </c>
      <c r="C259" s="30">
        <f>"28141158000281"</f>
        <v/>
      </c>
      <c r="D259" s="30" t="inlineStr">
        <is>
          <t>TRANSPORTADORA CONTINENTAL LTDA</t>
        </is>
      </c>
      <c r="E259" s="40" t="n">
        <v>1100.34</v>
      </c>
      <c r="F259" s="40" t="n">
        <v>1478.48</v>
      </c>
      <c r="G259" s="40" t="n">
        <v>34.37</v>
      </c>
      <c r="H259" s="40" t="n">
        <v>5189.09</v>
      </c>
      <c r="I259" s="40" t="n">
        <v>250.97</v>
      </c>
      <c r="J259" s="40" t="n">
        <v>0</v>
      </c>
      <c r="K259" s="46" t="n">
        <v>-100</v>
      </c>
      <c r="L259" s="40" t="n">
        <v>358</v>
      </c>
      <c r="M259" s="40" t="n">
        <v>100</v>
      </c>
      <c r="N259" s="40" t="n">
        <v>0</v>
      </c>
      <c r="O259" s="46" t="n">
        <v>-100</v>
      </c>
      <c r="P259" s="40" t="n">
        <v>10.76</v>
      </c>
      <c r="Q259" s="40" t="n">
        <v>100</v>
      </c>
      <c r="R259" s="47" t="n"/>
      <c r="S259" s="47" t="n"/>
      <c r="T259" s="47" t="n"/>
      <c r="U259" s="47" t="n"/>
      <c r="V259" s="47" t="n"/>
      <c r="W259" s="47" t="n"/>
    </row>
    <row r="260" ht="12" customHeight="1">
      <c r="A260" s="30" t="inlineStr">
        <is>
          <t>Areal</t>
        </is>
      </c>
      <c r="B260" s="30" t="n">
        <v>81680469</v>
      </c>
      <c r="C260" s="30">
        <f>"33000118000179"</f>
        <v/>
      </c>
      <c r="D260" s="30" t="inlineStr">
        <is>
          <t>TELEMAR NORTE LESTE S/A EM RECUPERACAO JUDICIAL</t>
        </is>
      </c>
      <c r="E260" s="40" t="n">
        <v>947835.88</v>
      </c>
      <c r="F260" s="40" t="n">
        <v>752945.53</v>
      </c>
      <c r="G260" s="46" t="n">
        <v>-20.56</v>
      </c>
      <c r="H260" s="40" t="n">
        <v>616703.79</v>
      </c>
      <c r="I260" s="46" t="n">
        <v>-18.09</v>
      </c>
      <c r="J260" s="40" t="n">
        <v>514910.62</v>
      </c>
      <c r="K260" s="46" t="n">
        <v>-16.51</v>
      </c>
      <c r="L260" s="40" t="n">
        <v>143731.07</v>
      </c>
      <c r="M260" s="46" t="n">
        <v>-72.09</v>
      </c>
      <c r="N260" s="40" t="n">
        <v>0</v>
      </c>
      <c r="O260" s="46" t="n">
        <v>-100</v>
      </c>
      <c r="P260" s="40" t="n">
        <v>0</v>
      </c>
      <c r="Q260" s="40" t="n">
        <v>0</v>
      </c>
      <c r="R260" s="47" t="n"/>
      <c r="S260" s="47" t="n"/>
      <c r="T260" s="47" t="n"/>
      <c r="U260" s="47" t="n"/>
      <c r="V260" s="47" t="n"/>
      <c r="W260" s="47" t="n"/>
    </row>
    <row r="261" ht="12" customHeight="1">
      <c r="A261" s="30" t="inlineStr">
        <is>
          <t>Areal</t>
        </is>
      </c>
      <c r="B261" s="30" t="n">
        <v>81797013</v>
      </c>
      <c r="C261" s="30">
        <f>"33570797000111"</f>
        <v/>
      </c>
      <c r="D261" s="30" t="inlineStr">
        <is>
          <t>TRANSPORTES CARVALHO LTDA</t>
        </is>
      </c>
      <c r="E261" s="40" t="n">
        <v>0</v>
      </c>
      <c r="F261" s="40" t="n">
        <v>0</v>
      </c>
      <c r="G261" s="40" t="n">
        <v>0</v>
      </c>
      <c r="H261" s="40" t="n">
        <v>0</v>
      </c>
      <c r="I261" s="40" t="n">
        <v>0</v>
      </c>
      <c r="J261" s="40" t="n">
        <v>2949.25</v>
      </c>
      <c r="K261" s="40" t="n">
        <v>100</v>
      </c>
      <c r="L261" s="40" t="n">
        <v>0</v>
      </c>
      <c r="M261" s="46" t="n">
        <v>-100</v>
      </c>
      <c r="N261" s="40" t="n">
        <v>0</v>
      </c>
      <c r="O261" s="40" t="n">
        <v>0</v>
      </c>
      <c r="P261" s="40" t="n">
        <v>0</v>
      </c>
      <c r="Q261" s="40" t="n">
        <v>0</v>
      </c>
      <c r="R261" s="47" t="n"/>
      <c r="S261" s="47" t="n"/>
      <c r="T261" s="47" t="n"/>
      <c r="U261" s="47" t="n"/>
      <c r="V261" s="47" t="n"/>
      <c r="W261" s="47" t="n"/>
    </row>
    <row r="262" ht="12" customHeight="1">
      <c r="A262" s="30" t="inlineStr">
        <is>
          <t>Areal</t>
        </is>
      </c>
      <c r="B262" s="30" t="n">
        <v>81827028</v>
      </c>
      <c r="C262" s="30">
        <f>"21570775000172"</f>
        <v/>
      </c>
      <c r="D262" s="30" t="inlineStr">
        <is>
          <t>PICORELLI S/A TRANSPORTES</t>
        </is>
      </c>
      <c r="E262" s="40" t="n">
        <v>0</v>
      </c>
      <c r="F262" s="40" t="n">
        <v>0</v>
      </c>
      <c r="G262" s="40" t="n">
        <v>0</v>
      </c>
      <c r="H262" s="40" t="n">
        <v>0</v>
      </c>
      <c r="I262" s="40" t="n">
        <v>0</v>
      </c>
      <c r="J262" s="40" t="n">
        <v>0</v>
      </c>
      <c r="K262" s="40" t="n">
        <v>0</v>
      </c>
      <c r="L262" s="40" t="n">
        <v>0</v>
      </c>
      <c r="M262" s="40" t="n">
        <v>0</v>
      </c>
      <c r="N262" s="40" t="n">
        <v>0</v>
      </c>
      <c r="O262" s="40" t="n">
        <v>0</v>
      </c>
      <c r="P262" s="40" t="n">
        <v>105.05</v>
      </c>
      <c r="Q262" s="40" t="n">
        <v>100</v>
      </c>
      <c r="R262" s="47" t="n"/>
      <c r="S262" s="47" t="n"/>
      <c r="T262" s="47" t="n"/>
      <c r="U262" s="47" t="n"/>
      <c r="V262" s="47" t="n"/>
      <c r="W262" s="47" t="n"/>
    </row>
    <row r="263" ht="12" customHeight="1">
      <c r="A263" s="30" t="inlineStr">
        <is>
          <t>Areal</t>
        </is>
      </c>
      <c r="B263" s="30" t="n">
        <v>81830010</v>
      </c>
      <c r="C263" s="30">
        <f>"29516838000114"</f>
        <v/>
      </c>
      <c r="D263" s="30" t="inlineStr">
        <is>
          <t>RIO LOPES TRANSPORTES LTDA</t>
        </is>
      </c>
      <c r="E263" s="40" t="n">
        <v>14868.32</v>
      </c>
      <c r="F263" s="40" t="n">
        <v>0</v>
      </c>
      <c r="G263" s="46" t="n">
        <v>-100</v>
      </c>
      <c r="H263" s="40" t="n">
        <v>3442.15</v>
      </c>
      <c r="I263" s="40" t="n">
        <v>100</v>
      </c>
      <c r="J263" s="40" t="n">
        <v>0</v>
      </c>
      <c r="K263" s="46" t="n">
        <v>-100</v>
      </c>
      <c r="L263" s="40" t="n">
        <v>0</v>
      </c>
      <c r="M263" s="40" t="n">
        <v>0</v>
      </c>
      <c r="N263" s="40" t="n">
        <v>0</v>
      </c>
      <c r="O263" s="40" t="n">
        <v>0</v>
      </c>
      <c r="P263" s="40" t="n">
        <v>0</v>
      </c>
      <c r="Q263" s="40" t="n">
        <v>0</v>
      </c>
      <c r="R263" s="47" t="n"/>
      <c r="S263" s="47" t="n"/>
      <c r="T263" s="47" t="n"/>
      <c r="U263" s="47" t="n"/>
      <c r="V263" s="47" t="n"/>
      <c r="W263" s="47" t="n"/>
    </row>
    <row r="264" ht="12" customHeight="1">
      <c r="A264" s="30" t="inlineStr">
        <is>
          <t>Areal</t>
        </is>
      </c>
      <c r="B264" s="30" t="n">
        <v>81832331</v>
      </c>
      <c r="C264" s="30">
        <f>"43025774000503"</f>
        <v/>
      </c>
      <c r="D264" s="30" t="inlineStr">
        <is>
          <t>RODOVIARIO BEDIN LTDA</t>
        </is>
      </c>
      <c r="E264" s="40" t="n">
        <v>0</v>
      </c>
      <c r="F264" s="40" t="n">
        <v>0</v>
      </c>
      <c r="G264" s="40" t="n">
        <v>0</v>
      </c>
      <c r="H264" s="40" t="n">
        <v>131.55</v>
      </c>
      <c r="I264" s="40" t="n">
        <v>100</v>
      </c>
      <c r="J264" s="40" t="n">
        <v>276.25</v>
      </c>
      <c r="K264" s="40" t="n">
        <v>110</v>
      </c>
      <c r="L264" s="40" t="n">
        <v>1199.87</v>
      </c>
      <c r="M264" s="40" t="n">
        <v>334.34</v>
      </c>
      <c r="N264" s="40" t="n">
        <v>579.3200000000001</v>
      </c>
      <c r="O264" s="46" t="n">
        <v>-51.72</v>
      </c>
      <c r="P264" s="40" t="n">
        <v>304.28</v>
      </c>
      <c r="Q264" s="46" t="n">
        <v>-47.48</v>
      </c>
      <c r="R264" s="47" t="n"/>
      <c r="S264" s="47" t="n"/>
      <c r="T264" s="47" t="n"/>
      <c r="U264" s="47" t="n"/>
      <c r="V264" s="47" t="n"/>
      <c r="W264" s="47" t="n"/>
    </row>
    <row r="265" ht="12" customHeight="1">
      <c r="A265" s="30" t="inlineStr">
        <is>
          <t>Areal</t>
        </is>
      </c>
      <c r="B265" s="30" t="n">
        <v>81853053</v>
      </c>
      <c r="C265" s="30">
        <f>"17463456000271"</f>
        <v/>
      </c>
      <c r="D265" s="30" t="inlineStr">
        <is>
          <t>PATRUS TRANSPORTES LTDA</t>
        </is>
      </c>
      <c r="E265" s="40" t="n">
        <v>860.85</v>
      </c>
      <c r="F265" s="40" t="n">
        <v>167.02</v>
      </c>
      <c r="G265" s="46" t="n">
        <v>-80.59999999999999</v>
      </c>
      <c r="H265" s="40" t="n">
        <v>162.65</v>
      </c>
      <c r="I265" s="46" t="n">
        <v>-2.62</v>
      </c>
      <c r="J265" s="40" t="n">
        <v>267.47</v>
      </c>
      <c r="K265" s="40" t="n">
        <v>64.45</v>
      </c>
      <c r="L265" s="40" t="n">
        <v>240.36</v>
      </c>
      <c r="M265" s="46" t="n">
        <v>-10.14</v>
      </c>
      <c r="N265" s="40" t="n">
        <v>0</v>
      </c>
      <c r="O265" s="46" t="n">
        <v>-100</v>
      </c>
      <c r="P265" s="40" t="n">
        <v>130.72</v>
      </c>
      <c r="Q265" s="40" t="n">
        <v>100</v>
      </c>
      <c r="R265" s="47" t="n"/>
      <c r="S265" s="47" t="n"/>
      <c r="T265" s="47" t="n"/>
      <c r="U265" s="47" t="n"/>
      <c r="V265" s="47" t="n"/>
      <c r="W265" s="47" t="n"/>
    </row>
    <row r="266" ht="12" customHeight="1">
      <c r="A266" s="30" t="inlineStr">
        <is>
          <t>Areal</t>
        </is>
      </c>
      <c r="B266" s="30" t="n">
        <v>81909032</v>
      </c>
      <c r="C266" s="30">
        <f>"95591723001190"</f>
        <v/>
      </c>
      <c r="D266" s="30" t="inlineStr">
        <is>
          <t>TNT MERCURIO CARGAS E ENCOMENDAS EXPRESSAS LTDA</t>
        </is>
      </c>
      <c r="E266" s="40" t="n">
        <v>943.77</v>
      </c>
      <c r="F266" s="40" t="n">
        <v>94.47</v>
      </c>
      <c r="G266" s="46" t="n">
        <v>-89.98999999999999</v>
      </c>
      <c r="H266" s="40" t="n">
        <v>223827.73</v>
      </c>
      <c r="I266" s="40" t="n">
        <v>236829.96</v>
      </c>
      <c r="J266" s="40" t="n">
        <v>387954.72</v>
      </c>
      <c r="K266" s="40" t="n">
        <v>73.33</v>
      </c>
      <c r="L266" s="40" t="n">
        <v>727495.3</v>
      </c>
      <c r="M266" s="40" t="n">
        <v>87.52</v>
      </c>
      <c r="N266" s="40" t="n">
        <v>898076.98</v>
      </c>
      <c r="O266" s="40" t="n">
        <v>23.45</v>
      </c>
      <c r="P266" s="40" t="n">
        <v>120157.52</v>
      </c>
      <c r="Q266" s="46" t="n">
        <v>-86.62</v>
      </c>
      <c r="R266" s="47" t="n"/>
      <c r="S266" s="47" t="n"/>
      <c r="T266" s="47" t="n"/>
      <c r="U266" s="47" t="n"/>
      <c r="V266" s="47" t="n"/>
      <c r="W266" s="47" t="n"/>
    </row>
    <row r="267" ht="12" customHeight="1">
      <c r="A267" s="30" t="inlineStr">
        <is>
          <t>Areal</t>
        </is>
      </c>
      <c r="B267" s="30" t="n">
        <v>81920184</v>
      </c>
      <c r="C267" s="30">
        <f>"29291184000259"</f>
        <v/>
      </c>
      <c r="D267" s="30" t="inlineStr">
        <is>
          <t>TRANSPORTES TONIATO LTDA</t>
        </is>
      </c>
      <c r="E267" s="40" t="n">
        <v>0</v>
      </c>
      <c r="F267" s="40" t="n">
        <v>132.07</v>
      </c>
      <c r="G267" s="40" t="n">
        <v>100</v>
      </c>
      <c r="H267" s="40" t="n">
        <v>646.8200000000001</v>
      </c>
      <c r="I267" s="40" t="n">
        <v>389.76</v>
      </c>
      <c r="J267" s="40" t="n">
        <v>0</v>
      </c>
      <c r="K267" s="46" t="n">
        <v>-100</v>
      </c>
      <c r="L267" s="40" t="n">
        <v>0</v>
      </c>
      <c r="M267" s="40" t="n">
        <v>0</v>
      </c>
      <c r="N267" s="40" t="n">
        <v>120249.38</v>
      </c>
      <c r="O267" s="40" t="n">
        <v>100</v>
      </c>
      <c r="P267" s="40" t="n">
        <v>23857.8</v>
      </c>
      <c r="Q267" s="46" t="n">
        <v>-80.16</v>
      </c>
      <c r="R267" s="47" t="n"/>
      <c r="S267" s="47" t="n"/>
      <c r="T267" s="47" t="n"/>
      <c r="U267" s="47" t="n"/>
      <c r="V267" s="47" t="n"/>
      <c r="W267" s="47" t="n"/>
    </row>
    <row r="268" ht="12" customHeight="1">
      <c r="A268" s="30" t="inlineStr">
        <is>
          <t>Areal</t>
        </is>
      </c>
      <c r="B268" s="30" t="n">
        <v>81921490</v>
      </c>
      <c r="C268" s="30">
        <f>"10970887000870"</f>
        <v/>
      </c>
      <c r="D268" s="30" t="inlineStr">
        <is>
          <t>FEDEX BRASIL LOGISTICA E TRANSPORTE LTDA</t>
        </is>
      </c>
      <c r="E268" s="40" t="n">
        <v>4950.83</v>
      </c>
      <c r="F268" s="40" t="n">
        <v>274.14</v>
      </c>
      <c r="G268" s="46" t="n">
        <v>-94.45999999999999</v>
      </c>
      <c r="H268" s="40" t="n">
        <v>0</v>
      </c>
      <c r="I268" s="46" t="n">
        <v>-100</v>
      </c>
      <c r="J268" s="40" t="n">
        <v>0</v>
      </c>
      <c r="K268" s="40" t="n">
        <v>0</v>
      </c>
      <c r="L268" s="40" t="n">
        <v>0</v>
      </c>
      <c r="M268" s="40" t="n">
        <v>0</v>
      </c>
      <c r="N268" s="40" t="n">
        <v>0</v>
      </c>
      <c r="O268" s="40" t="n">
        <v>0</v>
      </c>
      <c r="P268" s="40" t="n">
        <v>0</v>
      </c>
      <c r="Q268" s="40" t="n">
        <v>0</v>
      </c>
      <c r="R268" s="47" t="n"/>
      <c r="S268" s="47" t="n"/>
      <c r="T268" s="47" t="n"/>
      <c r="U268" s="47" t="n"/>
      <c r="V268" s="47" t="n"/>
      <c r="W268" s="47" t="n"/>
    </row>
    <row r="269" ht="12" customHeight="1">
      <c r="A269" s="30" t="inlineStr">
        <is>
          <t>Areal</t>
        </is>
      </c>
      <c r="B269" s="30" t="n">
        <v>81926743</v>
      </c>
      <c r="C269" s="30">
        <f>"20147617001113"</f>
        <v/>
      </c>
      <c r="D269" s="30" t="inlineStr">
        <is>
          <t>JAMEF TRANSPORTES EIRELI</t>
        </is>
      </c>
      <c r="E269" s="40" t="n">
        <v>1560.4</v>
      </c>
      <c r="F269" s="40" t="n">
        <v>4877.26</v>
      </c>
      <c r="G269" s="40" t="n">
        <v>212.56</v>
      </c>
      <c r="H269" s="40" t="n">
        <v>1889.29</v>
      </c>
      <c r="I269" s="46" t="n">
        <v>-61.26</v>
      </c>
      <c r="J269" s="40" t="n">
        <v>1579.42</v>
      </c>
      <c r="K269" s="46" t="n">
        <v>-16.4</v>
      </c>
      <c r="L269" s="40" t="n">
        <v>2077.08</v>
      </c>
      <c r="M269" s="40" t="n">
        <v>31.51</v>
      </c>
      <c r="N269" s="40" t="n">
        <v>8794.389999999999</v>
      </c>
      <c r="O269" s="40" t="n">
        <v>323.4</v>
      </c>
      <c r="P269" s="40" t="n">
        <v>6151.74</v>
      </c>
      <c r="Q269" s="46" t="n">
        <v>-30.05</v>
      </c>
      <c r="R269" s="47" t="n"/>
      <c r="S269" s="47" t="n"/>
      <c r="T269" s="47" t="n"/>
      <c r="U269" s="47" t="n"/>
      <c r="V269" s="47" t="n"/>
      <c r="W269" s="47" t="n"/>
    </row>
    <row r="270" ht="12" customHeight="1">
      <c r="A270" s="30" t="inlineStr">
        <is>
          <t>Areal</t>
        </is>
      </c>
      <c r="B270" s="30" t="n">
        <v>81955018</v>
      </c>
      <c r="C270" s="30">
        <f>"29370103000125"</f>
        <v/>
      </c>
      <c r="D270" s="30" t="inlineStr">
        <is>
          <t>SILTRAN RODOVIARIO EIRELI</t>
        </is>
      </c>
      <c r="E270" s="40" t="n">
        <v>0</v>
      </c>
      <c r="F270" s="40" t="n">
        <v>500</v>
      </c>
      <c r="G270" s="40" t="n">
        <v>100</v>
      </c>
      <c r="H270" s="40" t="n">
        <v>500</v>
      </c>
      <c r="I270" s="40" t="n">
        <v>0</v>
      </c>
      <c r="J270" s="40" t="n">
        <v>0</v>
      </c>
      <c r="K270" s="46" t="n">
        <v>-100</v>
      </c>
      <c r="L270" s="40" t="n">
        <v>0</v>
      </c>
      <c r="M270" s="40" t="n">
        <v>0</v>
      </c>
      <c r="N270" s="40" t="n">
        <v>0</v>
      </c>
      <c r="O270" s="40" t="n">
        <v>0</v>
      </c>
      <c r="P270" s="40" t="n">
        <v>0</v>
      </c>
      <c r="Q270" s="40" t="n">
        <v>0</v>
      </c>
      <c r="R270" s="47" t="n"/>
      <c r="S270" s="47" t="n"/>
      <c r="T270" s="47" t="n"/>
      <c r="U270" s="47" t="n"/>
      <c r="V270" s="47" t="n"/>
      <c r="W270" s="47" t="n"/>
    </row>
    <row r="271" ht="12" customHeight="1">
      <c r="A271" s="30" t="inlineStr">
        <is>
          <t>Areal</t>
        </is>
      </c>
      <c r="B271" s="30" t="n">
        <v>83511621</v>
      </c>
      <c r="C271" s="30">
        <f>"36147437000108"</f>
        <v/>
      </c>
      <c r="D271" s="30" t="inlineStr">
        <is>
          <t>COMERCIO DE ALIMENTOS SAO JORGE DO AREAL LTDA ME</t>
        </is>
      </c>
      <c r="E271" s="40" t="n">
        <v>0</v>
      </c>
      <c r="F271" s="40" t="n">
        <v>0</v>
      </c>
      <c r="G271" s="40" t="n">
        <v>0</v>
      </c>
      <c r="H271" s="40" t="n">
        <v>89608.24000000001</v>
      </c>
      <c r="I271" s="40" t="n">
        <v>100</v>
      </c>
      <c r="J271" s="40" t="n">
        <v>0</v>
      </c>
      <c r="K271" s="46" t="n">
        <v>-100</v>
      </c>
      <c r="L271" s="40" t="n">
        <v>0</v>
      </c>
      <c r="M271" s="40" t="n">
        <v>0</v>
      </c>
      <c r="N271" s="40" t="n">
        <v>0</v>
      </c>
      <c r="O271" s="40" t="n">
        <v>0</v>
      </c>
      <c r="P271" s="40" t="n">
        <v>0</v>
      </c>
      <c r="Q271" s="40" t="n">
        <v>0</v>
      </c>
      <c r="R271" s="47" t="n"/>
      <c r="S271" s="47" t="n"/>
      <c r="T271" s="47" t="n"/>
      <c r="U271" s="47" t="n"/>
      <c r="V271" s="47" t="n"/>
      <c r="W271" s="47" t="n"/>
    </row>
    <row r="272" ht="12" customHeight="1">
      <c r="A272" s="30" t="inlineStr">
        <is>
          <t>Areal</t>
        </is>
      </c>
      <c r="B272" s="30" t="n">
        <v>83649569</v>
      </c>
      <c r="C272" s="30">
        <f>"21562418000324"</f>
        <v/>
      </c>
      <c r="D272" s="30" t="inlineStr">
        <is>
          <t>COOPERATIVA TRANSPORTADORA DE PETROLEO E DERIVADOS LTDA</t>
        </is>
      </c>
      <c r="E272" s="40" t="n">
        <v>0</v>
      </c>
      <c r="F272" s="40" t="n">
        <v>0</v>
      </c>
      <c r="G272" s="40" t="n">
        <v>0</v>
      </c>
      <c r="H272" s="40" t="n">
        <v>0</v>
      </c>
      <c r="I272" s="40" t="n">
        <v>0</v>
      </c>
      <c r="J272" s="40" t="n">
        <v>150096</v>
      </c>
      <c r="K272" s="40" t="n">
        <v>100</v>
      </c>
      <c r="L272" s="40" t="n">
        <v>159049</v>
      </c>
      <c r="M272" s="40" t="n">
        <v>5.96</v>
      </c>
      <c r="N272" s="40" t="n">
        <v>138163.66</v>
      </c>
      <c r="O272" s="46" t="n">
        <v>-13.13</v>
      </c>
      <c r="P272" s="40" t="n">
        <v>19764.51</v>
      </c>
      <c r="Q272" s="46" t="n">
        <v>-85.69</v>
      </c>
      <c r="R272" s="47" t="n"/>
      <c r="S272" s="47" t="n"/>
      <c r="T272" s="47" t="n"/>
      <c r="U272" s="47" t="n"/>
      <c r="V272" s="47" t="n"/>
      <c r="W272" s="47" t="n"/>
    </row>
    <row r="273" ht="12" customHeight="1">
      <c r="A273" s="30" t="inlineStr">
        <is>
          <t>Areal</t>
        </is>
      </c>
      <c r="B273" s="30" t="n">
        <v>83788658</v>
      </c>
      <c r="C273" s="30">
        <f>"29453826000279"</f>
        <v/>
      </c>
      <c r="D273" s="30" t="inlineStr">
        <is>
          <t>TRANSPORTE GENEROSO LTDA</t>
        </is>
      </c>
      <c r="E273" s="40" t="n">
        <v>0</v>
      </c>
      <c r="F273" s="40" t="n">
        <v>0</v>
      </c>
      <c r="G273" s="40" t="n">
        <v>0</v>
      </c>
      <c r="H273" s="40" t="n">
        <v>0</v>
      </c>
      <c r="I273" s="40" t="n">
        <v>0</v>
      </c>
      <c r="J273" s="40" t="n">
        <v>0</v>
      </c>
      <c r="K273" s="40" t="n">
        <v>0</v>
      </c>
      <c r="L273" s="40" t="n">
        <v>0</v>
      </c>
      <c r="M273" s="40" t="n">
        <v>0</v>
      </c>
      <c r="N273" s="40" t="n">
        <v>3012.11</v>
      </c>
      <c r="O273" s="40" t="n">
        <v>100</v>
      </c>
      <c r="P273" s="40" t="n">
        <v>920</v>
      </c>
      <c r="Q273" s="46" t="n">
        <v>-69.45999999999999</v>
      </c>
      <c r="R273" s="47" t="n"/>
      <c r="S273" s="47" t="n"/>
      <c r="T273" s="47" t="n"/>
      <c r="U273" s="47" t="n"/>
      <c r="V273" s="47" t="n"/>
      <c r="W273" s="47" t="n"/>
    </row>
    <row r="274" ht="12" customHeight="1">
      <c r="A274" s="30" t="inlineStr">
        <is>
          <t>Areal</t>
        </is>
      </c>
      <c r="B274" s="30" t="n">
        <v>83799366</v>
      </c>
      <c r="C274" s="30">
        <f>"60860087000360"</f>
        <v/>
      </c>
      <c r="D274" s="30" t="inlineStr">
        <is>
          <t>BRINK"S SEGURANCA E TRANSPORTE DE VALORES LTDA</t>
        </is>
      </c>
      <c r="E274" s="40" t="n">
        <v>0</v>
      </c>
      <c r="F274" s="40" t="n">
        <v>0</v>
      </c>
      <c r="G274" s="40" t="n">
        <v>0</v>
      </c>
      <c r="H274" s="40" t="n">
        <v>0</v>
      </c>
      <c r="I274" s="40" t="n">
        <v>0</v>
      </c>
      <c r="J274" s="40" t="n">
        <v>0</v>
      </c>
      <c r="K274" s="40" t="n">
        <v>0</v>
      </c>
      <c r="L274" s="40" t="n">
        <v>0</v>
      </c>
      <c r="M274" s="40" t="n">
        <v>0</v>
      </c>
      <c r="N274" s="40" t="n">
        <v>2245.89</v>
      </c>
      <c r="O274" s="40" t="n">
        <v>100</v>
      </c>
      <c r="P274" s="40" t="n">
        <v>0</v>
      </c>
      <c r="Q274" s="46" t="n">
        <v>-100</v>
      </c>
      <c r="R274" s="47" t="n"/>
      <c r="S274" s="47" t="n"/>
      <c r="T274" s="47" t="n"/>
      <c r="U274" s="47" t="n"/>
      <c r="V274" s="47" t="n"/>
      <c r="W274" s="47" t="n"/>
    </row>
    <row r="275" ht="12" customHeight="1">
      <c r="A275" s="30" t="inlineStr">
        <is>
          <t>Areal</t>
        </is>
      </c>
      <c r="B275" s="30" t="n">
        <v>83824735</v>
      </c>
      <c r="C275" s="30">
        <f>"34146175000123"</f>
        <v/>
      </c>
      <c r="D275" s="30" t="inlineStr">
        <is>
          <t>EMPRESA DE TRANSPORTE ANGELA LTDA ME</t>
        </is>
      </c>
      <c r="E275" s="40" t="n">
        <v>0</v>
      </c>
      <c r="F275" s="40" t="n">
        <v>0</v>
      </c>
      <c r="G275" s="40" t="n">
        <v>0</v>
      </c>
      <c r="H275" s="40" t="n">
        <v>0</v>
      </c>
      <c r="I275" s="40" t="n">
        <v>0</v>
      </c>
      <c r="J275" s="40" t="n">
        <v>0</v>
      </c>
      <c r="K275" s="40" t="n">
        <v>0</v>
      </c>
      <c r="L275" s="40" t="n">
        <v>0</v>
      </c>
      <c r="M275" s="40" t="n">
        <v>0</v>
      </c>
      <c r="N275" s="40" t="n">
        <v>3900</v>
      </c>
      <c r="O275" s="40" t="n">
        <v>100</v>
      </c>
      <c r="P275" s="40" t="n">
        <v>0</v>
      </c>
      <c r="Q275" s="46" t="n">
        <v>-100</v>
      </c>
      <c r="R275" s="47" t="n"/>
      <c r="S275" s="47" t="n"/>
      <c r="T275" s="47" t="n"/>
      <c r="U275" s="47" t="n"/>
      <c r="V275" s="47" t="n"/>
      <c r="W275" s="47" t="n"/>
    </row>
    <row r="276" ht="12" customHeight="1">
      <c r="A276" s="30" t="inlineStr">
        <is>
          <t>Areal</t>
        </is>
      </c>
      <c r="B276" s="30" t="n">
        <v>83848413</v>
      </c>
      <c r="C276" s="30">
        <f>"31134885000145"</f>
        <v/>
      </c>
      <c r="D276" s="30" t="inlineStr">
        <is>
          <t>TRANSPORTES UNICA PETROPOLIS LTDA</t>
        </is>
      </c>
      <c r="E276" s="40" t="n">
        <v>0</v>
      </c>
      <c r="F276" s="40" t="n">
        <v>0</v>
      </c>
      <c r="G276" s="40" t="n">
        <v>0</v>
      </c>
      <c r="H276" s="40" t="n">
        <v>0</v>
      </c>
      <c r="I276" s="40" t="n">
        <v>0</v>
      </c>
      <c r="J276" s="40" t="n">
        <v>44.82</v>
      </c>
      <c r="K276" s="40" t="n">
        <v>100</v>
      </c>
      <c r="L276" s="40" t="n">
        <v>44.82</v>
      </c>
      <c r="M276" s="40" t="n">
        <v>0</v>
      </c>
      <c r="N276" s="40" t="n">
        <v>274.8</v>
      </c>
      <c r="O276" s="40" t="n">
        <v>513.12</v>
      </c>
      <c r="P276" s="40" t="n">
        <v>413.62</v>
      </c>
      <c r="Q276" s="40" t="n">
        <v>50.52</v>
      </c>
      <c r="R276" s="47" t="n"/>
      <c r="S276" s="47" t="n"/>
      <c r="T276" s="47" t="n"/>
      <c r="U276" s="47" t="n"/>
      <c r="V276" s="47" t="n"/>
      <c r="W276" s="47" t="n"/>
    </row>
    <row r="277" ht="12" customHeight="1">
      <c r="A277" s="30" t="inlineStr">
        <is>
          <t>Areal</t>
        </is>
      </c>
      <c r="B277" s="30" t="n">
        <v>83878312</v>
      </c>
      <c r="C277" s="30">
        <f>"28702777000117"</f>
        <v/>
      </c>
      <c r="D277" s="30" t="inlineStr">
        <is>
          <t>TRANSPORTE ESCOLAR E TURISMO TIO ZE LTDA</t>
        </is>
      </c>
      <c r="E277" s="40" t="n">
        <v>1460</v>
      </c>
      <c r="F277" s="40" t="n">
        <v>0</v>
      </c>
      <c r="G277" s="46" t="n">
        <v>-100</v>
      </c>
      <c r="H277" s="40" t="n">
        <v>0</v>
      </c>
      <c r="I277" s="40" t="n">
        <v>0</v>
      </c>
      <c r="J277" s="40" t="n">
        <v>0</v>
      </c>
      <c r="K277" s="40" t="n">
        <v>0</v>
      </c>
      <c r="L277" s="40" t="n">
        <v>0</v>
      </c>
      <c r="M277" s="40" t="n">
        <v>0</v>
      </c>
      <c r="N277" s="40" t="n">
        <v>0</v>
      </c>
      <c r="O277" s="40" t="n">
        <v>0</v>
      </c>
      <c r="P277" s="40" t="n">
        <v>0</v>
      </c>
      <c r="Q277" s="40" t="n">
        <v>0</v>
      </c>
      <c r="R277" s="47" t="n"/>
      <c r="S277" s="47" t="n"/>
      <c r="T277" s="47" t="n"/>
      <c r="U277" s="47" t="n"/>
      <c r="V277" s="47" t="n"/>
      <c r="W277" s="47" t="n"/>
    </row>
    <row r="278" ht="12" customHeight="1">
      <c r="A278" s="30" t="inlineStr">
        <is>
          <t>Areal</t>
        </is>
      </c>
      <c r="B278" s="30" t="n">
        <v>84089109</v>
      </c>
      <c r="C278" s="30">
        <f>"17191172000516"</f>
        <v/>
      </c>
      <c r="D278" s="30" t="inlineStr">
        <is>
          <t>EMPRESA DE TRANSPORTES MARTINS LTDA</t>
        </is>
      </c>
      <c r="E278" s="40" t="n">
        <v>0</v>
      </c>
      <c r="F278" s="40" t="n">
        <v>0</v>
      </c>
      <c r="G278" s="40" t="n">
        <v>0</v>
      </c>
      <c r="H278" s="40" t="n">
        <v>0</v>
      </c>
      <c r="I278" s="40" t="n">
        <v>0</v>
      </c>
      <c r="J278" s="40" t="n">
        <v>0</v>
      </c>
      <c r="K278" s="40" t="n">
        <v>0</v>
      </c>
      <c r="L278" s="40" t="n">
        <v>1134.16</v>
      </c>
      <c r="M278" s="40" t="n">
        <v>100</v>
      </c>
      <c r="N278" s="40" t="n">
        <v>156.67</v>
      </c>
      <c r="O278" s="46" t="n">
        <v>-86.19</v>
      </c>
      <c r="P278" s="40" t="n">
        <v>0</v>
      </c>
      <c r="Q278" s="46" t="n">
        <v>-100</v>
      </c>
      <c r="R278" s="47" t="n"/>
      <c r="S278" s="47" t="n"/>
      <c r="T278" s="47" t="n"/>
      <c r="U278" s="47" t="n"/>
      <c r="V278" s="47" t="n"/>
      <c r="W278" s="47" t="n"/>
    </row>
    <row r="279" ht="12" customHeight="1">
      <c r="A279" s="30" t="inlineStr">
        <is>
          <t>Areal</t>
        </is>
      </c>
      <c r="B279" s="30" t="n">
        <v>84200395</v>
      </c>
      <c r="C279" s="30">
        <f>"17676693000130"</f>
        <v/>
      </c>
      <c r="D279" s="30" t="inlineStr">
        <is>
          <t>M W TRANSPORTES LTDA</t>
        </is>
      </c>
      <c r="E279" s="40" t="n">
        <v>0</v>
      </c>
      <c r="F279" s="40" t="n">
        <v>112.74</v>
      </c>
      <c r="G279" s="40" t="n">
        <v>100</v>
      </c>
      <c r="H279" s="40" t="n">
        <v>458.74</v>
      </c>
      <c r="I279" s="40" t="n">
        <v>306.9</v>
      </c>
      <c r="J279" s="40" t="n">
        <v>330.88</v>
      </c>
      <c r="K279" s="46" t="n">
        <v>-27.87</v>
      </c>
      <c r="L279" s="40" t="n">
        <v>0</v>
      </c>
      <c r="M279" s="46" t="n">
        <v>-100</v>
      </c>
      <c r="N279" s="40" t="n">
        <v>0</v>
      </c>
      <c r="O279" s="40" t="n">
        <v>0</v>
      </c>
      <c r="P279" s="40" t="n">
        <v>0</v>
      </c>
      <c r="Q279" s="40" t="n">
        <v>0</v>
      </c>
      <c r="R279" s="47" t="n"/>
      <c r="S279" s="47" t="n"/>
      <c r="T279" s="47" t="n"/>
      <c r="U279" s="47" t="n"/>
      <c r="V279" s="47" t="n"/>
      <c r="W279" s="47" t="n"/>
    </row>
    <row r="280" ht="12" customHeight="1">
      <c r="A280" s="30" t="inlineStr">
        <is>
          <t>Areal</t>
        </is>
      </c>
      <c r="B280" s="30" t="n">
        <v>84326992</v>
      </c>
      <c r="C280" s="30">
        <f>"32314247000179"</f>
        <v/>
      </c>
      <c r="D280" s="30" t="inlineStr">
        <is>
          <t>MTD TRANSPORTES LTDA</t>
        </is>
      </c>
      <c r="E280" s="40" t="n">
        <v>0</v>
      </c>
      <c r="F280" s="40" t="n">
        <v>53.75</v>
      </c>
      <c r="G280" s="40" t="n">
        <v>100</v>
      </c>
      <c r="H280" s="40" t="n">
        <v>0</v>
      </c>
      <c r="I280" s="46" t="n">
        <v>-100</v>
      </c>
      <c r="J280" s="40" t="n">
        <v>0</v>
      </c>
      <c r="K280" s="40" t="n">
        <v>0</v>
      </c>
      <c r="L280" s="40" t="n">
        <v>23.13</v>
      </c>
      <c r="M280" s="40" t="n">
        <v>100</v>
      </c>
      <c r="N280" s="40" t="n">
        <v>0</v>
      </c>
      <c r="O280" s="46" t="n">
        <v>-100</v>
      </c>
      <c r="P280" s="40" t="n">
        <v>0</v>
      </c>
      <c r="Q280" s="40" t="n">
        <v>0</v>
      </c>
      <c r="R280" s="47" t="n"/>
      <c r="S280" s="47" t="n"/>
      <c r="T280" s="47" t="n"/>
      <c r="U280" s="47" t="n"/>
      <c r="V280" s="47" t="n"/>
      <c r="W280" s="47" t="n"/>
    </row>
    <row r="281" ht="12" customHeight="1">
      <c r="A281" s="30" t="inlineStr">
        <is>
          <t>Areal</t>
        </is>
      </c>
      <c r="B281" s="30" t="n">
        <v>84327093</v>
      </c>
      <c r="C281" s="30">
        <f>"66199068000311"</f>
        <v/>
      </c>
      <c r="D281" s="30" t="inlineStr">
        <is>
          <t>RAPIDO ALEM PARAIBA LTDA</t>
        </is>
      </c>
      <c r="E281" s="40" t="n">
        <v>0</v>
      </c>
      <c r="F281" s="40" t="n">
        <v>111</v>
      </c>
      <c r="G281" s="40" t="n">
        <v>100</v>
      </c>
      <c r="H281" s="40" t="n">
        <v>0</v>
      </c>
      <c r="I281" s="46" t="n">
        <v>-100</v>
      </c>
      <c r="J281" s="40" t="n">
        <v>0</v>
      </c>
      <c r="K281" s="40" t="n">
        <v>0</v>
      </c>
      <c r="L281" s="40" t="n">
        <v>0</v>
      </c>
      <c r="M281" s="40" t="n">
        <v>0</v>
      </c>
      <c r="N281" s="40" t="n">
        <v>0</v>
      </c>
      <c r="O281" s="40" t="n">
        <v>0</v>
      </c>
      <c r="P281" s="40" t="n">
        <v>0</v>
      </c>
      <c r="Q281" s="40" t="n">
        <v>0</v>
      </c>
      <c r="R281" s="47" t="n"/>
      <c r="S281" s="47" t="n"/>
      <c r="T281" s="47" t="n"/>
      <c r="U281" s="47" t="n"/>
      <c r="V281" s="47" t="n"/>
      <c r="W281" s="47" t="n"/>
    </row>
    <row r="282" ht="12" customHeight="1">
      <c r="A282" s="30" t="inlineStr">
        <is>
          <t>Areal</t>
        </is>
      </c>
      <c r="B282" s="30" t="n">
        <v>84327565</v>
      </c>
      <c r="C282" s="30">
        <f>"19451038000370"</f>
        <v/>
      </c>
      <c r="D282" s="30" t="inlineStr">
        <is>
          <t>RODOVIARIO CAMILO DOS SANTOS FILHO LTDA</t>
        </is>
      </c>
      <c r="E282" s="40" t="n">
        <v>0</v>
      </c>
      <c r="F282" s="40" t="n">
        <v>45.55</v>
      </c>
      <c r="G282" s="40" t="n">
        <v>100</v>
      </c>
      <c r="H282" s="40" t="n">
        <v>0</v>
      </c>
      <c r="I282" s="46" t="n">
        <v>-100</v>
      </c>
      <c r="J282" s="40" t="n">
        <v>0</v>
      </c>
      <c r="K282" s="40" t="n">
        <v>0</v>
      </c>
      <c r="L282" s="40" t="n">
        <v>0</v>
      </c>
      <c r="M282" s="40" t="n">
        <v>0</v>
      </c>
      <c r="N282" s="40" t="n">
        <v>485.64</v>
      </c>
      <c r="O282" s="40" t="n">
        <v>100</v>
      </c>
      <c r="P282" s="40" t="n">
        <v>386.2</v>
      </c>
      <c r="Q282" s="46" t="n">
        <v>-20.48</v>
      </c>
      <c r="R282" s="47" t="n"/>
      <c r="S282" s="47" t="n"/>
      <c r="T282" s="47" t="n"/>
      <c r="U282" s="47" t="n"/>
      <c r="V282" s="47" t="n"/>
      <c r="W282" s="47" t="n"/>
    </row>
    <row r="283" ht="12" customHeight="1">
      <c r="A283" s="30" t="inlineStr">
        <is>
          <t>Areal</t>
        </is>
      </c>
      <c r="B283" s="30" t="n">
        <v>84422681</v>
      </c>
      <c r="C283" s="30">
        <f>"68654987000100"</f>
        <v/>
      </c>
      <c r="D283" s="30" t="inlineStr">
        <is>
          <t>SATEC TERRAPLENAGEM E CONSTRUCAO LTDA</t>
        </is>
      </c>
      <c r="E283" s="40" t="n">
        <v>0</v>
      </c>
      <c r="F283" s="40" t="n">
        <v>0</v>
      </c>
      <c r="G283" s="40" t="n">
        <v>0</v>
      </c>
      <c r="H283" s="40" t="n">
        <v>0</v>
      </c>
      <c r="I283" s="40" t="n">
        <v>0</v>
      </c>
      <c r="J283" s="40" t="n">
        <v>0</v>
      </c>
      <c r="K283" s="40" t="n">
        <v>0</v>
      </c>
      <c r="L283" s="40" t="n">
        <v>0</v>
      </c>
      <c r="M283" s="40" t="n">
        <v>0</v>
      </c>
      <c r="N283" s="40" t="n">
        <v>0</v>
      </c>
      <c r="O283" s="40" t="n">
        <v>0</v>
      </c>
      <c r="P283" s="40" t="n">
        <v>0</v>
      </c>
      <c r="Q283" s="40" t="n">
        <v>0</v>
      </c>
      <c r="R283" s="47" t="n"/>
      <c r="S283" s="47" t="n"/>
      <c r="T283" s="47" t="n"/>
      <c r="U283" s="47" t="n"/>
      <c r="V283" s="47" t="n"/>
      <c r="W283" s="47" t="n"/>
    </row>
    <row r="284" ht="12" customHeight="1">
      <c r="A284" s="30" t="inlineStr">
        <is>
          <t>Areal</t>
        </is>
      </c>
      <c r="B284" s="30" t="n">
        <v>84494968</v>
      </c>
      <c r="C284" s="30">
        <f>"01472702000130"</f>
        <v/>
      </c>
      <c r="D284" s="30" t="inlineStr">
        <is>
          <t>C COMTELECOM SERVICOS LTDA ME</t>
        </is>
      </c>
      <c r="E284" s="40" t="n">
        <v>0</v>
      </c>
      <c r="F284" s="40" t="n">
        <v>0</v>
      </c>
      <c r="G284" s="40" t="n">
        <v>0</v>
      </c>
      <c r="H284" s="40" t="n">
        <v>0</v>
      </c>
      <c r="I284" s="40" t="n">
        <v>0</v>
      </c>
      <c r="J284" s="40" t="n">
        <v>0</v>
      </c>
      <c r="K284" s="40" t="n">
        <v>0</v>
      </c>
      <c r="L284" s="40" t="n">
        <v>0</v>
      </c>
      <c r="M284" s="40" t="n">
        <v>0</v>
      </c>
      <c r="N284" s="40" t="n">
        <v>708484.22</v>
      </c>
      <c r="O284" s="40" t="n">
        <v>100</v>
      </c>
      <c r="P284" s="40" t="n">
        <v>208214.74</v>
      </c>
      <c r="Q284" s="46" t="n">
        <v>-70.61</v>
      </c>
      <c r="R284" s="47" t="n"/>
      <c r="S284" s="47" t="n"/>
      <c r="T284" s="47" t="n"/>
      <c r="U284" s="47" t="n"/>
      <c r="V284" s="47" t="n"/>
      <c r="W284" s="47" t="n"/>
    </row>
    <row r="285" ht="12" customHeight="1">
      <c r="A285" s="30" t="inlineStr">
        <is>
          <t>Areal</t>
        </is>
      </c>
      <c r="B285" s="30" t="n">
        <v>84510874</v>
      </c>
      <c r="C285" s="30">
        <f>"40442949000166"</f>
        <v/>
      </c>
      <c r="D285" s="30" t="inlineStr">
        <is>
          <t>TRANSPORTADORA XARA RIO EIRELI</t>
        </is>
      </c>
      <c r="E285" s="40" t="n">
        <v>0</v>
      </c>
      <c r="F285" s="40" t="n">
        <v>0</v>
      </c>
      <c r="G285" s="40" t="n">
        <v>0</v>
      </c>
      <c r="H285" s="40" t="n">
        <v>0</v>
      </c>
      <c r="I285" s="40" t="n">
        <v>0</v>
      </c>
      <c r="J285" s="40" t="n">
        <v>107.16</v>
      </c>
      <c r="K285" s="40" t="n">
        <v>100</v>
      </c>
      <c r="L285" s="40" t="n">
        <v>4431.69</v>
      </c>
      <c r="M285" s="40" t="n">
        <v>4035.58</v>
      </c>
      <c r="N285" s="40" t="n">
        <v>0</v>
      </c>
      <c r="O285" s="46" t="n">
        <v>-100</v>
      </c>
      <c r="P285" s="40" t="n">
        <v>0</v>
      </c>
      <c r="Q285" s="40" t="n">
        <v>0</v>
      </c>
      <c r="R285" s="47" t="n"/>
      <c r="S285" s="47" t="n"/>
      <c r="T285" s="47" t="n"/>
      <c r="U285" s="47" t="n"/>
      <c r="V285" s="47" t="n"/>
      <c r="W285" s="47" t="n"/>
    </row>
    <row r="286" ht="12" customHeight="1">
      <c r="A286" s="30" t="inlineStr">
        <is>
          <t>Areal</t>
        </is>
      </c>
      <c r="B286" s="30" t="n">
        <v>84702021</v>
      </c>
      <c r="C286" s="30">
        <f>"43035146002048"</f>
        <v/>
      </c>
      <c r="D286" s="30" t="inlineStr">
        <is>
          <t>PROTEGE SOCIEDADE ANONIMA PROTECAO E TRANSPORTE DE VALORES</t>
        </is>
      </c>
      <c r="E286" s="40" t="n">
        <v>119566.85</v>
      </c>
      <c r="F286" s="40" t="n">
        <v>139928.9</v>
      </c>
      <c r="G286" s="40" t="n">
        <v>17.03</v>
      </c>
      <c r="H286" s="40" t="n">
        <v>144782.95</v>
      </c>
      <c r="I286" s="40" t="n">
        <v>3.47</v>
      </c>
      <c r="J286" s="40" t="n">
        <v>142857.99</v>
      </c>
      <c r="K286" s="46" t="n">
        <v>-1.33</v>
      </c>
      <c r="L286" s="40" t="n">
        <v>124851.08</v>
      </c>
      <c r="M286" s="46" t="n">
        <v>-12.6</v>
      </c>
      <c r="N286" s="40" t="n">
        <v>91681.41</v>
      </c>
      <c r="O286" s="46" t="n">
        <v>-26.57</v>
      </c>
      <c r="P286" s="40" t="n">
        <v>0</v>
      </c>
      <c r="Q286" s="46" t="n">
        <v>-100</v>
      </c>
      <c r="R286" s="47" t="n"/>
      <c r="S286" s="47" t="n"/>
      <c r="T286" s="47" t="n"/>
      <c r="U286" s="47" t="n"/>
      <c r="V286" s="47" t="n"/>
      <c r="W286" s="47" t="n"/>
    </row>
    <row r="287" ht="12" customHeight="1">
      <c r="A287" s="30" t="inlineStr">
        <is>
          <t>Areal</t>
        </is>
      </c>
      <c r="B287" s="30" t="n">
        <v>85071424</v>
      </c>
      <c r="C287" s="30">
        <f>"73222150000113"</f>
        <v/>
      </c>
      <c r="D287" s="30" t="inlineStr">
        <is>
          <t>C W I POUSADA LTDA</t>
        </is>
      </c>
      <c r="E287" s="40" t="n">
        <v>0</v>
      </c>
      <c r="F287" s="40" t="n">
        <v>0</v>
      </c>
      <c r="G287" s="40" t="n">
        <v>0</v>
      </c>
      <c r="H287" s="40" t="n">
        <v>0</v>
      </c>
      <c r="I287" s="40" t="n">
        <v>0</v>
      </c>
      <c r="J287" s="40" t="n">
        <v>0</v>
      </c>
      <c r="K287" s="40" t="n">
        <v>0</v>
      </c>
      <c r="L287" s="40" t="n">
        <v>0</v>
      </c>
      <c r="M287" s="40" t="n">
        <v>0</v>
      </c>
      <c r="N287" s="40" t="n">
        <v>0</v>
      </c>
      <c r="O287" s="40" t="n">
        <v>0</v>
      </c>
      <c r="P287" s="40" t="n">
        <v>0</v>
      </c>
      <c r="Q287" s="40" t="n">
        <v>0</v>
      </c>
      <c r="R287" s="47" t="n"/>
      <c r="S287" s="47" t="n"/>
      <c r="T287" s="47" t="n"/>
      <c r="U287" s="47" t="n"/>
      <c r="V287" s="47" t="n"/>
      <c r="W287" s="47" t="n"/>
    </row>
    <row r="288" ht="12" customHeight="1">
      <c r="A288" s="30" t="inlineStr">
        <is>
          <t>Areal</t>
        </is>
      </c>
      <c r="B288" s="30" t="n">
        <v>85071491</v>
      </c>
      <c r="C288" s="30">
        <f>"39754031000173"</f>
        <v/>
      </c>
      <c r="D288" s="30" t="inlineStr">
        <is>
          <t>ELUMAX MATERIAIS ELETRICOS HIDRAULICOS E DE CONSTRUCAO LTDA ME</t>
        </is>
      </c>
      <c r="E288" s="40" t="n">
        <v>0</v>
      </c>
      <c r="F288" s="40" t="n">
        <v>1543.81</v>
      </c>
      <c r="G288" s="40" t="n">
        <v>100</v>
      </c>
      <c r="H288" s="40" t="n">
        <v>0</v>
      </c>
      <c r="I288" s="46" t="n">
        <v>-100</v>
      </c>
      <c r="J288" s="40" t="n">
        <v>69048.53999999999</v>
      </c>
      <c r="K288" s="40" t="n">
        <v>100</v>
      </c>
      <c r="L288" s="40" t="n">
        <v>33059.24</v>
      </c>
      <c r="M288" s="46" t="n">
        <v>-52.12</v>
      </c>
      <c r="N288" s="40" t="n">
        <v>46467.34</v>
      </c>
      <c r="O288" s="40" t="n">
        <v>40.56</v>
      </c>
      <c r="P288" s="40" t="n">
        <v>0</v>
      </c>
      <c r="Q288" s="46" t="n">
        <v>-100</v>
      </c>
      <c r="R288" s="47" t="n"/>
      <c r="S288" s="47" t="n"/>
      <c r="T288" s="47" t="n"/>
      <c r="U288" s="47" t="n"/>
      <c r="V288" s="47" t="n"/>
      <c r="W288" s="47" t="n"/>
    </row>
    <row r="289" ht="12" customHeight="1">
      <c r="A289" s="30" t="inlineStr">
        <is>
          <t>Areal</t>
        </is>
      </c>
      <c r="B289" s="30" t="n">
        <v>85071742</v>
      </c>
      <c r="C289" s="30">
        <f>"00165085000168"</f>
        <v/>
      </c>
      <c r="D289" s="30" t="inlineStr">
        <is>
          <t>F.A.S KAPPLER COMÉRCIO EIRELI</t>
        </is>
      </c>
      <c r="E289" s="40" t="n">
        <v>111741.01</v>
      </c>
      <c r="F289" s="40" t="n">
        <v>0</v>
      </c>
      <c r="G289" s="46" t="n">
        <v>-100</v>
      </c>
      <c r="H289" s="40" t="n">
        <v>0</v>
      </c>
      <c r="I289" s="40" t="n">
        <v>0</v>
      </c>
      <c r="J289" s="40" t="n">
        <v>0</v>
      </c>
      <c r="K289" s="40" t="n">
        <v>0</v>
      </c>
      <c r="L289" s="40" t="n">
        <v>0</v>
      </c>
      <c r="M289" s="40" t="n">
        <v>0</v>
      </c>
      <c r="N289" s="40" t="n">
        <v>0</v>
      </c>
      <c r="O289" s="40" t="n">
        <v>0</v>
      </c>
      <c r="P289" s="40" t="n">
        <v>0</v>
      </c>
      <c r="Q289" s="40" t="n">
        <v>0</v>
      </c>
      <c r="R289" s="47" t="n"/>
      <c r="S289" s="47" t="n"/>
      <c r="T289" s="47" t="n"/>
      <c r="U289" s="47" t="n"/>
      <c r="V289" s="47" t="n"/>
      <c r="W289" s="47" t="n"/>
    </row>
    <row r="290" ht="12" customHeight="1">
      <c r="A290" s="30" t="inlineStr">
        <is>
          <t>Areal</t>
        </is>
      </c>
      <c r="B290" s="30" t="n">
        <v>85072188</v>
      </c>
      <c r="C290" s="30">
        <f>"01083133000131"</f>
        <v/>
      </c>
      <c r="D290" s="30" t="inlineStr">
        <is>
          <t>AREAL - SAT ELETROMOVEIS LTDA ME</t>
        </is>
      </c>
      <c r="E290" s="40" t="n">
        <v>0</v>
      </c>
      <c r="F290" s="40" t="n">
        <v>0</v>
      </c>
      <c r="G290" s="40" t="n">
        <v>0</v>
      </c>
      <c r="H290" s="40" t="n">
        <v>0</v>
      </c>
      <c r="I290" s="40" t="n">
        <v>0</v>
      </c>
      <c r="J290" s="40" t="n">
        <v>0</v>
      </c>
      <c r="K290" s="40" t="n">
        <v>0</v>
      </c>
      <c r="L290" s="40" t="n">
        <v>0</v>
      </c>
      <c r="M290" s="40" t="n">
        <v>0</v>
      </c>
      <c r="N290" s="40" t="n">
        <v>0</v>
      </c>
      <c r="O290" s="40" t="n">
        <v>0</v>
      </c>
      <c r="P290" s="40" t="n">
        <v>0</v>
      </c>
      <c r="Q290" s="40" t="n">
        <v>0</v>
      </c>
      <c r="R290" s="47" t="n"/>
      <c r="S290" s="47" t="n"/>
      <c r="T290" s="47" t="n"/>
      <c r="U290" s="47" t="n"/>
      <c r="V290" s="47" t="n"/>
      <c r="W290" s="47" t="n"/>
    </row>
    <row r="291" ht="12" customHeight="1">
      <c r="A291" s="30" t="inlineStr">
        <is>
          <t>Areal</t>
        </is>
      </c>
      <c r="B291" s="30" t="n">
        <v>85152785</v>
      </c>
      <c r="C291" s="30">
        <f>"01370655000114"</f>
        <v/>
      </c>
      <c r="D291" s="30" t="inlineStr">
        <is>
          <t>VALE DAS BATATAS ALIMENTOS LTDA</t>
        </is>
      </c>
      <c r="E291" s="40" t="n">
        <v>0</v>
      </c>
      <c r="F291" s="40" t="n">
        <v>0</v>
      </c>
      <c r="G291" s="40" t="n">
        <v>0</v>
      </c>
      <c r="H291" s="40" t="n">
        <v>0</v>
      </c>
      <c r="I291" s="40" t="n">
        <v>0</v>
      </c>
      <c r="J291" s="40" t="n">
        <v>102478.76</v>
      </c>
      <c r="K291" s="40" t="n">
        <v>100</v>
      </c>
      <c r="L291" s="40" t="n">
        <v>255942.79</v>
      </c>
      <c r="M291" s="40" t="n">
        <v>149.75</v>
      </c>
      <c r="N291" s="40" t="n">
        <v>252338.49</v>
      </c>
      <c r="O291" s="46" t="n">
        <v>-1.41</v>
      </c>
      <c r="P291" s="40" t="n">
        <v>586417.5600000001</v>
      </c>
      <c r="Q291" s="40" t="n">
        <v>132.39</v>
      </c>
      <c r="R291" s="47" t="n"/>
      <c r="S291" s="47" t="n"/>
      <c r="T291" s="47" t="n"/>
      <c r="U291" s="47" t="n"/>
      <c r="V291" s="47" t="n"/>
      <c r="W291" s="47" t="n"/>
    </row>
    <row r="292" ht="12" customHeight="1">
      <c r="A292" s="30" t="inlineStr">
        <is>
          <t>Areal</t>
        </is>
      </c>
      <c r="B292" s="30" t="n">
        <v>85153668</v>
      </c>
      <c r="C292" s="30">
        <f>"03328332000198"</f>
        <v/>
      </c>
      <c r="D292" s="30" t="inlineStr">
        <is>
          <t>CONCRETAO MATERIIAS DE CONSTRUCAO LTDA ME</t>
        </is>
      </c>
      <c r="E292" s="40" t="n">
        <v>0</v>
      </c>
      <c r="F292" s="40" t="n">
        <v>0</v>
      </c>
      <c r="G292" s="40" t="n">
        <v>0</v>
      </c>
      <c r="H292" s="40" t="n">
        <v>0</v>
      </c>
      <c r="I292" s="40" t="n">
        <v>0</v>
      </c>
      <c r="J292" s="40" t="n">
        <v>0</v>
      </c>
      <c r="K292" s="40" t="n">
        <v>0</v>
      </c>
      <c r="L292" s="40" t="n">
        <v>0</v>
      </c>
      <c r="M292" s="40" t="n">
        <v>0</v>
      </c>
      <c r="N292" s="40" t="n">
        <v>0</v>
      </c>
      <c r="O292" s="40" t="n">
        <v>0</v>
      </c>
      <c r="P292" s="40" t="n">
        <v>0</v>
      </c>
      <c r="Q292" s="40" t="n">
        <v>0</v>
      </c>
      <c r="R292" s="47" t="n"/>
      <c r="S292" s="47" t="n"/>
      <c r="T292" s="47" t="n"/>
      <c r="U292" s="47" t="n"/>
      <c r="V292" s="47" t="n"/>
      <c r="W292" s="47" t="n"/>
    </row>
    <row r="293" ht="12" customHeight="1">
      <c r="A293" s="30" t="inlineStr">
        <is>
          <t>Areal</t>
        </is>
      </c>
      <c r="B293" s="30" t="n">
        <v>85153846</v>
      </c>
      <c r="C293" s="30">
        <f>"02728331000178"</f>
        <v/>
      </c>
      <c r="D293" s="30" t="inlineStr">
        <is>
          <t>STAMP COR INDUSTRIA E COMERCIO DE PRODUTOS SERIGRAFICOS LTDA ME</t>
        </is>
      </c>
      <c r="E293" s="40" t="n">
        <v>0</v>
      </c>
      <c r="F293" s="40" t="n">
        <v>0</v>
      </c>
      <c r="G293" s="40" t="n">
        <v>0</v>
      </c>
      <c r="H293" s="40" t="n">
        <v>0</v>
      </c>
      <c r="I293" s="40" t="n">
        <v>0</v>
      </c>
      <c r="J293" s="40" t="n">
        <v>0</v>
      </c>
      <c r="K293" s="40" t="n">
        <v>0</v>
      </c>
      <c r="L293" s="40" t="n">
        <v>245998.35</v>
      </c>
      <c r="M293" s="40" t="n">
        <v>100</v>
      </c>
      <c r="N293" s="40" t="n">
        <v>0</v>
      </c>
      <c r="O293" s="46" t="n">
        <v>-100</v>
      </c>
      <c r="P293" s="40" t="n">
        <v>0</v>
      </c>
      <c r="Q293" s="40" t="n">
        <v>0</v>
      </c>
      <c r="R293" s="47" t="n"/>
      <c r="S293" s="47" t="n"/>
      <c r="T293" s="47" t="n"/>
      <c r="U293" s="47" t="n"/>
      <c r="V293" s="47" t="n"/>
      <c r="W293" s="47" t="n"/>
    </row>
    <row r="294" ht="12" customHeight="1">
      <c r="A294" s="30" t="inlineStr">
        <is>
          <t>Areal</t>
        </is>
      </c>
      <c r="B294" s="30" t="n">
        <v>85153862</v>
      </c>
      <c r="C294" s="30">
        <f>"03646695000171"</f>
        <v/>
      </c>
      <c r="D294" s="30" t="inlineStr">
        <is>
          <t>AUTO POSTO ROTA 40 LTDA</t>
        </is>
      </c>
      <c r="E294" s="40" t="n">
        <v>130145.28</v>
      </c>
      <c r="F294" s="40" t="n">
        <v>832871.51</v>
      </c>
      <c r="G294" s="40" t="n">
        <v>539.96</v>
      </c>
      <c r="H294" s="40" t="n">
        <v>905552.28</v>
      </c>
      <c r="I294" s="40" t="n">
        <v>8.73</v>
      </c>
      <c r="J294" s="40" t="n">
        <v>684484.36</v>
      </c>
      <c r="K294" s="46" t="n">
        <v>-24.41</v>
      </c>
      <c r="L294" s="40" t="n">
        <v>886361.37</v>
      </c>
      <c r="M294" s="40" t="n">
        <v>29.49</v>
      </c>
      <c r="N294" s="40" t="n">
        <v>523487.72</v>
      </c>
      <c r="O294" s="46" t="n">
        <v>-40.94</v>
      </c>
      <c r="P294" s="40" t="n">
        <v>0</v>
      </c>
      <c r="Q294" s="46" t="n">
        <v>-100</v>
      </c>
      <c r="R294" s="47" t="n"/>
      <c r="S294" s="47" t="n"/>
      <c r="T294" s="47" t="n"/>
      <c r="U294" s="47" t="n"/>
      <c r="V294" s="47" t="n"/>
      <c r="W294" s="47" t="n"/>
    </row>
    <row r="295" ht="12" customHeight="1">
      <c r="A295" s="30" t="inlineStr">
        <is>
          <t>Areal</t>
        </is>
      </c>
      <c r="B295" s="30" t="n">
        <v>85154117</v>
      </c>
      <c r="C295" s="30">
        <f>"04264441000151"</f>
        <v/>
      </c>
      <c r="D295" s="30" t="inlineStr">
        <is>
          <t>MMS DISTRIBUIDORA LTDA</t>
        </is>
      </c>
      <c r="E295" s="40" t="n">
        <v>0</v>
      </c>
      <c r="F295" s="40" t="n">
        <v>0</v>
      </c>
      <c r="G295" s="40" t="n">
        <v>0</v>
      </c>
      <c r="H295" s="40" t="n">
        <v>0</v>
      </c>
      <c r="I295" s="40" t="n">
        <v>0</v>
      </c>
      <c r="J295" s="40" t="n">
        <v>50951.67</v>
      </c>
      <c r="K295" s="40" t="n">
        <v>100</v>
      </c>
      <c r="L295" s="40" t="n">
        <v>0</v>
      </c>
      <c r="M295" s="46" t="n">
        <v>-100</v>
      </c>
      <c r="N295" s="40" t="n">
        <v>51007.19</v>
      </c>
      <c r="O295" s="40" t="n">
        <v>100</v>
      </c>
      <c r="P295" s="40" t="n">
        <v>0</v>
      </c>
      <c r="Q295" s="46" t="n">
        <v>-100</v>
      </c>
      <c r="R295" s="47" t="n"/>
      <c r="S295" s="47" t="n"/>
      <c r="T295" s="47" t="n"/>
      <c r="U295" s="47" t="n"/>
      <c r="V295" s="47" t="n"/>
      <c r="W295" s="47" t="n"/>
    </row>
    <row r="296" ht="12" customHeight="1">
      <c r="A296" s="30" t="inlineStr">
        <is>
          <t>Areal</t>
        </is>
      </c>
      <c r="B296" s="30" t="n">
        <v>85206672</v>
      </c>
      <c r="C296" s="30">
        <f>"88009030000452"</f>
        <v/>
      </c>
      <c r="D296" s="30" t="inlineStr">
        <is>
          <t>MODULAR TRANSPORTES LTDA</t>
        </is>
      </c>
      <c r="E296" s="40" t="n">
        <v>0</v>
      </c>
      <c r="F296" s="40" t="n">
        <v>0</v>
      </c>
      <c r="G296" s="40" t="n">
        <v>0</v>
      </c>
      <c r="H296" s="40" t="n">
        <v>0</v>
      </c>
      <c r="I296" s="40" t="n">
        <v>0</v>
      </c>
      <c r="J296" s="40" t="n">
        <v>0</v>
      </c>
      <c r="K296" s="40" t="n">
        <v>0</v>
      </c>
      <c r="L296" s="40" t="n">
        <v>0</v>
      </c>
      <c r="M296" s="40" t="n">
        <v>0</v>
      </c>
      <c r="N296" s="40" t="n">
        <v>810</v>
      </c>
      <c r="O296" s="40" t="n">
        <v>100</v>
      </c>
      <c r="P296" s="40" t="n">
        <v>0</v>
      </c>
      <c r="Q296" s="46" t="n">
        <v>-100</v>
      </c>
      <c r="R296" s="47" t="n"/>
      <c r="S296" s="47" t="n"/>
      <c r="T296" s="47" t="n"/>
      <c r="U296" s="47" t="n"/>
      <c r="V296" s="47" t="n"/>
      <c r="W296" s="47" t="n"/>
    </row>
    <row r="297" ht="12" customHeight="1">
      <c r="A297" s="30" t="inlineStr">
        <is>
          <t>Areal</t>
        </is>
      </c>
      <c r="B297" s="30" t="n">
        <v>85206729</v>
      </c>
      <c r="C297" s="30">
        <f>"29553609000170"</f>
        <v/>
      </c>
      <c r="D297" s="30" t="inlineStr">
        <is>
          <t>AUTO ONIBUS FAGUNDES LTDA</t>
        </is>
      </c>
      <c r="E297" s="40" t="n">
        <v>1420</v>
      </c>
      <c r="F297" s="40" t="n">
        <v>0</v>
      </c>
      <c r="G297" s="46" t="n">
        <v>-100</v>
      </c>
      <c r="H297" s="40" t="n">
        <v>1660</v>
      </c>
      <c r="I297" s="40" t="n">
        <v>100</v>
      </c>
      <c r="J297" s="40" t="n">
        <v>0</v>
      </c>
      <c r="K297" s="46" t="n">
        <v>-100</v>
      </c>
      <c r="L297" s="40" t="n">
        <v>0</v>
      </c>
      <c r="M297" s="40" t="n">
        <v>0</v>
      </c>
      <c r="N297" s="40" t="n">
        <v>0</v>
      </c>
      <c r="O297" s="40" t="n">
        <v>0</v>
      </c>
      <c r="P297" s="40" t="n">
        <v>0</v>
      </c>
      <c r="Q297" s="40" t="n">
        <v>0</v>
      </c>
      <c r="R297" s="47" t="n"/>
      <c r="S297" s="47" t="n"/>
      <c r="T297" s="47" t="n"/>
      <c r="U297" s="47" t="n"/>
      <c r="V297" s="47" t="n"/>
      <c r="W297" s="47" t="n"/>
    </row>
    <row r="298" ht="12" customHeight="1">
      <c r="A298" s="30" t="inlineStr">
        <is>
          <t>Areal</t>
        </is>
      </c>
      <c r="B298" s="30" t="n">
        <v>85208527</v>
      </c>
      <c r="C298" s="30">
        <f>"23864838000633"</f>
        <v/>
      </c>
      <c r="D298" s="30" t="inlineStr">
        <is>
          <t>MOVVI LOGISTICA LTDA</t>
        </is>
      </c>
      <c r="E298" s="40" t="n">
        <v>4316.83</v>
      </c>
      <c r="F298" s="40" t="n">
        <v>554.5700000000001</v>
      </c>
      <c r="G298" s="46" t="n">
        <v>-87.15000000000001</v>
      </c>
      <c r="H298" s="40" t="n">
        <v>133.57</v>
      </c>
      <c r="I298" s="46" t="n">
        <v>-75.91</v>
      </c>
      <c r="J298" s="40" t="n">
        <v>99.78</v>
      </c>
      <c r="K298" s="46" t="n">
        <v>-25.3</v>
      </c>
      <c r="L298" s="40" t="n">
        <v>67.84</v>
      </c>
      <c r="M298" s="46" t="n">
        <v>-32.01</v>
      </c>
      <c r="N298" s="40" t="n">
        <v>1800</v>
      </c>
      <c r="O298" s="40" t="n">
        <v>2553.3</v>
      </c>
      <c r="P298" s="40" t="n">
        <v>233.67</v>
      </c>
      <c r="Q298" s="46" t="n">
        <v>-87.02</v>
      </c>
      <c r="R298" s="47" t="n"/>
      <c r="S298" s="47" t="n"/>
      <c r="T298" s="47" t="n"/>
      <c r="U298" s="47" t="n"/>
      <c r="V298" s="47" t="n"/>
      <c r="W298" s="47" t="n"/>
    </row>
    <row r="299" ht="12" customHeight="1">
      <c r="A299" s="30" t="inlineStr">
        <is>
          <t>Areal</t>
        </is>
      </c>
      <c r="B299" s="30" t="n">
        <v>85390449</v>
      </c>
      <c r="C299" s="30">
        <f>"17428731005447"</f>
        <v/>
      </c>
      <c r="D299" s="30" t="inlineStr">
        <is>
          <t>PROSEGUR BRASIL S/A</t>
        </is>
      </c>
      <c r="E299" s="40" t="n">
        <v>0</v>
      </c>
      <c r="F299" s="40" t="n">
        <v>0</v>
      </c>
      <c r="G299" s="40" t="n">
        <v>0</v>
      </c>
      <c r="H299" s="40" t="n">
        <v>0</v>
      </c>
      <c r="I299" s="40" t="n">
        <v>0</v>
      </c>
      <c r="J299" s="40" t="n">
        <v>0</v>
      </c>
      <c r="K299" s="40" t="n">
        <v>0</v>
      </c>
      <c r="L299" s="40" t="n">
        <v>22489.72</v>
      </c>
      <c r="M299" s="40" t="n">
        <v>100</v>
      </c>
      <c r="N299" s="40" t="n">
        <v>67073.85000000001</v>
      </c>
      <c r="O299" s="40" t="n">
        <v>198.24</v>
      </c>
      <c r="P299" s="40" t="n">
        <v>5396.14</v>
      </c>
      <c r="Q299" s="46" t="n">
        <v>-91.95</v>
      </c>
      <c r="R299" s="47" t="n"/>
      <c r="S299" s="47" t="n"/>
      <c r="T299" s="47" t="n"/>
      <c r="U299" s="47" t="n"/>
      <c r="V299" s="47" t="n"/>
      <c r="W299" s="47" t="n"/>
    </row>
    <row r="300" ht="12" customHeight="1">
      <c r="A300" s="30" t="inlineStr">
        <is>
          <t>Areal</t>
        </is>
      </c>
      <c r="B300" s="30" t="n">
        <v>85454455</v>
      </c>
      <c r="C300" s="30">
        <f>"00468285000190"</f>
        <v/>
      </c>
      <c r="D300" s="30" t="inlineStr">
        <is>
          <t>TRANZIRAN TRANSPORTES EIRELI</t>
        </is>
      </c>
      <c r="E300" s="40" t="n">
        <v>2711.03</v>
      </c>
      <c r="F300" s="40" t="n">
        <v>0</v>
      </c>
      <c r="G300" s="46" t="n">
        <v>-100</v>
      </c>
      <c r="H300" s="40" t="n">
        <v>0</v>
      </c>
      <c r="I300" s="40" t="n">
        <v>0</v>
      </c>
      <c r="J300" s="40" t="n">
        <v>0</v>
      </c>
      <c r="K300" s="40" t="n">
        <v>0</v>
      </c>
      <c r="L300" s="40" t="n">
        <v>0</v>
      </c>
      <c r="M300" s="40" t="n">
        <v>0</v>
      </c>
      <c r="N300" s="40" t="n">
        <v>0</v>
      </c>
      <c r="O300" s="40" t="n">
        <v>0</v>
      </c>
      <c r="P300" s="40" t="n">
        <v>0</v>
      </c>
      <c r="Q300" s="40" t="n">
        <v>0</v>
      </c>
      <c r="R300" s="47" t="n"/>
      <c r="S300" s="47" t="n"/>
      <c r="T300" s="47" t="n"/>
      <c r="U300" s="47" t="n"/>
      <c r="V300" s="47" t="n"/>
      <c r="W300" s="47" t="n"/>
    </row>
    <row r="301" ht="12" customHeight="1">
      <c r="A301" s="30" t="inlineStr">
        <is>
          <t>Areal</t>
        </is>
      </c>
      <c r="B301" s="30" t="n">
        <v>85647148</v>
      </c>
      <c r="C301" s="30">
        <f>"09411448000504"</f>
        <v/>
      </c>
      <c r="D301" s="30" t="inlineStr">
        <is>
          <t>LDB TRANSPORTES DE CARGAS LTDA</t>
        </is>
      </c>
      <c r="E301" s="40" t="n">
        <v>0</v>
      </c>
      <c r="F301" s="40" t="n">
        <v>139.04</v>
      </c>
      <c r="G301" s="40" t="n">
        <v>100</v>
      </c>
      <c r="H301" s="40" t="n">
        <v>0</v>
      </c>
      <c r="I301" s="46" t="n">
        <v>-100</v>
      </c>
      <c r="J301" s="40" t="n">
        <v>0</v>
      </c>
      <c r="K301" s="40" t="n">
        <v>0</v>
      </c>
      <c r="L301" s="40" t="n">
        <v>0</v>
      </c>
      <c r="M301" s="40" t="n">
        <v>0</v>
      </c>
      <c r="N301" s="40" t="n">
        <v>0</v>
      </c>
      <c r="O301" s="40" t="n">
        <v>0</v>
      </c>
      <c r="P301" s="40" t="n">
        <v>0</v>
      </c>
      <c r="Q301" s="40" t="n">
        <v>0</v>
      </c>
      <c r="R301" s="47" t="n"/>
      <c r="S301" s="47" t="n"/>
      <c r="T301" s="47" t="n"/>
      <c r="U301" s="47" t="n"/>
      <c r="V301" s="47" t="n"/>
      <c r="W301" s="47" t="n"/>
    </row>
    <row r="302" ht="12" customHeight="1">
      <c r="A302" s="30" t="inlineStr">
        <is>
          <t>Areal</t>
        </is>
      </c>
      <c r="B302" s="30" t="n">
        <v>85682636</v>
      </c>
      <c r="C302" s="30">
        <f>"52134798000249"</f>
        <v/>
      </c>
      <c r="D302" s="30" t="inlineStr">
        <is>
          <t>INTEC INTEGRACAO NACIONAL DE TRANSPORTES DE ENCOMENDAS E C LTDA</t>
        </is>
      </c>
      <c r="E302" s="40" t="n">
        <v>0</v>
      </c>
      <c r="F302" s="40" t="n">
        <v>0</v>
      </c>
      <c r="G302" s="40" t="n">
        <v>0</v>
      </c>
      <c r="H302" s="40" t="n">
        <v>0</v>
      </c>
      <c r="I302" s="40" t="n">
        <v>0</v>
      </c>
      <c r="J302" s="40" t="n">
        <v>0</v>
      </c>
      <c r="K302" s="40" t="n">
        <v>0</v>
      </c>
      <c r="L302" s="40" t="n">
        <v>0</v>
      </c>
      <c r="M302" s="40" t="n">
        <v>0</v>
      </c>
      <c r="N302" s="40" t="n">
        <v>0</v>
      </c>
      <c r="O302" s="40" t="n">
        <v>0</v>
      </c>
      <c r="P302" s="40" t="n">
        <v>20641.95</v>
      </c>
      <c r="Q302" s="40" t="n">
        <v>100</v>
      </c>
      <c r="R302" s="47" t="n"/>
      <c r="S302" s="47" t="n"/>
      <c r="T302" s="47" t="n"/>
      <c r="U302" s="47" t="n"/>
      <c r="V302" s="47" t="n"/>
      <c r="W302" s="47" t="n"/>
    </row>
    <row r="303" ht="12" customHeight="1">
      <c r="A303" s="30" t="inlineStr">
        <is>
          <t>Areal</t>
        </is>
      </c>
      <c r="B303" s="30" t="n">
        <v>85727028</v>
      </c>
      <c r="C303" s="30">
        <f>"66970229001139"</f>
        <v/>
      </c>
      <c r="D303" s="30" t="inlineStr">
        <is>
          <t>NEXTEL TELECOMUNICACOES LTDA.</t>
        </is>
      </c>
      <c r="E303" s="40" t="n">
        <v>67743.03</v>
      </c>
      <c r="F303" s="40" t="n">
        <v>64115.77</v>
      </c>
      <c r="G303" s="46" t="n">
        <v>-5.35</v>
      </c>
      <c r="H303" s="40" t="n">
        <v>79765.59</v>
      </c>
      <c r="I303" s="40" t="n">
        <v>24.41</v>
      </c>
      <c r="J303" s="40" t="n">
        <v>87590.56</v>
      </c>
      <c r="K303" s="40" t="n">
        <v>9.81</v>
      </c>
      <c r="L303" s="40" t="n">
        <v>861030.25</v>
      </c>
      <c r="M303" s="40" t="n">
        <v>883.02</v>
      </c>
      <c r="N303" s="40" t="n">
        <v>1505997.81</v>
      </c>
      <c r="O303" s="40" t="n">
        <v>74.91</v>
      </c>
      <c r="P303" s="40" t="n">
        <v>1431769.43</v>
      </c>
      <c r="Q303" s="46" t="n">
        <v>-4.93</v>
      </c>
      <c r="R303" s="47" t="n"/>
      <c r="S303" s="47" t="n"/>
      <c r="T303" s="47" t="n"/>
      <c r="U303" s="47" t="n"/>
      <c r="V303" s="47" t="n"/>
      <c r="W303" s="47" t="n"/>
    </row>
    <row r="304" ht="12" customHeight="1">
      <c r="A304" s="30" t="inlineStr">
        <is>
          <t>Areal</t>
        </is>
      </c>
      <c r="B304" s="30" t="n">
        <v>86038870</v>
      </c>
      <c r="C304" s="30">
        <f>"01562471000156"</f>
        <v/>
      </c>
      <c r="D304" s="30" t="inlineStr">
        <is>
          <t>LUCAS E JUNIOR TRANSPORTADORA LTDA</t>
        </is>
      </c>
      <c r="E304" s="40" t="n">
        <v>0</v>
      </c>
      <c r="F304" s="40" t="n">
        <v>0</v>
      </c>
      <c r="G304" s="40" t="n">
        <v>0</v>
      </c>
      <c r="H304" s="40" t="n">
        <v>0</v>
      </c>
      <c r="I304" s="40" t="n">
        <v>0</v>
      </c>
      <c r="J304" s="40" t="n">
        <v>5960.46</v>
      </c>
      <c r="K304" s="40" t="n">
        <v>100</v>
      </c>
      <c r="L304" s="40" t="n">
        <v>9667.379999999999</v>
      </c>
      <c r="M304" s="40" t="n">
        <v>62.19</v>
      </c>
      <c r="N304" s="40" t="n">
        <v>0</v>
      </c>
      <c r="O304" s="46" t="n">
        <v>-100</v>
      </c>
      <c r="P304" s="40" t="n">
        <v>238098.94</v>
      </c>
      <c r="Q304" s="40" t="n">
        <v>100</v>
      </c>
      <c r="R304" s="47" t="n"/>
      <c r="S304" s="47" t="n"/>
      <c r="T304" s="47" t="n"/>
      <c r="U304" s="47" t="n"/>
      <c r="V304" s="47" t="n"/>
      <c r="W304" s="47" t="n"/>
    </row>
    <row r="305" ht="12" customHeight="1">
      <c r="A305" s="30" t="inlineStr">
        <is>
          <t>Areal</t>
        </is>
      </c>
      <c r="B305" s="30" t="n">
        <v>86039281</v>
      </c>
      <c r="C305" s="30">
        <f>"19451038000702"</f>
        <v/>
      </c>
      <c r="D305" s="30" t="inlineStr">
        <is>
          <t>RODOVIARIO CAMILO DOS SANTOS FILHO LTDA</t>
        </is>
      </c>
      <c r="E305" s="40" t="n">
        <v>40748.5</v>
      </c>
      <c r="F305" s="40" t="n">
        <v>16294.84</v>
      </c>
      <c r="G305" s="46" t="n">
        <v>-60.01</v>
      </c>
      <c r="H305" s="40" t="n">
        <v>18788.92</v>
      </c>
      <c r="I305" s="40" t="n">
        <v>15.31</v>
      </c>
      <c r="J305" s="40" t="n">
        <v>22110.92</v>
      </c>
      <c r="K305" s="40" t="n">
        <v>17.68</v>
      </c>
      <c r="L305" s="40" t="n">
        <v>32655.18</v>
      </c>
      <c r="M305" s="40" t="n">
        <v>47.69</v>
      </c>
      <c r="N305" s="40" t="n">
        <v>39463.24</v>
      </c>
      <c r="O305" s="40" t="n">
        <v>20.85</v>
      </c>
      <c r="P305" s="40" t="n">
        <v>56109.06</v>
      </c>
      <c r="Q305" s="40" t="n">
        <v>42.18</v>
      </c>
      <c r="R305" s="47" t="n"/>
      <c r="S305" s="47" t="n"/>
      <c r="T305" s="47" t="n"/>
      <c r="U305" s="47" t="n"/>
      <c r="V305" s="47" t="n"/>
      <c r="W305" s="47" t="n"/>
    </row>
    <row r="306" ht="12" customHeight="1">
      <c r="A306" s="30" t="inlineStr">
        <is>
          <t>Areal</t>
        </is>
      </c>
      <c r="B306" s="30" t="n">
        <v>86039842</v>
      </c>
      <c r="C306" s="30">
        <f>"86442720000203"</f>
        <v/>
      </c>
      <c r="D306" s="30" t="inlineStr">
        <is>
          <t>COOPERATIVA RIOBRANQUENSE DE TRANSPORTES LTDA</t>
        </is>
      </c>
      <c r="E306" s="40" t="n">
        <v>5000</v>
      </c>
      <c r="F306" s="40" t="n">
        <v>0</v>
      </c>
      <c r="G306" s="46" t="n">
        <v>-100</v>
      </c>
      <c r="H306" s="40" t="n">
        <v>0</v>
      </c>
      <c r="I306" s="40" t="n">
        <v>0</v>
      </c>
      <c r="J306" s="40" t="n">
        <v>0</v>
      </c>
      <c r="K306" s="40" t="n">
        <v>0</v>
      </c>
      <c r="L306" s="40" t="n">
        <v>0</v>
      </c>
      <c r="M306" s="40" t="n">
        <v>0</v>
      </c>
      <c r="N306" s="40" t="n">
        <v>13127</v>
      </c>
      <c r="O306" s="40" t="n">
        <v>100</v>
      </c>
      <c r="P306" s="40" t="n">
        <v>0</v>
      </c>
      <c r="Q306" s="46" t="n">
        <v>-100</v>
      </c>
      <c r="R306" s="47" t="n"/>
      <c r="S306" s="47" t="n"/>
      <c r="T306" s="47" t="n"/>
      <c r="U306" s="47" t="n"/>
      <c r="V306" s="47" t="n"/>
      <c r="W306" s="47" t="n"/>
    </row>
    <row r="307" ht="12" customHeight="1">
      <c r="A307" s="30" t="inlineStr">
        <is>
          <t>Areal</t>
        </is>
      </c>
      <c r="B307" s="30" t="n">
        <v>86092085</v>
      </c>
      <c r="C307" s="30">
        <f>"02421421000111"</f>
        <v/>
      </c>
      <c r="D307" s="30" t="inlineStr">
        <is>
          <t>TIM S.A.</t>
        </is>
      </c>
      <c r="E307" s="40" t="n">
        <v>424434.14</v>
      </c>
      <c r="F307" s="40" t="n">
        <v>859694.53</v>
      </c>
      <c r="G307" s="40" t="n">
        <v>102.55</v>
      </c>
      <c r="H307" s="40" t="n">
        <v>3133427.57</v>
      </c>
      <c r="I307" s="40" t="n">
        <v>264.48</v>
      </c>
      <c r="J307" s="40" t="n">
        <v>3049786.87</v>
      </c>
      <c r="K307" s="46" t="n">
        <v>-2.67</v>
      </c>
      <c r="L307" s="40" t="n">
        <v>3315255.96</v>
      </c>
      <c r="M307" s="40" t="n">
        <v>8.699999999999999</v>
      </c>
      <c r="N307" s="40" t="n">
        <v>3052291.59</v>
      </c>
      <c r="O307" s="46" t="n">
        <v>-7.93</v>
      </c>
      <c r="P307" s="40" t="n">
        <v>3849479.97</v>
      </c>
      <c r="Q307" s="40" t="n">
        <v>26.12</v>
      </c>
      <c r="R307" s="47" t="n"/>
      <c r="S307" s="47" t="n"/>
      <c r="T307" s="47" t="n"/>
      <c r="U307" s="47" t="n"/>
      <c r="V307" s="47" t="n"/>
      <c r="W307" s="47" t="n"/>
    </row>
    <row r="308" ht="12" customHeight="1">
      <c r="A308" s="30" t="inlineStr">
        <is>
          <t>Areal</t>
        </is>
      </c>
      <c r="B308" s="30" t="n">
        <v>86160919</v>
      </c>
      <c r="C308" s="30">
        <f>"01682917000186"</f>
        <v/>
      </c>
      <c r="D308" s="30" t="inlineStr">
        <is>
          <t>COUTRANS TRANSPORTES E SERVICOS LTDA</t>
        </is>
      </c>
      <c r="E308" s="40" t="n">
        <v>0</v>
      </c>
      <c r="F308" s="40" t="n">
        <v>952.75</v>
      </c>
      <c r="G308" s="40" t="n">
        <v>100</v>
      </c>
      <c r="H308" s="40" t="n">
        <v>227.25</v>
      </c>
      <c r="I308" s="46" t="n">
        <v>-76.15000000000001</v>
      </c>
      <c r="J308" s="40" t="n">
        <v>0</v>
      </c>
      <c r="K308" s="46" t="n">
        <v>-100</v>
      </c>
      <c r="L308" s="40" t="n">
        <v>212.1</v>
      </c>
      <c r="M308" s="40" t="n">
        <v>100</v>
      </c>
      <c r="N308" s="40" t="n">
        <v>279.32</v>
      </c>
      <c r="O308" s="40" t="n">
        <v>31.69</v>
      </c>
      <c r="P308" s="40" t="n">
        <v>0</v>
      </c>
      <c r="Q308" s="46" t="n">
        <v>-100</v>
      </c>
      <c r="R308" s="47" t="n"/>
      <c r="S308" s="47" t="n"/>
      <c r="T308" s="47" t="n"/>
      <c r="U308" s="47" t="n"/>
      <c r="V308" s="47" t="n"/>
      <c r="W308" s="47" t="n"/>
    </row>
    <row r="309" ht="12" customHeight="1">
      <c r="A309" s="30" t="inlineStr">
        <is>
          <t>Areal</t>
        </is>
      </c>
      <c r="B309" s="30" t="n">
        <v>86273004</v>
      </c>
      <c r="C309" s="30">
        <f>"03113442000132"</f>
        <v/>
      </c>
      <c r="D309" s="30" t="inlineStr">
        <is>
          <t>AGMSBS TRANSPORTES LTDA</t>
        </is>
      </c>
      <c r="E309" s="40" t="n">
        <v>0</v>
      </c>
      <c r="F309" s="40" t="n">
        <v>0</v>
      </c>
      <c r="G309" s="40" t="n">
        <v>0</v>
      </c>
      <c r="H309" s="40" t="n">
        <v>1022.83</v>
      </c>
      <c r="I309" s="40" t="n">
        <v>100</v>
      </c>
      <c r="J309" s="40" t="n">
        <v>0</v>
      </c>
      <c r="K309" s="46" t="n">
        <v>-100</v>
      </c>
      <c r="L309" s="40" t="n">
        <v>0</v>
      </c>
      <c r="M309" s="40" t="n">
        <v>0</v>
      </c>
      <c r="N309" s="40" t="n">
        <v>0</v>
      </c>
      <c r="O309" s="40" t="n">
        <v>0</v>
      </c>
      <c r="P309" s="40" t="n">
        <v>0</v>
      </c>
      <c r="Q309" s="40" t="n">
        <v>0</v>
      </c>
      <c r="R309" s="47" t="n"/>
      <c r="S309" s="47" t="n"/>
      <c r="T309" s="47" t="n"/>
      <c r="U309" s="47" t="n"/>
      <c r="V309" s="47" t="n"/>
      <c r="W309" s="47" t="n"/>
    </row>
    <row r="310" ht="12" customHeight="1">
      <c r="A310" s="30" t="inlineStr">
        <is>
          <t>Areal</t>
        </is>
      </c>
      <c r="B310" s="30" t="n">
        <v>86288796</v>
      </c>
      <c r="C310" s="30">
        <f>"01679681000200"</f>
        <v/>
      </c>
      <c r="D310" s="30" t="inlineStr">
        <is>
          <t>HAMBURGO CARGAS LTDA</t>
        </is>
      </c>
      <c r="E310" s="40" t="n">
        <v>108.2</v>
      </c>
      <c r="F310" s="40" t="n">
        <v>0</v>
      </c>
      <c r="G310" s="46" t="n">
        <v>-100</v>
      </c>
      <c r="H310" s="40" t="n">
        <v>0</v>
      </c>
      <c r="I310" s="40" t="n">
        <v>0</v>
      </c>
      <c r="J310" s="40" t="n">
        <v>0</v>
      </c>
      <c r="K310" s="40" t="n">
        <v>0</v>
      </c>
      <c r="L310" s="40" t="n">
        <v>0</v>
      </c>
      <c r="M310" s="40" t="n">
        <v>0</v>
      </c>
      <c r="N310" s="40" t="n">
        <v>192.11</v>
      </c>
      <c r="O310" s="40" t="n">
        <v>100</v>
      </c>
      <c r="P310" s="40" t="n">
        <v>0</v>
      </c>
      <c r="Q310" s="46" t="n">
        <v>-100</v>
      </c>
      <c r="R310" s="47" t="n"/>
      <c r="S310" s="47" t="n"/>
      <c r="T310" s="47" t="n"/>
      <c r="U310" s="47" t="n"/>
      <c r="V310" s="47" t="n"/>
      <c r="W310" s="47" t="n"/>
    </row>
    <row r="311" ht="12" customHeight="1">
      <c r="A311" s="30" t="inlineStr">
        <is>
          <t>Areal</t>
        </is>
      </c>
      <c r="B311" s="30" t="n">
        <v>86374005</v>
      </c>
      <c r="C311" s="30">
        <f>"02277810000115"</f>
        <v/>
      </c>
      <c r="D311" s="30" t="inlineStr">
        <is>
          <t>A L MONCAO PINTO ME</t>
        </is>
      </c>
      <c r="E311" s="40" t="n">
        <v>350</v>
      </c>
      <c r="F311" s="40" t="n">
        <v>0</v>
      </c>
      <c r="G311" s="46" t="n">
        <v>-100</v>
      </c>
      <c r="H311" s="40" t="n">
        <v>0</v>
      </c>
      <c r="I311" s="40" t="n">
        <v>0</v>
      </c>
      <c r="J311" s="40" t="n">
        <v>0</v>
      </c>
      <c r="K311" s="40" t="n">
        <v>0</v>
      </c>
      <c r="L311" s="40" t="n">
        <v>3500</v>
      </c>
      <c r="M311" s="40" t="n">
        <v>100</v>
      </c>
      <c r="N311" s="40" t="n">
        <v>0</v>
      </c>
      <c r="O311" s="46" t="n">
        <v>-100</v>
      </c>
      <c r="P311" s="40" t="n">
        <v>0</v>
      </c>
      <c r="Q311" s="40" t="n">
        <v>0</v>
      </c>
      <c r="R311" s="47" t="n"/>
      <c r="S311" s="47" t="n"/>
      <c r="T311" s="47" t="n"/>
      <c r="U311" s="47" t="n"/>
      <c r="V311" s="47" t="n"/>
      <c r="W311" s="47" t="n"/>
    </row>
    <row r="312" ht="12" customHeight="1">
      <c r="A312" s="30" t="inlineStr">
        <is>
          <t>Areal</t>
        </is>
      </c>
      <c r="B312" s="30" t="n">
        <v>86542072</v>
      </c>
      <c r="C312" s="30">
        <f>"08062253000444"</f>
        <v/>
      </c>
      <c r="D312" s="30" t="inlineStr">
        <is>
          <t>CAMBRIDGE TELECOMUNICACOES LTDA</t>
        </is>
      </c>
      <c r="E312" s="40" t="n">
        <v>3871.3</v>
      </c>
      <c r="F312" s="40" t="n">
        <v>77.01000000000001</v>
      </c>
      <c r="G312" s="46" t="n">
        <v>-98.01000000000001</v>
      </c>
      <c r="H312" s="40" t="n">
        <v>66.95</v>
      </c>
      <c r="I312" s="46" t="n">
        <v>-13.06</v>
      </c>
      <c r="J312" s="40" t="n">
        <v>0</v>
      </c>
      <c r="K312" s="46" t="n">
        <v>-100</v>
      </c>
      <c r="L312" s="40" t="n">
        <v>0</v>
      </c>
      <c r="M312" s="40" t="n">
        <v>0</v>
      </c>
      <c r="N312" s="40" t="n">
        <v>0</v>
      </c>
      <c r="O312" s="40" t="n">
        <v>0</v>
      </c>
      <c r="P312" s="40" t="n">
        <v>0</v>
      </c>
      <c r="Q312" s="40" t="n">
        <v>0</v>
      </c>
      <c r="R312" s="47" t="n"/>
      <c r="S312" s="47" t="n"/>
      <c r="T312" s="47" t="n"/>
      <c r="U312" s="47" t="n"/>
      <c r="V312" s="47" t="n"/>
      <c r="W312" s="47" t="n"/>
    </row>
    <row r="313" ht="12" customHeight="1">
      <c r="A313" s="30" t="inlineStr">
        <is>
          <t>Areal</t>
        </is>
      </c>
      <c r="B313" s="30" t="n">
        <v>86566877</v>
      </c>
      <c r="C313" s="30">
        <f>"19223780000167"</f>
        <v/>
      </c>
      <c r="D313" s="30" t="inlineStr">
        <is>
          <t>LLF MATHIAS VIAS DE TRANSPORTES RODOVI?RIOS EIRELI</t>
        </is>
      </c>
      <c r="E313" s="40" t="n">
        <v>0</v>
      </c>
      <c r="F313" s="40" t="n">
        <v>18.8</v>
      </c>
      <c r="G313" s="40" t="n">
        <v>100</v>
      </c>
      <c r="H313" s="40" t="n">
        <v>0</v>
      </c>
      <c r="I313" s="46" t="n">
        <v>-100</v>
      </c>
      <c r="J313" s="40" t="n">
        <v>0</v>
      </c>
      <c r="K313" s="40" t="n">
        <v>0</v>
      </c>
      <c r="L313" s="40" t="n">
        <v>0</v>
      </c>
      <c r="M313" s="40" t="n">
        <v>0</v>
      </c>
      <c r="N313" s="40" t="n">
        <v>0</v>
      </c>
      <c r="O313" s="40" t="n">
        <v>0</v>
      </c>
      <c r="P313" s="40" t="n">
        <v>0</v>
      </c>
      <c r="Q313" s="40" t="n">
        <v>0</v>
      </c>
      <c r="R313" s="47" t="n"/>
      <c r="S313" s="47" t="n"/>
      <c r="T313" s="47" t="n"/>
      <c r="U313" s="47" t="n"/>
      <c r="V313" s="47" t="n"/>
      <c r="W313" s="47" t="n"/>
    </row>
    <row r="314" ht="12" customHeight="1">
      <c r="A314" s="30" t="inlineStr">
        <is>
          <t>Areal</t>
        </is>
      </c>
      <c r="B314" s="30" t="n">
        <v>86652579</v>
      </c>
      <c r="C314" s="30">
        <f>"19869884000143"</f>
        <v/>
      </c>
      <c r="D314" s="30" t="inlineStr">
        <is>
          <t>WEBNUTRITION COMERCIO DE ALIMENTOS LTDA</t>
        </is>
      </c>
      <c r="E314" s="40" t="n">
        <v>65272.44</v>
      </c>
      <c r="F314" s="40" t="n">
        <v>31429</v>
      </c>
      <c r="G314" s="46" t="n">
        <v>-51.85</v>
      </c>
      <c r="H314" s="40" t="n">
        <v>23857.06</v>
      </c>
      <c r="I314" s="46" t="n">
        <v>-24.09</v>
      </c>
      <c r="J314" s="40" t="n">
        <v>380086.41</v>
      </c>
      <c r="K314" s="40" t="n">
        <v>1493.18</v>
      </c>
      <c r="L314" s="40" t="n">
        <v>396841.84</v>
      </c>
      <c r="M314" s="40" t="n">
        <v>4.41</v>
      </c>
      <c r="N314" s="40" t="n">
        <v>0</v>
      </c>
      <c r="O314" s="46" t="n">
        <v>-100</v>
      </c>
      <c r="P314" s="40" t="n">
        <v>54037.61</v>
      </c>
      <c r="Q314" s="40" t="n">
        <v>100</v>
      </c>
      <c r="R314" s="47" t="n"/>
      <c r="S314" s="47" t="n"/>
      <c r="T314" s="47" t="n"/>
      <c r="U314" s="47" t="n"/>
      <c r="V314" s="47" t="n"/>
      <c r="W314" s="47" t="n"/>
    </row>
    <row r="315" ht="12" customHeight="1">
      <c r="A315" s="30" t="inlineStr">
        <is>
          <t>Areal</t>
        </is>
      </c>
      <c r="B315" s="30" t="n">
        <v>86665913</v>
      </c>
      <c r="C315" s="30">
        <f>"19727878000313"</f>
        <v/>
      </c>
      <c r="D315" s="30" t="inlineStr">
        <is>
          <t>TOPCARGAS LOGISTICA E TRANSPORTE RODOVIARIO LTDA</t>
        </is>
      </c>
      <c r="E315" s="40" t="n">
        <v>0</v>
      </c>
      <c r="F315" s="40" t="n">
        <v>0</v>
      </c>
      <c r="G315" s="40" t="n">
        <v>0</v>
      </c>
      <c r="H315" s="40" t="n">
        <v>97.58</v>
      </c>
      <c r="I315" s="40" t="n">
        <v>100</v>
      </c>
      <c r="J315" s="40" t="n">
        <v>0</v>
      </c>
      <c r="K315" s="46" t="n">
        <v>-100</v>
      </c>
      <c r="L315" s="40" t="n">
        <v>0</v>
      </c>
      <c r="M315" s="40" t="n">
        <v>0</v>
      </c>
      <c r="N315" s="40" t="n">
        <v>0</v>
      </c>
      <c r="O315" s="40" t="n">
        <v>0</v>
      </c>
      <c r="P315" s="40" t="n">
        <v>0</v>
      </c>
      <c r="Q315" s="40" t="n">
        <v>0</v>
      </c>
      <c r="R315" s="47" t="n"/>
      <c r="S315" s="47" t="n"/>
      <c r="T315" s="47" t="n"/>
      <c r="U315" s="47" t="n"/>
      <c r="V315" s="47" t="n"/>
      <c r="W315" s="47" t="n"/>
    </row>
    <row r="316" ht="12" customHeight="1">
      <c r="A316" s="30" t="inlineStr">
        <is>
          <t>Areal</t>
        </is>
      </c>
      <c r="B316" s="30" t="n">
        <v>86682060</v>
      </c>
      <c r="C316" s="30">
        <f>"07956015000339"</f>
        <v/>
      </c>
      <c r="D316" s="30" t="inlineStr">
        <is>
          <t>MARLOG BRASIL LOGISTICA E ARMAZENAGEM LTDA</t>
        </is>
      </c>
      <c r="E316" s="40" t="n">
        <v>0</v>
      </c>
      <c r="F316" s="40" t="n">
        <v>0</v>
      </c>
      <c r="G316" s="40" t="n">
        <v>0</v>
      </c>
      <c r="H316" s="40" t="n">
        <v>0</v>
      </c>
      <c r="I316" s="40" t="n">
        <v>0</v>
      </c>
      <c r="J316" s="40" t="n">
        <v>0</v>
      </c>
      <c r="K316" s="40" t="n">
        <v>0</v>
      </c>
      <c r="L316" s="40" t="n">
        <v>109.26</v>
      </c>
      <c r="M316" s="40" t="n">
        <v>100</v>
      </c>
      <c r="N316" s="40" t="n">
        <v>997.78</v>
      </c>
      <c r="O316" s="40" t="n">
        <v>813.22</v>
      </c>
      <c r="P316" s="40" t="n">
        <v>0</v>
      </c>
      <c r="Q316" s="46" t="n">
        <v>-100</v>
      </c>
      <c r="R316" s="47" t="n"/>
      <c r="S316" s="47" t="n"/>
      <c r="T316" s="47" t="n"/>
      <c r="U316" s="47" t="n"/>
      <c r="V316" s="47" t="n"/>
      <c r="W316" s="47" t="n"/>
    </row>
    <row r="317" ht="12" customHeight="1">
      <c r="A317" s="30" t="inlineStr">
        <is>
          <t>Areal</t>
        </is>
      </c>
      <c r="B317" s="30" t="n">
        <v>86686783</v>
      </c>
      <c r="C317" s="30">
        <f>"19275618000516"</f>
        <v/>
      </c>
      <c r="D317" s="30" t="inlineStr">
        <is>
          <t>INOVA LOGISTICA INTEGRADA LTDA</t>
        </is>
      </c>
      <c r="E317" s="40" t="n">
        <v>0</v>
      </c>
      <c r="F317" s="40" t="n">
        <v>0</v>
      </c>
      <c r="G317" s="40" t="n">
        <v>0</v>
      </c>
      <c r="H317" s="40" t="n">
        <v>0</v>
      </c>
      <c r="I317" s="40" t="n">
        <v>0</v>
      </c>
      <c r="J317" s="40" t="n">
        <v>0</v>
      </c>
      <c r="K317" s="40" t="n">
        <v>0</v>
      </c>
      <c r="L317" s="40" t="n">
        <v>29.09</v>
      </c>
      <c r="M317" s="40" t="n">
        <v>100</v>
      </c>
      <c r="N317" s="40" t="n">
        <v>0</v>
      </c>
      <c r="O317" s="46" t="n">
        <v>-100</v>
      </c>
      <c r="P317" s="40" t="n">
        <v>0</v>
      </c>
      <c r="Q317" s="40" t="n">
        <v>0</v>
      </c>
      <c r="R317" s="47" t="n"/>
      <c r="S317" s="47" t="n"/>
      <c r="T317" s="47" t="n"/>
      <c r="U317" s="47" t="n"/>
      <c r="V317" s="47" t="n"/>
      <c r="W317" s="47" t="n"/>
    </row>
    <row r="318" ht="12" customHeight="1">
      <c r="A318" s="30" t="inlineStr">
        <is>
          <t>Areal</t>
        </is>
      </c>
      <c r="B318" s="30" t="n">
        <v>86718774</v>
      </c>
      <c r="C318" s="30">
        <f>"30689889000550"</f>
        <v/>
      </c>
      <c r="D318" s="30" t="inlineStr">
        <is>
          <t>TRANSPORTES POLONI LTDA</t>
        </is>
      </c>
      <c r="E318" s="40" t="n">
        <v>0</v>
      </c>
      <c r="F318" s="40" t="n">
        <v>0</v>
      </c>
      <c r="G318" s="40" t="n">
        <v>0</v>
      </c>
      <c r="H318" s="40" t="n">
        <v>0</v>
      </c>
      <c r="I318" s="40" t="n">
        <v>0</v>
      </c>
      <c r="J318" s="40" t="n">
        <v>6482.41</v>
      </c>
      <c r="K318" s="40" t="n">
        <v>100</v>
      </c>
      <c r="L318" s="40" t="n">
        <v>0</v>
      </c>
      <c r="M318" s="46" t="n">
        <v>-100</v>
      </c>
      <c r="N318" s="40" t="n">
        <v>0</v>
      </c>
      <c r="O318" s="40" t="n">
        <v>0</v>
      </c>
      <c r="P318" s="40" t="n">
        <v>0</v>
      </c>
      <c r="Q318" s="40" t="n">
        <v>0</v>
      </c>
      <c r="R318" s="47" t="n"/>
      <c r="S318" s="47" t="n"/>
      <c r="T318" s="47" t="n"/>
      <c r="U318" s="47" t="n"/>
      <c r="V318" s="47" t="n"/>
      <c r="W318" s="47" t="n"/>
    </row>
    <row r="319" ht="12" customHeight="1">
      <c r="A319" s="30" t="inlineStr">
        <is>
          <t>Areal</t>
        </is>
      </c>
      <c r="B319" s="30" t="n">
        <v>86728915</v>
      </c>
      <c r="C319" s="30">
        <f>"20632141000134"</f>
        <v/>
      </c>
      <c r="D319" s="30" t="inlineStr">
        <is>
          <t>TRANSPORTADORA EXPRESSO ELOIM EIRELI ME</t>
        </is>
      </c>
      <c r="E319" s="40" t="n">
        <v>0</v>
      </c>
      <c r="F319" s="40" t="n">
        <v>0</v>
      </c>
      <c r="G319" s="40" t="n">
        <v>0</v>
      </c>
      <c r="H319" s="40" t="n">
        <v>0</v>
      </c>
      <c r="I319" s="40" t="n">
        <v>0</v>
      </c>
      <c r="J319" s="40" t="n">
        <v>0</v>
      </c>
      <c r="K319" s="40" t="n">
        <v>0</v>
      </c>
      <c r="L319" s="40" t="n">
        <v>0</v>
      </c>
      <c r="M319" s="40" t="n">
        <v>0</v>
      </c>
      <c r="N319" s="40" t="n">
        <v>499121.25</v>
      </c>
      <c r="O319" s="40" t="n">
        <v>100</v>
      </c>
      <c r="P319" s="40" t="n">
        <v>490272.15</v>
      </c>
      <c r="Q319" s="46" t="n">
        <v>-1.77</v>
      </c>
      <c r="R319" s="47" t="n"/>
      <c r="S319" s="47" t="n"/>
      <c r="T319" s="47" t="n"/>
      <c r="U319" s="47" t="n"/>
      <c r="V319" s="47" t="n"/>
      <c r="W319" s="47" t="n"/>
    </row>
    <row r="320" ht="12" customHeight="1">
      <c r="A320" s="30" t="inlineStr">
        <is>
          <t>Areal</t>
        </is>
      </c>
      <c r="B320" s="30" t="n">
        <v>86747383</v>
      </c>
      <c r="C320" s="30">
        <f>"20768061000100"</f>
        <v/>
      </c>
      <c r="D320" s="30" t="inlineStr">
        <is>
          <t>CANTO COMERCIO ATACADISTA DE HORTIFRUTI EIRELI EPP</t>
        </is>
      </c>
      <c r="E320" s="40" t="n">
        <v>3526914.93</v>
      </c>
      <c r="F320" s="40" t="n">
        <v>3626439.93</v>
      </c>
      <c r="G320" s="40" t="n">
        <v>2.82</v>
      </c>
      <c r="H320" s="40" t="n">
        <v>3719014.95</v>
      </c>
      <c r="I320" s="40" t="n">
        <v>2.55</v>
      </c>
      <c r="J320" s="40" t="n">
        <v>1299518.51</v>
      </c>
      <c r="K320" s="46" t="n">
        <v>-65.06</v>
      </c>
      <c r="L320" s="40" t="n">
        <v>86882.33</v>
      </c>
      <c r="M320" s="46" t="n">
        <v>-93.31</v>
      </c>
      <c r="N320" s="40" t="n">
        <v>0</v>
      </c>
      <c r="O320" s="46" t="n">
        <v>-100</v>
      </c>
      <c r="P320" s="40" t="n">
        <v>530709.84</v>
      </c>
      <c r="Q320" s="40" t="n">
        <v>100</v>
      </c>
      <c r="R320" s="47" t="n"/>
      <c r="S320" s="47" t="n"/>
      <c r="T320" s="47" t="n"/>
      <c r="U320" s="47" t="n"/>
      <c r="V320" s="47" t="n"/>
      <c r="W320" s="47" t="n"/>
    </row>
    <row r="321" ht="12" customHeight="1">
      <c r="A321" s="30" t="inlineStr">
        <is>
          <t>Areal</t>
        </is>
      </c>
      <c r="B321" s="30" t="n">
        <v>86789477</v>
      </c>
      <c r="C321" s="30">
        <f>"04887927001541"</f>
        <v/>
      </c>
      <c r="D321" s="30" t="inlineStr">
        <is>
          <t>ANDREANI LOGISTICA LTDA</t>
        </is>
      </c>
      <c r="E321" s="40" t="n">
        <v>2656214.46</v>
      </c>
      <c r="F321" s="40" t="n">
        <v>275572.38</v>
      </c>
      <c r="G321" s="46" t="n">
        <v>-89.63</v>
      </c>
      <c r="H321" s="40" t="n">
        <v>208129.11</v>
      </c>
      <c r="I321" s="46" t="n">
        <v>-24.47</v>
      </c>
      <c r="J321" s="40" t="n">
        <v>179681.9</v>
      </c>
      <c r="K321" s="46" t="n">
        <v>-13.67</v>
      </c>
      <c r="L321" s="40" t="n">
        <v>52698.93</v>
      </c>
      <c r="M321" s="46" t="n">
        <v>-70.67</v>
      </c>
      <c r="N321" s="40" t="n">
        <v>1780474.74</v>
      </c>
      <c r="O321" s="40" t="n">
        <v>3278.58</v>
      </c>
      <c r="P321" s="40" t="n">
        <v>2077162.87</v>
      </c>
      <c r="Q321" s="40" t="n">
        <v>16.66</v>
      </c>
      <c r="R321" s="47" t="n"/>
      <c r="S321" s="47" t="n"/>
      <c r="T321" s="47" t="n"/>
      <c r="U321" s="47" t="n"/>
      <c r="V321" s="47" t="n"/>
      <c r="W321" s="47" t="n"/>
    </row>
    <row r="322" ht="12" customHeight="1">
      <c r="A322" s="30" t="inlineStr">
        <is>
          <t>Areal</t>
        </is>
      </c>
      <c r="B322" s="30" t="n">
        <v>86810999</v>
      </c>
      <c r="C322" s="30">
        <f>"03867580005095"</f>
        <v/>
      </c>
      <c r="D322" s="30" t="inlineStr">
        <is>
          <t>PRONTO EXPRESS LOGISTICA SA</t>
        </is>
      </c>
      <c r="E322" s="40" t="n">
        <v>24.34</v>
      </c>
      <c r="F322" s="40" t="n">
        <v>0</v>
      </c>
      <c r="G322" s="46" t="n">
        <v>-100</v>
      </c>
      <c r="H322" s="40" t="n">
        <v>0</v>
      </c>
      <c r="I322" s="40" t="n">
        <v>0</v>
      </c>
      <c r="J322" s="40" t="n">
        <v>0</v>
      </c>
      <c r="K322" s="40" t="n">
        <v>0</v>
      </c>
      <c r="L322" s="40" t="n">
        <v>0</v>
      </c>
      <c r="M322" s="40" t="n">
        <v>0</v>
      </c>
      <c r="N322" s="40" t="n">
        <v>0</v>
      </c>
      <c r="O322" s="40" t="n">
        <v>0</v>
      </c>
      <c r="P322" s="40" t="n">
        <v>0</v>
      </c>
      <c r="Q322" s="40" t="n">
        <v>0</v>
      </c>
      <c r="R322" s="47" t="n"/>
      <c r="S322" s="47" t="n"/>
      <c r="T322" s="47" t="n"/>
      <c r="U322" s="47" t="n"/>
      <c r="V322" s="47" t="n"/>
      <c r="W322" s="47" t="n"/>
    </row>
    <row r="323" ht="12" customHeight="1">
      <c r="A323" s="30" t="inlineStr">
        <is>
          <t>Areal</t>
        </is>
      </c>
      <c r="B323" s="30" t="n">
        <v>86828383</v>
      </c>
      <c r="C323" s="30">
        <f>"00497373002082"</f>
        <v/>
      </c>
      <c r="D323" s="30" t="inlineStr">
        <is>
          <t>SKY SERVICOS DE BANDA LARGA LTDA.</t>
        </is>
      </c>
      <c r="E323" s="40" t="n">
        <v>50</v>
      </c>
      <c r="F323" s="40" t="n">
        <v>0</v>
      </c>
      <c r="G323" s="46" t="n">
        <v>-100</v>
      </c>
      <c r="H323" s="40" t="n">
        <v>16.67</v>
      </c>
      <c r="I323" s="40" t="n">
        <v>100</v>
      </c>
      <c r="J323" s="40" t="n">
        <v>0</v>
      </c>
      <c r="K323" s="46" t="n">
        <v>-100</v>
      </c>
      <c r="L323" s="40" t="n">
        <v>0</v>
      </c>
      <c r="M323" s="40" t="n">
        <v>0</v>
      </c>
      <c r="N323" s="40" t="n">
        <v>0</v>
      </c>
      <c r="O323" s="40" t="n">
        <v>0</v>
      </c>
      <c r="P323" s="40" t="n">
        <v>0</v>
      </c>
      <c r="Q323" s="40" t="n">
        <v>0</v>
      </c>
      <c r="R323" s="47" t="n"/>
      <c r="S323" s="47" t="n"/>
      <c r="T323" s="47" t="n"/>
      <c r="U323" s="47" t="n"/>
      <c r="V323" s="47" t="n"/>
      <c r="W323" s="47" t="n"/>
    </row>
    <row r="324" ht="12" customHeight="1">
      <c r="A324" s="30" t="inlineStr">
        <is>
          <t>Areal</t>
        </is>
      </c>
      <c r="B324" s="30" t="n">
        <v>86831295</v>
      </c>
      <c r="C324" s="30">
        <f>"03509101000180"</f>
        <v/>
      </c>
      <c r="D324" s="30" t="inlineStr">
        <is>
          <t>BRASIPAN SERVIÇOS E LOGÍSTICA EIRELI</t>
        </is>
      </c>
      <c r="E324" s="40" t="n">
        <v>0</v>
      </c>
      <c r="F324" s="40" t="n">
        <v>0</v>
      </c>
      <c r="G324" s="40" t="n">
        <v>0</v>
      </c>
      <c r="H324" s="40" t="n">
        <v>0</v>
      </c>
      <c r="I324" s="40" t="n">
        <v>0</v>
      </c>
      <c r="J324" s="40" t="n">
        <v>0</v>
      </c>
      <c r="K324" s="40" t="n">
        <v>0</v>
      </c>
      <c r="L324" s="40" t="n">
        <v>0</v>
      </c>
      <c r="M324" s="40" t="n">
        <v>0</v>
      </c>
      <c r="N324" s="40" t="n">
        <v>10897.62</v>
      </c>
      <c r="O324" s="40" t="n">
        <v>100</v>
      </c>
      <c r="P324" s="40" t="n">
        <v>0</v>
      </c>
      <c r="Q324" s="46" t="n">
        <v>-100</v>
      </c>
      <c r="R324" s="47" t="n"/>
      <c r="S324" s="47" t="n"/>
      <c r="T324" s="47" t="n"/>
      <c r="U324" s="47" t="n"/>
      <c r="V324" s="47" t="n"/>
      <c r="W324" s="47" t="n"/>
    </row>
    <row r="325" ht="12" customHeight="1">
      <c r="A325" s="30" t="inlineStr">
        <is>
          <t>Areal</t>
        </is>
      </c>
      <c r="B325" s="30" t="n">
        <v>86848970</v>
      </c>
      <c r="C325" s="30">
        <f>"21352355000110"</f>
        <v/>
      </c>
      <c r="D325" s="30" t="inlineStr">
        <is>
          <t>MIMOS DA SERRA INDUSTRIA E COMERCIO DE BEBIDAS E ALIMENTOS LTDA</t>
        </is>
      </c>
      <c r="E325" s="40" t="n">
        <v>0</v>
      </c>
      <c r="F325" s="40" t="n">
        <v>0</v>
      </c>
      <c r="G325" s="40" t="n">
        <v>0</v>
      </c>
      <c r="H325" s="40" t="n">
        <v>0</v>
      </c>
      <c r="I325" s="40" t="n">
        <v>0</v>
      </c>
      <c r="J325" s="40" t="n">
        <v>0</v>
      </c>
      <c r="K325" s="40" t="n">
        <v>0</v>
      </c>
      <c r="L325" s="40" t="n">
        <v>0</v>
      </c>
      <c r="M325" s="40" t="n">
        <v>0</v>
      </c>
      <c r="N325" s="40" t="n">
        <v>0</v>
      </c>
      <c r="O325" s="40" t="n">
        <v>0</v>
      </c>
      <c r="P325" s="40" t="n">
        <v>0</v>
      </c>
      <c r="Q325" s="40" t="n">
        <v>0</v>
      </c>
      <c r="R325" s="47" t="n"/>
      <c r="S325" s="47" t="n"/>
      <c r="T325" s="47" t="n"/>
      <c r="U325" s="47" t="n"/>
      <c r="V325" s="47" t="n"/>
      <c r="W325" s="47" t="n"/>
    </row>
    <row r="326" ht="12" customHeight="1">
      <c r="A326" s="30" t="inlineStr">
        <is>
          <t>Areal</t>
        </is>
      </c>
      <c r="B326" s="30" t="n">
        <v>86863707</v>
      </c>
      <c r="C326" s="30">
        <f>"21602262000104"</f>
        <v/>
      </c>
      <c r="D326" s="30" t="inlineStr">
        <is>
          <t>BETEL TRANSPORTE RODOVIARIO DE CARGA EIRELI</t>
        </is>
      </c>
      <c r="E326" s="40" t="n">
        <v>0</v>
      </c>
      <c r="F326" s="40" t="n">
        <v>0</v>
      </c>
      <c r="G326" s="40" t="n">
        <v>0</v>
      </c>
      <c r="H326" s="40" t="n">
        <v>0</v>
      </c>
      <c r="I326" s="40" t="n">
        <v>0</v>
      </c>
      <c r="J326" s="40" t="n">
        <v>431</v>
      </c>
      <c r="K326" s="40" t="n">
        <v>100</v>
      </c>
      <c r="L326" s="40" t="n">
        <v>0</v>
      </c>
      <c r="M326" s="46" t="n">
        <v>-100</v>
      </c>
      <c r="N326" s="40" t="n">
        <v>0</v>
      </c>
      <c r="O326" s="40" t="n">
        <v>0</v>
      </c>
      <c r="P326" s="40" t="n">
        <v>0</v>
      </c>
      <c r="Q326" s="40" t="n">
        <v>0</v>
      </c>
      <c r="R326" s="47" t="n"/>
      <c r="S326" s="47" t="n"/>
      <c r="T326" s="47" t="n"/>
      <c r="U326" s="47" t="n"/>
      <c r="V326" s="47" t="n"/>
      <c r="W326" s="47" t="n"/>
    </row>
    <row r="327" ht="12" customHeight="1">
      <c r="A327" s="30" t="inlineStr">
        <is>
          <t>Areal</t>
        </is>
      </c>
      <c r="B327" s="30" t="n">
        <v>86879344</v>
      </c>
      <c r="C327" s="30">
        <f>"05886614003666"</f>
        <v/>
      </c>
      <c r="D327" s="30" t="inlineStr">
        <is>
          <t>DIRECT EXPRESS LOGISTICA INTEGRADA S/A</t>
        </is>
      </c>
      <c r="E327" s="40" t="n">
        <v>26.57</v>
      </c>
      <c r="F327" s="40" t="n">
        <v>0</v>
      </c>
      <c r="G327" s="46" t="n">
        <v>-100</v>
      </c>
      <c r="H327" s="40" t="n">
        <v>0</v>
      </c>
      <c r="I327" s="40" t="n">
        <v>0</v>
      </c>
      <c r="J327" s="40" t="n">
        <v>0</v>
      </c>
      <c r="K327" s="40" t="n">
        <v>0</v>
      </c>
      <c r="L327" s="40" t="n">
        <v>0</v>
      </c>
      <c r="M327" s="40" t="n">
        <v>0</v>
      </c>
      <c r="N327" s="40" t="n">
        <v>0</v>
      </c>
      <c r="O327" s="40" t="n">
        <v>0</v>
      </c>
      <c r="P327" s="40" t="n">
        <v>0</v>
      </c>
      <c r="Q327" s="40" t="n">
        <v>0</v>
      </c>
      <c r="R327" s="47" t="n"/>
      <c r="S327" s="47" t="n"/>
      <c r="T327" s="47" t="n"/>
      <c r="U327" s="47" t="n"/>
      <c r="V327" s="47" t="n"/>
      <c r="W327" s="47" t="n"/>
    </row>
    <row r="328" ht="12" customHeight="1">
      <c r="A328" s="30" t="inlineStr">
        <is>
          <t>Areal</t>
        </is>
      </c>
      <c r="B328" s="30" t="n">
        <v>86911922</v>
      </c>
      <c r="C328" s="30">
        <f>"05593147000660"</f>
        <v/>
      </c>
      <c r="D328" s="30" t="inlineStr">
        <is>
          <t>VELTEN LOGISTICA E TRANSPORTE LTDA EPP</t>
        </is>
      </c>
      <c r="E328" s="40" t="n">
        <v>58467.27</v>
      </c>
      <c r="F328" s="40" t="n">
        <v>0</v>
      </c>
      <c r="G328" s="46" t="n">
        <v>-100</v>
      </c>
      <c r="H328" s="40" t="n">
        <v>0</v>
      </c>
      <c r="I328" s="40" t="n">
        <v>0</v>
      </c>
      <c r="J328" s="40" t="n">
        <v>0</v>
      </c>
      <c r="K328" s="40" t="n">
        <v>0</v>
      </c>
      <c r="L328" s="40" t="n">
        <v>0</v>
      </c>
      <c r="M328" s="40" t="n">
        <v>0</v>
      </c>
      <c r="N328" s="40" t="n">
        <v>0</v>
      </c>
      <c r="O328" s="40" t="n">
        <v>0</v>
      </c>
      <c r="P328" s="40" t="n">
        <v>0</v>
      </c>
      <c r="Q328" s="40" t="n">
        <v>0</v>
      </c>
      <c r="R328" s="47" t="n"/>
      <c r="S328" s="47" t="n"/>
      <c r="T328" s="47" t="n"/>
      <c r="U328" s="47" t="n"/>
      <c r="V328" s="47" t="n"/>
      <c r="W328" s="47" t="n"/>
    </row>
    <row r="329" ht="12" customHeight="1">
      <c r="A329" s="30" t="inlineStr">
        <is>
          <t>Areal</t>
        </is>
      </c>
      <c r="B329" s="30" t="n">
        <v>86917106</v>
      </c>
      <c r="C329" s="30">
        <f>"18764174000196"</f>
        <v/>
      </c>
      <c r="D329" s="30" t="inlineStr">
        <is>
          <t>TECNO - VAPOR SERV TECNICO EM MONTAGEM E MANUT DE CALDEIRAS LTDA</t>
        </is>
      </c>
      <c r="E329" s="40" t="n">
        <v>0</v>
      </c>
      <c r="F329" s="40" t="n">
        <v>0</v>
      </c>
      <c r="G329" s="40" t="n">
        <v>0</v>
      </c>
      <c r="H329" s="40" t="n">
        <v>0</v>
      </c>
      <c r="I329" s="40" t="n">
        <v>0</v>
      </c>
      <c r="J329" s="40" t="n">
        <v>0</v>
      </c>
      <c r="K329" s="40" t="n">
        <v>0</v>
      </c>
      <c r="L329" s="40" t="n">
        <v>0</v>
      </c>
      <c r="M329" s="40" t="n">
        <v>0</v>
      </c>
      <c r="N329" s="40" t="n">
        <v>0</v>
      </c>
      <c r="O329" s="40" t="n">
        <v>0</v>
      </c>
      <c r="P329" s="40" t="n">
        <v>0</v>
      </c>
      <c r="Q329" s="40" t="n">
        <v>0</v>
      </c>
      <c r="R329" s="47" t="n"/>
      <c r="S329" s="47" t="n"/>
      <c r="T329" s="47" t="n"/>
      <c r="U329" s="47" t="n"/>
      <c r="V329" s="47" t="n"/>
      <c r="W329" s="47" t="n"/>
    </row>
    <row r="330" ht="12" customHeight="1">
      <c r="A330" s="30" t="inlineStr">
        <is>
          <t>Areal</t>
        </is>
      </c>
      <c r="B330" s="30" t="n">
        <v>86924595</v>
      </c>
      <c r="C330" s="30">
        <f>"22031941000125"</f>
        <v/>
      </c>
      <c r="D330" s="30" t="inlineStr">
        <is>
          <t>COOPERATIVA DE TRAB DOS CATADORES DE MAT RECICLAVEIS LUZ DO SOL</t>
        </is>
      </c>
      <c r="E330" s="40" t="n">
        <v>0</v>
      </c>
      <c r="F330" s="40" t="n">
        <v>0</v>
      </c>
      <c r="G330" s="40" t="n">
        <v>0</v>
      </c>
      <c r="H330" s="40" t="n">
        <v>0</v>
      </c>
      <c r="I330" s="40" t="n">
        <v>0</v>
      </c>
      <c r="J330" s="40" t="n">
        <v>0</v>
      </c>
      <c r="K330" s="40" t="n">
        <v>0</v>
      </c>
      <c r="L330" s="40" t="n">
        <v>7620.7</v>
      </c>
      <c r="M330" s="40" t="n">
        <v>100</v>
      </c>
      <c r="N330" s="40" t="n">
        <v>0</v>
      </c>
      <c r="O330" s="46" t="n">
        <v>-100</v>
      </c>
      <c r="P330" s="40" t="n">
        <v>0</v>
      </c>
      <c r="Q330" s="40" t="n">
        <v>0</v>
      </c>
      <c r="R330" s="47" t="n"/>
      <c r="S330" s="47" t="n"/>
      <c r="T330" s="47" t="n"/>
      <c r="U330" s="47" t="n"/>
      <c r="V330" s="47" t="n"/>
      <c r="W330" s="47" t="n"/>
    </row>
    <row r="331" ht="12" customHeight="1">
      <c r="A331" s="30" t="inlineStr">
        <is>
          <t>Areal</t>
        </is>
      </c>
      <c r="B331" s="30" t="n">
        <v>86940701</v>
      </c>
      <c r="C331" s="30">
        <f>"21747713000193"</f>
        <v/>
      </c>
      <c r="D331" s="30" t="inlineStr">
        <is>
          <t>HARAS HARI CRIACAO E TREINAMENTO S A</t>
        </is>
      </c>
      <c r="E331" s="40" t="n">
        <v>0</v>
      </c>
      <c r="F331" s="40" t="n">
        <v>0</v>
      </c>
      <c r="G331" s="40" t="n">
        <v>0</v>
      </c>
      <c r="H331" s="40" t="n">
        <v>0</v>
      </c>
      <c r="I331" s="40" t="n">
        <v>0</v>
      </c>
      <c r="J331" s="40" t="n">
        <v>0</v>
      </c>
      <c r="K331" s="40" t="n">
        <v>0</v>
      </c>
      <c r="L331" s="40" t="n">
        <v>0</v>
      </c>
      <c r="M331" s="40" t="n">
        <v>0</v>
      </c>
      <c r="N331" s="40" t="n">
        <v>0</v>
      </c>
      <c r="O331" s="40" t="n">
        <v>0</v>
      </c>
      <c r="P331" s="40" t="n">
        <v>0</v>
      </c>
      <c r="Q331" s="40" t="n">
        <v>0</v>
      </c>
      <c r="R331" s="47" t="n"/>
      <c r="S331" s="47" t="n"/>
      <c r="T331" s="47" t="n"/>
      <c r="U331" s="47" t="n"/>
      <c r="V331" s="47" t="n"/>
      <c r="W331" s="47" t="n"/>
    </row>
    <row r="332" ht="12" customHeight="1">
      <c r="A332" s="30" t="inlineStr">
        <is>
          <t>Areal</t>
        </is>
      </c>
      <c r="B332" s="30" t="n">
        <v>86994178</v>
      </c>
      <c r="C332" s="30">
        <f>"53237962003140"</f>
        <v/>
      </c>
      <c r="D332" s="30" t="inlineStr">
        <is>
          <t>EMPRESA DE TRANSPORTES PAJUCARA LTDA</t>
        </is>
      </c>
      <c r="E332" s="40" t="n">
        <v>80.73999999999999</v>
      </c>
      <c r="F332" s="40" t="n">
        <v>0</v>
      </c>
      <c r="G332" s="46" t="n">
        <v>-100</v>
      </c>
      <c r="H332" s="40" t="n">
        <v>64.17</v>
      </c>
      <c r="I332" s="40" t="n">
        <v>100</v>
      </c>
      <c r="J332" s="40" t="n">
        <v>193.69</v>
      </c>
      <c r="K332" s="40" t="n">
        <v>201.84</v>
      </c>
      <c r="L332" s="40" t="n">
        <v>304.14</v>
      </c>
      <c r="M332" s="40" t="n">
        <v>57.02</v>
      </c>
      <c r="N332" s="40" t="n">
        <v>119.08</v>
      </c>
      <c r="O332" s="46" t="n">
        <v>-60.85</v>
      </c>
      <c r="P332" s="40" t="n">
        <v>0</v>
      </c>
      <c r="Q332" s="46" t="n">
        <v>-100</v>
      </c>
      <c r="R332" s="47" t="n"/>
      <c r="S332" s="47" t="n"/>
      <c r="T332" s="47" t="n"/>
      <c r="U332" s="47" t="n"/>
      <c r="V332" s="47" t="n"/>
      <c r="W332" s="47" t="n"/>
    </row>
    <row r="333" ht="12" customHeight="1">
      <c r="A333" s="30" t="inlineStr">
        <is>
          <t>Areal</t>
        </is>
      </c>
      <c r="B333" s="30" t="n">
        <v>87020592</v>
      </c>
      <c r="C333" s="30">
        <f>"23392260000155"</f>
        <v/>
      </c>
      <c r="D333" s="30" t="inlineStr">
        <is>
          <t>RIOCARGAS DISTRIBUICAO E LOGISTICA LTDA ME</t>
        </is>
      </c>
      <c r="E333" s="40" t="n">
        <v>0</v>
      </c>
      <c r="F333" s="40" t="n">
        <v>42</v>
      </c>
      <c r="G333" s="40" t="n">
        <v>100</v>
      </c>
      <c r="H333" s="40" t="n">
        <v>0</v>
      </c>
      <c r="I333" s="46" t="n">
        <v>-100</v>
      </c>
      <c r="J333" s="40" t="n">
        <v>0</v>
      </c>
      <c r="K333" s="40" t="n">
        <v>0</v>
      </c>
      <c r="L333" s="40" t="n">
        <v>0</v>
      </c>
      <c r="M333" s="40" t="n">
        <v>0</v>
      </c>
      <c r="N333" s="40" t="n">
        <v>0</v>
      </c>
      <c r="O333" s="40" t="n">
        <v>0</v>
      </c>
      <c r="P333" s="40" t="n">
        <v>0</v>
      </c>
      <c r="Q333" s="40" t="n">
        <v>0</v>
      </c>
      <c r="R333" s="47" t="n"/>
      <c r="S333" s="47" t="n"/>
      <c r="T333" s="47" t="n"/>
      <c r="U333" s="47" t="n"/>
      <c r="V333" s="47" t="n"/>
      <c r="W333" s="47" t="n"/>
    </row>
    <row r="334" ht="12" customHeight="1">
      <c r="A334" s="30" t="inlineStr">
        <is>
          <t>Areal</t>
        </is>
      </c>
      <c r="B334" s="30" t="n">
        <v>87035794</v>
      </c>
      <c r="C334" s="30">
        <f>"05872814000300"</f>
        <v/>
      </c>
      <c r="D334" s="30" t="inlineStr">
        <is>
          <t>VOGEL SOLUCOES EM TELECOMUNICACOES E INFORMATICA S.A.</t>
        </is>
      </c>
      <c r="E334" s="40" t="n">
        <v>0</v>
      </c>
      <c r="F334" s="40" t="n">
        <v>0</v>
      </c>
      <c r="G334" s="40" t="n">
        <v>0</v>
      </c>
      <c r="H334" s="40" t="n">
        <v>0</v>
      </c>
      <c r="I334" s="40" t="n">
        <v>0</v>
      </c>
      <c r="J334" s="40" t="n">
        <v>0</v>
      </c>
      <c r="K334" s="40" t="n">
        <v>0</v>
      </c>
      <c r="L334" s="40" t="n">
        <v>0</v>
      </c>
      <c r="M334" s="40" t="n">
        <v>0</v>
      </c>
      <c r="N334" s="40" t="n">
        <v>0</v>
      </c>
      <c r="O334" s="40" t="n">
        <v>0</v>
      </c>
      <c r="P334" s="40" t="n">
        <v>1576.8</v>
      </c>
      <c r="Q334" s="40" t="n">
        <v>100</v>
      </c>
      <c r="R334" s="47" t="n"/>
      <c r="S334" s="47" t="n"/>
      <c r="T334" s="47" t="n"/>
      <c r="U334" s="47" t="n"/>
      <c r="V334" s="47" t="n"/>
      <c r="W334" s="47" t="n"/>
    </row>
    <row r="335" ht="12" customHeight="1">
      <c r="A335" s="30" t="inlineStr">
        <is>
          <t>Areal</t>
        </is>
      </c>
      <c r="B335" s="30" t="n">
        <v>87043045</v>
      </c>
      <c r="C335" s="30">
        <f>"23140384000143"</f>
        <v/>
      </c>
      <c r="D335" s="30" t="inlineStr">
        <is>
          <t>REM EMBUTIDOS E DEFUMADOS LTDA ME</t>
        </is>
      </c>
      <c r="E335" s="40" t="n">
        <v>1435.92</v>
      </c>
      <c r="F335" s="40" t="n">
        <v>0</v>
      </c>
      <c r="G335" s="46" t="n">
        <v>-100</v>
      </c>
      <c r="H335" s="40" t="n">
        <v>0</v>
      </c>
      <c r="I335" s="40" t="n">
        <v>0</v>
      </c>
      <c r="J335" s="40" t="n">
        <v>0</v>
      </c>
      <c r="K335" s="40" t="n">
        <v>0</v>
      </c>
      <c r="L335" s="40" t="n">
        <v>0</v>
      </c>
      <c r="M335" s="40" t="n">
        <v>0</v>
      </c>
      <c r="N335" s="40" t="n">
        <v>0</v>
      </c>
      <c r="O335" s="40" t="n">
        <v>0</v>
      </c>
      <c r="P335" s="40" t="n">
        <v>0</v>
      </c>
      <c r="Q335" s="40" t="n">
        <v>0</v>
      </c>
      <c r="R335" s="47" t="n"/>
      <c r="S335" s="47" t="n"/>
      <c r="T335" s="47" t="n"/>
      <c r="U335" s="47" t="n"/>
      <c r="V335" s="47" t="n"/>
      <c r="W335" s="47" t="n"/>
    </row>
    <row r="336" ht="12" customHeight="1">
      <c r="A336" s="30" t="inlineStr">
        <is>
          <t>Areal</t>
        </is>
      </c>
      <c r="B336" s="30" t="n">
        <v>87074587</v>
      </c>
      <c r="C336" s="30">
        <f>"23786432000256"</f>
        <v/>
      </c>
      <c r="D336" s="30" t="inlineStr">
        <is>
          <t>FAZENDA E HARAS STUD BRASIL AGROPECUARIA LTDA</t>
        </is>
      </c>
      <c r="E336" s="40" t="n">
        <v>0</v>
      </c>
      <c r="F336" s="40" t="n">
        <v>0</v>
      </c>
      <c r="G336" s="40" t="n">
        <v>0</v>
      </c>
      <c r="H336" s="40" t="n">
        <v>0</v>
      </c>
      <c r="I336" s="40" t="n">
        <v>0</v>
      </c>
      <c r="J336" s="40" t="n">
        <v>0</v>
      </c>
      <c r="K336" s="40" t="n">
        <v>0</v>
      </c>
      <c r="L336" s="40" t="n">
        <v>0</v>
      </c>
      <c r="M336" s="40" t="n">
        <v>0</v>
      </c>
      <c r="N336" s="40" t="n">
        <v>0</v>
      </c>
      <c r="O336" s="40" t="n">
        <v>0</v>
      </c>
      <c r="P336" s="40" t="n">
        <v>539661.79</v>
      </c>
      <c r="Q336" s="40" t="n">
        <v>100</v>
      </c>
      <c r="R336" s="47" t="n"/>
      <c r="S336" s="47" t="n"/>
      <c r="T336" s="47" t="n"/>
      <c r="U336" s="47" t="n"/>
      <c r="V336" s="47" t="n"/>
      <c r="W336" s="47" t="n"/>
    </row>
    <row r="337" ht="12" customHeight="1">
      <c r="A337" s="30" t="inlineStr">
        <is>
          <t>Areal</t>
        </is>
      </c>
      <c r="B337" s="30" t="n">
        <v>87074609</v>
      </c>
      <c r="C337" s="30">
        <f>"23800488000137"</f>
        <v/>
      </c>
      <c r="D337" s="30" t="inlineStr">
        <is>
          <t>D FARAJ RESTAURANTE E PIZZARIA LTDA</t>
        </is>
      </c>
      <c r="E337" s="40" t="n">
        <v>0</v>
      </c>
      <c r="F337" s="40" t="n">
        <v>0</v>
      </c>
      <c r="G337" s="40" t="n">
        <v>0</v>
      </c>
      <c r="H337" s="40" t="n">
        <v>0</v>
      </c>
      <c r="I337" s="40" t="n">
        <v>0</v>
      </c>
      <c r="J337" s="40" t="n">
        <v>0</v>
      </c>
      <c r="K337" s="40" t="n">
        <v>0</v>
      </c>
      <c r="L337" s="40" t="n">
        <v>0</v>
      </c>
      <c r="M337" s="40" t="n">
        <v>0</v>
      </c>
      <c r="N337" s="40" t="n">
        <v>0</v>
      </c>
      <c r="O337" s="40" t="n">
        <v>0</v>
      </c>
      <c r="P337" s="40" t="n">
        <v>0</v>
      </c>
      <c r="Q337" s="40" t="n">
        <v>0</v>
      </c>
      <c r="R337" s="47" t="n"/>
      <c r="S337" s="47" t="n"/>
      <c r="T337" s="47" t="n"/>
      <c r="U337" s="47" t="n"/>
      <c r="V337" s="47" t="n"/>
      <c r="W337" s="47" t="n"/>
    </row>
    <row r="338" ht="12" customHeight="1">
      <c r="A338" s="30" t="inlineStr">
        <is>
          <t>Areal</t>
        </is>
      </c>
      <c r="B338" s="30" t="n">
        <v>87077187</v>
      </c>
      <c r="C338" s="30">
        <f>"01599101002056"</f>
        <v/>
      </c>
      <c r="D338" s="30" t="inlineStr">
        <is>
          <t>SEQUOIA LOGISTICA E TRANSPORTES S.A.</t>
        </is>
      </c>
      <c r="E338" s="40" t="n">
        <v>0</v>
      </c>
      <c r="F338" s="40" t="n">
        <v>0</v>
      </c>
      <c r="G338" s="40" t="n">
        <v>0</v>
      </c>
      <c r="H338" s="40" t="n">
        <v>0</v>
      </c>
      <c r="I338" s="40" t="n">
        <v>0</v>
      </c>
      <c r="J338" s="40" t="n">
        <v>14278.11</v>
      </c>
      <c r="K338" s="40" t="n">
        <v>100</v>
      </c>
      <c r="L338" s="40" t="n">
        <v>6071.92</v>
      </c>
      <c r="M338" s="46" t="n">
        <v>-57.47</v>
      </c>
      <c r="N338" s="40" t="n">
        <v>5724.39</v>
      </c>
      <c r="O338" s="46" t="n">
        <v>-5.72</v>
      </c>
      <c r="P338" s="40" t="n">
        <v>459.61</v>
      </c>
      <c r="Q338" s="46" t="n">
        <v>-91.97</v>
      </c>
      <c r="R338" s="47" t="n"/>
      <c r="S338" s="47" t="n"/>
      <c r="T338" s="47" t="n"/>
      <c r="U338" s="47" t="n"/>
      <c r="V338" s="47" t="n"/>
      <c r="W338" s="47" t="n"/>
    </row>
    <row r="339" ht="12" customHeight="1">
      <c r="A339" s="30" t="inlineStr">
        <is>
          <t>Areal</t>
        </is>
      </c>
      <c r="B339" s="30" t="n">
        <v>87081192</v>
      </c>
      <c r="C339" s="30">
        <f>"23872454000158"</f>
        <v/>
      </c>
      <c r="D339" s="30" t="inlineStr">
        <is>
          <t>ARE-AUTOS COMERCIO E LOCACAO DE VEICULOS - EIRELI -ME</t>
        </is>
      </c>
      <c r="E339" s="40" t="n">
        <v>0</v>
      </c>
      <c r="F339" s="40" t="n">
        <v>0</v>
      </c>
      <c r="G339" s="40" t="n">
        <v>0</v>
      </c>
      <c r="H339" s="40" t="n">
        <v>0</v>
      </c>
      <c r="I339" s="40" t="n">
        <v>0</v>
      </c>
      <c r="J339" s="40" t="n">
        <v>0</v>
      </c>
      <c r="K339" s="40" t="n">
        <v>0</v>
      </c>
      <c r="L339" s="40" t="n">
        <v>0</v>
      </c>
      <c r="M339" s="40" t="n">
        <v>0</v>
      </c>
      <c r="N339" s="40" t="n">
        <v>0</v>
      </c>
      <c r="O339" s="40" t="n">
        <v>0</v>
      </c>
      <c r="P339" s="40" t="n">
        <v>0</v>
      </c>
      <c r="Q339" s="40" t="n">
        <v>0</v>
      </c>
      <c r="R339" s="47" t="n"/>
      <c r="S339" s="47" t="n"/>
      <c r="T339" s="47" t="n"/>
      <c r="U339" s="47" t="n"/>
      <c r="V339" s="47" t="n"/>
      <c r="W339" s="47" t="n"/>
    </row>
    <row r="340" ht="12" customHeight="1">
      <c r="A340" s="30" t="inlineStr">
        <is>
          <t>Areal</t>
        </is>
      </c>
      <c r="B340" s="30" t="n">
        <v>87097013</v>
      </c>
      <c r="C340" s="30">
        <f>"11337163000180"</f>
        <v/>
      </c>
      <c r="D340" s="30" t="inlineStr">
        <is>
          <t>SIGMA AREAL INDÚSTRIA E COMÉRCIO DE COSMÉTICOS E SANEANTES EIRELI</t>
        </is>
      </c>
      <c r="E340" s="40" t="n">
        <v>0</v>
      </c>
      <c r="F340" s="40" t="n">
        <v>0</v>
      </c>
      <c r="G340" s="40" t="n">
        <v>0</v>
      </c>
      <c r="H340" s="40" t="n">
        <v>0</v>
      </c>
      <c r="I340" s="40" t="n">
        <v>0</v>
      </c>
      <c r="J340" s="40" t="n">
        <v>0</v>
      </c>
      <c r="K340" s="40" t="n">
        <v>0</v>
      </c>
      <c r="L340" s="40" t="n">
        <v>0</v>
      </c>
      <c r="M340" s="40" t="n">
        <v>0</v>
      </c>
      <c r="N340" s="40" t="n">
        <v>0</v>
      </c>
      <c r="O340" s="40" t="n">
        <v>0</v>
      </c>
      <c r="P340" s="40" t="n">
        <v>345186.44</v>
      </c>
      <c r="Q340" s="40" t="n">
        <v>100</v>
      </c>
      <c r="R340" s="47" t="n"/>
      <c r="S340" s="47" t="n"/>
      <c r="T340" s="47" t="n"/>
      <c r="U340" s="47" t="n"/>
      <c r="V340" s="47" t="n"/>
      <c r="W340" s="47" t="n"/>
    </row>
    <row r="341" ht="12" customHeight="1">
      <c r="A341" s="30" t="inlineStr">
        <is>
          <t>Areal</t>
        </is>
      </c>
      <c r="B341" s="30" t="n">
        <v>87105938</v>
      </c>
      <c r="C341" s="30">
        <f>"17619009000773"</f>
        <v/>
      </c>
      <c r="D341" s="30" t="inlineStr">
        <is>
          <t>VENKON EXPRESS TRANSPORTES EIRELI EPP</t>
        </is>
      </c>
      <c r="E341" s="40" t="n">
        <v>0</v>
      </c>
      <c r="F341" s="40" t="n">
        <v>0</v>
      </c>
      <c r="G341" s="40" t="n">
        <v>0</v>
      </c>
      <c r="H341" s="40" t="n">
        <v>0</v>
      </c>
      <c r="I341" s="40" t="n">
        <v>0</v>
      </c>
      <c r="J341" s="40" t="n">
        <v>4989.26</v>
      </c>
      <c r="K341" s="40" t="n">
        <v>100</v>
      </c>
      <c r="L341" s="40" t="n">
        <v>5588.77</v>
      </c>
      <c r="M341" s="40" t="n">
        <v>12.02</v>
      </c>
      <c r="N341" s="40" t="n">
        <v>0</v>
      </c>
      <c r="O341" s="46" t="n">
        <v>-100</v>
      </c>
      <c r="P341" s="40" t="n">
        <v>0</v>
      </c>
      <c r="Q341" s="40" t="n">
        <v>0</v>
      </c>
      <c r="R341" s="47" t="n"/>
      <c r="S341" s="47" t="n"/>
      <c r="T341" s="47" t="n"/>
      <c r="U341" s="47" t="n"/>
      <c r="V341" s="47" t="n"/>
      <c r="W341" s="47" t="n"/>
    </row>
    <row r="342" ht="12" customHeight="1">
      <c r="A342" s="30" t="inlineStr">
        <is>
          <t>Areal</t>
        </is>
      </c>
      <c r="B342" s="30" t="n">
        <v>87111903</v>
      </c>
      <c r="C342" s="30">
        <f>"24331201000130"</f>
        <v/>
      </c>
      <c r="D342" s="30" t="inlineStr">
        <is>
          <t>CA SS AÇOUGUE EIRELI</t>
        </is>
      </c>
      <c r="E342" s="40" t="n">
        <v>0</v>
      </c>
      <c r="F342" s="40" t="n">
        <v>0</v>
      </c>
      <c r="G342" s="40" t="n">
        <v>0</v>
      </c>
      <c r="H342" s="40" t="n">
        <v>0</v>
      </c>
      <c r="I342" s="40" t="n">
        <v>0</v>
      </c>
      <c r="J342" s="40" t="n">
        <v>0</v>
      </c>
      <c r="K342" s="40" t="n">
        <v>0</v>
      </c>
      <c r="L342" s="40" t="n">
        <v>0</v>
      </c>
      <c r="M342" s="40" t="n">
        <v>0</v>
      </c>
      <c r="N342" s="40" t="n">
        <v>0</v>
      </c>
      <c r="O342" s="40" t="n">
        <v>0</v>
      </c>
      <c r="P342" s="40" t="n">
        <v>0</v>
      </c>
      <c r="Q342" s="40" t="n">
        <v>0</v>
      </c>
      <c r="R342" s="47" t="n"/>
      <c r="S342" s="47" t="n"/>
      <c r="T342" s="47" t="n"/>
      <c r="U342" s="47" t="n"/>
      <c r="V342" s="47" t="n"/>
      <c r="W342" s="47" t="n"/>
    </row>
    <row r="343" ht="12" customHeight="1">
      <c r="A343" s="30" t="inlineStr">
        <is>
          <t>Areal</t>
        </is>
      </c>
      <c r="B343" s="30" t="n">
        <v>87141691</v>
      </c>
      <c r="C343" s="30">
        <f>"00367894001558"</f>
        <v/>
      </c>
      <c r="D343" s="30" t="inlineStr">
        <is>
          <t>TRANSPORTADORA REAL 94 LTDA EPP</t>
        </is>
      </c>
      <c r="E343" s="40" t="n">
        <v>0</v>
      </c>
      <c r="F343" s="40" t="n">
        <v>0</v>
      </c>
      <c r="G343" s="40" t="n">
        <v>0</v>
      </c>
      <c r="H343" s="40" t="n">
        <v>0</v>
      </c>
      <c r="I343" s="40" t="n">
        <v>0</v>
      </c>
      <c r="J343" s="40" t="n">
        <v>0</v>
      </c>
      <c r="K343" s="40" t="n">
        <v>0</v>
      </c>
      <c r="L343" s="40" t="n">
        <v>3675.72</v>
      </c>
      <c r="M343" s="40" t="n">
        <v>100</v>
      </c>
      <c r="N343" s="40" t="n">
        <v>0</v>
      </c>
      <c r="O343" s="46" t="n">
        <v>-100</v>
      </c>
      <c r="P343" s="40" t="n">
        <v>0</v>
      </c>
      <c r="Q343" s="40" t="n">
        <v>0</v>
      </c>
      <c r="R343" s="47" t="n"/>
      <c r="S343" s="47" t="n"/>
      <c r="T343" s="47" t="n"/>
      <c r="U343" s="47" t="n"/>
      <c r="V343" s="47" t="n"/>
      <c r="W343" s="47" t="n"/>
    </row>
    <row r="344" ht="12" customHeight="1">
      <c r="A344" s="30" t="inlineStr">
        <is>
          <t>Areal</t>
        </is>
      </c>
      <c r="B344" s="30" t="n">
        <v>87158543</v>
      </c>
      <c r="C344" s="30">
        <f>"24966233000101"</f>
        <v/>
      </c>
      <c r="D344" s="30" t="inlineStr">
        <is>
          <t>TARGETS TRANSPORTES EIRELI</t>
        </is>
      </c>
      <c r="E344" s="40" t="n">
        <v>0</v>
      </c>
      <c r="F344" s="40" t="n">
        <v>0</v>
      </c>
      <c r="G344" s="40" t="n">
        <v>0</v>
      </c>
      <c r="H344" s="40" t="n">
        <v>0</v>
      </c>
      <c r="I344" s="40" t="n">
        <v>0</v>
      </c>
      <c r="J344" s="40" t="n">
        <v>0</v>
      </c>
      <c r="K344" s="40" t="n">
        <v>0</v>
      </c>
      <c r="L344" s="40" t="n">
        <v>257.26</v>
      </c>
      <c r="M344" s="40" t="n">
        <v>100</v>
      </c>
      <c r="N344" s="40" t="n">
        <v>0</v>
      </c>
      <c r="O344" s="46" t="n">
        <v>-100</v>
      </c>
      <c r="P344" s="40" t="n">
        <v>625</v>
      </c>
      <c r="Q344" s="40" t="n">
        <v>100</v>
      </c>
      <c r="R344" s="47" t="n"/>
      <c r="S344" s="47" t="n"/>
      <c r="T344" s="47" t="n"/>
      <c r="U344" s="47" t="n"/>
      <c r="V344" s="47" t="n"/>
      <c r="W344" s="47" t="n"/>
    </row>
    <row r="345" ht="12" customHeight="1">
      <c r="A345" s="30" t="inlineStr">
        <is>
          <t>Areal</t>
        </is>
      </c>
      <c r="B345" s="30" t="n">
        <v>87159183</v>
      </c>
      <c r="C345" s="30">
        <f>"22044907000276"</f>
        <v/>
      </c>
      <c r="D345" s="30" t="inlineStr">
        <is>
          <t>LOGMED RIO ARMAZENAGEM E TRANSPORTE LTDA</t>
        </is>
      </c>
      <c r="E345" s="40" t="n">
        <v>0</v>
      </c>
      <c r="F345" s="40" t="n">
        <v>0</v>
      </c>
      <c r="G345" s="40" t="n">
        <v>0</v>
      </c>
      <c r="H345" s="40" t="n">
        <v>0</v>
      </c>
      <c r="I345" s="40" t="n">
        <v>0</v>
      </c>
      <c r="J345" s="40" t="n">
        <v>0</v>
      </c>
      <c r="K345" s="40" t="n">
        <v>0</v>
      </c>
      <c r="L345" s="40" t="n">
        <v>270.75</v>
      </c>
      <c r="M345" s="40" t="n">
        <v>100</v>
      </c>
      <c r="N345" s="40" t="n">
        <v>0</v>
      </c>
      <c r="O345" s="46" t="n">
        <v>-100</v>
      </c>
      <c r="P345" s="40" t="n">
        <v>0</v>
      </c>
      <c r="Q345" s="40" t="n">
        <v>0</v>
      </c>
      <c r="R345" s="47" t="n"/>
      <c r="S345" s="47" t="n"/>
      <c r="T345" s="47" t="n"/>
      <c r="U345" s="47" t="n"/>
      <c r="V345" s="47" t="n"/>
      <c r="W345" s="47" t="n"/>
    </row>
    <row r="346" ht="12" customHeight="1">
      <c r="A346" s="30" t="inlineStr">
        <is>
          <t>Areal</t>
        </is>
      </c>
      <c r="B346" s="30" t="n">
        <v>87162389</v>
      </c>
      <c r="C346" s="30">
        <f>"15587873000543"</f>
        <v/>
      </c>
      <c r="D346" s="30" t="inlineStr">
        <is>
          <t>TFT EXPRESS LOGISTICA E TRANSPORTES LTDA ME</t>
        </is>
      </c>
      <c r="E346" s="40" t="n">
        <v>0</v>
      </c>
      <c r="F346" s="40" t="n">
        <v>0</v>
      </c>
      <c r="G346" s="40" t="n">
        <v>0</v>
      </c>
      <c r="H346" s="40" t="n">
        <v>0</v>
      </c>
      <c r="I346" s="40" t="n">
        <v>0</v>
      </c>
      <c r="J346" s="40" t="n">
        <v>62.5</v>
      </c>
      <c r="K346" s="40" t="n">
        <v>100</v>
      </c>
      <c r="L346" s="40" t="n">
        <v>0</v>
      </c>
      <c r="M346" s="46" t="n">
        <v>-100</v>
      </c>
      <c r="N346" s="40" t="n">
        <v>0</v>
      </c>
      <c r="O346" s="40" t="n">
        <v>0</v>
      </c>
      <c r="P346" s="40" t="n">
        <v>0</v>
      </c>
      <c r="Q346" s="40" t="n">
        <v>0</v>
      </c>
      <c r="R346" s="47" t="n"/>
      <c r="S346" s="47" t="n"/>
      <c r="T346" s="47" t="n"/>
      <c r="U346" s="47" t="n"/>
      <c r="V346" s="47" t="n"/>
      <c r="W346" s="47" t="n"/>
    </row>
    <row r="347" ht="12" customHeight="1">
      <c r="A347" s="30" t="inlineStr">
        <is>
          <t>Areal</t>
        </is>
      </c>
      <c r="B347" s="30" t="n">
        <v>87163326</v>
      </c>
      <c r="C347" s="30">
        <f>"25022472000176"</f>
        <v/>
      </c>
      <c r="D347" s="30" t="inlineStr">
        <is>
          <t>FREDBIER CERVEJARIA AREALENSE EIRELI ME</t>
        </is>
      </c>
      <c r="E347" s="40" t="n">
        <v>26584.67</v>
      </c>
      <c r="F347" s="40" t="n">
        <v>0</v>
      </c>
      <c r="G347" s="46" t="n">
        <v>-100</v>
      </c>
      <c r="H347" s="40" t="n">
        <v>0</v>
      </c>
      <c r="I347" s="40" t="n">
        <v>0</v>
      </c>
      <c r="J347" s="40" t="n">
        <v>0</v>
      </c>
      <c r="K347" s="40" t="n">
        <v>0</v>
      </c>
      <c r="L347" s="40" t="n">
        <v>0</v>
      </c>
      <c r="M347" s="40" t="n">
        <v>0</v>
      </c>
      <c r="N347" s="40" t="n">
        <v>0</v>
      </c>
      <c r="O347" s="40" t="n">
        <v>0</v>
      </c>
      <c r="P347" s="40" t="n">
        <v>0</v>
      </c>
      <c r="Q347" s="40" t="n">
        <v>0</v>
      </c>
      <c r="R347" s="47" t="n"/>
      <c r="S347" s="47" t="n"/>
      <c r="T347" s="47" t="n"/>
      <c r="U347" s="47" t="n"/>
      <c r="V347" s="47" t="n"/>
      <c r="W347" s="47" t="n"/>
    </row>
    <row r="348" ht="12" customHeight="1">
      <c r="A348" s="30" t="inlineStr">
        <is>
          <t>Areal</t>
        </is>
      </c>
      <c r="B348" s="30" t="n">
        <v>87173585</v>
      </c>
      <c r="C348" s="30">
        <f>"20854761000118"</f>
        <v/>
      </c>
      <c r="D348" s="30" t="inlineStr">
        <is>
          <t>YAH TELECOMUNICACOES LTDA</t>
        </is>
      </c>
      <c r="E348" s="40" t="n">
        <v>0</v>
      </c>
      <c r="F348" s="40" t="n">
        <v>0</v>
      </c>
      <c r="G348" s="40" t="n">
        <v>0</v>
      </c>
      <c r="H348" s="40" t="n">
        <v>0</v>
      </c>
      <c r="I348" s="40" t="n">
        <v>0</v>
      </c>
      <c r="J348" s="40" t="n">
        <v>24.83</v>
      </c>
      <c r="K348" s="40" t="n">
        <v>100</v>
      </c>
      <c r="L348" s="40" t="n">
        <v>0</v>
      </c>
      <c r="M348" s="46" t="n">
        <v>-100</v>
      </c>
      <c r="N348" s="40" t="n">
        <v>0</v>
      </c>
      <c r="O348" s="40" t="n">
        <v>0</v>
      </c>
      <c r="P348" s="40" t="n">
        <v>0</v>
      </c>
      <c r="Q348" s="40" t="n">
        <v>0</v>
      </c>
      <c r="R348" s="47" t="n"/>
      <c r="S348" s="47" t="n"/>
      <c r="T348" s="47" t="n"/>
      <c r="U348" s="47" t="n"/>
      <c r="V348" s="47" t="n"/>
      <c r="W348" s="47" t="n"/>
    </row>
    <row r="349" ht="12" customHeight="1">
      <c r="A349" s="30" t="inlineStr">
        <is>
          <t>Areal</t>
        </is>
      </c>
      <c r="B349" s="30" t="n">
        <v>87181855</v>
      </c>
      <c r="C349" s="30">
        <f>"24484514000128"</f>
        <v/>
      </c>
      <c r="D349" s="30" t="inlineStr">
        <is>
          <t>CONATUS  CONSULTORIA E TREINAMENTO EMPRESARIAL EIRELI</t>
        </is>
      </c>
      <c r="E349" s="40" t="n">
        <v>0</v>
      </c>
      <c r="F349" s="40" t="n">
        <v>0</v>
      </c>
      <c r="G349" s="40" t="n">
        <v>0</v>
      </c>
      <c r="H349" s="40" t="n">
        <v>0</v>
      </c>
      <c r="I349" s="40" t="n">
        <v>0</v>
      </c>
      <c r="J349" s="40" t="n">
        <v>0</v>
      </c>
      <c r="K349" s="40" t="n">
        <v>0</v>
      </c>
      <c r="L349" s="40" t="n">
        <v>0</v>
      </c>
      <c r="M349" s="40" t="n">
        <v>0</v>
      </c>
      <c r="N349" s="40" t="n">
        <v>0</v>
      </c>
      <c r="O349" s="40" t="n">
        <v>0</v>
      </c>
      <c r="P349" s="40" t="n">
        <v>0</v>
      </c>
      <c r="Q349" s="40" t="n">
        <v>0</v>
      </c>
      <c r="R349" s="47" t="n"/>
      <c r="S349" s="47" t="n"/>
      <c r="T349" s="47" t="n"/>
      <c r="U349" s="47" t="n"/>
      <c r="V349" s="47" t="n"/>
      <c r="W349" s="47" t="n"/>
    </row>
    <row r="350" ht="12" customHeight="1">
      <c r="A350" s="30" t="inlineStr">
        <is>
          <t>Areal</t>
        </is>
      </c>
      <c r="B350" s="30" t="n">
        <v>87190587</v>
      </c>
      <c r="C350" s="30">
        <f>"09262608000754"</f>
        <v/>
      </c>
      <c r="D350" s="30" t="inlineStr">
        <is>
          <t>TBFORTE SEGURANCA E TRANSPORTE DE VALORES LTDA</t>
        </is>
      </c>
      <c r="E350" s="40" t="n">
        <v>0</v>
      </c>
      <c r="F350" s="40" t="n">
        <v>0</v>
      </c>
      <c r="G350" s="40" t="n">
        <v>0</v>
      </c>
      <c r="H350" s="40" t="n">
        <v>0</v>
      </c>
      <c r="I350" s="40" t="n">
        <v>0</v>
      </c>
      <c r="J350" s="40" t="n">
        <v>0</v>
      </c>
      <c r="K350" s="40" t="n">
        <v>0</v>
      </c>
      <c r="L350" s="40" t="n">
        <v>0</v>
      </c>
      <c r="M350" s="40" t="n">
        <v>0</v>
      </c>
      <c r="N350" s="40" t="n">
        <v>14180.06</v>
      </c>
      <c r="O350" s="40" t="n">
        <v>100</v>
      </c>
      <c r="P350" s="40" t="n">
        <v>27650.18</v>
      </c>
      <c r="Q350" s="40" t="n">
        <v>94.98999999999999</v>
      </c>
      <c r="R350" s="47" t="n"/>
      <c r="S350" s="47" t="n"/>
      <c r="T350" s="47" t="n"/>
      <c r="U350" s="47" t="n"/>
      <c r="V350" s="47" t="n"/>
      <c r="W350" s="47" t="n"/>
    </row>
    <row r="351" ht="12" customHeight="1">
      <c r="A351" s="30" t="inlineStr">
        <is>
          <t>Areal</t>
        </is>
      </c>
      <c r="B351" s="30" t="n">
        <v>87198120</v>
      </c>
      <c r="C351" s="30">
        <f>"23349580000475"</f>
        <v/>
      </c>
      <c r="D351" s="30" t="inlineStr">
        <is>
          <t>LOTUS LOGISTICA INTEGRADA LTDA</t>
        </is>
      </c>
      <c r="E351" s="40" t="n">
        <v>0</v>
      </c>
      <c r="F351" s="40" t="n">
        <v>156.35</v>
      </c>
      <c r="G351" s="40" t="n">
        <v>100</v>
      </c>
      <c r="H351" s="40" t="n">
        <v>0</v>
      </c>
      <c r="I351" s="46" t="n">
        <v>-100</v>
      </c>
      <c r="J351" s="40" t="n">
        <v>0</v>
      </c>
      <c r="K351" s="40" t="n">
        <v>0</v>
      </c>
      <c r="L351" s="40" t="n">
        <v>0</v>
      </c>
      <c r="M351" s="40" t="n">
        <v>0</v>
      </c>
      <c r="N351" s="40" t="n">
        <v>0</v>
      </c>
      <c r="O351" s="40" t="n">
        <v>0</v>
      </c>
      <c r="P351" s="40" t="n">
        <v>0</v>
      </c>
      <c r="Q351" s="40" t="n">
        <v>0</v>
      </c>
      <c r="R351" s="47" t="n"/>
      <c r="S351" s="47" t="n"/>
      <c r="T351" s="47" t="n"/>
      <c r="U351" s="47" t="n"/>
      <c r="V351" s="47" t="n"/>
      <c r="W351" s="47" t="n"/>
    </row>
    <row r="352" ht="12" customHeight="1">
      <c r="A352" s="30" t="inlineStr">
        <is>
          <t>Areal</t>
        </is>
      </c>
      <c r="B352" s="30" t="n">
        <v>87213641</v>
      </c>
      <c r="C352" s="30">
        <f>"74443623000418"</f>
        <v/>
      </c>
      <c r="D352" s="30" t="inlineStr">
        <is>
          <t>OSAKA TRANSPORTES LTDA</t>
        </is>
      </c>
      <c r="E352" s="40" t="n">
        <v>0</v>
      </c>
      <c r="F352" s="40" t="n">
        <v>0</v>
      </c>
      <c r="G352" s="40" t="n">
        <v>0</v>
      </c>
      <c r="H352" s="40" t="n">
        <v>0</v>
      </c>
      <c r="I352" s="40" t="n">
        <v>0</v>
      </c>
      <c r="J352" s="40" t="n">
        <v>0</v>
      </c>
      <c r="K352" s="40" t="n">
        <v>0</v>
      </c>
      <c r="L352" s="40" t="n">
        <v>187.5</v>
      </c>
      <c r="M352" s="40" t="n">
        <v>100</v>
      </c>
      <c r="N352" s="40" t="n">
        <v>0</v>
      </c>
      <c r="O352" s="46" t="n">
        <v>-100</v>
      </c>
      <c r="P352" s="40" t="n">
        <v>0</v>
      </c>
      <c r="Q352" s="40" t="n">
        <v>0</v>
      </c>
      <c r="R352" s="47" t="n"/>
      <c r="S352" s="47" t="n"/>
      <c r="T352" s="47" t="n"/>
      <c r="U352" s="47" t="n"/>
      <c r="V352" s="47" t="n"/>
      <c r="W352" s="47" t="n"/>
    </row>
    <row r="353" ht="12" customHeight="1">
      <c r="A353" s="30" t="inlineStr">
        <is>
          <t>Areal</t>
        </is>
      </c>
      <c r="B353" s="30" t="n">
        <v>87295168</v>
      </c>
      <c r="C353" s="30">
        <f>"26711190000149"</f>
        <v/>
      </c>
      <c r="D353" s="30" t="inlineStr">
        <is>
          <t>ATIVA SAUDE E NUTRICAO ANIMAL COMERCIO E REPRESENTACAO EIRELI ME</t>
        </is>
      </c>
      <c r="E353" s="40" t="n">
        <v>838.8</v>
      </c>
      <c r="F353" s="40" t="n">
        <v>0</v>
      </c>
      <c r="G353" s="46" t="n">
        <v>-100</v>
      </c>
      <c r="H353" s="40" t="n">
        <v>0</v>
      </c>
      <c r="I353" s="40" t="n">
        <v>0</v>
      </c>
      <c r="J353" s="40" t="n">
        <v>0</v>
      </c>
      <c r="K353" s="40" t="n">
        <v>0</v>
      </c>
      <c r="L353" s="40" t="n">
        <v>0</v>
      </c>
      <c r="M353" s="40" t="n">
        <v>0</v>
      </c>
      <c r="N353" s="40" t="n">
        <v>0</v>
      </c>
      <c r="O353" s="40" t="n">
        <v>0</v>
      </c>
      <c r="P353" s="40" t="n">
        <v>0</v>
      </c>
      <c r="Q353" s="40" t="n">
        <v>0</v>
      </c>
      <c r="R353" s="47" t="n"/>
      <c r="S353" s="47" t="n"/>
      <c r="T353" s="47" t="n"/>
      <c r="U353" s="47" t="n"/>
      <c r="V353" s="47" t="n"/>
      <c r="W353" s="47" t="n"/>
    </row>
    <row r="354" ht="12" customHeight="1">
      <c r="A354" s="30" t="inlineStr">
        <is>
          <t>Areal</t>
        </is>
      </c>
      <c r="B354" s="30" t="n">
        <v>87300439</v>
      </c>
      <c r="C354" s="30">
        <f>"26753406000139"</f>
        <v/>
      </c>
      <c r="D354" s="30" t="inlineStr">
        <is>
          <t>TRUCK CAR TRANSPORTES DE VEICULOS E EQUIP EM GERAL LTDA-ME</t>
        </is>
      </c>
      <c r="E354" s="40" t="n">
        <v>0</v>
      </c>
      <c r="F354" s="40" t="n">
        <v>0</v>
      </c>
      <c r="G354" s="40" t="n">
        <v>0</v>
      </c>
      <c r="H354" s="40" t="n">
        <v>0</v>
      </c>
      <c r="I354" s="40" t="n">
        <v>0</v>
      </c>
      <c r="J354" s="40" t="n">
        <v>0</v>
      </c>
      <c r="K354" s="40" t="n">
        <v>0</v>
      </c>
      <c r="L354" s="40" t="n">
        <v>0</v>
      </c>
      <c r="M354" s="40" t="n">
        <v>0</v>
      </c>
      <c r="N354" s="40" t="n">
        <v>0</v>
      </c>
      <c r="O354" s="40" t="n">
        <v>0</v>
      </c>
      <c r="P354" s="40" t="n">
        <v>0</v>
      </c>
      <c r="Q354" s="40" t="n">
        <v>0</v>
      </c>
      <c r="R354" s="47" t="n"/>
      <c r="S354" s="47" t="n"/>
      <c r="T354" s="47" t="n"/>
      <c r="U354" s="47" t="n"/>
      <c r="V354" s="47" t="n"/>
      <c r="W354" s="47" t="n"/>
    </row>
    <row r="355" ht="12" customHeight="1">
      <c r="A355" s="30" t="inlineStr">
        <is>
          <t>Areal</t>
        </is>
      </c>
      <c r="B355" s="30" t="n">
        <v>87310620</v>
      </c>
      <c r="C355" s="30">
        <f>"01991170000148"</f>
        <v/>
      </c>
      <c r="D355" s="30" t="inlineStr">
        <is>
          <t>ANSWER CONSULTORIA LTDA - ME</t>
        </is>
      </c>
      <c r="E355" s="40" t="n">
        <v>30612.69</v>
      </c>
      <c r="F355" s="40" t="n">
        <v>0</v>
      </c>
      <c r="G355" s="46" t="n">
        <v>-100</v>
      </c>
      <c r="H355" s="40" t="n">
        <v>0</v>
      </c>
      <c r="I355" s="40" t="n">
        <v>0</v>
      </c>
      <c r="J355" s="40" t="n">
        <v>0</v>
      </c>
      <c r="K355" s="40" t="n">
        <v>0</v>
      </c>
      <c r="L355" s="40" t="n">
        <v>0</v>
      </c>
      <c r="M355" s="40" t="n">
        <v>0</v>
      </c>
      <c r="N355" s="40" t="n">
        <v>0</v>
      </c>
      <c r="O355" s="40" t="n">
        <v>0</v>
      </c>
      <c r="P355" s="40" t="n">
        <v>0</v>
      </c>
      <c r="Q355" s="40" t="n">
        <v>0</v>
      </c>
      <c r="R355" s="47" t="n"/>
      <c r="S355" s="47" t="n"/>
      <c r="T355" s="47" t="n"/>
      <c r="U355" s="47" t="n"/>
      <c r="V355" s="47" t="n"/>
      <c r="W355" s="47" t="n"/>
    </row>
    <row r="356" ht="12" customHeight="1">
      <c r="A356" s="30" t="inlineStr">
        <is>
          <t>Areal</t>
        </is>
      </c>
      <c r="B356" s="30" t="n">
        <v>87321177</v>
      </c>
      <c r="C356" s="30">
        <f>"57906711000228"</f>
        <v/>
      </c>
      <c r="D356" s="30" t="inlineStr">
        <is>
          <t>TDB TRANSPORTE E DISTRIBUICAO DE BENS LTDA</t>
        </is>
      </c>
      <c r="E356" s="40" t="n">
        <v>0</v>
      </c>
      <c r="F356" s="40" t="n">
        <v>0</v>
      </c>
      <c r="G356" s="40" t="n">
        <v>0</v>
      </c>
      <c r="H356" s="40" t="n">
        <v>54.86</v>
      </c>
      <c r="I356" s="40" t="n">
        <v>100</v>
      </c>
      <c r="J356" s="40" t="n">
        <v>0</v>
      </c>
      <c r="K356" s="46" t="n">
        <v>-100</v>
      </c>
      <c r="L356" s="40" t="n">
        <v>0</v>
      </c>
      <c r="M356" s="40" t="n">
        <v>0</v>
      </c>
      <c r="N356" s="40" t="n">
        <v>0</v>
      </c>
      <c r="O356" s="40" t="n">
        <v>0</v>
      </c>
      <c r="P356" s="40" t="n">
        <v>0</v>
      </c>
      <c r="Q356" s="40" t="n">
        <v>0</v>
      </c>
      <c r="R356" s="47" t="n"/>
      <c r="S356" s="47" t="n"/>
      <c r="T356" s="47" t="n"/>
      <c r="U356" s="47" t="n"/>
      <c r="V356" s="47" t="n"/>
      <c r="W356" s="47" t="n"/>
    </row>
    <row r="357" ht="12" customHeight="1">
      <c r="A357" s="30" t="inlineStr">
        <is>
          <t>Areal</t>
        </is>
      </c>
      <c r="B357" s="30" t="n">
        <v>87326543</v>
      </c>
      <c r="C357" s="30">
        <f>"13214075000117"</f>
        <v/>
      </c>
      <c r="D357" s="30" t="inlineStr">
        <is>
          <t>PROLOG TRANSPORTES E LOGISTICA LTDA ME</t>
        </is>
      </c>
      <c r="E357" s="40" t="n">
        <v>0</v>
      </c>
      <c r="F357" s="40" t="n">
        <v>0</v>
      </c>
      <c r="G357" s="40" t="n">
        <v>0</v>
      </c>
      <c r="H357" s="40" t="n">
        <v>0</v>
      </c>
      <c r="I357" s="40" t="n">
        <v>0</v>
      </c>
      <c r="J357" s="40" t="n">
        <v>0</v>
      </c>
      <c r="K357" s="40" t="n">
        <v>0</v>
      </c>
      <c r="L357" s="40" t="n">
        <v>0</v>
      </c>
      <c r="M357" s="40" t="n">
        <v>0</v>
      </c>
      <c r="N357" s="40" t="n">
        <v>0</v>
      </c>
      <c r="O357" s="40" t="n">
        <v>0</v>
      </c>
      <c r="P357" s="40" t="n">
        <v>50</v>
      </c>
      <c r="Q357" s="40" t="n">
        <v>100</v>
      </c>
      <c r="R357" s="47" t="n"/>
      <c r="S357" s="47" t="n"/>
      <c r="T357" s="47" t="n"/>
      <c r="U357" s="47" t="n"/>
      <c r="V357" s="47" t="n"/>
      <c r="W357" s="47" t="n"/>
    </row>
    <row r="358" ht="12" customHeight="1">
      <c r="A358" s="30" t="inlineStr">
        <is>
          <t>Areal</t>
        </is>
      </c>
      <c r="B358" s="30" t="n">
        <v>87331059</v>
      </c>
      <c r="C358" s="30">
        <f>"27310529000168"</f>
        <v/>
      </c>
      <c r="D358" s="30" t="inlineStr">
        <is>
          <t>SH TRANSPORTE E LOGISTICA EIRELI ME</t>
        </is>
      </c>
      <c r="E358" s="40" t="n">
        <v>0</v>
      </c>
      <c r="F358" s="40" t="n">
        <v>0</v>
      </c>
      <c r="G358" s="40" t="n">
        <v>0</v>
      </c>
      <c r="H358" s="40" t="n">
        <v>0</v>
      </c>
      <c r="I358" s="40" t="n">
        <v>0</v>
      </c>
      <c r="J358" s="40" t="n">
        <v>0</v>
      </c>
      <c r="K358" s="40" t="n">
        <v>0</v>
      </c>
      <c r="L358" s="40" t="n">
        <v>0</v>
      </c>
      <c r="M358" s="40" t="n">
        <v>0</v>
      </c>
      <c r="N358" s="40" t="n">
        <v>0</v>
      </c>
      <c r="O358" s="40" t="n">
        <v>0</v>
      </c>
      <c r="P358" s="40" t="n">
        <v>8085.33</v>
      </c>
      <c r="Q358" s="40" t="n">
        <v>100</v>
      </c>
      <c r="R358" s="47" t="n"/>
      <c r="S358" s="47" t="n"/>
      <c r="T358" s="47" t="n"/>
      <c r="U358" s="47" t="n"/>
      <c r="V358" s="47" t="n"/>
      <c r="W358" s="47" t="n"/>
    </row>
    <row r="359" ht="12" customHeight="1">
      <c r="A359" s="30" t="inlineStr">
        <is>
          <t>Areal</t>
        </is>
      </c>
      <c r="B359" s="30" t="n">
        <v>87342425</v>
      </c>
      <c r="C359" s="30">
        <f>"14120369000223"</f>
        <v/>
      </c>
      <c r="D359" s="30" t="inlineStr">
        <is>
          <t>JARBAS GONCALVES DIAS EIRELI</t>
        </is>
      </c>
      <c r="E359" s="40" t="n">
        <v>0</v>
      </c>
      <c r="F359" s="40" t="n">
        <v>110.01</v>
      </c>
      <c r="G359" s="40" t="n">
        <v>100</v>
      </c>
      <c r="H359" s="40" t="n">
        <v>0</v>
      </c>
      <c r="I359" s="46" t="n">
        <v>-100</v>
      </c>
      <c r="J359" s="40" t="n">
        <v>0</v>
      </c>
      <c r="K359" s="40" t="n">
        <v>0</v>
      </c>
      <c r="L359" s="40" t="n">
        <v>0</v>
      </c>
      <c r="M359" s="40" t="n">
        <v>0</v>
      </c>
      <c r="N359" s="40" t="n">
        <v>0</v>
      </c>
      <c r="O359" s="40" t="n">
        <v>0</v>
      </c>
      <c r="P359" s="40" t="n">
        <v>0</v>
      </c>
      <c r="Q359" s="40" t="n">
        <v>0</v>
      </c>
      <c r="R359" s="47" t="n"/>
      <c r="S359" s="47" t="n"/>
      <c r="T359" s="47" t="n"/>
      <c r="U359" s="47" t="n"/>
      <c r="V359" s="47" t="n"/>
      <c r="W359" s="47" t="n"/>
    </row>
    <row r="360" ht="12" customHeight="1">
      <c r="A360" s="30" t="inlineStr">
        <is>
          <t>Areal</t>
        </is>
      </c>
      <c r="B360" s="30" t="n">
        <v>87354741</v>
      </c>
      <c r="C360" s="30">
        <f>"89823918003755"</f>
        <v/>
      </c>
      <c r="D360" s="30" t="inlineStr">
        <is>
          <t>TRANSPORTES TRANSLOVATO LTDA</t>
        </is>
      </c>
      <c r="E360" s="40" t="n">
        <v>0</v>
      </c>
      <c r="F360" s="40" t="n">
        <v>0</v>
      </c>
      <c r="G360" s="40" t="n">
        <v>0</v>
      </c>
      <c r="H360" s="40" t="n">
        <v>0</v>
      </c>
      <c r="I360" s="40" t="n">
        <v>0</v>
      </c>
      <c r="J360" s="40" t="n">
        <v>0</v>
      </c>
      <c r="K360" s="40" t="n">
        <v>0</v>
      </c>
      <c r="L360" s="40" t="n">
        <v>0</v>
      </c>
      <c r="M360" s="40" t="n">
        <v>0</v>
      </c>
      <c r="N360" s="40" t="n">
        <v>81.75</v>
      </c>
      <c r="O360" s="40" t="n">
        <v>100</v>
      </c>
      <c r="P360" s="40" t="n">
        <v>97.3</v>
      </c>
      <c r="Q360" s="40" t="n">
        <v>19.02</v>
      </c>
      <c r="R360" s="47" t="n"/>
      <c r="S360" s="47" t="n"/>
      <c r="T360" s="47" t="n"/>
      <c r="U360" s="47" t="n"/>
      <c r="V360" s="47" t="n"/>
      <c r="W360" s="47" t="n"/>
    </row>
    <row r="361" ht="12" customHeight="1">
      <c r="A361" s="30" t="inlineStr">
        <is>
          <t>Areal</t>
        </is>
      </c>
      <c r="B361" s="30" t="n">
        <v>87363210</v>
      </c>
      <c r="C361" s="30">
        <f>"27376400000152"</f>
        <v/>
      </c>
      <c r="D361" s="30" t="inlineStr">
        <is>
          <t>DREAM FARM AGRONEGOCIOS LTDA</t>
        </is>
      </c>
      <c r="E361" s="40" t="n">
        <v>0</v>
      </c>
      <c r="F361" s="40" t="n">
        <v>0</v>
      </c>
      <c r="G361" s="40" t="n">
        <v>0</v>
      </c>
      <c r="H361" s="40" t="n">
        <v>0</v>
      </c>
      <c r="I361" s="40" t="n">
        <v>0</v>
      </c>
      <c r="J361" s="40" t="n">
        <v>0</v>
      </c>
      <c r="K361" s="40" t="n">
        <v>0</v>
      </c>
      <c r="L361" s="40" t="n">
        <v>0</v>
      </c>
      <c r="M361" s="40" t="n">
        <v>0</v>
      </c>
      <c r="N361" s="40" t="n">
        <v>0</v>
      </c>
      <c r="O361" s="40" t="n">
        <v>0</v>
      </c>
      <c r="P361" s="40" t="n">
        <v>0</v>
      </c>
      <c r="Q361" s="40" t="n">
        <v>0</v>
      </c>
      <c r="R361" s="47" t="n"/>
      <c r="S361" s="47" t="n"/>
      <c r="T361" s="47" t="n"/>
      <c r="U361" s="47" t="n"/>
      <c r="V361" s="47" t="n"/>
      <c r="W361" s="47" t="n"/>
    </row>
    <row r="362" ht="12" customHeight="1">
      <c r="A362" s="30" t="inlineStr">
        <is>
          <t>Areal</t>
        </is>
      </c>
      <c r="B362" s="30" t="n">
        <v>87379582</v>
      </c>
      <c r="C362" s="30">
        <f>"18233211001535"</f>
        <v/>
      </c>
      <c r="D362" s="30" t="inlineStr">
        <is>
          <t>FL BRASIL HOLDING LOGISTICA E TRANSPORTE LTDA</t>
        </is>
      </c>
      <c r="E362" s="40" t="n">
        <v>0</v>
      </c>
      <c r="F362" s="40" t="n">
        <v>27397.95</v>
      </c>
      <c r="G362" s="40" t="n">
        <v>100</v>
      </c>
      <c r="H362" s="40" t="n">
        <v>76370.86</v>
      </c>
      <c r="I362" s="40" t="n">
        <v>178.75</v>
      </c>
      <c r="J362" s="40" t="n">
        <v>2782.34</v>
      </c>
      <c r="K362" s="46" t="n">
        <v>-96.36</v>
      </c>
      <c r="L362" s="40" t="n">
        <v>18958.34</v>
      </c>
      <c r="M362" s="40" t="n">
        <v>581.38</v>
      </c>
      <c r="N362" s="40" t="n">
        <v>566.79</v>
      </c>
      <c r="O362" s="46" t="n">
        <v>-97.01000000000001</v>
      </c>
      <c r="P362" s="40" t="n">
        <v>50964.39</v>
      </c>
      <c r="Q362" s="40" t="n">
        <v>8891.76</v>
      </c>
      <c r="R362" s="47" t="n"/>
      <c r="S362" s="47" t="n"/>
      <c r="T362" s="47" t="n"/>
      <c r="U362" s="47" t="n"/>
      <c r="V362" s="47" t="n"/>
      <c r="W362" s="47" t="n"/>
    </row>
    <row r="363" ht="12" customHeight="1">
      <c r="A363" s="30" t="inlineStr">
        <is>
          <t>Areal</t>
        </is>
      </c>
      <c r="B363" s="30" t="n">
        <v>87399680</v>
      </c>
      <c r="C363" s="30">
        <f>"11928716000331"</f>
        <v/>
      </c>
      <c r="D363" s="30" t="inlineStr">
        <is>
          <t>NIQUINI LOGISTICA E ADMINISTRACAO LTDA</t>
        </is>
      </c>
      <c r="E363" s="40" t="n">
        <v>0</v>
      </c>
      <c r="F363" s="40" t="n">
        <v>0</v>
      </c>
      <c r="G363" s="40" t="n">
        <v>0</v>
      </c>
      <c r="H363" s="40" t="n">
        <v>0</v>
      </c>
      <c r="I363" s="40" t="n">
        <v>0</v>
      </c>
      <c r="J363" s="40" t="n">
        <v>272.83</v>
      </c>
      <c r="K363" s="40" t="n">
        <v>100</v>
      </c>
      <c r="L363" s="40" t="n">
        <v>272.83</v>
      </c>
      <c r="M363" s="40" t="n">
        <v>0</v>
      </c>
      <c r="N363" s="40" t="n">
        <v>0</v>
      </c>
      <c r="O363" s="46" t="n">
        <v>-100</v>
      </c>
      <c r="P363" s="40" t="n">
        <v>0</v>
      </c>
      <c r="Q363" s="40" t="n">
        <v>0</v>
      </c>
      <c r="R363" s="47" t="n"/>
      <c r="S363" s="47" t="n"/>
      <c r="T363" s="47" t="n"/>
      <c r="U363" s="47" t="n"/>
      <c r="V363" s="47" t="n"/>
      <c r="W363" s="47" t="n"/>
    </row>
    <row r="364" ht="12" customHeight="1">
      <c r="A364" s="30" t="inlineStr">
        <is>
          <t>Areal</t>
        </is>
      </c>
      <c r="B364" s="30" t="n">
        <v>87427978</v>
      </c>
      <c r="C364" s="30">
        <f>"24217653000357"</f>
        <v/>
      </c>
      <c r="D364" s="30" t="inlineStr">
        <is>
          <t>L4B LOGISTICA LTDA</t>
        </is>
      </c>
      <c r="E364" s="40" t="n">
        <v>0</v>
      </c>
      <c r="F364" s="40" t="n">
        <v>0</v>
      </c>
      <c r="G364" s="40" t="n">
        <v>0</v>
      </c>
      <c r="H364" s="40" t="n">
        <v>0</v>
      </c>
      <c r="I364" s="40" t="n">
        <v>0</v>
      </c>
      <c r="J364" s="40" t="n">
        <v>0</v>
      </c>
      <c r="K364" s="40" t="n">
        <v>0</v>
      </c>
      <c r="L364" s="40" t="n">
        <v>0</v>
      </c>
      <c r="M364" s="40" t="n">
        <v>0</v>
      </c>
      <c r="N364" s="40" t="n">
        <v>15497.5</v>
      </c>
      <c r="O364" s="40" t="n">
        <v>100</v>
      </c>
      <c r="P364" s="40" t="n">
        <v>16050.08</v>
      </c>
      <c r="Q364" s="40" t="n">
        <v>3.57</v>
      </c>
      <c r="R364" s="47" t="n"/>
      <c r="S364" s="47" t="n"/>
      <c r="T364" s="47" t="n"/>
      <c r="U364" s="47" t="n"/>
      <c r="V364" s="47" t="n"/>
      <c r="W364" s="47" t="n"/>
    </row>
    <row r="365" ht="12" customHeight="1">
      <c r="A365" s="30" t="inlineStr">
        <is>
          <t>Areal</t>
        </is>
      </c>
      <c r="B365" s="30" t="n">
        <v>92002420</v>
      </c>
      <c r="C365" s="30">
        <f>"00497373000110"</f>
        <v/>
      </c>
      <c r="D365" s="30" t="inlineStr">
        <is>
          <t>SKY SERVICOS DE BANDA LARGA LTDA.</t>
        </is>
      </c>
      <c r="E365" s="40" t="n">
        <v>330496.5</v>
      </c>
      <c r="F365" s="40" t="n">
        <v>460113.87</v>
      </c>
      <c r="G365" s="40" t="n">
        <v>39.22</v>
      </c>
      <c r="H365" s="40" t="n">
        <v>537787.85</v>
      </c>
      <c r="I365" s="40" t="n">
        <v>16.88</v>
      </c>
      <c r="J365" s="40" t="n">
        <v>533817.12</v>
      </c>
      <c r="K365" s="46" t="n">
        <v>-0.74</v>
      </c>
      <c r="L365" s="40" t="n">
        <v>492526.12</v>
      </c>
      <c r="M365" s="46" t="n">
        <v>-7.74</v>
      </c>
      <c r="N365" s="40" t="n">
        <v>450767.64</v>
      </c>
      <c r="O365" s="46" t="n">
        <v>-8.48</v>
      </c>
      <c r="P365" s="40" t="n">
        <v>408679.14</v>
      </c>
      <c r="Q365" s="46" t="n">
        <v>-9.34</v>
      </c>
      <c r="R365" s="47" t="n"/>
      <c r="S365" s="47" t="n"/>
      <c r="T365" s="47" t="n"/>
      <c r="U365" s="47" t="n"/>
      <c r="V365" s="47" t="n"/>
      <c r="W365" s="47" t="n"/>
    </row>
    <row r="366" ht="12" customHeight="1">
      <c r="A366" s="30" t="inlineStr">
        <is>
          <t>Areal</t>
        </is>
      </c>
      <c r="B366" s="30" t="n">
        <v>92006654</v>
      </c>
      <c r="C366" s="30">
        <f>"72820822000120"</f>
        <v/>
      </c>
      <c r="D366" s="30" t="inlineStr">
        <is>
          <t>SKY BRASIL SERVICOS LTDA</t>
        </is>
      </c>
      <c r="E366" s="40" t="n">
        <v>30151.29</v>
      </c>
      <c r="F366" s="40" t="n">
        <v>0</v>
      </c>
      <c r="G366" s="46" t="n">
        <v>-100</v>
      </c>
      <c r="H366" s="40" t="n">
        <v>0</v>
      </c>
      <c r="I366" s="40" t="n">
        <v>0</v>
      </c>
      <c r="J366" s="40" t="n">
        <v>0</v>
      </c>
      <c r="K366" s="40" t="n">
        <v>0</v>
      </c>
      <c r="L366" s="40" t="n">
        <v>0</v>
      </c>
      <c r="M366" s="40" t="n">
        <v>0</v>
      </c>
      <c r="N366" s="40" t="n">
        <v>0</v>
      </c>
      <c r="O366" s="40" t="n">
        <v>0</v>
      </c>
      <c r="P366" s="40" t="n">
        <v>0</v>
      </c>
      <c r="Q366" s="40" t="n">
        <v>0</v>
      </c>
      <c r="R366" s="47" t="n"/>
      <c r="S366" s="47" t="n"/>
      <c r="T366" s="47" t="n"/>
      <c r="U366" s="47" t="n"/>
      <c r="V366" s="47" t="n"/>
      <c r="W366" s="47" t="n"/>
    </row>
    <row r="367" ht="12" customHeight="1">
      <c r="A367" s="30" t="inlineStr">
        <is>
          <t>Areal</t>
        </is>
      </c>
      <c r="B367" s="30" t="n">
        <v>92035956</v>
      </c>
      <c r="C367" s="30">
        <f>"05206385000404"</f>
        <v/>
      </c>
      <c r="D367" s="30" t="inlineStr">
        <is>
          <t>HUGHES TELECOMUNICACOES DO BRASIL LTDA.</t>
        </is>
      </c>
      <c r="E367" s="40" t="n">
        <v>49271.21</v>
      </c>
      <c r="F367" s="40" t="n">
        <v>99205.53999999999</v>
      </c>
      <c r="G367" s="40" t="n">
        <v>101.35</v>
      </c>
      <c r="H367" s="40" t="n">
        <v>118937.04</v>
      </c>
      <c r="I367" s="40" t="n">
        <v>19.89</v>
      </c>
      <c r="J367" s="40" t="n">
        <v>97189.78</v>
      </c>
      <c r="K367" s="46" t="n">
        <v>-18.28</v>
      </c>
      <c r="L367" s="40" t="n">
        <v>0</v>
      </c>
      <c r="M367" s="46" t="n">
        <v>-100</v>
      </c>
      <c r="N367" s="40" t="n">
        <v>0</v>
      </c>
      <c r="O367" s="40" t="n">
        <v>0</v>
      </c>
      <c r="P367" s="40" t="n">
        <v>0</v>
      </c>
      <c r="Q367" s="40" t="n">
        <v>0</v>
      </c>
      <c r="R367" s="47" t="n"/>
      <c r="S367" s="47" t="n"/>
      <c r="T367" s="47" t="n"/>
      <c r="U367" s="47" t="n"/>
      <c r="V367" s="47" t="n"/>
      <c r="W367" s="47" t="n"/>
    </row>
    <row r="368" ht="12" customHeight="1">
      <c r="A368" s="30" t="inlineStr">
        <is>
          <t>Areal</t>
        </is>
      </c>
      <c r="B368" s="30" t="n">
        <v>99199997</v>
      </c>
      <c r="C368" s="30">
        <f>"42498675000152"</f>
        <v/>
      </c>
      <c r="D368" s="30" t="inlineStr">
        <is>
          <t>RF 9999 SUPERINTENDENCIA ESTADUAL CADASTRO E INF ECON FISCAIS</t>
        </is>
      </c>
      <c r="E368" s="40" t="n">
        <v>366546.2</v>
      </c>
      <c r="F368" s="40" t="n">
        <v>2566015.19</v>
      </c>
      <c r="G368" s="40" t="n">
        <v>600.05</v>
      </c>
      <c r="H368" s="40" t="n">
        <v>2780153.23</v>
      </c>
      <c r="I368" s="40" t="n">
        <v>8.35</v>
      </c>
      <c r="J368" s="40" t="n">
        <v>1975554.9</v>
      </c>
      <c r="K368" s="46" t="n">
        <v>-28.94</v>
      </c>
      <c r="L368" s="40" t="n">
        <v>2060691.15</v>
      </c>
      <c r="M368" s="40" t="n">
        <v>4.31</v>
      </c>
      <c r="N368" s="40" t="n">
        <v>2674852.57</v>
      </c>
      <c r="O368" s="40" t="n">
        <v>29.8</v>
      </c>
      <c r="P368" s="40" t="n">
        <v>2877669.86</v>
      </c>
      <c r="Q368" s="40" t="n">
        <v>7.58</v>
      </c>
      <c r="R368" s="47" t="n"/>
      <c r="S368" s="47" t="n"/>
      <c r="T368" s="47" t="n"/>
      <c r="U368" s="47" t="n"/>
      <c r="V368" s="47" t="n"/>
      <c r="W368" s="47" t="n"/>
    </row>
    <row r="369" ht="12" customHeight="1">
      <c r="C369" s="8">
        <f>SUBTOTAL(103,TB_Var_ARE[CPF_CNPJ])</f>
        <v/>
      </c>
      <c r="E369" s="41">
        <f>SUBTOTAL(109,TB_Var_ARE[2017 R$])</f>
        <v/>
      </c>
      <c r="F369" s="41">
        <f>SUBTOTAL(109,TB_Var_ARE[2018 R$])</f>
        <v/>
      </c>
      <c r="G369" s="8" t="n"/>
      <c r="H369" s="41">
        <f>SUBTOTAL(109,TB_Var_ARE[2019 R$])</f>
        <v/>
      </c>
      <c r="I369" s="8" t="n"/>
      <c r="J369" s="41">
        <f>SUBTOTAL(109,TB_Var_ARE[2020 R$])</f>
        <v/>
      </c>
      <c r="K369" s="8" t="n"/>
      <c r="L369" s="41">
        <f>SUBTOTAL(109,TB_Var_ARE[2021 R$])</f>
        <v/>
      </c>
      <c r="M369" s="8" t="n"/>
      <c r="N369" s="41">
        <f>SUBTOTAL(109,TB_Var_ARE[2022 R$])</f>
        <v/>
      </c>
      <c r="O369" s="8" t="n"/>
      <c r="P369" s="41">
        <f>SUBTOTAL(109,TB_Var_ARE[2023 R$])</f>
        <v/>
      </c>
      <c r="Q369" s="8" t="n"/>
    </row>
  </sheetData>
  <pageMargins left="0.3937007874015748" right="0" top="0.3937007874015748" bottom="0.1968503937007874" header="0.1968503937007874" footer="0"/>
  <pageSetup orientation="landscape" paperSize="9" scale="56"/>
  <headerFooter>
    <oddHeader>&amp;C&amp;"Arial,Normal"&amp;8 &amp;P / &amp;N</oddHeader>
    <oddFooter/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1394"/>
  <sheetViews>
    <sheetView zoomScaleNormal="100" workbookViewId="0">
      <pane xSplit="2" ySplit="6" topLeftCell="C1370" activePane="bottomRight" state="frozen"/>
      <selection pane="topRight" activeCell="C1" sqref="C1"/>
      <selection pane="bottomLeft" activeCell="A7" sqref="A7"/>
      <selection pane="bottomRight" activeCell="A7" sqref="A7:Q1393"/>
    </sheetView>
  </sheetViews>
  <sheetFormatPr baseColWidth="8" defaultRowHeight="12" customHeight="1"/>
  <cols>
    <col width="11" customWidth="1" style="1" min="1" max="1"/>
    <col width="9.7109375" customWidth="1" style="1" min="2" max="2"/>
    <col width="15.7109375" customWidth="1" style="1" min="3" max="3"/>
    <col width="51.7109375" customWidth="1" style="5" min="4" max="4"/>
    <col width="15.7109375" customWidth="1" style="1" min="5" max="6"/>
    <col width="9.7109375" customWidth="1" style="1" min="7" max="7"/>
    <col width="15.7109375" customWidth="1" style="1" min="8" max="8"/>
    <col width="9.7109375" customWidth="1" style="1" min="9" max="9"/>
    <col width="15.7109375" customWidth="1" style="1" min="10" max="10"/>
    <col width="9.7109375" customWidth="1" style="1" min="11" max="11"/>
    <col width="15.7109375" customWidth="1" style="1" min="12" max="12"/>
    <col width="9.7109375" customWidth="1" style="1" min="13" max="13"/>
    <col width="15.7109375" customWidth="1" style="1" min="14" max="14"/>
    <col width="9.7109375" customWidth="1" style="1" min="15" max="15"/>
    <col width="15.7109375" customWidth="1" style="1" min="16" max="16"/>
    <col width="9.7109375" customWidth="1" style="1" min="17" max="17"/>
    <col width="9.140625" customWidth="1" style="1" min="18" max="176"/>
    <col width="9.140625" customWidth="1" style="1" min="177" max="16384"/>
  </cols>
  <sheetData>
    <row r="1" ht="15" customFormat="1" customHeight="1" s="16">
      <c r="A1" s="33" t="inlineStr">
        <is>
          <t>ANÁLISE DO VALOR ADICIONADO POR MUNICÍPIO</t>
        </is>
      </c>
      <c r="B1" s="33" t="n"/>
      <c r="C1" s="33" t="n"/>
      <c r="D1" s="33" t="n"/>
      <c r="E1" s="33" t="n"/>
      <c r="F1" s="33" t="n"/>
      <c r="G1" s="33" t="n"/>
    </row>
    <row r="2" ht="15" customFormat="1" customHeight="1" s="10">
      <c r="A2" s="34" t="inlineStr">
        <is>
          <t>Relatório - Município / Evolução Comparativa Exercício</t>
        </is>
      </c>
      <c r="B2" s="34" t="n"/>
      <c r="C2" s="34" t="n"/>
      <c r="D2" s="34" t="n"/>
      <c r="E2" s="34" t="n"/>
      <c r="F2" s="34" t="n"/>
      <c r="G2" s="34" t="n"/>
    </row>
    <row r="3" ht="15" customHeight="1">
      <c r="A3" s="10" t="inlineStr">
        <is>
          <t>Município - ITAGUAÍ</t>
        </is>
      </c>
      <c r="E3" s="42" t="n"/>
      <c r="F3" s="42" t="n"/>
      <c r="G3" s="42" t="n"/>
      <c r="H3" s="42" t="n"/>
      <c r="I3" s="42" t="n"/>
      <c r="J3" s="42" t="n"/>
      <c r="K3" s="42" t="n"/>
    </row>
    <row r="4" ht="15" customFormat="1" customHeight="1" s="8">
      <c r="A4" s="28" t="n"/>
      <c r="D4" s="5" t="n"/>
    </row>
    <row r="5" ht="15" customHeight="1">
      <c r="A5" s="5" t="n"/>
    </row>
    <row r="6" ht="24" customHeight="1">
      <c r="A6" s="22" t="inlineStr">
        <is>
          <t>MUNICIPIO</t>
        </is>
      </c>
      <c r="B6" s="23" t="inlineStr">
        <is>
          <t>InscEst</t>
        </is>
      </c>
      <c r="C6" s="23" t="inlineStr">
        <is>
          <t>CPF_CNPJ</t>
        </is>
      </c>
      <c r="D6" s="24" t="inlineStr">
        <is>
          <t>RazSoc</t>
        </is>
      </c>
      <c r="E6" s="29" t="inlineStr">
        <is>
          <t>2017 R$</t>
        </is>
      </c>
      <c r="F6" s="23" t="inlineStr">
        <is>
          <t>2018 R$</t>
        </is>
      </c>
      <c r="G6" s="23" t="inlineStr">
        <is>
          <t>17/18 %</t>
        </is>
      </c>
      <c r="H6" s="23" t="inlineStr">
        <is>
          <t>2019 R$</t>
        </is>
      </c>
      <c r="I6" s="23" t="inlineStr">
        <is>
          <t>18/19 %</t>
        </is>
      </c>
      <c r="J6" s="23" t="inlineStr">
        <is>
          <t>2020 R$</t>
        </is>
      </c>
      <c r="K6" s="23" t="inlineStr">
        <is>
          <t>19/20 %</t>
        </is>
      </c>
      <c r="L6" s="23" t="inlineStr">
        <is>
          <t>2021 R$</t>
        </is>
      </c>
      <c r="M6" s="23" t="inlineStr">
        <is>
          <t>20/21 %</t>
        </is>
      </c>
      <c r="N6" s="23" t="inlineStr">
        <is>
          <t>2022 R$</t>
        </is>
      </c>
      <c r="O6" s="23" t="inlineStr">
        <is>
          <t>21/22 %</t>
        </is>
      </c>
      <c r="P6" s="23" t="inlineStr">
        <is>
          <t>2023 R$</t>
        </is>
      </c>
      <c r="Q6" s="23" t="inlineStr">
        <is>
          <t>22/23 %</t>
        </is>
      </c>
    </row>
    <row r="7" ht="12" customHeight="1">
      <c r="A7" s="30" t="inlineStr">
        <is>
          <t>Itaguai</t>
        </is>
      </c>
      <c r="B7" s="30" t="n">
        <v>11008160</v>
      </c>
      <c r="C7" s="30">
        <f>"23791339000159"</f>
        <v/>
      </c>
      <c r="D7" s="30" t="inlineStr">
        <is>
          <t>SAO FERNANDO EMPREENDIMENTOS IMOBILIARIOS SPE LTDA</t>
        </is>
      </c>
      <c r="E7" s="40" t="n">
        <v>0</v>
      </c>
      <c r="F7" s="40" t="n">
        <v>0</v>
      </c>
      <c r="G7" s="40" t="n">
        <v>0</v>
      </c>
      <c r="H7" s="40" t="n">
        <v>0</v>
      </c>
      <c r="I7" s="40" t="n">
        <v>0</v>
      </c>
      <c r="J7" s="40" t="n">
        <v>0</v>
      </c>
      <c r="K7" s="40" t="n">
        <v>0</v>
      </c>
      <c r="L7" s="40" t="n">
        <v>0</v>
      </c>
      <c r="M7" s="40" t="n">
        <v>0</v>
      </c>
      <c r="N7" s="40" t="n">
        <v>0</v>
      </c>
      <c r="O7" s="40" t="n">
        <v>0</v>
      </c>
      <c r="P7" s="40" t="n">
        <v>0</v>
      </c>
      <c r="Q7" s="40" t="n">
        <v>0</v>
      </c>
      <c r="R7" s="47" t="n"/>
      <c r="S7" s="47" t="n"/>
      <c r="T7" s="47" t="n"/>
      <c r="U7" s="47" t="n"/>
      <c r="V7" s="47" t="n"/>
      <c r="W7" s="47" t="n"/>
    </row>
    <row r="8" ht="12" customHeight="1">
      <c r="A8" s="30" t="inlineStr">
        <is>
          <t>Itaguai</t>
        </is>
      </c>
      <c r="B8" s="30" t="n">
        <v>11024602</v>
      </c>
      <c r="C8" s="30">
        <f>"29268750000120"</f>
        <v/>
      </c>
      <c r="D8" s="30" t="inlineStr">
        <is>
          <t>M. P. DE GASPERI RESTAURANTE EIRELI</t>
        </is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>
        <v>0</v>
      </c>
      <c r="N8" s="40" t="n">
        <v>0</v>
      </c>
      <c r="O8" s="40" t="n">
        <v>0</v>
      </c>
      <c r="P8" s="40" t="n">
        <v>0</v>
      </c>
      <c r="Q8" s="40" t="n">
        <v>0</v>
      </c>
      <c r="R8" s="47" t="n"/>
      <c r="S8" s="47" t="n"/>
      <c r="T8" s="47" t="n"/>
      <c r="U8" s="47" t="n"/>
      <c r="V8" s="47" t="n"/>
      <c r="W8" s="47" t="n"/>
    </row>
    <row r="9" ht="12" customHeight="1">
      <c r="A9" s="30" t="inlineStr">
        <is>
          <t>Itaguai</t>
        </is>
      </c>
      <c r="B9" s="30" t="n">
        <v>11025641</v>
      </c>
      <c r="C9" s="30">
        <f>"22883593001196"</f>
        <v/>
      </c>
      <c r="D9" s="30" t="inlineStr">
        <is>
          <t>EFFICAX TRANSPORTES LTDA</t>
        </is>
      </c>
      <c r="E9" s="40" t="n">
        <v>0</v>
      </c>
      <c r="F9" s="40" t="n">
        <v>24676.65</v>
      </c>
      <c r="G9" s="40" t="n">
        <v>100</v>
      </c>
      <c r="H9" s="40" t="n">
        <v>0</v>
      </c>
      <c r="I9" s="46" t="n">
        <v>-100</v>
      </c>
      <c r="J9" s="40" t="n">
        <v>0</v>
      </c>
      <c r="K9" s="40" t="n">
        <v>0</v>
      </c>
      <c r="L9" s="40" t="n">
        <v>0</v>
      </c>
      <c r="M9" s="40" t="n">
        <v>0</v>
      </c>
      <c r="N9" s="40" t="n">
        <v>0</v>
      </c>
      <c r="O9" s="40" t="n">
        <v>0</v>
      </c>
      <c r="P9" s="40" t="n">
        <v>0</v>
      </c>
      <c r="Q9" s="40" t="n">
        <v>0</v>
      </c>
      <c r="R9" s="47" t="n"/>
      <c r="S9" s="47" t="n"/>
      <c r="T9" s="47" t="n"/>
      <c r="U9" s="47" t="n"/>
      <c r="V9" s="47" t="n"/>
      <c r="W9" s="47" t="n"/>
    </row>
    <row r="10" ht="12" customHeight="1">
      <c r="A10" s="30" t="inlineStr">
        <is>
          <t>Itaguai</t>
        </is>
      </c>
      <c r="B10" s="30" t="n">
        <v>11032265</v>
      </c>
      <c r="C10" s="30">
        <f>"29301507000167"</f>
        <v/>
      </c>
      <c r="D10" s="30" t="inlineStr">
        <is>
          <t>ENGLOC ENGENHARIA E LOCA??O EIRELI</t>
        </is>
      </c>
      <c r="E10" s="40" t="n">
        <v>0</v>
      </c>
      <c r="F10" s="40" t="n">
        <v>0</v>
      </c>
      <c r="G10" s="40" t="n">
        <v>0</v>
      </c>
      <c r="H10" s="40" t="n">
        <v>0</v>
      </c>
      <c r="I10" s="40" t="n">
        <v>0</v>
      </c>
      <c r="J10" s="40" t="n">
        <v>0</v>
      </c>
      <c r="K10" s="40" t="n">
        <v>0</v>
      </c>
      <c r="L10" s="40" t="n">
        <v>0</v>
      </c>
      <c r="M10" s="40" t="n">
        <v>0</v>
      </c>
      <c r="N10" s="40" t="n">
        <v>0</v>
      </c>
      <c r="O10" s="40" t="n">
        <v>0</v>
      </c>
      <c r="P10" s="40" t="n">
        <v>0</v>
      </c>
      <c r="Q10" s="40" t="n">
        <v>0</v>
      </c>
      <c r="R10" s="47" t="n"/>
      <c r="S10" s="47" t="n"/>
      <c r="T10" s="47" t="n"/>
      <c r="U10" s="47" t="n"/>
      <c r="V10" s="47" t="n"/>
      <c r="W10" s="47" t="n"/>
    </row>
    <row r="11" ht="12" customHeight="1">
      <c r="A11" s="30" t="inlineStr">
        <is>
          <t>Itaguai</t>
        </is>
      </c>
      <c r="B11" s="30" t="n">
        <v>11037194</v>
      </c>
      <c r="C11" s="30">
        <f>"29319163000113"</f>
        <v/>
      </c>
      <c r="D11" s="30" t="inlineStr">
        <is>
          <t>DROGARIA PARQUE PRIMAVERA LTDA ME</t>
        </is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>
        <v>0</v>
      </c>
      <c r="N11" s="40" t="n">
        <v>0</v>
      </c>
      <c r="O11" s="40" t="n">
        <v>0</v>
      </c>
      <c r="P11" s="40" t="n">
        <v>0</v>
      </c>
      <c r="Q11" s="40" t="n">
        <v>0</v>
      </c>
      <c r="R11" s="47" t="n"/>
      <c r="S11" s="47" t="n"/>
      <c r="T11" s="47" t="n"/>
      <c r="U11" s="47" t="n"/>
      <c r="V11" s="47" t="n"/>
      <c r="W11" s="47" t="n"/>
    </row>
    <row r="12" ht="12" customHeight="1">
      <c r="A12" s="30" t="inlineStr">
        <is>
          <t>Itaguai</t>
        </is>
      </c>
      <c r="B12" s="30" t="n">
        <v>11039723</v>
      </c>
      <c r="C12" s="30">
        <f>"29254052000176"</f>
        <v/>
      </c>
      <c r="D12" s="30" t="inlineStr">
        <is>
          <t>MERCADO O FAMILIÃO DE ITAGUAI EIRELI ME</t>
        </is>
      </c>
      <c r="E12" s="40" t="n">
        <v>0</v>
      </c>
      <c r="F12" s="40" t="n">
        <v>0</v>
      </c>
      <c r="G12" s="40" t="n">
        <v>0</v>
      </c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>
        <v>0</v>
      </c>
      <c r="N12" s="40" t="n">
        <v>0</v>
      </c>
      <c r="O12" s="40" t="n">
        <v>0</v>
      </c>
      <c r="P12" s="40" t="n">
        <v>0</v>
      </c>
      <c r="Q12" s="40" t="n">
        <v>0</v>
      </c>
      <c r="R12" s="47" t="n"/>
      <c r="S12" s="47" t="n"/>
      <c r="T12" s="47" t="n"/>
      <c r="U12" s="47" t="n"/>
      <c r="V12" s="47" t="n"/>
      <c r="W12" s="47" t="n"/>
    </row>
    <row r="13" ht="12" customHeight="1">
      <c r="A13" s="30" t="inlineStr">
        <is>
          <t>Itaguai</t>
        </is>
      </c>
      <c r="B13" s="30" t="n">
        <v>11054242</v>
      </c>
      <c r="C13" s="30">
        <f>"08295837000389"</f>
        <v/>
      </c>
      <c r="D13" s="30" t="inlineStr">
        <is>
          <t>ZIRANLOG LOGISTICA E TRANSPORTES EIRELI - ME</t>
        </is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>
        <v>0</v>
      </c>
      <c r="N13" s="40" t="n">
        <v>10709.6</v>
      </c>
      <c r="O13" s="40" t="n">
        <v>100</v>
      </c>
      <c r="P13" s="40" t="n">
        <v>246898.37</v>
      </c>
      <c r="Q13" s="40" t="n">
        <v>2205.39</v>
      </c>
      <c r="R13" s="47" t="n"/>
      <c r="S13" s="47" t="n"/>
      <c r="T13" s="47" t="n"/>
      <c r="U13" s="47" t="n"/>
      <c r="V13" s="47" t="n"/>
      <c r="W13" s="47" t="n"/>
    </row>
    <row r="14" ht="12" customHeight="1">
      <c r="A14" s="30" t="inlineStr">
        <is>
          <t>Itaguai</t>
        </is>
      </c>
      <c r="B14" s="30" t="n">
        <v>11057802</v>
      </c>
      <c r="C14" s="30">
        <f>"02287193000210"</f>
        <v/>
      </c>
      <c r="D14" s="30" t="inlineStr">
        <is>
          <t>UNICOLOR TINTAS LTDA</t>
        </is>
      </c>
      <c r="E14" s="40" t="n">
        <v>0</v>
      </c>
      <c r="F14" s="40" t="n">
        <v>898476.9399999999</v>
      </c>
      <c r="G14" s="40" t="n">
        <v>100</v>
      </c>
      <c r="H14" s="40" t="n">
        <v>3442155.81</v>
      </c>
      <c r="I14" s="40" t="n">
        <v>283.11</v>
      </c>
      <c r="J14" s="40" t="n">
        <v>1756296.22</v>
      </c>
      <c r="K14" s="46" t="n">
        <v>-48.98</v>
      </c>
      <c r="L14" s="40" t="n">
        <v>3722713.92</v>
      </c>
      <c r="M14" s="40" t="n">
        <v>111.96</v>
      </c>
      <c r="N14" s="40" t="n">
        <v>3824714.21</v>
      </c>
      <c r="O14" s="40" t="n">
        <v>2.74</v>
      </c>
      <c r="P14" s="40" t="n">
        <v>5655598.01</v>
      </c>
      <c r="Q14" s="40" t="n">
        <v>47.87</v>
      </c>
      <c r="R14" s="47" t="n"/>
      <c r="S14" s="47" t="n"/>
      <c r="T14" s="47" t="n"/>
      <c r="U14" s="47" t="n"/>
      <c r="V14" s="47" t="n"/>
      <c r="W14" s="47" t="n"/>
    </row>
    <row r="15" ht="12" customHeight="1">
      <c r="A15" s="30" t="inlineStr">
        <is>
          <t>Itaguai</t>
        </is>
      </c>
      <c r="B15" s="30" t="n">
        <v>11061702</v>
      </c>
      <c r="C15" s="30">
        <f>"29327548000122"</f>
        <v/>
      </c>
      <c r="D15" s="30" t="inlineStr">
        <is>
          <t>ITXGAS REVENDEDORA DE GAS E AGUA LTDA ME</t>
        </is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>
        <v>0</v>
      </c>
      <c r="N15" s="40" t="n">
        <v>0</v>
      </c>
      <c r="O15" s="40" t="n">
        <v>0</v>
      </c>
      <c r="P15" s="40" t="n">
        <v>0</v>
      </c>
      <c r="Q15" s="40" t="n">
        <v>0</v>
      </c>
      <c r="R15" s="47" t="n"/>
      <c r="S15" s="47" t="n"/>
      <c r="T15" s="47" t="n"/>
      <c r="U15" s="47" t="n"/>
      <c r="V15" s="47" t="n"/>
      <c r="W15" s="47" t="n"/>
    </row>
    <row r="16" ht="12" customHeight="1">
      <c r="A16" s="30" t="inlineStr">
        <is>
          <t>Itaguai</t>
        </is>
      </c>
      <c r="B16" s="30" t="n">
        <v>11066100</v>
      </c>
      <c r="C16" s="30">
        <f>"10970887010167"</f>
        <v/>
      </c>
      <c r="D16" s="30" t="inlineStr">
        <is>
          <t>FEDEX BRASIL LOGISTICA E TRANSPORTE LTDA</t>
        </is>
      </c>
      <c r="E16" s="40" t="n">
        <v>0</v>
      </c>
      <c r="F16" s="40" t="n">
        <v>0</v>
      </c>
      <c r="G16" s="40" t="n">
        <v>0</v>
      </c>
      <c r="H16" s="40" t="n">
        <v>0</v>
      </c>
      <c r="I16" s="40" t="n">
        <v>0</v>
      </c>
      <c r="J16" s="40" t="n">
        <v>918.65</v>
      </c>
      <c r="K16" s="40" t="n">
        <v>100</v>
      </c>
      <c r="L16" s="40" t="n">
        <v>0</v>
      </c>
      <c r="M16" s="46" t="n">
        <v>-100</v>
      </c>
      <c r="N16" s="40" t="n">
        <v>0</v>
      </c>
      <c r="O16" s="40" t="n">
        <v>0</v>
      </c>
      <c r="P16" s="40" t="n">
        <v>0</v>
      </c>
      <c r="Q16" s="40" t="n">
        <v>0</v>
      </c>
      <c r="R16" s="47" t="n"/>
      <c r="S16" s="47" t="n"/>
      <c r="T16" s="47" t="n"/>
      <c r="U16" s="47" t="n"/>
      <c r="V16" s="47" t="n"/>
      <c r="W16" s="47" t="n"/>
    </row>
    <row r="17" ht="12" customHeight="1">
      <c r="A17" s="30" t="inlineStr">
        <is>
          <t>Itaguai</t>
        </is>
      </c>
      <c r="B17" s="30" t="n">
        <v>11071724</v>
      </c>
      <c r="C17" s="30">
        <f>"04319228000361"</f>
        <v/>
      </c>
      <c r="D17" s="30" t="inlineStr">
        <is>
          <t>ZANEPAN COM. ATACADISTA DE GENEROS ALIMENTICIOS EIRELI</t>
        </is>
      </c>
      <c r="E17" s="40" t="n">
        <v>0</v>
      </c>
      <c r="F17" s="40" t="n">
        <v>1294427.8</v>
      </c>
      <c r="G17" s="40" t="n">
        <v>100</v>
      </c>
      <c r="H17" s="40" t="n">
        <v>3696985.2</v>
      </c>
      <c r="I17" s="40" t="n">
        <v>185.61</v>
      </c>
      <c r="J17" s="40" t="n">
        <v>6853747.95</v>
      </c>
      <c r="K17" s="40" t="n">
        <v>85.39</v>
      </c>
      <c r="L17" s="40" t="n">
        <v>0</v>
      </c>
      <c r="M17" s="46" t="n">
        <v>-100</v>
      </c>
      <c r="N17" s="40" t="n">
        <v>0</v>
      </c>
      <c r="O17" s="40" t="n">
        <v>0</v>
      </c>
      <c r="P17" s="40" t="n">
        <v>0</v>
      </c>
      <c r="Q17" s="40" t="n">
        <v>0</v>
      </c>
      <c r="R17" s="47" t="n"/>
      <c r="S17" s="47" t="n"/>
      <c r="T17" s="47" t="n"/>
      <c r="U17" s="47" t="n"/>
      <c r="V17" s="47" t="n"/>
      <c r="W17" s="47" t="n"/>
    </row>
    <row r="18" ht="12" customHeight="1">
      <c r="A18" s="30" t="inlineStr">
        <is>
          <t>Itaguai</t>
        </is>
      </c>
      <c r="B18" s="30" t="n">
        <v>11071740</v>
      </c>
      <c r="C18" s="30">
        <f>"27819276000152"</f>
        <v/>
      </c>
      <c r="D18" s="30" t="inlineStr">
        <is>
          <t>F C DE PAIVA JUNIOR COMERCIO E SERVIÇOS AUTOMOTIVOS</t>
        </is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0" t="n">
        <v>0</v>
      </c>
      <c r="L18" s="40" t="n">
        <v>0</v>
      </c>
      <c r="M18" s="40" t="n">
        <v>0</v>
      </c>
      <c r="N18" s="40" t="n">
        <v>0</v>
      </c>
      <c r="O18" s="40" t="n">
        <v>0</v>
      </c>
      <c r="P18" s="40" t="n">
        <v>0</v>
      </c>
      <c r="Q18" s="40" t="n">
        <v>0</v>
      </c>
      <c r="R18" s="47" t="n"/>
      <c r="S18" s="47" t="n"/>
      <c r="T18" s="47" t="n"/>
      <c r="U18" s="47" t="n"/>
      <c r="V18" s="47" t="n"/>
      <c r="W18" s="47" t="n"/>
    </row>
    <row r="19" ht="12" customHeight="1">
      <c r="A19" s="30" t="inlineStr">
        <is>
          <t>Itaguai</t>
        </is>
      </c>
      <c r="B19" s="30" t="n">
        <v>11075584</v>
      </c>
      <c r="C19" s="30">
        <f>"27001440000110"</f>
        <v/>
      </c>
      <c r="D19" s="30" t="inlineStr">
        <is>
          <t>VIASAT BRASIL SERVI?OS DE COMUNICA??ES LTDA</t>
        </is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0" t="n">
        <v>0</v>
      </c>
      <c r="L19" s="40" t="n">
        <v>0</v>
      </c>
      <c r="M19" s="40" t="n">
        <v>0</v>
      </c>
      <c r="N19" s="40" t="n">
        <v>0</v>
      </c>
      <c r="O19" s="40" t="n">
        <v>0</v>
      </c>
      <c r="P19" s="40" t="n">
        <v>4090.87</v>
      </c>
      <c r="Q19" s="40" t="n">
        <v>100</v>
      </c>
      <c r="R19" s="47" t="n"/>
      <c r="S19" s="47" t="n"/>
      <c r="T19" s="47" t="n"/>
      <c r="U19" s="47" t="n"/>
      <c r="V19" s="47" t="n"/>
      <c r="W19" s="47" t="n"/>
    </row>
    <row r="20" ht="12" customHeight="1">
      <c r="A20" s="30" t="inlineStr">
        <is>
          <t>Itaguai</t>
        </is>
      </c>
      <c r="B20" s="30" t="n">
        <v>11077781</v>
      </c>
      <c r="C20" s="30">
        <f>"77913132787"</f>
        <v/>
      </c>
      <c r="D20" s="30" t="inlineStr">
        <is>
          <t>JORGE PAPADOPOULOS DE SOUZA</t>
        </is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0" t="n">
        <v>0</v>
      </c>
      <c r="L20" s="40" t="n">
        <v>0</v>
      </c>
      <c r="M20" s="40" t="n">
        <v>0</v>
      </c>
      <c r="N20" s="40" t="n">
        <v>0</v>
      </c>
      <c r="O20" s="40" t="n">
        <v>0</v>
      </c>
      <c r="P20" s="40" t="n">
        <v>0</v>
      </c>
      <c r="Q20" s="40" t="n">
        <v>0</v>
      </c>
      <c r="R20" s="47" t="n"/>
      <c r="S20" s="47" t="n"/>
      <c r="T20" s="47" t="n"/>
      <c r="U20" s="47" t="n"/>
      <c r="V20" s="47" t="n"/>
      <c r="W20" s="47" t="n"/>
    </row>
    <row r="21" ht="12" customHeight="1">
      <c r="A21" s="30" t="inlineStr">
        <is>
          <t>Itaguai</t>
        </is>
      </c>
      <c r="B21" s="30" t="n">
        <v>11079962</v>
      </c>
      <c r="C21" s="30">
        <f>"29735755000116"</f>
        <v/>
      </c>
      <c r="D21" s="30" t="inlineStr">
        <is>
          <t>NUTS GALEÃO COMERCIO DE ALIMENTOS LTDA</t>
        </is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0</v>
      </c>
      <c r="K21" s="40" t="n">
        <v>0</v>
      </c>
      <c r="L21" s="40" t="n">
        <v>13881.64</v>
      </c>
      <c r="M21" s="40" t="n">
        <v>100</v>
      </c>
      <c r="N21" s="40" t="n">
        <v>0</v>
      </c>
      <c r="O21" s="46" t="n">
        <v>-100</v>
      </c>
      <c r="P21" s="40" t="n">
        <v>0</v>
      </c>
      <c r="Q21" s="40" t="n">
        <v>0</v>
      </c>
      <c r="R21" s="47" t="n"/>
      <c r="S21" s="47" t="n"/>
      <c r="T21" s="47" t="n"/>
      <c r="U21" s="47" t="n"/>
      <c r="V21" s="47" t="n"/>
      <c r="W21" s="47" t="n"/>
    </row>
    <row r="22" ht="12" customHeight="1">
      <c r="A22" s="30" t="inlineStr">
        <is>
          <t>Itaguai</t>
        </is>
      </c>
      <c r="B22" s="30" t="n">
        <v>11081703</v>
      </c>
      <c r="C22" s="30">
        <f>"14553130769"</f>
        <v/>
      </c>
      <c r="D22" s="30" t="inlineStr">
        <is>
          <t>LUCAS LEMOS PAIVA DA SILVA</t>
        </is>
      </c>
      <c r="E22" s="40" t="n">
        <v>0</v>
      </c>
      <c r="F22" s="40" t="n">
        <v>30174.07</v>
      </c>
      <c r="G22" s="40" t="n">
        <v>100</v>
      </c>
      <c r="H22" s="40" t="n">
        <v>0</v>
      </c>
      <c r="I22" s="46" t="n">
        <v>-100</v>
      </c>
      <c r="J22" s="40" t="n">
        <v>0</v>
      </c>
      <c r="K22" s="40" t="n">
        <v>0</v>
      </c>
      <c r="L22" s="40" t="n">
        <v>0</v>
      </c>
      <c r="M22" s="40" t="n">
        <v>0</v>
      </c>
      <c r="N22" s="40" t="n">
        <v>0</v>
      </c>
      <c r="O22" s="40" t="n">
        <v>0</v>
      </c>
      <c r="P22" s="40" t="n">
        <v>0</v>
      </c>
      <c r="Q22" s="40" t="n">
        <v>0</v>
      </c>
      <c r="R22" s="47" t="n"/>
      <c r="S22" s="47" t="n"/>
      <c r="T22" s="47" t="n"/>
      <c r="U22" s="47" t="n"/>
      <c r="V22" s="47" t="n"/>
      <c r="W22" s="47" t="n"/>
    </row>
    <row r="23" ht="12" customHeight="1">
      <c r="A23" s="30" t="inlineStr">
        <is>
          <t>Itaguai</t>
        </is>
      </c>
      <c r="B23" s="30" t="n">
        <v>11083986</v>
      </c>
      <c r="C23" s="30">
        <f>"61495636004052"</f>
        <v/>
      </c>
      <c r="D23" s="30" t="inlineStr">
        <is>
          <t>PINTURAS YPIRANGA LTDA</t>
        </is>
      </c>
      <c r="E23" s="40" t="n">
        <v>0</v>
      </c>
      <c r="F23" s="40" t="n">
        <v>0</v>
      </c>
      <c r="G23" s="40" t="n">
        <v>0</v>
      </c>
      <c r="H23" s="40" t="n">
        <v>0</v>
      </c>
      <c r="I23" s="40" t="n">
        <v>0</v>
      </c>
      <c r="J23" s="40" t="n">
        <v>0</v>
      </c>
      <c r="K23" s="40" t="n">
        <v>0</v>
      </c>
      <c r="L23" s="40" t="n">
        <v>0</v>
      </c>
      <c r="M23" s="40" t="n">
        <v>0</v>
      </c>
      <c r="N23" s="40" t="n">
        <v>0</v>
      </c>
      <c r="O23" s="40" t="n">
        <v>0</v>
      </c>
      <c r="P23" s="40" t="n">
        <v>0</v>
      </c>
      <c r="Q23" s="40" t="n">
        <v>0</v>
      </c>
      <c r="R23" s="47" t="n"/>
      <c r="S23" s="47" t="n"/>
      <c r="T23" s="47" t="n"/>
      <c r="U23" s="47" t="n"/>
      <c r="V23" s="47" t="n"/>
      <c r="W23" s="47" t="n"/>
    </row>
    <row r="24" ht="12" customHeight="1">
      <c r="A24" s="30" t="inlineStr">
        <is>
          <t>Itaguai</t>
        </is>
      </c>
      <c r="B24" s="30" t="n">
        <v>11084729</v>
      </c>
      <c r="C24" s="30">
        <f>"21862093000133"</f>
        <v/>
      </c>
      <c r="D24" s="30" t="inlineStr">
        <is>
          <t>3C RESTAURANTE, FAST-FOODS E COZINHA INDUSTRIAL LTDA</t>
        </is>
      </c>
      <c r="E24" s="40" t="n">
        <v>0</v>
      </c>
      <c r="F24" s="40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>
        <v>0</v>
      </c>
      <c r="N24" s="40" t="n">
        <v>0</v>
      </c>
      <c r="O24" s="40" t="n">
        <v>0</v>
      </c>
      <c r="P24" s="40" t="n">
        <v>95</v>
      </c>
      <c r="Q24" s="40" t="n">
        <v>100</v>
      </c>
      <c r="R24" s="47" t="n"/>
      <c r="S24" s="47" t="n"/>
      <c r="T24" s="47" t="n"/>
      <c r="U24" s="47" t="n"/>
      <c r="V24" s="47" t="n"/>
      <c r="W24" s="47" t="n"/>
    </row>
    <row r="25" ht="12" customHeight="1">
      <c r="A25" s="30" t="inlineStr">
        <is>
          <t>Itaguai</t>
        </is>
      </c>
      <c r="B25" s="30" t="n">
        <v>11089526</v>
      </c>
      <c r="C25" s="30">
        <f>"29112742000190"</f>
        <v/>
      </c>
      <c r="D25" s="30" t="inlineStr">
        <is>
          <t>TRANSPORTES GV RIO EIRELI</t>
        </is>
      </c>
      <c r="E25" s="40" t="n">
        <v>0</v>
      </c>
      <c r="F25" s="40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>
        <v>0</v>
      </c>
      <c r="N25" s="40" t="n">
        <v>0</v>
      </c>
      <c r="O25" s="40" t="n">
        <v>0</v>
      </c>
      <c r="P25" s="40" t="n">
        <v>2480</v>
      </c>
      <c r="Q25" s="40" t="n">
        <v>100</v>
      </c>
      <c r="R25" s="47" t="n"/>
      <c r="S25" s="47" t="n"/>
      <c r="T25" s="47" t="n"/>
      <c r="U25" s="47" t="n"/>
      <c r="V25" s="47" t="n"/>
      <c r="W25" s="47" t="n"/>
    </row>
    <row r="26" ht="12" customHeight="1">
      <c r="A26" s="30" t="inlineStr">
        <is>
          <t>Itaguai</t>
        </is>
      </c>
      <c r="B26" s="30" t="n">
        <v>11094082</v>
      </c>
      <c r="C26" s="30">
        <f>"09464773000284"</f>
        <v/>
      </c>
      <c r="D26" s="30" t="inlineStr">
        <is>
          <t>TRANSCIARDI TRANSPORTE DE CARGA E LOGISTICA LTDA</t>
        </is>
      </c>
      <c r="E26" s="40" t="n">
        <v>0</v>
      </c>
      <c r="F26" s="40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9650</v>
      </c>
      <c r="M26" s="40" t="n">
        <v>100</v>
      </c>
      <c r="N26" s="40" t="n">
        <v>0</v>
      </c>
      <c r="O26" s="46" t="n">
        <v>-100</v>
      </c>
      <c r="P26" s="40" t="n">
        <v>0</v>
      </c>
      <c r="Q26" s="40" t="n">
        <v>0</v>
      </c>
      <c r="R26" s="47" t="n"/>
      <c r="S26" s="47" t="n"/>
      <c r="T26" s="47" t="n"/>
      <c r="U26" s="47" t="n"/>
      <c r="V26" s="47" t="n"/>
      <c r="W26" s="47" t="n"/>
    </row>
    <row r="27" ht="12" customHeight="1">
      <c r="A27" s="30" t="inlineStr">
        <is>
          <t>Itaguai</t>
        </is>
      </c>
      <c r="B27" s="30" t="n">
        <v>11099920</v>
      </c>
      <c r="C27" s="30">
        <f>"00603703780"</f>
        <v/>
      </c>
      <c r="D27" s="30" t="inlineStr">
        <is>
          <t>ADRIANO DA SILVA VIEIRA</t>
        </is>
      </c>
      <c r="E27" s="40" t="n">
        <v>0</v>
      </c>
      <c r="F27" s="40" t="n">
        <v>0</v>
      </c>
      <c r="G27" s="40" t="n">
        <v>0</v>
      </c>
      <c r="H27" s="40" t="n">
        <v>0</v>
      </c>
      <c r="I27" s="40" t="n">
        <v>0</v>
      </c>
      <c r="J27" s="40" t="n">
        <v>0</v>
      </c>
      <c r="K27" s="40" t="n">
        <v>0</v>
      </c>
      <c r="L27" s="40" t="n">
        <v>35243.63</v>
      </c>
      <c r="M27" s="40" t="n">
        <v>100</v>
      </c>
      <c r="N27" s="40" t="n">
        <v>0</v>
      </c>
      <c r="O27" s="46" t="n">
        <v>-100</v>
      </c>
      <c r="P27" s="40" t="n">
        <v>0</v>
      </c>
      <c r="Q27" s="40" t="n">
        <v>0</v>
      </c>
      <c r="R27" s="47" t="n"/>
      <c r="S27" s="47" t="n"/>
      <c r="T27" s="47" t="n"/>
      <c r="U27" s="47" t="n"/>
      <c r="V27" s="47" t="n"/>
      <c r="W27" s="47" t="n"/>
    </row>
    <row r="28" ht="12" customHeight="1">
      <c r="A28" s="30" t="inlineStr">
        <is>
          <t>Itaguai</t>
        </is>
      </c>
      <c r="B28" s="30" t="n">
        <v>11103022</v>
      </c>
      <c r="C28" s="30">
        <f>"29981613000139"</f>
        <v/>
      </c>
      <c r="D28" s="30" t="inlineStr">
        <is>
          <t>VITARE NAUTICA FIBRAS EIRELI</t>
        </is>
      </c>
      <c r="E28" s="40" t="n">
        <v>0</v>
      </c>
      <c r="F28" s="40" t="n">
        <v>0</v>
      </c>
      <c r="G28" s="40" t="n">
        <v>0</v>
      </c>
      <c r="H28" s="40" t="n">
        <v>0</v>
      </c>
      <c r="I28" s="40" t="n">
        <v>0</v>
      </c>
      <c r="J28" s="40" t="n">
        <v>0</v>
      </c>
      <c r="K28" s="40" t="n">
        <v>0</v>
      </c>
      <c r="L28" s="40" t="n">
        <v>0</v>
      </c>
      <c r="M28" s="40" t="n">
        <v>0</v>
      </c>
      <c r="N28" s="40" t="n">
        <v>0</v>
      </c>
      <c r="O28" s="40" t="n">
        <v>0</v>
      </c>
      <c r="P28" s="40" t="n">
        <v>0</v>
      </c>
      <c r="Q28" s="40" t="n">
        <v>0</v>
      </c>
      <c r="R28" s="47" t="n"/>
      <c r="S28" s="47" t="n"/>
      <c r="T28" s="47" t="n"/>
      <c r="U28" s="47" t="n"/>
      <c r="V28" s="47" t="n"/>
      <c r="W28" s="47" t="n"/>
    </row>
    <row r="29" ht="12" customHeight="1">
      <c r="A29" s="30" t="inlineStr">
        <is>
          <t>Itaguai</t>
        </is>
      </c>
      <c r="B29" s="30" t="n">
        <v>11110428</v>
      </c>
      <c r="C29" s="30">
        <f>"18109232000300"</f>
        <v/>
      </c>
      <c r="D29" s="30" t="inlineStr">
        <is>
          <t>B &amp; T TRANSPORTE E LOGISTICA LTDA</t>
        </is>
      </c>
      <c r="E29" s="40" t="n">
        <v>0</v>
      </c>
      <c r="F29" s="40" t="n">
        <v>1545141.95</v>
      </c>
      <c r="G29" s="40" t="n">
        <v>100</v>
      </c>
      <c r="H29" s="40" t="n">
        <v>0</v>
      </c>
      <c r="I29" s="46" t="n">
        <v>-100</v>
      </c>
      <c r="J29" s="40" t="n">
        <v>0</v>
      </c>
      <c r="K29" s="40" t="n">
        <v>0</v>
      </c>
      <c r="L29" s="40" t="n">
        <v>0</v>
      </c>
      <c r="M29" s="40" t="n">
        <v>0</v>
      </c>
      <c r="N29" s="40" t="n">
        <v>5331993.61</v>
      </c>
      <c r="O29" s="40" t="n">
        <v>100</v>
      </c>
      <c r="P29" s="40" t="n">
        <v>5923527.69</v>
      </c>
      <c r="Q29" s="40" t="n">
        <v>11.09</v>
      </c>
      <c r="R29" s="47" t="n"/>
      <c r="S29" s="47" t="n"/>
      <c r="T29" s="47" t="n"/>
      <c r="U29" s="47" t="n"/>
      <c r="V29" s="47" t="n"/>
      <c r="W29" s="47" t="n"/>
    </row>
    <row r="30" ht="12" customHeight="1">
      <c r="A30" s="30" t="inlineStr">
        <is>
          <t>Itaguai</t>
        </is>
      </c>
      <c r="B30" s="30" t="n">
        <v>11113206</v>
      </c>
      <c r="C30" s="30">
        <f>"00972696001190"</f>
        <v/>
      </c>
      <c r="D30" s="30" t="inlineStr">
        <is>
          <t>V M RAMOS &amp; CIA LTDA</t>
        </is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298.38</v>
      </c>
      <c r="M30" s="40" t="n">
        <v>100</v>
      </c>
      <c r="N30" s="40" t="n">
        <v>0</v>
      </c>
      <c r="O30" s="46" t="n">
        <v>-100</v>
      </c>
      <c r="P30" s="40" t="n">
        <v>0</v>
      </c>
      <c r="Q30" s="40" t="n">
        <v>0</v>
      </c>
      <c r="R30" s="47" t="n"/>
      <c r="S30" s="47" t="n"/>
      <c r="T30" s="47" t="n"/>
      <c r="U30" s="47" t="n"/>
      <c r="V30" s="47" t="n"/>
      <c r="W30" s="47" t="n"/>
    </row>
    <row r="31" ht="12" customHeight="1">
      <c r="A31" s="30" t="inlineStr">
        <is>
          <t>Itaguai</t>
        </is>
      </c>
      <c r="B31" s="30" t="n">
        <v>11123961</v>
      </c>
      <c r="C31" s="30">
        <f>"00233065003879"</f>
        <v/>
      </c>
      <c r="D31" s="30" t="inlineStr">
        <is>
          <t>UNIDOCK"S ASSESSORIA E LOGISTICA DE MATERIAIS LTDA</t>
        </is>
      </c>
      <c r="E31" s="40" t="n">
        <v>0</v>
      </c>
      <c r="F31" s="40" t="n">
        <v>335.83</v>
      </c>
      <c r="G31" s="40" t="n">
        <v>100</v>
      </c>
      <c r="H31" s="40" t="n">
        <v>1388.9</v>
      </c>
      <c r="I31" s="40" t="n">
        <v>313.57</v>
      </c>
      <c r="J31" s="40" t="n">
        <v>366.25</v>
      </c>
      <c r="K31" s="46" t="n">
        <v>-73.63</v>
      </c>
      <c r="L31" s="40" t="n">
        <v>1617.46</v>
      </c>
      <c r="M31" s="40" t="n">
        <v>341.63</v>
      </c>
      <c r="N31" s="40" t="n">
        <v>10929.55</v>
      </c>
      <c r="O31" s="40" t="n">
        <v>575.72</v>
      </c>
      <c r="P31" s="40" t="n">
        <v>7170.74</v>
      </c>
      <c r="Q31" s="46" t="n">
        <v>-34.39</v>
      </c>
      <c r="R31" s="47" t="n"/>
      <c r="S31" s="47" t="n"/>
      <c r="T31" s="47" t="n"/>
      <c r="U31" s="47" t="n"/>
      <c r="V31" s="47" t="n"/>
      <c r="W31" s="47" t="n"/>
    </row>
    <row r="32" ht="12" customHeight="1">
      <c r="A32" s="30" t="inlineStr">
        <is>
          <t>Itaguai</t>
        </is>
      </c>
      <c r="B32" s="30" t="n">
        <v>11126324</v>
      </c>
      <c r="C32" s="30">
        <f>"30232982000108"</f>
        <v/>
      </c>
      <c r="D32" s="30" t="inlineStr">
        <is>
          <t>CROSSTIME SOLUÇÕES LOGISTICA LTDA</t>
        </is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900.05</v>
      </c>
      <c r="O32" s="40" t="n">
        <v>100</v>
      </c>
      <c r="P32" s="40" t="n">
        <v>0</v>
      </c>
      <c r="Q32" s="46" t="n">
        <v>-100</v>
      </c>
      <c r="R32" s="47" t="n"/>
      <c r="S32" s="47" t="n"/>
      <c r="T32" s="47" t="n"/>
      <c r="U32" s="47" t="n"/>
      <c r="V32" s="47" t="n"/>
      <c r="W32" s="47" t="n"/>
    </row>
    <row r="33" ht="12" customHeight="1">
      <c r="A33" s="30" t="inlineStr">
        <is>
          <t>Itaguai</t>
        </is>
      </c>
      <c r="B33" s="30" t="n">
        <v>11132219</v>
      </c>
      <c r="C33" s="30">
        <f>"30308329000185"</f>
        <v/>
      </c>
      <c r="D33" s="30" t="inlineStr">
        <is>
          <t>TLOG RJ TRANSPORTADORA DE CARGAS LTDA</t>
        </is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26301.29</v>
      </c>
      <c r="K33" s="40" t="n">
        <v>100</v>
      </c>
      <c r="L33" s="40" t="n">
        <v>0</v>
      </c>
      <c r="M33" s="46" t="n">
        <v>-100</v>
      </c>
      <c r="N33" s="40" t="n">
        <v>0</v>
      </c>
      <c r="O33" s="40" t="n">
        <v>0</v>
      </c>
      <c r="P33" s="40" t="n">
        <v>0</v>
      </c>
      <c r="Q33" s="40" t="n">
        <v>0</v>
      </c>
      <c r="R33" s="47" t="n"/>
      <c r="S33" s="47" t="n"/>
      <c r="T33" s="47" t="n"/>
      <c r="U33" s="47" t="n"/>
      <c r="V33" s="47" t="n"/>
      <c r="W33" s="47" t="n"/>
    </row>
    <row r="34" ht="12" customHeight="1">
      <c r="A34" s="30" t="inlineStr">
        <is>
          <t>Itaguai</t>
        </is>
      </c>
      <c r="B34" s="30" t="n">
        <v>11137270</v>
      </c>
      <c r="C34" s="30">
        <f>"06094474000800"</f>
        <v/>
      </c>
      <c r="D34" s="30" t="inlineStr">
        <is>
          <t>IRMAOS SANTOS CAVALCANTI SERVICOS E COMERCIO LTDA</t>
        </is>
      </c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>
        <v>0</v>
      </c>
      <c r="N34" s="40" t="n">
        <v>0</v>
      </c>
      <c r="O34" s="40" t="n">
        <v>0</v>
      </c>
      <c r="P34" s="40" t="n">
        <v>0</v>
      </c>
      <c r="Q34" s="40" t="n">
        <v>0</v>
      </c>
      <c r="R34" s="47" t="n"/>
      <c r="S34" s="47" t="n"/>
      <c r="T34" s="47" t="n"/>
      <c r="U34" s="47" t="n"/>
      <c r="V34" s="47" t="n"/>
      <c r="W34" s="47" t="n"/>
    </row>
    <row r="35" ht="12" customHeight="1">
      <c r="A35" s="30" t="inlineStr">
        <is>
          <t>Itaguai</t>
        </is>
      </c>
      <c r="B35" s="30" t="n">
        <v>11137512</v>
      </c>
      <c r="C35" s="30">
        <f>"23847090000156"</f>
        <v/>
      </c>
      <c r="D35" s="30" t="inlineStr">
        <is>
          <t>C C R DOMINGOS RESTAURANTE</t>
        </is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7" t="n"/>
      <c r="S35" s="47" t="n"/>
      <c r="T35" s="47" t="n"/>
      <c r="U35" s="47" t="n"/>
      <c r="V35" s="47" t="n"/>
      <c r="W35" s="47" t="n"/>
    </row>
    <row r="36" ht="12" customHeight="1">
      <c r="A36" s="30" t="inlineStr">
        <is>
          <t>Itaguai</t>
        </is>
      </c>
      <c r="B36" s="30" t="n">
        <v>11138098</v>
      </c>
      <c r="C36" s="30">
        <f>"30410115000115"</f>
        <v/>
      </c>
      <c r="D36" s="30" t="inlineStr">
        <is>
          <t>MZ TRANSPORTADORA E LOGISTICA LTDA</t>
        </is>
      </c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1000</v>
      </c>
      <c r="K36" s="40" t="n">
        <v>100</v>
      </c>
      <c r="L36" s="40" t="n">
        <v>0</v>
      </c>
      <c r="M36" s="46" t="n">
        <v>-100</v>
      </c>
      <c r="N36" s="40" t="n">
        <v>0</v>
      </c>
      <c r="O36" s="40" t="n">
        <v>0</v>
      </c>
      <c r="P36" s="40" t="n">
        <v>0</v>
      </c>
      <c r="Q36" s="40" t="n">
        <v>0</v>
      </c>
      <c r="R36" s="47" t="n"/>
      <c r="S36" s="47" t="n"/>
      <c r="T36" s="47" t="n"/>
      <c r="U36" s="47" t="n"/>
      <c r="V36" s="47" t="n"/>
      <c r="W36" s="47" t="n"/>
    </row>
    <row r="37" ht="12" customHeight="1">
      <c r="A37" s="30" t="inlineStr">
        <is>
          <t>Itaguai</t>
        </is>
      </c>
      <c r="B37" s="30" t="n">
        <v>11138721</v>
      </c>
      <c r="C37" s="30">
        <f>"30413385000180"</f>
        <v/>
      </c>
      <c r="D37" s="30" t="inlineStr">
        <is>
          <t>MERCADO COROA GRANDE 2018 EIRELI</t>
        </is>
      </c>
      <c r="E37" s="40" t="n">
        <v>0</v>
      </c>
      <c r="F37" s="40" t="n">
        <v>17376.23</v>
      </c>
      <c r="G37" s="40" t="n">
        <v>100</v>
      </c>
      <c r="H37" s="40" t="n">
        <v>0</v>
      </c>
      <c r="I37" s="46" t="n">
        <v>-100</v>
      </c>
      <c r="J37" s="40" t="n">
        <v>0</v>
      </c>
      <c r="K37" s="40" t="n">
        <v>0</v>
      </c>
      <c r="L37" s="40" t="n">
        <v>0</v>
      </c>
      <c r="M37" s="40" t="n">
        <v>0</v>
      </c>
      <c r="N37" s="40" t="n">
        <v>0</v>
      </c>
      <c r="O37" s="40" t="n">
        <v>0</v>
      </c>
      <c r="P37" s="40" t="n">
        <v>0</v>
      </c>
      <c r="Q37" s="40" t="n">
        <v>0</v>
      </c>
      <c r="R37" s="47" t="n"/>
      <c r="S37" s="47" t="n"/>
      <c r="T37" s="47" t="n"/>
      <c r="U37" s="47" t="n"/>
      <c r="V37" s="47" t="n"/>
      <c r="W37" s="47" t="n"/>
    </row>
    <row r="38" ht="12" customHeight="1">
      <c r="A38" s="30" t="inlineStr">
        <is>
          <t>Itaguai</t>
        </is>
      </c>
      <c r="B38" s="30" t="n">
        <v>11140050</v>
      </c>
      <c r="C38" s="30">
        <f>"30356217000108"</f>
        <v/>
      </c>
      <c r="D38" s="30" t="inlineStr">
        <is>
          <t>POTENCIAL ALIMENTOS DISTRIBUIDORA DE ALIMENTOS EM GERAL EIRELI</t>
        </is>
      </c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>
        <v>0</v>
      </c>
      <c r="N38" s="40" t="n">
        <v>0</v>
      </c>
      <c r="O38" s="40" t="n">
        <v>0</v>
      </c>
      <c r="P38" s="40" t="n">
        <v>0</v>
      </c>
      <c r="Q38" s="40" t="n">
        <v>0</v>
      </c>
      <c r="R38" s="47" t="n"/>
      <c r="S38" s="47" t="n"/>
      <c r="T38" s="47" t="n"/>
      <c r="U38" s="47" t="n"/>
      <c r="V38" s="47" t="n"/>
      <c r="W38" s="47" t="n"/>
    </row>
    <row r="39" ht="12" customHeight="1">
      <c r="A39" s="30" t="inlineStr">
        <is>
          <t>Itaguai</t>
        </is>
      </c>
      <c r="B39" s="30" t="n">
        <v>11146422</v>
      </c>
      <c r="C39" s="30">
        <f>"22955070000136"</f>
        <v/>
      </c>
      <c r="D39" s="30" t="inlineStr">
        <is>
          <t>S D C MARTINS COMERCIO E SERVIÇOS EIRELI</t>
        </is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7" t="n"/>
      <c r="S39" s="47" t="n"/>
      <c r="T39" s="47" t="n"/>
      <c r="U39" s="47" t="n"/>
      <c r="V39" s="47" t="n"/>
      <c r="W39" s="47" t="n"/>
    </row>
    <row r="40" ht="12" customHeight="1">
      <c r="A40" s="30" t="inlineStr">
        <is>
          <t>Itaguai</t>
        </is>
      </c>
      <c r="B40" s="30" t="n">
        <v>11148751</v>
      </c>
      <c r="C40" s="30">
        <f>"30484404000169"</f>
        <v/>
      </c>
      <c r="D40" s="30" t="inlineStr">
        <is>
          <t>ANTONIO E ERIKA TRANSPORTE DE CARGA E DESCARGA LTDA</t>
        </is>
      </c>
      <c r="E40" s="40" t="n">
        <v>0</v>
      </c>
      <c r="F40" s="40" t="n">
        <v>0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>
        <v>0</v>
      </c>
      <c r="N40" s="40" t="n">
        <v>0</v>
      </c>
      <c r="O40" s="40" t="n">
        <v>0</v>
      </c>
      <c r="P40" s="40" t="n">
        <v>19001</v>
      </c>
      <c r="Q40" s="40" t="n">
        <v>100</v>
      </c>
      <c r="R40" s="47" t="n"/>
      <c r="S40" s="47" t="n"/>
      <c r="T40" s="47" t="n"/>
      <c r="U40" s="47" t="n"/>
      <c r="V40" s="47" t="n"/>
      <c r="W40" s="47" t="n"/>
    </row>
    <row r="41" ht="12" customHeight="1">
      <c r="A41" s="30" t="inlineStr">
        <is>
          <t>Itaguai</t>
        </is>
      </c>
      <c r="B41" s="30" t="n">
        <v>11155200</v>
      </c>
      <c r="C41" s="30">
        <f>"09017109000459"</f>
        <v/>
      </c>
      <c r="D41" s="30" t="inlineStr">
        <is>
          <t>B-PROJECTS TRANSPORTES NACIONAIS E INTERNACIONAIS LTDA</t>
        </is>
      </c>
      <c r="E41" s="40" t="n">
        <v>0</v>
      </c>
      <c r="F41" s="40" t="n">
        <v>0</v>
      </c>
      <c r="G41" s="40" t="n">
        <v>0</v>
      </c>
      <c r="H41" s="40" t="n">
        <v>935634.5</v>
      </c>
      <c r="I41" s="40" t="n">
        <v>100</v>
      </c>
      <c r="J41" s="40" t="n">
        <v>2787293.06</v>
      </c>
      <c r="K41" s="40" t="n">
        <v>197.9</v>
      </c>
      <c r="L41" s="40" t="n">
        <v>13881.64</v>
      </c>
      <c r="M41" s="46" t="n">
        <v>-99.5</v>
      </c>
      <c r="N41" s="40" t="n">
        <v>0</v>
      </c>
      <c r="O41" s="46" t="n">
        <v>-100</v>
      </c>
      <c r="P41" s="40" t="n">
        <v>0</v>
      </c>
      <c r="Q41" s="40" t="n">
        <v>0</v>
      </c>
      <c r="R41" s="47" t="n"/>
      <c r="S41" s="47" t="n"/>
      <c r="T41" s="47" t="n"/>
      <c r="U41" s="47" t="n"/>
      <c r="V41" s="47" t="n"/>
      <c r="W41" s="47" t="n"/>
    </row>
    <row r="42" ht="12" customHeight="1">
      <c r="A42" s="30" t="inlineStr">
        <is>
          <t>Itaguai</t>
        </is>
      </c>
      <c r="B42" s="30" t="n">
        <v>11156045</v>
      </c>
      <c r="C42" s="30">
        <f>"12958790000100"</f>
        <v/>
      </c>
      <c r="D42" s="30" t="inlineStr">
        <is>
          <t>M E P ENGENHARIA E SERVICOS  ADM EIRELI</t>
        </is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7" t="n"/>
      <c r="S42" s="47" t="n"/>
      <c r="T42" s="47" t="n"/>
      <c r="U42" s="47" t="n"/>
      <c r="V42" s="47" t="n"/>
      <c r="W42" s="47" t="n"/>
    </row>
    <row r="43" ht="12" customHeight="1">
      <c r="A43" s="30" t="inlineStr">
        <is>
          <t>Itaguai</t>
        </is>
      </c>
      <c r="B43" s="30" t="n">
        <v>11156100</v>
      </c>
      <c r="C43" s="30">
        <f>"27541534000262"</f>
        <v/>
      </c>
      <c r="D43" s="30" t="inlineStr">
        <is>
          <t>OTICA NOVA VISÃO DE ITAGUAI LTDA</t>
        </is>
      </c>
      <c r="E43" s="40" t="n">
        <v>0</v>
      </c>
      <c r="F43" s="40" t="n">
        <v>0</v>
      </c>
      <c r="G43" s="40" t="n">
        <v>0</v>
      </c>
      <c r="H43" s="40" t="n">
        <v>0</v>
      </c>
      <c r="I43" s="40" t="n">
        <v>0</v>
      </c>
      <c r="J43" s="40" t="n">
        <v>944570.77</v>
      </c>
      <c r="K43" s="40" t="n">
        <v>100</v>
      </c>
      <c r="L43" s="40" t="n">
        <v>890305</v>
      </c>
      <c r="M43" s="46" t="n">
        <v>-5.75</v>
      </c>
      <c r="N43" s="40" t="n">
        <v>1071508.94</v>
      </c>
      <c r="O43" s="40" t="n">
        <v>20.35</v>
      </c>
      <c r="P43" s="40" t="n">
        <v>672671.1800000001</v>
      </c>
      <c r="Q43" s="46" t="n">
        <v>-37.22</v>
      </c>
      <c r="R43" s="47" t="n"/>
      <c r="S43" s="47" t="n"/>
      <c r="T43" s="47" t="n"/>
      <c r="U43" s="47" t="n"/>
      <c r="V43" s="47" t="n"/>
      <c r="W43" s="47" t="n"/>
    </row>
    <row r="44" ht="12" customHeight="1">
      <c r="A44" s="30" t="inlineStr">
        <is>
          <t>Itaguai</t>
        </is>
      </c>
      <c r="B44" s="30" t="n">
        <v>11164250</v>
      </c>
      <c r="C44" s="30">
        <f>"30665777000136"</f>
        <v/>
      </c>
      <c r="D44" s="30" t="inlineStr">
        <is>
          <t>J H M SANTOS LANCHONETE</t>
        </is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>
        <v>0</v>
      </c>
      <c r="N44" s="40" t="n">
        <v>0</v>
      </c>
      <c r="O44" s="40" t="n">
        <v>0</v>
      </c>
      <c r="P44" s="40" t="n">
        <v>0</v>
      </c>
      <c r="Q44" s="40" t="n">
        <v>0</v>
      </c>
      <c r="R44" s="47" t="n"/>
      <c r="S44" s="47" t="n"/>
      <c r="T44" s="47" t="n"/>
      <c r="U44" s="47" t="n"/>
      <c r="V44" s="47" t="n"/>
      <c r="W44" s="47" t="n"/>
    </row>
    <row r="45" ht="12" customHeight="1">
      <c r="A45" s="30" t="inlineStr">
        <is>
          <t>Itaguai</t>
        </is>
      </c>
      <c r="B45" s="30" t="n">
        <v>11165338</v>
      </c>
      <c r="C45" s="30">
        <f>"10233431000828"</f>
        <v/>
      </c>
      <c r="D45" s="30" t="inlineStr">
        <is>
          <t>RSG CONFECCOES LTDA</t>
        </is>
      </c>
      <c r="E45" s="40" t="n">
        <v>0</v>
      </c>
      <c r="F45" s="40" t="n">
        <v>818577.17</v>
      </c>
      <c r="G45" s="40" t="n">
        <v>100</v>
      </c>
      <c r="H45" s="40" t="n">
        <v>0</v>
      </c>
      <c r="I45" s="46" t="n">
        <v>-100</v>
      </c>
      <c r="J45" s="40" t="n">
        <v>0</v>
      </c>
      <c r="K45" s="40" t="n">
        <v>0</v>
      </c>
      <c r="L45" s="40" t="n">
        <v>0</v>
      </c>
      <c r="M45" s="40" t="n">
        <v>0</v>
      </c>
      <c r="N45" s="40" t="n">
        <v>0</v>
      </c>
      <c r="O45" s="40" t="n">
        <v>0</v>
      </c>
      <c r="P45" s="40" t="n">
        <v>0</v>
      </c>
      <c r="Q45" s="40" t="n">
        <v>0</v>
      </c>
      <c r="R45" s="47" t="n"/>
      <c r="S45" s="47" t="n"/>
      <c r="T45" s="47" t="n"/>
      <c r="U45" s="47" t="n"/>
      <c r="V45" s="47" t="n"/>
      <c r="W45" s="47" t="n"/>
    </row>
    <row r="46" ht="12" customHeight="1">
      <c r="A46" s="30" t="inlineStr">
        <is>
          <t>Itaguai</t>
        </is>
      </c>
      <c r="B46" s="30" t="n">
        <v>11170676</v>
      </c>
      <c r="C46" s="30">
        <f>"19700976000367"</f>
        <v/>
      </c>
      <c r="D46" s="30" t="inlineStr">
        <is>
          <t>SOLUCIONA LOGISTICA E TRANSPORTE LTDA</t>
        </is>
      </c>
      <c r="E46" s="40" t="n">
        <v>0</v>
      </c>
      <c r="F46" s="40" t="n">
        <v>0</v>
      </c>
      <c r="G46" s="40" t="n">
        <v>0</v>
      </c>
      <c r="H46" s="40" t="n">
        <v>0</v>
      </c>
      <c r="I46" s="40" t="n">
        <v>0</v>
      </c>
      <c r="J46" s="40" t="n">
        <v>0</v>
      </c>
      <c r="K46" s="40" t="n">
        <v>0</v>
      </c>
      <c r="L46" s="40" t="n">
        <v>0</v>
      </c>
      <c r="M46" s="40" t="n">
        <v>0</v>
      </c>
      <c r="N46" s="40" t="n">
        <v>0</v>
      </c>
      <c r="O46" s="40" t="n">
        <v>0</v>
      </c>
      <c r="P46" s="40" t="n">
        <v>33247.95</v>
      </c>
      <c r="Q46" s="40" t="n">
        <v>100</v>
      </c>
      <c r="R46" s="47" t="n"/>
      <c r="S46" s="47" t="n"/>
      <c r="T46" s="47" t="n"/>
      <c r="U46" s="47" t="n"/>
      <c r="V46" s="47" t="n"/>
      <c r="W46" s="47" t="n"/>
    </row>
    <row r="47" ht="12" customHeight="1">
      <c r="A47" s="30" t="inlineStr">
        <is>
          <t>Itaguai</t>
        </is>
      </c>
      <c r="B47" s="30" t="n">
        <v>11176941</v>
      </c>
      <c r="C47" s="30">
        <f>"30465848000157"</f>
        <v/>
      </c>
      <c r="D47" s="30" t="inlineStr">
        <is>
          <t>COOPER AGUIA COOPERATIVA DE TRANSPORTE TURISMO FRETAMENTO E LOCAÇÃO LTDA</t>
        </is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>
        <v>0</v>
      </c>
      <c r="N47" s="40" t="n">
        <v>0</v>
      </c>
      <c r="O47" s="40" t="n">
        <v>0</v>
      </c>
      <c r="P47" s="40" t="n">
        <v>7700</v>
      </c>
      <c r="Q47" s="40" t="n">
        <v>100</v>
      </c>
      <c r="R47" s="47" t="n"/>
      <c r="S47" s="47" t="n"/>
      <c r="T47" s="47" t="n"/>
      <c r="U47" s="47" t="n"/>
      <c r="V47" s="47" t="n"/>
      <c r="W47" s="47" t="n"/>
    </row>
    <row r="48" ht="12" customHeight="1">
      <c r="A48" s="30" t="inlineStr">
        <is>
          <t>Itaguai</t>
        </is>
      </c>
      <c r="B48" s="30" t="n">
        <v>11178480</v>
      </c>
      <c r="C48" s="30">
        <f>"30578572000113"</f>
        <v/>
      </c>
      <c r="D48" s="30" t="inlineStr">
        <is>
          <t>BB AGROPECUÁRIA EIRELI</t>
        </is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>
        <v>0</v>
      </c>
      <c r="O48" s="40" t="n">
        <v>0</v>
      </c>
      <c r="P48" s="40" t="n">
        <v>0</v>
      </c>
      <c r="Q48" s="40" t="n">
        <v>0</v>
      </c>
      <c r="R48" s="47" t="n"/>
      <c r="S48" s="47" t="n"/>
      <c r="T48" s="47" t="n"/>
      <c r="U48" s="47" t="n"/>
      <c r="V48" s="47" t="n"/>
      <c r="W48" s="47" t="n"/>
    </row>
    <row r="49" ht="12" customHeight="1">
      <c r="A49" s="30" t="inlineStr">
        <is>
          <t>Itaguai</t>
        </is>
      </c>
      <c r="B49" s="30" t="n">
        <v>11185592</v>
      </c>
      <c r="C49" s="30">
        <f>"28530304000180"</f>
        <v/>
      </c>
      <c r="D49" s="30" t="inlineStr">
        <is>
          <t>ENGEMOL ENGENHARIA &amp; SERVIÇOS LTDA.</t>
        </is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>
        <v>0</v>
      </c>
      <c r="N49" s="40" t="n">
        <v>0</v>
      </c>
      <c r="O49" s="40" t="n">
        <v>0</v>
      </c>
      <c r="P49" s="40" t="n">
        <v>2420934.54</v>
      </c>
      <c r="Q49" s="40" t="n">
        <v>100</v>
      </c>
      <c r="R49" s="47" t="n"/>
      <c r="S49" s="47" t="n"/>
      <c r="T49" s="47" t="n"/>
      <c r="U49" s="47" t="n"/>
      <c r="V49" s="47" t="n"/>
      <c r="W49" s="47" t="n"/>
    </row>
    <row r="50" ht="12" customHeight="1">
      <c r="A50" s="30" t="inlineStr">
        <is>
          <t>Itaguai</t>
        </is>
      </c>
      <c r="B50" s="30" t="n">
        <v>11189113</v>
      </c>
      <c r="C50" s="30">
        <f>"30900635000106"</f>
        <v/>
      </c>
      <c r="D50" s="30" t="inlineStr">
        <is>
          <t>MERCADO MSR LTDA</t>
        </is>
      </c>
      <c r="E50" s="40" t="n">
        <v>0</v>
      </c>
      <c r="F50" s="40" t="n">
        <v>722326.24</v>
      </c>
      <c r="G50" s="40" t="n">
        <v>100</v>
      </c>
      <c r="H50" s="40" t="n">
        <v>7744807.99</v>
      </c>
      <c r="I50" s="40" t="n">
        <v>972.2</v>
      </c>
      <c r="J50" s="40" t="n">
        <v>8823814.939999999</v>
      </c>
      <c r="K50" s="40" t="n">
        <v>13.93</v>
      </c>
      <c r="L50" s="40" t="n">
        <v>8448767.359999999</v>
      </c>
      <c r="M50" s="46" t="n">
        <v>-4.25</v>
      </c>
      <c r="N50" s="40" t="n">
        <v>8343021.1</v>
      </c>
      <c r="O50" s="46" t="n">
        <v>-1.25</v>
      </c>
      <c r="P50" s="40" t="n">
        <v>4665390.63</v>
      </c>
      <c r="Q50" s="46" t="n">
        <v>-44.08</v>
      </c>
      <c r="R50" s="47" t="n"/>
      <c r="S50" s="47" t="n"/>
      <c r="T50" s="47" t="n"/>
      <c r="U50" s="47" t="n"/>
      <c r="V50" s="47" t="n"/>
      <c r="W50" s="47" t="n"/>
    </row>
    <row r="51" ht="12" customHeight="1">
      <c r="A51" s="30" t="inlineStr">
        <is>
          <t>Itaguai</t>
        </is>
      </c>
      <c r="B51" s="30" t="n">
        <v>11210775</v>
      </c>
      <c r="C51" s="30">
        <f>"21512121000192"</f>
        <v/>
      </c>
      <c r="D51" s="30" t="inlineStr">
        <is>
          <t>BEM CONSTRUTORA E INCORPORADORA EIRELI</t>
        </is>
      </c>
      <c r="E51" s="40" t="n">
        <v>0</v>
      </c>
      <c r="F51" s="40" t="n">
        <v>0</v>
      </c>
      <c r="G51" s="40" t="n">
        <v>0</v>
      </c>
      <c r="H51" s="40" t="n">
        <v>0</v>
      </c>
      <c r="I51" s="40" t="n">
        <v>0</v>
      </c>
      <c r="J51" s="40" t="n">
        <v>0</v>
      </c>
      <c r="K51" s="40" t="n">
        <v>0</v>
      </c>
      <c r="L51" s="40" t="n">
        <v>0</v>
      </c>
      <c r="M51" s="40" t="n">
        <v>0</v>
      </c>
      <c r="N51" s="40" t="n">
        <v>0</v>
      </c>
      <c r="O51" s="40" t="n">
        <v>0</v>
      </c>
      <c r="P51" s="40" t="n">
        <v>0</v>
      </c>
      <c r="Q51" s="40" t="n">
        <v>0</v>
      </c>
      <c r="R51" s="47" t="n"/>
      <c r="S51" s="47" t="n"/>
      <c r="T51" s="47" t="n"/>
      <c r="U51" s="47" t="n"/>
      <c r="V51" s="47" t="n"/>
      <c r="W51" s="47" t="n"/>
    </row>
    <row r="52" ht="12" customHeight="1">
      <c r="A52" s="30" t="inlineStr">
        <is>
          <t>Itaguai</t>
        </is>
      </c>
      <c r="B52" s="30" t="n">
        <v>11216870</v>
      </c>
      <c r="C52" s="30">
        <f>"31206714000184"</f>
        <v/>
      </c>
      <c r="D52" s="30" t="inlineStr">
        <is>
          <t>QLUZ MATERIAL ELÉTRICO, HIDRÁULICO E BAZAR LTDA</t>
        </is>
      </c>
      <c r="E52" s="40" t="n">
        <v>0</v>
      </c>
      <c r="F52" s="40" t="n">
        <v>0</v>
      </c>
      <c r="G52" s="40" t="n">
        <v>0</v>
      </c>
      <c r="H52" s="40" t="n">
        <v>0</v>
      </c>
      <c r="I52" s="40" t="n">
        <v>0</v>
      </c>
      <c r="J52" s="40" t="n">
        <v>0</v>
      </c>
      <c r="K52" s="40" t="n">
        <v>0</v>
      </c>
      <c r="L52" s="40" t="n">
        <v>0</v>
      </c>
      <c r="M52" s="40" t="n">
        <v>0</v>
      </c>
      <c r="N52" s="40" t="n">
        <v>0</v>
      </c>
      <c r="O52" s="40" t="n">
        <v>0</v>
      </c>
      <c r="P52" s="40" t="n">
        <v>0</v>
      </c>
      <c r="Q52" s="40" t="n">
        <v>0</v>
      </c>
      <c r="R52" s="47" t="n"/>
      <c r="S52" s="47" t="n"/>
      <c r="T52" s="47" t="n"/>
      <c r="U52" s="47" t="n"/>
      <c r="V52" s="47" t="n"/>
      <c r="W52" s="47" t="n"/>
    </row>
    <row r="53" ht="12" customHeight="1">
      <c r="A53" s="30" t="inlineStr">
        <is>
          <t>Itaguai</t>
        </is>
      </c>
      <c r="B53" s="30" t="n">
        <v>11220550</v>
      </c>
      <c r="C53" s="30">
        <f>"31918535000412"</f>
        <v/>
      </c>
      <c r="D53" s="30" t="inlineStr">
        <is>
          <t>TRANSTURISMO TRANSPORTADORA ORIENTAL LTDA</t>
        </is>
      </c>
      <c r="E53" s="40" t="n">
        <v>0</v>
      </c>
      <c r="F53" s="40" t="n">
        <v>0</v>
      </c>
      <c r="G53" s="40" t="n">
        <v>0</v>
      </c>
      <c r="H53" s="40" t="n">
        <v>0</v>
      </c>
      <c r="I53" s="40" t="n">
        <v>0</v>
      </c>
      <c r="J53" s="40" t="n">
        <v>0</v>
      </c>
      <c r="K53" s="40" t="n">
        <v>0</v>
      </c>
      <c r="L53" s="40" t="n">
        <v>0</v>
      </c>
      <c r="M53" s="40" t="n">
        <v>0</v>
      </c>
      <c r="N53" s="40" t="n">
        <v>0</v>
      </c>
      <c r="O53" s="40" t="n">
        <v>0</v>
      </c>
      <c r="P53" s="40" t="n">
        <v>0</v>
      </c>
      <c r="Q53" s="40" t="n">
        <v>0</v>
      </c>
      <c r="R53" s="47" t="n"/>
      <c r="S53" s="47" t="n"/>
      <c r="T53" s="47" t="n"/>
      <c r="U53" s="47" t="n"/>
      <c r="V53" s="47" t="n"/>
      <c r="W53" s="47" t="n"/>
    </row>
    <row r="54" ht="12" customHeight="1">
      <c r="A54" s="30" t="inlineStr">
        <is>
          <t>Itaguai</t>
        </is>
      </c>
      <c r="B54" s="30" t="n">
        <v>11221807</v>
      </c>
      <c r="C54" s="30">
        <f>"07516980002253"</f>
        <v/>
      </c>
      <c r="D54" s="30" t="inlineStr">
        <is>
          <t>XYZ77 TELECOMUNICACOES LTDA</t>
        </is>
      </c>
      <c r="E54" s="40" t="n">
        <v>0</v>
      </c>
      <c r="F54" s="40" t="n">
        <v>0</v>
      </c>
      <c r="G54" s="40" t="n">
        <v>0</v>
      </c>
      <c r="H54" s="40" t="n">
        <v>0</v>
      </c>
      <c r="I54" s="40" t="n">
        <v>0</v>
      </c>
      <c r="J54" s="40" t="n">
        <v>334764.85</v>
      </c>
      <c r="K54" s="40" t="n">
        <v>100</v>
      </c>
      <c r="L54" s="40" t="n">
        <v>0</v>
      </c>
      <c r="M54" s="46" t="n">
        <v>-100</v>
      </c>
      <c r="N54" s="40" t="n">
        <v>472770.03</v>
      </c>
      <c r="O54" s="40" t="n">
        <v>100</v>
      </c>
      <c r="P54" s="40" t="n">
        <v>792371.03</v>
      </c>
      <c r="Q54" s="40" t="n">
        <v>67.59999999999999</v>
      </c>
      <c r="R54" s="47" t="n"/>
      <c r="S54" s="47" t="n"/>
      <c r="T54" s="47" t="n"/>
      <c r="U54" s="47" t="n"/>
      <c r="V54" s="47" t="n"/>
      <c r="W54" s="47" t="n"/>
    </row>
    <row r="55" ht="12" customHeight="1">
      <c r="A55" s="30" t="inlineStr">
        <is>
          <t>Itaguai</t>
        </is>
      </c>
      <c r="B55" s="30" t="n">
        <v>11224830</v>
      </c>
      <c r="C55" s="30">
        <f>"13844690000107"</f>
        <v/>
      </c>
      <c r="D55" s="30" t="inlineStr">
        <is>
          <t>SEROPEC AGROPECU?RIA EIRELI</t>
        </is>
      </c>
      <c r="E55" s="40" t="n">
        <v>0</v>
      </c>
      <c r="F55" s="40" t="n">
        <v>0</v>
      </c>
      <c r="G55" s="40" t="n">
        <v>0</v>
      </c>
      <c r="H55" s="40" t="n">
        <v>0</v>
      </c>
      <c r="I55" s="40" t="n">
        <v>0</v>
      </c>
      <c r="J55" s="40" t="n">
        <v>0</v>
      </c>
      <c r="K55" s="40" t="n">
        <v>0</v>
      </c>
      <c r="L55" s="40" t="n">
        <v>0</v>
      </c>
      <c r="M55" s="40" t="n">
        <v>0</v>
      </c>
      <c r="N55" s="40" t="n">
        <v>0</v>
      </c>
      <c r="O55" s="40" t="n">
        <v>0</v>
      </c>
      <c r="P55" s="40" t="n">
        <v>0</v>
      </c>
      <c r="Q55" s="40" t="n">
        <v>0</v>
      </c>
      <c r="R55" s="47" t="n"/>
      <c r="S55" s="47" t="n"/>
      <c r="T55" s="47" t="n"/>
      <c r="U55" s="47" t="n"/>
      <c r="V55" s="47" t="n"/>
      <c r="W55" s="47" t="n"/>
    </row>
    <row r="56" ht="12" customHeight="1">
      <c r="A56" s="30" t="inlineStr">
        <is>
          <t>Itaguai</t>
        </is>
      </c>
      <c r="B56" s="30" t="n">
        <v>11226590</v>
      </c>
      <c r="C56" s="30">
        <f>"16561209000245"</f>
        <v/>
      </c>
      <c r="D56" s="30" t="inlineStr">
        <is>
          <t>BELMAQ ALUGUEIS LTDA</t>
        </is>
      </c>
      <c r="E56" s="40" t="n">
        <v>0</v>
      </c>
      <c r="F56" s="40" t="n">
        <v>0</v>
      </c>
      <c r="G56" s="40" t="n">
        <v>0</v>
      </c>
      <c r="H56" s="40" t="n">
        <v>0</v>
      </c>
      <c r="I56" s="40" t="n">
        <v>0</v>
      </c>
      <c r="J56" s="40" t="n">
        <v>0</v>
      </c>
      <c r="K56" s="40" t="n">
        <v>0</v>
      </c>
      <c r="L56" s="40" t="n">
        <v>0</v>
      </c>
      <c r="M56" s="40" t="n">
        <v>0</v>
      </c>
      <c r="N56" s="40" t="n">
        <v>3000</v>
      </c>
      <c r="O56" s="40" t="n">
        <v>100</v>
      </c>
      <c r="P56" s="40" t="n">
        <v>3000</v>
      </c>
      <c r="Q56" s="40" t="n">
        <v>0</v>
      </c>
      <c r="R56" s="47" t="n"/>
      <c r="S56" s="47" t="n"/>
      <c r="T56" s="47" t="n"/>
      <c r="U56" s="47" t="n"/>
      <c r="V56" s="47" t="n"/>
      <c r="W56" s="47" t="n"/>
    </row>
    <row r="57" ht="12" customHeight="1">
      <c r="A57" s="30" t="inlineStr">
        <is>
          <t>Itaguai</t>
        </is>
      </c>
      <c r="B57" s="30" t="n">
        <v>11236499</v>
      </c>
      <c r="C57" s="30">
        <f>"73305997000757"</f>
        <v/>
      </c>
      <c r="D57" s="30" t="inlineStr">
        <is>
          <t>REMA TIP TOP SERVICOS DE VULCANIZACAO LTDA</t>
        </is>
      </c>
      <c r="E57" s="40" t="n">
        <v>0</v>
      </c>
      <c r="F57" s="40" t="n">
        <v>0</v>
      </c>
      <c r="G57" s="40" t="n">
        <v>0</v>
      </c>
      <c r="H57" s="40" t="n">
        <v>0</v>
      </c>
      <c r="I57" s="40" t="n">
        <v>0</v>
      </c>
      <c r="J57" s="40" t="n">
        <v>0</v>
      </c>
      <c r="K57" s="40" t="n">
        <v>0</v>
      </c>
      <c r="L57" s="40" t="n">
        <v>0</v>
      </c>
      <c r="M57" s="40" t="n">
        <v>0</v>
      </c>
      <c r="N57" s="40" t="n">
        <v>117246.24</v>
      </c>
      <c r="O57" s="40" t="n">
        <v>100</v>
      </c>
      <c r="P57" s="40" t="n">
        <v>0</v>
      </c>
      <c r="Q57" s="46" t="n">
        <v>-100</v>
      </c>
      <c r="R57" s="47" t="n"/>
      <c r="S57" s="47" t="n"/>
      <c r="T57" s="47" t="n"/>
      <c r="U57" s="47" t="n"/>
      <c r="V57" s="47" t="n"/>
      <c r="W57" s="47" t="n"/>
    </row>
    <row r="58" ht="12" customHeight="1">
      <c r="A58" s="30" t="inlineStr">
        <is>
          <t>Itaguai</t>
        </is>
      </c>
      <c r="B58" s="30" t="n">
        <v>11258921</v>
      </c>
      <c r="C58" s="30">
        <f>"13777330000130"</f>
        <v/>
      </c>
      <c r="D58" s="30" t="inlineStr">
        <is>
          <t>H2 POWER ENERGIA EIRELI</t>
        </is>
      </c>
      <c r="E58" s="40" t="n">
        <v>0</v>
      </c>
      <c r="F58" s="40" t="n">
        <v>0</v>
      </c>
      <c r="G58" s="40" t="n">
        <v>0</v>
      </c>
      <c r="H58" s="40" t="n">
        <v>0</v>
      </c>
      <c r="I58" s="40" t="n">
        <v>0</v>
      </c>
      <c r="J58" s="40" t="n">
        <v>0</v>
      </c>
      <c r="K58" s="40" t="n">
        <v>0</v>
      </c>
      <c r="L58" s="40" t="n">
        <v>0</v>
      </c>
      <c r="M58" s="40" t="n">
        <v>0</v>
      </c>
      <c r="N58" s="40" t="n">
        <v>0</v>
      </c>
      <c r="O58" s="40" t="n">
        <v>0</v>
      </c>
      <c r="P58" s="40" t="n">
        <v>0</v>
      </c>
      <c r="Q58" s="40" t="n">
        <v>0</v>
      </c>
      <c r="R58" s="47" t="n"/>
      <c r="S58" s="47" t="n"/>
      <c r="T58" s="47" t="n"/>
      <c r="U58" s="47" t="n"/>
      <c r="V58" s="47" t="n"/>
      <c r="W58" s="47" t="n"/>
    </row>
    <row r="59" ht="12" customHeight="1">
      <c r="A59" s="30" t="inlineStr">
        <is>
          <t>Itaguai</t>
        </is>
      </c>
      <c r="B59" s="30" t="n">
        <v>11266088</v>
      </c>
      <c r="C59" s="30">
        <f>"31625963000104"</f>
        <v/>
      </c>
      <c r="D59" s="30" t="inlineStr">
        <is>
          <t>MCW MANUTENÇÃO E INSTALAÇÃO LTDA</t>
        </is>
      </c>
      <c r="E59" s="40" t="n">
        <v>0</v>
      </c>
      <c r="F59" s="40" t="n">
        <v>0</v>
      </c>
      <c r="G59" s="40" t="n">
        <v>0</v>
      </c>
      <c r="H59" s="40" t="n">
        <v>0</v>
      </c>
      <c r="I59" s="40" t="n">
        <v>0</v>
      </c>
      <c r="J59" s="40" t="n">
        <v>0</v>
      </c>
      <c r="K59" s="40" t="n">
        <v>0</v>
      </c>
      <c r="L59" s="40" t="n">
        <v>0</v>
      </c>
      <c r="M59" s="40" t="n">
        <v>0</v>
      </c>
      <c r="N59" s="40" t="n">
        <v>0</v>
      </c>
      <c r="O59" s="40" t="n">
        <v>0</v>
      </c>
      <c r="P59" s="40" t="n">
        <v>2371.43</v>
      </c>
      <c r="Q59" s="40" t="n">
        <v>100</v>
      </c>
      <c r="R59" s="47" t="n"/>
      <c r="S59" s="47" t="n"/>
      <c r="T59" s="47" t="n"/>
      <c r="U59" s="47" t="n"/>
      <c r="V59" s="47" t="n"/>
      <c r="W59" s="47" t="n"/>
    </row>
    <row r="60" ht="12" customHeight="1">
      <c r="A60" s="30" t="inlineStr">
        <is>
          <t>Itaguai</t>
        </is>
      </c>
      <c r="B60" s="30" t="n">
        <v>11268366</v>
      </c>
      <c r="C60" s="30">
        <f>"02954620000861"</f>
        <v/>
      </c>
      <c r="D60" s="30" t="inlineStr">
        <is>
          <t>TBNET COMERCIO, LOCACAO E ADMINISTRACAO LTDA</t>
        </is>
      </c>
      <c r="E60" s="40" t="n">
        <v>0</v>
      </c>
      <c r="F60" s="40" t="n">
        <v>0</v>
      </c>
      <c r="G60" s="40" t="n">
        <v>0</v>
      </c>
      <c r="H60" s="40" t="n">
        <v>4108.28</v>
      </c>
      <c r="I60" s="40" t="n">
        <v>100</v>
      </c>
      <c r="J60" s="40" t="n">
        <v>6698.5</v>
      </c>
      <c r="K60" s="40" t="n">
        <v>63.05</v>
      </c>
      <c r="L60" s="40" t="n">
        <v>8915.34</v>
      </c>
      <c r="M60" s="40" t="n">
        <v>33.09</v>
      </c>
      <c r="N60" s="40" t="n">
        <v>8239.24</v>
      </c>
      <c r="O60" s="46" t="n">
        <v>-7.58</v>
      </c>
      <c r="P60" s="40" t="n">
        <v>12451.55</v>
      </c>
      <c r="Q60" s="40" t="n">
        <v>51.12</v>
      </c>
      <c r="R60" s="47" t="n"/>
      <c r="S60" s="47" t="n"/>
      <c r="T60" s="47" t="n"/>
      <c r="U60" s="47" t="n"/>
      <c r="V60" s="47" t="n"/>
      <c r="W60" s="47" t="n"/>
    </row>
    <row r="61" ht="12" customHeight="1">
      <c r="A61" s="30" t="inlineStr">
        <is>
          <t>Itaguai</t>
        </is>
      </c>
      <c r="B61" s="30" t="n">
        <v>11275672</v>
      </c>
      <c r="C61" s="30">
        <f>"04136497000120"</f>
        <v/>
      </c>
      <c r="D61" s="30" t="inlineStr">
        <is>
          <t>S. R. INCORPORAÇÕES LTDA</t>
        </is>
      </c>
      <c r="E61" s="40" t="n">
        <v>0</v>
      </c>
      <c r="F61" s="40" t="n">
        <v>0</v>
      </c>
      <c r="G61" s="40" t="n">
        <v>0</v>
      </c>
      <c r="H61" s="40" t="n">
        <v>0</v>
      </c>
      <c r="I61" s="40" t="n">
        <v>0</v>
      </c>
      <c r="J61" s="40" t="n">
        <v>0</v>
      </c>
      <c r="K61" s="40" t="n">
        <v>0</v>
      </c>
      <c r="L61" s="40" t="n">
        <v>0</v>
      </c>
      <c r="M61" s="40" t="n">
        <v>0</v>
      </c>
      <c r="N61" s="40" t="n">
        <v>0</v>
      </c>
      <c r="O61" s="40" t="n">
        <v>0</v>
      </c>
      <c r="P61" s="40" t="n">
        <v>0</v>
      </c>
      <c r="Q61" s="40" t="n">
        <v>0</v>
      </c>
      <c r="R61" s="47" t="n"/>
      <c r="S61" s="47" t="n"/>
      <c r="T61" s="47" t="n"/>
      <c r="U61" s="47" t="n"/>
      <c r="V61" s="47" t="n"/>
      <c r="W61" s="47" t="n"/>
    </row>
    <row r="62" ht="12" customHeight="1">
      <c r="A62" s="30" t="inlineStr">
        <is>
          <t>Itaguai</t>
        </is>
      </c>
      <c r="B62" s="30" t="n">
        <v>11278892</v>
      </c>
      <c r="C62" s="30">
        <f>"05112286000544"</f>
        <v/>
      </c>
      <c r="D62" s="30" t="inlineStr">
        <is>
          <t>BINHO TRANSPORTES E LOGISTICA EIRELI</t>
        </is>
      </c>
      <c r="E62" s="40" t="n">
        <v>0</v>
      </c>
      <c r="F62" s="40" t="n">
        <v>0</v>
      </c>
      <c r="G62" s="40" t="n">
        <v>0</v>
      </c>
      <c r="H62" s="40" t="n">
        <v>0</v>
      </c>
      <c r="I62" s="40" t="n">
        <v>0</v>
      </c>
      <c r="J62" s="40" t="n">
        <v>0</v>
      </c>
      <c r="K62" s="40" t="n">
        <v>0</v>
      </c>
      <c r="L62" s="40" t="n">
        <v>0</v>
      </c>
      <c r="M62" s="40" t="n">
        <v>0</v>
      </c>
      <c r="N62" s="40" t="n">
        <v>754.86</v>
      </c>
      <c r="O62" s="40" t="n">
        <v>100</v>
      </c>
      <c r="P62" s="40" t="n">
        <v>0</v>
      </c>
      <c r="Q62" s="46" t="n">
        <v>-100</v>
      </c>
      <c r="R62" s="47" t="n"/>
      <c r="S62" s="47" t="n"/>
      <c r="T62" s="47" t="n"/>
      <c r="U62" s="47" t="n"/>
      <c r="V62" s="47" t="n"/>
      <c r="W62" s="47" t="n"/>
    </row>
    <row r="63" ht="12" customHeight="1">
      <c r="A63" s="30" t="inlineStr">
        <is>
          <t>Itaguai</t>
        </is>
      </c>
      <c r="B63" s="30" t="n">
        <v>11283969</v>
      </c>
      <c r="C63" s="30">
        <f>"28441388000266"</f>
        <v/>
      </c>
      <c r="D63" s="30" t="inlineStr">
        <is>
          <t>GROUP TRANS TRANSPORTES EIRELI</t>
        </is>
      </c>
      <c r="E63" s="40" t="n">
        <v>0</v>
      </c>
      <c r="F63" s="40" t="n">
        <v>0</v>
      </c>
      <c r="G63" s="40" t="n">
        <v>0</v>
      </c>
      <c r="H63" s="40" t="n">
        <v>0</v>
      </c>
      <c r="I63" s="40" t="n">
        <v>0</v>
      </c>
      <c r="J63" s="40" t="n">
        <v>273.57</v>
      </c>
      <c r="K63" s="40" t="n">
        <v>100</v>
      </c>
      <c r="L63" s="40" t="n">
        <v>0</v>
      </c>
      <c r="M63" s="46" t="n">
        <v>-100</v>
      </c>
      <c r="N63" s="40" t="n">
        <v>531</v>
      </c>
      <c r="O63" s="40" t="n">
        <v>100</v>
      </c>
      <c r="P63" s="40" t="n">
        <v>145.87</v>
      </c>
      <c r="Q63" s="46" t="n">
        <v>-72.53</v>
      </c>
      <c r="R63" s="47" t="n"/>
      <c r="S63" s="47" t="n"/>
      <c r="T63" s="47" t="n"/>
      <c r="U63" s="47" t="n"/>
      <c r="V63" s="47" t="n"/>
      <c r="W63" s="47" t="n"/>
    </row>
    <row r="64" ht="12" customHeight="1">
      <c r="A64" s="30" t="inlineStr">
        <is>
          <t>Itaguai</t>
        </is>
      </c>
      <c r="B64" s="30" t="n">
        <v>11288570</v>
      </c>
      <c r="C64" s="30">
        <f>"31663381000112"</f>
        <v/>
      </c>
      <c r="D64" s="30" t="inlineStr">
        <is>
          <t>OFF RIO MOTORS VEICULOS LTDA</t>
        </is>
      </c>
      <c r="E64" s="40" t="n">
        <v>0</v>
      </c>
      <c r="F64" s="40" t="n">
        <v>0</v>
      </c>
      <c r="G64" s="40" t="n">
        <v>0</v>
      </c>
      <c r="H64" s="40" t="n">
        <v>0</v>
      </c>
      <c r="I64" s="40" t="n">
        <v>0</v>
      </c>
      <c r="J64" s="40" t="n">
        <v>0</v>
      </c>
      <c r="K64" s="40" t="n">
        <v>0</v>
      </c>
      <c r="L64" s="40" t="n">
        <v>0</v>
      </c>
      <c r="M64" s="40" t="n">
        <v>0</v>
      </c>
      <c r="N64" s="40" t="n">
        <v>0</v>
      </c>
      <c r="O64" s="40" t="n">
        <v>0</v>
      </c>
      <c r="P64" s="40" t="n">
        <v>0</v>
      </c>
      <c r="Q64" s="40" t="n">
        <v>0</v>
      </c>
      <c r="R64" s="47" t="n"/>
      <c r="S64" s="47" t="n"/>
      <c r="T64" s="47" t="n"/>
      <c r="U64" s="47" t="n"/>
      <c r="V64" s="47" t="n"/>
      <c r="W64" s="47" t="n"/>
    </row>
    <row r="65" ht="12" customHeight="1">
      <c r="A65" s="30" t="inlineStr">
        <is>
          <t>Itaguai</t>
        </is>
      </c>
      <c r="B65" s="30" t="n">
        <v>11305377</v>
      </c>
      <c r="C65" s="30">
        <f>"09537442000308"</f>
        <v/>
      </c>
      <c r="D65" s="30" t="inlineStr">
        <is>
          <t>TRAXTERRA SERVICOS E EQUIPAMENTOS LTDA</t>
        </is>
      </c>
      <c r="E65" s="40" t="n">
        <v>0</v>
      </c>
      <c r="F65" s="40" t="n">
        <v>0</v>
      </c>
      <c r="G65" s="40" t="n">
        <v>0</v>
      </c>
      <c r="H65" s="40" t="n">
        <v>0</v>
      </c>
      <c r="I65" s="40" t="n">
        <v>0</v>
      </c>
      <c r="J65" s="40" t="n">
        <v>0</v>
      </c>
      <c r="K65" s="40" t="n">
        <v>0</v>
      </c>
      <c r="L65" s="40" t="n">
        <v>0</v>
      </c>
      <c r="M65" s="40" t="n">
        <v>0</v>
      </c>
      <c r="N65" s="40" t="n">
        <v>0</v>
      </c>
      <c r="O65" s="40" t="n">
        <v>0</v>
      </c>
      <c r="P65" s="40" t="n">
        <v>0</v>
      </c>
      <c r="Q65" s="40" t="n">
        <v>0</v>
      </c>
      <c r="R65" s="47" t="n"/>
      <c r="S65" s="47" t="n"/>
      <c r="T65" s="47" t="n"/>
      <c r="U65" s="47" t="n"/>
      <c r="V65" s="47" t="n"/>
      <c r="W65" s="47" t="n"/>
    </row>
    <row r="66" ht="12" customHeight="1">
      <c r="A66" s="30" t="inlineStr">
        <is>
          <t>Itaguai</t>
        </is>
      </c>
      <c r="B66" s="30" t="n">
        <v>11305385</v>
      </c>
      <c r="C66" s="30">
        <f>"08381155000631"</f>
        <v/>
      </c>
      <c r="D66" s="30" t="inlineStr">
        <is>
          <t>LNG 10 CONFECCOES LTDA</t>
        </is>
      </c>
      <c r="E66" s="40" t="n">
        <v>0</v>
      </c>
      <c r="F66" s="40" t="n">
        <v>0</v>
      </c>
      <c r="G66" s="40" t="n">
        <v>0</v>
      </c>
      <c r="H66" s="40" t="n">
        <v>2373529.93</v>
      </c>
      <c r="I66" s="40" t="n">
        <v>100</v>
      </c>
      <c r="J66" s="40" t="n">
        <v>1689883.52</v>
      </c>
      <c r="K66" s="46" t="n">
        <v>-28.8</v>
      </c>
      <c r="L66" s="40" t="n">
        <v>2409868.81</v>
      </c>
      <c r="M66" s="40" t="n">
        <v>42.61</v>
      </c>
      <c r="N66" s="40" t="n">
        <v>2675888.2</v>
      </c>
      <c r="O66" s="40" t="n">
        <v>11.04</v>
      </c>
      <c r="P66" s="40" t="n">
        <v>3745344.96</v>
      </c>
      <c r="Q66" s="40" t="n">
        <v>39.97</v>
      </c>
      <c r="R66" s="47" t="n"/>
      <c r="S66" s="47" t="n"/>
      <c r="T66" s="47" t="n"/>
      <c r="U66" s="47" t="n"/>
      <c r="V66" s="47" t="n"/>
      <c r="W66" s="47" t="n"/>
    </row>
    <row r="67" ht="12" customHeight="1">
      <c r="A67" s="30" t="inlineStr">
        <is>
          <t>Itaguai</t>
        </is>
      </c>
      <c r="B67" s="30" t="n">
        <v>11306080</v>
      </c>
      <c r="C67" s="30">
        <f>"03308232000523"</f>
        <v/>
      </c>
      <c r="D67" s="30" t="inlineStr">
        <is>
          <t>TURIN TRANSPORTES LTDA</t>
        </is>
      </c>
      <c r="E67" s="40" t="n">
        <v>0</v>
      </c>
      <c r="F67" s="40" t="n">
        <v>0</v>
      </c>
      <c r="G67" s="40" t="n">
        <v>0</v>
      </c>
      <c r="H67" s="40" t="n">
        <v>0</v>
      </c>
      <c r="I67" s="40" t="n">
        <v>0</v>
      </c>
      <c r="J67" s="40" t="n">
        <v>1909862.89</v>
      </c>
      <c r="K67" s="40" t="n">
        <v>100</v>
      </c>
      <c r="L67" s="40" t="n">
        <v>2895414.92</v>
      </c>
      <c r="M67" s="40" t="n">
        <v>51.6</v>
      </c>
      <c r="N67" s="40" t="n">
        <v>83461.55</v>
      </c>
      <c r="O67" s="46" t="n">
        <v>-97.12</v>
      </c>
      <c r="P67" s="40" t="n">
        <v>88299.16</v>
      </c>
      <c r="Q67" s="40" t="n">
        <v>5.8</v>
      </c>
      <c r="R67" s="47" t="n"/>
      <c r="S67" s="47" t="n"/>
      <c r="T67" s="47" t="n"/>
      <c r="U67" s="47" t="n"/>
      <c r="V67" s="47" t="n"/>
      <c r="W67" s="47" t="n"/>
    </row>
    <row r="68" ht="12" customHeight="1">
      <c r="A68" s="30" t="inlineStr">
        <is>
          <t>Itaguai</t>
        </is>
      </c>
      <c r="B68" s="30" t="n">
        <v>11306870</v>
      </c>
      <c r="C68" s="30">
        <f>"26607430000321"</f>
        <v/>
      </c>
      <c r="D68" s="30" t="inlineStr">
        <is>
          <t>EXPRESSO JA LTDA</t>
        </is>
      </c>
      <c r="E68" s="40" t="n">
        <v>0</v>
      </c>
      <c r="F68" s="40" t="n">
        <v>0</v>
      </c>
      <c r="G68" s="40" t="n">
        <v>0</v>
      </c>
      <c r="H68" s="40" t="n">
        <v>0</v>
      </c>
      <c r="I68" s="40" t="n">
        <v>0</v>
      </c>
      <c r="J68" s="40" t="n">
        <v>0</v>
      </c>
      <c r="K68" s="40" t="n">
        <v>0</v>
      </c>
      <c r="L68" s="40" t="n">
        <v>0</v>
      </c>
      <c r="M68" s="40" t="n">
        <v>0</v>
      </c>
      <c r="N68" s="40" t="n">
        <v>121.49</v>
      </c>
      <c r="O68" s="40" t="n">
        <v>100</v>
      </c>
      <c r="P68" s="40" t="n">
        <v>146.09</v>
      </c>
      <c r="Q68" s="40" t="n">
        <v>20.25</v>
      </c>
      <c r="R68" s="47" t="n"/>
      <c r="S68" s="47" t="n"/>
      <c r="T68" s="47" t="n"/>
      <c r="U68" s="47" t="n"/>
      <c r="V68" s="47" t="n"/>
      <c r="W68" s="47" t="n"/>
    </row>
    <row r="69" ht="12" customHeight="1">
      <c r="A69" s="30" t="inlineStr">
        <is>
          <t>Itaguai</t>
        </is>
      </c>
      <c r="B69" s="30" t="n">
        <v>11309615</v>
      </c>
      <c r="C69" s="30">
        <f>"32134502000100"</f>
        <v/>
      </c>
      <c r="D69" s="30" t="inlineStr">
        <is>
          <t>RG LOCAÇÕES E SERVIÇOS EIRELI</t>
        </is>
      </c>
      <c r="E69" s="40" t="n">
        <v>0</v>
      </c>
      <c r="F69" s="40" t="n">
        <v>0</v>
      </c>
      <c r="G69" s="40" t="n">
        <v>0</v>
      </c>
      <c r="H69" s="40" t="n">
        <v>0</v>
      </c>
      <c r="I69" s="40" t="n">
        <v>0</v>
      </c>
      <c r="J69" s="40" t="n">
        <v>0</v>
      </c>
      <c r="K69" s="40" t="n">
        <v>0</v>
      </c>
      <c r="L69" s="40" t="n">
        <v>0</v>
      </c>
      <c r="M69" s="40" t="n">
        <v>0</v>
      </c>
      <c r="N69" s="40" t="n">
        <v>0</v>
      </c>
      <c r="O69" s="40" t="n">
        <v>0</v>
      </c>
      <c r="P69" s="40" t="n">
        <v>0</v>
      </c>
      <c r="Q69" s="40" t="n">
        <v>0</v>
      </c>
      <c r="R69" s="47" t="n"/>
      <c r="S69" s="47" t="n"/>
      <c r="T69" s="47" t="n"/>
      <c r="U69" s="47" t="n"/>
      <c r="V69" s="47" t="n"/>
      <c r="W69" s="47" t="n"/>
    </row>
    <row r="70" ht="12" customHeight="1">
      <c r="A70" s="30" t="inlineStr">
        <is>
          <t>Itaguai</t>
        </is>
      </c>
      <c r="B70" s="30" t="n">
        <v>11309739</v>
      </c>
      <c r="C70" s="30">
        <f>"05476099000469"</f>
        <v/>
      </c>
      <c r="D70" s="30" t="inlineStr">
        <is>
          <t>SOMA LOGISTICA E LOCACOES LTDA</t>
        </is>
      </c>
      <c r="E70" s="40" t="n">
        <v>0</v>
      </c>
      <c r="F70" s="40" t="n">
        <v>0</v>
      </c>
      <c r="G70" s="40" t="n">
        <v>0</v>
      </c>
      <c r="H70" s="40" t="n">
        <v>141639.64</v>
      </c>
      <c r="I70" s="40" t="n">
        <v>100</v>
      </c>
      <c r="J70" s="40" t="n">
        <v>140</v>
      </c>
      <c r="K70" s="46" t="n">
        <v>-99.90000000000001</v>
      </c>
      <c r="L70" s="40" t="n">
        <v>0</v>
      </c>
      <c r="M70" s="46" t="n">
        <v>-100</v>
      </c>
      <c r="N70" s="40" t="n">
        <v>0</v>
      </c>
      <c r="O70" s="40" t="n">
        <v>0</v>
      </c>
      <c r="P70" s="40" t="n">
        <v>0</v>
      </c>
      <c r="Q70" s="40" t="n">
        <v>0</v>
      </c>
      <c r="R70" s="47" t="n"/>
      <c r="S70" s="47" t="n"/>
      <c r="T70" s="47" t="n"/>
      <c r="U70" s="47" t="n"/>
      <c r="V70" s="47" t="n"/>
      <c r="W70" s="47" t="n"/>
    </row>
    <row r="71" ht="12" customHeight="1">
      <c r="A71" s="30" t="inlineStr">
        <is>
          <t>Itaguai</t>
        </is>
      </c>
      <c r="B71" s="30" t="n">
        <v>11327133</v>
      </c>
      <c r="C71" s="30">
        <f>"13675188000209"</f>
        <v/>
      </c>
      <c r="D71" s="30" t="inlineStr">
        <is>
          <t>T&amp;T LOCACAO DE MAQUINAS E EQUIPAMENTOS E TRANSPORTE DE CARGAS E CONTAINERES LTDA</t>
        </is>
      </c>
      <c r="E71" s="40" t="n">
        <v>0</v>
      </c>
      <c r="F71" s="40" t="n">
        <v>0</v>
      </c>
      <c r="G71" s="40" t="n">
        <v>0</v>
      </c>
      <c r="H71" s="40" t="n">
        <v>0</v>
      </c>
      <c r="I71" s="40" t="n">
        <v>0</v>
      </c>
      <c r="J71" s="40" t="n">
        <v>0</v>
      </c>
      <c r="K71" s="40" t="n">
        <v>0</v>
      </c>
      <c r="L71" s="40" t="n">
        <v>0</v>
      </c>
      <c r="M71" s="40" t="n">
        <v>0</v>
      </c>
      <c r="N71" s="40" t="n">
        <v>0</v>
      </c>
      <c r="O71" s="40" t="n">
        <v>0</v>
      </c>
      <c r="P71" s="40" t="n">
        <v>0</v>
      </c>
      <c r="Q71" s="40" t="n">
        <v>0</v>
      </c>
      <c r="R71" s="47" t="n"/>
      <c r="S71" s="47" t="n"/>
      <c r="T71" s="47" t="n"/>
      <c r="U71" s="47" t="n"/>
      <c r="V71" s="47" t="n"/>
      <c r="W71" s="47" t="n"/>
    </row>
    <row r="72" ht="12" customHeight="1">
      <c r="A72" s="30" t="inlineStr">
        <is>
          <t>Itaguai</t>
        </is>
      </c>
      <c r="B72" s="30" t="n">
        <v>11327559</v>
      </c>
      <c r="C72" s="30">
        <f>"29574909000135"</f>
        <v/>
      </c>
      <c r="D72" s="30" t="inlineStr">
        <is>
          <t>MES - GENSOLARIS ARRENDAMENTO DE SISTEMAS FOTOVOLTAICOS LTDA</t>
        </is>
      </c>
      <c r="E72" s="40" t="n">
        <v>0</v>
      </c>
      <c r="F72" s="40" t="n">
        <v>0</v>
      </c>
      <c r="G72" s="40" t="n">
        <v>0</v>
      </c>
      <c r="H72" s="40" t="n">
        <v>0</v>
      </c>
      <c r="I72" s="40" t="n">
        <v>0</v>
      </c>
      <c r="J72" s="40" t="n">
        <v>0</v>
      </c>
      <c r="K72" s="40" t="n">
        <v>0</v>
      </c>
      <c r="L72" s="40" t="n">
        <v>0</v>
      </c>
      <c r="M72" s="40" t="n">
        <v>0</v>
      </c>
      <c r="N72" s="40" t="n">
        <v>0</v>
      </c>
      <c r="O72" s="40" t="n">
        <v>0</v>
      </c>
      <c r="P72" s="40" t="n">
        <v>0</v>
      </c>
      <c r="Q72" s="40" t="n">
        <v>0</v>
      </c>
      <c r="R72" s="47" t="n"/>
      <c r="S72" s="47" t="n"/>
      <c r="T72" s="47" t="n"/>
      <c r="U72" s="47" t="n"/>
      <c r="V72" s="47" t="n"/>
      <c r="W72" s="47" t="n"/>
    </row>
    <row r="73" ht="12" customHeight="1">
      <c r="A73" s="30" t="inlineStr">
        <is>
          <t>Itaguai</t>
        </is>
      </c>
      <c r="B73" s="30" t="n">
        <v>11335209</v>
      </c>
      <c r="C73" s="30">
        <f>"30225668000521"</f>
        <v/>
      </c>
      <c r="D73" s="30" t="inlineStr">
        <is>
          <t>N A DA SILVA DROGARIAS LTDA EPP</t>
        </is>
      </c>
      <c r="E73" s="40" t="n">
        <v>0</v>
      </c>
      <c r="F73" s="40" t="n">
        <v>0</v>
      </c>
      <c r="G73" s="40" t="n">
        <v>0</v>
      </c>
      <c r="H73" s="40" t="n">
        <v>0</v>
      </c>
      <c r="I73" s="40" t="n">
        <v>0</v>
      </c>
      <c r="J73" s="40" t="n">
        <v>0</v>
      </c>
      <c r="K73" s="40" t="n">
        <v>0</v>
      </c>
      <c r="L73" s="40" t="n">
        <v>0</v>
      </c>
      <c r="M73" s="40" t="n">
        <v>0</v>
      </c>
      <c r="N73" s="40" t="n">
        <v>0</v>
      </c>
      <c r="O73" s="40" t="n">
        <v>0</v>
      </c>
      <c r="P73" s="40" t="n">
        <v>0</v>
      </c>
      <c r="Q73" s="40" t="n">
        <v>0</v>
      </c>
      <c r="R73" s="47" t="n"/>
      <c r="S73" s="47" t="n"/>
      <c r="T73" s="47" t="n"/>
      <c r="U73" s="47" t="n"/>
      <c r="V73" s="47" t="n"/>
      <c r="W73" s="47" t="n"/>
    </row>
    <row r="74" ht="12" customHeight="1">
      <c r="A74" s="30" t="inlineStr">
        <is>
          <t>Itaguai</t>
        </is>
      </c>
      <c r="B74" s="30" t="n">
        <v>11336353</v>
      </c>
      <c r="C74" s="30">
        <f>"26954424000189"</f>
        <v/>
      </c>
      <c r="D74" s="30" t="inlineStr">
        <is>
          <t>ITAGUAI AUTO CENTER LTDA</t>
        </is>
      </c>
      <c r="E74" s="40" t="n">
        <v>0</v>
      </c>
      <c r="F74" s="40" t="n">
        <v>0</v>
      </c>
      <c r="G74" s="40" t="n">
        <v>0</v>
      </c>
      <c r="H74" s="40" t="n">
        <v>0</v>
      </c>
      <c r="I74" s="40" t="n">
        <v>0</v>
      </c>
      <c r="J74" s="40" t="n">
        <v>0</v>
      </c>
      <c r="K74" s="40" t="n">
        <v>0</v>
      </c>
      <c r="L74" s="40" t="n">
        <v>551412.92</v>
      </c>
      <c r="M74" s="40" t="n">
        <v>100</v>
      </c>
      <c r="N74" s="40" t="n">
        <v>1156539.72</v>
      </c>
      <c r="O74" s="40" t="n">
        <v>109.74</v>
      </c>
      <c r="P74" s="40" t="n">
        <v>3706059.52</v>
      </c>
      <c r="Q74" s="40" t="n">
        <v>220.44</v>
      </c>
      <c r="R74" s="47" t="n"/>
      <c r="S74" s="47" t="n"/>
      <c r="T74" s="47" t="n"/>
      <c r="U74" s="47" t="n"/>
      <c r="V74" s="47" t="n"/>
      <c r="W74" s="47" t="n"/>
    </row>
    <row r="75" ht="12" customHeight="1">
      <c r="A75" s="30" t="inlineStr">
        <is>
          <t>Itaguai</t>
        </is>
      </c>
      <c r="B75" s="30" t="n">
        <v>11341349</v>
      </c>
      <c r="C75" s="30">
        <f>"27203551000290"</f>
        <v/>
      </c>
      <c r="D75" s="30" t="inlineStr">
        <is>
          <t>SCALT ENCOMENDAS EXPRESSAS LTDA</t>
        </is>
      </c>
      <c r="E75" s="40" t="n">
        <v>0</v>
      </c>
      <c r="F75" s="40" t="n">
        <v>0</v>
      </c>
      <c r="G75" s="40" t="n">
        <v>0</v>
      </c>
      <c r="H75" s="40" t="n">
        <v>0</v>
      </c>
      <c r="I75" s="40" t="n">
        <v>0</v>
      </c>
      <c r="J75" s="40" t="n">
        <v>0</v>
      </c>
      <c r="K75" s="40" t="n">
        <v>0</v>
      </c>
      <c r="L75" s="40" t="n">
        <v>0</v>
      </c>
      <c r="M75" s="40" t="n">
        <v>0</v>
      </c>
      <c r="N75" s="40" t="n">
        <v>529.28</v>
      </c>
      <c r="O75" s="40" t="n">
        <v>100</v>
      </c>
      <c r="P75" s="40" t="n">
        <v>1437.53</v>
      </c>
      <c r="Q75" s="40" t="n">
        <v>171.6</v>
      </c>
      <c r="R75" s="47" t="n"/>
      <c r="S75" s="47" t="n"/>
      <c r="T75" s="47" t="n"/>
      <c r="U75" s="47" t="n"/>
      <c r="V75" s="47" t="n"/>
      <c r="W75" s="47" t="n"/>
    </row>
    <row r="76" ht="12" customHeight="1">
      <c r="A76" s="30" t="inlineStr">
        <is>
          <t>Itaguai</t>
        </is>
      </c>
      <c r="B76" s="30" t="n">
        <v>11342604</v>
      </c>
      <c r="C76" s="30">
        <f>"32494457000196"</f>
        <v/>
      </c>
      <c r="D76" s="30" t="inlineStr">
        <is>
          <t>EXPRESSO CAR REVENDA EIRELI</t>
        </is>
      </c>
      <c r="E76" s="40" t="n">
        <v>0</v>
      </c>
      <c r="F76" s="40" t="n">
        <v>0</v>
      </c>
      <c r="G76" s="40" t="n">
        <v>0</v>
      </c>
      <c r="H76" s="40" t="n">
        <v>0</v>
      </c>
      <c r="I76" s="40" t="n">
        <v>0</v>
      </c>
      <c r="J76" s="40" t="n">
        <v>0</v>
      </c>
      <c r="K76" s="40" t="n">
        <v>0</v>
      </c>
      <c r="L76" s="40" t="n">
        <v>0</v>
      </c>
      <c r="M76" s="40" t="n">
        <v>0</v>
      </c>
      <c r="N76" s="40" t="n">
        <v>0</v>
      </c>
      <c r="O76" s="40" t="n">
        <v>0</v>
      </c>
      <c r="P76" s="40" t="n">
        <v>486549.8</v>
      </c>
      <c r="Q76" s="40" t="n">
        <v>100</v>
      </c>
      <c r="R76" s="47" t="n"/>
      <c r="S76" s="47" t="n"/>
      <c r="T76" s="47" t="n"/>
      <c r="U76" s="47" t="n"/>
      <c r="V76" s="47" t="n"/>
      <c r="W76" s="47" t="n"/>
    </row>
    <row r="77" ht="12" customHeight="1">
      <c r="A77" s="30" t="inlineStr">
        <is>
          <t>Itaguai</t>
        </is>
      </c>
      <c r="B77" s="30" t="n">
        <v>11344666</v>
      </c>
      <c r="C77" s="30">
        <f>"19109840000620"</f>
        <v/>
      </c>
      <c r="D77" s="30" t="inlineStr">
        <is>
          <t>SUPPLOG TRANSPORTES MULTIMODAIS E INTERMEDIACOES DE NEGOCIOS LTDA</t>
        </is>
      </c>
      <c r="E77" s="40" t="n">
        <v>0</v>
      </c>
      <c r="F77" s="40" t="n">
        <v>0</v>
      </c>
      <c r="G77" s="40" t="n">
        <v>0</v>
      </c>
      <c r="H77" s="40" t="n">
        <v>348.59</v>
      </c>
      <c r="I77" s="40" t="n">
        <v>100</v>
      </c>
      <c r="J77" s="40" t="n">
        <v>0</v>
      </c>
      <c r="K77" s="46" t="n">
        <v>-100</v>
      </c>
      <c r="L77" s="40" t="n">
        <v>0</v>
      </c>
      <c r="M77" s="40" t="n">
        <v>0</v>
      </c>
      <c r="N77" s="40" t="n">
        <v>0</v>
      </c>
      <c r="O77" s="40" t="n">
        <v>0</v>
      </c>
      <c r="P77" s="40" t="n">
        <v>0</v>
      </c>
      <c r="Q77" s="40" t="n">
        <v>0</v>
      </c>
      <c r="R77" s="47" t="n"/>
      <c r="S77" s="47" t="n"/>
      <c r="T77" s="47" t="n"/>
      <c r="U77" s="47" t="n"/>
      <c r="V77" s="47" t="n"/>
      <c r="W77" s="47" t="n"/>
    </row>
    <row r="78" ht="12" customHeight="1">
      <c r="A78" s="30" t="inlineStr">
        <is>
          <t>Itaguai</t>
        </is>
      </c>
      <c r="B78" s="30" t="n">
        <v>11351336</v>
      </c>
      <c r="C78" s="30">
        <f>"32609550000107"</f>
        <v/>
      </c>
      <c r="D78" s="30" t="inlineStr">
        <is>
          <t>RESTAURANTE ZUM FUSION ITAGUAI LTDA</t>
        </is>
      </c>
      <c r="E78" s="40" t="n">
        <v>0</v>
      </c>
      <c r="F78" s="40" t="n">
        <v>0</v>
      </c>
      <c r="G78" s="40" t="n">
        <v>0</v>
      </c>
      <c r="H78" s="40" t="n">
        <v>656849.33</v>
      </c>
      <c r="I78" s="40" t="n">
        <v>100</v>
      </c>
      <c r="J78" s="40" t="n">
        <v>0</v>
      </c>
      <c r="K78" s="46" t="n">
        <v>-100</v>
      </c>
      <c r="L78" s="40" t="n">
        <v>1057170.92</v>
      </c>
      <c r="M78" s="40" t="n">
        <v>100</v>
      </c>
      <c r="N78" s="40" t="n">
        <v>0</v>
      </c>
      <c r="O78" s="46" t="n">
        <v>-100</v>
      </c>
      <c r="P78" s="40" t="n">
        <v>0</v>
      </c>
      <c r="Q78" s="40" t="n">
        <v>0</v>
      </c>
      <c r="R78" s="47" t="n"/>
      <c r="S78" s="47" t="n"/>
      <c r="T78" s="47" t="n"/>
      <c r="U78" s="47" t="n"/>
      <c r="V78" s="47" t="n"/>
      <c r="W78" s="47" t="n"/>
    </row>
    <row r="79" ht="12" customHeight="1">
      <c r="A79" s="30" t="inlineStr">
        <is>
          <t>Itaguai</t>
        </is>
      </c>
      <c r="B79" s="30" t="n">
        <v>11366660</v>
      </c>
      <c r="C79" s="30">
        <f>"05530576001075"</f>
        <v/>
      </c>
      <c r="D79" s="30" t="inlineStr">
        <is>
          <t>LOGFAR LOGISTICA LTDA</t>
        </is>
      </c>
      <c r="E79" s="40" t="n">
        <v>0</v>
      </c>
      <c r="F79" s="40" t="n">
        <v>0</v>
      </c>
      <c r="G79" s="40" t="n">
        <v>0</v>
      </c>
      <c r="H79" s="40" t="n">
        <v>0</v>
      </c>
      <c r="I79" s="40" t="n">
        <v>0</v>
      </c>
      <c r="J79" s="40" t="n">
        <v>0</v>
      </c>
      <c r="K79" s="40" t="n">
        <v>0</v>
      </c>
      <c r="L79" s="40" t="n">
        <v>0</v>
      </c>
      <c r="M79" s="40" t="n">
        <v>0</v>
      </c>
      <c r="N79" s="40" t="n">
        <v>0</v>
      </c>
      <c r="O79" s="40" t="n">
        <v>0</v>
      </c>
      <c r="P79" s="40" t="n">
        <v>83.98</v>
      </c>
      <c r="Q79" s="40" t="n">
        <v>100</v>
      </c>
      <c r="R79" s="47" t="n"/>
      <c r="S79" s="47" t="n"/>
      <c r="T79" s="47" t="n"/>
      <c r="U79" s="47" t="n"/>
      <c r="V79" s="47" t="n"/>
      <c r="W79" s="47" t="n"/>
    </row>
    <row r="80" ht="12" customHeight="1">
      <c r="A80" s="30" t="inlineStr">
        <is>
          <t>Itaguai</t>
        </is>
      </c>
      <c r="B80" s="30" t="n">
        <v>11369138</v>
      </c>
      <c r="C80" s="30">
        <f>"27373545000108"</f>
        <v/>
      </c>
      <c r="D80" s="30" t="inlineStr">
        <is>
          <t>TRANSMAR LOGISTICA E TRANSPORTES LTDA EPP</t>
        </is>
      </c>
      <c r="E80" s="40" t="n">
        <v>0</v>
      </c>
      <c r="F80" s="40" t="n">
        <v>0</v>
      </c>
      <c r="G80" s="40" t="n">
        <v>0</v>
      </c>
      <c r="H80" s="40" t="n">
        <v>0</v>
      </c>
      <c r="I80" s="40" t="n">
        <v>0</v>
      </c>
      <c r="J80" s="40" t="n">
        <v>0</v>
      </c>
      <c r="K80" s="40" t="n">
        <v>0</v>
      </c>
      <c r="L80" s="40" t="n">
        <v>0</v>
      </c>
      <c r="M80" s="40" t="n">
        <v>0</v>
      </c>
      <c r="N80" s="40" t="n">
        <v>0</v>
      </c>
      <c r="O80" s="40" t="n">
        <v>0</v>
      </c>
      <c r="P80" s="40" t="n">
        <v>0</v>
      </c>
      <c r="Q80" s="40" t="n">
        <v>0</v>
      </c>
      <c r="R80" s="47" t="n"/>
      <c r="S80" s="47" t="n"/>
      <c r="T80" s="47" t="n"/>
      <c r="U80" s="47" t="n"/>
      <c r="V80" s="47" t="n"/>
      <c r="W80" s="47" t="n"/>
    </row>
    <row r="81" ht="12" customHeight="1">
      <c r="A81" s="30" t="inlineStr">
        <is>
          <t>Itaguai</t>
        </is>
      </c>
      <c r="B81" s="30" t="n">
        <v>11369723</v>
      </c>
      <c r="C81" s="30">
        <f>"32508979000108"</f>
        <v/>
      </c>
      <c r="D81" s="30" t="inlineStr">
        <is>
          <t>COOPERATIVA DE TRABALHO DE RECICLAGEM ITAGUAI COSTA VERDE - CTRIC</t>
        </is>
      </c>
      <c r="E81" s="40" t="n">
        <v>0</v>
      </c>
      <c r="F81" s="40" t="n">
        <v>0</v>
      </c>
      <c r="G81" s="40" t="n">
        <v>0</v>
      </c>
      <c r="H81" s="40" t="n">
        <v>0</v>
      </c>
      <c r="I81" s="40" t="n">
        <v>0</v>
      </c>
      <c r="J81" s="40" t="n">
        <v>0</v>
      </c>
      <c r="K81" s="40" t="n">
        <v>0</v>
      </c>
      <c r="L81" s="40" t="n">
        <v>0</v>
      </c>
      <c r="M81" s="40" t="n">
        <v>0</v>
      </c>
      <c r="N81" s="40" t="n">
        <v>0</v>
      </c>
      <c r="O81" s="40" t="n">
        <v>0</v>
      </c>
      <c r="P81" s="40" t="n">
        <v>0</v>
      </c>
      <c r="Q81" s="40" t="n">
        <v>0</v>
      </c>
      <c r="R81" s="47" t="n"/>
      <c r="S81" s="47" t="n"/>
      <c r="T81" s="47" t="n"/>
      <c r="U81" s="47" t="n"/>
      <c r="V81" s="47" t="n"/>
      <c r="W81" s="47" t="n"/>
    </row>
    <row r="82" ht="12" customHeight="1">
      <c r="A82" s="30" t="inlineStr">
        <is>
          <t>Itaguai</t>
        </is>
      </c>
      <c r="B82" s="30" t="n">
        <v>11379435</v>
      </c>
      <c r="C82" s="30">
        <f>"35815737000309"</f>
        <v/>
      </c>
      <c r="D82" s="30" t="inlineStr">
        <is>
          <t>AREAL SOL NASCENTE LTDA EPP</t>
        </is>
      </c>
      <c r="E82" s="40" t="n">
        <v>0</v>
      </c>
      <c r="F82" s="40" t="n">
        <v>0</v>
      </c>
      <c r="G82" s="40" t="n">
        <v>0</v>
      </c>
      <c r="H82" s="40" t="n">
        <v>0</v>
      </c>
      <c r="I82" s="40" t="n">
        <v>0</v>
      </c>
      <c r="J82" s="40" t="n">
        <v>0</v>
      </c>
      <c r="K82" s="40" t="n">
        <v>0</v>
      </c>
      <c r="L82" s="40" t="n">
        <v>0</v>
      </c>
      <c r="M82" s="40" t="n">
        <v>0</v>
      </c>
      <c r="N82" s="40" t="n">
        <v>0</v>
      </c>
      <c r="O82" s="40" t="n">
        <v>0</v>
      </c>
      <c r="P82" s="40" t="n">
        <v>0</v>
      </c>
      <c r="Q82" s="40" t="n">
        <v>0</v>
      </c>
      <c r="R82" s="47" t="n"/>
      <c r="S82" s="47" t="n"/>
      <c r="T82" s="47" t="n"/>
      <c r="U82" s="47" t="n"/>
      <c r="V82" s="47" t="n"/>
      <c r="W82" s="47" t="n"/>
    </row>
    <row r="83" ht="12" customHeight="1">
      <c r="A83" s="30" t="inlineStr">
        <is>
          <t>Itaguai</t>
        </is>
      </c>
      <c r="B83" s="30" t="n">
        <v>11380921</v>
      </c>
      <c r="C83" s="30">
        <f>"24916711000250"</f>
        <v/>
      </c>
      <c r="D83" s="30" t="inlineStr">
        <is>
          <t>CLAUDIA MARQUES CALDEIRA E CIA</t>
        </is>
      </c>
      <c r="E83" s="40" t="n">
        <v>0</v>
      </c>
      <c r="F83" s="40" t="n">
        <v>0</v>
      </c>
      <c r="G83" s="40" t="n">
        <v>0</v>
      </c>
      <c r="H83" s="40" t="n">
        <v>0</v>
      </c>
      <c r="I83" s="40" t="n">
        <v>0</v>
      </c>
      <c r="J83" s="40" t="n">
        <v>588.28</v>
      </c>
      <c r="K83" s="40" t="n">
        <v>100</v>
      </c>
      <c r="L83" s="40" t="n">
        <v>197.81</v>
      </c>
      <c r="M83" s="46" t="n">
        <v>-66.37</v>
      </c>
      <c r="N83" s="40" t="n">
        <v>0</v>
      </c>
      <c r="O83" s="46" t="n">
        <v>-100</v>
      </c>
      <c r="P83" s="40" t="n">
        <v>0</v>
      </c>
      <c r="Q83" s="40" t="n">
        <v>0</v>
      </c>
      <c r="R83" s="47" t="n"/>
      <c r="S83" s="47" t="n"/>
      <c r="T83" s="47" t="n"/>
      <c r="U83" s="47" t="n"/>
      <c r="V83" s="47" t="n"/>
      <c r="W83" s="47" t="n"/>
    </row>
    <row r="84" ht="12" customHeight="1">
      <c r="A84" s="30" t="inlineStr">
        <is>
          <t>Itaguai</t>
        </is>
      </c>
      <c r="B84" s="30" t="n">
        <v>11386431</v>
      </c>
      <c r="C84" s="30">
        <f>"29080308000338"</f>
        <v/>
      </c>
      <c r="D84" s="30" t="inlineStr">
        <is>
          <t>R&amp;D CARGO TRANSPORTES LTDA</t>
        </is>
      </c>
      <c r="E84" s="40" t="n">
        <v>0</v>
      </c>
      <c r="F84" s="40" t="n">
        <v>0</v>
      </c>
      <c r="G84" s="40" t="n">
        <v>0</v>
      </c>
      <c r="H84" s="40" t="n">
        <v>64.88</v>
      </c>
      <c r="I84" s="40" t="n">
        <v>100</v>
      </c>
      <c r="J84" s="40" t="n">
        <v>0</v>
      </c>
      <c r="K84" s="46" t="n">
        <v>-100</v>
      </c>
      <c r="L84" s="40" t="n">
        <v>0</v>
      </c>
      <c r="M84" s="40" t="n">
        <v>0</v>
      </c>
      <c r="N84" s="40" t="n">
        <v>814.01</v>
      </c>
      <c r="O84" s="40" t="n">
        <v>100</v>
      </c>
      <c r="P84" s="40" t="n">
        <v>11413.02</v>
      </c>
      <c r="Q84" s="40" t="n">
        <v>1302.07</v>
      </c>
      <c r="R84" s="47" t="n"/>
      <c r="S84" s="47" t="n"/>
      <c r="T84" s="47" t="n"/>
      <c r="U84" s="47" t="n"/>
      <c r="V84" s="47" t="n"/>
      <c r="W84" s="47" t="n"/>
    </row>
    <row r="85" ht="12" customHeight="1">
      <c r="A85" s="30" t="inlineStr">
        <is>
          <t>Itaguai</t>
        </is>
      </c>
      <c r="B85" s="30" t="n">
        <v>11387144</v>
      </c>
      <c r="C85" s="30">
        <f>"09103236000632"</f>
        <v/>
      </c>
      <c r="D85" s="30" t="inlineStr">
        <is>
          <t>RARO SERVICOS AUXILIARES DE TRANSPORTE AEREO EIRELI</t>
        </is>
      </c>
      <c r="E85" s="40" t="n">
        <v>0</v>
      </c>
      <c r="F85" s="40" t="n">
        <v>0</v>
      </c>
      <c r="G85" s="40" t="n">
        <v>0</v>
      </c>
      <c r="H85" s="40" t="n">
        <v>0</v>
      </c>
      <c r="I85" s="40" t="n">
        <v>0</v>
      </c>
      <c r="J85" s="40" t="n">
        <v>0</v>
      </c>
      <c r="K85" s="40" t="n">
        <v>0</v>
      </c>
      <c r="L85" s="40" t="n">
        <v>0</v>
      </c>
      <c r="M85" s="40" t="n">
        <v>0</v>
      </c>
      <c r="N85" s="40" t="n">
        <v>200.35</v>
      </c>
      <c r="O85" s="40" t="n">
        <v>100</v>
      </c>
      <c r="P85" s="40" t="n">
        <v>0</v>
      </c>
      <c r="Q85" s="46" t="n">
        <v>-100</v>
      </c>
      <c r="R85" s="47" t="n"/>
      <c r="S85" s="47" t="n"/>
      <c r="T85" s="47" t="n"/>
      <c r="U85" s="47" t="n"/>
      <c r="V85" s="47" t="n"/>
      <c r="W85" s="47" t="n"/>
    </row>
    <row r="86" ht="12" customHeight="1">
      <c r="A86" s="30" t="inlineStr">
        <is>
          <t>Itaguai</t>
        </is>
      </c>
      <c r="B86" s="30" t="n">
        <v>11391770</v>
      </c>
      <c r="C86" s="30">
        <f>"02724730739"</f>
        <v/>
      </c>
      <c r="D86" s="30" t="inlineStr">
        <is>
          <t>NILCEA CORDEIRO DE ARAUJO LISTO</t>
        </is>
      </c>
      <c r="E86" s="40" t="n">
        <v>0</v>
      </c>
      <c r="F86" s="40" t="n">
        <v>0</v>
      </c>
      <c r="G86" s="40" t="n">
        <v>0</v>
      </c>
      <c r="H86" s="40" t="n">
        <v>0</v>
      </c>
      <c r="I86" s="40" t="n">
        <v>0</v>
      </c>
      <c r="J86" s="40" t="n">
        <v>0</v>
      </c>
      <c r="K86" s="40" t="n">
        <v>0</v>
      </c>
      <c r="L86" s="40" t="n">
        <v>0</v>
      </c>
      <c r="M86" s="40" t="n">
        <v>0</v>
      </c>
      <c r="N86" s="40" t="n">
        <v>0</v>
      </c>
      <c r="O86" s="40" t="n">
        <v>0</v>
      </c>
      <c r="P86" s="40" t="n">
        <v>0</v>
      </c>
      <c r="Q86" s="40" t="n">
        <v>0</v>
      </c>
      <c r="R86" s="47" t="n"/>
      <c r="S86" s="47" t="n"/>
      <c r="T86" s="47" t="n"/>
      <c r="U86" s="47" t="n"/>
      <c r="V86" s="47" t="n"/>
      <c r="W86" s="47" t="n"/>
    </row>
    <row r="87" ht="12" customHeight="1">
      <c r="A87" s="30" t="inlineStr">
        <is>
          <t>Itaguai</t>
        </is>
      </c>
      <c r="B87" s="30" t="n">
        <v>11406629</v>
      </c>
      <c r="C87" s="30">
        <f>"12143389760"</f>
        <v/>
      </c>
      <c r="D87" s="30" t="inlineStr">
        <is>
          <t>NELSON MARTINS FIGUEIREDO</t>
        </is>
      </c>
      <c r="E87" s="40" t="n">
        <v>0</v>
      </c>
      <c r="F87" s="40" t="n">
        <v>0</v>
      </c>
      <c r="G87" s="40" t="n">
        <v>0</v>
      </c>
      <c r="H87" s="40" t="n">
        <v>0</v>
      </c>
      <c r="I87" s="40" t="n">
        <v>0</v>
      </c>
      <c r="J87" s="40" t="n">
        <v>7594.73</v>
      </c>
      <c r="K87" s="40" t="n">
        <v>100</v>
      </c>
      <c r="L87" s="40" t="n">
        <v>28101.32</v>
      </c>
      <c r="M87" s="40" t="n">
        <v>270.01</v>
      </c>
      <c r="N87" s="40" t="n">
        <v>0</v>
      </c>
      <c r="O87" s="46" t="n">
        <v>-100</v>
      </c>
      <c r="P87" s="40" t="n">
        <v>0</v>
      </c>
      <c r="Q87" s="40" t="n">
        <v>0</v>
      </c>
      <c r="R87" s="47" t="n"/>
      <c r="S87" s="47" t="n"/>
      <c r="T87" s="47" t="n"/>
      <c r="U87" s="47" t="n"/>
      <c r="V87" s="47" t="n"/>
      <c r="W87" s="47" t="n"/>
    </row>
    <row r="88" ht="12" customHeight="1">
      <c r="A88" s="30" t="inlineStr">
        <is>
          <t>Itaguai</t>
        </is>
      </c>
      <c r="B88" s="30" t="n">
        <v>11407030</v>
      </c>
      <c r="C88" s="30">
        <f>"87894165700"</f>
        <v/>
      </c>
      <c r="D88" s="30" t="inlineStr">
        <is>
          <t>JOSE EDUARDO DA SILVA MEDINA</t>
        </is>
      </c>
      <c r="E88" s="40" t="n">
        <v>0</v>
      </c>
      <c r="F88" s="40" t="n">
        <v>0</v>
      </c>
      <c r="G88" s="40" t="n">
        <v>0</v>
      </c>
      <c r="H88" s="40" t="n">
        <v>0</v>
      </c>
      <c r="I88" s="40" t="n">
        <v>0</v>
      </c>
      <c r="J88" s="40" t="n">
        <v>0</v>
      </c>
      <c r="K88" s="40" t="n">
        <v>0</v>
      </c>
      <c r="L88" s="40" t="n">
        <v>22742.74</v>
      </c>
      <c r="M88" s="40" t="n">
        <v>100</v>
      </c>
      <c r="N88" s="40" t="n">
        <v>0</v>
      </c>
      <c r="O88" s="46" t="n">
        <v>-100</v>
      </c>
      <c r="P88" s="40" t="n">
        <v>50917.16</v>
      </c>
      <c r="Q88" s="40" t="n">
        <v>100</v>
      </c>
      <c r="R88" s="47" t="n"/>
      <c r="S88" s="47" t="n"/>
      <c r="T88" s="47" t="n"/>
      <c r="U88" s="47" t="n"/>
      <c r="V88" s="47" t="n"/>
      <c r="W88" s="47" t="n"/>
    </row>
    <row r="89" ht="12" customHeight="1">
      <c r="A89" s="30" t="inlineStr">
        <is>
          <t>Itaguai</t>
        </is>
      </c>
      <c r="B89" s="30" t="n">
        <v>11417698</v>
      </c>
      <c r="C89" s="30">
        <f>"27143007001867"</f>
        <v/>
      </c>
      <c r="D89" s="30" t="inlineStr">
        <is>
          <t>TRACOMAL TERRAPLENAGEM E CONSTRUCOES MACHADO LTDA</t>
        </is>
      </c>
      <c r="E89" s="40" t="n">
        <v>0</v>
      </c>
      <c r="F89" s="40" t="n">
        <v>0</v>
      </c>
      <c r="G89" s="40" t="n">
        <v>0</v>
      </c>
      <c r="H89" s="40" t="n">
        <v>0</v>
      </c>
      <c r="I89" s="40" t="n">
        <v>0</v>
      </c>
      <c r="J89" s="40" t="n">
        <v>0</v>
      </c>
      <c r="K89" s="40" t="n">
        <v>0</v>
      </c>
      <c r="L89" s="40" t="n">
        <v>0</v>
      </c>
      <c r="M89" s="40" t="n">
        <v>0</v>
      </c>
      <c r="N89" s="40" t="n">
        <v>0</v>
      </c>
      <c r="O89" s="40" t="n">
        <v>0</v>
      </c>
      <c r="P89" s="40" t="n">
        <v>0</v>
      </c>
      <c r="Q89" s="40" t="n">
        <v>0</v>
      </c>
      <c r="R89" s="47" t="n"/>
      <c r="S89" s="47" t="n"/>
      <c r="T89" s="47" t="n"/>
      <c r="U89" s="47" t="n"/>
      <c r="V89" s="47" t="n"/>
      <c r="W89" s="47" t="n"/>
    </row>
    <row r="90" ht="12" customHeight="1">
      <c r="A90" s="30" t="inlineStr">
        <is>
          <t>Itaguai</t>
        </is>
      </c>
      <c r="B90" s="30" t="n">
        <v>11442935</v>
      </c>
      <c r="C90" s="30">
        <f>"33721037000168"</f>
        <v/>
      </c>
      <c r="D90" s="30" t="inlineStr">
        <is>
          <t>PANIFICADORA SOARES PÃO LTDA</t>
        </is>
      </c>
      <c r="E90" s="40" t="n">
        <v>0</v>
      </c>
      <c r="F90" s="40" t="n">
        <v>0</v>
      </c>
      <c r="G90" s="40" t="n">
        <v>0</v>
      </c>
      <c r="H90" s="40" t="n">
        <v>79808.25999999999</v>
      </c>
      <c r="I90" s="40" t="n">
        <v>100</v>
      </c>
      <c r="J90" s="40" t="n">
        <v>3260216.01</v>
      </c>
      <c r="K90" s="40" t="n">
        <v>3985.06</v>
      </c>
      <c r="L90" s="40" t="n">
        <v>6945337.35</v>
      </c>
      <c r="M90" s="40" t="n">
        <v>113.03</v>
      </c>
      <c r="N90" s="40" t="n">
        <v>0</v>
      </c>
      <c r="O90" s="46" t="n">
        <v>-100</v>
      </c>
      <c r="P90" s="40" t="n">
        <v>256055.88</v>
      </c>
      <c r="Q90" s="40" t="n">
        <v>100</v>
      </c>
      <c r="R90" s="47" t="n"/>
      <c r="S90" s="47" t="n"/>
      <c r="T90" s="47" t="n"/>
      <c r="U90" s="47" t="n"/>
      <c r="V90" s="47" t="n"/>
      <c r="W90" s="47" t="n"/>
    </row>
    <row r="91" ht="12" customHeight="1">
      <c r="A91" s="30" t="inlineStr">
        <is>
          <t>Itaguai</t>
        </is>
      </c>
      <c r="B91" s="30" t="n">
        <v>11443958</v>
      </c>
      <c r="C91" s="30">
        <f>"32730560000198"</f>
        <v/>
      </c>
      <c r="D91" s="30" t="inlineStr">
        <is>
          <t>Itaguai HND COMÉRCIO DE COSMÉTICOS RJ LTDA</t>
        </is>
      </c>
      <c r="E91" s="40" t="n">
        <v>0</v>
      </c>
      <c r="F91" s="40" t="n">
        <v>0</v>
      </c>
      <c r="G91" s="40" t="n">
        <v>0</v>
      </c>
      <c r="H91" s="40" t="n">
        <v>0</v>
      </c>
      <c r="I91" s="40" t="n">
        <v>0</v>
      </c>
      <c r="J91" s="40" t="n">
        <v>1378399.41</v>
      </c>
      <c r="K91" s="40" t="n">
        <v>100</v>
      </c>
      <c r="L91" s="40" t="n">
        <v>730843.0699999999</v>
      </c>
      <c r="M91" s="46" t="n">
        <v>-46.98</v>
      </c>
      <c r="N91" s="40" t="n">
        <v>892479.59</v>
      </c>
      <c r="O91" s="40" t="n">
        <v>22.12</v>
      </c>
      <c r="P91" s="40" t="n">
        <v>995856.63</v>
      </c>
      <c r="Q91" s="40" t="n">
        <v>11.58</v>
      </c>
      <c r="R91" s="47" t="n"/>
      <c r="S91" s="47" t="n"/>
      <c r="T91" s="47" t="n"/>
      <c r="U91" s="47" t="n"/>
      <c r="V91" s="47" t="n"/>
      <c r="W91" s="47" t="n"/>
    </row>
    <row r="92" ht="12" customHeight="1">
      <c r="A92" s="30" t="inlineStr">
        <is>
          <t>Itaguai</t>
        </is>
      </c>
      <c r="B92" s="30" t="n">
        <v>11446442</v>
      </c>
      <c r="C92" s="30">
        <f>"56681513008659"</f>
        <v/>
      </c>
      <c r="D92" s="30" t="inlineStr">
        <is>
          <t>P. K. K. CALCADOS LTDA</t>
        </is>
      </c>
      <c r="E92" s="40" t="n">
        <v>0</v>
      </c>
      <c r="F92" s="40" t="n">
        <v>0</v>
      </c>
      <c r="G92" s="40" t="n">
        <v>0</v>
      </c>
      <c r="H92" s="40" t="n">
        <v>0</v>
      </c>
      <c r="I92" s="40" t="n">
        <v>0</v>
      </c>
      <c r="J92" s="40" t="n">
        <v>2582572.65</v>
      </c>
      <c r="K92" s="40" t="n">
        <v>100</v>
      </c>
      <c r="L92" s="40" t="n">
        <v>210158.49</v>
      </c>
      <c r="M92" s="46" t="n">
        <v>-91.86</v>
      </c>
      <c r="N92" s="40" t="n">
        <v>1395530.72</v>
      </c>
      <c r="O92" s="40" t="n">
        <v>564.04</v>
      </c>
      <c r="P92" s="40" t="n">
        <v>319608.86</v>
      </c>
      <c r="Q92" s="46" t="n">
        <v>-77.09999999999999</v>
      </c>
      <c r="R92" s="47" t="n"/>
      <c r="S92" s="47" t="n"/>
      <c r="T92" s="47" t="n"/>
      <c r="U92" s="47" t="n"/>
      <c r="V92" s="47" t="n"/>
      <c r="W92" s="47" t="n"/>
    </row>
    <row r="93" ht="12" customHeight="1">
      <c r="A93" s="30" t="inlineStr">
        <is>
          <t>Itaguai</t>
        </is>
      </c>
      <c r="B93" s="30" t="n">
        <v>11453279</v>
      </c>
      <c r="C93" s="30">
        <f>"12348901781"</f>
        <v/>
      </c>
      <c r="D93" s="30" t="inlineStr">
        <is>
          <t>ANGELICA RABELO DE OLIVEIRA</t>
        </is>
      </c>
      <c r="E93" s="40" t="n">
        <v>0</v>
      </c>
      <c r="F93" s="40" t="n">
        <v>0</v>
      </c>
      <c r="G93" s="40" t="n">
        <v>0</v>
      </c>
      <c r="H93" s="40" t="n">
        <v>0</v>
      </c>
      <c r="I93" s="40" t="n">
        <v>0</v>
      </c>
      <c r="J93" s="40" t="n">
        <v>0</v>
      </c>
      <c r="K93" s="40" t="n">
        <v>0</v>
      </c>
      <c r="L93" s="40" t="n">
        <v>8862.629999999999</v>
      </c>
      <c r="M93" s="40" t="n">
        <v>100</v>
      </c>
      <c r="N93" s="40" t="n">
        <v>50432.55</v>
      </c>
      <c r="O93" s="40" t="n">
        <v>469.05</v>
      </c>
      <c r="P93" s="40" t="n">
        <v>32297.82</v>
      </c>
      <c r="Q93" s="46" t="n">
        <v>-35.96</v>
      </c>
      <c r="R93" s="47" t="n"/>
      <c r="S93" s="47" t="n"/>
      <c r="T93" s="47" t="n"/>
      <c r="U93" s="47" t="n"/>
      <c r="V93" s="47" t="n"/>
      <c r="W93" s="47" t="n"/>
    </row>
    <row r="94" ht="12" customHeight="1">
      <c r="A94" s="30" t="inlineStr">
        <is>
          <t>Itaguai</t>
        </is>
      </c>
      <c r="B94" s="30" t="n">
        <v>11453422</v>
      </c>
      <c r="C94" s="30">
        <f>"12789128782"</f>
        <v/>
      </c>
      <c r="D94" s="30" t="inlineStr">
        <is>
          <t>ADENILSON RABELO DE OLIVEIRA</t>
        </is>
      </c>
      <c r="E94" s="40" t="n">
        <v>0</v>
      </c>
      <c r="F94" s="40" t="n">
        <v>0</v>
      </c>
      <c r="G94" s="40" t="n">
        <v>0</v>
      </c>
      <c r="H94" s="40" t="n">
        <v>0</v>
      </c>
      <c r="I94" s="40" t="n">
        <v>0</v>
      </c>
      <c r="J94" s="40" t="n">
        <v>0</v>
      </c>
      <c r="K94" s="40" t="n">
        <v>0</v>
      </c>
      <c r="L94" s="40" t="n">
        <v>0</v>
      </c>
      <c r="M94" s="40" t="n">
        <v>0</v>
      </c>
      <c r="N94" s="40" t="n">
        <v>0</v>
      </c>
      <c r="O94" s="40" t="n">
        <v>0</v>
      </c>
      <c r="P94" s="40" t="n">
        <v>0</v>
      </c>
      <c r="Q94" s="40" t="n">
        <v>0</v>
      </c>
      <c r="R94" s="47" t="n"/>
      <c r="S94" s="47" t="n"/>
      <c r="T94" s="47" t="n"/>
      <c r="U94" s="47" t="n"/>
      <c r="V94" s="47" t="n"/>
      <c r="W94" s="47" t="n"/>
    </row>
    <row r="95" ht="12" customHeight="1">
      <c r="A95" s="30" t="inlineStr">
        <is>
          <t>Itaguai</t>
        </is>
      </c>
      <c r="B95" s="30" t="n">
        <v>11457304</v>
      </c>
      <c r="C95" s="30">
        <f>"33873524000146"</f>
        <v/>
      </c>
      <c r="D95" s="30" t="inlineStr">
        <is>
          <t>HORTIFRUTAS CENTRAL DE Itaguai EIRELI</t>
        </is>
      </c>
      <c r="E95" s="40" t="n">
        <v>0</v>
      </c>
      <c r="F95" s="40" t="n">
        <v>0</v>
      </c>
      <c r="G95" s="40" t="n">
        <v>0</v>
      </c>
      <c r="H95" s="40" t="n">
        <v>0</v>
      </c>
      <c r="I95" s="40" t="n">
        <v>0</v>
      </c>
      <c r="J95" s="40" t="n">
        <v>4143805.71</v>
      </c>
      <c r="K95" s="40" t="n">
        <v>100</v>
      </c>
      <c r="L95" s="40" t="n">
        <v>2662187.01</v>
      </c>
      <c r="M95" s="46" t="n">
        <v>-35.76</v>
      </c>
      <c r="N95" s="40" t="n">
        <v>7320100.06</v>
      </c>
      <c r="O95" s="40" t="n">
        <v>174.97</v>
      </c>
      <c r="P95" s="40" t="n">
        <v>3583452.39</v>
      </c>
      <c r="Q95" s="46" t="n">
        <v>-51.05</v>
      </c>
      <c r="R95" s="47" t="n"/>
      <c r="S95" s="47" t="n"/>
      <c r="T95" s="47" t="n"/>
      <c r="U95" s="47" t="n"/>
      <c r="V95" s="47" t="n"/>
      <c r="W95" s="47" t="n"/>
    </row>
    <row r="96" ht="12" customHeight="1">
      <c r="A96" s="30" t="inlineStr">
        <is>
          <t>Itaguai</t>
        </is>
      </c>
      <c r="B96" s="30" t="n">
        <v>11477704</v>
      </c>
      <c r="C96" s="30">
        <f>"24232418000192"</f>
        <v/>
      </c>
      <c r="D96" s="30" t="inlineStr">
        <is>
          <t>ZNA ARMAZENS GERAIS E TRANSPORTES LTDA</t>
        </is>
      </c>
      <c r="E96" s="40" t="n">
        <v>0</v>
      </c>
      <c r="F96" s="40" t="n">
        <v>0</v>
      </c>
      <c r="G96" s="40" t="n">
        <v>0</v>
      </c>
      <c r="H96" s="40" t="n">
        <v>110487.65</v>
      </c>
      <c r="I96" s="40" t="n">
        <v>100</v>
      </c>
      <c r="J96" s="40" t="n">
        <v>408257.05</v>
      </c>
      <c r="K96" s="40" t="n">
        <v>269.5</v>
      </c>
      <c r="L96" s="40" t="n">
        <v>272627.59</v>
      </c>
      <c r="M96" s="46" t="n">
        <v>-33.22</v>
      </c>
      <c r="N96" s="40" t="n">
        <v>43353.17</v>
      </c>
      <c r="O96" s="46" t="n">
        <v>-84.09999999999999</v>
      </c>
      <c r="P96" s="40" t="n">
        <v>133897.12</v>
      </c>
      <c r="Q96" s="40" t="n">
        <v>208.85</v>
      </c>
      <c r="R96" s="47" t="n"/>
      <c r="S96" s="47" t="n"/>
      <c r="T96" s="47" t="n"/>
      <c r="U96" s="47" t="n"/>
      <c r="V96" s="47" t="n"/>
      <c r="W96" s="47" t="n"/>
    </row>
    <row r="97" ht="12" customHeight="1">
      <c r="A97" s="30" t="inlineStr">
        <is>
          <t>Itaguai</t>
        </is>
      </c>
      <c r="B97" s="30" t="n">
        <v>11482651</v>
      </c>
      <c r="C97" s="30">
        <f>"06241044000270"</f>
        <v/>
      </c>
      <c r="D97" s="30" t="inlineStr">
        <is>
          <t>TRANSCATARINA TRANSPORTE RODOVIARIO EIRELI</t>
        </is>
      </c>
      <c r="E97" s="40" t="n">
        <v>0</v>
      </c>
      <c r="F97" s="40" t="n">
        <v>0</v>
      </c>
      <c r="G97" s="40" t="n">
        <v>0</v>
      </c>
      <c r="H97" s="40" t="n">
        <v>0</v>
      </c>
      <c r="I97" s="40" t="n">
        <v>0</v>
      </c>
      <c r="J97" s="40" t="n">
        <v>3977.27</v>
      </c>
      <c r="K97" s="40" t="n">
        <v>100</v>
      </c>
      <c r="L97" s="40" t="n">
        <v>0</v>
      </c>
      <c r="M97" s="46" t="n">
        <v>-100</v>
      </c>
      <c r="N97" s="40" t="n">
        <v>0</v>
      </c>
      <c r="O97" s="40" t="n">
        <v>0</v>
      </c>
      <c r="P97" s="40" t="n">
        <v>30027.82</v>
      </c>
      <c r="Q97" s="40" t="n">
        <v>100</v>
      </c>
      <c r="R97" s="47" t="n"/>
      <c r="S97" s="47" t="n"/>
      <c r="T97" s="47" t="n"/>
      <c r="U97" s="47" t="n"/>
      <c r="V97" s="47" t="n"/>
      <c r="W97" s="47" t="n"/>
    </row>
    <row r="98" ht="12" customHeight="1">
      <c r="A98" s="30" t="inlineStr">
        <is>
          <t>Itaguai</t>
        </is>
      </c>
      <c r="B98" s="30" t="n">
        <v>11492576</v>
      </c>
      <c r="C98" s="30">
        <f>"11358292000406"</f>
        <v/>
      </c>
      <c r="D98" s="30" t="inlineStr">
        <is>
          <t>ZIRANLOG LOGISTICA EIRELI</t>
        </is>
      </c>
      <c r="E98" s="40" t="n">
        <v>0</v>
      </c>
      <c r="F98" s="40" t="n">
        <v>0</v>
      </c>
      <c r="G98" s="40" t="n">
        <v>0</v>
      </c>
      <c r="H98" s="40" t="n">
        <v>0</v>
      </c>
      <c r="I98" s="40" t="n">
        <v>0</v>
      </c>
      <c r="J98" s="40" t="n">
        <v>0</v>
      </c>
      <c r="K98" s="40" t="n">
        <v>0</v>
      </c>
      <c r="L98" s="40" t="n">
        <v>0</v>
      </c>
      <c r="M98" s="40" t="n">
        <v>0</v>
      </c>
      <c r="N98" s="40" t="n">
        <v>0</v>
      </c>
      <c r="O98" s="40" t="n">
        <v>0</v>
      </c>
      <c r="P98" s="40" t="n">
        <v>0</v>
      </c>
      <c r="Q98" s="40" t="n">
        <v>0</v>
      </c>
      <c r="R98" s="47" t="n"/>
      <c r="S98" s="47" t="n"/>
      <c r="T98" s="47" t="n"/>
      <c r="U98" s="47" t="n"/>
      <c r="V98" s="47" t="n"/>
      <c r="W98" s="47" t="n"/>
    </row>
    <row r="99" ht="12" customHeight="1">
      <c r="A99" s="30" t="inlineStr">
        <is>
          <t>Itaguai</t>
        </is>
      </c>
      <c r="B99" s="30" t="n">
        <v>11495206</v>
      </c>
      <c r="C99" s="30">
        <f>"05469426793"</f>
        <v/>
      </c>
      <c r="D99" s="30" t="inlineStr">
        <is>
          <t>EDUARDO RODRIGUES ALVES</t>
        </is>
      </c>
      <c r="E99" s="40" t="n">
        <v>0</v>
      </c>
      <c r="F99" s="40" t="n">
        <v>0</v>
      </c>
      <c r="G99" s="40" t="n">
        <v>0</v>
      </c>
      <c r="H99" s="40" t="n">
        <v>0</v>
      </c>
      <c r="I99" s="40" t="n">
        <v>0</v>
      </c>
      <c r="J99" s="40" t="n">
        <v>150621</v>
      </c>
      <c r="K99" s="40" t="n">
        <v>100</v>
      </c>
      <c r="L99" s="40" t="n">
        <v>50840</v>
      </c>
      <c r="M99" s="46" t="n">
        <v>-66.25</v>
      </c>
      <c r="N99" s="40" t="n">
        <v>0</v>
      </c>
      <c r="O99" s="46" t="n">
        <v>-100</v>
      </c>
      <c r="P99" s="40" t="n">
        <v>35000</v>
      </c>
      <c r="Q99" s="40" t="n">
        <v>100</v>
      </c>
      <c r="R99" s="47" t="n"/>
      <c r="S99" s="47" t="n"/>
      <c r="T99" s="47" t="n"/>
      <c r="U99" s="47" t="n"/>
      <c r="V99" s="47" t="n"/>
      <c r="W99" s="47" t="n"/>
    </row>
    <row r="100" ht="12" customHeight="1">
      <c r="A100" s="30" t="inlineStr">
        <is>
          <t>Itaguai</t>
        </is>
      </c>
      <c r="B100" s="30" t="n">
        <v>11498582</v>
      </c>
      <c r="C100" s="30">
        <f>"90130600725"</f>
        <v/>
      </c>
      <c r="D100" s="30" t="inlineStr">
        <is>
          <t>LUCIANO SAMPAIO SARMENTO</t>
        </is>
      </c>
      <c r="E100" s="40" t="n">
        <v>0</v>
      </c>
      <c r="F100" s="40" t="n">
        <v>0</v>
      </c>
      <c r="G100" s="40" t="n">
        <v>0</v>
      </c>
      <c r="H100" s="40" t="n">
        <v>0</v>
      </c>
      <c r="I100" s="40" t="n">
        <v>0</v>
      </c>
      <c r="J100" s="40" t="n">
        <v>19800</v>
      </c>
      <c r="K100" s="40" t="n">
        <v>100</v>
      </c>
      <c r="L100" s="40" t="n">
        <v>50400</v>
      </c>
      <c r="M100" s="40" t="n">
        <v>154.55</v>
      </c>
      <c r="N100" s="40" t="n">
        <v>231000</v>
      </c>
      <c r="O100" s="40" t="n">
        <v>358.33</v>
      </c>
      <c r="P100" s="40" t="n">
        <v>280000</v>
      </c>
      <c r="Q100" s="40" t="n">
        <v>21.21</v>
      </c>
      <c r="R100" s="47" t="n"/>
      <c r="S100" s="47" t="n"/>
      <c r="T100" s="47" t="n"/>
      <c r="U100" s="47" t="n"/>
      <c r="V100" s="47" t="n"/>
      <c r="W100" s="47" t="n"/>
    </row>
    <row r="101" ht="12" customHeight="1">
      <c r="A101" s="30" t="inlineStr">
        <is>
          <t>Itaguai</t>
        </is>
      </c>
      <c r="B101" s="30" t="n">
        <v>11499449</v>
      </c>
      <c r="C101" s="30">
        <f>"29108107000563"</f>
        <v/>
      </c>
      <c r="D101" s="30" t="inlineStr">
        <is>
          <t>SOLAZER TRANSPORTES E TURISMO LTDA</t>
        </is>
      </c>
      <c r="E101" s="40" t="n">
        <v>0</v>
      </c>
      <c r="F101" s="40" t="n">
        <v>0</v>
      </c>
      <c r="G101" s="40" t="n">
        <v>0</v>
      </c>
      <c r="H101" s="40" t="n">
        <v>0</v>
      </c>
      <c r="I101" s="40" t="n">
        <v>0</v>
      </c>
      <c r="J101" s="40" t="n">
        <v>0</v>
      </c>
      <c r="K101" s="40" t="n">
        <v>0</v>
      </c>
      <c r="L101" s="40" t="n">
        <v>0</v>
      </c>
      <c r="M101" s="40" t="n">
        <v>0</v>
      </c>
      <c r="N101" s="40" t="n">
        <v>0</v>
      </c>
      <c r="O101" s="40" t="n">
        <v>0</v>
      </c>
      <c r="P101" s="40" t="n">
        <v>0</v>
      </c>
      <c r="Q101" s="40" t="n">
        <v>0</v>
      </c>
      <c r="R101" s="47" t="n"/>
      <c r="S101" s="47" t="n"/>
      <c r="T101" s="47" t="n"/>
      <c r="U101" s="47" t="n"/>
      <c r="V101" s="47" t="n"/>
      <c r="W101" s="47" t="n"/>
    </row>
    <row r="102" ht="12" customHeight="1">
      <c r="A102" s="30" t="inlineStr">
        <is>
          <t>Itaguai</t>
        </is>
      </c>
      <c r="B102" s="30" t="n">
        <v>11501303</v>
      </c>
      <c r="C102" s="30">
        <f>"34215614000102"</f>
        <v/>
      </c>
      <c r="D102" s="30" t="inlineStr">
        <is>
          <t>BAZAR O AMIGÃO PATIO MIX Itaguai LTDA</t>
        </is>
      </c>
      <c r="E102" s="40" t="n">
        <v>0</v>
      </c>
      <c r="F102" s="40" t="n">
        <v>0</v>
      </c>
      <c r="G102" s="40" t="n">
        <v>0</v>
      </c>
      <c r="H102" s="40" t="n">
        <v>1463373.75</v>
      </c>
      <c r="I102" s="40" t="n">
        <v>100</v>
      </c>
      <c r="J102" s="40" t="n">
        <v>4438712.98</v>
      </c>
      <c r="K102" s="40" t="n">
        <v>203.32</v>
      </c>
      <c r="L102" s="40" t="n">
        <v>5773827.9</v>
      </c>
      <c r="M102" s="40" t="n">
        <v>30.08</v>
      </c>
      <c r="N102" s="40" t="n">
        <v>6236807.91</v>
      </c>
      <c r="O102" s="40" t="n">
        <v>8.02</v>
      </c>
      <c r="P102" s="40" t="n">
        <v>6559677.3</v>
      </c>
      <c r="Q102" s="40" t="n">
        <v>5.18</v>
      </c>
      <c r="R102" s="47" t="n"/>
      <c r="S102" s="47" t="n"/>
      <c r="T102" s="47" t="n"/>
      <c r="U102" s="47" t="n"/>
      <c r="V102" s="47" t="n"/>
      <c r="W102" s="47" t="n"/>
    </row>
    <row r="103" ht="12" customHeight="1">
      <c r="A103" s="30" t="inlineStr">
        <is>
          <t>Itaguai</t>
        </is>
      </c>
      <c r="B103" s="30" t="n">
        <v>11507549</v>
      </c>
      <c r="C103" s="30">
        <f>"28699985000104"</f>
        <v/>
      </c>
      <c r="D103" s="30" t="inlineStr">
        <is>
          <t>COOPERATIVA DE TRABALHO E PRODUÇÃO DE CATADORES DE MATERIAIS RECICLÁVEIS DE Itaguai LTDA</t>
        </is>
      </c>
      <c r="E103" s="40" t="n">
        <v>0</v>
      </c>
      <c r="F103" s="40" t="n">
        <v>0</v>
      </c>
      <c r="G103" s="40" t="n">
        <v>0</v>
      </c>
      <c r="H103" s="40" t="n">
        <v>0</v>
      </c>
      <c r="I103" s="40" t="n">
        <v>0</v>
      </c>
      <c r="J103" s="40" t="n">
        <v>0</v>
      </c>
      <c r="K103" s="40" t="n">
        <v>0</v>
      </c>
      <c r="L103" s="40" t="n">
        <v>0</v>
      </c>
      <c r="M103" s="40" t="n">
        <v>0</v>
      </c>
      <c r="N103" s="40" t="n">
        <v>129465</v>
      </c>
      <c r="O103" s="40" t="n">
        <v>100</v>
      </c>
      <c r="P103" s="40" t="n">
        <v>312788</v>
      </c>
      <c r="Q103" s="40" t="n">
        <v>141.6</v>
      </c>
      <c r="R103" s="47" t="n"/>
      <c r="S103" s="47" t="n"/>
      <c r="T103" s="47" t="n"/>
      <c r="U103" s="47" t="n"/>
      <c r="V103" s="47" t="n"/>
      <c r="W103" s="47" t="n"/>
    </row>
    <row r="104" ht="12" customHeight="1">
      <c r="A104" s="30" t="inlineStr">
        <is>
          <t>Itaguai</t>
        </is>
      </c>
      <c r="B104" s="30" t="n">
        <v>11510353</v>
      </c>
      <c r="C104" s="30">
        <f>"34442062000175"</f>
        <v/>
      </c>
      <c r="D104" s="30" t="inlineStr">
        <is>
          <t>MERCADO BOAS COMPRAS DE CHAPERO EIRELI</t>
        </is>
      </c>
      <c r="E104" s="40" t="n">
        <v>0</v>
      </c>
      <c r="F104" s="40" t="n">
        <v>0</v>
      </c>
      <c r="G104" s="40" t="n">
        <v>0</v>
      </c>
      <c r="H104" s="40" t="n">
        <v>0</v>
      </c>
      <c r="I104" s="40" t="n">
        <v>0</v>
      </c>
      <c r="J104" s="40" t="n">
        <v>0</v>
      </c>
      <c r="K104" s="40" t="n">
        <v>0</v>
      </c>
      <c r="L104" s="40" t="n">
        <v>0</v>
      </c>
      <c r="M104" s="40" t="n">
        <v>0</v>
      </c>
      <c r="N104" s="40" t="n">
        <v>0</v>
      </c>
      <c r="O104" s="40" t="n">
        <v>0</v>
      </c>
      <c r="P104" s="40" t="n">
        <v>0</v>
      </c>
      <c r="Q104" s="40" t="n">
        <v>0</v>
      </c>
      <c r="R104" s="47" t="n"/>
      <c r="S104" s="47" t="n"/>
      <c r="T104" s="47" t="n"/>
      <c r="U104" s="47" t="n"/>
      <c r="V104" s="47" t="n"/>
      <c r="W104" s="47" t="n"/>
    </row>
    <row r="105" ht="12" customHeight="1">
      <c r="A105" s="30" t="inlineStr">
        <is>
          <t>Itaguai</t>
        </is>
      </c>
      <c r="B105" s="30" t="n">
        <v>11513387</v>
      </c>
      <c r="C105" s="30">
        <f>"29484413000251"</f>
        <v/>
      </c>
      <c r="D105" s="30" t="inlineStr">
        <is>
          <t>COGENT BRASIL TELECOMUNICACOES LTDA.</t>
        </is>
      </c>
      <c r="E105" s="40" t="n">
        <v>0</v>
      </c>
      <c r="F105" s="40" t="n">
        <v>0</v>
      </c>
      <c r="G105" s="40" t="n">
        <v>0</v>
      </c>
      <c r="H105" s="40" t="n">
        <v>0</v>
      </c>
      <c r="I105" s="40" t="n">
        <v>0</v>
      </c>
      <c r="J105" s="40" t="n">
        <v>0</v>
      </c>
      <c r="K105" s="40" t="n">
        <v>0</v>
      </c>
      <c r="L105" s="40" t="n">
        <v>0</v>
      </c>
      <c r="M105" s="40" t="n">
        <v>0</v>
      </c>
      <c r="N105" s="40" t="n">
        <v>1428.86</v>
      </c>
      <c r="O105" s="40" t="n">
        <v>100</v>
      </c>
      <c r="P105" s="40" t="n">
        <v>9255.780000000001</v>
      </c>
      <c r="Q105" s="40" t="n">
        <v>547.77</v>
      </c>
      <c r="R105" s="47" t="n"/>
      <c r="S105" s="47" t="n"/>
      <c r="T105" s="47" t="n"/>
      <c r="U105" s="47" t="n"/>
      <c r="V105" s="47" t="n"/>
      <c r="W105" s="47" t="n"/>
    </row>
    <row r="106" ht="12" customHeight="1">
      <c r="A106" s="30" t="inlineStr">
        <is>
          <t>Itaguai</t>
        </is>
      </c>
      <c r="B106" s="30" t="n">
        <v>11516106</v>
      </c>
      <c r="C106" s="30">
        <f>"14710548000300"</f>
        <v/>
      </c>
      <c r="D106" s="30" t="inlineStr">
        <is>
          <t>CLEDSON D BARBOZA MATERIAL ELETRICO E HIDRAULICO ME</t>
        </is>
      </c>
      <c r="E106" s="40" t="n">
        <v>0</v>
      </c>
      <c r="F106" s="40" t="n">
        <v>0</v>
      </c>
      <c r="G106" s="40" t="n">
        <v>0</v>
      </c>
      <c r="H106" s="40" t="n">
        <v>0</v>
      </c>
      <c r="I106" s="40" t="n">
        <v>0</v>
      </c>
      <c r="J106" s="40" t="n">
        <v>0</v>
      </c>
      <c r="K106" s="40" t="n">
        <v>0</v>
      </c>
      <c r="L106" s="40" t="n">
        <v>0</v>
      </c>
      <c r="M106" s="40" t="n">
        <v>0</v>
      </c>
      <c r="N106" s="40" t="n">
        <v>0</v>
      </c>
      <c r="O106" s="40" t="n">
        <v>0</v>
      </c>
      <c r="P106" s="40" t="n">
        <v>0</v>
      </c>
      <c r="Q106" s="40" t="n">
        <v>0</v>
      </c>
      <c r="R106" s="47" t="n"/>
      <c r="S106" s="47" t="n"/>
      <c r="T106" s="47" t="n"/>
      <c r="U106" s="47" t="n"/>
      <c r="V106" s="47" t="n"/>
      <c r="W106" s="47" t="n"/>
    </row>
    <row r="107" ht="12" customHeight="1">
      <c r="A107" s="30" t="inlineStr">
        <is>
          <t>Itaguai</t>
        </is>
      </c>
      <c r="B107" s="30" t="n">
        <v>11518923</v>
      </c>
      <c r="C107" s="30">
        <f>"34548703000170"</f>
        <v/>
      </c>
      <c r="D107" s="30" t="inlineStr">
        <is>
          <t>BIG PET COMERCIO DE RACOES EIRELI</t>
        </is>
      </c>
      <c r="E107" s="40" t="n">
        <v>0</v>
      </c>
      <c r="F107" s="40" t="n">
        <v>0</v>
      </c>
      <c r="G107" s="40" t="n">
        <v>0</v>
      </c>
      <c r="H107" s="40" t="n">
        <v>0</v>
      </c>
      <c r="I107" s="40" t="n">
        <v>0</v>
      </c>
      <c r="J107" s="40" t="n">
        <v>550113.1</v>
      </c>
      <c r="K107" s="40" t="n">
        <v>100</v>
      </c>
      <c r="L107" s="40" t="n">
        <v>785524.6</v>
      </c>
      <c r="M107" s="40" t="n">
        <v>42.79</v>
      </c>
      <c r="N107" s="40" t="n">
        <v>0</v>
      </c>
      <c r="O107" s="46" t="n">
        <v>-100</v>
      </c>
      <c r="P107" s="40" t="n">
        <v>0</v>
      </c>
      <c r="Q107" s="40" t="n">
        <v>0</v>
      </c>
      <c r="R107" s="47" t="n"/>
      <c r="S107" s="47" t="n"/>
      <c r="T107" s="47" t="n"/>
      <c r="U107" s="47" t="n"/>
      <c r="V107" s="47" t="n"/>
      <c r="W107" s="47" t="n"/>
    </row>
    <row r="108" ht="12" customHeight="1">
      <c r="A108" s="30" t="inlineStr">
        <is>
          <t>Itaguai</t>
        </is>
      </c>
      <c r="B108" s="30" t="n">
        <v>11529402</v>
      </c>
      <c r="C108" s="30">
        <f>"28732200001049"</f>
        <v/>
      </c>
      <c r="D108" s="30" t="inlineStr">
        <is>
          <t>LOJAS SANTOS VAREJO E DISTRIBUIÇÃO LTDA</t>
        </is>
      </c>
      <c r="E108" s="40" t="n">
        <v>0</v>
      </c>
      <c r="F108" s="40" t="n">
        <v>0</v>
      </c>
      <c r="G108" s="40" t="n">
        <v>0</v>
      </c>
      <c r="H108" s="40" t="n">
        <v>0</v>
      </c>
      <c r="I108" s="40" t="n">
        <v>0</v>
      </c>
      <c r="J108" s="40" t="n">
        <v>3216075.11</v>
      </c>
      <c r="K108" s="40" t="n">
        <v>100</v>
      </c>
      <c r="L108" s="40" t="n">
        <v>2636570.48</v>
      </c>
      <c r="M108" s="46" t="n">
        <v>-18.02</v>
      </c>
      <c r="N108" s="40" t="n">
        <v>0</v>
      </c>
      <c r="O108" s="46" t="n">
        <v>-100</v>
      </c>
      <c r="P108" s="40" t="n">
        <v>0</v>
      </c>
      <c r="Q108" s="40" t="n">
        <v>0</v>
      </c>
      <c r="R108" s="47" t="n"/>
      <c r="S108" s="47" t="n"/>
      <c r="T108" s="47" t="n"/>
      <c r="U108" s="47" t="n"/>
      <c r="V108" s="47" t="n"/>
      <c r="W108" s="47" t="n"/>
    </row>
    <row r="109" ht="12" customHeight="1">
      <c r="A109" s="30" t="inlineStr">
        <is>
          <t>Itaguai</t>
        </is>
      </c>
      <c r="B109" s="30" t="n">
        <v>11534090</v>
      </c>
      <c r="C109" s="30">
        <f>"14493773000595"</f>
        <v/>
      </c>
      <c r="D109" s="30" t="inlineStr">
        <is>
          <t>SOLUÇÃO LOCAÇÃO E TRANSPORTES EIRELI</t>
        </is>
      </c>
      <c r="E109" s="40" t="n">
        <v>0</v>
      </c>
      <c r="F109" s="40" t="n">
        <v>0</v>
      </c>
      <c r="G109" s="40" t="n">
        <v>0</v>
      </c>
      <c r="H109" s="40" t="n">
        <v>0</v>
      </c>
      <c r="I109" s="40" t="n">
        <v>0</v>
      </c>
      <c r="J109" s="40" t="n">
        <v>84.64</v>
      </c>
      <c r="K109" s="40" t="n">
        <v>100</v>
      </c>
      <c r="L109" s="40" t="n">
        <v>0</v>
      </c>
      <c r="M109" s="46" t="n">
        <v>-100</v>
      </c>
      <c r="N109" s="40" t="n">
        <v>0</v>
      </c>
      <c r="O109" s="40" t="n">
        <v>0</v>
      </c>
      <c r="P109" s="40" t="n">
        <v>0</v>
      </c>
      <c r="Q109" s="40" t="n">
        <v>0</v>
      </c>
      <c r="R109" s="47" t="n"/>
      <c r="S109" s="47" t="n"/>
      <c r="T109" s="47" t="n"/>
      <c r="U109" s="47" t="n"/>
      <c r="V109" s="47" t="n"/>
      <c r="W109" s="47" t="n"/>
    </row>
    <row r="110" ht="12" customHeight="1">
      <c r="A110" s="30" t="inlineStr">
        <is>
          <t>Itaguai</t>
        </is>
      </c>
      <c r="B110" s="30" t="n">
        <v>11541640</v>
      </c>
      <c r="C110" s="30">
        <f>"34799863000192"</f>
        <v/>
      </c>
      <c r="D110" s="30" t="inlineStr">
        <is>
          <t>PREMIUM ALIMENTOS COMERCIO E REPRESENTACOES LTDA</t>
        </is>
      </c>
      <c r="E110" s="40" t="n">
        <v>0</v>
      </c>
      <c r="F110" s="40" t="n">
        <v>0</v>
      </c>
      <c r="G110" s="40" t="n">
        <v>0</v>
      </c>
      <c r="H110" s="40" t="n">
        <v>193627</v>
      </c>
      <c r="I110" s="40" t="n">
        <v>100</v>
      </c>
      <c r="J110" s="40" t="n">
        <v>0</v>
      </c>
      <c r="K110" s="46" t="n">
        <v>-100</v>
      </c>
      <c r="L110" s="40" t="n">
        <v>0</v>
      </c>
      <c r="M110" s="40" t="n">
        <v>0</v>
      </c>
      <c r="N110" s="40" t="n">
        <v>0</v>
      </c>
      <c r="O110" s="40" t="n">
        <v>0</v>
      </c>
      <c r="P110" s="40" t="n">
        <v>0</v>
      </c>
      <c r="Q110" s="40" t="n">
        <v>0</v>
      </c>
      <c r="R110" s="47" t="n"/>
      <c r="S110" s="47" t="n"/>
      <c r="T110" s="47" t="n"/>
      <c r="U110" s="47" t="n"/>
      <c r="V110" s="47" t="n"/>
      <c r="W110" s="47" t="n"/>
    </row>
    <row r="111" ht="12" customHeight="1">
      <c r="A111" s="30" t="inlineStr">
        <is>
          <t>Itaguai</t>
        </is>
      </c>
      <c r="B111" s="30" t="n">
        <v>11543189</v>
      </c>
      <c r="C111" s="30">
        <f>"07539346000373"</f>
        <v/>
      </c>
      <c r="D111" s="30" t="inlineStr">
        <is>
          <t>M SUL TRANSPORTES LTDA</t>
        </is>
      </c>
      <c r="E111" s="40" t="n">
        <v>0</v>
      </c>
      <c r="F111" s="40" t="n">
        <v>0</v>
      </c>
      <c r="G111" s="40" t="n">
        <v>0</v>
      </c>
      <c r="H111" s="40" t="n">
        <v>0</v>
      </c>
      <c r="I111" s="40" t="n">
        <v>0</v>
      </c>
      <c r="J111" s="40" t="n">
        <v>0</v>
      </c>
      <c r="K111" s="40" t="n">
        <v>0</v>
      </c>
      <c r="L111" s="40" t="n">
        <v>0</v>
      </c>
      <c r="M111" s="40" t="n">
        <v>0</v>
      </c>
      <c r="N111" s="40" t="n">
        <v>0</v>
      </c>
      <c r="O111" s="40" t="n">
        <v>0</v>
      </c>
      <c r="P111" s="40" t="n">
        <v>1496.44</v>
      </c>
      <c r="Q111" s="40" t="n">
        <v>100</v>
      </c>
      <c r="R111" s="47" t="n"/>
      <c r="S111" s="47" t="n"/>
      <c r="T111" s="47" t="n"/>
      <c r="U111" s="47" t="n"/>
      <c r="V111" s="47" t="n"/>
      <c r="W111" s="47" t="n"/>
    </row>
    <row r="112" ht="12" customHeight="1">
      <c r="A112" s="30" t="inlineStr">
        <is>
          <t>Itaguai</t>
        </is>
      </c>
      <c r="B112" s="30" t="n">
        <v>11548440</v>
      </c>
      <c r="C112" s="30">
        <f>"34881998000100"</f>
        <v/>
      </c>
      <c r="D112" s="30" t="inlineStr">
        <is>
          <t>ÓTICA MAGNO EIRELI</t>
        </is>
      </c>
      <c r="E112" s="40" t="n">
        <v>0</v>
      </c>
      <c r="F112" s="40" t="n">
        <v>0</v>
      </c>
      <c r="G112" s="40" t="n">
        <v>0</v>
      </c>
      <c r="H112" s="40" t="n">
        <v>0</v>
      </c>
      <c r="I112" s="40" t="n">
        <v>0</v>
      </c>
      <c r="J112" s="40" t="n">
        <v>0</v>
      </c>
      <c r="K112" s="40" t="n">
        <v>0</v>
      </c>
      <c r="L112" s="40" t="n">
        <v>0</v>
      </c>
      <c r="M112" s="40" t="n">
        <v>0</v>
      </c>
      <c r="N112" s="40" t="n">
        <v>0</v>
      </c>
      <c r="O112" s="40" t="n">
        <v>0</v>
      </c>
      <c r="P112" s="40" t="n">
        <v>0</v>
      </c>
      <c r="Q112" s="40" t="n">
        <v>0</v>
      </c>
      <c r="R112" s="47" t="n"/>
      <c r="S112" s="47" t="n"/>
      <c r="T112" s="47" t="n"/>
      <c r="U112" s="47" t="n"/>
      <c r="V112" s="47" t="n"/>
      <c r="W112" s="47" t="n"/>
    </row>
    <row r="113" ht="12" customHeight="1">
      <c r="A113" s="30" t="inlineStr">
        <is>
          <t>Itaguai</t>
        </is>
      </c>
      <c r="B113" s="30" t="n">
        <v>11553532</v>
      </c>
      <c r="C113" s="30">
        <f>"34938215000170"</f>
        <v/>
      </c>
      <c r="D113" s="30" t="inlineStr">
        <is>
          <t>NALDOS DE CHAPERO DROGARIA EIRELI</t>
        </is>
      </c>
      <c r="E113" s="40" t="n">
        <v>0</v>
      </c>
      <c r="F113" s="40" t="n">
        <v>0</v>
      </c>
      <c r="G113" s="40" t="n">
        <v>0</v>
      </c>
      <c r="H113" s="40" t="n">
        <v>0</v>
      </c>
      <c r="I113" s="40" t="n">
        <v>0</v>
      </c>
      <c r="J113" s="40" t="n">
        <v>0</v>
      </c>
      <c r="K113" s="40" t="n">
        <v>0</v>
      </c>
      <c r="L113" s="40" t="n">
        <v>0</v>
      </c>
      <c r="M113" s="40" t="n">
        <v>0</v>
      </c>
      <c r="N113" s="40" t="n">
        <v>0</v>
      </c>
      <c r="O113" s="40" t="n">
        <v>0</v>
      </c>
      <c r="P113" s="40" t="n">
        <v>0</v>
      </c>
      <c r="Q113" s="40" t="n">
        <v>0</v>
      </c>
      <c r="R113" s="47" t="n"/>
      <c r="S113" s="47" t="n"/>
      <c r="T113" s="47" t="n"/>
      <c r="U113" s="47" t="n"/>
      <c r="V113" s="47" t="n"/>
      <c r="W113" s="47" t="n"/>
    </row>
    <row r="114" ht="12" customHeight="1">
      <c r="A114" s="30" t="inlineStr">
        <is>
          <t>Itaguai</t>
        </is>
      </c>
      <c r="B114" s="30" t="n">
        <v>11555780</v>
      </c>
      <c r="C114" s="30">
        <f>"34959696000108"</f>
        <v/>
      </c>
      <c r="D114" s="30" t="inlineStr">
        <is>
          <t>FRS ARMAZENAGEM LTDA</t>
        </is>
      </c>
      <c r="E114" s="40" t="n">
        <v>0</v>
      </c>
      <c r="F114" s="40" t="n">
        <v>0</v>
      </c>
      <c r="G114" s="40" t="n">
        <v>0</v>
      </c>
      <c r="H114" s="40" t="n">
        <v>0</v>
      </c>
      <c r="I114" s="40" t="n">
        <v>0</v>
      </c>
      <c r="J114" s="40" t="n">
        <v>0</v>
      </c>
      <c r="K114" s="40" t="n">
        <v>0</v>
      </c>
      <c r="L114" s="40" t="n">
        <v>0</v>
      </c>
      <c r="M114" s="40" t="n">
        <v>0</v>
      </c>
      <c r="N114" s="40" t="n">
        <v>0</v>
      </c>
      <c r="O114" s="40" t="n">
        <v>0</v>
      </c>
      <c r="P114" s="40" t="n">
        <v>12374.48</v>
      </c>
      <c r="Q114" s="40" t="n">
        <v>100</v>
      </c>
      <c r="R114" s="47" t="n"/>
      <c r="S114" s="47" t="n"/>
      <c r="T114" s="47" t="n"/>
      <c r="U114" s="47" t="n"/>
      <c r="V114" s="47" t="n"/>
      <c r="W114" s="47" t="n"/>
    </row>
    <row r="115" ht="12" customHeight="1">
      <c r="A115" s="30" t="inlineStr">
        <is>
          <t>Itaguai</t>
        </is>
      </c>
      <c r="B115" s="30" t="n">
        <v>11557988</v>
      </c>
      <c r="C115" s="30">
        <f>"76664986000832"</f>
        <v/>
      </c>
      <c r="D115" s="30" t="inlineStr">
        <is>
          <t>TRANS ISAAK TURISMO LTDA</t>
        </is>
      </c>
      <c r="E115" s="40" t="n">
        <v>0</v>
      </c>
      <c r="F115" s="40" t="n">
        <v>0</v>
      </c>
      <c r="G115" s="40" t="n">
        <v>0</v>
      </c>
      <c r="H115" s="40" t="n">
        <v>0</v>
      </c>
      <c r="I115" s="40" t="n">
        <v>0</v>
      </c>
      <c r="J115" s="40" t="n">
        <v>0</v>
      </c>
      <c r="K115" s="40" t="n">
        <v>0</v>
      </c>
      <c r="L115" s="40" t="n">
        <v>0</v>
      </c>
      <c r="M115" s="40" t="n">
        <v>0</v>
      </c>
      <c r="N115" s="40" t="n">
        <v>0</v>
      </c>
      <c r="O115" s="40" t="n">
        <v>0</v>
      </c>
      <c r="P115" s="40" t="n">
        <v>70.11</v>
      </c>
      <c r="Q115" s="40" t="n">
        <v>100</v>
      </c>
      <c r="R115" s="47" t="n"/>
      <c r="S115" s="47" t="n"/>
      <c r="T115" s="47" t="n"/>
      <c r="U115" s="47" t="n"/>
      <c r="V115" s="47" t="n"/>
      <c r="W115" s="47" t="n"/>
    </row>
    <row r="116" ht="12" customHeight="1">
      <c r="A116" s="30" t="inlineStr">
        <is>
          <t>Itaguai</t>
        </is>
      </c>
      <c r="B116" s="30" t="n">
        <v>11612687</v>
      </c>
      <c r="C116" s="30">
        <f>"26117255001870"</f>
        <v/>
      </c>
      <c r="D116" s="30" t="inlineStr">
        <is>
          <t>FAJULUTI GAVEA TELECOM COMERCIO DE MATERIAL DE TELECOMUNICACAO LTDA</t>
        </is>
      </c>
      <c r="E116" s="40" t="n">
        <v>0</v>
      </c>
      <c r="F116" s="40" t="n">
        <v>0</v>
      </c>
      <c r="G116" s="40" t="n">
        <v>0</v>
      </c>
      <c r="H116" s="40" t="n">
        <v>49731.89</v>
      </c>
      <c r="I116" s="40" t="n">
        <v>100</v>
      </c>
      <c r="J116" s="40" t="n">
        <v>379976.55</v>
      </c>
      <c r="K116" s="40" t="n">
        <v>664.05</v>
      </c>
      <c r="L116" s="40" t="n">
        <v>79466.75999999999</v>
      </c>
      <c r="M116" s="46" t="n">
        <v>-79.09</v>
      </c>
      <c r="N116" s="40" t="n">
        <v>148156.33</v>
      </c>
      <c r="O116" s="40" t="n">
        <v>86.44</v>
      </c>
      <c r="P116" s="40" t="n">
        <v>177827.39</v>
      </c>
      <c r="Q116" s="40" t="n">
        <v>20.03</v>
      </c>
      <c r="R116" s="47" t="n"/>
      <c r="S116" s="47" t="n"/>
      <c r="T116" s="47" t="n"/>
      <c r="U116" s="47" t="n"/>
      <c r="V116" s="47" t="n"/>
      <c r="W116" s="47" t="n"/>
    </row>
    <row r="117" ht="12" customHeight="1">
      <c r="A117" s="30" t="inlineStr">
        <is>
          <t>Itaguai</t>
        </is>
      </c>
      <c r="B117" s="30" t="n">
        <v>11616828</v>
      </c>
      <c r="C117" s="30">
        <f>"32168100001432"</f>
        <v/>
      </c>
      <c r="D117" s="30" t="inlineStr">
        <is>
          <t>PONTO MIX CONFECÇÕES LTDA</t>
        </is>
      </c>
      <c r="E117" s="40" t="n">
        <v>0</v>
      </c>
      <c r="F117" s="40" t="n">
        <v>0</v>
      </c>
      <c r="G117" s="40" t="n">
        <v>0</v>
      </c>
      <c r="H117" s="40" t="n">
        <v>0</v>
      </c>
      <c r="I117" s="40" t="n">
        <v>0</v>
      </c>
      <c r="J117" s="40" t="n">
        <v>126649.37</v>
      </c>
      <c r="K117" s="40" t="n">
        <v>100</v>
      </c>
      <c r="L117" s="40" t="n">
        <v>0</v>
      </c>
      <c r="M117" s="46" t="n">
        <v>-100</v>
      </c>
      <c r="N117" s="40" t="n">
        <v>528371.04</v>
      </c>
      <c r="O117" s="40" t="n">
        <v>100</v>
      </c>
      <c r="P117" s="40" t="n">
        <v>0</v>
      </c>
      <c r="Q117" s="46" t="n">
        <v>-100</v>
      </c>
      <c r="R117" s="47" t="n"/>
      <c r="S117" s="47" t="n"/>
      <c r="T117" s="47" t="n"/>
      <c r="U117" s="47" t="n"/>
      <c r="V117" s="47" t="n"/>
      <c r="W117" s="47" t="n"/>
    </row>
    <row r="118" ht="12" customHeight="1">
      <c r="A118" s="30" t="inlineStr">
        <is>
          <t>Itaguai</t>
        </is>
      </c>
      <c r="B118" s="30" t="n">
        <v>11620256</v>
      </c>
      <c r="C118" s="30">
        <f>"13019479000311"</f>
        <v/>
      </c>
      <c r="D118" s="30" t="inlineStr">
        <is>
          <t>LINOS EXPRESS TRANSPORTES LTDA ME</t>
        </is>
      </c>
      <c r="E118" s="40" t="n">
        <v>0</v>
      </c>
      <c r="F118" s="40" t="n">
        <v>0</v>
      </c>
      <c r="G118" s="40" t="n">
        <v>0</v>
      </c>
      <c r="H118" s="40" t="n">
        <v>0</v>
      </c>
      <c r="I118" s="40" t="n">
        <v>0</v>
      </c>
      <c r="J118" s="40" t="n">
        <v>0</v>
      </c>
      <c r="K118" s="40" t="n">
        <v>0</v>
      </c>
      <c r="L118" s="40" t="n">
        <v>0</v>
      </c>
      <c r="M118" s="40" t="n">
        <v>0</v>
      </c>
      <c r="N118" s="40" t="n">
        <v>0</v>
      </c>
      <c r="O118" s="40" t="n">
        <v>0</v>
      </c>
      <c r="P118" s="40" t="n">
        <v>0</v>
      </c>
      <c r="Q118" s="40" t="n">
        <v>0</v>
      </c>
      <c r="R118" s="47" t="n"/>
      <c r="S118" s="47" t="n"/>
      <c r="T118" s="47" t="n"/>
      <c r="U118" s="47" t="n"/>
      <c r="V118" s="47" t="n"/>
      <c r="W118" s="47" t="n"/>
    </row>
    <row r="119" ht="12" customHeight="1">
      <c r="A119" s="30" t="inlineStr">
        <is>
          <t>Itaguai</t>
        </is>
      </c>
      <c r="B119" s="30" t="n">
        <v>11622496</v>
      </c>
      <c r="C119" s="30">
        <f>"35725808000110"</f>
        <v/>
      </c>
      <c r="D119" s="30" t="inlineStr">
        <is>
          <t>QUINTAL GUARDERIA RECREAÇÃO E LAZER INFANTIL LTDA</t>
        </is>
      </c>
      <c r="E119" s="40" t="n">
        <v>0</v>
      </c>
      <c r="F119" s="40" t="n">
        <v>0</v>
      </c>
      <c r="G119" s="40" t="n">
        <v>0</v>
      </c>
      <c r="H119" s="40" t="n">
        <v>0</v>
      </c>
      <c r="I119" s="40" t="n">
        <v>0</v>
      </c>
      <c r="J119" s="40" t="n">
        <v>0</v>
      </c>
      <c r="K119" s="40" t="n">
        <v>0</v>
      </c>
      <c r="L119" s="40" t="n">
        <v>0</v>
      </c>
      <c r="M119" s="40" t="n">
        <v>0</v>
      </c>
      <c r="N119" s="40" t="n">
        <v>0</v>
      </c>
      <c r="O119" s="40" t="n">
        <v>0</v>
      </c>
      <c r="P119" s="40" t="n">
        <v>0</v>
      </c>
      <c r="Q119" s="40" t="n">
        <v>0</v>
      </c>
      <c r="R119" s="47" t="n"/>
      <c r="S119" s="47" t="n"/>
      <c r="T119" s="47" t="n"/>
      <c r="U119" s="47" t="n"/>
      <c r="V119" s="47" t="n"/>
      <c r="W119" s="47" t="n"/>
    </row>
    <row r="120" ht="12" customHeight="1">
      <c r="A120" s="30" t="inlineStr">
        <is>
          <t>Itaguai</t>
        </is>
      </c>
      <c r="B120" s="30" t="n">
        <v>11623972</v>
      </c>
      <c r="C120" s="30">
        <f>"35750560000148"</f>
        <v/>
      </c>
      <c r="D120" s="30" t="inlineStr">
        <is>
          <t>IRMAOS OLIVEIRA MANUTENCAO INDUSTRIAL E TREINAMENTOS LTDA</t>
        </is>
      </c>
      <c r="E120" s="40" t="n">
        <v>0</v>
      </c>
      <c r="F120" s="40" t="n">
        <v>0</v>
      </c>
      <c r="G120" s="40" t="n">
        <v>0</v>
      </c>
      <c r="H120" s="40" t="n">
        <v>0</v>
      </c>
      <c r="I120" s="40" t="n">
        <v>0</v>
      </c>
      <c r="J120" s="40" t="n">
        <v>0</v>
      </c>
      <c r="K120" s="40" t="n">
        <v>0</v>
      </c>
      <c r="L120" s="40" t="n">
        <v>0</v>
      </c>
      <c r="M120" s="40" t="n">
        <v>0</v>
      </c>
      <c r="N120" s="40" t="n">
        <v>0</v>
      </c>
      <c r="O120" s="40" t="n">
        <v>0</v>
      </c>
      <c r="P120" s="40" t="n">
        <v>0</v>
      </c>
      <c r="Q120" s="40" t="n">
        <v>0</v>
      </c>
      <c r="R120" s="47" t="n"/>
      <c r="S120" s="47" t="n"/>
      <c r="T120" s="47" t="n"/>
      <c r="U120" s="47" t="n"/>
      <c r="V120" s="47" t="n"/>
      <c r="W120" s="47" t="n"/>
    </row>
    <row r="121" ht="12" customHeight="1">
      <c r="A121" s="30" t="inlineStr">
        <is>
          <t>Itaguai</t>
        </is>
      </c>
      <c r="B121" s="30" t="n">
        <v>11635253</v>
      </c>
      <c r="C121" s="30">
        <f>"35845284000100"</f>
        <v/>
      </c>
      <c r="D121" s="30" t="inlineStr">
        <is>
          <t>FAZENDO O SONHO DA FESTA DE Itaguai LTDA</t>
        </is>
      </c>
      <c r="E121" s="40" t="n">
        <v>0</v>
      </c>
      <c r="F121" s="40" t="n">
        <v>0</v>
      </c>
      <c r="G121" s="40" t="n">
        <v>0</v>
      </c>
      <c r="H121" s="40" t="n">
        <v>0</v>
      </c>
      <c r="I121" s="40" t="n">
        <v>0</v>
      </c>
      <c r="J121" s="40" t="n">
        <v>596906.61</v>
      </c>
      <c r="K121" s="40" t="n">
        <v>100</v>
      </c>
      <c r="L121" s="40" t="n">
        <v>578053.4399999999</v>
      </c>
      <c r="M121" s="46" t="n">
        <v>-3.16</v>
      </c>
      <c r="N121" s="40" t="n">
        <v>585074.95</v>
      </c>
      <c r="O121" s="40" t="n">
        <v>1.21</v>
      </c>
      <c r="P121" s="40" t="n">
        <v>494196.03</v>
      </c>
      <c r="Q121" s="46" t="n">
        <v>-15.53</v>
      </c>
      <c r="R121" s="47" t="n"/>
      <c r="S121" s="47" t="n"/>
      <c r="T121" s="47" t="n"/>
      <c r="U121" s="47" t="n"/>
      <c r="V121" s="47" t="n"/>
      <c r="W121" s="47" t="n"/>
    </row>
    <row r="122" ht="12" customHeight="1">
      <c r="A122" s="30" t="inlineStr">
        <is>
          <t>Itaguai</t>
        </is>
      </c>
      <c r="B122" s="30" t="n">
        <v>11639623</v>
      </c>
      <c r="C122" s="30">
        <f>"35839942000142"</f>
        <v/>
      </c>
      <c r="D122" s="30" t="inlineStr">
        <is>
          <t>TMA SUDESTE TRANSPORTE E LOG?STICA LTDA</t>
        </is>
      </c>
      <c r="E122" s="40" t="n">
        <v>0</v>
      </c>
      <c r="F122" s="40" t="n">
        <v>0</v>
      </c>
      <c r="G122" s="40" t="n">
        <v>0</v>
      </c>
      <c r="H122" s="40" t="n">
        <v>0</v>
      </c>
      <c r="I122" s="40" t="n">
        <v>0</v>
      </c>
      <c r="J122" s="40" t="n">
        <v>2602.23</v>
      </c>
      <c r="K122" s="40" t="n">
        <v>100</v>
      </c>
      <c r="L122" s="40" t="n">
        <v>4307.5</v>
      </c>
      <c r="M122" s="40" t="n">
        <v>65.53</v>
      </c>
      <c r="N122" s="40" t="n">
        <v>0</v>
      </c>
      <c r="O122" s="46" t="n">
        <v>-100</v>
      </c>
      <c r="P122" s="40" t="n">
        <v>0</v>
      </c>
      <c r="Q122" s="40" t="n">
        <v>0</v>
      </c>
      <c r="R122" s="47" t="n"/>
      <c r="S122" s="47" t="n"/>
      <c r="T122" s="47" t="n"/>
      <c r="U122" s="47" t="n"/>
      <c r="V122" s="47" t="n"/>
      <c r="W122" s="47" t="n"/>
    </row>
    <row r="123" ht="12" customHeight="1">
      <c r="A123" s="30" t="inlineStr">
        <is>
          <t>Itaguai</t>
        </is>
      </c>
      <c r="B123" s="30" t="n">
        <v>11640230</v>
      </c>
      <c r="C123" s="30">
        <f>"18884215000188"</f>
        <v/>
      </c>
      <c r="D123" s="30" t="inlineStr">
        <is>
          <t>W EMPRESAS TELECOM LTDA</t>
        </is>
      </c>
      <c r="E123" s="40" t="n">
        <v>0</v>
      </c>
      <c r="F123" s="40" t="n">
        <v>0</v>
      </c>
      <c r="G123" s="40" t="n">
        <v>0</v>
      </c>
      <c r="H123" s="40" t="n">
        <v>0</v>
      </c>
      <c r="I123" s="40" t="n">
        <v>0</v>
      </c>
      <c r="J123" s="40" t="n">
        <v>0</v>
      </c>
      <c r="K123" s="40" t="n">
        <v>0</v>
      </c>
      <c r="L123" s="40" t="n">
        <v>0</v>
      </c>
      <c r="M123" s="40" t="n">
        <v>0</v>
      </c>
      <c r="N123" s="40" t="n">
        <v>0</v>
      </c>
      <c r="O123" s="40" t="n">
        <v>0</v>
      </c>
      <c r="P123" s="40" t="n">
        <v>15134</v>
      </c>
      <c r="Q123" s="40" t="n">
        <v>100</v>
      </c>
      <c r="R123" s="47" t="n"/>
      <c r="S123" s="47" t="n"/>
      <c r="T123" s="47" t="n"/>
      <c r="U123" s="47" t="n"/>
      <c r="V123" s="47" t="n"/>
      <c r="W123" s="47" t="n"/>
    </row>
    <row r="124" ht="12" customHeight="1">
      <c r="A124" s="30" t="inlineStr">
        <is>
          <t>Itaguai</t>
        </is>
      </c>
      <c r="B124" s="30" t="n">
        <v>11645410</v>
      </c>
      <c r="C124" s="30">
        <f>"09169048000283"</f>
        <v/>
      </c>
      <c r="D124" s="30" t="inlineStr">
        <is>
          <t>TRANSCOUTO LOGISTICA E TRANSPORTES LTDA</t>
        </is>
      </c>
      <c r="E124" s="40" t="n">
        <v>0</v>
      </c>
      <c r="F124" s="40" t="n">
        <v>0</v>
      </c>
      <c r="G124" s="40" t="n">
        <v>0</v>
      </c>
      <c r="H124" s="40" t="n">
        <v>0</v>
      </c>
      <c r="I124" s="40" t="n">
        <v>0</v>
      </c>
      <c r="J124" s="40" t="n">
        <v>0</v>
      </c>
      <c r="K124" s="40" t="n">
        <v>0</v>
      </c>
      <c r="L124" s="40" t="n">
        <v>0</v>
      </c>
      <c r="M124" s="40" t="n">
        <v>0</v>
      </c>
      <c r="N124" s="40" t="n">
        <v>0</v>
      </c>
      <c r="O124" s="40" t="n">
        <v>0</v>
      </c>
      <c r="P124" s="40" t="n">
        <v>0</v>
      </c>
      <c r="Q124" s="40" t="n">
        <v>0</v>
      </c>
      <c r="R124" s="47" t="n"/>
      <c r="S124" s="47" t="n"/>
      <c r="T124" s="47" t="n"/>
      <c r="U124" s="47" t="n"/>
      <c r="V124" s="47" t="n"/>
      <c r="W124" s="47" t="n"/>
    </row>
    <row r="125" ht="12" customHeight="1">
      <c r="A125" s="30" t="inlineStr">
        <is>
          <t>Itaguai</t>
        </is>
      </c>
      <c r="B125" s="30" t="n">
        <v>11646387</v>
      </c>
      <c r="C125" s="30">
        <f>"00015572357758"</f>
        <v/>
      </c>
      <c r="D125" s="30" t="inlineStr">
        <is>
          <t>GABRIEL QUEIROZ DA SILVA</t>
        </is>
      </c>
      <c r="E125" s="40" t="n">
        <v>0</v>
      </c>
      <c r="F125" s="40" t="n">
        <v>0</v>
      </c>
      <c r="G125" s="40" t="n">
        <v>0</v>
      </c>
      <c r="H125" s="40" t="n">
        <v>0</v>
      </c>
      <c r="I125" s="40" t="n">
        <v>0</v>
      </c>
      <c r="J125" s="40" t="n">
        <v>6500</v>
      </c>
      <c r="K125" s="40" t="n">
        <v>100</v>
      </c>
      <c r="L125" s="40" t="n">
        <v>52956</v>
      </c>
      <c r="M125" s="40" t="n">
        <v>714.71</v>
      </c>
      <c r="N125" s="40" t="n">
        <v>89783.2</v>
      </c>
      <c r="O125" s="40" t="n">
        <v>69.54000000000001</v>
      </c>
      <c r="P125" s="40" t="n">
        <v>78273.55</v>
      </c>
      <c r="Q125" s="46" t="n">
        <v>-12.82</v>
      </c>
      <c r="R125" s="47" t="n"/>
      <c r="S125" s="47" t="n"/>
      <c r="T125" s="47" t="n"/>
      <c r="U125" s="47" t="n"/>
      <c r="V125" s="47" t="n"/>
      <c r="W125" s="47" t="n"/>
    </row>
    <row r="126" ht="12" customHeight="1">
      <c r="A126" s="30" t="inlineStr">
        <is>
          <t>Itaguai</t>
        </is>
      </c>
      <c r="B126" s="30" t="n">
        <v>11649165</v>
      </c>
      <c r="C126" s="30">
        <f>"31541869000258"</f>
        <v/>
      </c>
      <c r="D126" s="30" t="inlineStr">
        <is>
          <t>INEA &amp; PCT TRANSPORTES LTDA</t>
        </is>
      </c>
      <c r="E126" s="40" t="n">
        <v>0</v>
      </c>
      <c r="F126" s="40" t="n">
        <v>0</v>
      </c>
      <c r="G126" s="40" t="n">
        <v>0</v>
      </c>
      <c r="H126" s="40" t="n">
        <v>0</v>
      </c>
      <c r="I126" s="40" t="n">
        <v>0</v>
      </c>
      <c r="J126" s="40" t="n">
        <v>0</v>
      </c>
      <c r="K126" s="40" t="n">
        <v>0</v>
      </c>
      <c r="L126" s="40" t="n">
        <v>0</v>
      </c>
      <c r="M126" s="40" t="n">
        <v>0</v>
      </c>
      <c r="N126" s="40" t="n">
        <v>458.06</v>
      </c>
      <c r="O126" s="40" t="n">
        <v>100</v>
      </c>
      <c r="P126" s="40" t="n">
        <v>0</v>
      </c>
      <c r="Q126" s="46" t="n">
        <v>-100</v>
      </c>
      <c r="R126" s="47" t="n"/>
      <c r="S126" s="47" t="n"/>
      <c r="T126" s="47" t="n"/>
      <c r="U126" s="47" t="n"/>
      <c r="V126" s="47" t="n"/>
      <c r="W126" s="47" t="n"/>
    </row>
    <row r="127" ht="12" customHeight="1">
      <c r="A127" s="30" t="inlineStr">
        <is>
          <t>Itaguai</t>
        </is>
      </c>
      <c r="B127" s="30" t="n">
        <v>11665411</v>
      </c>
      <c r="C127" s="30">
        <f>"13727240000304"</f>
        <v/>
      </c>
      <c r="D127" s="30" t="inlineStr">
        <is>
          <t>FORMATO TRANSPORTES LTDA</t>
        </is>
      </c>
      <c r="E127" s="40" t="n">
        <v>0</v>
      </c>
      <c r="F127" s="40" t="n">
        <v>0</v>
      </c>
      <c r="G127" s="40" t="n">
        <v>0</v>
      </c>
      <c r="H127" s="40" t="n">
        <v>0</v>
      </c>
      <c r="I127" s="40" t="n">
        <v>0</v>
      </c>
      <c r="J127" s="40" t="n">
        <v>3150</v>
      </c>
      <c r="K127" s="40" t="n">
        <v>100</v>
      </c>
      <c r="L127" s="40" t="n">
        <v>0</v>
      </c>
      <c r="M127" s="46" t="n">
        <v>-100</v>
      </c>
      <c r="N127" s="40" t="n">
        <v>0</v>
      </c>
      <c r="O127" s="40" t="n">
        <v>0</v>
      </c>
      <c r="P127" s="40" t="n">
        <v>0</v>
      </c>
      <c r="Q127" s="40" t="n">
        <v>0</v>
      </c>
      <c r="R127" s="47" t="n"/>
      <c r="S127" s="47" t="n"/>
      <c r="T127" s="47" t="n"/>
      <c r="U127" s="47" t="n"/>
      <c r="V127" s="47" t="n"/>
      <c r="W127" s="47" t="n"/>
    </row>
    <row r="128" ht="12" customHeight="1">
      <c r="A128" s="30" t="inlineStr">
        <is>
          <t>Itaguai</t>
        </is>
      </c>
      <c r="B128" s="30" t="n">
        <v>11666264</v>
      </c>
      <c r="C128" s="30">
        <f>"36177811000100"</f>
        <v/>
      </c>
      <c r="D128" s="30" t="inlineStr">
        <is>
          <t>G. C. GIOVANETTI TRANSPORTES LTDA</t>
        </is>
      </c>
      <c r="E128" s="40" t="n">
        <v>0</v>
      </c>
      <c r="F128" s="40" t="n">
        <v>0</v>
      </c>
      <c r="G128" s="40" t="n">
        <v>0</v>
      </c>
      <c r="H128" s="40" t="n">
        <v>0</v>
      </c>
      <c r="I128" s="40" t="n">
        <v>0</v>
      </c>
      <c r="J128" s="40" t="n">
        <v>0</v>
      </c>
      <c r="K128" s="40" t="n">
        <v>0</v>
      </c>
      <c r="L128" s="40" t="n">
        <v>1713.47</v>
      </c>
      <c r="M128" s="40" t="n">
        <v>100</v>
      </c>
      <c r="N128" s="40" t="n">
        <v>0</v>
      </c>
      <c r="O128" s="46" t="n">
        <v>-100</v>
      </c>
      <c r="P128" s="40" t="n">
        <v>0</v>
      </c>
      <c r="Q128" s="40" t="n">
        <v>0</v>
      </c>
      <c r="R128" s="47" t="n"/>
      <c r="S128" s="47" t="n"/>
      <c r="T128" s="47" t="n"/>
      <c r="U128" s="47" t="n"/>
      <c r="V128" s="47" t="n"/>
      <c r="W128" s="47" t="n"/>
    </row>
    <row r="129" ht="12" customHeight="1">
      <c r="A129" s="30" t="inlineStr">
        <is>
          <t>Itaguai</t>
        </is>
      </c>
      <c r="B129" s="30" t="n">
        <v>11668224</v>
      </c>
      <c r="C129" s="30">
        <f>"36294967000170"</f>
        <v/>
      </c>
      <c r="D129" s="30" t="inlineStr">
        <is>
          <t>RAINHA DO QUEIJO LATIC?NIOS E LANCHONETE LTDA</t>
        </is>
      </c>
      <c r="E129" s="40" t="n">
        <v>0</v>
      </c>
      <c r="F129" s="40" t="n">
        <v>0</v>
      </c>
      <c r="G129" s="40" t="n">
        <v>0</v>
      </c>
      <c r="H129" s="40" t="n">
        <v>0</v>
      </c>
      <c r="I129" s="40" t="n">
        <v>0</v>
      </c>
      <c r="J129" s="40" t="n">
        <v>0</v>
      </c>
      <c r="K129" s="40" t="n">
        <v>0</v>
      </c>
      <c r="L129" s="40" t="n">
        <v>0</v>
      </c>
      <c r="M129" s="40" t="n">
        <v>0</v>
      </c>
      <c r="N129" s="40" t="n">
        <v>0</v>
      </c>
      <c r="O129" s="40" t="n">
        <v>0</v>
      </c>
      <c r="P129" s="40" t="n">
        <v>191456.2</v>
      </c>
      <c r="Q129" s="40" t="n">
        <v>100</v>
      </c>
      <c r="R129" s="47" t="n"/>
      <c r="S129" s="47" t="n"/>
      <c r="T129" s="47" t="n"/>
      <c r="U129" s="47" t="n"/>
      <c r="V129" s="47" t="n"/>
      <c r="W129" s="47" t="n"/>
    </row>
    <row r="130" ht="12" customHeight="1">
      <c r="A130" s="30" t="inlineStr">
        <is>
          <t>Itaguai</t>
        </is>
      </c>
      <c r="B130" s="30" t="n">
        <v>11671705</v>
      </c>
      <c r="C130" s="30">
        <f>"00008009539759"</f>
        <v/>
      </c>
      <c r="D130" s="30" t="inlineStr">
        <is>
          <t>LEIDINALDO BATISTA DE ARAUJO</t>
        </is>
      </c>
      <c r="E130" s="40" t="n">
        <v>0</v>
      </c>
      <c r="F130" s="40" t="n">
        <v>0</v>
      </c>
      <c r="G130" s="40" t="n">
        <v>0</v>
      </c>
      <c r="H130" s="40" t="n">
        <v>0</v>
      </c>
      <c r="I130" s="40" t="n">
        <v>0</v>
      </c>
      <c r="J130" s="40" t="n">
        <v>0</v>
      </c>
      <c r="K130" s="40" t="n">
        <v>0</v>
      </c>
      <c r="L130" s="40" t="n">
        <v>0</v>
      </c>
      <c r="M130" s="40" t="n">
        <v>0</v>
      </c>
      <c r="N130" s="40" t="n">
        <v>10000</v>
      </c>
      <c r="O130" s="40" t="n">
        <v>100</v>
      </c>
      <c r="P130" s="40" t="n">
        <v>0</v>
      </c>
      <c r="Q130" s="46" t="n">
        <v>-100</v>
      </c>
      <c r="R130" s="47" t="n"/>
      <c r="S130" s="47" t="n"/>
      <c r="T130" s="47" t="n"/>
      <c r="U130" s="47" t="n"/>
      <c r="V130" s="47" t="n"/>
      <c r="W130" s="47" t="n"/>
    </row>
    <row r="131" ht="12" customHeight="1">
      <c r="A131" s="30" t="inlineStr">
        <is>
          <t>Itaguai</t>
        </is>
      </c>
      <c r="B131" s="30" t="n">
        <v>11672973</v>
      </c>
      <c r="C131" s="30">
        <f>"07392106000801"</f>
        <v/>
      </c>
      <c r="D131" s="30" t="inlineStr">
        <is>
          <t>SV TRANSPORTES LTDA</t>
        </is>
      </c>
      <c r="E131" s="40" t="n">
        <v>0</v>
      </c>
      <c r="F131" s="40" t="n">
        <v>0</v>
      </c>
      <c r="G131" s="40" t="n">
        <v>0</v>
      </c>
      <c r="H131" s="40" t="n">
        <v>0</v>
      </c>
      <c r="I131" s="40" t="n">
        <v>0</v>
      </c>
      <c r="J131" s="40" t="n">
        <v>0</v>
      </c>
      <c r="K131" s="40" t="n">
        <v>0</v>
      </c>
      <c r="L131" s="40" t="n">
        <v>9816073.43</v>
      </c>
      <c r="M131" s="40" t="n">
        <v>100</v>
      </c>
      <c r="N131" s="40" t="n">
        <v>71259.57000000001</v>
      </c>
      <c r="O131" s="46" t="n">
        <v>-99.27</v>
      </c>
      <c r="P131" s="40" t="n">
        <v>122546.77</v>
      </c>
      <c r="Q131" s="40" t="n">
        <v>71.97</v>
      </c>
      <c r="R131" s="47" t="n"/>
      <c r="S131" s="47" t="n"/>
      <c r="T131" s="47" t="n"/>
      <c r="U131" s="47" t="n"/>
      <c r="V131" s="47" t="n"/>
      <c r="W131" s="47" t="n"/>
    </row>
    <row r="132" ht="12" customHeight="1">
      <c r="A132" s="30" t="inlineStr">
        <is>
          <t>Itaguai</t>
        </is>
      </c>
      <c r="B132" s="30" t="n">
        <v>11678254</v>
      </c>
      <c r="C132" s="30">
        <f>"18872079000378"</f>
        <v/>
      </c>
      <c r="D132" s="30" t="inlineStr">
        <is>
          <t>MERCADO DOS ANJOS LTDA</t>
        </is>
      </c>
      <c r="E132" s="40" t="n">
        <v>0</v>
      </c>
      <c r="F132" s="40" t="n">
        <v>0</v>
      </c>
      <c r="G132" s="40" t="n">
        <v>0</v>
      </c>
      <c r="H132" s="40" t="n">
        <v>0</v>
      </c>
      <c r="I132" s="40" t="n">
        <v>0</v>
      </c>
      <c r="J132" s="40" t="n">
        <v>0</v>
      </c>
      <c r="K132" s="40" t="n">
        <v>0</v>
      </c>
      <c r="L132" s="40" t="n">
        <v>0</v>
      </c>
      <c r="M132" s="40" t="n">
        <v>0</v>
      </c>
      <c r="N132" s="40" t="n">
        <v>0</v>
      </c>
      <c r="O132" s="40" t="n">
        <v>0</v>
      </c>
      <c r="P132" s="40" t="n">
        <v>0</v>
      </c>
      <c r="Q132" s="40" t="n">
        <v>0</v>
      </c>
      <c r="R132" s="47" t="n"/>
      <c r="S132" s="47" t="n"/>
      <c r="T132" s="47" t="n"/>
      <c r="U132" s="47" t="n"/>
      <c r="V132" s="47" t="n"/>
      <c r="W132" s="47" t="n"/>
    </row>
    <row r="133" ht="12" customHeight="1">
      <c r="A133" s="30" t="inlineStr">
        <is>
          <t>Itaguai</t>
        </is>
      </c>
      <c r="B133" s="30" t="n">
        <v>11679544</v>
      </c>
      <c r="C133" s="30">
        <f>"85348407000671"</f>
        <v/>
      </c>
      <c r="D133" s="30" t="inlineStr">
        <is>
          <t>AZURELOG TRANSPORTES LTDA</t>
        </is>
      </c>
      <c r="E133" s="40" t="n">
        <v>0</v>
      </c>
      <c r="F133" s="40" t="n">
        <v>0</v>
      </c>
      <c r="G133" s="40" t="n">
        <v>0</v>
      </c>
      <c r="H133" s="40" t="n">
        <v>0</v>
      </c>
      <c r="I133" s="40" t="n">
        <v>0</v>
      </c>
      <c r="J133" s="40" t="n">
        <v>0</v>
      </c>
      <c r="K133" s="40" t="n">
        <v>0</v>
      </c>
      <c r="L133" s="40" t="n">
        <v>0</v>
      </c>
      <c r="M133" s="40" t="n">
        <v>0</v>
      </c>
      <c r="N133" s="40" t="n">
        <v>0</v>
      </c>
      <c r="O133" s="40" t="n">
        <v>0</v>
      </c>
      <c r="P133" s="40" t="n">
        <v>1054.77</v>
      </c>
      <c r="Q133" s="40" t="n">
        <v>100</v>
      </c>
      <c r="R133" s="47" t="n"/>
      <c r="S133" s="47" t="n"/>
      <c r="T133" s="47" t="n"/>
      <c r="U133" s="47" t="n"/>
      <c r="V133" s="47" t="n"/>
      <c r="W133" s="47" t="n"/>
    </row>
    <row r="134" ht="12" customHeight="1">
      <c r="A134" s="30" t="inlineStr">
        <is>
          <t>Itaguai</t>
        </is>
      </c>
      <c r="B134" s="30" t="n">
        <v>11685129</v>
      </c>
      <c r="C134" s="30">
        <f>"04100795000322"</f>
        <v/>
      </c>
      <c r="D134" s="30" t="inlineStr">
        <is>
          <t>BERSANI SOLU??ES LTDA</t>
        </is>
      </c>
      <c r="E134" s="40" t="n">
        <v>0</v>
      </c>
      <c r="F134" s="40" t="n">
        <v>0</v>
      </c>
      <c r="G134" s="40" t="n">
        <v>0</v>
      </c>
      <c r="H134" s="40" t="n">
        <v>0</v>
      </c>
      <c r="I134" s="40" t="n">
        <v>0</v>
      </c>
      <c r="J134" s="40" t="n">
        <v>0</v>
      </c>
      <c r="K134" s="40" t="n">
        <v>0</v>
      </c>
      <c r="L134" s="40" t="n">
        <v>0</v>
      </c>
      <c r="M134" s="40" t="n">
        <v>0</v>
      </c>
      <c r="N134" s="40" t="n">
        <v>0</v>
      </c>
      <c r="O134" s="40" t="n">
        <v>0</v>
      </c>
      <c r="P134" s="40" t="n">
        <v>0</v>
      </c>
      <c r="Q134" s="40" t="n">
        <v>0</v>
      </c>
      <c r="R134" s="47" t="n"/>
      <c r="S134" s="47" t="n"/>
      <c r="T134" s="47" t="n"/>
      <c r="U134" s="47" t="n"/>
      <c r="V134" s="47" t="n"/>
      <c r="W134" s="47" t="n"/>
    </row>
    <row r="135" ht="12" customHeight="1">
      <c r="A135" s="30" t="inlineStr">
        <is>
          <t>Itaguai</t>
        </is>
      </c>
      <c r="B135" s="30" t="n">
        <v>11691447</v>
      </c>
      <c r="C135" s="30">
        <f>"36663823000144"</f>
        <v/>
      </c>
      <c r="D135" s="30" t="inlineStr">
        <is>
          <t>TS RJ TRANSPORTES, LOG?STICA E SOLU??ES LTDA</t>
        </is>
      </c>
      <c r="E135" s="40" t="n">
        <v>0</v>
      </c>
      <c r="F135" s="40" t="n">
        <v>0</v>
      </c>
      <c r="G135" s="40" t="n">
        <v>0</v>
      </c>
      <c r="H135" s="40" t="n">
        <v>0</v>
      </c>
      <c r="I135" s="40" t="n">
        <v>0</v>
      </c>
      <c r="J135" s="40" t="n">
        <v>0</v>
      </c>
      <c r="K135" s="40" t="n">
        <v>0</v>
      </c>
      <c r="L135" s="40" t="n">
        <v>30</v>
      </c>
      <c r="M135" s="40" t="n">
        <v>100</v>
      </c>
      <c r="N135" s="40" t="n">
        <v>0</v>
      </c>
      <c r="O135" s="46" t="n">
        <v>-100</v>
      </c>
      <c r="P135" s="40" t="n">
        <v>0</v>
      </c>
      <c r="Q135" s="40" t="n">
        <v>0</v>
      </c>
      <c r="R135" s="47" t="n"/>
      <c r="S135" s="47" t="n"/>
      <c r="T135" s="47" t="n"/>
      <c r="U135" s="47" t="n"/>
      <c r="V135" s="47" t="n"/>
      <c r="W135" s="47" t="n"/>
    </row>
    <row r="136" ht="12" customHeight="1">
      <c r="A136" s="30" t="inlineStr">
        <is>
          <t>Itaguai</t>
        </is>
      </c>
      <c r="B136" s="30" t="n">
        <v>11698123</v>
      </c>
      <c r="C136" s="30">
        <f>"08775225000202"</f>
        <v/>
      </c>
      <c r="D136" s="30" t="inlineStr">
        <is>
          <t>LINK SERVICOS MULTIMODAIS LTDA</t>
        </is>
      </c>
      <c r="E136" s="40" t="n">
        <v>0</v>
      </c>
      <c r="F136" s="40" t="n">
        <v>0</v>
      </c>
      <c r="G136" s="40" t="n">
        <v>0</v>
      </c>
      <c r="H136" s="40" t="n">
        <v>0</v>
      </c>
      <c r="I136" s="40" t="n">
        <v>0</v>
      </c>
      <c r="J136" s="40" t="n">
        <v>0</v>
      </c>
      <c r="K136" s="40" t="n">
        <v>0</v>
      </c>
      <c r="L136" s="40" t="n">
        <v>157291.23</v>
      </c>
      <c r="M136" s="40" t="n">
        <v>100</v>
      </c>
      <c r="N136" s="40" t="n">
        <v>84189.36</v>
      </c>
      <c r="O136" s="46" t="n">
        <v>-46.48</v>
      </c>
      <c r="P136" s="40" t="n">
        <v>0</v>
      </c>
      <c r="Q136" s="46" t="n">
        <v>-100</v>
      </c>
      <c r="R136" s="47" t="n"/>
      <c r="S136" s="47" t="n"/>
      <c r="T136" s="47" t="n"/>
      <c r="U136" s="47" t="n"/>
      <c r="V136" s="47" t="n"/>
      <c r="W136" s="47" t="n"/>
    </row>
    <row r="137" ht="12" customHeight="1">
      <c r="A137" s="30" t="inlineStr">
        <is>
          <t>Itaguai</t>
        </is>
      </c>
      <c r="B137" s="30" t="n">
        <v>11699359</v>
      </c>
      <c r="C137" s="30">
        <f>"36860222000121"</f>
        <v/>
      </c>
      <c r="D137" s="30" t="inlineStr">
        <is>
          <t>ATLANTIC OCEAN COMERCIAL EXPORTADORA E IMPORTADORA, SERVI?OS E C</t>
        </is>
      </c>
      <c r="E137" s="40" t="n">
        <v>0</v>
      </c>
      <c r="F137" s="40" t="n">
        <v>0</v>
      </c>
      <c r="G137" s="40" t="n">
        <v>0</v>
      </c>
      <c r="H137" s="40" t="n">
        <v>0</v>
      </c>
      <c r="I137" s="40" t="n">
        <v>0</v>
      </c>
      <c r="J137" s="40" t="n">
        <v>0</v>
      </c>
      <c r="K137" s="40" t="n">
        <v>0</v>
      </c>
      <c r="L137" s="40" t="n">
        <v>0</v>
      </c>
      <c r="M137" s="40" t="n">
        <v>0</v>
      </c>
      <c r="N137" s="40" t="n">
        <v>0</v>
      </c>
      <c r="O137" s="40" t="n">
        <v>0</v>
      </c>
      <c r="P137" s="40" t="n">
        <v>0</v>
      </c>
      <c r="Q137" s="40" t="n">
        <v>0</v>
      </c>
      <c r="R137" s="47" t="n"/>
      <c r="S137" s="47" t="n"/>
      <c r="T137" s="47" t="n"/>
      <c r="U137" s="47" t="n"/>
      <c r="V137" s="47" t="n"/>
      <c r="W137" s="47" t="n"/>
    </row>
    <row r="138" ht="12" customHeight="1">
      <c r="A138" s="30" t="inlineStr">
        <is>
          <t>Itaguai</t>
        </is>
      </c>
      <c r="B138" s="30" t="n">
        <v>11699375</v>
      </c>
      <c r="C138" s="30">
        <f>"20121850002107"</f>
        <v/>
      </c>
      <c r="D138" s="30" t="inlineStr">
        <is>
          <t>MERCADO ENVIOS SERVICOS DE LOGISTICA LTDA</t>
        </is>
      </c>
      <c r="E138" s="40" t="n">
        <v>0</v>
      </c>
      <c r="F138" s="40" t="n">
        <v>0</v>
      </c>
      <c r="G138" s="40" t="n">
        <v>0</v>
      </c>
      <c r="H138" s="40" t="n">
        <v>0</v>
      </c>
      <c r="I138" s="40" t="n">
        <v>0</v>
      </c>
      <c r="J138" s="40" t="n">
        <v>0</v>
      </c>
      <c r="K138" s="40" t="n">
        <v>0</v>
      </c>
      <c r="L138" s="40" t="n">
        <v>0</v>
      </c>
      <c r="M138" s="40" t="n">
        <v>0</v>
      </c>
      <c r="N138" s="40" t="n">
        <v>56852.64</v>
      </c>
      <c r="O138" s="40" t="n">
        <v>100</v>
      </c>
      <c r="P138" s="40" t="n">
        <v>0</v>
      </c>
      <c r="Q138" s="46" t="n">
        <v>-100</v>
      </c>
      <c r="R138" s="47" t="n"/>
      <c r="S138" s="47" t="n"/>
      <c r="T138" s="47" t="n"/>
      <c r="U138" s="47" t="n"/>
      <c r="V138" s="47" t="n"/>
      <c r="W138" s="47" t="n"/>
    </row>
    <row r="139" ht="12" customHeight="1">
      <c r="A139" s="30" t="inlineStr">
        <is>
          <t>Itaguai</t>
        </is>
      </c>
      <c r="B139" s="30" t="n">
        <v>11702341</v>
      </c>
      <c r="C139" s="30">
        <f>"07199061001817"</f>
        <v/>
      </c>
      <c r="D139" s="30" t="inlineStr">
        <is>
          <t>TRANSAGIL TRANSPORTES DE CARGA LTDA</t>
        </is>
      </c>
      <c r="E139" s="40" t="n">
        <v>0</v>
      </c>
      <c r="F139" s="40" t="n">
        <v>0</v>
      </c>
      <c r="G139" s="40" t="n">
        <v>0</v>
      </c>
      <c r="H139" s="40" t="n">
        <v>0</v>
      </c>
      <c r="I139" s="40" t="n">
        <v>0</v>
      </c>
      <c r="J139" s="40" t="n">
        <v>0</v>
      </c>
      <c r="K139" s="40" t="n">
        <v>0</v>
      </c>
      <c r="L139" s="40" t="n">
        <v>0</v>
      </c>
      <c r="M139" s="40" t="n">
        <v>0</v>
      </c>
      <c r="N139" s="40" t="n">
        <v>0</v>
      </c>
      <c r="O139" s="40" t="n">
        <v>0</v>
      </c>
      <c r="P139" s="40" t="n">
        <v>41567.03</v>
      </c>
      <c r="Q139" s="40" t="n">
        <v>100</v>
      </c>
      <c r="R139" s="47" t="n"/>
      <c r="S139" s="47" t="n"/>
      <c r="T139" s="47" t="n"/>
      <c r="U139" s="47" t="n"/>
      <c r="V139" s="47" t="n"/>
      <c r="W139" s="47" t="n"/>
    </row>
    <row r="140" ht="12" customHeight="1">
      <c r="A140" s="30" t="inlineStr">
        <is>
          <t>Itaguai</t>
        </is>
      </c>
      <c r="B140" s="30" t="n">
        <v>11712908</v>
      </c>
      <c r="C140" s="30">
        <f>"36012579000150"</f>
        <v/>
      </c>
      <c r="D140" s="30" t="inlineStr">
        <is>
          <t>COZANI RJ INFRAESTRUTURA E REDES DE TELECOMUNICA??ES S.A</t>
        </is>
      </c>
      <c r="E140" s="40" t="n">
        <v>0</v>
      </c>
      <c r="F140" s="40" t="n">
        <v>0</v>
      </c>
      <c r="G140" s="40" t="n">
        <v>0</v>
      </c>
      <c r="H140" s="40" t="n">
        <v>0</v>
      </c>
      <c r="I140" s="40" t="n">
        <v>0</v>
      </c>
      <c r="J140" s="40" t="n">
        <v>0</v>
      </c>
      <c r="K140" s="40" t="n">
        <v>0</v>
      </c>
      <c r="L140" s="40" t="n">
        <v>0</v>
      </c>
      <c r="M140" s="40" t="n">
        <v>0</v>
      </c>
      <c r="N140" s="40" t="n">
        <v>1135082.91</v>
      </c>
      <c r="O140" s="40" t="n">
        <v>100</v>
      </c>
      <c r="P140" s="40" t="n">
        <v>0</v>
      </c>
      <c r="Q140" s="46" t="n">
        <v>-100</v>
      </c>
      <c r="R140" s="47" t="n"/>
      <c r="S140" s="47" t="n"/>
      <c r="T140" s="47" t="n"/>
      <c r="U140" s="47" t="n"/>
      <c r="V140" s="47" t="n"/>
      <c r="W140" s="47" t="n"/>
    </row>
    <row r="141" ht="12" customHeight="1">
      <c r="A141" s="30" t="inlineStr">
        <is>
          <t>Itaguai</t>
        </is>
      </c>
      <c r="B141" s="30" t="n">
        <v>11713394</v>
      </c>
      <c r="C141" s="30">
        <f>"35958746000278"</f>
        <v/>
      </c>
      <c r="D141" s="30" t="inlineStr">
        <is>
          <t>WE MOVVE LOGISTICA E TRANSPORTES LTDA</t>
        </is>
      </c>
      <c r="E141" s="40" t="n">
        <v>0</v>
      </c>
      <c r="F141" s="40" t="n">
        <v>0</v>
      </c>
      <c r="G141" s="40" t="n">
        <v>0</v>
      </c>
      <c r="H141" s="40" t="n">
        <v>0</v>
      </c>
      <c r="I141" s="40" t="n">
        <v>0</v>
      </c>
      <c r="J141" s="40" t="n">
        <v>0</v>
      </c>
      <c r="K141" s="40" t="n">
        <v>0</v>
      </c>
      <c r="L141" s="40" t="n">
        <v>2388.95</v>
      </c>
      <c r="M141" s="40" t="n">
        <v>100</v>
      </c>
      <c r="N141" s="40" t="n">
        <v>70.23</v>
      </c>
      <c r="O141" s="46" t="n">
        <v>-97.06</v>
      </c>
      <c r="P141" s="40" t="n">
        <v>0</v>
      </c>
      <c r="Q141" s="46" t="n">
        <v>-100</v>
      </c>
      <c r="R141" s="47" t="n"/>
      <c r="S141" s="47" t="n"/>
      <c r="T141" s="47" t="n"/>
      <c r="U141" s="47" t="n"/>
      <c r="V141" s="47" t="n"/>
      <c r="W141" s="47" t="n"/>
    </row>
    <row r="142" ht="12" customHeight="1">
      <c r="A142" s="30" t="inlineStr">
        <is>
          <t>Itaguai</t>
        </is>
      </c>
      <c r="B142" s="30" t="n">
        <v>11718426</v>
      </c>
      <c r="C142" s="30">
        <f>"37246779000130"</f>
        <v/>
      </c>
      <c r="D142" s="30" t="inlineStr">
        <is>
          <t>ITAMIX BAZAR LTDA</t>
        </is>
      </c>
      <c r="E142" s="40" t="n">
        <v>0</v>
      </c>
      <c r="F142" s="40" t="n">
        <v>0</v>
      </c>
      <c r="G142" s="40" t="n">
        <v>0</v>
      </c>
      <c r="H142" s="40" t="n">
        <v>0</v>
      </c>
      <c r="I142" s="40" t="n">
        <v>0</v>
      </c>
      <c r="J142" s="40" t="n">
        <v>95464.67999999999</v>
      </c>
      <c r="K142" s="40" t="n">
        <v>100</v>
      </c>
      <c r="L142" s="40" t="n">
        <v>0</v>
      </c>
      <c r="M142" s="46" t="n">
        <v>-100</v>
      </c>
      <c r="N142" s="40" t="n">
        <v>952870.6899999999</v>
      </c>
      <c r="O142" s="40" t="n">
        <v>100</v>
      </c>
      <c r="P142" s="40" t="n">
        <v>984329.2</v>
      </c>
      <c r="Q142" s="40" t="n">
        <v>3.3</v>
      </c>
      <c r="R142" s="47" t="n"/>
      <c r="S142" s="47" t="n"/>
      <c r="T142" s="47" t="n"/>
      <c r="U142" s="47" t="n"/>
      <c r="V142" s="47" t="n"/>
      <c r="W142" s="47" t="n"/>
    </row>
    <row r="143" ht="12" customHeight="1">
      <c r="A143" s="30" t="inlineStr">
        <is>
          <t>Itaguai</t>
        </is>
      </c>
      <c r="B143" s="30" t="n">
        <v>11726097</v>
      </c>
      <c r="C143" s="30">
        <f>"29323431000170"</f>
        <v/>
      </c>
      <c r="D143" s="30" t="inlineStr">
        <is>
          <t>SERR?O FRIGOR?FICO LTDA</t>
        </is>
      </c>
      <c r="E143" s="40" t="n">
        <v>0</v>
      </c>
      <c r="F143" s="40" t="n">
        <v>0</v>
      </c>
      <c r="G143" s="40" t="n">
        <v>0</v>
      </c>
      <c r="H143" s="40" t="n">
        <v>0</v>
      </c>
      <c r="I143" s="40" t="n">
        <v>0</v>
      </c>
      <c r="J143" s="40" t="n">
        <v>0</v>
      </c>
      <c r="K143" s="40" t="n">
        <v>0</v>
      </c>
      <c r="L143" s="40" t="n">
        <v>0</v>
      </c>
      <c r="M143" s="40" t="n">
        <v>0</v>
      </c>
      <c r="N143" s="40" t="n">
        <v>0</v>
      </c>
      <c r="O143" s="40" t="n">
        <v>0</v>
      </c>
      <c r="P143" s="40" t="n">
        <v>0</v>
      </c>
      <c r="Q143" s="40" t="n">
        <v>0</v>
      </c>
      <c r="R143" s="47" t="n"/>
      <c r="S143" s="47" t="n"/>
      <c r="T143" s="47" t="n"/>
      <c r="U143" s="47" t="n"/>
      <c r="V143" s="47" t="n"/>
      <c r="W143" s="47" t="n"/>
    </row>
    <row r="144" ht="12" customHeight="1">
      <c r="A144" s="30" t="inlineStr">
        <is>
          <t>Itaguai</t>
        </is>
      </c>
      <c r="B144" s="30" t="n">
        <v>11729096</v>
      </c>
      <c r="C144" s="30">
        <f>"17352305000408"</f>
        <v/>
      </c>
      <c r="D144" s="30" t="inlineStr">
        <is>
          <t>NOVACAR RIO VEICULOS LTDA</t>
        </is>
      </c>
      <c r="E144" s="40" t="n">
        <v>0</v>
      </c>
      <c r="F144" s="40" t="n">
        <v>0</v>
      </c>
      <c r="G144" s="40" t="n">
        <v>0</v>
      </c>
      <c r="H144" s="40" t="n">
        <v>0</v>
      </c>
      <c r="I144" s="40" t="n">
        <v>0</v>
      </c>
      <c r="J144" s="40" t="n">
        <v>245850</v>
      </c>
      <c r="K144" s="40" t="n">
        <v>100</v>
      </c>
      <c r="L144" s="40" t="n">
        <v>616949.4300000001</v>
      </c>
      <c r="M144" s="40" t="n">
        <v>150.95</v>
      </c>
      <c r="N144" s="40" t="n">
        <v>0</v>
      </c>
      <c r="O144" s="46" t="n">
        <v>-100</v>
      </c>
      <c r="P144" s="40" t="n">
        <v>0</v>
      </c>
      <c r="Q144" s="40" t="n">
        <v>0</v>
      </c>
      <c r="R144" s="47" t="n"/>
      <c r="S144" s="47" t="n"/>
      <c r="T144" s="47" t="n"/>
      <c r="U144" s="47" t="n"/>
      <c r="V144" s="47" t="n"/>
      <c r="W144" s="47" t="n"/>
    </row>
    <row r="145" ht="12" customHeight="1">
      <c r="A145" s="30" t="inlineStr">
        <is>
          <t>Itaguai</t>
        </is>
      </c>
      <c r="B145" s="30" t="n">
        <v>11738494</v>
      </c>
      <c r="C145" s="30">
        <f>"17215039002334"</f>
        <v/>
      </c>
      <c r="D145" s="30" t="inlineStr">
        <is>
          <t>TRANSPORTES PESADOS MINAS S A</t>
        </is>
      </c>
      <c r="E145" s="40" t="n">
        <v>0</v>
      </c>
      <c r="F145" s="40" t="n">
        <v>0</v>
      </c>
      <c r="G145" s="40" t="n">
        <v>0</v>
      </c>
      <c r="H145" s="40" t="n">
        <v>0</v>
      </c>
      <c r="I145" s="40" t="n">
        <v>0</v>
      </c>
      <c r="J145" s="40" t="n">
        <v>0</v>
      </c>
      <c r="K145" s="40" t="n">
        <v>0</v>
      </c>
      <c r="L145" s="40" t="n">
        <v>0</v>
      </c>
      <c r="M145" s="40" t="n">
        <v>0</v>
      </c>
      <c r="N145" s="40" t="n">
        <v>2703.51</v>
      </c>
      <c r="O145" s="40" t="n">
        <v>100</v>
      </c>
      <c r="P145" s="40" t="n">
        <v>0</v>
      </c>
      <c r="Q145" s="46" t="n">
        <v>-100</v>
      </c>
      <c r="R145" s="47" t="n"/>
      <c r="S145" s="47" t="n"/>
      <c r="T145" s="47" t="n"/>
      <c r="U145" s="47" t="n"/>
      <c r="V145" s="47" t="n"/>
      <c r="W145" s="47" t="n"/>
    </row>
    <row r="146" ht="12" customHeight="1">
      <c r="A146" s="30" t="inlineStr">
        <is>
          <t>Itaguai</t>
        </is>
      </c>
      <c r="B146" s="30" t="n">
        <v>11743501</v>
      </c>
      <c r="C146" s="30">
        <f>"18247063001770"</f>
        <v/>
      </c>
      <c r="D146" s="30" t="inlineStr">
        <is>
          <t>DOMINALOG EXPRESS LOGISTICA INTEGRADA LTDA</t>
        </is>
      </c>
      <c r="E146" s="40" t="n">
        <v>0</v>
      </c>
      <c r="F146" s="40" t="n">
        <v>0</v>
      </c>
      <c r="G146" s="40" t="n">
        <v>0</v>
      </c>
      <c r="H146" s="40" t="n">
        <v>0</v>
      </c>
      <c r="I146" s="40" t="n">
        <v>0</v>
      </c>
      <c r="J146" s="40" t="n">
        <v>133.96</v>
      </c>
      <c r="K146" s="40" t="n">
        <v>100</v>
      </c>
      <c r="L146" s="40" t="n">
        <v>0</v>
      </c>
      <c r="M146" s="46" t="n">
        <v>-100</v>
      </c>
      <c r="N146" s="40" t="n">
        <v>0</v>
      </c>
      <c r="O146" s="40" t="n">
        <v>0</v>
      </c>
      <c r="P146" s="40" t="n">
        <v>774.85</v>
      </c>
      <c r="Q146" s="40" t="n">
        <v>100</v>
      </c>
      <c r="R146" s="47" t="n"/>
      <c r="S146" s="47" t="n"/>
      <c r="T146" s="47" t="n"/>
      <c r="U146" s="47" t="n"/>
      <c r="V146" s="47" t="n"/>
      <c r="W146" s="47" t="n"/>
    </row>
    <row r="147" ht="12" customHeight="1">
      <c r="A147" s="30" t="inlineStr">
        <is>
          <t>Itaguai</t>
        </is>
      </c>
      <c r="B147" s="30" t="n">
        <v>11752802</v>
      </c>
      <c r="C147" s="30">
        <f>"44993632007696"</f>
        <v/>
      </c>
      <c r="D147" s="30" t="inlineStr">
        <is>
          <t>EMPRESAS REUNIDAS PAULISTA DE TRANSPORTES LTDA</t>
        </is>
      </c>
      <c r="E147" s="40" t="n">
        <v>0</v>
      </c>
      <c r="F147" s="40" t="n">
        <v>0</v>
      </c>
      <c r="G147" s="40" t="n">
        <v>0</v>
      </c>
      <c r="H147" s="40" t="n">
        <v>0</v>
      </c>
      <c r="I147" s="40" t="n">
        <v>0</v>
      </c>
      <c r="J147" s="40" t="n">
        <v>0</v>
      </c>
      <c r="K147" s="40" t="n">
        <v>0</v>
      </c>
      <c r="L147" s="40" t="n">
        <v>311.01</v>
      </c>
      <c r="M147" s="40" t="n">
        <v>100</v>
      </c>
      <c r="N147" s="40" t="n">
        <v>0</v>
      </c>
      <c r="O147" s="46" t="n">
        <v>-100</v>
      </c>
      <c r="P147" s="40" t="n">
        <v>177.74</v>
      </c>
      <c r="Q147" s="40" t="n">
        <v>100</v>
      </c>
      <c r="R147" s="47" t="n"/>
      <c r="S147" s="47" t="n"/>
      <c r="T147" s="47" t="n"/>
      <c r="U147" s="47" t="n"/>
      <c r="V147" s="47" t="n"/>
      <c r="W147" s="47" t="n"/>
    </row>
    <row r="148" ht="12" customHeight="1">
      <c r="A148" s="30" t="inlineStr">
        <is>
          <t>Itaguai</t>
        </is>
      </c>
      <c r="B148" s="30" t="n">
        <v>11752837</v>
      </c>
      <c r="C148" s="30">
        <f>"19247157000225"</f>
        <v/>
      </c>
      <c r="D148" s="30" t="inlineStr">
        <is>
          <t>LNV COMERCIO DE ROUPAS E ACESSORIOS LTDA</t>
        </is>
      </c>
      <c r="E148" s="40" t="n">
        <v>0</v>
      </c>
      <c r="F148" s="40" t="n">
        <v>0</v>
      </c>
      <c r="G148" s="40" t="n">
        <v>0</v>
      </c>
      <c r="H148" s="40" t="n">
        <v>0</v>
      </c>
      <c r="I148" s="40" t="n">
        <v>0</v>
      </c>
      <c r="J148" s="40" t="n">
        <v>0</v>
      </c>
      <c r="K148" s="40" t="n">
        <v>0</v>
      </c>
      <c r="L148" s="40" t="n">
        <v>0</v>
      </c>
      <c r="M148" s="40" t="n">
        <v>0</v>
      </c>
      <c r="N148" s="40" t="n">
        <v>0</v>
      </c>
      <c r="O148" s="40" t="n">
        <v>0</v>
      </c>
      <c r="P148" s="40" t="n">
        <v>979545.54</v>
      </c>
      <c r="Q148" s="40" t="n">
        <v>100</v>
      </c>
      <c r="R148" s="47" t="n"/>
      <c r="S148" s="47" t="n"/>
      <c r="T148" s="47" t="n"/>
      <c r="U148" s="47" t="n"/>
      <c r="V148" s="47" t="n"/>
      <c r="W148" s="47" t="n"/>
    </row>
    <row r="149" ht="12" customHeight="1">
      <c r="A149" s="30" t="inlineStr">
        <is>
          <t>Itaguai</t>
        </is>
      </c>
      <c r="B149" s="30" t="n">
        <v>11754066</v>
      </c>
      <c r="C149" s="30">
        <f>"00015265570705"</f>
        <v/>
      </c>
      <c r="D149" s="30" t="inlineStr">
        <is>
          <t>JEAN TEIXEIRA DE OLIVEIRA</t>
        </is>
      </c>
      <c r="E149" s="40" t="n">
        <v>0</v>
      </c>
      <c r="F149" s="40" t="n">
        <v>0</v>
      </c>
      <c r="G149" s="40" t="n">
        <v>0</v>
      </c>
      <c r="H149" s="40" t="n">
        <v>0</v>
      </c>
      <c r="I149" s="40" t="n">
        <v>0</v>
      </c>
      <c r="J149" s="40" t="n">
        <v>0</v>
      </c>
      <c r="K149" s="40" t="n">
        <v>0</v>
      </c>
      <c r="L149" s="40" t="n">
        <v>293442</v>
      </c>
      <c r="M149" s="40" t="n">
        <v>100</v>
      </c>
      <c r="N149" s="40" t="n">
        <v>0</v>
      </c>
      <c r="O149" s="46" t="n">
        <v>-100</v>
      </c>
      <c r="P149" s="40" t="n">
        <v>0</v>
      </c>
      <c r="Q149" s="40" t="n">
        <v>0</v>
      </c>
      <c r="R149" s="47" t="n"/>
      <c r="S149" s="47" t="n"/>
      <c r="T149" s="47" t="n"/>
      <c r="U149" s="47" t="n"/>
      <c r="V149" s="47" t="n"/>
      <c r="W149" s="47" t="n"/>
    </row>
    <row r="150" ht="12" customHeight="1">
      <c r="A150" s="30" t="inlineStr">
        <is>
          <t>Itaguai</t>
        </is>
      </c>
      <c r="B150" s="30" t="n">
        <v>11758363</v>
      </c>
      <c r="C150" s="30">
        <f>"00001653708743"</f>
        <v/>
      </c>
      <c r="D150" s="30" t="inlineStr">
        <is>
          <t>ANDREA CRISTINA ARAUJO ANDRADE</t>
        </is>
      </c>
      <c r="E150" s="40" t="n">
        <v>0</v>
      </c>
      <c r="F150" s="40" t="n">
        <v>0</v>
      </c>
      <c r="G150" s="40" t="n">
        <v>0</v>
      </c>
      <c r="H150" s="40" t="n">
        <v>0</v>
      </c>
      <c r="I150" s="40" t="n">
        <v>0</v>
      </c>
      <c r="J150" s="40" t="n">
        <v>0</v>
      </c>
      <c r="K150" s="40" t="n">
        <v>0</v>
      </c>
      <c r="L150" s="40" t="n">
        <v>0</v>
      </c>
      <c r="M150" s="40" t="n">
        <v>0</v>
      </c>
      <c r="N150" s="40" t="n">
        <v>0</v>
      </c>
      <c r="O150" s="40" t="n">
        <v>0</v>
      </c>
      <c r="P150" s="40" t="n">
        <v>14000</v>
      </c>
      <c r="Q150" s="40" t="n">
        <v>100</v>
      </c>
      <c r="R150" s="47" t="n"/>
      <c r="S150" s="47" t="n"/>
      <c r="T150" s="47" t="n"/>
      <c r="U150" s="47" t="n"/>
      <c r="V150" s="47" t="n"/>
      <c r="W150" s="47" t="n"/>
    </row>
    <row r="151" ht="12" customHeight="1">
      <c r="A151" s="30" t="inlineStr">
        <is>
          <t>Itaguai</t>
        </is>
      </c>
      <c r="B151" s="30" t="n">
        <v>11758959</v>
      </c>
      <c r="C151" s="30">
        <f>"37818831000185"</f>
        <v/>
      </c>
      <c r="D151" s="30" t="inlineStr">
        <is>
          <t>ENERGEA ITAGUA? III LTDA</t>
        </is>
      </c>
      <c r="E151" s="40" t="n">
        <v>0</v>
      </c>
      <c r="F151" s="40" t="n">
        <v>0</v>
      </c>
      <c r="G151" s="40" t="n">
        <v>0</v>
      </c>
      <c r="H151" s="40" t="n">
        <v>0</v>
      </c>
      <c r="I151" s="40" t="n">
        <v>0</v>
      </c>
      <c r="J151" s="40" t="n">
        <v>0</v>
      </c>
      <c r="K151" s="40" t="n">
        <v>0</v>
      </c>
      <c r="L151" s="40" t="n">
        <v>0</v>
      </c>
      <c r="M151" s="40" t="n">
        <v>0</v>
      </c>
      <c r="N151" s="40" t="n">
        <v>0</v>
      </c>
      <c r="O151" s="40" t="n">
        <v>0</v>
      </c>
      <c r="P151" s="40" t="n">
        <v>0</v>
      </c>
      <c r="Q151" s="40" t="n">
        <v>0</v>
      </c>
      <c r="R151" s="47" t="n"/>
      <c r="S151" s="47" t="n"/>
      <c r="T151" s="47" t="n"/>
      <c r="U151" s="47" t="n"/>
      <c r="V151" s="47" t="n"/>
      <c r="W151" s="47" t="n"/>
    </row>
    <row r="152" ht="12" customHeight="1">
      <c r="A152" s="30" t="inlineStr">
        <is>
          <t>Itaguai</t>
        </is>
      </c>
      <c r="B152" s="30" t="n">
        <v>11759963</v>
      </c>
      <c r="C152" s="30">
        <f>"37820854000124"</f>
        <v/>
      </c>
      <c r="D152" s="30" t="inlineStr">
        <is>
          <t>JEJURO HAMBURGUERES DE ITAGUAI LTDA</t>
        </is>
      </c>
      <c r="E152" s="40" t="n">
        <v>0</v>
      </c>
      <c r="F152" s="40" t="n">
        <v>0</v>
      </c>
      <c r="G152" s="40" t="n">
        <v>0</v>
      </c>
      <c r="H152" s="40" t="n">
        <v>0</v>
      </c>
      <c r="I152" s="40" t="n">
        <v>0</v>
      </c>
      <c r="J152" s="40" t="n">
        <v>0</v>
      </c>
      <c r="K152" s="40" t="n">
        <v>0</v>
      </c>
      <c r="L152" s="40" t="n">
        <v>0</v>
      </c>
      <c r="M152" s="40" t="n">
        <v>0</v>
      </c>
      <c r="N152" s="40" t="n">
        <v>223002.67</v>
      </c>
      <c r="O152" s="40" t="n">
        <v>100</v>
      </c>
      <c r="P152" s="40" t="n">
        <v>1089919.05</v>
      </c>
      <c r="Q152" s="40" t="n">
        <v>388.75</v>
      </c>
      <c r="R152" s="47" t="n"/>
      <c r="S152" s="47" t="n"/>
      <c r="T152" s="47" t="n"/>
      <c r="U152" s="47" t="n"/>
      <c r="V152" s="47" t="n"/>
      <c r="W152" s="47" t="n"/>
    </row>
    <row r="153" ht="12" customHeight="1">
      <c r="A153" s="30" t="inlineStr">
        <is>
          <t>Itaguai</t>
        </is>
      </c>
      <c r="B153" s="30" t="n">
        <v>11764037</v>
      </c>
      <c r="C153" s="30">
        <f>"23056952000122"</f>
        <v/>
      </c>
      <c r="D153" s="30" t="inlineStr">
        <is>
          <t>HOTWORK BRASIL ENGENHARIA TERMICA LTDA</t>
        </is>
      </c>
      <c r="E153" s="40" t="n">
        <v>0</v>
      </c>
      <c r="F153" s="40" t="n">
        <v>0</v>
      </c>
      <c r="G153" s="40" t="n">
        <v>0</v>
      </c>
      <c r="H153" s="40" t="n">
        <v>0</v>
      </c>
      <c r="I153" s="40" t="n">
        <v>0</v>
      </c>
      <c r="J153" s="40" t="n">
        <v>0</v>
      </c>
      <c r="K153" s="40" t="n">
        <v>0</v>
      </c>
      <c r="L153" s="40" t="n">
        <v>0</v>
      </c>
      <c r="M153" s="40" t="n">
        <v>0</v>
      </c>
      <c r="N153" s="40" t="n">
        <v>0</v>
      </c>
      <c r="O153" s="40" t="n">
        <v>0</v>
      </c>
      <c r="P153" s="40" t="n">
        <v>0</v>
      </c>
      <c r="Q153" s="40" t="n">
        <v>0</v>
      </c>
      <c r="R153" s="47" t="n"/>
      <c r="S153" s="47" t="n"/>
      <c r="T153" s="47" t="n"/>
      <c r="U153" s="47" t="n"/>
      <c r="V153" s="47" t="n"/>
      <c r="W153" s="47" t="n"/>
    </row>
    <row r="154" ht="12" customHeight="1">
      <c r="A154" s="30" t="inlineStr">
        <is>
          <t>Itaguai</t>
        </is>
      </c>
      <c r="B154" s="30" t="n">
        <v>11778682</v>
      </c>
      <c r="C154" s="30">
        <f>"38011150000173"</f>
        <v/>
      </c>
      <c r="D154" s="30" t="inlineStr">
        <is>
          <t>HBS AUTOM?VEIS LTDA</t>
        </is>
      </c>
      <c r="E154" s="40" t="n">
        <v>0</v>
      </c>
      <c r="F154" s="40" t="n">
        <v>0</v>
      </c>
      <c r="G154" s="40" t="n">
        <v>0</v>
      </c>
      <c r="H154" s="40" t="n">
        <v>0</v>
      </c>
      <c r="I154" s="40" t="n">
        <v>0</v>
      </c>
      <c r="J154" s="40" t="n">
        <v>0</v>
      </c>
      <c r="K154" s="40" t="n">
        <v>0</v>
      </c>
      <c r="L154" s="40" t="n">
        <v>0</v>
      </c>
      <c r="M154" s="40" t="n">
        <v>0</v>
      </c>
      <c r="N154" s="40" t="n">
        <v>0</v>
      </c>
      <c r="O154" s="40" t="n">
        <v>0</v>
      </c>
      <c r="P154" s="40" t="n">
        <v>0</v>
      </c>
      <c r="Q154" s="40" t="n">
        <v>0</v>
      </c>
      <c r="R154" s="47" t="n"/>
      <c r="S154" s="47" t="n"/>
      <c r="T154" s="47" t="n"/>
      <c r="U154" s="47" t="n"/>
      <c r="V154" s="47" t="n"/>
      <c r="W154" s="47" t="n"/>
    </row>
    <row r="155" ht="12" customHeight="1">
      <c r="A155" s="30" t="inlineStr">
        <is>
          <t>Itaguai</t>
        </is>
      </c>
      <c r="B155" s="30" t="n">
        <v>11780407</v>
      </c>
      <c r="C155" s="30">
        <f>"38030823000132"</f>
        <v/>
      </c>
      <c r="D155" s="30" t="inlineStr">
        <is>
          <t>ESTRELA DE ITAGUAI EIRELI</t>
        </is>
      </c>
      <c r="E155" s="40" t="n">
        <v>0</v>
      </c>
      <c r="F155" s="40" t="n">
        <v>0</v>
      </c>
      <c r="G155" s="40" t="n">
        <v>0</v>
      </c>
      <c r="H155" s="40" t="n">
        <v>0</v>
      </c>
      <c r="I155" s="40" t="n">
        <v>0</v>
      </c>
      <c r="J155" s="40" t="n">
        <v>0</v>
      </c>
      <c r="K155" s="40" t="n">
        <v>0</v>
      </c>
      <c r="L155" s="40" t="n">
        <v>0</v>
      </c>
      <c r="M155" s="40" t="n">
        <v>0</v>
      </c>
      <c r="N155" s="40" t="n">
        <v>0</v>
      </c>
      <c r="O155" s="40" t="n">
        <v>0</v>
      </c>
      <c r="P155" s="40" t="n">
        <v>0</v>
      </c>
      <c r="Q155" s="40" t="n">
        <v>0</v>
      </c>
      <c r="R155" s="47" t="n"/>
      <c r="S155" s="47" t="n"/>
      <c r="T155" s="47" t="n"/>
      <c r="U155" s="47" t="n"/>
      <c r="V155" s="47" t="n"/>
      <c r="W155" s="47" t="n"/>
    </row>
    <row r="156" ht="12" customHeight="1">
      <c r="A156" s="30" t="inlineStr">
        <is>
          <t>Itaguai</t>
        </is>
      </c>
      <c r="B156" s="30" t="n">
        <v>11781160</v>
      </c>
      <c r="C156" s="30">
        <f>"23820639000704"</f>
        <v/>
      </c>
      <c r="D156" s="30" t="inlineStr">
        <is>
          <t>GFL LOGISTICA LTDA</t>
        </is>
      </c>
      <c r="E156" s="40" t="n">
        <v>0</v>
      </c>
      <c r="F156" s="40" t="n">
        <v>0</v>
      </c>
      <c r="G156" s="40" t="n">
        <v>0</v>
      </c>
      <c r="H156" s="40" t="n">
        <v>0</v>
      </c>
      <c r="I156" s="40" t="n">
        <v>0</v>
      </c>
      <c r="J156" s="40" t="n">
        <v>0</v>
      </c>
      <c r="K156" s="40" t="n">
        <v>0</v>
      </c>
      <c r="L156" s="40" t="n">
        <v>0</v>
      </c>
      <c r="M156" s="40" t="n">
        <v>0</v>
      </c>
      <c r="N156" s="40" t="n">
        <v>0</v>
      </c>
      <c r="O156" s="40" t="n">
        <v>0</v>
      </c>
      <c r="P156" s="40" t="n">
        <v>534.87</v>
      </c>
      <c r="Q156" s="40" t="n">
        <v>100</v>
      </c>
      <c r="R156" s="47" t="n"/>
      <c r="S156" s="47" t="n"/>
      <c r="T156" s="47" t="n"/>
      <c r="U156" s="47" t="n"/>
      <c r="V156" s="47" t="n"/>
      <c r="W156" s="47" t="n"/>
    </row>
    <row r="157" ht="12" customHeight="1">
      <c r="A157" s="30" t="inlineStr">
        <is>
          <t>Itaguai</t>
        </is>
      </c>
      <c r="B157" s="30" t="n">
        <v>11781349</v>
      </c>
      <c r="C157" s="30">
        <f>"28611594000358"</f>
        <v/>
      </c>
      <c r="D157" s="30" t="inlineStr">
        <is>
          <t>MOURA DANTAS TRANSPORTES LTDA</t>
        </is>
      </c>
      <c r="E157" s="40" t="n">
        <v>0</v>
      </c>
      <c r="F157" s="40" t="n">
        <v>0</v>
      </c>
      <c r="G157" s="40" t="n">
        <v>0</v>
      </c>
      <c r="H157" s="40" t="n">
        <v>0</v>
      </c>
      <c r="I157" s="40" t="n">
        <v>0</v>
      </c>
      <c r="J157" s="40" t="n">
        <v>0</v>
      </c>
      <c r="K157" s="40" t="n">
        <v>0</v>
      </c>
      <c r="L157" s="40" t="n">
        <v>0</v>
      </c>
      <c r="M157" s="40" t="n">
        <v>0</v>
      </c>
      <c r="N157" s="40" t="n">
        <v>422585.18</v>
      </c>
      <c r="O157" s="40" t="n">
        <v>100</v>
      </c>
      <c r="P157" s="40" t="n">
        <v>0</v>
      </c>
      <c r="Q157" s="46" t="n">
        <v>-100</v>
      </c>
      <c r="R157" s="47" t="n"/>
      <c r="S157" s="47" t="n"/>
      <c r="T157" s="47" t="n"/>
      <c r="U157" s="47" t="n"/>
      <c r="V157" s="47" t="n"/>
      <c r="W157" s="47" t="n"/>
    </row>
    <row r="158" ht="12" customHeight="1">
      <c r="A158" s="30" t="inlineStr">
        <is>
          <t>Itaguai</t>
        </is>
      </c>
      <c r="B158" s="30" t="n">
        <v>11781454</v>
      </c>
      <c r="C158" s="30">
        <f>"11058804001059"</f>
        <v/>
      </c>
      <c r="D158" s="30" t="inlineStr">
        <is>
          <t>PRIO COMERCIALIZADORA LTDA.</t>
        </is>
      </c>
      <c r="E158" s="40" t="n">
        <v>0</v>
      </c>
      <c r="F158" s="40" t="n">
        <v>0</v>
      </c>
      <c r="G158" s="40" t="n">
        <v>0</v>
      </c>
      <c r="H158" s="40" t="n">
        <v>0</v>
      </c>
      <c r="I158" s="40" t="n">
        <v>0</v>
      </c>
      <c r="J158" s="40" t="n">
        <v>0</v>
      </c>
      <c r="K158" s="40" t="n">
        <v>0</v>
      </c>
      <c r="L158" s="40" t="n">
        <v>793471.01</v>
      </c>
      <c r="M158" s="40" t="n">
        <v>100</v>
      </c>
      <c r="N158" s="40" t="n">
        <v>1879178.47</v>
      </c>
      <c r="O158" s="40" t="n">
        <v>136.83</v>
      </c>
      <c r="P158" s="40" t="n">
        <v>383841.57</v>
      </c>
      <c r="Q158" s="46" t="n">
        <v>-79.56999999999999</v>
      </c>
      <c r="R158" s="47" t="n"/>
      <c r="S158" s="47" t="n"/>
      <c r="T158" s="47" t="n"/>
      <c r="U158" s="47" t="n"/>
      <c r="V158" s="47" t="n"/>
      <c r="W158" s="47" t="n"/>
    </row>
    <row r="159" ht="12" customHeight="1">
      <c r="A159" s="30" t="inlineStr">
        <is>
          <t>Itaguai</t>
        </is>
      </c>
      <c r="B159" s="30" t="n">
        <v>11803482</v>
      </c>
      <c r="C159" s="30">
        <f>"38242278000148"</f>
        <v/>
      </c>
      <c r="D159" s="30" t="inlineStr">
        <is>
          <t>ITA REVENDEDORA DE G?S E AGUA LTDA</t>
        </is>
      </c>
      <c r="E159" s="40" t="n">
        <v>0</v>
      </c>
      <c r="F159" s="40" t="n">
        <v>0</v>
      </c>
      <c r="G159" s="40" t="n">
        <v>0</v>
      </c>
      <c r="H159" s="40" t="n">
        <v>0</v>
      </c>
      <c r="I159" s="40" t="n">
        <v>0</v>
      </c>
      <c r="J159" s="40" t="n">
        <v>0</v>
      </c>
      <c r="K159" s="40" t="n">
        <v>0</v>
      </c>
      <c r="L159" s="40" t="n">
        <v>0</v>
      </c>
      <c r="M159" s="40" t="n">
        <v>0</v>
      </c>
      <c r="N159" s="40" t="n">
        <v>0</v>
      </c>
      <c r="O159" s="40" t="n">
        <v>0</v>
      </c>
      <c r="P159" s="40" t="n">
        <v>0</v>
      </c>
      <c r="Q159" s="40" t="n">
        <v>0</v>
      </c>
      <c r="R159" s="47" t="n"/>
      <c r="S159" s="47" t="n"/>
      <c r="T159" s="47" t="n"/>
      <c r="U159" s="47" t="n"/>
      <c r="V159" s="47" t="n"/>
      <c r="W159" s="47" t="n"/>
    </row>
    <row r="160" ht="12" customHeight="1">
      <c r="A160" s="30" t="inlineStr">
        <is>
          <t>Itaguai</t>
        </is>
      </c>
      <c r="B160" s="30" t="n">
        <v>11810381</v>
      </c>
      <c r="C160" s="30">
        <f>"05206385004400"</f>
        <v/>
      </c>
      <c r="D160" s="30" t="inlineStr">
        <is>
          <t>HUGHES TELECOMUNICACOES DO BRASIL LTDA</t>
        </is>
      </c>
      <c r="E160" s="40" t="n">
        <v>0</v>
      </c>
      <c r="F160" s="40" t="n">
        <v>0</v>
      </c>
      <c r="G160" s="40" t="n">
        <v>0</v>
      </c>
      <c r="H160" s="40" t="n">
        <v>0</v>
      </c>
      <c r="I160" s="40" t="n">
        <v>0</v>
      </c>
      <c r="J160" s="40" t="n">
        <v>3667230.22</v>
      </c>
      <c r="K160" s="40" t="n">
        <v>100</v>
      </c>
      <c r="L160" s="40" t="n">
        <v>220611.85</v>
      </c>
      <c r="M160" s="46" t="n">
        <v>-93.98</v>
      </c>
      <c r="N160" s="40" t="n">
        <v>223049.27</v>
      </c>
      <c r="O160" s="40" t="n">
        <v>1.1</v>
      </c>
      <c r="P160" s="40" t="n">
        <v>196778.57</v>
      </c>
      <c r="Q160" s="46" t="n">
        <v>-11.78</v>
      </c>
      <c r="R160" s="47" t="n"/>
      <c r="S160" s="47" t="n"/>
      <c r="T160" s="47" t="n"/>
      <c r="U160" s="47" t="n"/>
      <c r="V160" s="47" t="n"/>
      <c r="W160" s="47" t="n"/>
    </row>
    <row r="161" ht="12" customHeight="1">
      <c r="A161" s="30" t="inlineStr">
        <is>
          <t>Itaguai</t>
        </is>
      </c>
      <c r="B161" s="30" t="n">
        <v>11813801</v>
      </c>
      <c r="C161" s="30">
        <f>"08848231003772"</f>
        <v/>
      </c>
      <c r="D161" s="30" t="inlineStr">
        <is>
          <t>ATUAL CARGAS TRANSPORTES LTDA</t>
        </is>
      </c>
      <c r="E161" s="40" t="n">
        <v>0</v>
      </c>
      <c r="F161" s="40" t="n">
        <v>0</v>
      </c>
      <c r="G161" s="40" t="n">
        <v>0</v>
      </c>
      <c r="H161" s="40" t="n">
        <v>0</v>
      </c>
      <c r="I161" s="40" t="n">
        <v>0</v>
      </c>
      <c r="J161" s="40" t="n">
        <v>0</v>
      </c>
      <c r="K161" s="40" t="n">
        <v>0</v>
      </c>
      <c r="L161" s="40" t="n">
        <v>0</v>
      </c>
      <c r="M161" s="40" t="n">
        <v>0</v>
      </c>
      <c r="N161" s="40" t="n">
        <v>0</v>
      </c>
      <c r="O161" s="40" t="n">
        <v>0</v>
      </c>
      <c r="P161" s="40" t="n">
        <v>329.11</v>
      </c>
      <c r="Q161" s="40" t="n">
        <v>100</v>
      </c>
      <c r="R161" s="47" t="n"/>
      <c r="S161" s="47" t="n"/>
      <c r="T161" s="47" t="n"/>
      <c r="U161" s="47" t="n"/>
      <c r="V161" s="47" t="n"/>
      <c r="W161" s="47" t="n"/>
    </row>
    <row r="162" ht="12" customHeight="1">
      <c r="A162" s="30" t="inlineStr">
        <is>
          <t>Itaguai</t>
        </is>
      </c>
      <c r="B162" s="30" t="n">
        <v>11815006</v>
      </c>
      <c r="C162" s="30">
        <f>"38353331000188"</f>
        <v/>
      </c>
      <c r="D162" s="30" t="inlineStr">
        <is>
          <t>REMAR COMERCIO E SERVI?OS EIRELI</t>
        </is>
      </c>
      <c r="E162" s="40" t="n">
        <v>0</v>
      </c>
      <c r="F162" s="40" t="n">
        <v>0</v>
      </c>
      <c r="G162" s="40" t="n">
        <v>0</v>
      </c>
      <c r="H162" s="40" t="n">
        <v>0</v>
      </c>
      <c r="I162" s="40" t="n">
        <v>0</v>
      </c>
      <c r="J162" s="40" t="n">
        <v>0</v>
      </c>
      <c r="K162" s="40" t="n">
        <v>0</v>
      </c>
      <c r="L162" s="40" t="n">
        <v>0</v>
      </c>
      <c r="M162" s="40" t="n">
        <v>0</v>
      </c>
      <c r="N162" s="40" t="n">
        <v>0</v>
      </c>
      <c r="O162" s="40" t="n">
        <v>0</v>
      </c>
      <c r="P162" s="40" t="n">
        <v>0</v>
      </c>
      <c r="Q162" s="40" t="n">
        <v>0</v>
      </c>
      <c r="R162" s="47" t="n"/>
      <c r="S162" s="47" t="n"/>
      <c r="T162" s="47" t="n"/>
      <c r="U162" s="47" t="n"/>
      <c r="V162" s="47" t="n"/>
      <c r="W162" s="47" t="n"/>
    </row>
    <row r="163" ht="12" customHeight="1">
      <c r="A163" s="30" t="inlineStr">
        <is>
          <t>Itaguai</t>
        </is>
      </c>
      <c r="B163" s="30" t="n">
        <v>11823033</v>
      </c>
      <c r="C163" s="30">
        <f>"37185266000166"</f>
        <v/>
      </c>
      <c r="D163" s="30" t="inlineStr">
        <is>
          <t>JONAVA RJ INFRAESTRUTURA E REDES DE TELECOMUNICACOES S.A.</t>
        </is>
      </c>
      <c r="E163" s="40" t="n">
        <v>0</v>
      </c>
      <c r="F163" s="40" t="n">
        <v>0</v>
      </c>
      <c r="G163" s="40" t="n">
        <v>0</v>
      </c>
      <c r="H163" s="40" t="n">
        <v>0</v>
      </c>
      <c r="I163" s="40" t="n">
        <v>0</v>
      </c>
      <c r="J163" s="40" t="n">
        <v>0</v>
      </c>
      <c r="K163" s="40" t="n">
        <v>0</v>
      </c>
      <c r="L163" s="40" t="n">
        <v>0</v>
      </c>
      <c r="M163" s="40" t="n">
        <v>0</v>
      </c>
      <c r="N163" s="40" t="n">
        <v>2385.86</v>
      </c>
      <c r="O163" s="40" t="n">
        <v>100</v>
      </c>
      <c r="P163" s="40" t="n">
        <v>0</v>
      </c>
      <c r="Q163" s="46" t="n">
        <v>-100</v>
      </c>
      <c r="R163" s="47" t="n"/>
      <c r="S163" s="47" t="n"/>
      <c r="T163" s="47" t="n"/>
      <c r="U163" s="47" t="n"/>
      <c r="V163" s="47" t="n"/>
      <c r="W163" s="47" t="n"/>
    </row>
    <row r="164" ht="12" customHeight="1">
      <c r="A164" s="30" t="inlineStr">
        <is>
          <t>Itaguai</t>
        </is>
      </c>
      <c r="B164" s="30" t="n">
        <v>11828655</v>
      </c>
      <c r="C164" s="30">
        <f>"38122051000169"</f>
        <v/>
      </c>
      <c r="D164" s="30" t="inlineStr">
        <is>
          <t>ITABIO SOLUCOES AMBIENTAIS LTDA</t>
        </is>
      </c>
      <c r="E164" s="40" t="n">
        <v>0</v>
      </c>
      <c r="F164" s="40" t="n">
        <v>0</v>
      </c>
      <c r="G164" s="40" t="n">
        <v>0</v>
      </c>
      <c r="H164" s="40" t="n">
        <v>0</v>
      </c>
      <c r="I164" s="40" t="n">
        <v>0</v>
      </c>
      <c r="J164" s="40" t="n">
        <v>0</v>
      </c>
      <c r="K164" s="40" t="n">
        <v>0</v>
      </c>
      <c r="L164" s="40" t="n">
        <v>0</v>
      </c>
      <c r="M164" s="40" t="n">
        <v>0</v>
      </c>
      <c r="N164" s="40" t="n">
        <v>0</v>
      </c>
      <c r="O164" s="40" t="n">
        <v>0</v>
      </c>
      <c r="P164" s="40" t="n">
        <v>3203.75</v>
      </c>
      <c r="Q164" s="40" t="n">
        <v>100</v>
      </c>
      <c r="R164" s="47" t="n"/>
      <c r="S164" s="47" t="n"/>
      <c r="T164" s="47" t="n"/>
      <c r="U164" s="47" t="n"/>
      <c r="V164" s="47" t="n"/>
      <c r="W164" s="47" t="n"/>
    </row>
    <row r="165" ht="12" customHeight="1">
      <c r="A165" s="30" t="inlineStr">
        <is>
          <t>Itaguai</t>
        </is>
      </c>
      <c r="B165" s="30" t="n">
        <v>11830838</v>
      </c>
      <c r="C165" s="30">
        <f>"24230747037286"</f>
        <v/>
      </c>
      <c r="D165" s="30" t="inlineStr">
        <is>
          <t>MAGALU LOG SERVICOS LOGISTICOS LTDA</t>
        </is>
      </c>
      <c r="E165" s="40" t="n">
        <v>0</v>
      </c>
      <c r="F165" s="40" t="n">
        <v>0</v>
      </c>
      <c r="G165" s="40" t="n">
        <v>0</v>
      </c>
      <c r="H165" s="40" t="n">
        <v>0</v>
      </c>
      <c r="I165" s="40" t="n">
        <v>0</v>
      </c>
      <c r="J165" s="40" t="n">
        <v>0</v>
      </c>
      <c r="K165" s="40" t="n">
        <v>0</v>
      </c>
      <c r="L165" s="40" t="n">
        <v>101.16</v>
      </c>
      <c r="M165" s="40" t="n">
        <v>100</v>
      </c>
      <c r="N165" s="40" t="n">
        <v>0</v>
      </c>
      <c r="O165" s="46" t="n">
        <v>-100</v>
      </c>
      <c r="P165" s="40" t="n">
        <v>0</v>
      </c>
      <c r="Q165" s="40" t="n">
        <v>0</v>
      </c>
      <c r="R165" s="47" t="n"/>
      <c r="S165" s="47" t="n"/>
      <c r="T165" s="47" t="n"/>
      <c r="U165" s="47" t="n"/>
      <c r="V165" s="47" t="n"/>
      <c r="W165" s="47" t="n"/>
    </row>
    <row r="166" ht="12" customHeight="1">
      <c r="A166" s="30" t="inlineStr">
        <is>
          <t>Itaguai</t>
        </is>
      </c>
      <c r="B166" s="30" t="n">
        <v>11834140</v>
      </c>
      <c r="C166" s="30">
        <f>"36734037000271"</f>
        <v/>
      </c>
      <c r="D166" s="30" t="inlineStr">
        <is>
          <t>TELEIA LOGISTICA LTDA</t>
        </is>
      </c>
      <c r="E166" s="40" t="n">
        <v>0</v>
      </c>
      <c r="F166" s="40" t="n">
        <v>0</v>
      </c>
      <c r="G166" s="40" t="n">
        <v>0</v>
      </c>
      <c r="H166" s="40" t="n">
        <v>0</v>
      </c>
      <c r="I166" s="40" t="n">
        <v>0</v>
      </c>
      <c r="J166" s="40" t="n">
        <v>0</v>
      </c>
      <c r="K166" s="40" t="n">
        <v>0</v>
      </c>
      <c r="L166" s="40" t="n">
        <v>0</v>
      </c>
      <c r="M166" s="40" t="n">
        <v>0</v>
      </c>
      <c r="N166" s="40" t="n">
        <v>6275</v>
      </c>
      <c r="O166" s="40" t="n">
        <v>100</v>
      </c>
      <c r="P166" s="40" t="n">
        <v>0</v>
      </c>
      <c r="Q166" s="46" t="n">
        <v>-100</v>
      </c>
      <c r="R166" s="47" t="n"/>
      <c r="S166" s="47" t="n"/>
      <c r="T166" s="47" t="n"/>
      <c r="U166" s="47" t="n"/>
      <c r="V166" s="47" t="n"/>
      <c r="W166" s="47" t="n"/>
    </row>
    <row r="167" ht="12" customHeight="1">
      <c r="A167" s="30" t="inlineStr">
        <is>
          <t>Itaguai</t>
        </is>
      </c>
      <c r="B167" s="30" t="n">
        <v>11836330</v>
      </c>
      <c r="C167" s="30">
        <f>"38527059000105"</f>
        <v/>
      </c>
      <c r="D167" s="30" t="inlineStr">
        <is>
          <t>F D S DE ITAGUAI - TURISMO E FRETAMENTO - EIRELI</t>
        </is>
      </c>
      <c r="E167" s="40" t="n">
        <v>0</v>
      </c>
      <c r="F167" s="40" t="n">
        <v>0</v>
      </c>
      <c r="G167" s="40" t="n">
        <v>0</v>
      </c>
      <c r="H167" s="40" t="n">
        <v>0</v>
      </c>
      <c r="I167" s="40" t="n">
        <v>0</v>
      </c>
      <c r="J167" s="40" t="n">
        <v>0</v>
      </c>
      <c r="K167" s="40" t="n">
        <v>0</v>
      </c>
      <c r="L167" s="40" t="n">
        <v>0</v>
      </c>
      <c r="M167" s="40" t="n">
        <v>0</v>
      </c>
      <c r="N167" s="40" t="n">
        <v>0</v>
      </c>
      <c r="O167" s="40" t="n">
        <v>0</v>
      </c>
      <c r="P167" s="40" t="n">
        <v>0</v>
      </c>
      <c r="Q167" s="40" t="n">
        <v>0</v>
      </c>
      <c r="R167" s="47" t="n"/>
      <c r="S167" s="47" t="n"/>
      <c r="T167" s="47" t="n"/>
      <c r="U167" s="47" t="n"/>
      <c r="V167" s="47" t="n"/>
      <c r="W167" s="47" t="n"/>
    </row>
    <row r="168" ht="12" customHeight="1">
      <c r="A168" s="30" t="inlineStr">
        <is>
          <t>Itaguai</t>
        </is>
      </c>
      <c r="B168" s="30" t="n">
        <v>11841210</v>
      </c>
      <c r="C168" s="30">
        <f>"19972093000144"</f>
        <v/>
      </c>
      <c r="D168" s="30" t="inlineStr">
        <is>
          <t>GLOBEX SERVICOS DE APOIO EMPRESARIAL LTDA</t>
        </is>
      </c>
      <c r="E168" s="40" t="n">
        <v>0</v>
      </c>
      <c r="F168" s="40" t="n">
        <v>0</v>
      </c>
      <c r="G168" s="40" t="n">
        <v>0</v>
      </c>
      <c r="H168" s="40" t="n">
        <v>0</v>
      </c>
      <c r="I168" s="40" t="n">
        <v>0</v>
      </c>
      <c r="J168" s="40" t="n">
        <v>0</v>
      </c>
      <c r="K168" s="40" t="n">
        <v>0</v>
      </c>
      <c r="L168" s="40" t="n">
        <v>0</v>
      </c>
      <c r="M168" s="40" t="n">
        <v>0</v>
      </c>
      <c r="N168" s="40" t="n">
        <v>0</v>
      </c>
      <c r="O168" s="40" t="n">
        <v>0</v>
      </c>
      <c r="P168" s="40" t="n">
        <v>0</v>
      </c>
      <c r="Q168" s="40" t="n">
        <v>0</v>
      </c>
      <c r="R168" s="47" t="n"/>
      <c r="S168" s="47" t="n"/>
      <c r="T168" s="47" t="n"/>
      <c r="U168" s="47" t="n"/>
      <c r="V168" s="47" t="n"/>
      <c r="W168" s="47" t="n"/>
    </row>
    <row r="169" ht="12" customHeight="1">
      <c r="A169" s="30" t="inlineStr">
        <is>
          <t>Itaguai</t>
        </is>
      </c>
      <c r="B169" s="30" t="n">
        <v>11842542</v>
      </c>
      <c r="C169" s="30">
        <f>"12680452000736"</f>
        <v/>
      </c>
      <c r="D169" s="30" t="inlineStr">
        <is>
          <t>PLATINUM LOG ARMAZENS GERAIS LTDA</t>
        </is>
      </c>
      <c r="E169" s="40" t="n">
        <v>0</v>
      </c>
      <c r="F169" s="40" t="n">
        <v>0</v>
      </c>
      <c r="G169" s="40" t="n">
        <v>0</v>
      </c>
      <c r="H169" s="40" t="n">
        <v>0</v>
      </c>
      <c r="I169" s="40" t="n">
        <v>0</v>
      </c>
      <c r="J169" s="40" t="n">
        <v>0</v>
      </c>
      <c r="K169" s="40" t="n">
        <v>0</v>
      </c>
      <c r="L169" s="40" t="n">
        <v>245.92</v>
      </c>
      <c r="M169" s="40" t="n">
        <v>100</v>
      </c>
      <c r="N169" s="40" t="n">
        <v>528.22</v>
      </c>
      <c r="O169" s="40" t="n">
        <v>114.79</v>
      </c>
      <c r="P169" s="40" t="n">
        <v>0</v>
      </c>
      <c r="Q169" s="46" t="n">
        <v>-100</v>
      </c>
      <c r="R169" s="47" t="n"/>
      <c r="S169" s="47" t="n"/>
      <c r="T169" s="47" t="n"/>
      <c r="U169" s="47" t="n"/>
      <c r="V169" s="47" t="n"/>
      <c r="W169" s="47" t="n"/>
    </row>
    <row r="170" ht="12" customHeight="1">
      <c r="A170" s="30" t="inlineStr">
        <is>
          <t>Itaguai</t>
        </is>
      </c>
      <c r="B170" s="30" t="n">
        <v>11849180</v>
      </c>
      <c r="C170" s="30">
        <f>"34844289000228"</f>
        <v/>
      </c>
      <c r="D170" s="30" t="inlineStr">
        <is>
          <t>EQUIMAC S.A.</t>
        </is>
      </c>
      <c r="E170" s="40" t="n">
        <v>0</v>
      </c>
      <c r="F170" s="40" t="n">
        <v>0</v>
      </c>
      <c r="G170" s="40" t="n">
        <v>0</v>
      </c>
      <c r="H170" s="40" t="n">
        <v>0</v>
      </c>
      <c r="I170" s="40" t="n">
        <v>0</v>
      </c>
      <c r="J170" s="40" t="n">
        <v>0</v>
      </c>
      <c r="K170" s="40" t="n">
        <v>0</v>
      </c>
      <c r="L170" s="40" t="n">
        <v>0</v>
      </c>
      <c r="M170" s="40" t="n">
        <v>0</v>
      </c>
      <c r="N170" s="40" t="n">
        <v>0</v>
      </c>
      <c r="O170" s="40" t="n">
        <v>0</v>
      </c>
      <c r="P170" s="40" t="n">
        <v>0</v>
      </c>
      <c r="Q170" s="40" t="n">
        <v>0</v>
      </c>
      <c r="R170" s="47" t="n"/>
      <c r="S170" s="47" t="n"/>
      <c r="T170" s="47" t="n"/>
      <c r="U170" s="47" t="n"/>
      <c r="V170" s="47" t="n"/>
      <c r="W170" s="47" t="n"/>
    </row>
    <row r="171" ht="12" customHeight="1">
      <c r="A171" s="30" t="inlineStr">
        <is>
          <t>Itaguai</t>
        </is>
      </c>
      <c r="B171" s="30" t="n">
        <v>11853137</v>
      </c>
      <c r="C171" s="30">
        <f>"48740351014972"</f>
        <v/>
      </c>
      <c r="D171" s="30" t="inlineStr">
        <is>
          <t>BRASPRESS TRANSPORTES URGENTES LTDA</t>
        </is>
      </c>
      <c r="E171" s="40" t="n">
        <v>0</v>
      </c>
      <c r="F171" s="40" t="n">
        <v>0</v>
      </c>
      <c r="G171" s="40" t="n">
        <v>0</v>
      </c>
      <c r="H171" s="40" t="n">
        <v>0</v>
      </c>
      <c r="I171" s="40" t="n">
        <v>0</v>
      </c>
      <c r="J171" s="40" t="n">
        <v>0</v>
      </c>
      <c r="K171" s="40" t="n">
        <v>0</v>
      </c>
      <c r="L171" s="40" t="n">
        <v>0</v>
      </c>
      <c r="M171" s="40" t="n">
        <v>0</v>
      </c>
      <c r="N171" s="40" t="n">
        <v>445.12</v>
      </c>
      <c r="O171" s="40" t="n">
        <v>100</v>
      </c>
      <c r="P171" s="40" t="n">
        <v>119.7</v>
      </c>
      <c r="Q171" s="46" t="n">
        <v>-73.11</v>
      </c>
      <c r="R171" s="47" t="n"/>
      <c r="S171" s="47" t="n"/>
      <c r="T171" s="47" t="n"/>
      <c r="U171" s="47" t="n"/>
      <c r="V171" s="47" t="n"/>
      <c r="W171" s="47" t="n"/>
    </row>
    <row r="172" ht="12" customHeight="1">
      <c r="A172" s="30" t="inlineStr">
        <is>
          <t>Itaguai</t>
        </is>
      </c>
      <c r="B172" s="30" t="n">
        <v>11857833</v>
      </c>
      <c r="C172" s="30">
        <f>"29737689000113"</f>
        <v/>
      </c>
      <c r="D172" s="30" t="inlineStr">
        <is>
          <t>POSIDONIA NAVEGA??O LTDA</t>
        </is>
      </c>
      <c r="E172" s="40" t="n">
        <v>0</v>
      </c>
      <c r="F172" s="40" t="n">
        <v>0</v>
      </c>
      <c r="G172" s="40" t="n">
        <v>0</v>
      </c>
      <c r="H172" s="40" t="n">
        <v>0</v>
      </c>
      <c r="I172" s="40" t="n">
        <v>0</v>
      </c>
      <c r="J172" s="40" t="n">
        <v>0</v>
      </c>
      <c r="K172" s="40" t="n">
        <v>0</v>
      </c>
      <c r="L172" s="40" t="n">
        <v>0</v>
      </c>
      <c r="M172" s="40" t="n">
        <v>0</v>
      </c>
      <c r="N172" s="40" t="n">
        <v>0</v>
      </c>
      <c r="O172" s="40" t="n">
        <v>0</v>
      </c>
      <c r="P172" s="40" t="n">
        <v>1265.71</v>
      </c>
      <c r="Q172" s="40" t="n">
        <v>100</v>
      </c>
      <c r="R172" s="47" t="n"/>
      <c r="S172" s="47" t="n"/>
      <c r="T172" s="47" t="n"/>
      <c r="U172" s="47" t="n"/>
      <c r="V172" s="47" t="n"/>
      <c r="W172" s="47" t="n"/>
    </row>
    <row r="173" ht="12" customHeight="1">
      <c r="A173" s="30" t="inlineStr">
        <is>
          <t>Itaguai</t>
        </is>
      </c>
      <c r="B173" s="30" t="n">
        <v>11866174</v>
      </c>
      <c r="C173" s="30">
        <f>"11114284033177"</f>
        <v/>
      </c>
      <c r="D173" s="30" t="inlineStr">
        <is>
          <t>CASA &amp; V?DEO BRASIL S.A</t>
        </is>
      </c>
      <c r="E173" s="40" t="n">
        <v>0</v>
      </c>
      <c r="F173" s="40" t="n">
        <v>0</v>
      </c>
      <c r="G173" s="40" t="n">
        <v>0</v>
      </c>
      <c r="H173" s="40" t="n">
        <v>0</v>
      </c>
      <c r="I173" s="40" t="n">
        <v>0</v>
      </c>
      <c r="J173" s="40" t="n">
        <v>0</v>
      </c>
      <c r="K173" s="40" t="n">
        <v>0</v>
      </c>
      <c r="L173" s="40" t="n">
        <v>0</v>
      </c>
      <c r="M173" s="40" t="n">
        <v>0</v>
      </c>
      <c r="N173" s="40" t="n">
        <v>0</v>
      </c>
      <c r="O173" s="40" t="n">
        <v>0</v>
      </c>
      <c r="P173" s="40" t="n">
        <v>0</v>
      </c>
      <c r="Q173" s="40" t="n">
        <v>0</v>
      </c>
      <c r="R173" s="47" t="n"/>
      <c r="S173" s="47" t="n"/>
      <c r="T173" s="47" t="n"/>
      <c r="U173" s="47" t="n"/>
      <c r="V173" s="47" t="n"/>
      <c r="W173" s="47" t="n"/>
    </row>
    <row r="174" ht="12" customHeight="1">
      <c r="A174" s="30" t="inlineStr">
        <is>
          <t>Itaguai</t>
        </is>
      </c>
      <c r="B174" s="30" t="n">
        <v>11873871</v>
      </c>
      <c r="C174" s="30">
        <f>"38083805000119"</f>
        <v/>
      </c>
      <c r="D174" s="30" t="inlineStr">
        <is>
          <t>ENERGEA ITAGUA? II LTDA</t>
        </is>
      </c>
      <c r="E174" s="40" t="n">
        <v>0</v>
      </c>
      <c r="F174" s="40" t="n">
        <v>0</v>
      </c>
      <c r="G174" s="40" t="n">
        <v>0</v>
      </c>
      <c r="H174" s="40" t="n">
        <v>0</v>
      </c>
      <c r="I174" s="40" t="n">
        <v>0</v>
      </c>
      <c r="J174" s="40" t="n">
        <v>0</v>
      </c>
      <c r="K174" s="40" t="n">
        <v>0</v>
      </c>
      <c r="L174" s="40" t="n">
        <v>0</v>
      </c>
      <c r="M174" s="40" t="n">
        <v>0</v>
      </c>
      <c r="N174" s="40" t="n">
        <v>0</v>
      </c>
      <c r="O174" s="40" t="n">
        <v>0</v>
      </c>
      <c r="P174" s="40" t="n">
        <v>0</v>
      </c>
      <c r="Q174" s="40" t="n">
        <v>0</v>
      </c>
      <c r="R174" s="47" t="n"/>
      <c r="S174" s="47" t="n"/>
      <c r="T174" s="47" t="n"/>
      <c r="U174" s="47" t="n"/>
      <c r="V174" s="47" t="n"/>
      <c r="W174" s="47" t="n"/>
    </row>
    <row r="175" ht="12" customHeight="1">
      <c r="A175" s="30" t="inlineStr">
        <is>
          <t>Itaguai</t>
        </is>
      </c>
      <c r="B175" s="30" t="n">
        <v>11881149</v>
      </c>
      <c r="C175" s="30">
        <f>"00098872702704"</f>
        <v/>
      </c>
      <c r="D175" s="30" t="inlineStr">
        <is>
          <t>ANTONIA FINELON DO NASCIMENTO</t>
        </is>
      </c>
      <c r="E175" s="40" t="n">
        <v>0</v>
      </c>
      <c r="F175" s="40" t="n">
        <v>0</v>
      </c>
      <c r="G175" s="40" t="n">
        <v>0</v>
      </c>
      <c r="H175" s="40" t="n">
        <v>0</v>
      </c>
      <c r="I175" s="40" t="n">
        <v>0</v>
      </c>
      <c r="J175" s="40" t="n">
        <v>0</v>
      </c>
      <c r="K175" s="40" t="n">
        <v>0</v>
      </c>
      <c r="L175" s="40" t="n">
        <v>0</v>
      </c>
      <c r="M175" s="40" t="n">
        <v>0</v>
      </c>
      <c r="N175" s="40" t="n">
        <v>0</v>
      </c>
      <c r="O175" s="40" t="n">
        <v>0</v>
      </c>
      <c r="P175" s="40" t="n">
        <v>0</v>
      </c>
      <c r="Q175" s="40" t="n">
        <v>0</v>
      </c>
      <c r="R175" s="47" t="n"/>
      <c r="S175" s="47" t="n"/>
      <c r="T175" s="47" t="n"/>
      <c r="U175" s="47" t="n"/>
      <c r="V175" s="47" t="n"/>
      <c r="W175" s="47" t="n"/>
    </row>
    <row r="176" ht="12" customHeight="1">
      <c r="A176" s="30" t="inlineStr">
        <is>
          <t>Itaguai</t>
        </is>
      </c>
      <c r="B176" s="30" t="n">
        <v>11883192</v>
      </c>
      <c r="C176" s="30">
        <f>"39683053000190"</f>
        <v/>
      </c>
      <c r="D176" s="30" t="inlineStr">
        <is>
          <t>MD COMERCIO E DISTRIBUIDORA DE ALIMENTOS EIRELI</t>
        </is>
      </c>
      <c r="E176" s="40" t="n">
        <v>0</v>
      </c>
      <c r="F176" s="40" t="n">
        <v>0</v>
      </c>
      <c r="G176" s="40" t="n">
        <v>0</v>
      </c>
      <c r="H176" s="40" t="n">
        <v>0</v>
      </c>
      <c r="I176" s="40" t="n">
        <v>0</v>
      </c>
      <c r="J176" s="40" t="n">
        <v>0</v>
      </c>
      <c r="K176" s="40" t="n">
        <v>0</v>
      </c>
      <c r="L176" s="40" t="n">
        <v>0</v>
      </c>
      <c r="M176" s="40" t="n">
        <v>0</v>
      </c>
      <c r="N176" s="40" t="n">
        <v>0</v>
      </c>
      <c r="O176" s="40" t="n">
        <v>0</v>
      </c>
      <c r="P176" s="40" t="n">
        <v>0</v>
      </c>
      <c r="Q176" s="40" t="n">
        <v>0</v>
      </c>
      <c r="R176" s="47" t="n"/>
      <c r="S176" s="47" t="n"/>
      <c r="T176" s="47" t="n"/>
      <c r="U176" s="47" t="n"/>
      <c r="V176" s="47" t="n"/>
      <c r="W176" s="47" t="n"/>
    </row>
    <row r="177" ht="12" customHeight="1">
      <c r="A177" s="30" t="inlineStr">
        <is>
          <t>Itaguai</t>
        </is>
      </c>
      <c r="B177" s="30" t="n">
        <v>11893139</v>
      </c>
      <c r="C177" s="30">
        <f>"36294967000251"</f>
        <v/>
      </c>
      <c r="D177" s="30" t="inlineStr">
        <is>
          <t>RAINHA DO QUEIJO LATIC?NIOS E LANCHONETE LTDA</t>
        </is>
      </c>
      <c r="E177" s="40" t="n">
        <v>0</v>
      </c>
      <c r="F177" s="40" t="n">
        <v>0</v>
      </c>
      <c r="G177" s="40" t="n">
        <v>0</v>
      </c>
      <c r="H177" s="40" t="n">
        <v>0</v>
      </c>
      <c r="I177" s="40" t="n">
        <v>0</v>
      </c>
      <c r="J177" s="40" t="n">
        <v>0</v>
      </c>
      <c r="K177" s="40" t="n">
        <v>0</v>
      </c>
      <c r="L177" s="40" t="n">
        <v>0</v>
      </c>
      <c r="M177" s="40" t="n">
        <v>0</v>
      </c>
      <c r="N177" s="40" t="n">
        <v>0</v>
      </c>
      <c r="O177" s="40" t="n">
        <v>0</v>
      </c>
      <c r="P177" s="40" t="n">
        <v>1466230.93</v>
      </c>
      <c r="Q177" s="40" t="n">
        <v>100</v>
      </c>
      <c r="R177" s="47" t="n"/>
      <c r="S177" s="47" t="n"/>
      <c r="T177" s="47" t="n"/>
      <c r="U177" s="47" t="n"/>
      <c r="V177" s="47" t="n"/>
      <c r="W177" s="47" t="n"/>
    </row>
    <row r="178" ht="12" customHeight="1">
      <c r="A178" s="30" t="inlineStr">
        <is>
          <t>Itaguai</t>
        </is>
      </c>
      <c r="B178" s="30" t="n">
        <v>11897193</v>
      </c>
      <c r="C178" s="30">
        <f>"34713132000697"</f>
        <v/>
      </c>
      <c r="D178" s="30" t="inlineStr">
        <is>
          <t>S-BB TRANSPORTES LTDA</t>
        </is>
      </c>
      <c r="E178" s="40" t="n">
        <v>0</v>
      </c>
      <c r="F178" s="40" t="n">
        <v>0</v>
      </c>
      <c r="G178" s="40" t="n">
        <v>0</v>
      </c>
      <c r="H178" s="40" t="n">
        <v>0</v>
      </c>
      <c r="I178" s="40" t="n">
        <v>0</v>
      </c>
      <c r="J178" s="40" t="n">
        <v>0</v>
      </c>
      <c r="K178" s="40" t="n">
        <v>0</v>
      </c>
      <c r="L178" s="40" t="n">
        <v>21755.08</v>
      </c>
      <c r="M178" s="40" t="n">
        <v>100</v>
      </c>
      <c r="N178" s="40" t="n">
        <v>94000.25</v>
      </c>
      <c r="O178" s="40" t="n">
        <v>332.08</v>
      </c>
      <c r="P178" s="40" t="n">
        <v>0</v>
      </c>
      <c r="Q178" s="46" t="n">
        <v>-100</v>
      </c>
      <c r="R178" s="47" t="n"/>
      <c r="S178" s="47" t="n"/>
      <c r="T178" s="47" t="n"/>
      <c r="U178" s="47" t="n"/>
      <c r="V178" s="47" t="n"/>
      <c r="W178" s="47" t="n"/>
    </row>
    <row r="179" ht="12" customHeight="1">
      <c r="A179" s="30" t="inlineStr">
        <is>
          <t>Itaguai</t>
        </is>
      </c>
      <c r="B179" s="30" t="n">
        <v>11898408</v>
      </c>
      <c r="C179" s="30">
        <f>"39538126000230"</f>
        <v/>
      </c>
      <c r="D179" s="30" t="inlineStr">
        <is>
          <t>BRLOGIS TRANSPORTE DE VEICULOS S/A</t>
        </is>
      </c>
      <c r="E179" s="40" t="n">
        <v>0</v>
      </c>
      <c r="F179" s="40" t="n">
        <v>0</v>
      </c>
      <c r="G179" s="40" t="n">
        <v>0</v>
      </c>
      <c r="H179" s="40" t="n">
        <v>0</v>
      </c>
      <c r="I179" s="40" t="n">
        <v>0</v>
      </c>
      <c r="J179" s="40" t="n">
        <v>0</v>
      </c>
      <c r="K179" s="40" t="n">
        <v>0</v>
      </c>
      <c r="L179" s="40" t="n">
        <v>0</v>
      </c>
      <c r="M179" s="40" t="n">
        <v>0</v>
      </c>
      <c r="N179" s="40" t="n">
        <v>2632.96</v>
      </c>
      <c r="O179" s="40" t="n">
        <v>100</v>
      </c>
      <c r="P179" s="40" t="n">
        <v>0</v>
      </c>
      <c r="Q179" s="46" t="n">
        <v>-100</v>
      </c>
      <c r="R179" s="47" t="n"/>
      <c r="S179" s="47" t="n"/>
      <c r="T179" s="47" t="n"/>
      <c r="U179" s="47" t="n"/>
      <c r="V179" s="47" t="n"/>
      <c r="W179" s="47" t="n"/>
    </row>
    <row r="180" ht="12" customHeight="1">
      <c r="A180" s="30" t="inlineStr">
        <is>
          <t>Itaguai</t>
        </is>
      </c>
      <c r="B180" s="30" t="n">
        <v>11905390</v>
      </c>
      <c r="C180" s="30">
        <f>"39907793000162"</f>
        <v/>
      </c>
      <c r="D180" s="30" t="inlineStr">
        <is>
          <t>L&amp;A BRASIL LOCA??ES DE M?QUINAS LTDA</t>
        </is>
      </c>
      <c r="E180" s="40" t="n">
        <v>0</v>
      </c>
      <c r="F180" s="40" t="n">
        <v>0</v>
      </c>
      <c r="G180" s="40" t="n">
        <v>0</v>
      </c>
      <c r="H180" s="40" t="n">
        <v>0</v>
      </c>
      <c r="I180" s="40" t="n">
        <v>0</v>
      </c>
      <c r="J180" s="40" t="n">
        <v>0</v>
      </c>
      <c r="K180" s="40" t="n">
        <v>0</v>
      </c>
      <c r="L180" s="40" t="n">
        <v>0</v>
      </c>
      <c r="M180" s="40" t="n">
        <v>0</v>
      </c>
      <c r="N180" s="40" t="n">
        <v>0</v>
      </c>
      <c r="O180" s="40" t="n">
        <v>0</v>
      </c>
      <c r="P180" s="40" t="n">
        <v>0</v>
      </c>
      <c r="Q180" s="40" t="n">
        <v>0</v>
      </c>
      <c r="R180" s="47" t="n"/>
      <c r="S180" s="47" t="n"/>
      <c r="T180" s="47" t="n"/>
      <c r="U180" s="47" t="n"/>
      <c r="V180" s="47" t="n"/>
      <c r="W180" s="47" t="n"/>
    </row>
    <row r="181" ht="12" customHeight="1">
      <c r="A181" s="30" t="inlineStr">
        <is>
          <t>Itaguai</t>
        </is>
      </c>
      <c r="B181" s="30" t="n">
        <v>11912974</v>
      </c>
      <c r="C181" s="30">
        <f>"26206146000262"</f>
        <v/>
      </c>
      <c r="D181" s="30" t="inlineStr">
        <is>
          <t>SCS ARMAZENS GERAIS LTDA</t>
        </is>
      </c>
      <c r="E181" s="40" t="n">
        <v>0</v>
      </c>
      <c r="F181" s="40" t="n">
        <v>0</v>
      </c>
      <c r="G181" s="40" t="n">
        <v>0</v>
      </c>
      <c r="H181" s="40" t="n">
        <v>0</v>
      </c>
      <c r="I181" s="40" t="n">
        <v>0</v>
      </c>
      <c r="J181" s="40" t="n">
        <v>0</v>
      </c>
      <c r="K181" s="40" t="n">
        <v>0</v>
      </c>
      <c r="L181" s="40" t="n">
        <v>0</v>
      </c>
      <c r="M181" s="40" t="n">
        <v>0</v>
      </c>
      <c r="N181" s="40" t="n">
        <v>0</v>
      </c>
      <c r="O181" s="40" t="n">
        <v>0</v>
      </c>
      <c r="P181" s="40" t="n">
        <v>0</v>
      </c>
      <c r="Q181" s="40" t="n">
        <v>0</v>
      </c>
      <c r="R181" s="47" t="n"/>
      <c r="S181" s="47" t="n"/>
      <c r="T181" s="47" t="n"/>
      <c r="U181" s="47" t="n"/>
      <c r="V181" s="47" t="n"/>
      <c r="W181" s="47" t="n"/>
    </row>
    <row r="182" ht="12" customHeight="1">
      <c r="A182" s="30" t="inlineStr">
        <is>
          <t>Itaguai</t>
        </is>
      </c>
      <c r="B182" s="30" t="n">
        <v>11918131</v>
      </c>
      <c r="C182" s="30">
        <f>"35606143001017"</f>
        <v/>
      </c>
      <c r="D182" s="30" t="inlineStr">
        <is>
          <t>FASTLINE LOGISTICA AUTOMOTIVA LTDA</t>
        </is>
      </c>
      <c r="E182" s="40" t="n">
        <v>0</v>
      </c>
      <c r="F182" s="40" t="n">
        <v>0</v>
      </c>
      <c r="G182" s="40" t="n">
        <v>0</v>
      </c>
      <c r="H182" s="40" t="n">
        <v>0</v>
      </c>
      <c r="I182" s="40" t="n">
        <v>0</v>
      </c>
      <c r="J182" s="40" t="n">
        <v>0</v>
      </c>
      <c r="K182" s="40" t="n">
        <v>0</v>
      </c>
      <c r="L182" s="40" t="n">
        <v>0</v>
      </c>
      <c r="M182" s="40" t="n">
        <v>0</v>
      </c>
      <c r="N182" s="40" t="n">
        <v>0</v>
      </c>
      <c r="O182" s="40" t="n">
        <v>0</v>
      </c>
      <c r="P182" s="40" t="n">
        <v>13009</v>
      </c>
      <c r="Q182" s="40" t="n">
        <v>100</v>
      </c>
      <c r="R182" s="47" t="n"/>
      <c r="S182" s="47" t="n"/>
      <c r="T182" s="47" t="n"/>
      <c r="U182" s="47" t="n"/>
      <c r="V182" s="47" t="n"/>
      <c r="W182" s="47" t="n"/>
    </row>
    <row r="183" ht="12" customHeight="1">
      <c r="A183" s="30" t="inlineStr">
        <is>
          <t>Itaguai</t>
        </is>
      </c>
      <c r="B183" s="30" t="n">
        <v>11920985</v>
      </c>
      <c r="C183" s="30">
        <f>"82110818002841"</f>
        <v/>
      </c>
      <c r="D183" s="30" t="inlineStr">
        <is>
          <t>ALFA TRANSPORTES LTDA</t>
        </is>
      </c>
      <c r="E183" s="40" t="n">
        <v>0</v>
      </c>
      <c r="F183" s="40" t="n">
        <v>0</v>
      </c>
      <c r="G183" s="40" t="n">
        <v>0</v>
      </c>
      <c r="H183" s="40" t="n">
        <v>0</v>
      </c>
      <c r="I183" s="40" t="n">
        <v>0</v>
      </c>
      <c r="J183" s="40" t="n">
        <v>0</v>
      </c>
      <c r="K183" s="40" t="n">
        <v>0</v>
      </c>
      <c r="L183" s="40" t="n">
        <v>4341.27</v>
      </c>
      <c r="M183" s="40" t="n">
        <v>100</v>
      </c>
      <c r="N183" s="40" t="n">
        <v>12161.43</v>
      </c>
      <c r="O183" s="40" t="n">
        <v>180.14</v>
      </c>
      <c r="P183" s="40" t="n">
        <v>5494.76</v>
      </c>
      <c r="Q183" s="46" t="n">
        <v>-54.82</v>
      </c>
      <c r="R183" s="47" t="n"/>
      <c r="S183" s="47" t="n"/>
      <c r="T183" s="47" t="n"/>
      <c r="U183" s="47" t="n"/>
      <c r="V183" s="47" t="n"/>
      <c r="W183" s="47" t="n"/>
    </row>
    <row r="184" ht="12" customHeight="1">
      <c r="A184" s="30" t="inlineStr">
        <is>
          <t>Itaguai</t>
        </is>
      </c>
      <c r="B184" s="30" t="n">
        <v>11926150</v>
      </c>
      <c r="C184" s="30">
        <f>"30962019000775"</f>
        <v/>
      </c>
      <c r="D184" s="30" t="inlineStr">
        <is>
          <t>RODOE TRANSPORTES DE ENCOMENDAS LTDA</t>
        </is>
      </c>
      <c r="E184" s="40" t="n">
        <v>0</v>
      </c>
      <c r="F184" s="40" t="n">
        <v>0</v>
      </c>
      <c r="G184" s="40" t="n">
        <v>0</v>
      </c>
      <c r="H184" s="40" t="n">
        <v>0</v>
      </c>
      <c r="I184" s="40" t="n">
        <v>0</v>
      </c>
      <c r="J184" s="40" t="n">
        <v>0</v>
      </c>
      <c r="K184" s="40" t="n">
        <v>0</v>
      </c>
      <c r="L184" s="40" t="n">
        <v>47.03</v>
      </c>
      <c r="M184" s="40" t="n">
        <v>100</v>
      </c>
      <c r="N184" s="40" t="n">
        <v>0</v>
      </c>
      <c r="O184" s="46" t="n">
        <v>-100</v>
      </c>
      <c r="P184" s="40" t="n">
        <v>0</v>
      </c>
      <c r="Q184" s="40" t="n">
        <v>0</v>
      </c>
      <c r="R184" s="47" t="n"/>
      <c r="S184" s="47" t="n"/>
      <c r="T184" s="47" t="n"/>
      <c r="U184" s="47" t="n"/>
      <c r="V184" s="47" t="n"/>
      <c r="W184" s="47" t="n"/>
    </row>
    <row r="185" ht="12" customHeight="1">
      <c r="A185" s="30" t="inlineStr">
        <is>
          <t>Itaguai</t>
        </is>
      </c>
      <c r="B185" s="30" t="n">
        <v>11926681</v>
      </c>
      <c r="C185" s="30">
        <f>"34325515000345"</f>
        <v/>
      </c>
      <c r="D185" s="30" t="inlineStr">
        <is>
          <t>COBRAZIL CONSTRUCOES S.A</t>
        </is>
      </c>
      <c r="E185" s="40" t="n">
        <v>0</v>
      </c>
      <c r="F185" s="40" t="n">
        <v>0</v>
      </c>
      <c r="G185" s="40" t="n">
        <v>0</v>
      </c>
      <c r="H185" s="40" t="n">
        <v>0</v>
      </c>
      <c r="I185" s="40" t="n">
        <v>0</v>
      </c>
      <c r="J185" s="40" t="n">
        <v>0</v>
      </c>
      <c r="K185" s="40" t="n">
        <v>0</v>
      </c>
      <c r="L185" s="40" t="n">
        <v>0</v>
      </c>
      <c r="M185" s="40" t="n">
        <v>0</v>
      </c>
      <c r="N185" s="40" t="n">
        <v>0</v>
      </c>
      <c r="O185" s="40" t="n">
        <v>0</v>
      </c>
      <c r="P185" s="40" t="n">
        <v>547521.33</v>
      </c>
      <c r="Q185" s="40" t="n">
        <v>100</v>
      </c>
      <c r="R185" s="47" t="n"/>
      <c r="S185" s="47" t="n"/>
      <c r="T185" s="47" t="n"/>
      <c r="U185" s="47" t="n"/>
      <c r="V185" s="47" t="n"/>
      <c r="W185" s="47" t="n"/>
    </row>
    <row r="186" ht="12" customHeight="1">
      <c r="A186" s="30" t="inlineStr">
        <is>
          <t>Itaguai</t>
        </is>
      </c>
      <c r="B186" s="30" t="n">
        <v>11933262</v>
      </c>
      <c r="C186" s="30">
        <f>"40182418000181"</f>
        <v/>
      </c>
      <c r="D186" s="30" t="inlineStr">
        <is>
          <t>BOI SUCESSO, COM?RCIO ATACADO E VAREJO DE PRODUTOS ALIMENT?CIOS</t>
        </is>
      </c>
      <c r="E186" s="40" t="n">
        <v>0</v>
      </c>
      <c r="F186" s="40" t="n">
        <v>0</v>
      </c>
      <c r="G186" s="40" t="n">
        <v>0</v>
      </c>
      <c r="H186" s="40" t="n">
        <v>0</v>
      </c>
      <c r="I186" s="40" t="n">
        <v>0</v>
      </c>
      <c r="J186" s="40" t="n">
        <v>0</v>
      </c>
      <c r="K186" s="40" t="n">
        <v>0</v>
      </c>
      <c r="L186" s="40" t="n">
        <v>378225.14</v>
      </c>
      <c r="M186" s="40" t="n">
        <v>100</v>
      </c>
      <c r="N186" s="40" t="n">
        <v>472931.45</v>
      </c>
      <c r="O186" s="40" t="n">
        <v>25.04</v>
      </c>
      <c r="P186" s="40" t="n">
        <v>306064.1</v>
      </c>
      <c r="Q186" s="46" t="n">
        <v>-35.28</v>
      </c>
      <c r="R186" s="47" t="n"/>
      <c r="S186" s="47" t="n"/>
      <c r="T186" s="47" t="n"/>
      <c r="U186" s="47" t="n"/>
      <c r="V186" s="47" t="n"/>
      <c r="W186" s="47" t="n"/>
    </row>
    <row r="187" ht="12" customHeight="1">
      <c r="A187" s="30" t="inlineStr">
        <is>
          <t>Itaguai</t>
        </is>
      </c>
      <c r="B187" s="30" t="n">
        <v>11936717</v>
      </c>
      <c r="C187" s="30">
        <f>"27267181000254"</f>
        <v/>
      </c>
      <c r="D187" s="30" t="inlineStr">
        <is>
          <t>RTJ SOARES LTDA</t>
        </is>
      </c>
      <c r="E187" s="40" t="n">
        <v>0</v>
      </c>
      <c r="F187" s="40" t="n">
        <v>0</v>
      </c>
      <c r="G187" s="40" t="n">
        <v>0</v>
      </c>
      <c r="H187" s="40" t="n">
        <v>0</v>
      </c>
      <c r="I187" s="40" t="n">
        <v>0</v>
      </c>
      <c r="J187" s="40" t="n">
        <v>0</v>
      </c>
      <c r="K187" s="40" t="n">
        <v>0</v>
      </c>
      <c r="L187" s="40" t="n">
        <v>0</v>
      </c>
      <c r="M187" s="40" t="n">
        <v>0</v>
      </c>
      <c r="N187" s="40" t="n">
        <v>0</v>
      </c>
      <c r="O187" s="40" t="n">
        <v>0</v>
      </c>
      <c r="P187" s="40" t="n">
        <v>0</v>
      </c>
      <c r="Q187" s="40" t="n">
        <v>0</v>
      </c>
      <c r="R187" s="47" t="n"/>
      <c r="S187" s="47" t="n"/>
      <c r="T187" s="47" t="n"/>
      <c r="U187" s="47" t="n"/>
      <c r="V187" s="47" t="n"/>
      <c r="W187" s="47" t="n"/>
    </row>
    <row r="188" ht="12" customHeight="1">
      <c r="A188" s="30" t="inlineStr">
        <is>
          <t>Itaguai</t>
        </is>
      </c>
      <c r="B188" s="30" t="n">
        <v>11940633</v>
      </c>
      <c r="C188" s="30">
        <f>"40270958000117"</f>
        <v/>
      </c>
      <c r="D188" s="30" t="inlineStr">
        <is>
          <t>NSV LOG?STICA LTDA</t>
        </is>
      </c>
      <c r="E188" s="40" t="n">
        <v>0</v>
      </c>
      <c r="F188" s="40" t="n">
        <v>0</v>
      </c>
      <c r="G188" s="40" t="n">
        <v>0</v>
      </c>
      <c r="H188" s="40" t="n">
        <v>0</v>
      </c>
      <c r="I188" s="40" t="n">
        <v>0</v>
      </c>
      <c r="J188" s="40" t="n">
        <v>0</v>
      </c>
      <c r="K188" s="40" t="n">
        <v>0</v>
      </c>
      <c r="L188" s="40" t="n">
        <v>0</v>
      </c>
      <c r="M188" s="40" t="n">
        <v>0</v>
      </c>
      <c r="N188" s="40" t="n">
        <v>8471.049999999999</v>
      </c>
      <c r="O188" s="40" t="n">
        <v>100</v>
      </c>
      <c r="P188" s="40" t="n">
        <v>0</v>
      </c>
      <c r="Q188" s="46" t="n">
        <v>-100</v>
      </c>
      <c r="R188" s="47" t="n"/>
      <c r="S188" s="47" t="n"/>
      <c r="T188" s="47" t="n"/>
      <c r="U188" s="47" t="n"/>
      <c r="V188" s="47" t="n"/>
      <c r="W188" s="47" t="n"/>
    </row>
    <row r="189" ht="12" customHeight="1">
      <c r="A189" s="30" t="inlineStr">
        <is>
          <t>Itaguai</t>
        </is>
      </c>
      <c r="B189" s="30" t="n">
        <v>11972977</v>
      </c>
      <c r="C189" s="30">
        <f>"01125797002593"</f>
        <v/>
      </c>
      <c r="D189" s="30" t="inlineStr">
        <is>
          <t>ATIVA DISTRIBUICAO E LOGISTICA LTDA</t>
        </is>
      </c>
      <c r="E189" s="40" t="n">
        <v>0</v>
      </c>
      <c r="F189" s="40" t="n">
        <v>0</v>
      </c>
      <c r="G189" s="40" t="n">
        <v>0</v>
      </c>
      <c r="H189" s="40" t="n">
        <v>0</v>
      </c>
      <c r="I189" s="40" t="n">
        <v>0</v>
      </c>
      <c r="J189" s="40" t="n">
        <v>0</v>
      </c>
      <c r="K189" s="40" t="n">
        <v>0</v>
      </c>
      <c r="L189" s="40" t="n">
        <v>5813.49</v>
      </c>
      <c r="M189" s="40" t="n">
        <v>100</v>
      </c>
      <c r="N189" s="40" t="n">
        <v>4691.07</v>
      </c>
      <c r="O189" s="46" t="n">
        <v>-19.31</v>
      </c>
      <c r="P189" s="40" t="n">
        <v>4332.16</v>
      </c>
      <c r="Q189" s="46" t="n">
        <v>-7.65</v>
      </c>
      <c r="R189" s="47" t="n"/>
      <c r="S189" s="47" t="n"/>
      <c r="T189" s="47" t="n"/>
      <c r="U189" s="47" t="n"/>
      <c r="V189" s="47" t="n"/>
      <c r="W189" s="47" t="n"/>
    </row>
    <row r="190" ht="12" customHeight="1">
      <c r="A190" s="30" t="inlineStr">
        <is>
          <t>Itaguai</t>
        </is>
      </c>
      <c r="B190" s="30" t="n">
        <v>11976034</v>
      </c>
      <c r="C190" s="30">
        <f>"56927734000841"</f>
        <v/>
      </c>
      <c r="D190" s="30" t="inlineStr">
        <is>
          <t>DAMA TRANSPORTADORA LTDA</t>
        </is>
      </c>
      <c r="E190" s="40" t="n">
        <v>0</v>
      </c>
      <c r="F190" s="40" t="n">
        <v>0</v>
      </c>
      <c r="G190" s="40" t="n">
        <v>0</v>
      </c>
      <c r="H190" s="40" t="n">
        <v>0</v>
      </c>
      <c r="I190" s="40" t="n">
        <v>0</v>
      </c>
      <c r="J190" s="40" t="n">
        <v>0</v>
      </c>
      <c r="K190" s="40" t="n">
        <v>0</v>
      </c>
      <c r="L190" s="40" t="n">
        <v>28834.24</v>
      </c>
      <c r="M190" s="40" t="n">
        <v>100</v>
      </c>
      <c r="N190" s="40" t="n">
        <v>0</v>
      </c>
      <c r="O190" s="46" t="n">
        <v>-100</v>
      </c>
      <c r="P190" s="40" t="n">
        <v>0</v>
      </c>
      <c r="Q190" s="40" t="n">
        <v>0</v>
      </c>
      <c r="R190" s="47" t="n"/>
      <c r="S190" s="47" t="n"/>
      <c r="T190" s="47" t="n"/>
      <c r="U190" s="47" t="n"/>
      <c r="V190" s="47" t="n"/>
      <c r="W190" s="47" t="n"/>
    </row>
    <row r="191" ht="12" customHeight="1">
      <c r="A191" s="30" t="inlineStr">
        <is>
          <t>Itaguai</t>
        </is>
      </c>
      <c r="B191" s="30" t="n">
        <v>12001665</v>
      </c>
      <c r="C191" s="30">
        <f>"41052743000192"</f>
        <v/>
      </c>
      <c r="D191" s="30" t="inlineStr">
        <is>
          <t>COOPERATIVA DOS TRANSPORTADORES RODOVI?RIOS DE CARGAS AMIGOS UNI</t>
        </is>
      </c>
      <c r="E191" s="40" t="n">
        <v>0</v>
      </c>
      <c r="F191" s="40" t="n">
        <v>0</v>
      </c>
      <c r="G191" s="40" t="n">
        <v>0</v>
      </c>
      <c r="H191" s="40" t="n">
        <v>0</v>
      </c>
      <c r="I191" s="40" t="n">
        <v>0</v>
      </c>
      <c r="J191" s="40" t="n">
        <v>0</v>
      </c>
      <c r="K191" s="40" t="n">
        <v>0</v>
      </c>
      <c r="L191" s="40" t="n">
        <v>0</v>
      </c>
      <c r="M191" s="40" t="n">
        <v>0</v>
      </c>
      <c r="N191" s="40" t="n">
        <v>0</v>
      </c>
      <c r="O191" s="40" t="n">
        <v>0</v>
      </c>
      <c r="P191" s="40" t="n">
        <v>54898.3</v>
      </c>
      <c r="Q191" s="40" t="n">
        <v>100</v>
      </c>
      <c r="R191" s="47" t="n"/>
      <c r="S191" s="47" t="n"/>
      <c r="T191" s="47" t="n"/>
      <c r="U191" s="47" t="n"/>
      <c r="V191" s="47" t="n"/>
      <c r="W191" s="47" t="n"/>
    </row>
    <row r="192" ht="12" customHeight="1">
      <c r="A192" s="30" t="inlineStr">
        <is>
          <t>Itaguai</t>
        </is>
      </c>
      <c r="B192" s="30" t="n">
        <v>12014325</v>
      </c>
      <c r="C192" s="30">
        <f>"04819724003308"</f>
        <v/>
      </c>
      <c r="D192" s="30" t="inlineStr">
        <is>
          <t>TELEFONICA TRANSPORTES E LOGISTICA LTDA</t>
        </is>
      </c>
      <c r="E192" s="40" t="n">
        <v>0</v>
      </c>
      <c r="F192" s="40" t="n">
        <v>0</v>
      </c>
      <c r="G192" s="40" t="n">
        <v>0</v>
      </c>
      <c r="H192" s="40" t="n">
        <v>0</v>
      </c>
      <c r="I192" s="40" t="n">
        <v>0</v>
      </c>
      <c r="J192" s="40" t="n">
        <v>0</v>
      </c>
      <c r="K192" s="40" t="n">
        <v>0</v>
      </c>
      <c r="L192" s="40" t="n">
        <v>0</v>
      </c>
      <c r="M192" s="40" t="n">
        <v>0</v>
      </c>
      <c r="N192" s="40" t="n">
        <v>50.37</v>
      </c>
      <c r="O192" s="40" t="n">
        <v>100</v>
      </c>
      <c r="P192" s="40" t="n">
        <v>9740.370000000001</v>
      </c>
      <c r="Q192" s="40" t="n">
        <v>19237.64</v>
      </c>
      <c r="R192" s="47" t="n"/>
      <c r="S192" s="47" t="n"/>
      <c r="T192" s="47" t="n"/>
      <c r="U192" s="47" t="n"/>
      <c r="V192" s="47" t="n"/>
      <c r="W192" s="47" t="n"/>
    </row>
    <row r="193" ht="12" customHeight="1">
      <c r="A193" s="30" t="inlineStr">
        <is>
          <t>Itaguai</t>
        </is>
      </c>
      <c r="B193" s="30" t="n">
        <v>12021763</v>
      </c>
      <c r="C193" s="30">
        <f>"00776574033836"</f>
        <v/>
      </c>
      <c r="D193" s="30" t="inlineStr">
        <is>
          <t>AMERICANAS S.A - EM RECUPERACAO JUDICIAL</t>
        </is>
      </c>
      <c r="E193" s="40" t="n">
        <v>0</v>
      </c>
      <c r="F193" s="40" t="n">
        <v>0</v>
      </c>
      <c r="G193" s="40" t="n">
        <v>0</v>
      </c>
      <c r="H193" s="40" t="n">
        <v>0</v>
      </c>
      <c r="I193" s="40" t="n">
        <v>0</v>
      </c>
      <c r="J193" s="40" t="n">
        <v>0</v>
      </c>
      <c r="K193" s="40" t="n">
        <v>0</v>
      </c>
      <c r="L193" s="40" t="n">
        <v>1638730.02</v>
      </c>
      <c r="M193" s="40" t="n">
        <v>100</v>
      </c>
      <c r="N193" s="40" t="n">
        <v>1110888.79</v>
      </c>
      <c r="O193" s="46" t="n">
        <v>-32.21</v>
      </c>
      <c r="P193" s="40" t="n">
        <v>689293.39</v>
      </c>
      <c r="Q193" s="46" t="n">
        <v>-37.95</v>
      </c>
      <c r="R193" s="47" t="n"/>
      <c r="S193" s="47" t="n"/>
      <c r="T193" s="47" t="n"/>
      <c r="U193" s="47" t="n"/>
      <c r="V193" s="47" t="n"/>
      <c r="W193" s="47" t="n"/>
    </row>
    <row r="194" ht="12" customHeight="1">
      <c r="A194" s="30" t="inlineStr">
        <is>
          <t>Itaguai</t>
        </is>
      </c>
      <c r="B194" s="30" t="n">
        <v>12028199</v>
      </c>
      <c r="C194" s="30">
        <f>"41307848000145"</f>
        <v/>
      </c>
      <c r="D194" s="30" t="inlineStr">
        <is>
          <t>?VORA FARM?CIA DE MANIPULA??O LTDA</t>
        </is>
      </c>
      <c r="E194" s="40" t="n">
        <v>0</v>
      </c>
      <c r="F194" s="40" t="n">
        <v>0</v>
      </c>
      <c r="G194" s="40" t="n">
        <v>0</v>
      </c>
      <c r="H194" s="40" t="n">
        <v>0</v>
      </c>
      <c r="I194" s="40" t="n">
        <v>0</v>
      </c>
      <c r="J194" s="40" t="n">
        <v>0</v>
      </c>
      <c r="K194" s="40" t="n">
        <v>0</v>
      </c>
      <c r="L194" s="40" t="n">
        <v>0</v>
      </c>
      <c r="M194" s="40" t="n">
        <v>0</v>
      </c>
      <c r="N194" s="40" t="n">
        <v>0</v>
      </c>
      <c r="O194" s="40" t="n">
        <v>0</v>
      </c>
      <c r="P194" s="40" t="n">
        <v>3306653.15</v>
      </c>
      <c r="Q194" s="40" t="n">
        <v>100</v>
      </c>
      <c r="R194" s="47" t="n"/>
      <c r="S194" s="47" t="n"/>
      <c r="T194" s="47" t="n"/>
      <c r="U194" s="47" t="n"/>
      <c r="V194" s="47" t="n"/>
      <c r="W194" s="47" t="n"/>
    </row>
    <row r="195" ht="12" customHeight="1">
      <c r="A195" s="30" t="inlineStr">
        <is>
          <t>Itaguai</t>
        </is>
      </c>
      <c r="B195" s="30" t="n">
        <v>12039140</v>
      </c>
      <c r="C195" s="30">
        <f>"41487278000112"</f>
        <v/>
      </c>
      <c r="D195" s="30" t="inlineStr">
        <is>
          <t>PROGRESSO SERVI?OS PORTU?RIOS E TRANSPORTE LTDA</t>
        </is>
      </c>
      <c r="E195" s="40" t="n">
        <v>0</v>
      </c>
      <c r="F195" s="40" t="n">
        <v>0</v>
      </c>
      <c r="G195" s="40" t="n">
        <v>0</v>
      </c>
      <c r="H195" s="40" t="n">
        <v>0</v>
      </c>
      <c r="I195" s="40" t="n">
        <v>0</v>
      </c>
      <c r="J195" s="40" t="n">
        <v>0</v>
      </c>
      <c r="K195" s="40" t="n">
        <v>0</v>
      </c>
      <c r="L195" s="40" t="n">
        <v>0</v>
      </c>
      <c r="M195" s="40" t="n">
        <v>0</v>
      </c>
      <c r="N195" s="40" t="n">
        <v>0</v>
      </c>
      <c r="O195" s="40" t="n">
        <v>0</v>
      </c>
      <c r="P195" s="40" t="n">
        <v>0</v>
      </c>
      <c r="Q195" s="40" t="n">
        <v>0</v>
      </c>
      <c r="R195" s="47" t="n"/>
      <c r="S195" s="47" t="n"/>
      <c r="T195" s="47" t="n"/>
      <c r="U195" s="47" t="n"/>
      <c r="V195" s="47" t="n"/>
      <c r="W195" s="47" t="n"/>
    </row>
    <row r="196" ht="12" customHeight="1">
      <c r="A196" s="30" t="inlineStr">
        <is>
          <t>Itaguai</t>
        </is>
      </c>
      <c r="B196" s="30" t="n">
        <v>12041454</v>
      </c>
      <c r="C196" s="30">
        <f>"41492799000168"</f>
        <v/>
      </c>
      <c r="D196" s="30" t="inlineStr">
        <is>
          <t>PROGRESSO TRANSPORTES LOG?STICOS E ARMAZ?NS LTDA</t>
        </is>
      </c>
      <c r="E196" s="40" t="n">
        <v>0</v>
      </c>
      <c r="F196" s="40" t="n">
        <v>0</v>
      </c>
      <c r="G196" s="40" t="n">
        <v>0</v>
      </c>
      <c r="H196" s="40" t="n">
        <v>0</v>
      </c>
      <c r="I196" s="40" t="n">
        <v>0</v>
      </c>
      <c r="J196" s="40" t="n">
        <v>0</v>
      </c>
      <c r="K196" s="40" t="n">
        <v>0</v>
      </c>
      <c r="L196" s="40" t="n">
        <v>0</v>
      </c>
      <c r="M196" s="40" t="n">
        <v>0</v>
      </c>
      <c r="N196" s="40" t="n">
        <v>0</v>
      </c>
      <c r="O196" s="40" t="n">
        <v>0</v>
      </c>
      <c r="P196" s="40" t="n">
        <v>0</v>
      </c>
      <c r="Q196" s="40" t="n">
        <v>0</v>
      </c>
      <c r="R196" s="47" t="n"/>
      <c r="S196" s="47" t="n"/>
      <c r="T196" s="47" t="n"/>
      <c r="U196" s="47" t="n"/>
      <c r="V196" s="47" t="n"/>
      <c r="W196" s="47" t="n"/>
    </row>
    <row r="197" ht="12" customHeight="1">
      <c r="A197" s="30" t="inlineStr">
        <is>
          <t>Itaguai</t>
        </is>
      </c>
      <c r="B197" s="30" t="n">
        <v>12051417</v>
      </c>
      <c r="C197" s="30">
        <f>"41647000000165"</f>
        <v/>
      </c>
      <c r="D197" s="30" t="inlineStr">
        <is>
          <t>TH VE?CULOS DA COSTA VERDE LTDA</t>
        </is>
      </c>
      <c r="E197" s="40" t="n">
        <v>0</v>
      </c>
      <c r="F197" s="40" t="n">
        <v>0</v>
      </c>
      <c r="G197" s="40" t="n">
        <v>0</v>
      </c>
      <c r="H197" s="40" t="n">
        <v>0</v>
      </c>
      <c r="I197" s="40" t="n">
        <v>0</v>
      </c>
      <c r="J197" s="40" t="n">
        <v>0</v>
      </c>
      <c r="K197" s="40" t="n">
        <v>0</v>
      </c>
      <c r="L197" s="40" t="n">
        <v>0</v>
      </c>
      <c r="M197" s="40" t="n">
        <v>0</v>
      </c>
      <c r="N197" s="40" t="n">
        <v>0</v>
      </c>
      <c r="O197" s="40" t="n">
        <v>0</v>
      </c>
      <c r="P197" s="40" t="n">
        <v>0</v>
      </c>
      <c r="Q197" s="40" t="n">
        <v>0</v>
      </c>
      <c r="R197" s="47" t="n"/>
      <c r="S197" s="47" t="n"/>
      <c r="T197" s="47" t="n"/>
      <c r="U197" s="47" t="n"/>
      <c r="V197" s="47" t="n"/>
      <c r="W197" s="47" t="n"/>
    </row>
    <row r="198" ht="12" customHeight="1">
      <c r="A198" s="30" t="inlineStr">
        <is>
          <t>Itaguai</t>
        </is>
      </c>
      <c r="B198" s="30" t="n">
        <v>12061196</v>
      </c>
      <c r="C198" s="30">
        <f>"47960950176084"</f>
        <v/>
      </c>
      <c r="D198" s="30" t="inlineStr">
        <is>
          <t>MAGAZINE LUIZA S/A</t>
        </is>
      </c>
      <c r="E198" s="40" t="n">
        <v>0</v>
      </c>
      <c r="F198" s="40" t="n">
        <v>0</v>
      </c>
      <c r="G198" s="40" t="n">
        <v>0</v>
      </c>
      <c r="H198" s="40" t="n">
        <v>0</v>
      </c>
      <c r="I198" s="40" t="n">
        <v>0</v>
      </c>
      <c r="J198" s="40" t="n">
        <v>0</v>
      </c>
      <c r="K198" s="40" t="n">
        <v>0</v>
      </c>
      <c r="L198" s="40" t="n">
        <v>652429.88</v>
      </c>
      <c r="M198" s="40" t="n">
        <v>100</v>
      </c>
      <c r="N198" s="40" t="n">
        <v>2266864.52</v>
      </c>
      <c r="O198" s="40" t="n">
        <v>247.45</v>
      </c>
      <c r="P198" s="40" t="n">
        <v>2005011.09</v>
      </c>
      <c r="Q198" s="46" t="n">
        <v>-11.55</v>
      </c>
      <c r="R198" s="47" t="n"/>
      <c r="S198" s="47" t="n"/>
      <c r="T198" s="47" t="n"/>
      <c r="U198" s="47" t="n"/>
      <c r="V198" s="47" t="n"/>
      <c r="W198" s="47" t="n"/>
    </row>
    <row r="199" ht="12" customHeight="1">
      <c r="A199" s="30" t="inlineStr">
        <is>
          <t>Itaguai</t>
        </is>
      </c>
      <c r="B199" s="30" t="n">
        <v>12074352</v>
      </c>
      <c r="C199" s="30">
        <f>"00776574079585"</f>
        <v/>
      </c>
      <c r="D199" s="30" t="inlineStr">
        <is>
          <t>AMERICANAS S.A - EM RECUPERACAO JUDICIAL</t>
        </is>
      </c>
      <c r="E199" s="40" t="n">
        <v>0</v>
      </c>
      <c r="F199" s="40" t="n">
        <v>0</v>
      </c>
      <c r="G199" s="40" t="n">
        <v>0</v>
      </c>
      <c r="H199" s="40" t="n">
        <v>0</v>
      </c>
      <c r="I199" s="40" t="n">
        <v>0</v>
      </c>
      <c r="J199" s="40" t="n">
        <v>0</v>
      </c>
      <c r="K199" s="40" t="n">
        <v>0</v>
      </c>
      <c r="L199" s="40" t="n">
        <v>1971206.71</v>
      </c>
      <c r="M199" s="40" t="n">
        <v>100</v>
      </c>
      <c r="N199" s="40" t="n">
        <v>400392.58</v>
      </c>
      <c r="O199" s="46" t="n">
        <v>-79.69</v>
      </c>
      <c r="P199" s="40" t="n">
        <v>1730973.02</v>
      </c>
      <c r="Q199" s="40" t="n">
        <v>332.32</v>
      </c>
      <c r="R199" s="47" t="n"/>
      <c r="S199" s="47" t="n"/>
      <c r="T199" s="47" t="n"/>
      <c r="U199" s="47" t="n"/>
      <c r="V199" s="47" t="n"/>
      <c r="W199" s="47" t="n"/>
    </row>
    <row r="200" ht="12" customHeight="1">
      <c r="A200" s="30" t="inlineStr">
        <is>
          <t>Itaguai</t>
        </is>
      </c>
      <c r="B200" s="30" t="n">
        <v>12077335</v>
      </c>
      <c r="C200" s="30">
        <f>"41919966000104"</f>
        <v/>
      </c>
      <c r="D200" s="30" t="inlineStr">
        <is>
          <t>VIA??O ROSA RIO LTDA</t>
        </is>
      </c>
      <c r="E200" s="40" t="n">
        <v>0</v>
      </c>
      <c r="F200" s="40" t="n">
        <v>0</v>
      </c>
      <c r="G200" s="40" t="n">
        <v>0</v>
      </c>
      <c r="H200" s="40" t="n">
        <v>0</v>
      </c>
      <c r="I200" s="40" t="n">
        <v>0</v>
      </c>
      <c r="J200" s="40" t="n">
        <v>0</v>
      </c>
      <c r="K200" s="40" t="n">
        <v>0</v>
      </c>
      <c r="L200" s="40" t="n">
        <v>0</v>
      </c>
      <c r="M200" s="40" t="n">
        <v>0</v>
      </c>
      <c r="N200" s="40" t="n">
        <v>0</v>
      </c>
      <c r="O200" s="40" t="n">
        <v>0</v>
      </c>
      <c r="P200" s="40" t="n">
        <v>1509485</v>
      </c>
      <c r="Q200" s="40" t="n">
        <v>100</v>
      </c>
      <c r="R200" s="47" t="n"/>
      <c r="S200" s="47" t="n"/>
      <c r="T200" s="47" t="n"/>
      <c r="U200" s="47" t="n"/>
      <c r="V200" s="47" t="n"/>
      <c r="W200" s="47" t="n"/>
    </row>
    <row r="201" ht="12" customHeight="1">
      <c r="A201" s="30" t="inlineStr">
        <is>
          <t>Itaguai</t>
        </is>
      </c>
      <c r="B201" s="30" t="n">
        <v>12084773</v>
      </c>
      <c r="C201" s="30">
        <f>"26410462000685"</f>
        <v/>
      </c>
      <c r="D201" s="30" t="inlineStr">
        <is>
          <t>ORION REFEI??ES EMPRESARIAIS LTDA</t>
        </is>
      </c>
      <c r="E201" s="40" t="n">
        <v>0</v>
      </c>
      <c r="F201" s="40" t="n">
        <v>0</v>
      </c>
      <c r="G201" s="40" t="n">
        <v>0</v>
      </c>
      <c r="H201" s="40" t="n">
        <v>0</v>
      </c>
      <c r="I201" s="40" t="n">
        <v>0</v>
      </c>
      <c r="J201" s="40" t="n">
        <v>0</v>
      </c>
      <c r="K201" s="40" t="n">
        <v>0</v>
      </c>
      <c r="L201" s="40" t="n">
        <v>0</v>
      </c>
      <c r="M201" s="40" t="n">
        <v>0</v>
      </c>
      <c r="N201" s="40" t="n">
        <v>114501.45</v>
      </c>
      <c r="O201" s="40" t="n">
        <v>100</v>
      </c>
      <c r="P201" s="40" t="n">
        <v>0</v>
      </c>
      <c r="Q201" s="46" t="n">
        <v>-100</v>
      </c>
      <c r="R201" s="47" t="n"/>
      <c r="S201" s="47" t="n"/>
      <c r="T201" s="47" t="n"/>
      <c r="U201" s="47" t="n"/>
      <c r="V201" s="47" t="n"/>
      <c r="W201" s="47" t="n"/>
    </row>
    <row r="202" ht="12" customHeight="1">
      <c r="A202" s="30" t="inlineStr">
        <is>
          <t>Itaguai</t>
        </is>
      </c>
      <c r="B202" s="30" t="n">
        <v>12085290</v>
      </c>
      <c r="C202" s="30">
        <f>"43244631005985"</f>
        <v/>
      </c>
      <c r="D202" s="30" t="inlineStr">
        <is>
          <t>TRANSPORTADORA AMERICANA LTDA</t>
        </is>
      </c>
      <c r="E202" s="40" t="n">
        <v>0</v>
      </c>
      <c r="F202" s="40" t="n">
        <v>0</v>
      </c>
      <c r="G202" s="40" t="n">
        <v>0</v>
      </c>
      <c r="H202" s="40" t="n">
        <v>0</v>
      </c>
      <c r="I202" s="40" t="n">
        <v>0</v>
      </c>
      <c r="J202" s="40" t="n">
        <v>0</v>
      </c>
      <c r="K202" s="40" t="n">
        <v>0</v>
      </c>
      <c r="L202" s="40" t="n">
        <v>0</v>
      </c>
      <c r="M202" s="40" t="n">
        <v>0</v>
      </c>
      <c r="N202" s="40" t="n">
        <v>2329.04</v>
      </c>
      <c r="O202" s="40" t="n">
        <v>100</v>
      </c>
      <c r="P202" s="40" t="n">
        <v>53.63</v>
      </c>
      <c r="Q202" s="46" t="n">
        <v>-97.7</v>
      </c>
      <c r="R202" s="47" t="n"/>
      <c r="S202" s="47" t="n"/>
      <c r="T202" s="47" t="n"/>
      <c r="U202" s="47" t="n"/>
      <c r="V202" s="47" t="n"/>
      <c r="W202" s="47" t="n"/>
    </row>
    <row r="203" ht="12" customHeight="1">
      <c r="A203" s="30" t="inlineStr">
        <is>
          <t>Itaguai</t>
        </is>
      </c>
      <c r="B203" s="30" t="n">
        <v>12087810</v>
      </c>
      <c r="C203" s="30">
        <f>"29453826000511"</f>
        <v/>
      </c>
      <c r="D203" s="30" t="inlineStr">
        <is>
          <t>TRANSPORTE GENEROSO LTDA</t>
        </is>
      </c>
      <c r="E203" s="40" t="n">
        <v>0</v>
      </c>
      <c r="F203" s="40" t="n">
        <v>0</v>
      </c>
      <c r="G203" s="40" t="n">
        <v>0</v>
      </c>
      <c r="H203" s="40" t="n">
        <v>0</v>
      </c>
      <c r="I203" s="40" t="n">
        <v>0</v>
      </c>
      <c r="J203" s="40" t="n">
        <v>0</v>
      </c>
      <c r="K203" s="40" t="n">
        <v>0</v>
      </c>
      <c r="L203" s="40" t="n">
        <v>0</v>
      </c>
      <c r="M203" s="40" t="n">
        <v>0</v>
      </c>
      <c r="N203" s="40" t="n">
        <v>0</v>
      </c>
      <c r="O203" s="40" t="n">
        <v>0</v>
      </c>
      <c r="P203" s="40" t="n">
        <v>132.34</v>
      </c>
      <c r="Q203" s="40" t="n">
        <v>100</v>
      </c>
      <c r="R203" s="47" t="n"/>
      <c r="S203" s="47" t="n"/>
      <c r="T203" s="47" t="n"/>
      <c r="U203" s="47" t="n"/>
      <c r="V203" s="47" t="n"/>
      <c r="W203" s="47" t="n"/>
    </row>
    <row r="204" ht="12" customHeight="1">
      <c r="A204" s="30" t="inlineStr">
        <is>
          <t>Itaguai</t>
        </is>
      </c>
      <c r="B204" s="30" t="n">
        <v>12107536</v>
      </c>
      <c r="C204" s="30">
        <f>"42258516000180"</f>
        <v/>
      </c>
      <c r="D204" s="30" t="inlineStr">
        <is>
          <t>REAL POWER MOTORS COM?RCIO LTDA</t>
        </is>
      </c>
      <c r="E204" s="40" t="n">
        <v>0</v>
      </c>
      <c r="F204" s="40" t="n">
        <v>0</v>
      </c>
      <c r="G204" s="40" t="n">
        <v>0</v>
      </c>
      <c r="H204" s="40" t="n">
        <v>0</v>
      </c>
      <c r="I204" s="40" t="n">
        <v>0</v>
      </c>
      <c r="J204" s="40" t="n">
        <v>0</v>
      </c>
      <c r="K204" s="40" t="n">
        <v>0</v>
      </c>
      <c r="L204" s="40" t="n">
        <v>0</v>
      </c>
      <c r="M204" s="40" t="n">
        <v>0</v>
      </c>
      <c r="N204" s="40" t="n">
        <v>3010940.25</v>
      </c>
      <c r="O204" s="40" t="n">
        <v>100</v>
      </c>
      <c r="P204" s="40" t="n">
        <v>2864403.94</v>
      </c>
      <c r="Q204" s="46" t="n">
        <v>-4.87</v>
      </c>
      <c r="R204" s="47" t="n"/>
      <c r="S204" s="47" t="n"/>
      <c r="T204" s="47" t="n"/>
      <c r="U204" s="47" t="n"/>
      <c r="V204" s="47" t="n"/>
      <c r="W204" s="47" t="n"/>
    </row>
    <row r="205" ht="12" customHeight="1">
      <c r="A205" s="30" t="inlineStr">
        <is>
          <t>Itaguai</t>
        </is>
      </c>
      <c r="B205" s="30" t="n">
        <v>12115920</v>
      </c>
      <c r="C205" s="30">
        <f>"42409568000100"</f>
        <v/>
      </c>
      <c r="D205" s="30" t="inlineStr">
        <is>
          <t>BOM DE PRE?O SACOLAO DE FRUTAS E LEGUMES LTDA</t>
        </is>
      </c>
      <c r="E205" s="40" t="n">
        <v>0</v>
      </c>
      <c r="F205" s="40" t="n">
        <v>0</v>
      </c>
      <c r="G205" s="40" t="n">
        <v>0</v>
      </c>
      <c r="H205" s="40" t="n">
        <v>0</v>
      </c>
      <c r="I205" s="40" t="n">
        <v>0</v>
      </c>
      <c r="J205" s="40" t="n">
        <v>0</v>
      </c>
      <c r="K205" s="40" t="n">
        <v>0</v>
      </c>
      <c r="L205" s="40" t="n">
        <v>0</v>
      </c>
      <c r="M205" s="40" t="n">
        <v>0</v>
      </c>
      <c r="N205" s="40" t="n">
        <v>0</v>
      </c>
      <c r="O205" s="40" t="n">
        <v>0</v>
      </c>
      <c r="P205" s="40" t="n">
        <v>423899.77</v>
      </c>
      <c r="Q205" s="40" t="n">
        <v>100</v>
      </c>
      <c r="R205" s="47" t="n"/>
      <c r="S205" s="47" t="n"/>
      <c r="T205" s="47" t="n"/>
      <c r="U205" s="47" t="n"/>
      <c r="V205" s="47" t="n"/>
      <c r="W205" s="47" t="n"/>
    </row>
    <row r="206" ht="12" customHeight="1">
      <c r="A206" s="30" t="inlineStr">
        <is>
          <t>Itaguai</t>
        </is>
      </c>
      <c r="B206" s="30" t="n">
        <v>12122675</v>
      </c>
      <c r="C206" s="30">
        <f>"42476615000139"</f>
        <v/>
      </c>
      <c r="D206" s="30" t="inlineStr">
        <is>
          <t>JUSAN LOGISTICA E TRANSPORTES LTDA</t>
        </is>
      </c>
      <c r="E206" s="40" t="n">
        <v>0</v>
      </c>
      <c r="F206" s="40" t="n">
        <v>0</v>
      </c>
      <c r="G206" s="40" t="n">
        <v>0</v>
      </c>
      <c r="H206" s="40" t="n">
        <v>0</v>
      </c>
      <c r="I206" s="40" t="n">
        <v>0</v>
      </c>
      <c r="J206" s="40" t="n">
        <v>0</v>
      </c>
      <c r="K206" s="40" t="n">
        <v>0</v>
      </c>
      <c r="L206" s="40" t="n">
        <v>0</v>
      </c>
      <c r="M206" s="40" t="n">
        <v>0</v>
      </c>
      <c r="N206" s="40" t="n">
        <v>489.06</v>
      </c>
      <c r="O206" s="40" t="n">
        <v>100</v>
      </c>
      <c r="P206" s="40" t="n">
        <v>0</v>
      </c>
      <c r="Q206" s="46" t="n">
        <v>-100</v>
      </c>
      <c r="R206" s="47" t="n"/>
      <c r="S206" s="47" t="n"/>
      <c r="T206" s="47" t="n"/>
      <c r="U206" s="47" t="n"/>
      <c r="V206" s="47" t="n"/>
      <c r="W206" s="47" t="n"/>
    </row>
    <row r="207" ht="12" customHeight="1">
      <c r="A207" s="30" t="inlineStr">
        <is>
          <t>Itaguai</t>
        </is>
      </c>
      <c r="B207" s="30" t="n">
        <v>12130066</v>
      </c>
      <c r="C207" s="30">
        <f>"00005487040745"</f>
        <v/>
      </c>
      <c r="D207" s="30" t="inlineStr">
        <is>
          <t>SANDRA DE FARIA SILVA</t>
        </is>
      </c>
      <c r="E207" s="40" t="n">
        <v>0</v>
      </c>
      <c r="F207" s="40" t="n">
        <v>0</v>
      </c>
      <c r="G207" s="40" t="n">
        <v>0</v>
      </c>
      <c r="H207" s="40" t="n">
        <v>0</v>
      </c>
      <c r="I207" s="40" t="n">
        <v>0</v>
      </c>
      <c r="J207" s="40" t="n">
        <v>0</v>
      </c>
      <c r="K207" s="40" t="n">
        <v>0</v>
      </c>
      <c r="L207" s="40" t="n">
        <v>273500</v>
      </c>
      <c r="M207" s="40" t="n">
        <v>100</v>
      </c>
      <c r="N207" s="40" t="n">
        <v>0</v>
      </c>
      <c r="O207" s="46" t="n">
        <v>-100</v>
      </c>
      <c r="P207" s="40" t="n">
        <v>0</v>
      </c>
      <c r="Q207" s="40" t="n">
        <v>0</v>
      </c>
      <c r="R207" s="47" t="n"/>
      <c r="S207" s="47" t="n"/>
      <c r="T207" s="47" t="n"/>
      <c r="U207" s="47" t="n"/>
      <c r="V207" s="47" t="n"/>
      <c r="W207" s="47" t="n"/>
    </row>
    <row r="208" ht="12" customHeight="1">
      <c r="A208" s="30" t="inlineStr">
        <is>
          <t>Itaguai</t>
        </is>
      </c>
      <c r="B208" s="30" t="n">
        <v>12139110</v>
      </c>
      <c r="C208" s="30">
        <f>"42656855000115"</f>
        <v/>
      </c>
      <c r="D208" s="30" t="inlineStr">
        <is>
          <t>PADARIA, CONFEITARIA E LANCHONETE PAL?CIO DOS P?ES LTDA</t>
        </is>
      </c>
      <c r="E208" s="40" t="n">
        <v>0</v>
      </c>
      <c r="F208" s="40" t="n">
        <v>0</v>
      </c>
      <c r="G208" s="40" t="n">
        <v>0</v>
      </c>
      <c r="H208" s="40" t="n">
        <v>0</v>
      </c>
      <c r="I208" s="40" t="n">
        <v>0</v>
      </c>
      <c r="J208" s="40" t="n">
        <v>0</v>
      </c>
      <c r="K208" s="40" t="n">
        <v>0</v>
      </c>
      <c r="L208" s="40" t="n">
        <v>0</v>
      </c>
      <c r="M208" s="40" t="n">
        <v>0</v>
      </c>
      <c r="N208" s="40" t="n">
        <v>0</v>
      </c>
      <c r="O208" s="40" t="n">
        <v>0</v>
      </c>
      <c r="P208" s="40" t="n">
        <v>0</v>
      </c>
      <c r="Q208" s="40" t="n">
        <v>0</v>
      </c>
      <c r="R208" s="47" t="n"/>
      <c r="S208" s="47" t="n"/>
      <c r="T208" s="47" t="n"/>
      <c r="U208" s="47" t="n"/>
      <c r="V208" s="47" t="n"/>
      <c r="W208" s="47" t="n"/>
    </row>
    <row r="209" ht="12" customHeight="1">
      <c r="A209" s="30" t="inlineStr">
        <is>
          <t>Itaguai</t>
        </is>
      </c>
      <c r="B209" s="30" t="n">
        <v>12148186</v>
      </c>
      <c r="C209" s="30">
        <f>"11361353002349"</f>
        <v/>
      </c>
      <c r="D209" s="30" t="inlineStr">
        <is>
          <t>TRANSGUARD DO BRASIL REMOCAO E ACAUTELAMENTO DE VEICULOS E EMPRE</t>
        </is>
      </c>
      <c r="E209" s="40" t="n">
        <v>0</v>
      </c>
      <c r="F209" s="40" t="n">
        <v>0</v>
      </c>
      <c r="G209" s="40" t="n">
        <v>0</v>
      </c>
      <c r="H209" s="40" t="n">
        <v>0</v>
      </c>
      <c r="I209" s="40" t="n">
        <v>0</v>
      </c>
      <c r="J209" s="40" t="n">
        <v>0</v>
      </c>
      <c r="K209" s="40" t="n">
        <v>0</v>
      </c>
      <c r="L209" s="40" t="n">
        <v>0</v>
      </c>
      <c r="M209" s="40" t="n">
        <v>0</v>
      </c>
      <c r="N209" s="40" t="n">
        <v>0</v>
      </c>
      <c r="O209" s="40" t="n">
        <v>0</v>
      </c>
      <c r="P209" s="40" t="n">
        <v>0</v>
      </c>
      <c r="Q209" s="40" t="n">
        <v>0</v>
      </c>
      <c r="R209" s="47" t="n"/>
      <c r="S209" s="47" t="n"/>
      <c r="T209" s="47" t="n"/>
      <c r="U209" s="47" t="n"/>
      <c r="V209" s="47" t="n"/>
      <c r="W209" s="47" t="n"/>
    </row>
    <row r="210" ht="12" customHeight="1">
      <c r="A210" s="30" t="inlineStr">
        <is>
          <t>Itaguai</t>
        </is>
      </c>
      <c r="B210" s="30" t="n">
        <v>12149654</v>
      </c>
      <c r="C210" s="30">
        <f>"31598974000142"</f>
        <v/>
      </c>
      <c r="D210" s="30" t="inlineStr">
        <is>
          <t>EXPRESSO EBEN?ZER TRANSPORTES- LTDA</t>
        </is>
      </c>
      <c r="E210" s="40" t="n">
        <v>0</v>
      </c>
      <c r="F210" s="40" t="n">
        <v>0</v>
      </c>
      <c r="G210" s="40" t="n">
        <v>0</v>
      </c>
      <c r="H210" s="40" t="n">
        <v>0</v>
      </c>
      <c r="I210" s="40" t="n">
        <v>0</v>
      </c>
      <c r="J210" s="40" t="n">
        <v>0</v>
      </c>
      <c r="K210" s="40" t="n">
        <v>0</v>
      </c>
      <c r="L210" s="40" t="n">
        <v>0</v>
      </c>
      <c r="M210" s="40" t="n">
        <v>0</v>
      </c>
      <c r="N210" s="40" t="n">
        <v>0</v>
      </c>
      <c r="O210" s="40" t="n">
        <v>0</v>
      </c>
      <c r="P210" s="40" t="n">
        <v>3236.42</v>
      </c>
      <c r="Q210" s="40" t="n">
        <v>100</v>
      </c>
      <c r="R210" s="47" t="n"/>
      <c r="S210" s="47" t="n"/>
      <c r="T210" s="47" t="n"/>
      <c r="U210" s="47" t="n"/>
      <c r="V210" s="47" t="n"/>
      <c r="W210" s="47" t="n"/>
    </row>
    <row r="211" ht="12" customHeight="1">
      <c r="A211" s="30" t="inlineStr">
        <is>
          <t>Itaguai</t>
        </is>
      </c>
      <c r="B211" s="30" t="n">
        <v>12150890</v>
      </c>
      <c r="C211" s="30">
        <f>"07569161003599"</f>
        <v/>
      </c>
      <c r="D211" s="30" t="inlineStr">
        <is>
          <t>G10 TRANSPORTES S.A.</t>
        </is>
      </c>
      <c r="E211" s="40" t="n">
        <v>0</v>
      </c>
      <c r="F211" s="40" t="n">
        <v>0</v>
      </c>
      <c r="G211" s="40" t="n">
        <v>0</v>
      </c>
      <c r="H211" s="40" t="n">
        <v>0</v>
      </c>
      <c r="I211" s="40" t="n">
        <v>0</v>
      </c>
      <c r="J211" s="40" t="n">
        <v>0</v>
      </c>
      <c r="K211" s="40" t="n">
        <v>0</v>
      </c>
      <c r="L211" s="40" t="n">
        <v>0</v>
      </c>
      <c r="M211" s="40" t="n">
        <v>0</v>
      </c>
      <c r="N211" s="40" t="n">
        <v>0</v>
      </c>
      <c r="O211" s="40" t="n">
        <v>0</v>
      </c>
      <c r="P211" s="40" t="n">
        <v>420765.21</v>
      </c>
      <c r="Q211" s="40" t="n">
        <v>100</v>
      </c>
      <c r="R211" s="47" t="n"/>
      <c r="S211" s="47" t="n"/>
      <c r="T211" s="47" t="n"/>
      <c r="U211" s="47" t="n"/>
      <c r="V211" s="47" t="n"/>
      <c r="W211" s="47" t="n"/>
    </row>
    <row r="212" ht="12" customHeight="1">
      <c r="A212" s="30" t="inlineStr">
        <is>
          <t>Itaguai</t>
        </is>
      </c>
      <c r="B212" s="30" t="n">
        <v>12176600</v>
      </c>
      <c r="C212" s="30">
        <f>"43018686000150"</f>
        <v/>
      </c>
      <c r="D212" s="30" t="inlineStr">
        <is>
          <t>INFINITE DISTRIPET ATACADISTA LTDA</t>
        </is>
      </c>
      <c r="E212" s="40" t="n">
        <v>0</v>
      </c>
      <c r="F212" s="40" t="n">
        <v>0</v>
      </c>
      <c r="G212" s="40" t="n">
        <v>0</v>
      </c>
      <c r="H212" s="40" t="n">
        <v>0</v>
      </c>
      <c r="I212" s="40" t="n">
        <v>0</v>
      </c>
      <c r="J212" s="40" t="n">
        <v>0</v>
      </c>
      <c r="K212" s="40" t="n">
        <v>0</v>
      </c>
      <c r="L212" s="40" t="n">
        <v>0</v>
      </c>
      <c r="M212" s="40" t="n">
        <v>0</v>
      </c>
      <c r="N212" s="40" t="n">
        <v>0</v>
      </c>
      <c r="O212" s="40" t="n">
        <v>0</v>
      </c>
      <c r="P212" s="40" t="n">
        <v>0</v>
      </c>
      <c r="Q212" s="40" t="n">
        <v>0</v>
      </c>
      <c r="R212" s="47" t="n"/>
      <c r="S212" s="47" t="n"/>
      <c r="T212" s="47" t="n"/>
      <c r="U212" s="47" t="n"/>
      <c r="V212" s="47" t="n"/>
      <c r="W212" s="47" t="n"/>
    </row>
    <row r="213" ht="12" customHeight="1">
      <c r="A213" s="30" t="inlineStr">
        <is>
          <t>Itaguai</t>
        </is>
      </c>
      <c r="B213" s="30" t="n">
        <v>12182481</v>
      </c>
      <c r="C213" s="30">
        <f>"18982709000952"</f>
        <v/>
      </c>
      <c r="D213" s="30" t="inlineStr">
        <is>
          <t>ASIA SHIPPING TERMINAIS E SERVICOS LTDA</t>
        </is>
      </c>
      <c r="E213" s="40" t="n">
        <v>0</v>
      </c>
      <c r="F213" s="40" t="n">
        <v>0</v>
      </c>
      <c r="G213" s="40" t="n">
        <v>0</v>
      </c>
      <c r="H213" s="40" t="n">
        <v>0</v>
      </c>
      <c r="I213" s="40" t="n">
        <v>0</v>
      </c>
      <c r="J213" s="40" t="n">
        <v>0</v>
      </c>
      <c r="K213" s="40" t="n">
        <v>0</v>
      </c>
      <c r="L213" s="40" t="n">
        <v>28982.09</v>
      </c>
      <c r="M213" s="40" t="n">
        <v>100</v>
      </c>
      <c r="N213" s="40" t="n">
        <v>0</v>
      </c>
      <c r="O213" s="46" t="n">
        <v>-100</v>
      </c>
      <c r="P213" s="40" t="n">
        <v>0</v>
      </c>
      <c r="Q213" s="40" t="n">
        <v>0</v>
      </c>
      <c r="R213" s="47" t="n"/>
      <c r="S213" s="47" t="n"/>
      <c r="T213" s="47" t="n"/>
      <c r="U213" s="47" t="n"/>
      <c r="V213" s="47" t="n"/>
      <c r="W213" s="47" t="n"/>
    </row>
    <row r="214" ht="12" customHeight="1">
      <c r="A214" s="30" t="inlineStr">
        <is>
          <t>Itaguai</t>
        </is>
      </c>
      <c r="B214" s="30" t="n">
        <v>12182910</v>
      </c>
      <c r="C214" s="30">
        <f>"66732082000177"</f>
        <v/>
      </c>
      <c r="D214" s="30" t="inlineStr">
        <is>
          <t>ENERGY CLEAN REPRESENTA??O COMERCIAL LTDA</t>
        </is>
      </c>
      <c r="E214" s="40" t="n">
        <v>0</v>
      </c>
      <c r="F214" s="40" t="n">
        <v>0</v>
      </c>
      <c r="G214" s="40" t="n">
        <v>0</v>
      </c>
      <c r="H214" s="40" t="n">
        <v>0</v>
      </c>
      <c r="I214" s="40" t="n">
        <v>0</v>
      </c>
      <c r="J214" s="40" t="n">
        <v>0</v>
      </c>
      <c r="K214" s="40" t="n">
        <v>0</v>
      </c>
      <c r="L214" s="40" t="n">
        <v>0</v>
      </c>
      <c r="M214" s="40" t="n">
        <v>0</v>
      </c>
      <c r="N214" s="40" t="n">
        <v>630033.23</v>
      </c>
      <c r="O214" s="40" t="n">
        <v>100</v>
      </c>
      <c r="P214" s="40" t="n">
        <v>6359314.15</v>
      </c>
      <c r="Q214" s="40" t="n">
        <v>909.36</v>
      </c>
      <c r="R214" s="47" t="n"/>
      <c r="S214" s="47" t="n"/>
      <c r="T214" s="47" t="n"/>
      <c r="U214" s="47" t="n"/>
      <c r="V214" s="47" t="n"/>
      <c r="W214" s="47" t="n"/>
    </row>
    <row r="215" ht="12" customHeight="1">
      <c r="A215" s="30" t="inlineStr">
        <is>
          <t>Itaguai</t>
        </is>
      </c>
      <c r="B215" s="30" t="n">
        <v>12185286</v>
      </c>
      <c r="C215" s="30">
        <f>"43144379000116"</f>
        <v/>
      </c>
      <c r="D215" s="30" t="inlineStr">
        <is>
          <t>PEIXARIA EMP?RIO COSTA VERDE LTDA</t>
        </is>
      </c>
      <c r="E215" s="40" t="n">
        <v>0</v>
      </c>
      <c r="F215" s="40" t="n">
        <v>0</v>
      </c>
      <c r="G215" s="40" t="n">
        <v>0</v>
      </c>
      <c r="H215" s="40" t="n">
        <v>0</v>
      </c>
      <c r="I215" s="40" t="n">
        <v>0</v>
      </c>
      <c r="J215" s="40" t="n">
        <v>0</v>
      </c>
      <c r="K215" s="40" t="n">
        <v>0</v>
      </c>
      <c r="L215" s="40" t="n">
        <v>0</v>
      </c>
      <c r="M215" s="40" t="n">
        <v>0</v>
      </c>
      <c r="N215" s="40" t="n">
        <v>0</v>
      </c>
      <c r="O215" s="40" t="n">
        <v>0</v>
      </c>
      <c r="P215" s="40" t="n">
        <v>0</v>
      </c>
      <c r="Q215" s="40" t="n">
        <v>0</v>
      </c>
      <c r="R215" s="47" t="n"/>
      <c r="S215" s="47" t="n"/>
      <c r="T215" s="47" t="n"/>
      <c r="U215" s="47" t="n"/>
      <c r="V215" s="47" t="n"/>
      <c r="W215" s="47" t="n"/>
    </row>
    <row r="216" ht="12" customHeight="1">
      <c r="A216" s="30" t="inlineStr">
        <is>
          <t>Itaguai</t>
        </is>
      </c>
      <c r="B216" s="30" t="n">
        <v>12187238</v>
      </c>
      <c r="C216" s="30">
        <f>"11361353002772"</f>
        <v/>
      </c>
      <c r="D216" s="30" t="inlineStr">
        <is>
          <t>TRANSGUARD DO BRASIL REMOCAO E ACAUTELAMENTO DE VEICULOS E EMPRE</t>
        </is>
      </c>
      <c r="E216" s="40" t="n">
        <v>0</v>
      </c>
      <c r="F216" s="40" t="n">
        <v>0</v>
      </c>
      <c r="G216" s="40" t="n">
        <v>0</v>
      </c>
      <c r="H216" s="40" t="n">
        <v>0</v>
      </c>
      <c r="I216" s="40" t="n">
        <v>0</v>
      </c>
      <c r="J216" s="40" t="n">
        <v>0</v>
      </c>
      <c r="K216" s="40" t="n">
        <v>0</v>
      </c>
      <c r="L216" s="40" t="n">
        <v>0</v>
      </c>
      <c r="M216" s="40" t="n">
        <v>0</v>
      </c>
      <c r="N216" s="40" t="n">
        <v>0</v>
      </c>
      <c r="O216" s="40" t="n">
        <v>0</v>
      </c>
      <c r="P216" s="40" t="n">
        <v>0</v>
      </c>
      <c r="Q216" s="40" t="n">
        <v>0</v>
      </c>
      <c r="R216" s="47" t="n"/>
      <c r="S216" s="47" t="n"/>
      <c r="T216" s="47" t="n"/>
      <c r="U216" s="47" t="n"/>
      <c r="V216" s="47" t="n"/>
      <c r="W216" s="47" t="n"/>
    </row>
    <row r="217" ht="12" customHeight="1">
      <c r="A217" s="30" t="inlineStr">
        <is>
          <t>Itaguai</t>
        </is>
      </c>
      <c r="B217" s="30" t="n">
        <v>12188633</v>
      </c>
      <c r="C217" s="30">
        <f>"38745428000306"</f>
        <v/>
      </c>
      <c r="D217" s="30" t="inlineStr">
        <is>
          <t>CONSTRUTORA APICE LTDA</t>
        </is>
      </c>
      <c r="E217" s="40" t="n">
        <v>0</v>
      </c>
      <c r="F217" s="40" t="n">
        <v>0</v>
      </c>
      <c r="G217" s="40" t="n">
        <v>0</v>
      </c>
      <c r="H217" s="40" t="n">
        <v>0</v>
      </c>
      <c r="I217" s="40" t="n">
        <v>0</v>
      </c>
      <c r="J217" s="40" t="n">
        <v>0</v>
      </c>
      <c r="K217" s="40" t="n">
        <v>0</v>
      </c>
      <c r="L217" s="40" t="n">
        <v>0</v>
      </c>
      <c r="M217" s="40" t="n">
        <v>0</v>
      </c>
      <c r="N217" s="40" t="n">
        <v>0</v>
      </c>
      <c r="O217" s="40" t="n">
        <v>0</v>
      </c>
      <c r="P217" s="40" t="n">
        <v>0</v>
      </c>
      <c r="Q217" s="40" t="n">
        <v>0</v>
      </c>
      <c r="R217" s="47" t="n"/>
      <c r="S217" s="47" t="n"/>
      <c r="T217" s="47" t="n"/>
      <c r="U217" s="47" t="n"/>
      <c r="V217" s="47" t="n"/>
      <c r="W217" s="47" t="n"/>
    </row>
    <row r="218" ht="12" customHeight="1">
      <c r="A218" s="30" t="inlineStr">
        <is>
          <t>Itaguai</t>
        </is>
      </c>
      <c r="B218" s="30" t="n">
        <v>12191758</v>
      </c>
      <c r="C218" s="30">
        <f>"44914992004982"</f>
        <v/>
      </c>
      <c r="D218" s="30" t="inlineStr">
        <is>
          <t>RODONAVES TRANSPORTES E ENCOMENDAS LTDA</t>
        </is>
      </c>
      <c r="E218" s="40" t="n">
        <v>0</v>
      </c>
      <c r="F218" s="40" t="n">
        <v>0</v>
      </c>
      <c r="G218" s="40" t="n">
        <v>0</v>
      </c>
      <c r="H218" s="40" t="n">
        <v>0</v>
      </c>
      <c r="I218" s="40" t="n">
        <v>0</v>
      </c>
      <c r="J218" s="40" t="n">
        <v>0</v>
      </c>
      <c r="K218" s="40" t="n">
        <v>0</v>
      </c>
      <c r="L218" s="40" t="n">
        <v>2310.5</v>
      </c>
      <c r="M218" s="40" t="n">
        <v>100</v>
      </c>
      <c r="N218" s="40" t="n">
        <v>2276.25</v>
      </c>
      <c r="O218" s="46" t="n">
        <v>-1.48</v>
      </c>
      <c r="P218" s="40" t="n">
        <v>0</v>
      </c>
      <c r="Q218" s="46" t="n">
        <v>-100</v>
      </c>
      <c r="R218" s="47" t="n"/>
      <c r="S218" s="47" t="n"/>
      <c r="T218" s="47" t="n"/>
      <c r="U218" s="47" t="n"/>
      <c r="V218" s="47" t="n"/>
      <c r="W218" s="47" t="n"/>
    </row>
    <row r="219" ht="12" customHeight="1">
      <c r="A219" s="30" t="inlineStr">
        <is>
          <t>Itaguai</t>
        </is>
      </c>
      <c r="B219" s="30" t="n">
        <v>12203535</v>
      </c>
      <c r="C219" s="30">
        <f>"02789552001128"</f>
        <v/>
      </c>
      <c r="D219" s="30" t="inlineStr">
        <is>
          <t>LIDER VEICULOS S. A.</t>
        </is>
      </c>
      <c r="E219" s="40" t="n">
        <v>0</v>
      </c>
      <c r="F219" s="40" t="n">
        <v>0</v>
      </c>
      <c r="G219" s="40" t="n">
        <v>0</v>
      </c>
      <c r="H219" s="40" t="n">
        <v>0</v>
      </c>
      <c r="I219" s="40" t="n">
        <v>0</v>
      </c>
      <c r="J219" s="40" t="n">
        <v>0</v>
      </c>
      <c r="K219" s="40" t="n">
        <v>0</v>
      </c>
      <c r="L219" s="40" t="n">
        <v>115896.83</v>
      </c>
      <c r="M219" s="40" t="n">
        <v>100</v>
      </c>
      <c r="N219" s="40" t="n">
        <v>1377042.6</v>
      </c>
      <c r="O219" s="40" t="n">
        <v>1088.16</v>
      </c>
      <c r="P219" s="40" t="n">
        <v>1110711.57</v>
      </c>
      <c r="Q219" s="46" t="n">
        <v>-19.34</v>
      </c>
      <c r="R219" s="47" t="n"/>
      <c r="S219" s="47" t="n"/>
      <c r="T219" s="47" t="n"/>
      <c r="U219" s="47" t="n"/>
      <c r="V219" s="47" t="n"/>
      <c r="W219" s="47" t="n"/>
    </row>
    <row r="220" ht="12" customHeight="1">
      <c r="A220" s="30" t="inlineStr">
        <is>
          <t>Itaguai</t>
        </is>
      </c>
      <c r="B220" s="30" t="n">
        <v>12206020</v>
      </c>
      <c r="C220" s="30">
        <f>"43384966000182"</f>
        <v/>
      </c>
      <c r="D220" s="30" t="inlineStr">
        <is>
          <t>ANDR?IA PROEN?A QUINTANILHA SAL?O DE BELEZA E COM?RCIO DE COSM?S</t>
        </is>
      </c>
      <c r="E220" s="40" t="n">
        <v>0</v>
      </c>
      <c r="F220" s="40" t="n">
        <v>0</v>
      </c>
      <c r="G220" s="40" t="n">
        <v>0</v>
      </c>
      <c r="H220" s="40" t="n">
        <v>0</v>
      </c>
      <c r="I220" s="40" t="n">
        <v>0</v>
      </c>
      <c r="J220" s="40" t="n">
        <v>0</v>
      </c>
      <c r="K220" s="40" t="n">
        <v>0</v>
      </c>
      <c r="L220" s="40" t="n">
        <v>0</v>
      </c>
      <c r="M220" s="40" t="n">
        <v>0</v>
      </c>
      <c r="N220" s="40" t="n">
        <v>0</v>
      </c>
      <c r="O220" s="40" t="n">
        <v>0</v>
      </c>
      <c r="P220" s="40" t="n">
        <v>0</v>
      </c>
      <c r="Q220" s="40" t="n">
        <v>0</v>
      </c>
      <c r="R220" s="47" t="n"/>
      <c r="S220" s="47" t="n"/>
      <c r="T220" s="47" t="n"/>
      <c r="U220" s="47" t="n"/>
      <c r="V220" s="47" t="n"/>
      <c r="W220" s="47" t="n"/>
    </row>
    <row r="221" ht="12" customHeight="1">
      <c r="A221" s="30" t="inlineStr">
        <is>
          <t>Itaguai</t>
        </is>
      </c>
      <c r="B221" s="30" t="n">
        <v>12210841</v>
      </c>
      <c r="C221" s="30">
        <f>"13272177000865"</f>
        <v/>
      </c>
      <c r="D221" s="30" t="inlineStr">
        <is>
          <t>GLOVIS BRASIL LOGISTICA LTDA</t>
        </is>
      </c>
      <c r="E221" s="40" t="n">
        <v>0</v>
      </c>
      <c r="F221" s="40" t="n">
        <v>0</v>
      </c>
      <c r="G221" s="40" t="n">
        <v>0</v>
      </c>
      <c r="H221" s="40" t="n">
        <v>0</v>
      </c>
      <c r="I221" s="40" t="n">
        <v>0</v>
      </c>
      <c r="J221" s="40" t="n">
        <v>0</v>
      </c>
      <c r="K221" s="40" t="n">
        <v>0</v>
      </c>
      <c r="L221" s="40" t="n">
        <v>0</v>
      </c>
      <c r="M221" s="40" t="n">
        <v>0</v>
      </c>
      <c r="N221" s="40" t="n">
        <v>0</v>
      </c>
      <c r="O221" s="40" t="n">
        <v>0</v>
      </c>
      <c r="P221" s="40" t="n">
        <v>52394.68</v>
      </c>
      <c r="Q221" s="40" t="n">
        <v>100</v>
      </c>
      <c r="R221" s="47" t="n"/>
      <c r="S221" s="47" t="n"/>
      <c r="T221" s="47" t="n"/>
      <c r="U221" s="47" t="n"/>
      <c r="V221" s="47" t="n"/>
      <c r="W221" s="47" t="n"/>
    </row>
    <row r="222" ht="12" customHeight="1">
      <c r="A222" s="30" t="inlineStr">
        <is>
          <t>Itaguai</t>
        </is>
      </c>
      <c r="B222" s="30" t="n">
        <v>12221592</v>
      </c>
      <c r="C222" s="30">
        <f>"00011087089786"</f>
        <v/>
      </c>
      <c r="D222" s="30" t="inlineStr">
        <is>
          <t>EDEMILSON RABELO DE OLIVEIRA</t>
        </is>
      </c>
      <c r="E222" s="40" t="n">
        <v>0</v>
      </c>
      <c r="F222" s="40" t="n">
        <v>0</v>
      </c>
      <c r="G222" s="40" t="n">
        <v>0</v>
      </c>
      <c r="H222" s="40" t="n">
        <v>0</v>
      </c>
      <c r="I222" s="40" t="n">
        <v>0</v>
      </c>
      <c r="J222" s="40" t="n">
        <v>0</v>
      </c>
      <c r="K222" s="40" t="n">
        <v>0</v>
      </c>
      <c r="L222" s="40" t="n">
        <v>1</v>
      </c>
      <c r="M222" s="40" t="n">
        <v>100</v>
      </c>
      <c r="N222" s="40" t="n">
        <v>0</v>
      </c>
      <c r="O222" s="46" t="n">
        <v>-100</v>
      </c>
      <c r="P222" s="40" t="n">
        <v>0</v>
      </c>
      <c r="Q222" s="40" t="n">
        <v>0</v>
      </c>
      <c r="R222" s="47" t="n"/>
      <c r="S222" s="47" t="n"/>
      <c r="T222" s="47" t="n"/>
      <c r="U222" s="47" t="n"/>
      <c r="V222" s="47" t="n"/>
      <c r="W222" s="47" t="n"/>
    </row>
    <row r="223" ht="12" customHeight="1">
      <c r="A223" s="30" t="inlineStr">
        <is>
          <t>Itaguai</t>
        </is>
      </c>
      <c r="B223" s="30" t="n">
        <v>12225091</v>
      </c>
      <c r="C223" s="30">
        <f>"13623957000489"</f>
        <v/>
      </c>
      <c r="D223" s="30" t="inlineStr">
        <is>
          <t>CBSI COMPANHIA BRASILEIRA DE SERVICOS DE INFRAESTRUTURA</t>
        </is>
      </c>
      <c r="E223" s="40" t="n">
        <v>0</v>
      </c>
      <c r="F223" s="40" t="n">
        <v>0</v>
      </c>
      <c r="G223" s="40" t="n">
        <v>0</v>
      </c>
      <c r="H223" s="40" t="n">
        <v>0</v>
      </c>
      <c r="I223" s="40" t="n">
        <v>0</v>
      </c>
      <c r="J223" s="40" t="n">
        <v>0</v>
      </c>
      <c r="K223" s="40" t="n">
        <v>0</v>
      </c>
      <c r="L223" s="40" t="n">
        <v>0</v>
      </c>
      <c r="M223" s="40" t="n">
        <v>0</v>
      </c>
      <c r="N223" s="40" t="n">
        <v>0</v>
      </c>
      <c r="O223" s="40" t="n">
        <v>0</v>
      </c>
      <c r="P223" s="40" t="n">
        <v>0</v>
      </c>
      <c r="Q223" s="40" t="n">
        <v>0</v>
      </c>
      <c r="R223" s="47" t="n"/>
      <c r="S223" s="47" t="n"/>
      <c r="T223" s="47" t="n"/>
      <c r="U223" s="47" t="n"/>
      <c r="V223" s="47" t="n"/>
      <c r="W223" s="47" t="n"/>
    </row>
    <row r="224" ht="12" customHeight="1">
      <c r="A224" s="30" t="inlineStr">
        <is>
          <t>Itaguai</t>
        </is>
      </c>
      <c r="B224" s="30" t="n">
        <v>12225822</v>
      </c>
      <c r="C224" s="30">
        <f>"79458584002228"</f>
        <v/>
      </c>
      <c r="D224" s="30" t="inlineStr">
        <is>
          <t>EXPRESSO ADORNO LTDA</t>
        </is>
      </c>
      <c r="E224" s="40" t="n">
        <v>0</v>
      </c>
      <c r="F224" s="40" t="n">
        <v>0</v>
      </c>
      <c r="G224" s="40" t="n">
        <v>0</v>
      </c>
      <c r="H224" s="40" t="n">
        <v>0</v>
      </c>
      <c r="I224" s="40" t="n">
        <v>0</v>
      </c>
      <c r="J224" s="40" t="n">
        <v>0</v>
      </c>
      <c r="K224" s="40" t="n">
        <v>0</v>
      </c>
      <c r="L224" s="40" t="n">
        <v>59349.9</v>
      </c>
      <c r="M224" s="40" t="n">
        <v>100</v>
      </c>
      <c r="N224" s="40" t="n">
        <v>0</v>
      </c>
      <c r="O224" s="46" t="n">
        <v>-100</v>
      </c>
      <c r="P224" s="40" t="n">
        <v>0</v>
      </c>
      <c r="Q224" s="40" t="n">
        <v>0</v>
      </c>
      <c r="R224" s="47" t="n"/>
      <c r="S224" s="47" t="n"/>
      <c r="T224" s="47" t="n"/>
      <c r="U224" s="47" t="n"/>
      <c r="V224" s="47" t="n"/>
      <c r="W224" s="47" t="n"/>
    </row>
    <row r="225" ht="12" customHeight="1">
      <c r="A225" s="30" t="inlineStr">
        <is>
          <t>Itaguai</t>
        </is>
      </c>
      <c r="B225" s="30" t="n">
        <v>12250843</v>
      </c>
      <c r="C225" s="30">
        <f>"33873846000195"</f>
        <v/>
      </c>
      <c r="D225" s="30" t="inlineStr">
        <is>
          <t>ABA SERVICOS E LOGISTICA LTDA</t>
        </is>
      </c>
      <c r="E225" s="40" t="n">
        <v>0</v>
      </c>
      <c r="F225" s="40" t="n">
        <v>0</v>
      </c>
      <c r="G225" s="40" t="n">
        <v>0</v>
      </c>
      <c r="H225" s="40" t="n">
        <v>0</v>
      </c>
      <c r="I225" s="40" t="n">
        <v>0</v>
      </c>
      <c r="J225" s="40" t="n">
        <v>0</v>
      </c>
      <c r="K225" s="40" t="n">
        <v>0</v>
      </c>
      <c r="L225" s="40" t="n">
        <v>0</v>
      </c>
      <c r="M225" s="40" t="n">
        <v>0</v>
      </c>
      <c r="N225" s="40" t="n">
        <v>0</v>
      </c>
      <c r="O225" s="40" t="n">
        <v>0</v>
      </c>
      <c r="P225" s="40" t="n">
        <v>5865697.13</v>
      </c>
      <c r="Q225" s="40" t="n">
        <v>100</v>
      </c>
      <c r="R225" s="47" t="n"/>
      <c r="S225" s="47" t="n"/>
      <c r="T225" s="47" t="n"/>
      <c r="U225" s="47" t="n"/>
      <c r="V225" s="47" t="n"/>
      <c r="W225" s="47" t="n"/>
    </row>
    <row r="226" ht="12" customHeight="1">
      <c r="A226" s="30" t="inlineStr">
        <is>
          <t>Itaguai</t>
        </is>
      </c>
      <c r="B226" s="30" t="n">
        <v>12277270</v>
      </c>
      <c r="C226" s="30">
        <f>"00003018002784"</f>
        <v/>
      </c>
      <c r="D226" s="30" t="inlineStr">
        <is>
          <t>SATIE TAKEMURA TAKAMINE</t>
        </is>
      </c>
      <c r="E226" s="40" t="n">
        <v>0</v>
      </c>
      <c r="F226" s="40" t="n">
        <v>0</v>
      </c>
      <c r="G226" s="40" t="n">
        <v>0</v>
      </c>
      <c r="H226" s="40" t="n">
        <v>0</v>
      </c>
      <c r="I226" s="40" t="n">
        <v>0</v>
      </c>
      <c r="J226" s="40" t="n">
        <v>0</v>
      </c>
      <c r="K226" s="40" t="n">
        <v>0</v>
      </c>
      <c r="L226" s="40" t="n">
        <v>955.6</v>
      </c>
      <c r="M226" s="40" t="n">
        <v>100</v>
      </c>
      <c r="N226" s="40" t="n">
        <v>13395</v>
      </c>
      <c r="O226" s="40" t="n">
        <v>1301.74</v>
      </c>
      <c r="P226" s="40" t="n">
        <v>14055.7</v>
      </c>
      <c r="Q226" s="40" t="n">
        <v>4.93</v>
      </c>
      <c r="R226" s="47" t="n"/>
      <c r="S226" s="47" t="n"/>
      <c r="T226" s="47" t="n"/>
      <c r="U226" s="47" t="n"/>
      <c r="V226" s="47" t="n"/>
      <c r="W226" s="47" t="n"/>
    </row>
    <row r="227" ht="12" customHeight="1">
      <c r="A227" s="30" t="inlineStr">
        <is>
          <t>Itaguai</t>
        </is>
      </c>
      <c r="B227" s="30" t="n">
        <v>12291051</v>
      </c>
      <c r="C227" s="30">
        <f>"11807198000640"</f>
        <v/>
      </c>
      <c r="D227" s="30" t="inlineStr">
        <is>
          <t>LFG DO BRASIL LTDA</t>
        </is>
      </c>
      <c r="E227" s="40" t="n">
        <v>0</v>
      </c>
      <c r="F227" s="40" t="n">
        <v>0</v>
      </c>
      <c r="G227" s="40" t="n">
        <v>0</v>
      </c>
      <c r="H227" s="40" t="n">
        <v>0</v>
      </c>
      <c r="I227" s="40" t="n">
        <v>0</v>
      </c>
      <c r="J227" s="40" t="n">
        <v>0</v>
      </c>
      <c r="K227" s="40" t="n">
        <v>0</v>
      </c>
      <c r="L227" s="40" t="n">
        <v>0</v>
      </c>
      <c r="M227" s="40" t="n">
        <v>0</v>
      </c>
      <c r="N227" s="40" t="n">
        <v>230.22</v>
      </c>
      <c r="O227" s="40" t="n">
        <v>100</v>
      </c>
      <c r="P227" s="40" t="n">
        <v>225.86</v>
      </c>
      <c r="Q227" s="46" t="n">
        <v>-1.89</v>
      </c>
      <c r="R227" s="47" t="n"/>
      <c r="S227" s="47" t="n"/>
      <c r="T227" s="47" t="n"/>
      <c r="U227" s="47" t="n"/>
      <c r="V227" s="47" t="n"/>
      <c r="W227" s="47" t="n"/>
    </row>
    <row r="228" ht="12" customHeight="1">
      <c r="A228" s="30" t="inlineStr">
        <is>
          <t>Itaguai</t>
        </is>
      </c>
      <c r="B228" s="30" t="n">
        <v>12295057</v>
      </c>
      <c r="C228" s="30">
        <f>"43854903000142"</f>
        <v/>
      </c>
      <c r="D228" s="30" t="inlineStr">
        <is>
          <t>KARPOWERSHIP BRASIL ENERGIA LTDA.</t>
        </is>
      </c>
      <c r="E228" s="40" t="n">
        <v>0</v>
      </c>
      <c r="F228" s="40" t="n">
        <v>0</v>
      </c>
      <c r="G228" s="40" t="n">
        <v>0</v>
      </c>
      <c r="H228" s="40" t="n">
        <v>0</v>
      </c>
      <c r="I228" s="40" t="n">
        <v>0</v>
      </c>
      <c r="J228" s="40" t="n">
        <v>0</v>
      </c>
      <c r="K228" s="40" t="n">
        <v>0</v>
      </c>
      <c r="L228" s="40" t="n">
        <v>0</v>
      </c>
      <c r="M228" s="40" t="n">
        <v>0</v>
      </c>
      <c r="N228" s="40" t="n">
        <v>270391764.07</v>
      </c>
      <c r="O228" s="40" t="n">
        <v>100</v>
      </c>
      <c r="P228" s="40" t="n">
        <v>2448011131.6</v>
      </c>
      <c r="Q228" s="40" t="n">
        <v>805.36</v>
      </c>
      <c r="R228" s="47" t="n"/>
      <c r="S228" s="47" t="n"/>
      <c r="T228" s="47" t="n"/>
      <c r="U228" s="47" t="n"/>
      <c r="V228" s="47" t="n"/>
      <c r="W228" s="47" t="n"/>
    </row>
    <row r="229" ht="12" customHeight="1">
      <c r="A229" s="30" t="inlineStr">
        <is>
          <t>Itaguai</t>
        </is>
      </c>
      <c r="B229" s="30" t="n">
        <v>12296533</v>
      </c>
      <c r="C229" s="30">
        <f>"27462720000559"</f>
        <v/>
      </c>
      <c r="D229" s="30" t="inlineStr">
        <is>
          <t>BRATEC MAQUINAS E SERVICOS LTDA</t>
        </is>
      </c>
      <c r="E229" s="40" t="n">
        <v>0</v>
      </c>
      <c r="F229" s="40" t="n">
        <v>0</v>
      </c>
      <c r="G229" s="40" t="n">
        <v>0</v>
      </c>
      <c r="H229" s="40" t="n">
        <v>0</v>
      </c>
      <c r="I229" s="40" t="n">
        <v>0</v>
      </c>
      <c r="J229" s="40" t="n">
        <v>0</v>
      </c>
      <c r="K229" s="40" t="n">
        <v>0</v>
      </c>
      <c r="L229" s="40" t="n">
        <v>0</v>
      </c>
      <c r="M229" s="40" t="n">
        <v>0</v>
      </c>
      <c r="N229" s="40" t="n">
        <v>0</v>
      </c>
      <c r="O229" s="40" t="n">
        <v>0</v>
      </c>
      <c r="P229" s="40" t="n">
        <v>0</v>
      </c>
      <c r="Q229" s="40" t="n">
        <v>0</v>
      </c>
      <c r="R229" s="47" t="n"/>
      <c r="S229" s="47" t="n"/>
      <c r="T229" s="47" t="n"/>
      <c r="U229" s="47" t="n"/>
      <c r="V229" s="47" t="n"/>
      <c r="W229" s="47" t="n"/>
    </row>
    <row r="230" ht="12" customHeight="1">
      <c r="A230" s="30" t="inlineStr">
        <is>
          <t>Itaguai</t>
        </is>
      </c>
      <c r="B230" s="30" t="n">
        <v>12298528</v>
      </c>
      <c r="C230" s="30">
        <f>"00078531000288"</f>
        <v/>
      </c>
      <c r="D230" s="30" t="inlineStr">
        <is>
          <t>MTECH LOCA??ES E SERVI?OS LTDA</t>
        </is>
      </c>
      <c r="E230" s="40" t="n">
        <v>0</v>
      </c>
      <c r="F230" s="40" t="n">
        <v>0</v>
      </c>
      <c r="G230" s="40" t="n">
        <v>0</v>
      </c>
      <c r="H230" s="40" t="n">
        <v>0</v>
      </c>
      <c r="I230" s="40" t="n">
        <v>0</v>
      </c>
      <c r="J230" s="40" t="n">
        <v>0</v>
      </c>
      <c r="K230" s="40" t="n">
        <v>0</v>
      </c>
      <c r="L230" s="40" t="n">
        <v>0</v>
      </c>
      <c r="M230" s="40" t="n">
        <v>0</v>
      </c>
      <c r="N230" s="40" t="n">
        <v>0</v>
      </c>
      <c r="O230" s="40" t="n">
        <v>0</v>
      </c>
      <c r="P230" s="40" t="n">
        <v>0</v>
      </c>
      <c r="Q230" s="40" t="n">
        <v>0</v>
      </c>
      <c r="R230" s="47" t="n"/>
      <c r="S230" s="47" t="n"/>
      <c r="T230" s="47" t="n"/>
      <c r="U230" s="47" t="n"/>
      <c r="V230" s="47" t="n"/>
      <c r="W230" s="47" t="n"/>
    </row>
    <row r="231" ht="12" customHeight="1">
      <c r="A231" s="30" t="inlineStr">
        <is>
          <t>Itaguai</t>
        </is>
      </c>
      <c r="B231" s="30" t="n">
        <v>12310730</v>
      </c>
      <c r="C231" s="30">
        <f>"44268105000100"</f>
        <v/>
      </c>
      <c r="D231" s="30" t="inlineStr">
        <is>
          <t>AGROPECUARIA SANTA LUZIA LTDA</t>
        </is>
      </c>
      <c r="E231" s="40" t="n">
        <v>0</v>
      </c>
      <c r="F231" s="40" t="n">
        <v>0</v>
      </c>
      <c r="G231" s="40" t="n">
        <v>0</v>
      </c>
      <c r="H231" s="40" t="n">
        <v>0</v>
      </c>
      <c r="I231" s="40" t="n">
        <v>0</v>
      </c>
      <c r="J231" s="40" t="n">
        <v>0</v>
      </c>
      <c r="K231" s="40" t="n">
        <v>0</v>
      </c>
      <c r="L231" s="40" t="n">
        <v>0</v>
      </c>
      <c r="M231" s="40" t="n">
        <v>0</v>
      </c>
      <c r="N231" s="40" t="n">
        <v>0</v>
      </c>
      <c r="O231" s="40" t="n">
        <v>0</v>
      </c>
      <c r="P231" s="40" t="n">
        <v>0</v>
      </c>
      <c r="Q231" s="40" t="n">
        <v>0</v>
      </c>
      <c r="R231" s="47" t="n"/>
      <c r="S231" s="47" t="n"/>
      <c r="T231" s="47" t="n"/>
      <c r="U231" s="47" t="n"/>
      <c r="V231" s="47" t="n"/>
      <c r="W231" s="47" t="n"/>
    </row>
    <row r="232" ht="12" customHeight="1">
      <c r="A232" s="30" t="inlineStr">
        <is>
          <t>Itaguai</t>
        </is>
      </c>
      <c r="B232" s="30" t="n">
        <v>12314248</v>
      </c>
      <c r="C232" s="30">
        <f>"09190350000647"</f>
        <v/>
      </c>
      <c r="D232" s="30" t="inlineStr">
        <is>
          <t>COLNORTE COLETA DE RESIDUOS LTDA</t>
        </is>
      </c>
      <c r="E232" s="40" t="n">
        <v>0</v>
      </c>
      <c r="F232" s="40" t="n">
        <v>0</v>
      </c>
      <c r="G232" s="40" t="n">
        <v>0</v>
      </c>
      <c r="H232" s="40" t="n">
        <v>0</v>
      </c>
      <c r="I232" s="40" t="n">
        <v>0</v>
      </c>
      <c r="J232" s="40" t="n">
        <v>0</v>
      </c>
      <c r="K232" s="40" t="n">
        <v>0</v>
      </c>
      <c r="L232" s="40" t="n">
        <v>0</v>
      </c>
      <c r="M232" s="40" t="n">
        <v>0</v>
      </c>
      <c r="N232" s="40" t="n">
        <v>0</v>
      </c>
      <c r="O232" s="40" t="n">
        <v>0</v>
      </c>
      <c r="P232" s="40" t="n">
        <v>0</v>
      </c>
      <c r="Q232" s="40" t="n">
        <v>0</v>
      </c>
      <c r="R232" s="47" t="n"/>
      <c r="S232" s="47" t="n"/>
      <c r="T232" s="47" t="n"/>
      <c r="U232" s="47" t="n"/>
      <c r="V232" s="47" t="n"/>
      <c r="W232" s="47" t="n"/>
    </row>
    <row r="233" ht="12" customHeight="1">
      <c r="A233" s="30" t="inlineStr">
        <is>
          <t>Itaguai</t>
        </is>
      </c>
      <c r="B233" s="30" t="n">
        <v>12315813</v>
      </c>
      <c r="C233" s="30">
        <f>"44539540000113"</f>
        <v/>
      </c>
      <c r="D233" s="30" t="inlineStr">
        <is>
          <t>PARADA COSTA VERDE RESTAURANTE E LANCHONETE LTDA</t>
        </is>
      </c>
      <c r="E233" s="40" t="n">
        <v>0</v>
      </c>
      <c r="F233" s="40" t="n">
        <v>0</v>
      </c>
      <c r="G233" s="40" t="n">
        <v>0</v>
      </c>
      <c r="H233" s="40" t="n">
        <v>0</v>
      </c>
      <c r="I233" s="40" t="n">
        <v>0</v>
      </c>
      <c r="J233" s="40" t="n">
        <v>0</v>
      </c>
      <c r="K233" s="40" t="n">
        <v>0</v>
      </c>
      <c r="L233" s="40" t="n">
        <v>0</v>
      </c>
      <c r="M233" s="40" t="n">
        <v>0</v>
      </c>
      <c r="N233" s="40" t="n">
        <v>218131.55</v>
      </c>
      <c r="O233" s="40" t="n">
        <v>100</v>
      </c>
      <c r="P233" s="40" t="n">
        <v>1905148.12</v>
      </c>
      <c r="Q233" s="40" t="n">
        <v>773.39</v>
      </c>
      <c r="R233" s="47" t="n"/>
      <c r="S233" s="47" t="n"/>
      <c r="T233" s="47" t="n"/>
      <c r="U233" s="47" t="n"/>
      <c r="V233" s="47" t="n"/>
      <c r="W233" s="47" t="n"/>
    </row>
    <row r="234" ht="12" customHeight="1">
      <c r="A234" s="30" t="inlineStr">
        <is>
          <t>Itaguai</t>
        </is>
      </c>
      <c r="B234" s="30" t="n">
        <v>12320132</v>
      </c>
      <c r="C234" s="30">
        <f>"42584754000348"</f>
        <v/>
      </c>
      <c r="D234" s="30" t="inlineStr">
        <is>
          <t>J&amp;T EXPRESS BRAZIL LTDA.</t>
        </is>
      </c>
      <c r="E234" s="40" t="n">
        <v>0</v>
      </c>
      <c r="F234" s="40" t="n">
        <v>0</v>
      </c>
      <c r="G234" s="40" t="n">
        <v>0</v>
      </c>
      <c r="H234" s="40" t="n">
        <v>0</v>
      </c>
      <c r="I234" s="40" t="n">
        <v>0</v>
      </c>
      <c r="J234" s="40" t="n">
        <v>0</v>
      </c>
      <c r="K234" s="40" t="n">
        <v>0</v>
      </c>
      <c r="L234" s="40" t="n">
        <v>0</v>
      </c>
      <c r="M234" s="40" t="n">
        <v>0</v>
      </c>
      <c r="N234" s="40" t="n">
        <v>0</v>
      </c>
      <c r="O234" s="40" t="n">
        <v>0</v>
      </c>
      <c r="P234" s="40" t="n">
        <v>203.71</v>
      </c>
      <c r="Q234" s="40" t="n">
        <v>100</v>
      </c>
      <c r="R234" s="47" t="n"/>
      <c r="S234" s="47" t="n"/>
      <c r="T234" s="47" t="n"/>
      <c r="U234" s="47" t="n"/>
      <c r="V234" s="47" t="n"/>
      <c r="W234" s="47" t="n"/>
    </row>
    <row r="235" ht="12" customHeight="1">
      <c r="A235" s="30" t="inlineStr">
        <is>
          <t>Itaguai</t>
        </is>
      </c>
      <c r="B235" s="30" t="n">
        <v>12320442</v>
      </c>
      <c r="C235" s="30">
        <f>"04284184000624"</f>
        <v/>
      </c>
      <c r="D235" s="30" t="inlineStr">
        <is>
          <t>LEMAR LOGISTICA E TRANSPORTES LTDA</t>
        </is>
      </c>
      <c r="E235" s="40" t="n">
        <v>0</v>
      </c>
      <c r="F235" s="40" t="n">
        <v>0</v>
      </c>
      <c r="G235" s="40" t="n">
        <v>0</v>
      </c>
      <c r="H235" s="40" t="n">
        <v>0</v>
      </c>
      <c r="I235" s="40" t="n">
        <v>0</v>
      </c>
      <c r="J235" s="40" t="n">
        <v>0</v>
      </c>
      <c r="K235" s="40" t="n">
        <v>0</v>
      </c>
      <c r="L235" s="40" t="n">
        <v>0</v>
      </c>
      <c r="M235" s="40" t="n">
        <v>0</v>
      </c>
      <c r="N235" s="40" t="n">
        <v>0</v>
      </c>
      <c r="O235" s="40" t="n">
        <v>0</v>
      </c>
      <c r="P235" s="40" t="n">
        <v>0</v>
      </c>
      <c r="Q235" s="40" t="n">
        <v>0</v>
      </c>
      <c r="R235" s="47" t="n"/>
      <c r="S235" s="47" t="n"/>
      <c r="T235" s="47" t="n"/>
      <c r="U235" s="47" t="n"/>
      <c r="V235" s="47" t="n"/>
      <c r="W235" s="47" t="n"/>
    </row>
    <row r="236" ht="12" customHeight="1">
      <c r="A236" s="30" t="inlineStr">
        <is>
          <t>Itaguai</t>
        </is>
      </c>
      <c r="B236" s="30" t="n">
        <v>12324898</v>
      </c>
      <c r="C236" s="30">
        <f>"32814250000232"</f>
        <v/>
      </c>
      <c r="D236" s="30" t="inlineStr">
        <is>
          <t>ENECON SELECT COMERCIO DE RESINAS DE ALTA PERFORMANCE E SERVICOS</t>
        </is>
      </c>
      <c r="E236" s="40" t="n">
        <v>0</v>
      </c>
      <c r="F236" s="40" t="n">
        <v>0</v>
      </c>
      <c r="G236" s="40" t="n">
        <v>0</v>
      </c>
      <c r="H236" s="40" t="n">
        <v>0</v>
      </c>
      <c r="I236" s="40" t="n">
        <v>0</v>
      </c>
      <c r="J236" s="40" t="n">
        <v>0</v>
      </c>
      <c r="K236" s="40" t="n">
        <v>0</v>
      </c>
      <c r="L236" s="40" t="n">
        <v>0</v>
      </c>
      <c r="M236" s="40" t="n">
        <v>0</v>
      </c>
      <c r="N236" s="40" t="n">
        <v>0</v>
      </c>
      <c r="O236" s="40" t="n">
        <v>0</v>
      </c>
      <c r="P236" s="40" t="n">
        <v>0</v>
      </c>
      <c r="Q236" s="40" t="n">
        <v>0</v>
      </c>
      <c r="R236" s="47" t="n"/>
      <c r="S236" s="47" t="n"/>
      <c r="T236" s="47" t="n"/>
      <c r="U236" s="47" t="n"/>
      <c r="V236" s="47" t="n"/>
      <c r="W236" s="47" t="n"/>
    </row>
    <row r="237" ht="12" customHeight="1">
      <c r="A237" s="30" t="inlineStr">
        <is>
          <t>Itaguai</t>
        </is>
      </c>
      <c r="B237" s="30" t="n">
        <v>12329970</v>
      </c>
      <c r="C237" s="30">
        <f>"44672154000103"</f>
        <v/>
      </c>
      <c r="D237" s="30" t="inlineStr">
        <is>
          <t>MABA 3 MANIPULA??O FARMAC?UTICA LIMITADA</t>
        </is>
      </c>
      <c r="E237" s="40" t="n">
        <v>0</v>
      </c>
      <c r="F237" s="40" t="n">
        <v>0</v>
      </c>
      <c r="G237" s="40" t="n">
        <v>0</v>
      </c>
      <c r="H237" s="40" t="n">
        <v>0</v>
      </c>
      <c r="I237" s="40" t="n">
        <v>0</v>
      </c>
      <c r="J237" s="40" t="n">
        <v>0</v>
      </c>
      <c r="K237" s="40" t="n">
        <v>0</v>
      </c>
      <c r="L237" s="40" t="n">
        <v>0</v>
      </c>
      <c r="M237" s="40" t="n">
        <v>0</v>
      </c>
      <c r="N237" s="40" t="n">
        <v>0</v>
      </c>
      <c r="O237" s="40" t="n">
        <v>0</v>
      </c>
      <c r="P237" s="40" t="n">
        <v>0</v>
      </c>
      <c r="Q237" s="40" t="n">
        <v>0</v>
      </c>
      <c r="R237" s="47" t="n"/>
      <c r="S237" s="47" t="n"/>
      <c r="T237" s="47" t="n"/>
      <c r="U237" s="47" t="n"/>
      <c r="V237" s="47" t="n"/>
      <c r="W237" s="47" t="n"/>
    </row>
    <row r="238" ht="12" customHeight="1">
      <c r="A238" s="30" t="inlineStr">
        <is>
          <t>Itaguai</t>
        </is>
      </c>
      <c r="B238" s="30" t="n">
        <v>12335784</v>
      </c>
      <c r="C238" s="30">
        <f>"40154884000153"</f>
        <v/>
      </c>
      <c r="D238" s="30" t="inlineStr">
        <is>
          <t>STARLINK BRAZIL SERVICOS DE INTERNET LTDA.</t>
        </is>
      </c>
      <c r="E238" s="40" t="n">
        <v>0</v>
      </c>
      <c r="F238" s="40" t="n">
        <v>0</v>
      </c>
      <c r="G238" s="40" t="n">
        <v>0</v>
      </c>
      <c r="H238" s="40" t="n">
        <v>0</v>
      </c>
      <c r="I238" s="40" t="n">
        <v>0</v>
      </c>
      <c r="J238" s="40" t="n">
        <v>0</v>
      </c>
      <c r="K238" s="40" t="n">
        <v>0</v>
      </c>
      <c r="L238" s="40" t="n">
        <v>0</v>
      </c>
      <c r="M238" s="40" t="n">
        <v>0</v>
      </c>
      <c r="N238" s="40" t="n">
        <v>0</v>
      </c>
      <c r="O238" s="40" t="n">
        <v>0</v>
      </c>
      <c r="P238" s="40" t="n">
        <v>35319.39</v>
      </c>
      <c r="Q238" s="40" t="n">
        <v>100</v>
      </c>
      <c r="R238" s="47" t="n"/>
      <c r="S238" s="47" t="n"/>
      <c r="T238" s="47" t="n"/>
      <c r="U238" s="47" t="n"/>
      <c r="V238" s="47" t="n"/>
      <c r="W238" s="47" t="n"/>
    </row>
    <row r="239" ht="12" customHeight="1">
      <c r="A239" s="30" t="inlineStr">
        <is>
          <t>Itaguai</t>
        </is>
      </c>
      <c r="B239" s="30" t="n">
        <v>12342012</v>
      </c>
      <c r="C239" s="30">
        <f>"44816749000187"</f>
        <v/>
      </c>
      <c r="D239" s="30" t="inlineStr">
        <is>
          <t>NOVA OESTE DIESEL LTDA</t>
        </is>
      </c>
      <c r="E239" s="40" t="n">
        <v>0</v>
      </c>
      <c r="F239" s="40" t="n">
        <v>0</v>
      </c>
      <c r="G239" s="40" t="n">
        <v>0</v>
      </c>
      <c r="H239" s="40" t="n">
        <v>0</v>
      </c>
      <c r="I239" s="40" t="n">
        <v>0</v>
      </c>
      <c r="J239" s="40" t="n">
        <v>0</v>
      </c>
      <c r="K239" s="40" t="n">
        <v>0</v>
      </c>
      <c r="L239" s="40" t="n">
        <v>0</v>
      </c>
      <c r="M239" s="40" t="n">
        <v>0</v>
      </c>
      <c r="N239" s="40" t="n">
        <v>0</v>
      </c>
      <c r="O239" s="40" t="n">
        <v>0</v>
      </c>
      <c r="P239" s="40" t="n">
        <v>1198217.4</v>
      </c>
      <c r="Q239" s="40" t="n">
        <v>100</v>
      </c>
      <c r="R239" s="47" t="n"/>
      <c r="S239" s="47" t="n"/>
      <c r="T239" s="47" t="n"/>
      <c r="U239" s="47" t="n"/>
      <c r="V239" s="47" t="n"/>
      <c r="W239" s="47" t="n"/>
    </row>
    <row r="240" ht="12" customHeight="1">
      <c r="A240" s="30" t="inlineStr">
        <is>
          <t>Itaguai</t>
        </is>
      </c>
      <c r="B240" s="30" t="n">
        <v>12343140</v>
      </c>
      <c r="C240" s="30">
        <f>"24230747065140"</f>
        <v/>
      </c>
      <c r="D240" s="30" t="inlineStr">
        <is>
          <t>MAGALU LOG SERVICOS LOGISTICOS LTDA</t>
        </is>
      </c>
      <c r="E240" s="40" t="n">
        <v>0</v>
      </c>
      <c r="F240" s="40" t="n">
        <v>0</v>
      </c>
      <c r="G240" s="40" t="n">
        <v>0</v>
      </c>
      <c r="H240" s="40" t="n">
        <v>0</v>
      </c>
      <c r="I240" s="40" t="n">
        <v>0</v>
      </c>
      <c r="J240" s="40" t="n">
        <v>0</v>
      </c>
      <c r="K240" s="40" t="n">
        <v>0</v>
      </c>
      <c r="L240" s="40" t="n">
        <v>0</v>
      </c>
      <c r="M240" s="40" t="n">
        <v>0</v>
      </c>
      <c r="N240" s="40" t="n">
        <v>0</v>
      </c>
      <c r="O240" s="40" t="n">
        <v>0</v>
      </c>
      <c r="P240" s="40" t="n">
        <v>0</v>
      </c>
      <c r="Q240" s="40" t="n">
        <v>0</v>
      </c>
      <c r="R240" s="47" t="n"/>
      <c r="S240" s="47" t="n"/>
      <c r="T240" s="47" t="n"/>
      <c r="U240" s="47" t="n"/>
      <c r="V240" s="47" t="n"/>
      <c r="W240" s="47" t="n"/>
    </row>
    <row r="241" ht="12" customHeight="1">
      <c r="A241" s="30" t="inlineStr">
        <is>
          <t>Itaguai</t>
        </is>
      </c>
      <c r="B241" s="30" t="n">
        <v>12346484</v>
      </c>
      <c r="C241" s="30">
        <f>"44915444000122"</f>
        <v/>
      </c>
      <c r="D241" s="30" t="inlineStr">
        <is>
          <t>L.R.A IND?STRIA E COM?RCIO DE FERRO E A?O LTDA</t>
        </is>
      </c>
      <c r="E241" s="40" t="n">
        <v>0</v>
      </c>
      <c r="F241" s="40" t="n">
        <v>0</v>
      </c>
      <c r="G241" s="40" t="n">
        <v>0</v>
      </c>
      <c r="H241" s="40" t="n">
        <v>0</v>
      </c>
      <c r="I241" s="40" t="n">
        <v>0</v>
      </c>
      <c r="J241" s="40" t="n">
        <v>0</v>
      </c>
      <c r="K241" s="40" t="n">
        <v>0</v>
      </c>
      <c r="L241" s="40" t="n">
        <v>0</v>
      </c>
      <c r="M241" s="40" t="n">
        <v>0</v>
      </c>
      <c r="N241" s="40" t="n">
        <v>305654.37</v>
      </c>
      <c r="O241" s="40" t="n">
        <v>100</v>
      </c>
      <c r="P241" s="40" t="n">
        <v>1450323.96</v>
      </c>
      <c r="Q241" s="40" t="n">
        <v>374.5</v>
      </c>
      <c r="R241" s="47" t="n"/>
      <c r="S241" s="47" t="n"/>
      <c r="T241" s="47" t="n"/>
      <c r="U241" s="47" t="n"/>
      <c r="V241" s="47" t="n"/>
      <c r="W241" s="47" t="n"/>
    </row>
    <row r="242" ht="12" customHeight="1">
      <c r="A242" s="30" t="inlineStr">
        <is>
          <t>Itaguai</t>
        </is>
      </c>
      <c r="B242" s="30" t="n">
        <v>12350627</v>
      </c>
      <c r="C242" s="30">
        <f>"40217234000533"</f>
        <v/>
      </c>
      <c r="D242" s="30" t="inlineStr">
        <is>
          <t>SIBELLY TRANSPORTES LTDA</t>
        </is>
      </c>
      <c r="E242" s="40" t="n">
        <v>0</v>
      </c>
      <c r="F242" s="40" t="n">
        <v>0</v>
      </c>
      <c r="G242" s="40" t="n">
        <v>0</v>
      </c>
      <c r="H242" s="40" t="n">
        <v>0</v>
      </c>
      <c r="I242" s="40" t="n">
        <v>0</v>
      </c>
      <c r="J242" s="40" t="n">
        <v>0</v>
      </c>
      <c r="K242" s="40" t="n">
        <v>0</v>
      </c>
      <c r="L242" s="40" t="n">
        <v>0</v>
      </c>
      <c r="M242" s="40" t="n">
        <v>0</v>
      </c>
      <c r="N242" s="40" t="n">
        <v>0</v>
      </c>
      <c r="O242" s="40" t="n">
        <v>0</v>
      </c>
      <c r="P242" s="40" t="n">
        <v>0</v>
      </c>
      <c r="Q242" s="40" t="n">
        <v>0</v>
      </c>
      <c r="R242" s="47" t="n"/>
      <c r="S242" s="47" t="n"/>
      <c r="T242" s="47" t="n"/>
      <c r="U242" s="47" t="n"/>
      <c r="V242" s="47" t="n"/>
      <c r="W242" s="47" t="n"/>
    </row>
    <row r="243" ht="12" customHeight="1">
      <c r="A243" s="30" t="inlineStr">
        <is>
          <t>Itaguai</t>
        </is>
      </c>
      <c r="B243" s="30" t="n">
        <v>12358377</v>
      </c>
      <c r="C243" s="30">
        <f>"22320881001990"</f>
        <v/>
      </c>
      <c r="D243" s="30" t="inlineStr">
        <is>
          <t>TRADIMAQ LTDA</t>
        </is>
      </c>
      <c r="E243" s="40" t="n">
        <v>0</v>
      </c>
      <c r="F243" s="40" t="n">
        <v>0</v>
      </c>
      <c r="G243" s="40" t="n">
        <v>0</v>
      </c>
      <c r="H243" s="40" t="n">
        <v>0</v>
      </c>
      <c r="I243" s="40" t="n">
        <v>0</v>
      </c>
      <c r="J243" s="40" t="n">
        <v>0</v>
      </c>
      <c r="K243" s="40" t="n">
        <v>0</v>
      </c>
      <c r="L243" s="40" t="n">
        <v>0</v>
      </c>
      <c r="M243" s="40" t="n">
        <v>0</v>
      </c>
      <c r="N243" s="40" t="n">
        <v>37603.59</v>
      </c>
      <c r="O243" s="40" t="n">
        <v>100</v>
      </c>
      <c r="P243" s="40" t="n">
        <v>0</v>
      </c>
      <c r="Q243" s="46" t="n">
        <v>-100</v>
      </c>
      <c r="R243" s="47" t="n"/>
      <c r="S243" s="47" t="n"/>
      <c r="T243" s="47" t="n"/>
      <c r="U243" s="47" t="n"/>
      <c r="V243" s="47" t="n"/>
      <c r="W243" s="47" t="n"/>
    </row>
    <row r="244" ht="12" customHeight="1">
      <c r="A244" s="30" t="inlineStr">
        <is>
          <t>Itaguai</t>
        </is>
      </c>
      <c r="B244" s="30" t="n">
        <v>12362498</v>
      </c>
      <c r="C244" s="30">
        <f>"15032773000470"</f>
        <v/>
      </c>
      <c r="D244" s="30" t="inlineStr">
        <is>
          <t>YESCO ADMINISTRADORA DE BENS S/A.</t>
        </is>
      </c>
      <c r="E244" s="40" t="n">
        <v>0</v>
      </c>
      <c r="F244" s="40" t="n">
        <v>0</v>
      </c>
      <c r="G244" s="40" t="n">
        <v>0</v>
      </c>
      <c r="H244" s="40" t="n">
        <v>0</v>
      </c>
      <c r="I244" s="40" t="n">
        <v>0</v>
      </c>
      <c r="J244" s="40" t="n">
        <v>0</v>
      </c>
      <c r="K244" s="40" t="n">
        <v>0</v>
      </c>
      <c r="L244" s="40" t="n">
        <v>0</v>
      </c>
      <c r="M244" s="40" t="n">
        <v>0</v>
      </c>
      <c r="N244" s="40" t="n">
        <v>0</v>
      </c>
      <c r="O244" s="40" t="n">
        <v>0</v>
      </c>
      <c r="P244" s="40" t="n">
        <v>31959.35</v>
      </c>
      <c r="Q244" s="40" t="n">
        <v>100</v>
      </c>
      <c r="R244" s="47" t="n"/>
      <c r="S244" s="47" t="n"/>
      <c r="T244" s="47" t="n"/>
      <c r="U244" s="47" t="n"/>
      <c r="V244" s="47" t="n"/>
      <c r="W244" s="47" t="n"/>
    </row>
    <row r="245" ht="12" customHeight="1">
      <c r="A245" s="30" t="inlineStr">
        <is>
          <t>Itaguai</t>
        </is>
      </c>
      <c r="B245" s="30" t="n">
        <v>12367384</v>
      </c>
      <c r="C245" s="30">
        <f>"45146184000130"</f>
        <v/>
      </c>
      <c r="D245" s="30" t="inlineStr">
        <is>
          <t>SUPERMERCADO HESED LTDA</t>
        </is>
      </c>
      <c r="E245" s="40" t="n">
        <v>0</v>
      </c>
      <c r="F245" s="40" t="n">
        <v>0</v>
      </c>
      <c r="G245" s="40" t="n">
        <v>0</v>
      </c>
      <c r="H245" s="40" t="n">
        <v>0</v>
      </c>
      <c r="I245" s="40" t="n">
        <v>0</v>
      </c>
      <c r="J245" s="40" t="n">
        <v>0</v>
      </c>
      <c r="K245" s="40" t="n">
        <v>0</v>
      </c>
      <c r="L245" s="40" t="n">
        <v>0</v>
      </c>
      <c r="M245" s="40" t="n">
        <v>0</v>
      </c>
      <c r="N245" s="40" t="n">
        <v>561271.4399999999</v>
      </c>
      <c r="O245" s="40" t="n">
        <v>100</v>
      </c>
      <c r="P245" s="40" t="n">
        <v>0</v>
      </c>
      <c r="Q245" s="46" t="n">
        <v>-100</v>
      </c>
      <c r="R245" s="47" t="n"/>
      <c r="S245" s="47" t="n"/>
      <c r="T245" s="47" t="n"/>
      <c r="U245" s="47" t="n"/>
      <c r="V245" s="47" t="n"/>
      <c r="W245" s="47" t="n"/>
    </row>
    <row r="246" ht="12" customHeight="1">
      <c r="A246" s="30" t="inlineStr">
        <is>
          <t>Itaguai</t>
        </is>
      </c>
      <c r="B246" s="30" t="n">
        <v>12367660</v>
      </c>
      <c r="C246" s="30">
        <f>"00012339368758"</f>
        <v/>
      </c>
      <c r="D246" s="30" t="inlineStr">
        <is>
          <t>WILLIAM SHIOSE ALVES MOREIRA</t>
        </is>
      </c>
      <c r="E246" s="40" t="n">
        <v>0</v>
      </c>
      <c r="F246" s="40" t="n">
        <v>0</v>
      </c>
      <c r="G246" s="40" t="n">
        <v>0</v>
      </c>
      <c r="H246" s="40" t="n">
        <v>0</v>
      </c>
      <c r="I246" s="40" t="n">
        <v>0</v>
      </c>
      <c r="J246" s="40" t="n">
        <v>0</v>
      </c>
      <c r="K246" s="40" t="n">
        <v>0</v>
      </c>
      <c r="L246" s="40" t="n">
        <v>0</v>
      </c>
      <c r="M246" s="40" t="n">
        <v>0</v>
      </c>
      <c r="N246" s="40" t="n">
        <v>0</v>
      </c>
      <c r="O246" s="40" t="n">
        <v>0</v>
      </c>
      <c r="P246" s="40" t="n">
        <v>0</v>
      </c>
      <c r="Q246" s="40" t="n">
        <v>0</v>
      </c>
      <c r="R246" s="47" t="n"/>
      <c r="S246" s="47" t="n"/>
      <c r="T246" s="47" t="n"/>
      <c r="U246" s="47" t="n"/>
      <c r="V246" s="47" t="n"/>
      <c r="W246" s="47" t="n"/>
    </row>
    <row r="247" ht="12" customHeight="1">
      <c r="A247" s="30" t="inlineStr">
        <is>
          <t>Itaguai</t>
        </is>
      </c>
      <c r="B247" s="30" t="n">
        <v>12377290</v>
      </c>
      <c r="C247" s="30">
        <f>"14011425006222"</f>
        <v/>
      </c>
      <c r="D247" s="30" t="inlineStr">
        <is>
          <t>SISTEMA ELITE DE ENSINO S A</t>
        </is>
      </c>
      <c r="E247" s="40" t="n">
        <v>0</v>
      </c>
      <c r="F247" s="40" t="n">
        <v>0</v>
      </c>
      <c r="G247" s="40" t="n">
        <v>0</v>
      </c>
      <c r="H247" s="40" t="n">
        <v>0</v>
      </c>
      <c r="I247" s="40" t="n">
        <v>0</v>
      </c>
      <c r="J247" s="40" t="n">
        <v>0</v>
      </c>
      <c r="K247" s="40" t="n">
        <v>0</v>
      </c>
      <c r="L247" s="40" t="n">
        <v>0</v>
      </c>
      <c r="M247" s="40" t="n">
        <v>0</v>
      </c>
      <c r="N247" s="40" t="n">
        <v>0</v>
      </c>
      <c r="O247" s="40" t="n">
        <v>0</v>
      </c>
      <c r="P247" s="40" t="n">
        <v>0</v>
      </c>
      <c r="Q247" s="40" t="n">
        <v>0</v>
      </c>
      <c r="R247" s="47" t="n"/>
      <c r="S247" s="47" t="n"/>
      <c r="T247" s="47" t="n"/>
      <c r="U247" s="47" t="n"/>
      <c r="V247" s="47" t="n"/>
      <c r="W247" s="47" t="n"/>
    </row>
    <row r="248" ht="12" customHeight="1">
      <c r="A248" s="30" t="inlineStr">
        <is>
          <t>Itaguai</t>
        </is>
      </c>
      <c r="B248" s="30" t="n">
        <v>12393628</v>
      </c>
      <c r="C248" s="30">
        <f>"45452781000193"</f>
        <v/>
      </c>
      <c r="D248" s="30" t="inlineStr">
        <is>
          <t>BW ESTOFADOS E CAPOTARIA LTDA</t>
        </is>
      </c>
      <c r="E248" s="40" t="n">
        <v>0</v>
      </c>
      <c r="F248" s="40" t="n">
        <v>0</v>
      </c>
      <c r="G248" s="40" t="n">
        <v>0</v>
      </c>
      <c r="H248" s="40" t="n">
        <v>0</v>
      </c>
      <c r="I248" s="40" t="n">
        <v>0</v>
      </c>
      <c r="J248" s="40" t="n">
        <v>0</v>
      </c>
      <c r="K248" s="40" t="n">
        <v>0</v>
      </c>
      <c r="L248" s="40" t="n">
        <v>0</v>
      </c>
      <c r="M248" s="40" t="n">
        <v>0</v>
      </c>
      <c r="N248" s="40" t="n">
        <v>116164.25</v>
      </c>
      <c r="O248" s="40" t="n">
        <v>100</v>
      </c>
      <c r="P248" s="40" t="n">
        <v>0</v>
      </c>
      <c r="Q248" s="46" t="n">
        <v>-100</v>
      </c>
      <c r="R248" s="47" t="n"/>
      <c r="S248" s="47" t="n"/>
      <c r="T248" s="47" t="n"/>
      <c r="U248" s="47" t="n"/>
      <c r="V248" s="47" t="n"/>
      <c r="W248" s="47" t="n"/>
    </row>
    <row r="249" ht="12" customHeight="1">
      <c r="A249" s="30" t="inlineStr">
        <is>
          <t>Itaguai</t>
        </is>
      </c>
      <c r="B249" s="30" t="n">
        <v>12404255</v>
      </c>
      <c r="C249" s="30">
        <f>"45605428000104"</f>
        <v/>
      </c>
      <c r="D249" s="30" t="inlineStr">
        <is>
          <t>IGUAT? - DISTRIBUIDORA DE AREIA E PRODUTOS MINERAIS LTDA</t>
        </is>
      </c>
      <c r="E249" s="40" t="n">
        <v>0</v>
      </c>
      <c r="F249" s="40" t="n">
        <v>0</v>
      </c>
      <c r="G249" s="40" t="n">
        <v>0</v>
      </c>
      <c r="H249" s="40" t="n">
        <v>0</v>
      </c>
      <c r="I249" s="40" t="n">
        <v>0</v>
      </c>
      <c r="J249" s="40" t="n">
        <v>0</v>
      </c>
      <c r="K249" s="40" t="n">
        <v>0</v>
      </c>
      <c r="L249" s="40" t="n">
        <v>0</v>
      </c>
      <c r="M249" s="40" t="n">
        <v>0</v>
      </c>
      <c r="N249" s="40" t="n">
        <v>0</v>
      </c>
      <c r="O249" s="40" t="n">
        <v>0</v>
      </c>
      <c r="P249" s="40" t="n">
        <v>1151855.35</v>
      </c>
      <c r="Q249" s="40" t="n">
        <v>100</v>
      </c>
      <c r="R249" s="47" t="n"/>
      <c r="S249" s="47" t="n"/>
      <c r="T249" s="47" t="n"/>
      <c r="U249" s="47" t="n"/>
      <c r="V249" s="47" t="n"/>
      <c r="W249" s="47" t="n"/>
    </row>
    <row r="250" ht="12" customHeight="1">
      <c r="A250" s="30" t="inlineStr">
        <is>
          <t>Itaguai</t>
        </is>
      </c>
      <c r="B250" s="30" t="n">
        <v>12405260</v>
      </c>
      <c r="C250" s="30">
        <f>"45644331000100"</f>
        <v/>
      </c>
      <c r="D250" s="30" t="inlineStr">
        <is>
          <t>SHARP TRANSPORTE E SERVICO LTDA</t>
        </is>
      </c>
      <c r="E250" s="40" t="n">
        <v>0</v>
      </c>
      <c r="F250" s="40" t="n">
        <v>0</v>
      </c>
      <c r="G250" s="40" t="n">
        <v>0</v>
      </c>
      <c r="H250" s="40" t="n">
        <v>0</v>
      </c>
      <c r="I250" s="40" t="n">
        <v>0</v>
      </c>
      <c r="J250" s="40" t="n">
        <v>0</v>
      </c>
      <c r="K250" s="40" t="n">
        <v>0</v>
      </c>
      <c r="L250" s="40" t="n">
        <v>0</v>
      </c>
      <c r="M250" s="40" t="n">
        <v>0</v>
      </c>
      <c r="N250" s="40" t="n">
        <v>0</v>
      </c>
      <c r="O250" s="40" t="n">
        <v>0</v>
      </c>
      <c r="P250" s="40" t="n">
        <v>0</v>
      </c>
      <c r="Q250" s="40" t="n">
        <v>0</v>
      </c>
      <c r="R250" s="47" t="n"/>
      <c r="S250" s="47" t="n"/>
      <c r="T250" s="47" t="n"/>
      <c r="U250" s="47" t="n"/>
      <c r="V250" s="47" t="n"/>
      <c r="W250" s="47" t="n"/>
    </row>
    <row r="251" ht="12" customHeight="1">
      <c r="A251" s="30" t="inlineStr">
        <is>
          <t>Itaguai</t>
        </is>
      </c>
      <c r="B251" s="30" t="n">
        <v>12407505</v>
      </c>
      <c r="C251" s="30">
        <f>"00072100346768"</f>
        <v/>
      </c>
      <c r="D251" s="30" t="inlineStr">
        <is>
          <t>PAULO ROBERTO MONTEIRO DA SILVA</t>
        </is>
      </c>
      <c r="E251" s="40" t="n">
        <v>0</v>
      </c>
      <c r="F251" s="40" t="n">
        <v>0</v>
      </c>
      <c r="G251" s="40" t="n">
        <v>0</v>
      </c>
      <c r="H251" s="40" t="n">
        <v>0</v>
      </c>
      <c r="I251" s="40" t="n">
        <v>0</v>
      </c>
      <c r="J251" s="40" t="n">
        <v>0</v>
      </c>
      <c r="K251" s="40" t="n">
        <v>0</v>
      </c>
      <c r="L251" s="40" t="n">
        <v>0</v>
      </c>
      <c r="M251" s="40" t="n">
        <v>0</v>
      </c>
      <c r="N251" s="40" t="n">
        <v>35655.2</v>
      </c>
      <c r="O251" s="40" t="n">
        <v>100</v>
      </c>
      <c r="P251" s="40" t="n">
        <v>142285.6</v>
      </c>
      <c r="Q251" s="40" t="n">
        <v>299.06</v>
      </c>
      <c r="R251" s="47" t="n"/>
      <c r="S251" s="47" t="n"/>
      <c r="T251" s="47" t="n"/>
      <c r="U251" s="47" t="n"/>
      <c r="V251" s="47" t="n"/>
      <c r="W251" s="47" t="n"/>
    </row>
    <row r="252" ht="12" customHeight="1">
      <c r="A252" s="30" t="inlineStr">
        <is>
          <t>Itaguai</t>
        </is>
      </c>
      <c r="B252" s="30" t="n">
        <v>12417900</v>
      </c>
      <c r="C252" s="30">
        <f>"42446277000354"</f>
        <v/>
      </c>
      <c r="D252" s="30" t="inlineStr">
        <is>
          <t>SHPX LOGISTICA LTDA.</t>
        </is>
      </c>
      <c r="E252" s="40" t="n">
        <v>0</v>
      </c>
      <c r="F252" s="40" t="n">
        <v>0</v>
      </c>
      <c r="G252" s="40" t="n">
        <v>0</v>
      </c>
      <c r="H252" s="40" t="n">
        <v>0</v>
      </c>
      <c r="I252" s="40" t="n">
        <v>0</v>
      </c>
      <c r="J252" s="40" t="n">
        <v>0</v>
      </c>
      <c r="K252" s="40" t="n">
        <v>0</v>
      </c>
      <c r="L252" s="40" t="n">
        <v>0</v>
      </c>
      <c r="M252" s="40" t="n">
        <v>0</v>
      </c>
      <c r="N252" s="40" t="n">
        <v>2081.81</v>
      </c>
      <c r="O252" s="40" t="n">
        <v>100</v>
      </c>
      <c r="P252" s="40" t="n">
        <v>16846.47</v>
      </c>
      <c r="Q252" s="40" t="n">
        <v>709.22</v>
      </c>
      <c r="R252" s="47" t="n"/>
      <c r="S252" s="47" t="n"/>
      <c r="T252" s="47" t="n"/>
      <c r="U252" s="47" t="n"/>
      <c r="V252" s="47" t="n"/>
      <c r="W252" s="47" t="n"/>
    </row>
    <row r="253" ht="12" customHeight="1">
      <c r="A253" s="30" t="inlineStr">
        <is>
          <t>Itaguai</t>
        </is>
      </c>
      <c r="B253" s="30" t="n">
        <v>12419023</v>
      </c>
      <c r="C253" s="30">
        <f>"43715380000153"</f>
        <v/>
      </c>
      <c r="D253" s="30" t="inlineStr">
        <is>
          <t>S?TIOS AGROFLORESTAIS EM ITAGUA? LTDA</t>
        </is>
      </c>
      <c r="E253" s="40" t="n">
        <v>0</v>
      </c>
      <c r="F253" s="40" t="n">
        <v>0</v>
      </c>
      <c r="G253" s="40" t="n">
        <v>0</v>
      </c>
      <c r="H253" s="40" t="n">
        <v>0</v>
      </c>
      <c r="I253" s="40" t="n">
        <v>0</v>
      </c>
      <c r="J253" s="40" t="n">
        <v>0</v>
      </c>
      <c r="K253" s="40" t="n">
        <v>0</v>
      </c>
      <c r="L253" s="40" t="n">
        <v>0</v>
      </c>
      <c r="M253" s="40" t="n">
        <v>0</v>
      </c>
      <c r="N253" s="40" t="n">
        <v>0</v>
      </c>
      <c r="O253" s="40" t="n">
        <v>0</v>
      </c>
      <c r="P253" s="40" t="n">
        <v>0</v>
      </c>
      <c r="Q253" s="40" t="n">
        <v>0</v>
      </c>
      <c r="R253" s="47" t="n"/>
      <c r="S253" s="47" t="n"/>
      <c r="T253" s="47" t="n"/>
      <c r="U253" s="47" t="n"/>
      <c r="V253" s="47" t="n"/>
      <c r="W253" s="47" t="n"/>
    </row>
    <row r="254" ht="12" customHeight="1">
      <c r="A254" s="30" t="inlineStr">
        <is>
          <t>Itaguai</t>
        </is>
      </c>
      <c r="B254" s="30" t="n">
        <v>12422300</v>
      </c>
      <c r="C254" s="30">
        <f>"25426688000440"</f>
        <v/>
      </c>
      <c r="D254" s="30" t="inlineStr">
        <is>
          <t>TELHAS CAMPINHO DE CAMPO GRANDE LTDA EPP</t>
        </is>
      </c>
      <c r="E254" s="40" t="n">
        <v>0</v>
      </c>
      <c r="F254" s="40" t="n">
        <v>0</v>
      </c>
      <c r="G254" s="40" t="n">
        <v>0</v>
      </c>
      <c r="H254" s="40" t="n">
        <v>0</v>
      </c>
      <c r="I254" s="40" t="n">
        <v>0</v>
      </c>
      <c r="J254" s="40" t="n">
        <v>0</v>
      </c>
      <c r="K254" s="40" t="n">
        <v>0</v>
      </c>
      <c r="L254" s="40" t="n">
        <v>0</v>
      </c>
      <c r="M254" s="40" t="n">
        <v>0</v>
      </c>
      <c r="N254" s="40" t="n">
        <v>1246368.98</v>
      </c>
      <c r="O254" s="40" t="n">
        <v>100</v>
      </c>
      <c r="P254" s="40" t="n">
        <v>0</v>
      </c>
      <c r="Q254" s="46" t="n">
        <v>-100</v>
      </c>
      <c r="R254" s="47" t="n"/>
      <c r="S254" s="47" t="n"/>
      <c r="T254" s="47" t="n"/>
      <c r="U254" s="47" t="n"/>
      <c r="V254" s="47" t="n"/>
      <c r="W254" s="47" t="n"/>
    </row>
    <row r="255" ht="12" customHeight="1">
      <c r="A255" s="30" t="inlineStr">
        <is>
          <t>Itaguai</t>
        </is>
      </c>
      <c r="B255" s="30" t="n">
        <v>12428910</v>
      </c>
      <c r="C255" s="30">
        <f>"45909881000104"</f>
        <v/>
      </c>
      <c r="D255" s="30" t="inlineStr">
        <is>
          <t>MULTI ITAGUA? MERCADO LTDA</t>
        </is>
      </c>
      <c r="E255" s="40" t="n">
        <v>0</v>
      </c>
      <c r="F255" s="40" t="n">
        <v>0</v>
      </c>
      <c r="G255" s="40" t="n">
        <v>0</v>
      </c>
      <c r="H255" s="40" t="n">
        <v>0</v>
      </c>
      <c r="I255" s="40" t="n">
        <v>0</v>
      </c>
      <c r="J255" s="40" t="n">
        <v>0</v>
      </c>
      <c r="K255" s="40" t="n">
        <v>0</v>
      </c>
      <c r="L255" s="40" t="n">
        <v>0</v>
      </c>
      <c r="M255" s="40" t="n">
        <v>0</v>
      </c>
      <c r="N255" s="40" t="n">
        <v>3503054.7</v>
      </c>
      <c r="O255" s="40" t="n">
        <v>100</v>
      </c>
      <c r="P255" s="40" t="n">
        <v>7167439.98</v>
      </c>
      <c r="Q255" s="40" t="n">
        <v>104.61</v>
      </c>
      <c r="R255" s="47" t="n"/>
      <c r="S255" s="47" t="n"/>
      <c r="T255" s="47" t="n"/>
      <c r="U255" s="47" t="n"/>
      <c r="V255" s="47" t="n"/>
      <c r="W255" s="47" t="n"/>
    </row>
    <row r="256" ht="12" customHeight="1">
      <c r="A256" s="30" t="inlineStr">
        <is>
          <t>Itaguai</t>
        </is>
      </c>
      <c r="B256" s="30" t="n">
        <v>12429304</v>
      </c>
      <c r="C256" s="30">
        <f>"00002733866702"</f>
        <v/>
      </c>
      <c r="D256" s="30" t="inlineStr">
        <is>
          <t>MARIA LAUREN?O MORITA</t>
        </is>
      </c>
      <c r="E256" s="40" t="n">
        <v>0</v>
      </c>
      <c r="F256" s="40" t="n">
        <v>0</v>
      </c>
      <c r="G256" s="40" t="n">
        <v>0</v>
      </c>
      <c r="H256" s="40" t="n">
        <v>0</v>
      </c>
      <c r="I256" s="40" t="n">
        <v>0</v>
      </c>
      <c r="J256" s="40" t="n">
        <v>0</v>
      </c>
      <c r="K256" s="40" t="n">
        <v>0</v>
      </c>
      <c r="L256" s="40" t="n">
        <v>0</v>
      </c>
      <c r="M256" s="40" t="n">
        <v>0</v>
      </c>
      <c r="N256" s="40" t="n">
        <v>15336.34</v>
      </c>
      <c r="O256" s="40" t="n">
        <v>100</v>
      </c>
      <c r="P256" s="40" t="n">
        <v>17728.03</v>
      </c>
      <c r="Q256" s="40" t="n">
        <v>15.59</v>
      </c>
      <c r="R256" s="47" t="n"/>
      <c r="S256" s="47" t="n"/>
      <c r="T256" s="47" t="n"/>
      <c r="U256" s="47" t="n"/>
      <c r="V256" s="47" t="n"/>
      <c r="W256" s="47" t="n"/>
    </row>
    <row r="257" ht="12" customHeight="1">
      <c r="A257" s="30" t="inlineStr">
        <is>
          <t>Itaguai</t>
        </is>
      </c>
      <c r="B257" s="30" t="n">
        <v>12436912</v>
      </c>
      <c r="C257" s="30">
        <f>"34336348000176"</f>
        <v/>
      </c>
      <c r="D257" s="30" t="inlineStr">
        <is>
          <t>R F FARMACIA DO CAMPO LTDA</t>
        </is>
      </c>
      <c r="E257" s="40" t="n">
        <v>0</v>
      </c>
      <c r="F257" s="40" t="n">
        <v>0</v>
      </c>
      <c r="G257" s="40" t="n">
        <v>0</v>
      </c>
      <c r="H257" s="40" t="n">
        <v>0</v>
      </c>
      <c r="I257" s="40" t="n">
        <v>0</v>
      </c>
      <c r="J257" s="40" t="n">
        <v>0</v>
      </c>
      <c r="K257" s="40" t="n">
        <v>0</v>
      </c>
      <c r="L257" s="40" t="n">
        <v>0</v>
      </c>
      <c r="M257" s="40" t="n">
        <v>0</v>
      </c>
      <c r="N257" s="40" t="n">
        <v>0</v>
      </c>
      <c r="O257" s="40" t="n">
        <v>0</v>
      </c>
      <c r="P257" s="40" t="n">
        <v>0</v>
      </c>
      <c r="Q257" s="40" t="n">
        <v>0</v>
      </c>
      <c r="R257" s="47" t="n"/>
      <c r="S257" s="47" t="n"/>
      <c r="T257" s="47" t="n"/>
      <c r="U257" s="47" t="n"/>
      <c r="V257" s="47" t="n"/>
      <c r="W257" s="47" t="n"/>
    </row>
    <row r="258" ht="12" customHeight="1">
      <c r="A258" s="30" t="inlineStr">
        <is>
          <t>Itaguai</t>
        </is>
      </c>
      <c r="B258" s="30" t="n">
        <v>12437811</v>
      </c>
      <c r="C258" s="30">
        <f>"32324737000237"</f>
        <v/>
      </c>
      <c r="D258" s="30" t="inlineStr">
        <is>
          <t>SUPER PET COM?RCIO DE RACOES LTDA</t>
        </is>
      </c>
      <c r="E258" s="40" t="n">
        <v>0</v>
      </c>
      <c r="F258" s="40" t="n">
        <v>0</v>
      </c>
      <c r="G258" s="40" t="n">
        <v>0</v>
      </c>
      <c r="H258" s="40" t="n">
        <v>0</v>
      </c>
      <c r="I258" s="40" t="n">
        <v>0</v>
      </c>
      <c r="J258" s="40" t="n">
        <v>0</v>
      </c>
      <c r="K258" s="40" t="n">
        <v>0</v>
      </c>
      <c r="L258" s="40" t="n">
        <v>0</v>
      </c>
      <c r="M258" s="40" t="n">
        <v>0</v>
      </c>
      <c r="N258" s="40" t="n">
        <v>0</v>
      </c>
      <c r="O258" s="40" t="n">
        <v>0</v>
      </c>
      <c r="P258" s="40" t="n">
        <v>1377159.68</v>
      </c>
      <c r="Q258" s="40" t="n">
        <v>100</v>
      </c>
      <c r="R258" s="47" t="n"/>
      <c r="S258" s="47" t="n"/>
      <c r="T258" s="47" t="n"/>
      <c r="U258" s="47" t="n"/>
      <c r="V258" s="47" t="n"/>
      <c r="W258" s="47" t="n"/>
    </row>
    <row r="259" ht="12" customHeight="1">
      <c r="A259" s="30" t="inlineStr">
        <is>
          <t>Itaguai</t>
        </is>
      </c>
      <c r="B259" s="30" t="n">
        <v>12480113</v>
      </c>
      <c r="C259" s="30">
        <f>"46511072000102"</f>
        <v/>
      </c>
      <c r="D259" s="30" t="inlineStr">
        <is>
          <t>F.C.A IND?STRIA E COM?RCIO DE FERRO E A?O LTDA</t>
        </is>
      </c>
      <c r="E259" s="40" t="n">
        <v>0</v>
      </c>
      <c r="F259" s="40" t="n">
        <v>0</v>
      </c>
      <c r="G259" s="40" t="n">
        <v>0</v>
      </c>
      <c r="H259" s="40" t="n">
        <v>0</v>
      </c>
      <c r="I259" s="40" t="n">
        <v>0</v>
      </c>
      <c r="J259" s="40" t="n">
        <v>0</v>
      </c>
      <c r="K259" s="40" t="n">
        <v>0</v>
      </c>
      <c r="L259" s="40" t="n">
        <v>0</v>
      </c>
      <c r="M259" s="40" t="n">
        <v>0</v>
      </c>
      <c r="N259" s="40" t="n">
        <v>0</v>
      </c>
      <c r="O259" s="40" t="n">
        <v>0</v>
      </c>
      <c r="P259" s="40" t="n">
        <v>0</v>
      </c>
      <c r="Q259" s="40" t="n">
        <v>0</v>
      </c>
      <c r="R259" s="47" t="n"/>
      <c r="S259" s="47" t="n"/>
      <c r="T259" s="47" t="n"/>
      <c r="U259" s="47" t="n"/>
      <c r="V259" s="47" t="n"/>
      <c r="W259" s="47" t="n"/>
    </row>
    <row r="260" ht="12" customHeight="1">
      <c r="A260" s="30" t="inlineStr">
        <is>
          <t>Itaguai</t>
        </is>
      </c>
      <c r="B260" s="30" t="n">
        <v>12489790</v>
      </c>
      <c r="C260" s="30">
        <f>"43854903000223"</f>
        <v/>
      </c>
      <c r="D260" s="30" t="inlineStr">
        <is>
          <t>KARPOWERSHIP BRASIL ENERGIA LTDA.</t>
        </is>
      </c>
      <c r="E260" s="40" t="n">
        <v>0</v>
      </c>
      <c r="F260" s="40" t="n">
        <v>0</v>
      </c>
      <c r="G260" s="40" t="n">
        <v>0</v>
      </c>
      <c r="H260" s="40" t="n">
        <v>0</v>
      </c>
      <c r="I260" s="40" t="n">
        <v>0</v>
      </c>
      <c r="J260" s="40" t="n">
        <v>0</v>
      </c>
      <c r="K260" s="40" t="n">
        <v>0</v>
      </c>
      <c r="L260" s="40" t="n">
        <v>0</v>
      </c>
      <c r="M260" s="40" t="n">
        <v>0</v>
      </c>
      <c r="N260" s="40" t="n">
        <v>0</v>
      </c>
      <c r="O260" s="40" t="n">
        <v>0</v>
      </c>
      <c r="P260" s="40" t="n">
        <v>0</v>
      </c>
      <c r="Q260" s="40" t="n">
        <v>0</v>
      </c>
      <c r="R260" s="47" t="n"/>
      <c r="S260" s="47" t="n"/>
      <c r="T260" s="47" t="n"/>
      <c r="U260" s="47" t="n"/>
      <c r="V260" s="47" t="n"/>
      <c r="W260" s="47" t="n"/>
    </row>
    <row r="261" ht="12" customHeight="1">
      <c r="A261" s="30" t="inlineStr">
        <is>
          <t>Itaguai</t>
        </is>
      </c>
      <c r="B261" s="30" t="n">
        <v>12499051</v>
      </c>
      <c r="C261" s="30">
        <f>"61585865298380"</f>
        <v/>
      </c>
      <c r="D261" s="30" t="inlineStr">
        <is>
          <t>RAIA DROGASIL S/A</t>
        </is>
      </c>
      <c r="E261" s="40" t="n">
        <v>0</v>
      </c>
      <c r="F261" s="40" t="n">
        <v>0</v>
      </c>
      <c r="G261" s="40" t="n">
        <v>0</v>
      </c>
      <c r="H261" s="40" t="n">
        <v>0</v>
      </c>
      <c r="I261" s="40" t="n">
        <v>0</v>
      </c>
      <c r="J261" s="40" t="n">
        <v>0</v>
      </c>
      <c r="K261" s="40" t="n">
        <v>0</v>
      </c>
      <c r="L261" s="40" t="n">
        <v>0</v>
      </c>
      <c r="M261" s="40" t="n">
        <v>0</v>
      </c>
      <c r="N261" s="40" t="n">
        <v>400343.46</v>
      </c>
      <c r="O261" s="40" t="n">
        <v>100</v>
      </c>
      <c r="P261" s="40" t="n">
        <v>2189866.93</v>
      </c>
      <c r="Q261" s="40" t="n">
        <v>447</v>
      </c>
      <c r="R261" s="47" t="n"/>
      <c r="S261" s="47" t="n"/>
      <c r="T261" s="47" t="n"/>
      <c r="U261" s="47" t="n"/>
      <c r="V261" s="47" t="n"/>
      <c r="W261" s="47" t="n"/>
    </row>
    <row r="262" ht="12" customHeight="1">
      <c r="A262" s="30" t="inlineStr">
        <is>
          <t>Itaguai</t>
        </is>
      </c>
      <c r="B262" s="30" t="n">
        <v>12499515</v>
      </c>
      <c r="C262" s="30">
        <f>"44268105000282"</f>
        <v/>
      </c>
      <c r="D262" s="30" t="inlineStr">
        <is>
          <t>AGROPECUARIA SANTA LUZIA LTDA</t>
        </is>
      </c>
      <c r="E262" s="40" t="n">
        <v>0</v>
      </c>
      <c r="F262" s="40" t="n">
        <v>0</v>
      </c>
      <c r="G262" s="40" t="n">
        <v>0</v>
      </c>
      <c r="H262" s="40" t="n">
        <v>0</v>
      </c>
      <c r="I262" s="40" t="n">
        <v>0</v>
      </c>
      <c r="J262" s="40" t="n">
        <v>0</v>
      </c>
      <c r="K262" s="40" t="n">
        <v>0</v>
      </c>
      <c r="L262" s="40" t="n">
        <v>0</v>
      </c>
      <c r="M262" s="40" t="n">
        <v>0</v>
      </c>
      <c r="N262" s="40" t="n">
        <v>0</v>
      </c>
      <c r="O262" s="40" t="n">
        <v>0</v>
      </c>
      <c r="P262" s="40" t="n">
        <v>0</v>
      </c>
      <c r="Q262" s="40" t="n">
        <v>0</v>
      </c>
      <c r="R262" s="47" t="n"/>
      <c r="S262" s="47" t="n"/>
      <c r="T262" s="47" t="n"/>
      <c r="U262" s="47" t="n"/>
      <c r="V262" s="47" t="n"/>
      <c r="W262" s="47" t="n"/>
    </row>
    <row r="263" ht="12" customHeight="1">
      <c r="A263" s="30" t="inlineStr">
        <is>
          <t>Itaguai</t>
        </is>
      </c>
      <c r="B263" s="30" t="n">
        <v>12501102</v>
      </c>
      <c r="C263" s="30">
        <f>"52548435026720"</f>
        <v/>
      </c>
      <c r="D263" s="30" t="inlineStr">
        <is>
          <t>JSL S/A</t>
        </is>
      </c>
      <c r="E263" s="40" t="n">
        <v>0</v>
      </c>
      <c r="F263" s="40" t="n">
        <v>0</v>
      </c>
      <c r="G263" s="40" t="n">
        <v>0</v>
      </c>
      <c r="H263" s="40" t="n">
        <v>0</v>
      </c>
      <c r="I263" s="40" t="n">
        <v>0</v>
      </c>
      <c r="J263" s="40" t="n">
        <v>0</v>
      </c>
      <c r="K263" s="40" t="n">
        <v>0</v>
      </c>
      <c r="L263" s="40" t="n">
        <v>0</v>
      </c>
      <c r="M263" s="40" t="n">
        <v>0</v>
      </c>
      <c r="N263" s="40" t="n">
        <v>0</v>
      </c>
      <c r="O263" s="40" t="n">
        <v>0</v>
      </c>
      <c r="P263" s="40" t="n">
        <v>844.54</v>
      </c>
      <c r="Q263" s="40" t="n">
        <v>100</v>
      </c>
      <c r="R263" s="47" t="n"/>
      <c r="S263" s="47" t="n"/>
      <c r="T263" s="47" t="n"/>
      <c r="U263" s="47" t="n"/>
      <c r="V263" s="47" t="n"/>
      <c r="W263" s="47" t="n"/>
    </row>
    <row r="264" ht="12" customHeight="1">
      <c r="A264" s="30" t="inlineStr">
        <is>
          <t>Itaguai</t>
        </is>
      </c>
      <c r="B264" s="30" t="n">
        <v>12501498</v>
      </c>
      <c r="C264" s="30">
        <f>"46712937000190"</f>
        <v/>
      </c>
      <c r="D264" s="30" t="inlineStr">
        <is>
          <t>DIAS COMPRA E VENDA DE VEICULOS LTDA</t>
        </is>
      </c>
      <c r="E264" s="40" t="n">
        <v>0</v>
      </c>
      <c r="F264" s="40" t="n">
        <v>0</v>
      </c>
      <c r="G264" s="40" t="n">
        <v>0</v>
      </c>
      <c r="H264" s="40" t="n">
        <v>0</v>
      </c>
      <c r="I264" s="40" t="n">
        <v>0</v>
      </c>
      <c r="J264" s="40" t="n">
        <v>0</v>
      </c>
      <c r="K264" s="40" t="n">
        <v>0</v>
      </c>
      <c r="L264" s="40" t="n">
        <v>0</v>
      </c>
      <c r="M264" s="40" t="n">
        <v>0</v>
      </c>
      <c r="N264" s="40" t="n">
        <v>0</v>
      </c>
      <c r="O264" s="40" t="n">
        <v>0</v>
      </c>
      <c r="P264" s="40" t="n">
        <v>0</v>
      </c>
      <c r="Q264" s="40" t="n">
        <v>0</v>
      </c>
      <c r="R264" s="47" t="n"/>
      <c r="S264" s="47" t="n"/>
      <c r="T264" s="47" t="n"/>
      <c r="U264" s="47" t="n"/>
      <c r="V264" s="47" t="n"/>
      <c r="W264" s="47" t="n"/>
    </row>
    <row r="265" ht="12" customHeight="1">
      <c r="A265" s="30" t="inlineStr">
        <is>
          <t>Itaguai</t>
        </is>
      </c>
      <c r="B265" s="30" t="n">
        <v>12515880</v>
      </c>
      <c r="C265" s="30">
        <f>"40299810045125"</f>
        <v/>
      </c>
      <c r="D265" s="30" t="inlineStr">
        <is>
          <t>AM/PM COMESTIVEIS LTDA</t>
        </is>
      </c>
      <c r="E265" s="40" t="n">
        <v>0</v>
      </c>
      <c r="F265" s="40" t="n">
        <v>0</v>
      </c>
      <c r="G265" s="40" t="n">
        <v>0</v>
      </c>
      <c r="H265" s="40" t="n">
        <v>0</v>
      </c>
      <c r="I265" s="40" t="n">
        <v>0</v>
      </c>
      <c r="J265" s="40" t="n">
        <v>0</v>
      </c>
      <c r="K265" s="40" t="n">
        <v>0</v>
      </c>
      <c r="L265" s="40" t="n">
        <v>0</v>
      </c>
      <c r="M265" s="40" t="n">
        <v>0</v>
      </c>
      <c r="N265" s="40" t="n">
        <v>271268.18</v>
      </c>
      <c r="O265" s="40" t="n">
        <v>100</v>
      </c>
      <c r="P265" s="40" t="n">
        <v>486416.51</v>
      </c>
      <c r="Q265" s="40" t="n">
        <v>79.31</v>
      </c>
      <c r="R265" s="47" t="n"/>
      <c r="S265" s="47" t="n"/>
      <c r="T265" s="47" t="n"/>
      <c r="U265" s="47" t="n"/>
      <c r="V265" s="47" t="n"/>
      <c r="W265" s="47" t="n"/>
    </row>
    <row r="266" ht="12" customHeight="1">
      <c r="A266" s="30" t="inlineStr">
        <is>
          <t>Itaguai</t>
        </is>
      </c>
      <c r="B266" s="30" t="n">
        <v>12520530</v>
      </c>
      <c r="C266" s="30">
        <f>"46871628000163"</f>
        <v/>
      </c>
      <c r="D266" s="30" t="inlineStr">
        <is>
          <t>XATE GEN ARRENDAMENTO DE SISTEMAS FOTOVOLTAICOS LTDA</t>
        </is>
      </c>
      <c r="E266" s="40" t="n">
        <v>0</v>
      </c>
      <c r="F266" s="40" t="n">
        <v>0</v>
      </c>
      <c r="G266" s="40" t="n">
        <v>0</v>
      </c>
      <c r="H266" s="40" t="n">
        <v>0</v>
      </c>
      <c r="I266" s="40" t="n">
        <v>0</v>
      </c>
      <c r="J266" s="40" t="n">
        <v>0</v>
      </c>
      <c r="K266" s="40" t="n">
        <v>0</v>
      </c>
      <c r="L266" s="40" t="n">
        <v>0</v>
      </c>
      <c r="M266" s="40" t="n">
        <v>0</v>
      </c>
      <c r="N266" s="40" t="n">
        <v>0</v>
      </c>
      <c r="O266" s="40" t="n">
        <v>0</v>
      </c>
      <c r="P266" s="40" t="n">
        <v>0</v>
      </c>
      <c r="Q266" s="40" t="n">
        <v>0</v>
      </c>
      <c r="R266" s="47" t="n"/>
      <c r="S266" s="47" t="n"/>
      <c r="T266" s="47" t="n"/>
      <c r="U266" s="47" t="n"/>
      <c r="V266" s="47" t="n"/>
      <c r="W266" s="47" t="n"/>
    </row>
    <row r="267" ht="12" customHeight="1">
      <c r="A267" s="30" t="inlineStr">
        <is>
          <t>Itaguai</t>
        </is>
      </c>
      <c r="B267" s="30" t="n">
        <v>12528159</v>
      </c>
      <c r="C267" s="30">
        <f>"20209036000430"</f>
        <v/>
      </c>
      <c r="D267" s="30" t="inlineStr">
        <is>
          <t>JEOVA JIREH GESTAO DE ESTOQUE EM LOGISTICA BR LTDA</t>
        </is>
      </c>
      <c r="E267" s="40" t="n">
        <v>0</v>
      </c>
      <c r="F267" s="40" t="n">
        <v>0</v>
      </c>
      <c r="G267" s="40" t="n">
        <v>0</v>
      </c>
      <c r="H267" s="40" t="n">
        <v>0</v>
      </c>
      <c r="I267" s="40" t="n">
        <v>0</v>
      </c>
      <c r="J267" s="40" t="n">
        <v>0</v>
      </c>
      <c r="K267" s="40" t="n">
        <v>0</v>
      </c>
      <c r="L267" s="40" t="n">
        <v>0</v>
      </c>
      <c r="M267" s="40" t="n">
        <v>0</v>
      </c>
      <c r="N267" s="40" t="n">
        <v>0</v>
      </c>
      <c r="O267" s="40" t="n">
        <v>0</v>
      </c>
      <c r="P267" s="40" t="n">
        <v>0</v>
      </c>
      <c r="Q267" s="40" t="n">
        <v>0</v>
      </c>
      <c r="R267" s="47" t="n"/>
      <c r="S267" s="47" t="n"/>
      <c r="T267" s="47" t="n"/>
      <c r="U267" s="47" t="n"/>
      <c r="V267" s="47" t="n"/>
      <c r="W267" s="47" t="n"/>
    </row>
    <row r="268" ht="12" customHeight="1">
      <c r="A268" s="30" t="inlineStr">
        <is>
          <t>Itaguai</t>
        </is>
      </c>
      <c r="B268" s="30" t="n">
        <v>12541228</v>
      </c>
      <c r="C268" s="30">
        <f>"46869468000118"</f>
        <v/>
      </c>
      <c r="D268" s="30" t="inlineStr">
        <is>
          <t>QTL SERVI?OS LTDA</t>
        </is>
      </c>
      <c r="E268" s="40" t="n">
        <v>0</v>
      </c>
      <c r="F268" s="40" t="n">
        <v>0</v>
      </c>
      <c r="G268" s="40" t="n">
        <v>0</v>
      </c>
      <c r="H268" s="40" t="n">
        <v>0</v>
      </c>
      <c r="I268" s="40" t="n">
        <v>0</v>
      </c>
      <c r="J268" s="40" t="n">
        <v>0</v>
      </c>
      <c r="K268" s="40" t="n">
        <v>0</v>
      </c>
      <c r="L268" s="40" t="n">
        <v>0</v>
      </c>
      <c r="M268" s="40" t="n">
        <v>0</v>
      </c>
      <c r="N268" s="40" t="n">
        <v>0</v>
      </c>
      <c r="O268" s="40" t="n">
        <v>0</v>
      </c>
      <c r="P268" s="40" t="n">
        <v>236962.71</v>
      </c>
      <c r="Q268" s="40" t="n">
        <v>100</v>
      </c>
      <c r="R268" s="47" t="n"/>
      <c r="S268" s="47" t="n"/>
      <c r="T268" s="47" t="n"/>
      <c r="U268" s="47" t="n"/>
      <c r="V268" s="47" t="n"/>
      <c r="W268" s="47" t="n"/>
    </row>
    <row r="269" ht="12" customHeight="1">
      <c r="A269" s="30" t="inlineStr">
        <is>
          <t>Itaguai</t>
        </is>
      </c>
      <c r="B269" s="30" t="n">
        <v>12546440</v>
      </c>
      <c r="C269" s="30">
        <f>"42446277002306"</f>
        <v/>
      </c>
      <c r="D269" s="30" t="inlineStr">
        <is>
          <t>SHPX LOGISTICA LTDA.</t>
        </is>
      </c>
      <c r="E269" s="40" t="n">
        <v>0</v>
      </c>
      <c r="F269" s="40" t="n">
        <v>0</v>
      </c>
      <c r="G269" s="40" t="n">
        <v>0</v>
      </c>
      <c r="H269" s="40" t="n">
        <v>0</v>
      </c>
      <c r="I269" s="40" t="n">
        <v>0</v>
      </c>
      <c r="J269" s="40" t="n">
        <v>0</v>
      </c>
      <c r="K269" s="40" t="n">
        <v>0</v>
      </c>
      <c r="L269" s="40" t="n">
        <v>0</v>
      </c>
      <c r="M269" s="40" t="n">
        <v>0</v>
      </c>
      <c r="N269" s="40" t="n">
        <v>0</v>
      </c>
      <c r="O269" s="40" t="n">
        <v>0</v>
      </c>
      <c r="P269" s="40" t="n">
        <v>1688.46</v>
      </c>
      <c r="Q269" s="40" t="n">
        <v>100</v>
      </c>
      <c r="R269" s="47" t="n"/>
      <c r="S269" s="47" t="n"/>
      <c r="T269" s="47" t="n"/>
      <c r="U269" s="47" t="n"/>
      <c r="V269" s="47" t="n"/>
      <c r="W269" s="47" t="n"/>
    </row>
    <row r="270" ht="12" customHeight="1">
      <c r="A270" s="30" t="inlineStr">
        <is>
          <t>Itaguai</t>
        </is>
      </c>
      <c r="B270" s="30" t="n">
        <v>12549830</v>
      </c>
      <c r="C270" s="30">
        <f>"00054025249049"</f>
        <v/>
      </c>
      <c r="D270" s="30" t="inlineStr">
        <is>
          <t>CLAUDIO LUIS BUENO DO NASCIMENTO</t>
        </is>
      </c>
      <c r="E270" s="40" t="n">
        <v>0</v>
      </c>
      <c r="F270" s="40" t="n">
        <v>0</v>
      </c>
      <c r="G270" s="40" t="n">
        <v>0</v>
      </c>
      <c r="H270" s="40" t="n">
        <v>0</v>
      </c>
      <c r="I270" s="40" t="n">
        <v>0</v>
      </c>
      <c r="J270" s="40" t="n">
        <v>0</v>
      </c>
      <c r="K270" s="40" t="n">
        <v>0</v>
      </c>
      <c r="L270" s="40" t="n">
        <v>0</v>
      </c>
      <c r="M270" s="40" t="n">
        <v>0</v>
      </c>
      <c r="N270" s="40" t="n">
        <v>36000</v>
      </c>
      <c r="O270" s="40" t="n">
        <v>100</v>
      </c>
      <c r="P270" s="40" t="n">
        <v>0</v>
      </c>
      <c r="Q270" s="46" t="n">
        <v>-100</v>
      </c>
      <c r="R270" s="47" t="n"/>
      <c r="S270" s="47" t="n"/>
      <c r="T270" s="47" t="n"/>
      <c r="U270" s="47" t="n"/>
      <c r="V270" s="47" t="n"/>
      <c r="W270" s="47" t="n"/>
    </row>
    <row r="271" ht="12" customHeight="1">
      <c r="A271" s="30" t="inlineStr">
        <is>
          <t>Itaguai</t>
        </is>
      </c>
      <c r="B271" s="30" t="n">
        <v>12562063</v>
      </c>
      <c r="C271" s="30">
        <f>"08686200000313"</f>
        <v/>
      </c>
      <c r="D271" s="30" t="inlineStr">
        <is>
          <t>ASTM TRANSPORTES E LOCACAO DE VEICULOS LTDA</t>
        </is>
      </c>
      <c r="E271" s="40" t="n">
        <v>0</v>
      </c>
      <c r="F271" s="40" t="n">
        <v>0</v>
      </c>
      <c r="G271" s="40" t="n">
        <v>0</v>
      </c>
      <c r="H271" s="40" t="n">
        <v>0</v>
      </c>
      <c r="I271" s="40" t="n">
        <v>0</v>
      </c>
      <c r="J271" s="40" t="n">
        <v>0</v>
      </c>
      <c r="K271" s="40" t="n">
        <v>0</v>
      </c>
      <c r="L271" s="40" t="n">
        <v>0</v>
      </c>
      <c r="M271" s="40" t="n">
        <v>0</v>
      </c>
      <c r="N271" s="40" t="n">
        <v>196.27</v>
      </c>
      <c r="O271" s="40" t="n">
        <v>100</v>
      </c>
      <c r="P271" s="40" t="n">
        <v>0</v>
      </c>
      <c r="Q271" s="46" t="n">
        <v>-100</v>
      </c>
      <c r="R271" s="47" t="n"/>
      <c r="S271" s="47" t="n"/>
      <c r="T271" s="47" t="n"/>
      <c r="U271" s="47" t="n"/>
      <c r="V271" s="47" t="n"/>
      <c r="W271" s="47" t="n"/>
    </row>
    <row r="272" ht="12" customHeight="1">
      <c r="A272" s="30" t="inlineStr">
        <is>
          <t>Itaguai</t>
        </is>
      </c>
      <c r="B272" s="30" t="n">
        <v>12579446</v>
      </c>
      <c r="C272" s="30">
        <f>"77649283002256"</f>
        <v/>
      </c>
      <c r="D272" s="30" t="inlineStr">
        <is>
          <t>RODOJUNIOR TRANSPORTES LTDA</t>
        </is>
      </c>
      <c r="E272" s="40" t="n">
        <v>0</v>
      </c>
      <c r="F272" s="40" t="n">
        <v>0</v>
      </c>
      <c r="G272" s="40" t="n">
        <v>0</v>
      </c>
      <c r="H272" s="40" t="n">
        <v>0</v>
      </c>
      <c r="I272" s="40" t="n">
        <v>0</v>
      </c>
      <c r="J272" s="40" t="n">
        <v>0</v>
      </c>
      <c r="K272" s="40" t="n">
        <v>0</v>
      </c>
      <c r="L272" s="40" t="n">
        <v>0</v>
      </c>
      <c r="M272" s="40" t="n">
        <v>0</v>
      </c>
      <c r="N272" s="40" t="n">
        <v>0</v>
      </c>
      <c r="O272" s="40" t="n">
        <v>0</v>
      </c>
      <c r="P272" s="40" t="n">
        <v>19123</v>
      </c>
      <c r="Q272" s="40" t="n">
        <v>100</v>
      </c>
      <c r="R272" s="47" t="n"/>
      <c r="S272" s="47" t="n"/>
      <c r="T272" s="47" t="n"/>
      <c r="U272" s="47" t="n"/>
      <c r="V272" s="47" t="n"/>
      <c r="W272" s="47" t="n"/>
    </row>
    <row r="273" ht="12" customHeight="1">
      <c r="A273" s="30" t="inlineStr">
        <is>
          <t>Itaguai</t>
        </is>
      </c>
      <c r="B273" s="30" t="n">
        <v>12591705</v>
      </c>
      <c r="C273" s="30">
        <f>"47719072000157"</f>
        <v/>
      </c>
      <c r="D273" s="30" t="inlineStr">
        <is>
          <t>FOX GERA??O ITAGUA? LTDA</t>
        </is>
      </c>
      <c r="E273" s="40" t="n">
        <v>0</v>
      </c>
      <c r="F273" s="40" t="n">
        <v>0</v>
      </c>
      <c r="G273" s="40" t="n">
        <v>0</v>
      </c>
      <c r="H273" s="40" t="n">
        <v>0</v>
      </c>
      <c r="I273" s="40" t="n">
        <v>0</v>
      </c>
      <c r="J273" s="40" t="n">
        <v>0</v>
      </c>
      <c r="K273" s="40" t="n">
        <v>0</v>
      </c>
      <c r="L273" s="40" t="n">
        <v>0</v>
      </c>
      <c r="M273" s="40" t="n">
        <v>0</v>
      </c>
      <c r="N273" s="40" t="n">
        <v>0</v>
      </c>
      <c r="O273" s="40" t="n">
        <v>0</v>
      </c>
      <c r="P273" s="40" t="n">
        <v>0</v>
      </c>
      <c r="Q273" s="40" t="n">
        <v>0</v>
      </c>
      <c r="R273" s="47" t="n"/>
      <c r="S273" s="47" t="n"/>
      <c r="T273" s="47" t="n"/>
      <c r="U273" s="47" t="n"/>
      <c r="V273" s="47" t="n"/>
      <c r="W273" s="47" t="n"/>
    </row>
    <row r="274" ht="12" customHeight="1">
      <c r="A274" s="30" t="inlineStr">
        <is>
          <t>Itaguai</t>
        </is>
      </c>
      <c r="B274" s="30" t="n">
        <v>12592620</v>
      </c>
      <c r="C274" s="30">
        <f>"47720208000149"</f>
        <v/>
      </c>
      <c r="D274" s="30" t="inlineStr">
        <is>
          <t>CONSTRUFORT SERVI?OS E MATERIAL DE CONSTRU?AO LTDA</t>
        </is>
      </c>
      <c r="E274" s="40" t="n">
        <v>0</v>
      </c>
      <c r="F274" s="40" t="n">
        <v>0</v>
      </c>
      <c r="G274" s="40" t="n">
        <v>0</v>
      </c>
      <c r="H274" s="40" t="n">
        <v>0</v>
      </c>
      <c r="I274" s="40" t="n">
        <v>0</v>
      </c>
      <c r="J274" s="40" t="n">
        <v>0</v>
      </c>
      <c r="K274" s="40" t="n">
        <v>0</v>
      </c>
      <c r="L274" s="40" t="n">
        <v>0</v>
      </c>
      <c r="M274" s="40" t="n">
        <v>0</v>
      </c>
      <c r="N274" s="40" t="n">
        <v>0</v>
      </c>
      <c r="O274" s="40" t="n">
        <v>0</v>
      </c>
      <c r="P274" s="40" t="n">
        <v>0</v>
      </c>
      <c r="Q274" s="40" t="n">
        <v>0</v>
      </c>
      <c r="R274" s="47" t="n"/>
      <c r="S274" s="47" t="n"/>
      <c r="T274" s="47" t="n"/>
      <c r="U274" s="47" t="n"/>
      <c r="V274" s="47" t="n"/>
      <c r="W274" s="47" t="n"/>
    </row>
    <row r="275" ht="12" customHeight="1">
      <c r="A275" s="30" t="inlineStr">
        <is>
          <t>Itaguai</t>
        </is>
      </c>
      <c r="B275" s="30" t="n">
        <v>12592973</v>
      </c>
      <c r="C275" s="30">
        <f>"00011564553752"</f>
        <v/>
      </c>
      <c r="D275" s="30" t="inlineStr">
        <is>
          <t>ALCEMIR RABELO DE OLIVEIRA</t>
        </is>
      </c>
      <c r="E275" s="40" t="n">
        <v>0</v>
      </c>
      <c r="F275" s="40" t="n">
        <v>0</v>
      </c>
      <c r="G275" s="40" t="n">
        <v>0</v>
      </c>
      <c r="H275" s="40" t="n">
        <v>0</v>
      </c>
      <c r="I275" s="40" t="n">
        <v>0</v>
      </c>
      <c r="J275" s="40" t="n">
        <v>0</v>
      </c>
      <c r="K275" s="40" t="n">
        <v>0</v>
      </c>
      <c r="L275" s="40" t="n">
        <v>0</v>
      </c>
      <c r="M275" s="40" t="n">
        <v>0</v>
      </c>
      <c r="N275" s="40" t="n">
        <v>10032</v>
      </c>
      <c r="O275" s="40" t="n">
        <v>100</v>
      </c>
      <c r="P275" s="40" t="n">
        <v>32751.18</v>
      </c>
      <c r="Q275" s="40" t="n">
        <v>226.47</v>
      </c>
      <c r="R275" s="47" t="n"/>
      <c r="S275" s="47" t="n"/>
      <c r="T275" s="47" t="n"/>
      <c r="U275" s="47" t="n"/>
      <c r="V275" s="47" t="n"/>
      <c r="W275" s="47" t="n"/>
    </row>
    <row r="276" ht="12" customHeight="1">
      <c r="A276" s="30" t="inlineStr">
        <is>
          <t>Itaguai</t>
        </is>
      </c>
      <c r="B276" s="30" t="n">
        <v>12594658</v>
      </c>
      <c r="C276" s="30">
        <f>"33438250065455"</f>
        <v/>
      </c>
      <c r="D276" s="30" t="inlineStr">
        <is>
          <t>DROGARIAS PACHECO S/A</t>
        </is>
      </c>
      <c r="E276" s="40" t="n">
        <v>0</v>
      </c>
      <c r="F276" s="40" t="n">
        <v>0</v>
      </c>
      <c r="G276" s="40" t="n">
        <v>0</v>
      </c>
      <c r="H276" s="40" t="n">
        <v>0</v>
      </c>
      <c r="I276" s="40" t="n">
        <v>0</v>
      </c>
      <c r="J276" s="40" t="n">
        <v>0</v>
      </c>
      <c r="K276" s="40" t="n">
        <v>0</v>
      </c>
      <c r="L276" s="40" t="n">
        <v>0</v>
      </c>
      <c r="M276" s="40" t="n">
        <v>0</v>
      </c>
      <c r="N276" s="40" t="n">
        <v>0.04</v>
      </c>
      <c r="O276" s="40" t="n">
        <v>100</v>
      </c>
      <c r="P276" s="40" t="n">
        <v>3335367.17</v>
      </c>
      <c r="Q276" s="40" t="n">
        <v>8338417825</v>
      </c>
      <c r="R276" s="47" t="n"/>
      <c r="S276" s="47" t="n"/>
      <c r="T276" s="47" t="n"/>
      <c r="U276" s="47" t="n"/>
      <c r="V276" s="47" t="n"/>
      <c r="W276" s="47" t="n"/>
    </row>
    <row r="277" ht="12" customHeight="1">
      <c r="A277" s="30" t="inlineStr">
        <is>
          <t>Itaguai</t>
        </is>
      </c>
      <c r="B277" s="30" t="n">
        <v>12600054</v>
      </c>
      <c r="C277" s="30">
        <f>"47844145000132"</f>
        <v/>
      </c>
      <c r="D277" s="30" t="inlineStr">
        <is>
          <t>S SUPERMERCADO COM?RCIO DE ALIMENTOS LTDA</t>
        </is>
      </c>
      <c r="E277" s="40" t="n">
        <v>0</v>
      </c>
      <c r="F277" s="40" t="n">
        <v>0</v>
      </c>
      <c r="G277" s="40" t="n">
        <v>0</v>
      </c>
      <c r="H277" s="40" t="n">
        <v>0</v>
      </c>
      <c r="I277" s="40" t="n">
        <v>0</v>
      </c>
      <c r="J277" s="40" t="n">
        <v>0</v>
      </c>
      <c r="K277" s="40" t="n">
        <v>0</v>
      </c>
      <c r="L277" s="40" t="n">
        <v>0</v>
      </c>
      <c r="M277" s="40" t="n">
        <v>0</v>
      </c>
      <c r="N277" s="40" t="n">
        <v>2951192.24</v>
      </c>
      <c r="O277" s="40" t="n">
        <v>100</v>
      </c>
      <c r="P277" s="40" t="n">
        <v>1396933.97</v>
      </c>
      <c r="Q277" s="46" t="n">
        <v>-52.67</v>
      </c>
      <c r="R277" s="47" t="n"/>
      <c r="S277" s="47" t="n"/>
      <c r="T277" s="47" t="n"/>
      <c r="U277" s="47" t="n"/>
      <c r="V277" s="47" t="n"/>
      <c r="W277" s="47" t="n"/>
    </row>
    <row r="278" ht="12" customHeight="1">
      <c r="A278" s="30" t="inlineStr">
        <is>
          <t>Itaguai</t>
        </is>
      </c>
      <c r="B278" s="30" t="n">
        <v>12617852</v>
      </c>
      <c r="C278" s="30">
        <f>"44025225001220"</f>
        <v/>
      </c>
      <c r="D278" s="30" t="inlineStr">
        <is>
          <t>OBVIOUS SERVI?OS DIGITAIS LTDA</t>
        </is>
      </c>
      <c r="E278" s="40" t="n">
        <v>0</v>
      </c>
      <c r="F278" s="40" t="n">
        <v>0</v>
      </c>
      <c r="G278" s="40" t="n">
        <v>0</v>
      </c>
      <c r="H278" s="40" t="n">
        <v>0</v>
      </c>
      <c r="I278" s="40" t="n">
        <v>0</v>
      </c>
      <c r="J278" s="40" t="n">
        <v>0</v>
      </c>
      <c r="K278" s="40" t="n">
        <v>0</v>
      </c>
      <c r="L278" s="40" t="n">
        <v>0</v>
      </c>
      <c r="M278" s="40" t="n">
        <v>0</v>
      </c>
      <c r="N278" s="40" t="n">
        <v>629.38</v>
      </c>
      <c r="O278" s="40" t="n">
        <v>100</v>
      </c>
      <c r="P278" s="40" t="n">
        <v>3773.4</v>
      </c>
      <c r="Q278" s="40" t="n">
        <v>499.54</v>
      </c>
      <c r="R278" s="47" t="n"/>
      <c r="S278" s="47" t="n"/>
      <c r="T278" s="47" t="n"/>
      <c r="U278" s="47" t="n"/>
      <c r="V278" s="47" t="n"/>
      <c r="W278" s="47" t="n"/>
    </row>
    <row r="279" ht="12" customHeight="1">
      <c r="A279" s="30" t="inlineStr">
        <is>
          <t>Itaguai</t>
        </is>
      </c>
      <c r="B279" s="30" t="n">
        <v>12619308</v>
      </c>
      <c r="C279" s="30">
        <f>"28445729007012"</f>
        <v/>
      </c>
      <c r="D279" s="30" t="inlineStr">
        <is>
          <t>SOMOS SONHO LTDA</t>
        </is>
      </c>
      <c r="E279" s="40" t="n">
        <v>0</v>
      </c>
      <c r="F279" s="40" t="n">
        <v>0</v>
      </c>
      <c r="G279" s="40" t="n">
        <v>0</v>
      </c>
      <c r="H279" s="40" t="n">
        <v>0</v>
      </c>
      <c r="I279" s="40" t="n">
        <v>0</v>
      </c>
      <c r="J279" s="40" t="n">
        <v>0</v>
      </c>
      <c r="K279" s="40" t="n">
        <v>0</v>
      </c>
      <c r="L279" s="40" t="n">
        <v>0</v>
      </c>
      <c r="M279" s="40" t="n">
        <v>0</v>
      </c>
      <c r="N279" s="40" t="n">
        <v>0</v>
      </c>
      <c r="O279" s="40" t="n">
        <v>0</v>
      </c>
      <c r="P279" s="40" t="n">
        <v>237708.94</v>
      </c>
      <c r="Q279" s="40" t="n">
        <v>100</v>
      </c>
      <c r="R279" s="47" t="n"/>
      <c r="S279" s="47" t="n"/>
      <c r="T279" s="47" t="n"/>
      <c r="U279" s="47" t="n"/>
      <c r="V279" s="47" t="n"/>
      <c r="W279" s="47" t="n"/>
    </row>
    <row r="280" ht="12" customHeight="1">
      <c r="A280" s="30" t="inlineStr">
        <is>
          <t>Itaguai</t>
        </is>
      </c>
      <c r="B280" s="30" t="n">
        <v>12619715</v>
      </c>
      <c r="C280" s="30">
        <f>"03255266000416"</f>
        <v/>
      </c>
      <c r="D280" s="30" t="inlineStr">
        <is>
          <t>PRIO BRAVO LTDA</t>
        </is>
      </c>
      <c r="E280" s="40" t="n">
        <v>0</v>
      </c>
      <c r="F280" s="40" t="n">
        <v>0</v>
      </c>
      <c r="G280" s="40" t="n">
        <v>0</v>
      </c>
      <c r="H280" s="40" t="n">
        <v>0</v>
      </c>
      <c r="I280" s="40" t="n">
        <v>0</v>
      </c>
      <c r="J280" s="40" t="n">
        <v>0</v>
      </c>
      <c r="K280" s="40" t="n">
        <v>0</v>
      </c>
      <c r="L280" s="40" t="n">
        <v>0</v>
      </c>
      <c r="M280" s="40" t="n">
        <v>0</v>
      </c>
      <c r="N280" s="40" t="n">
        <v>0</v>
      </c>
      <c r="O280" s="40" t="n">
        <v>0</v>
      </c>
      <c r="P280" s="40" t="n">
        <v>236817.39</v>
      </c>
      <c r="Q280" s="40" t="n">
        <v>100</v>
      </c>
      <c r="R280" s="47" t="n"/>
      <c r="S280" s="47" t="n"/>
      <c r="T280" s="47" t="n"/>
      <c r="U280" s="47" t="n"/>
      <c r="V280" s="47" t="n"/>
      <c r="W280" s="47" t="n"/>
    </row>
    <row r="281" ht="12" customHeight="1">
      <c r="A281" s="30" t="inlineStr">
        <is>
          <t>Itaguai</t>
        </is>
      </c>
      <c r="B281" s="30" t="n">
        <v>12624611</v>
      </c>
      <c r="C281" s="30">
        <f>"48126625000120"</f>
        <v/>
      </c>
      <c r="D281" s="30" t="inlineStr">
        <is>
          <t>ITAGUAI RJ 749 GERA??O DE ENERGIA 605 LTDA</t>
        </is>
      </c>
      <c r="E281" s="40" t="n">
        <v>0</v>
      </c>
      <c r="F281" s="40" t="n">
        <v>0</v>
      </c>
      <c r="G281" s="40" t="n">
        <v>0</v>
      </c>
      <c r="H281" s="40" t="n">
        <v>0</v>
      </c>
      <c r="I281" s="40" t="n">
        <v>0</v>
      </c>
      <c r="J281" s="40" t="n">
        <v>0</v>
      </c>
      <c r="K281" s="40" t="n">
        <v>0</v>
      </c>
      <c r="L281" s="40" t="n">
        <v>0</v>
      </c>
      <c r="M281" s="40" t="n">
        <v>0</v>
      </c>
      <c r="N281" s="40" t="n">
        <v>0</v>
      </c>
      <c r="O281" s="40" t="n">
        <v>0</v>
      </c>
      <c r="P281" s="40" t="n">
        <v>0</v>
      </c>
      <c r="Q281" s="40" t="n">
        <v>0</v>
      </c>
      <c r="R281" s="47" t="n"/>
      <c r="S281" s="47" t="n"/>
      <c r="T281" s="47" t="n"/>
      <c r="U281" s="47" t="n"/>
      <c r="V281" s="47" t="n"/>
      <c r="W281" s="47" t="n"/>
    </row>
    <row r="282" ht="12" customHeight="1">
      <c r="A282" s="30" t="inlineStr">
        <is>
          <t>Itaguai</t>
        </is>
      </c>
      <c r="B282" s="30" t="n">
        <v>12644973</v>
      </c>
      <c r="C282" s="30">
        <f>"48342823000121"</f>
        <v/>
      </c>
      <c r="D282" s="30" t="inlineStr">
        <is>
          <t>C S FREITAS COMERCIO DE ELETRONICOS LTDA</t>
        </is>
      </c>
      <c r="E282" s="40" t="n">
        <v>0</v>
      </c>
      <c r="F282" s="40" t="n">
        <v>0</v>
      </c>
      <c r="G282" s="40" t="n">
        <v>0</v>
      </c>
      <c r="H282" s="40" t="n">
        <v>0</v>
      </c>
      <c r="I282" s="40" t="n">
        <v>0</v>
      </c>
      <c r="J282" s="40" t="n">
        <v>0</v>
      </c>
      <c r="K282" s="40" t="n">
        <v>0</v>
      </c>
      <c r="L282" s="40" t="n">
        <v>0</v>
      </c>
      <c r="M282" s="40" t="n">
        <v>0</v>
      </c>
      <c r="N282" s="40" t="n">
        <v>0</v>
      </c>
      <c r="O282" s="40" t="n">
        <v>0</v>
      </c>
      <c r="P282" s="40" t="n">
        <v>763490.73</v>
      </c>
      <c r="Q282" s="40" t="n">
        <v>100</v>
      </c>
      <c r="R282" s="47" t="n"/>
      <c r="S282" s="47" t="n"/>
      <c r="T282" s="47" t="n"/>
      <c r="U282" s="47" t="n"/>
      <c r="V282" s="47" t="n"/>
      <c r="W282" s="47" t="n"/>
    </row>
    <row r="283" ht="12" customHeight="1">
      <c r="A283" s="30" t="inlineStr">
        <is>
          <t>Itaguai</t>
        </is>
      </c>
      <c r="B283" s="30" t="n">
        <v>12658427</v>
      </c>
      <c r="C283" s="30">
        <f>"00016679682703"</f>
        <v/>
      </c>
      <c r="D283" s="30" t="inlineStr">
        <is>
          <t>CAIO EMANUEL FIGUEIRA MOURA</t>
        </is>
      </c>
      <c r="E283" s="40" t="n">
        <v>0</v>
      </c>
      <c r="F283" s="40" t="n">
        <v>0</v>
      </c>
      <c r="G283" s="40" t="n">
        <v>0</v>
      </c>
      <c r="H283" s="40" t="n">
        <v>0</v>
      </c>
      <c r="I283" s="40" t="n">
        <v>0</v>
      </c>
      <c r="J283" s="40" t="n">
        <v>0</v>
      </c>
      <c r="K283" s="40" t="n">
        <v>0</v>
      </c>
      <c r="L283" s="40" t="n">
        <v>0</v>
      </c>
      <c r="M283" s="40" t="n">
        <v>0</v>
      </c>
      <c r="N283" s="40" t="n">
        <v>0</v>
      </c>
      <c r="O283" s="40" t="n">
        <v>0</v>
      </c>
      <c r="P283" s="40" t="n">
        <v>0</v>
      </c>
      <c r="Q283" s="40" t="n">
        <v>0</v>
      </c>
      <c r="R283" s="47" t="n"/>
      <c r="S283" s="47" t="n"/>
      <c r="T283" s="47" t="n"/>
      <c r="U283" s="47" t="n"/>
      <c r="V283" s="47" t="n"/>
      <c r="W283" s="47" t="n"/>
    </row>
    <row r="284" ht="12" customHeight="1">
      <c r="A284" s="30" t="inlineStr">
        <is>
          <t>Itaguai</t>
        </is>
      </c>
      <c r="B284" s="30" t="n">
        <v>12661894</v>
      </c>
      <c r="C284" s="30">
        <f>"32168100001947"</f>
        <v/>
      </c>
      <c r="D284" s="30" t="inlineStr">
        <is>
          <t>PONTO MIX CONFEC??ES LTDA</t>
        </is>
      </c>
      <c r="E284" s="40" t="n">
        <v>0</v>
      </c>
      <c r="F284" s="40" t="n">
        <v>0</v>
      </c>
      <c r="G284" s="40" t="n">
        <v>0</v>
      </c>
      <c r="H284" s="40" t="n">
        <v>0</v>
      </c>
      <c r="I284" s="40" t="n">
        <v>0</v>
      </c>
      <c r="J284" s="40" t="n">
        <v>0</v>
      </c>
      <c r="K284" s="40" t="n">
        <v>0</v>
      </c>
      <c r="L284" s="40" t="n">
        <v>0</v>
      </c>
      <c r="M284" s="40" t="n">
        <v>0</v>
      </c>
      <c r="N284" s="40" t="n">
        <v>0</v>
      </c>
      <c r="O284" s="40" t="n">
        <v>0</v>
      </c>
      <c r="P284" s="40" t="n">
        <v>932511.88</v>
      </c>
      <c r="Q284" s="40" t="n">
        <v>100</v>
      </c>
      <c r="R284" s="47" t="n"/>
      <c r="S284" s="47" t="n"/>
      <c r="T284" s="47" t="n"/>
      <c r="U284" s="47" t="n"/>
      <c r="V284" s="47" t="n"/>
      <c r="W284" s="47" t="n"/>
    </row>
    <row r="285" ht="12" customHeight="1">
      <c r="A285" s="30" t="inlineStr">
        <is>
          <t>Itaguai</t>
        </is>
      </c>
      <c r="B285" s="30" t="n">
        <v>12674201</v>
      </c>
      <c r="C285" s="30">
        <f>"17803300000373"</f>
        <v/>
      </c>
      <c r="D285" s="30" t="inlineStr">
        <is>
          <t>FORTCARGO TRANSPORTES LTDA</t>
        </is>
      </c>
      <c r="E285" s="40" t="n">
        <v>0</v>
      </c>
      <c r="F285" s="40" t="n">
        <v>0</v>
      </c>
      <c r="G285" s="40" t="n">
        <v>0</v>
      </c>
      <c r="H285" s="40" t="n">
        <v>0</v>
      </c>
      <c r="I285" s="40" t="n">
        <v>0</v>
      </c>
      <c r="J285" s="40" t="n">
        <v>0</v>
      </c>
      <c r="K285" s="40" t="n">
        <v>0</v>
      </c>
      <c r="L285" s="40" t="n">
        <v>0</v>
      </c>
      <c r="M285" s="40" t="n">
        <v>0</v>
      </c>
      <c r="N285" s="40" t="n">
        <v>0</v>
      </c>
      <c r="O285" s="40" t="n">
        <v>0</v>
      </c>
      <c r="P285" s="40" t="n">
        <v>186.63</v>
      </c>
      <c r="Q285" s="40" t="n">
        <v>100</v>
      </c>
      <c r="R285" s="47" t="n"/>
      <c r="S285" s="47" t="n"/>
      <c r="T285" s="47" t="n"/>
      <c r="U285" s="47" t="n"/>
      <c r="V285" s="47" t="n"/>
      <c r="W285" s="47" t="n"/>
    </row>
    <row r="286" ht="12" customHeight="1">
      <c r="A286" s="30" t="inlineStr">
        <is>
          <t>Itaguai</t>
        </is>
      </c>
      <c r="B286" s="30" t="n">
        <v>12700563</v>
      </c>
      <c r="C286" s="30">
        <f>"43794308000835"</f>
        <v/>
      </c>
      <c r="D286" s="30" t="inlineStr">
        <is>
          <t>MONAMIE COSM?TICOS E BAZAR LTDA</t>
        </is>
      </c>
      <c r="E286" s="40" t="n">
        <v>0</v>
      </c>
      <c r="F286" s="40" t="n">
        <v>0</v>
      </c>
      <c r="G286" s="40" t="n">
        <v>0</v>
      </c>
      <c r="H286" s="40" t="n">
        <v>0</v>
      </c>
      <c r="I286" s="40" t="n">
        <v>0</v>
      </c>
      <c r="J286" s="40" t="n">
        <v>0</v>
      </c>
      <c r="K286" s="40" t="n">
        <v>0</v>
      </c>
      <c r="L286" s="40" t="n">
        <v>0</v>
      </c>
      <c r="M286" s="40" t="n">
        <v>0</v>
      </c>
      <c r="N286" s="40" t="n">
        <v>0</v>
      </c>
      <c r="O286" s="40" t="n">
        <v>0</v>
      </c>
      <c r="P286" s="40" t="n">
        <v>1100674.46</v>
      </c>
      <c r="Q286" s="40" t="n">
        <v>100</v>
      </c>
      <c r="R286" s="47" t="n"/>
      <c r="S286" s="47" t="n"/>
      <c r="T286" s="47" t="n"/>
      <c r="U286" s="47" t="n"/>
      <c r="V286" s="47" t="n"/>
      <c r="W286" s="47" t="n"/>
    </row>
    <row r="287" ht="12" customHeight="1">
      <c r="A287" s="30" t="inlineStr">
        <is>
          <t>Itaguai</t>
        </is>
      </c>
      <c r="B287" s="30" t="n">
        <v>12714670</v>
      </c>
      <c r="C287" s="30">
        <f>"67844183000445"</f>
        <v/>
      </c>
      <c r="D287" s="30" t="inlineStr">
        <is>
          <t>RTT SOLUCOES INDUSTRIAIS LTDA</t>
        </is>
      </c>
      <c r="E287" s="40" t="n">
        <v>0</v>
      </c>
      <c r="F287" s="40" t="n">
        <v>0</v>
      </c>
      <c r="G287" s="40" t="n">
        <v>0</v>
      </c>
      <c r="H287" s="40" t="n">
        <v>0</v>
      </c>
      <c r="I287" s="40" t="n">
        <v>0</v>
      </c>
      <c r="J287" s="40" t="n">
        <v>0</v>
      </c>
      <c r="K287" s="40" t="n">
        <v>0</v>
      </c>
      <c r="L287" s="40" t="n">
        <v>0</v>
      </c>
      <c r="M287" s="40" t="n">
        <v>0</v>
      </c>
      <c r="N287" s="40" t="n">
        <v>0</v>
      </c>
      <c r="O287" s="40" t="n">
        <v>0</v>
      </c>
      <c r="P287" s="40" t="n">
        <v>0</v>
      </c>
      <c r="Q287" s="40" t="n">
        <v>0</v>
      </c>
      <c r="R287" s="47" t="n"/>
      <c r="S287" s="47" t="n"/>
      <c r="T287" s="47" t="n"/>
      <c r="U287" s="47" t="n"/>
      <c r="V287" s="47" t="n"/>
      <c r="W287" s="47" t="n"/>
    </row>
    <row r="288" ht="12" customHeight="1">
      <c r="A288" s="30" t="inlineStr">
        <is>
          <t>Itaguai</t>
        </is>
      </c>
      <c r="B288" s="30" t="n">
        <v>12739273</v>
      </c>
      <c r="C288" s="30">
        <f>"00000246331780"</f>
        <v/>
      </c>
      <c r="D288" s="30" t="inlineStr">
        <is>
          <t>MONICA ASSIS DE ARAUJO E SILVA</t>
        </is>
      </c>
      <c r="E288" s="40" t="n">
        <v>0</v>
      </c>
      <c r="F288" s="40" t="n">
        <v>0</v>
      </c>
      <c r="G288" s="40" t="n">
        <v>0</v>
      </c>
      <c r="H288" s="40" t="n">
        <v>0</v>
      </c>
      <c r="I288" s="40" t="n">
        <v>0</v>
      </c>
      <c r="J288" s="40" t="n">
        <v>0</v>
      </c>
      <c r="K288" s="40" t="n">
        <v>0</v>
      </c>
      <c r="L288" s="40" t="n">
        <v>0</v>
      </c>
      <c r="M288" s="40" t="n">
        <v>0</v>
      </c>
      <c r="N288" s="40" t="n">
        <v>0</v>
      </c>
      <c r="O288" s="40" t="n">
        <v>0</v>
      </c>
      <c r="P288" s="40" t="n">
        <v>23330.57</v>
      </c>
      <c r="Q288" s="40" t="n">
        <v>100</v>
      </c>
      <c r="R288" s="47" t="n"/>
      <c r="S288" s="47" t="n"/>
      <c r="T288" s="47" t="n"/>
      <c r="U288" s="47" t="n"/>
      <c r="V288" s="47" t="n"/>
      <c r="W288" s="47" t="n"/>
    </row>
    <row r="289" ht="12" customHeight="1">
      <c r="A289" s="30" t="inlineStr">
        <is>
          <t>Itaguai</t>
        </is>
      </c>
      <c r="B289" s="30" t="n">
        <v>12754515</v>
      </c>
      <c r="C289" s="30">
        <f>"07991107000511"</f>
        <v/>
      </c>
      <c r="D289" s="30" t="inlineStr">
        <is>
          <t>MARANATA INDUSTRIA E COMERCIO DE SAL LTDA</t>
        </is>
      </c>
      <c r="E289" s="40" t="n">
        <v>0</v>
      </c>
      <c r="F289" s="40" t="n">
        <v>0</v>
      </c>
      <c r="G289" s="40" t="n">
        <v>0</v>
      </c>
      <c r="H289" s="40" t="n">
        <v>0</v>
      </c>
      <c r="I289" s="40" t="n">
        <v>0</v>
      </c>
      <c r="J289" s="40" t="n">
        <v>0</v>
      </c>
      <c r="K289" s="40" t="n">
        <v>0</v>
      </c>
      <c r="L289" s="40" t="n">
        <v>0</v>
      </c>
      <c r="M289" s="40" t="n">
        <v>0</v>
      </c>
      <c r="N289" s="40" t="n">
        <v>0</v>
      </c>
      <c r="O289" s="40" t="n">
        <v>0</v>
      </c>
      <c r="P289" s="40" t="n">
        <v>0</v>
      </c>
      <c r="Q289" s="40" t="n">
        <v>0</v>
      </c>
      <c r="R289" s="47" t="n"/>
      <c r="S289" s="47" t="n"/>
      <c r="T289" s="47" t="n"/>
      <c r="U289" s="47" t="n"/>
      <c r="V289" s="47" t="n"/>
      <c r="W289" s="47" t="n"/>
    </row>
    <row r="290" ht="12" customHeight="1">
      <c r="A290" s="30" t="inlineStr">
        <is>
          <t>Itaguai</t>
        </is>
      </c>
      <c r="B290" s="30" t="n">
        <v>12802749</v>
      </c>
      <c r="C290" s="30">
        <f>"49905475000116"</f>
        <v/>
      </c>
      <c r="D290" s="30" t="inlineStr">
        <is>
          <t>ITAGUAI RJ 753 GERACAO DE ENERGIA 490 LTDA</t>
        </is>
      </c>
      <c r="E290" s="40" t="n">
        <v>0</v>
      </c>
      <c r="F290" s="40" t="n">
        <v>0</v>
      </c>
      <c r="G290" s="40" t="n">
        <v>0</v>
      </c>
      <c r="H290" s="40" t="n">
        <v>0</v>
      </c>
      <c r="I290" s="40" t="n">
        <v>0</v>
      </c>
      <c r="J290" s="40" t="n">
        <v>0</v>
      </c>
      <c r="K290" s="40" t="n">
        <v>0</v>
      </c>
      <c r="L290" s="40" t="n">
        <v>0</v>
      </c>
      <c r="M290" s="40" t="n">
        <v>0</v>
      </c>
      <c r="N290" s="40" t="n">
        <v>0</v>
      </c>
      <c r="O290" s="40" t="n">
        <v>0</v>
      </c>
      <c r="P290" s="40" t="n">
        <v>0</v>
      </c>
      <c r="Q290" s="40" t="n">
        <v>0</v>
      </c>
      <c r="R290" s="47" t="n"/>
      <c r="S290" s="47" t="n"/>
      <c r="T290" s="47" t="n"/>
      <c r="U290" s="47" t="n"/>
      <c r="V290" s="47" t="n"/>
      <c r="W290" s="47" t="n"/>
    </row>
    <row r="291" ht="12" customHeight="1">
      <c r="A291" s="30" t="inlineStr">
        <is>
          <t>Itaguai</t>
        </is>
      </c>
      <c r="B291" s="30" t="n">
        <v>12805446</v>
      </c>
      <c r="C291" s="30">
        <f>"08969326000214"</f>
        <v/>
      </c>
      <c r="D291" s="30" t="inlineStr">
        <is>
          <t>POLICARPO LOGISTICA E TRANSPORTES LTDA</t>
        </is>
      </c>
      <c r="E291" s="40" t="n">
        <v>0</v>
      </c>
      <c r="F291" s="40" t="n">
        <v>0</v>
      </c>
      <c r="G291" s="40" t="n">
        <v>0</v>
      </c>
      <c r="H291" s="40" t="n">
        <v>0</v>
      </c>
      <c r="I291" s="40" t="n">
        <v>0</v>
      </c>
      <c r="J291" s="40" t="n">
        <v>0</v>
      </c>
      <c r="K291" s="40" t="n">
        <v>0</v>
      </c>
      <c r="L291" s="40" t="n">
        <v>0</v>
      </c>
      <c r="M291" s="40" t="n">
        <v>0</v>
      </c>
      <c r="N291" s="40" t="n">
        <v>0</v>
      </c>
      <c r="O291" s="40" t="n">
        <v>0</v>
      </c>
      <c r="P291" s="40" t="n">
        <v>6006.4</v>
      </c>
      <c r="Q291" s="40" t="n">
        <v>100</v>
      </c>
      <c r="R291" s="47" t="n"/>
      <c r="S291" s="47" t="n"/>
      <c r="T291" s="47" t="n"/>
      <c r="U291" s="47" t="n"/>
      <c r="V291" s="47" t="n"/>
      <c r="W291" s="47" t="n"/>
    </row>
    <row r="292" ht="12" customHeight="1">
      <c r="A292" s="30" t="inlineStr">
        <is>
          <t>Itaguai</t>
        </is>
      </c>
      <c r="B292" s="30" t="n">
        <v>12810083</v>
      </c>
      <c r="C292" s="30">
        <f>"00008612914760"</f>
        <v/>
      </c>
      <c r="D292" s="30" t="inlineStr">
        <is>
          <t>AFFONSO DE MORAES LIMA NETO</t>
        </is>
      </c>
      <c r="E292" s="40" t="n">
        <v>0</v>
      </c>
      <c r="F292" s="40" t="n">
        <v>0</v>
      </c>
      <c r="G292" s="40" t="n">
        <v>0</v>
      </c>
      <c r="H292" s="40" t="n">
        <v>0</v>
      </c>
      <c r="I292" s="40" t="n">
        <v>0</v>
      </c>
      <c r="J292" s="40" t="n">
        <v>0</v>
      </c>
      <c r="K292" s="40" t="n">
        <v>0</v>
      </c>
      <c r="L292" s="40" t="n">
        <v>0</v>
      </c>
      <c r="M292" s="40" t="n">
        <v>0</v>
      </c>
      <c r="N292" s="40" t="n">
        <v>0</v>
      </c>
      <c r="O292" s="40" t="n">
        <v>0</v>
      </c>
      <c r="P292" s="40" t="n">
        <v>0</v>
      </c>
      <c r="Q292" s="40" t="n">
        <v>0</v>
      </c>
      <c r="R292" s="47" t="n"/>
      <c r="S292" s="47" t="n"/>
      <c r="T292" s="47" t="n"/>
      <c r="U292" s="47" t="n"/>
      <c r="V292" s="47" t="n"/>
      <c r="W292" s="47" t="n"/>
    </row>
    <row r="293" ht="12" customHeight="1">
      <c r="A293" s="30" t="inlineStr">
        <is>
          <t>Itaguai</t>
        </is>
      </c>
      <c r="B293" s="30" t="n">
        <v>12814623</v>
      </c>
      <c r="C293" s="30">
        <f>"00005794821701"</f>
        <v/>
      </c>
      <c r="D293" s="30" t="inlineStr">
        <is>
          <t>GIOVANNA LEMOS LIMA SANTORO</t>
        </is>
      </c>
      <c r="E293" s="40" t="n">
        <v>0</v>
      </c>
      <c r="F293" s="40" t="n">
        <v>0</v>
      </c>
      <c r="G293" s="40" t="n">
        <v>0</v>
      </c>
      <c r="H293" s="40" t="n">
        <v>0</v>
      </c>
      <c r="I293" s="40" t="n">
        <v>0</v>
      </c>
      <c r="J293" s="40" t="n">
        <v>0</v>
      </c>
      <c r="K293" s="40" t="n">
        <v>0</v>
      </c>
      <c r="L293" s="40" t="n">
        <v>0</v>
      </c>
      <c r="M293" s="40" t="n">
        <v>0</v>
      </c>
      <c r="N293" s="40" t="n">
        <v>0</v>
      </c>
      <c r="O293" s="40" t="n">
        <v>0</v>
      </c>
      <c r="P293" s="40" t="n">
        <v>1370747</v>
      </c>
      <c r="Q293" s="40" t="n">
        <v>100</v>
      </c>
      <c r="R293" s="47" t="n"/>
      <c r="S293" s="47" t="n"/>
      <c r="T293" s="47" t="n"/>
      <c r="U293" s="47" t="n"/>
      <c r="V293" s="47" t="n"/>
      <c r="W293" s="47" t="n"/>
    </row>
    <row r="294" ht="12" customHeight="1">
      <c r="A294" s="30" t="inlineStr">
        <is>
          <t>Itaguai</t>
        </is>
      </c>
      <c r="B294" s="30" t="n">
        <v>12817878</v>
      </c>
      <c r="C294" s="30">
        <f>"14310170011111"</f>
        <v/>
      </c>
      <c r="D294" s="30" t="inlineStr">
        <is>
          <t>AUTOZONE BRASIL COMERCIO DE AUTOPECAS LTDA.</t>
        </is>
      </c>
      <c r="E294" s="40" t="n">
        <v>0</v>
      </c>
      <c r="F294" s="40" t="n">
        <v>0</v>
      </c>
      <c r="G294" s="40" t="n">
        <v>0</v>
      </c>
      <c r="H294" s="40" t="n">
        <v>0</v>
      </c>
      <c r="I294" s="40" t="n">
        <v>0</v>
      </c>
      <c r="J294" s="40" t="n">
        <v>0</v>
      </c>
      <c r="K294" s="40" t="n">
        <v>0</v>
      </c>
      <c r="L294" s="40" t="n">
        <v>0</v>
      </c>
      <c r="M294" s="40" t="n">
        <v>0</v>
      </c>
      <c r="N294" s="40" t="n">
        <v>0</v>
      </c>
      <c r="O294" s="40" t="n">
        <v>0</v>
      </c>
      <c r="P294" s="40" t="n">
        <v>0</v>
      </c>
      <c r="Q294" s="40" t="n">
        <v>0</v>
      </c>
      <c r="R294" s="47" t="n"/>
      <c r="S294" s="47" t="n"/>
      <c r="T294" s="47" t="n"/>
      <c r="U294" s="47" t="n"/>
      <c r="V294" s="47" t="n"/>
      <c r="W294" s="47" t="n"/>
    </row>
    <row r="295" ht="12" customHeight="1">
      <c r="A295" s="30" t="inlineStr">
        <is>
          <t>Itaguai</t>
        </is>
      </c>
      <c r="B295" s="30" t="n">
        <v>12826125</v>
      </c>
      <c r="C295" s="30">
        <f>"49548533000282"</f>
        <v/>
      </c>
      <c r="D295" s="30" t="inlineStr">
        <is>
          <t>TRANSCAPITAIS EXPRESS LTDA</t>
        </is>
      </c>
      <c r="E295" s="40" t="n">
        <v>0</v>
      </c>
      <c r="F295" s="40" t="n">
        <v>0</v>
      </c>
      <c r="G295" s="40" t="n">
        <v>0</v>
      </c>
      <c r="H295" s="40" t="n">
        <v>0</v>
      </c>
      <c r="I295" s="40" t="n">
        <v>0</v>
      </c>
      <c r="J295" s="40" t="n">
        <v>0</v>
      </c>
      <c r="K295" s="40" t="n">
        <v>0</v>
      </c>
      <c r="L295" s="40" t="n">
        <v>0</v>
      </c>
      <c r="M295" s="40" t="n">
        <v>0</v>
      </c>
      <c r="N295" s="40" t="n">
        <v>0</v>
      </c>
      <c r="O295" s="40" t="n">
        <v>0</v>
      </c>
      <c r="P295" s="40" t="n">
        <v>129.85</v>
      </c>
      <c r="Q295" s="40" t="n">
        <v>100</v>
      </c>
      <c r="R295" s="47" t="n"/>
      <c r="S295" s="47" t="n"/>
      <c r="T295" s="47" t="n"/>
      <c r="U295" s="47" t="n"/>
      <c r="V295" s="47" t="n"/>
      <c r="W295" s="47" t="n"/>
    </row>
    <row r="296" ht="12" customHeight="1">
      <c r="A296" s="30" t="inlineStr">
        <is>
          <t>Itaguai</t>
        </is>
      </c>
      <c r="B296" s="30" t="n">
        <v>12836368</v>
      </c>
      <c r="C296" s="30">
        <f>"07126663000368"</f>
        <v/>
      </c>
      <c r="D296" s="30" t="inlineStr">
        <is>
          <t>MULTI PARATY MERCADO LTDA</t>
        </is>
      </c>
      <c r="E296" s="40" t="n">
        <v>0</v>
      </c>
      <c r="F296" s="40" t="n">
        <v>0</v>
      </c>
      <c r="G296" s="40" t="n">
        <v>0</v>
      </c>
      <c r="H296" s="40" t="n">
        <v>0</v>
      </c>
      <c r="I296" s="40" t="n">
        <v>0</v>
      </c>
      <c r="J296" s="40" t="n">
        <v>0</v>
      </c>
      <c r="K296" s="40" t="n">
        <v>0</v>
      </c>
      <c r="L296" s="40" t="n">
        <v>0</v>
      </c>
      <c r="M296" s="40" t="n">
        <v>0</v>
      </c>
      <c r="N296" s="40" t="n">
        <v>0</v>
      </c>
      <c r="O296" s="40" t="n">
        <v>0</v>
      </c>
      <c r="P296" s="40" t="n">
        <v>0</v>
      </c>
      <c r="Q296" s="40" t="n">
        <v>0</v>
      </c>
      <c r="R296" s="47" t="n"/>
      <c r="S296" s="47" t="n"/>
      <c r="T296" s="47" t="n"/>
      <c r="U296" s="47" t="n"/>
      <c r="V296" s="47" t="n"/>
      <c r="W296" s="47" t="n"/>
    </row>
    <row r="297" ht="12" customHeight="1">
      <c r="A297" s="30" t="inlineStr">
        <is>
          <t>Itaguai</t>
        </is>
      </c>
      <c r="B297" s="30" t="n">
        <v>12849826</v>
      </c>
      <c r="C297" s="30">
        <f>"50560601000127"</f>
        <v/>
      </c>
      <c r="D297" s="30" t="inlineStr">
        <is>
          <t>B-PROJECTS ARMAZEM GERAL LTDA.</t>
        </is>
      </c>
      <c r="E297" s="40" t="n">
        <v>0</v>
      </c>
      <c r="F297" s="40" t="n">
        <v>0</v>
      </c>
      <c r="G297" s="40" t="n">
        <v>0</v>
      </c>
      <c r="H297" s="40" t="n">
        <v>0</v>
      </c>
      <c r="I297" s="40" t="n">
        <v>0</v>
      </c>
      <c r="J297" s="40" t="n">
        <v>0</v>
      </c>
      <c r="K297" s="40" t="n">
        <v>0</v>
      </c>
      <c r="L297" s="40" t="n">
        <v>0</v>
      </c>
      <c r="M297" s="40" t="n">
        <v>0</v>
      </c>
      <c r="N297" s="40" t="n">
        <v>0</v>
      </c>
      <c r="O297" s="40" t="n">
        <v>0</v>
      </c>
      <c r="P297" s="40" t="n">
        <v>0</v>
      </c>
      <c r="Q297" s="40" t="n">
        <v>0</v>
      </c>
      <c r="R297" s="47" t="n"/>
      <c r="S297" s="47" t="n"/>
      <c r="T297" s="47" t="n"/>
      <c r="U297" s="47" t="n"/>
      <c r="V297" s="47" t="n"/>
      <c r="W297" s="47" t="n"/>
    </row>
    <row r="298" ht="12" customHeight="1">
      <c r="A298" s="30" t="inlineStr">
        <is>
          <t>Itaguai</t>
        </is>
      </c>
      <c r="B298" s="30" t="n">
        <v>12859104</v>
      </c>
      <c r="C298" s="30">
        <f>"32324737000741"</f>
        <v/>
      </c>
      <c r="D298" s="30" t="inlineStr">
        <is>
          <t>SUPER PET COM?RCIO DE RACOES LTDA</t>
        </is>
      </c>
      <c r="E298" s="40" t="n">
        <v>0</v>
      </c>
      <c r="F298" s="40" t="n">
        <v>0</v>
      </c>
      <c r="G298" s="40" t="n">
        <v>0</v>
      </c>
      <c r="H298" s="40" t="n">
        <v>0</v>
      </c>
      <c r="I298" s="40" t="n">
        <v>0</v>
      </c>
      <c r="J298" s="40" t="n">
        <v>0</v>
      </c>
      <c r="K298" s="40" t="n">
        <v>0</v>
      </c>
      <c r="L298" s="40" t="n">
        <v>0</v>
      </c>
      <c r="M298" s="40" t="n">
        <v>0</v>
      </c>
      <c r="N298" s="40" t="n">
        <v>0</v>
      </c>
      <c r="O298" s="40" t="n">
        <v>0</v>
      </c>
      <c r="P298" s="40" t="n">
        <v>0</v>
      </c>
      <c r="Q298" s="40" t="n">
        <v>0</v>
      </c>
      <c r="R298" s="47" t="n"/>
      <c r="S298" s="47" t="n"/>
      <c r="T298" s="47" t="n"/>
      <c r="U298" s="47" t="n"/>
      <c r="V298" s="47" t="n"/>
      <c r="W298" s="47" t="n"/>
    </row>
    <row r="299" ht="12" customHeight="1">
      <c r="A299" s="30" t="inlineStr">
        <is>
          <t>Itaguai</t>
        </is>
      </c>
      <c r="B299" s="30" t="n">
        <v>12861699</v>
      </c>
      <c r="C299" s="30">
        <f>"29335900000171"</f>
        <v/>
      </c>
      <c r="D299" s="30" t="inlineStr">
        <is>
          <t>MJR COMERCIO E LOCACOES DE VEICULOS LTDA</t>
        </is>
      </c>
      <c r="E299" s="40" t="n">
        <v>0</v>
      </c>
      <c r="F299" s="40" t="n">
        <v>0</v>
      </c>
      <c r="G299" s="40" t="n">
        <v>0</v>
      </c>
      <c r="H299" s="40" t="n">
        <v>0</v>
      </c>
      <c r="I299" s="40" t="n">
        <v>0</v>
      </c>
      <c r="J299" s="40" t="n">
        <v>0</v>
      </c>
      <c r="K299" s="40" t="n">
        <v>0</v>
      </c>
      <c r="L299" s="40" t="n">
        <v>0</v>
      </c>
      <c r="M299" s="40" t="n">
        <v>0</v>
      </c>
      <c r="N299" s="40" t="n">
        <v>0</v>
      </c>
      <c r="O299" s="40" t="n">
        <v>0</v>
      </c>
      <c r="P299" s="40" t="n">
        <v>0</v>
      </c>
      <c r="Q299" s="40" t="n">
        <v>0</v>
      </c>
      <c r="R299" s="47" t="n"/>
      <c r="S299" s="47" t="n"/>
      <c r="T299" s="47" t="n"/>
      <c r="U299" s="47" t="n"/>
      <c r="V299" s="47" t="n"/>
      <c r="W299" s="47" t="n"/>
    </row>
    <row r="300" ht="12" customHeight="1">
      <c r="A300" s="30" t="inlineStr">
        <is>
          <t>Itaguai</t>
        </is>
      </c>
      <c r="B300" s="30" t="n">
        <v>12881916</v>
      </c>
      <c r="C300" s="30">
        <f>"29587623003886"</f>
        <v/>
      </c>
      <c r="D300" s="30" t="inlineStr">
        <is>
          <t>SO TINTAS TERESOPOLIS LTDA</t>
        </is>
      </c>
      <c r="E300" s="40" t="n">
        <v>0</v>
      </c>
      <c r="F300" s="40" t="n">
        <v>0</v>
      </c>
      <c r="G300" s="40" t="n">
        <v>0</v>
      </c>
      <c r="H300" s="40" t="n">
        <v>0</v>
      </c>
      <c r="I300" s="40" t="n">
        <v>0</v>
      </c>
      <c r="J300" s="40" t="n">
        <v>0</v>
      </c>
      <c r="K300" s="40" t="n">
        <v>0</v>
      </c>
      <c r="L300" s="40" t="n">
        <v>0</v>
      </c>
      <c r="M300" s="40" t="n">
        <v>0</v>
      </c>
      <c r="N300" s="40" t="n">
        <v>0</v>
      </c>
      <c r="O300" s="40" t="n">
        <v>0</v>
      </c>
      <c r="P300" s="40" t="n">
        <v>198500.12</v>
      </c>
      <c r="Q300" s="40" t="n">
        <v>100</v>
      </c>
      <c r="R300" s="47" t="n"/>
      <c r="S300" s="47" t="n"/>
      <c r="T300" s="47" t="n"/>
      <c r="U300" s="47" t="n"/>
      <c r="V300" s="47" t="n"/>
      <c r="W300" s="47" t="n"/>
    </row>
    <row r="301" ht="12" customHeight="1">
      <c r="A301" s="30" t="inlineStr">
        <is>
          <t>Itaguai</t>
        </is>
      </c>
      <c r="B301" s="30" t="n">
        <v>12906960</v>
      </c>
      <c r="C301" s="30">
        <f>"42584754039988"</f>
        <v/>
      </c>
      <c r="D301" s="30" t="inlineStr">
        <is>
          <t>J&amp;T EXPRESS BRAZIL LTDA.</t>
        </is>
      </c>
      <c r="E301" s="40" t="n">
        <v>0</v>
      </c>
      <c r="F301" s="40" t="n">
        <v>0</v>
      </c>
      <c r="G301" s="40" t="n">
        <v>0</v>
      </c>
      <c r="H301" s="40" t="n">
        <v>0</v>
      </c>
      <c r="I301" s="40" t="n">
        <v>0</v>
      </c>
      <c r="J301" s="40" t="n">
        <v>0</v>
      </c>
      <c r="K301" s="40" t="n">
        <v>0</v>
      </c>
      <c r="L301" s="40" t="n">
        <v>0</v>
      </c>
      <c r="M301" s="40" t="n">
        <v>0</v>
      </c>
      <c r="N301" s="40" t="n">
        <v>0</v>
      </c>
      <c r="O301" s="40" t="n">
        <v>0</v>
      </c>
      <c r="P301" s="40" t="n">
        <v>17.68</v>
      </c>
      <c r="Q301" s="40" t="n">
        <v>100</v>
      </c>
      <c r="R301" s="47" t="n"/>
      <c r="S301" s="47" t="n"/>
      <c r="T301" s="47" t="n"/>
      <c r="U301" s="47" t="n"/>
      <c r="V301" s="47" t="n"/>
      <c r="W301" s="47" t="n"/>
    </row>
    <row r="302" ht="12" customHeight="1">
      <c r="A302" s="30" t="inlineStr">
        <is>
          <t>Itaguai</t>
        </is>
      </c>
      <c r="B302" s="30" t="n">
        <v>12909144</v>
      </c>
      <c r="C302" s="30">
        <f>"32767123000815"</f>
        <v/>
      </c>
      <c r="D302" s="30" t="inlineStr">
        <is>
          <t>VELOCARGAS BRASIL TRANSPORTE RODOVIARIO E LOGISTICA LTDA</t>
        </is>
      </c>
      <c r="E302" s="40" t="n">
        <v>0</v>
      </c>
      <c r="F302" s="40" t="n">
        <v>0</v>
      </c>
      <c r="G302" s="40" t="n">
        <v>0</v>
      </c>
      <c r="H302" s="40" t="n">
        <v>0</v>
      </c>
      <c r="I302" s="40" t="n">
        <v>0</v>
      </c>
      <c r="J302" s="40" t="n">
        <v>0</v>
      </c>
      <c r="K302" s="40" t="n">
        <v>0</v>
      </c>
      <c r="L302" s="40" t="n">
        <v>0</v>
      </c>
      <c r="M302" s="40" t="n">
        <v>0</v>
      </c>
      <c r="N302" s="40" t="n">
        <v>0</v>
      </c>
      <c r="O302" s="40" t="n">
        <v>0</v>
      </c>
      <c r="P302" s="40" t="n">
        <v>781.4299999999999</v>
      </c>
      <c r="Q302" s="40" t="n">
        <v>100</v>
      </c>
      <c r="R302" s="47" t="n"/>
      <c r="S302" s="47" t="n"/>
      <c r="T302" s="47" t="n"/>
      <c r="U302" s="47" t="n"/>
      <c r="V302" s="47" t="n"/>
      <c r="W302" s="47" t="n"/>
    </row>
    <row r="303" ht="12" customHeight="1">
      <c r="A303" s="30" t="inlineStr">
        <is>
          <t>Itaguai</t>
        </is>
      </c>
      <c r="B303" s="30" t="n">
        <v>12921853</v>
      </c>
      <c r="C303" s="30">
        <f>"47023336000133"</f>
        <v/>
      </c>
      <c r="D303" s="30" t="inlineStr">
        <is>
          <t>AUTO POSTO CANCELA LTDA</t>
        </is>
      </c>
      <c r="E303" s="40" t="n">
        <v>0</v>
      </c>
      <c r="F303" s="40" t="n">
        <v>0</v>
      </c>
      <c r="G303" s="40" t="n">
        <v>0</v>
      </c>
      <c r="H303" s="40" t="n">
        <v>0</v>
      </c>
      <c r="I303" s="40" t="n">
        <v>0</v>
      </c>
      <c r="J303" s="40" t="n">
        <v>0</v>
      </c>
      <c r="K303" s="40" t="n">
        <v>0</v>
      </c>
      <c r="L303" s="40" t="n">
        <v>0</v>
      </c>
      <c r="M303" s="40" t="n">
        <v>0</v>
      </c>
      <c r="N303" s="40" t="n">
        <v>0</v>
      </c>
      <c r="O303" s="40" t="n">
        <v>0</v>
      </c>
      <c r="P303" s="40" t="n">
        <v>0</v>
      </c>
      <c r="Q303" s="40" t="n">
        <v>0</v>
      </c>
      <c r="R303" s="47" t="n"/>
      <c r="S303" s="47" t="n"/>
      <c r="T303" s="47" t="n"/>
      <c r="U303" s="47" t="n"/>
      <c r="V303" s="47" t="n"/>
      <c r="W303" s="47" t="n"/>
    </row>
    <row r="304" ht="12" customHeight="1">
      <c r="A304" s="30" t="inlineStr">
        <is>
          <t>Itaguai</t>
        </is>
      </c>
      <c r="B304" s="30" t="n">
        <v>12928653</v>
      </c>
      <c r="C304" s="30">
        <f>"24743572000129"</f>
        <v/>
      </c>
      <c r="D304" s="30" t="inlineStr">
        <is>
          <t>OKJ SERVICOS DE ENGENHARIA LTDA</t>
        </is>
      </c>
      <c r="E304" s="40" t="n">
        <v>0</v>
      </c>
      <c r="F304" s="40" t="n">
        <v>0</v>
      </c>
      <c r="G304" s="40" t="n">
        <v>0</v>
      </c>
      <c r="H304" s="40" t="n">
        <v>0</v>
      </c>
      <c r="I304" s="40" t="n">
        <v>0</v>
      </c>
      <c r="J304" s="40" t="n">
        <v>0</v>
      </c>
      <c r="K304" s="40" t="n">
        <v>0</v>
      </c>
      <c r="L304" s="40" t="n">
        <v>0</v>
      </c>
      <c r="M304" s="40" t="n">
        <v>0</v>
      </c>
      <c r="N304" s="40" t="n">
        <v>0</v>
      </c>
      <c r="O304" s="40" t="n">
        <v>0</v>
      </c>
      <c r="P304" s="40" t="n">
        <v>0</v>
      </c>
      <c r="Q304" s="40" t="n">
        <v>0</v>
      </c>
      <c r="R304" s="47" t="n"/>
      <c r="S304" s="47" t="n"/>
      <c r="T304" s="47" t="n"/>
      <c r="U304" s="47" t="n"/>
      <c r="V304" s="47" t="n"/>
      <c r="W304" s="47" t="n"/>
    </row>
    <row r="305" ht="12" customHeight="1">
      <c r="A305" s="30" t="inlineStr">
        <is>
          <t>Itaguai</t>
        </is>
      </c>
      <c r="B305" s="30" t="n">
        <v>12934866</v>
      </c>
      <c r="C305" s="30">
        <f>"01402351000272"</f>
        <v/>
      </c>
      <c r="D305" s="30" t="inlineStr">
        <is>
          <t>FA?A O SONHO DA FESTA E COM?RCIO DE ALIMENTOS LTDA</t>
        </is>
      </c>
      <c r="E305" s="40" t="n">
        <v>0</v>
      </c>
      <c r="F305" s="40" t="n">
        <v>0</v>
      </c>
      <c r="G305" s="40" t="n">
        <v>0</v>
      </c>
      <c r="H305" s="40" t="n">
        <v>0</v>
      </c>
      <c r="I305" s="40" t="n">
        <v>0</v>
      </c>
      <c r="J305" s="40" t="n">
        <v>0</v>
      </c>
      <c r="K305" s="40" t="n">
        <v>0</v>
      </c>
      <c r="L305" s="40" t="n">
        <v>0</v>
      </c>
      <c r="M305" s="40" t="n">
        <v>0</v>
      </c>
      <c r="N305" s="40" t="n">
        <v>0</v>
      </c>
      <c r="O305" s="40" t="n">
        <v>0</v>
      </c>
      <c r="P305" s="40" t="n">
        <v>1461714.96</v>
      </c>
      <c r="Q305" s="40" t="n">
        <v>100</v>
      </c>
      <c r="R305" s="47" t="n"/>
      <c r="S305" s="47" t="n"/>
      <c r="T305" s="47" t="n"/>
      <c r="U305" s="47" t="n"/>
      <c r="V305" s="47" t="n"/>
      <c r="W305" s="47" t="n"/>
    </row>
    <row r="306" ht="12" customHeight="1">
      <c r="A306" s="30" t="inlineStr">
        <is>
          <t>Itaguai</t>
        </is>
      </c>
      <c r="B306" s="30" t="n">
        <v>12944896</v>
      </c>
      <c r="C306" s="30">
        <f>"50597713000152"</f>
        <v/>
      </c>
      <c r="D306" s="30" t="inlineStr">
        <is>
          <t>T S V LOGISTICA E COMERCIAL LTDA</t>
        </is>
      </c>
      <c r="E306" s="40" t="n">
        <v>0</v>
      </c>
      <c r="F306" s="40" t="n">
        <v>0</v>
      </c>
      <c r="G306" s="40" t="n">
        <v>0</v>
      </c>
      <c r="H306" s="40" t="n">
        <v>0</v>
      </c>
      <c r="I306" s="40" t="n">
        <v>0</v>
      </c>
      <c r="J306" s="40" t="n">
        <v>0</v>
      </c>
      <c r="K306" s="40" t="n">
        <v>0</v>
      </c>
      <c r="L306" s="40" t="n">
        <v>0</v>
      </c>
      <c r="M306" s="40" t="n">
        <v>0</v>
      </c>
      <c r="N306" s="40" t="n">
        <v>0</v>
      </c>
      <c r="O306" s="40" t="n">
        <v>0</v>
      </c>
      <c r="P306" s="40" t="n">
        <v>0</v>
      </c>
      <c r="Q306" s="40" t="n">
        <v>0</v>
      </c>
      <c r="R306" s="47" t="n"/>
      <c r="S306" s="47" t="n"/>
      <c r="T306" s="47" t="n"/>
      <c r="U306" s="47" t="n"/>
      <c r="V306" s="47" t="n"/>
      <c r="W306" s="47" t="n"/>
    </row>
    <row r="307" ht="12" customHeight="1">
      <c r="A307" s="30" t="inlineStr">
        <is>
          <t>Itaguai</t>
        </is>
      </c>
      <c r="B307" s="30" t="n">
        <v>12992904</v>
      </c>
      <c r="C307" s="30">
        <f>"01117975000590"</f>
        <v/>
      </c>
      <c r="D307" s="30" t="inlineStr">
        <is>
          <t>MAXPESA CONSTRUCOES TRANSPORTES LOCACOES E MONTAGENS LTDA</t>
        </is>
      </c>
      <c r="E307" s="40" t="n">
        <v>0</v>
      </c>
      <c r="F307" s="40" t="n">
        <v>0</v>
      </c>
      <c r="G307" s="40" t="n">
        <v>0</v>
      </c>
      <c r="H307" s="40" t="n">
        <v>0</v>
      </c>
      <c r="I307" s="40" t="n">
        <v>0</v>
      </c>
      <c r="J307" s="40" t="n">
        <v>0</v>
      </c>
      <c r="K307" s="40" t="n">
        <v>0</v>
      </c>
      <c r="L307" s="40" t="n">
        <v>0</v>
      </c>
      <c r="M307" s="40" t="n">
        <v>0</v>
      </c>
      <c r="N307" s="40" t="n">
        <v>0</v>
      </c>
      <c r="O307" s="40" t="n">
        <v>0</v>
      </c>
      <c r="P307" s="40" t="n">
        <v>0</v>
      </c>
      <c r="Q307" s="40" t="n">
        <v>0</v>
      </c>
      <c r="R307" s="47" t="n"/>
      <c r="S307" s="47" t="n"/>
      <c r="T307" s="47" t="n"/>
      <c r="U307" s="47" t="n"/>
      <c r="V307" s="47" t="n"/>
      <c r="W307" s="47" t="n"/>
    </row>
    <row r="308" ht="12" customHeight="1">
      <c r="A308" s="30" t="inlineStr">
        <is>
          <t>Itaguai</t>
        </is>
      </c>
      <c r="B308" s="30" t="n">
        <v>13170029</v>
      </c>
      <c r="C308" s="30">
        <f>"51901852000190"</f>
        <v/>
      </c>
      <c r="D308" s="30" t="inlineStr">
        <is>
          <t>ITA AMIGO GAS LTDA</t>
        </is>
      </c>
      <c r="E308" s="40" t="n">
        <v>0</v>
      </c>
      <c r="F308" s="40" t="n">
        <v>0</v>
      </c>
      <c r="G308" s="40" t="n">
        <v>0</v>
      </c>
      <c r="H308" s="40" t="n">
        <v>0</v>
      </c>
      <c r="I308" s="40" t="n">
        <v>0</v>
      </c>
      <c r="J308" s="40" t="n">
        <v>0</v>
      </c>
      <c r="K308" s="40" t="n">
        <v>0</v>
      </c>
      <c r="L308" s="40" t="n">
        <v>0</v>
      </c>
      <c r="M308" s="40" t="n">
        <v>0</v>
      </c>
      <c r="N308" s="40" t="n">
        <v>0</v>
      </c>
      <c r="O308" s="40" t="n">
        <v>0</v>
      </c>
      <c r="P308" s="40" t="n">
        <v>0</v>
      </c>
      <c r="Q308" s="40" t="n">
        <v>0</v>
      </c>
      <c r="R308" s="47" t="n"/>
      <c r="S308" s="47" t="n"/>
      <c r="T308" s="47" t="n"/>
      <c r="U308" s="47" t="n"/>
      <c r="V308" s="47" t="n"/>
      <c r="W308" s="47" t="n"/>
    </row>
    <row r="309" ht="12" customHeight="1">
      <c r="A309" s="30" t="inlineStr">
        <is>
          <t>Itaguai</t>
        </is>
      </c>
      <c r="B309" s="30" t="n">
        <v>13422133</v>
      </c>
      <c r="C309" s="30">
        <f>"52147052000199"</f>
        <v/>
      </c>
      <c r="D309" s="30" t="inlineStr">
        <is>
          <t>SOLAR HOJE ENERGIA LTDA</t>
        </is>
      </c>
      <c r="E309" s="40" t="n">
        <v>0</v>
      </c>
      <c r="F309" s="40" t="n">
        <v>0</v>
      </c>
      <c r="G309" s="40" t="n">
        <v>0</v>
      </c>
      <c r="H309" s="40" t="n">
        <v>0</v>
      </c>
      <c r="I309" s="40" t="n">
        <v>0</v>
      </c>
      <c r="J309" s="40" t="n">
        <v>0</v>
      </c>
      <c r="K309" s="40" t="n">
        <v>0</v>
      </c>
      <c r="L309" s="40" t="n">
        <v>0</v>
      </c>
      <c r="M309" s="40" t="n">
        <v>0</v>
      </c>
      <c r="N309" s="40" t="n">
        <v>0</v>
      </c>
      <c r="O309" s="40" t="n">
        <v>0</v>
      </c>
      <c r="P309" s="40" t="n">
        <v>0</v>
      </c>
      <c r="Q309" s="40" t="n">
        <v>0</v>
      </c>
      <c r="R309" s="47" t="n"/>
      <c r="S309" s="47" t="n"/>
      <c r="T309" s="47" t="n"/>
      <c r="U309" s="47" t="n"/>
      <c r="V309" s="47" t="n"/>
      <c r="W309" s="47" t="n"/>
    </row>
    <row r="310" ht="12" customHeight="1">
      <c r="A310" s="30" t="inlineStr">
        <is>
          <t>Itaguai</t>
        </is>
      </c>
      <c r="B310" s="30" t="n">
        <v>13977402</v>
      </c>
      <c r="C310" s="30">
        <f>"61585865335765"</f>
        <v/>
      </c>
      <c r="D310" s="30" t="inlineStr">
        <is>
          <t>RAIA DROGASIL S/A</t>
        </is>
      </c>
      <c r="E310" s="40" t="n">
        <v>0</v>
      </c>
      <c r="F310" s="40" t="n">
        <v>0</v>
      </c>
      <c r="G310" s="40" t="n">
        <v>0</v>
      </c>
      <c r="H310" s="40" t="n">
        <v>0</v>
      </c>
      <c r="I310" s="40" t="n">
        <v>0</v>
      </c>
      <c r="J310" s="40" t="n">
        <v>0</v>
      </c>
      <c r="K310" s="40" t="n">
        <v>0</v>
      </c>
      <c r="L310" s="40" t="n">
        <v>0</v>
      </c>
      <c r="M310" s="40" t="n">
        <v>0</v>
      </c>
      <c r="N310" s="40" t="n">
        <v>0</v>
      </c>
      <c r="O310" s="40" t="n">
        <v>0</v>
      </c>
      <c r="P310" s="40" t="n">
        <v>0</v>
      </c>
      <c r="Q310" s="40" t="n">
        <v>0</v>
      </c>
      <c r="R310" s="47" t="n"/>
      <c r="S310" s="47" t="n"/>
      <c r="T310" s="47" t="n"/>
      <c r="U310" s="47" t="n"/>
      <c r="V310" s="47" t="n"/>
      <c r="W310" s="47" t="n"/>
    </row>
    <row r="311" ht="12" customHeight="1">
      <c r="A311" s="30" t="inlineStr">
        <is>
          <t>Itaguai</t>
        </is>
      </c>
      <c r="B311" s="30" t="n">
        <v>14092749</v>
      </c>
      <c r="C311" s="30">
        <f>"04214233002191"</f>
        <v/>
      </c>
      <c r="D311" s="30" t="inlineStr">
        <is>
          <t>3C SERVICES S A</t>
        </is>
      </c>
      <c r="E311" s="40" t="n">
        <v>0</v>
      </c>
      <c r="F311" s="40" t="n">
        <v>0</v>
      </c>
      <c r="G311" s="40" t="n">
        <v>0</v>
      </c>
      <c r="H311" s="40" t="n">
        <v>0</v>
      </c>
      <c r="I311" s="40" t="n">
        <v>0</v>
      </c>
      <c r="J311" s="40" t="n">
        <v>0</v>
      </c>
      <c r="K311" s="40" t="n">
        <v>0</v>
      </c>
      <c r="L311" s="40" t="n">
        <v>0</v>
      </c>
      <c r="M311" s="40" t="n">
        <v>0</v>
      </c>
      <c r="N311" s="40" t="n">
        <v>0</v>
      </c>
      <c r="O311" s="40" t="n">
        <v>0</v>
      </c>
      <c r="P311" s="40" t="n">
        <v>170.27</v>
      </c>
      <c r="Q311" s="40" t="n">
        <v>100</v>
      </c>
      <c r="R311" s="47" t="n"/>
      <c r="S311" s="47" t="n"/>
      <c r="T311" s="47" t="n"/>
      <c r="U311" s="47" t="n"/>
      <c r="V311" s="47" t="n"/>
      <c r="W311" s="47" t="n"/>
    </row>
    <row r="312" ht="12" customHeight="1">
      <c r="A312" s="30" t="inlineStr">
        <is>
          <t>Itaguai</t>
        </is>
      </c>
      <c r="B312" s="30" t="n">
        <v>14106693</v>
      </c>
      <c r="C312" s="30">
        <f>"52600000000126"</f>
        <v/>
      </c>
      <c r="D312" s="30" t="inlineStr">
        <is>
          <t>FOX JB ENERGIAS RENOVAVEIS LTDA</t>
        </is>
      </c>
      <c r="E312" s="40" t="n">
        <v>0</v>
      </c>
      <c r="F312" s="40" t="n">
        <v>0</v>
      </c>
      <c r="G312" s="40" t="n">
        <v>0</v>
      </c>
      <c r="H312" s="40" t="n">
        <v>0</v>
      </c>
      <c r="I312" s="40" t="n">
        <v>0</v>
      </c>
      <c r="J312" s="40" t="n">
        <v>0</v>
      </c>
      <c r="K312" s="40" t="n">
        <v>0</v>
      </c>
      <c r="L312" s="40" t="n">
        <v>0</v>
      </c>
      <c r="M312" s="40" t="n">
        <v>0</v>
      </c>
      <c r="N312" s="40" t="n">
        <v>0</v>
      </c>
      <c r="O312" s="40" t="n">
        <v>0</v>
      </c>
      <c r="P312" s="40" t="n">
        <v>0</v>
      </c>
      <c r="Q312" s="40" t="n">
        <v>0</v>
      </c>
      <c r="R312" s="47" t="n"/>
      <c r="S312" s="47" t="n"/>
      <c r="T312" s="47" t="n"/>
      <c r="U312" s="47" t="n"/>
      <c r="V312" s="47" t="n"/>
      <c r="W312" s="47" t="n"/>
    </row>
    <row r="313" ht="12" customHeight="1">
      <c r="A313" s="30" t="inlineStr">
        <is>
          <t>Itaguai</t>
        </is>
      </c>
      <c r="B313" s="30" t="n">
        <v>70861593</v>
      </c>
      <c r="C313" s="30">
        <f>"00003364188769"</f>
        <v/>
      </c>
      <c r="D313" s="30" t="inlineStr">
        <is>
          <t>MARIA DE JESUS FERREIRA</t>
        </is>
      </c>
      <c r="E313" s="40" t="n">
        <v>21450</v>
      </c>
      <c r="F313" s="40" t="n">
        <v>7300</v>
      </c>
      <c r="G313" s="46" t="n">
        <v>-65.97</v>
      </c>
      <c r="H313" s="40" t="n">
        <v>0</v>
      </c>
      <c r="I313" s="46" t="n">
        <v>-100</v>
      </c>
      <c r="J313" s="40" t="n">
        <v>0</v>
      </c>
      <c r="K313" s="40" t="n">
        <v>0</v>
      </c>
      <c r="L313" s="40" t="n">
        <v>40800</v>
      </c>
      <c r="M313" s="40" t="n">
        <v>100</v>
      </c>
      <c r="N313" s="40" t="n">
        <v>4000</v>
      </c>
      <c r="O313" s="46" t="n">
        <v>-90.2</v>
      </c>
      <c r="P313" s="40" t="n">
        <v>5200</v>
      </c>
      <c r="Q313" s="40" t="n">
        <v>30</v>
      </c>
      <c r="R313" s="47" t="n"/>
      <c r="S313" s="47" t="n"/>
      <c r="T313" s="47" t="n"/>
      <c r="U313" s="47" t="n"/>
      <c r="V313" s="47" t="n"/>
      <c r="W313" s="47" t="n"/>
    </row>
    <row r="314" ht="12" customHeight="1">
      <c r="A314" s="30" t="inlineStr">
        <is>
          <t>Itaguai</t>
        </is>
      </c>
      <c r="B314" s="30" t="n">
        <v>70861712</v>
      </c>
      <c r="C314" s="30">
        <f>"05221175703"</f>
        <v/>
      </c>
      <c r="D314" s="30" t="inlineStr">
        <is>
          <t>DOLCAS CLEMENTINO TEIXEIRA</t>
        </is>
      </c>
      <c r="E314" s="40" t="n">
        <v>10800</v>
      </c>
      <c r="F314" s="40" t="n">
        <v>5400</v>
      </c>
      <c r="G314" s="46" t="n">
        <v>-50</v>
      </c>
      <c r="H314" s="40" t="n">
        <v>7690</v>
      </c>
      <c r="I314" s="40" t="n">
        <v>42.41</v>
      </c>
      <c r="J314" s="40" t="n">
        <v>6880</v>
      </c>
      <c r="K314" s="46" t="n">
        <v>-10.53</v>
      </c>
      <c r="L314" s="40" t="n">
        <v>10308</v>
      </c>
      <c r="M314" s="40" t="n">
        <v>49.83</v>
      </c>
      <c r="N314" s="40" t="n">
        <v>22075.2</v>
      </c>
      <c r="O314" s="40" t="n">
        <v>114.16</v>
      </c>
      <c r="P314" s="40" t="n">
        <v>23285.5</v>
      </c>
      <c r="Q314" s="40" t="n">
        <v>5.48</v>
      </c>
      <c r="R314" s="47" t="n"/>
      <c r="S314" s="47" t="n"/>
      <c r="T314" s="47" t="n"/>
      <c r="U314" s="47" t="n"/>
      <c r="V314" s="47" t="n"/>
      <c r="W314" s="47" t="n"/>
    </row>
    <row r="315" ht="12" customHeight="1">
      <c r="A315" s="30" t="inlineStr">
        <is>
          <t>Itaguai</t>
        </is>
      </c>
      <c r="B315" s="30" t="n">
        <v>70861720</v>
      </c>
      <c r="C315" s="30">
        <f>"02773090772"</f>
        <v/>
      </c>
      <c r="D315" s="30" t="inlineStr">
        <is>
          <t>GERALDO LAMEGO MATTOS</t>
        </is>
      </c>
      <c r="E315" s="40" t="n">
        <v>0</v>
      </c>
      <c r="F315" s="40" t="n">
        <v>0</v>
      </c>
      <c r="G315" s="40" t="n">
        <v>0</v>
      </c>
      <c r="H315" s="40" t="n">
        <v>970</v>
      </c>
      <c r="I315" s="40" t="n">
        <v>100</v>
      </c>
      <c r="J315" s="40" t="n">
        <v>0</v>
      </c>
      <c r="K315" s="46" t="n">
        <v>-100</v>
      </c>
      <c r="L315" s="40" t="n">
        <v>0</v>
      </c>
      <c r="M315" s="40" t="n">
        <v>0</v>
      </c>
      <c r="N315" s="40" t="n">
        <v>0</v>
      </c>
      <c r="O315" s="40" t="n">
        <v>0</v>
      </c>
      <c r="P315" s="40" t="n">
        <v>0</v>
      </c>
      <c r="Q315" s="40" t="n">
        <v>0</v>
      </c>
      <c r="R315" s="47" t="n"/>
      <c r="S315" s="47" t="n"/>
      <c r="T315" s="47" t="n"/>
      <c r="U315" s="47" t="n"/>
      <c r="V315" s="47" t="n"/>
      <c r="W315" s="47" t="n"/>
    </row>
    <row r="316" ht="12" customHeight="1">
      <c r="A316" s="30" t="inlineStr">
        <is>
          <t>Itaguai</t>
        </is>
      </c>
      <c r="B316" s="30" t="n">
        <v>70861747</v>
      </c>
      <c r="C316" s="30">
        <f>"52883582904"</f>
        <v/>
      </c>
      <c r="D316" s="30" t="inlineStr">
        <is>
          <t>JOAO VALEZI</t>
        </is>
      </c>
      <c r="E316" s="40" t="n">
        <v>182320</v>
      </c>
      <c r="F316" s="40" t="n">
        <v>248060</v>
      </c>
      <c r="G316" s="40" t="n">
        <v>36.06</v>
      </c>
      <c r="H316" s="40" t="n">
        <v>197156</v>
      </c>
      <c r="I316" s="46" t="n">
        <v>-20.52</v>
      </c>
      <c r="J316" s="40" t="n">
        <v>307058.39</v>
      </c>
      <c r="K316" s="40" t="n">
        <v>55.74</v>
      </c>
      <c r="L316" s="40" t="n">
        <v>633050</v>
      </c>
      <c r="M316" s="40" t="n">
        <v>106.17</v>
      </c>
      <c r="N316" s="40" t="n">
        <v>0</v>
      </c>
      <c r="O316" s="46" t="n">
        <v>-100</v>
      </c>
      <c r="P316" s="40" t="n">
        <v>731523.3</v>
      </c>
      <c r="Q316" s="40" t="n">
        <v>100</v>
      </c>
      <c r="R316" s="47" t="n"/>
      <c r="S316" s="47" t="n"/>
      <c r="T316" s="47" t="n"/>
      <c r="U316" s="47" t="n"/>
      <c r="V316" s="47" t="n"/>
      <c r="W316" s="47" t="n"/>
    </row>
    <row r="317" ht="12" customHeight="1">
      <c r="A317" s="30" t="inlineStr">
        <is>
          <t>Itaguai</t>
        </is>
      </c>
      <c r="B317" s="30" t="n">
        <v>70861887</v>
      </c>
      <c r="C317" s="30">
        <f>"60748621768"</f>
        <v/>
      </c>
      <c r="D317" s="30" t="inlineStr">
        <is>
          <t>CUSTODIO AFONSO TORRES DE ALMEIDA</t>
        </is>
      </c>
      <c r="E317" s="40" t="n">
        <v>0</v>
      </c>
      <c r="F317" s="40" t="n">
        <v>0</v>
      </c>
      <c r="G317" s="40" t="n">
        <v>0</v>
      </c>
      <c r="H317" s="40" t="n">
        <v>0</v>
      </c>
      <c r="I317" s="40" t="n">
        <v>0</v>
      </c>
      <c r="J317" s="40" t="n">
        <v>0</v>
      </c>
      <c r="K317" s="40" t="n">
        <v>0</v>
      </c>
      <c r="L317" s="40" t="n">
        <v>0</v>
      </c>
      <c r="M317" s="40" t="n">
        <v>0</v>
      </c>
      <c r="N317" s="40" t="n">
        <v>0</v>
      </c>
      <c r="O317" s="40" t="n">
        <v>0</v>
      </c>
      <c r="P317" s="40" t="n">
        <v>0</v>
      </c>
      <c r="Q317" s="40" t="n">
        <v>0</v>
      </c>
      <c r="R317" s="47" t="n"/>
      <c r="S317" s="47" t="n"/>
      <c r="T317" s="47" t="n"/>
      <c r="U317" s="47" t="n"/>
      <c r="V317" s="47" t="n"/>
      <c r="W317" s="47" t="n"/>
    </row>
    <row r="318" ht="12" customHeight="1">
      <c r="A318" s="30" t="inlineStr">
        <is>
          <t>Itaguai</t>
        </is>
      </c>
      <c r="B318" s="30" t="n">
        <v>71387330</v>
      </c>
      <c r="C318" s="30">
        <f>"07897235734"</f>
        <v/>
      </c>
      <c r="D318" s="30" t="inlineStr">
        <is>
          <t>HAZIME MORITA</t>
        </is>
      </c>
      <c r="E318" s="40" t="n">
        <v>0</v>
      </c>
      <c r="F318" s="40" t="n">
        <v>0</v>
      </c>
      <c r="G318" s="40" t="n">
        <v>0</v>
      </c>
      <c r="H318" s="40" t="n">
        <v>0</v>
      </c>
      <c r="I318" s="40" t="n">
        <v>0</v>
      </c>
      <c r="J318" s="40" t="n">
        <v>0</v>
      </c>
      <c r="K318" s="40" t="n">
        <v>0</v>
      </c>
      <c r="L318" s="40" t="n">
        <v>0</v>
      </c>
      <c r="M318" s="40" t="n">
        <v>0</v>
      </c>
      <c r="N318" s="40" t="n">
        <v>0</v>
      </c>
      <c r="O318" s="40" t="n">
        <v>0</v>
      </c>
      <c r="P318" s="40" t="n">
        <v>0.1</v>
      </c>
      <c r="Q318" s="40" t="n">
        <v>100</v>
      </c>
      <c r="R318" s="47" t="n"/>
      <c r="S318" s="47" t="n"/>
      <c r="T318" s="47" t="n"/>
      <c r="U318" s="47" t="n"/>
      <c r="V318" s="47" t="n"/>
      <c r="W318" s="47" t="n"/>
    </row>
    <row r="319" ht="12" customHeight="1">
      <c r="A319" s="30" t="inlineStr">
        <is>
          <t>Itaguai</t>
        </is>
      </c>
      <c r="B319" s="30" t="n">
        <v>71387364</v>
      </c>
      <c r="C319" s="30">
        <f>"00007906080734"</f>
        <v/>
      </c>
      <c r="D319" s="30" t="inlineStr">
        <is>
          <t>MANOEL DOS SANTOS SIMOES</t>
        </is>
      </c>
      <c r="E319" s="40" t="n">
        <v>0</v>
      </c>
      <c r="F319" s="40" t="n">
        <v>0</v>
      </c>
      <c r="G319" s="40" t="n">
        <v>0</v>
      </c>
      <c r="H319" s="40" t="n">
        <v>0</v>
      </c>
      <c r="I319" s="40" t="n">
        <v>0</v>
      </c>
      <c r="J319" s="40" t="n">
        <v>0</v>
      </c>
      <c r="K319" s="40" t="n">
        <v>0</v>
      </c>
      <c r="L319" s="40" t="n">
        <v>0</v>
      </c>
      <c r="M319" s="40" t="n">
        <v>0</v>
      </c>
      <c r="N319" s="40" t="n">
        <v>0</v>
      </c>
      <c r="O319" s="40" t="n">
        <v>0</v>
      </c>
      <c r="P319" s="40" t="n">
        <v>0</v>
      </c>
      <c r="Q319" s="40" t="n">
        <v>0</v>
      </c>
      <c r="R319" s="47" t="n"/>
      <c r="S319" s="47" t="n"/>
      <c r="T319" s="47" t="n"/>
      <c r="U319" s="47" t="n"/>
      <c r="V319" s="47" t="n"/>
      <c r="W319" s="47" t="n"/>
    </row>
    <row r="320" ht="12" customHeight="1">
      <c r="A320" s="30" t="inlineStr">
        <is>
          <t>Itaguai</t>
        </is>
      </c>
      <c r="B320" s="30" t="n">
        <v>71387550</v>
      </c>
      <c r="C320" s="30">
        <f>"00406422753"</f>
        <v/>
      </c>
      <c r="D320" s="30" t="inlineStr">
        <is>
          <t>PAULO ERNESTO ALVES DE MENEZES</t>
        </is>
      </c>
      <c r="E320" s="40" t="n">
        <v>256288.73</v>
      </c>
      <c r="F320" s="40" t="n">
        <v>382342.36</v>
      </c>
      <c r="G320" s="40" t="n">
        <v>49.18</v>
      </c>
      <c r="H320" s="40" t="n">
        <v>15000</v>
      </c>
      <c r="I320" s="46" t="n">
        <v>-96.08</v>
      </c>
      <c r="J320" s="40" t="n">
        <v>0</v>
      </c>
      <c r="K320" s="46" t="n">
        <v>-100</v>
      </c>
      <c r="L320" s="40" t="n">
        <v>0</v>
      </c>
      <c r="M320" s="40" t="n">
        <v>0</v>
      </c>
      <c r="N320" s="40" t="n">
        <v>302129.06</v>
      </c>
      <c r="O320" s="40" t="n">
        <v>100</v>
      </c>
      <c r="P320" s="40" t="n">
        <v>0</v>
      </c>
      <c r="Q320" s="46" t="n">
        <v>-100</v>
      </c>
      <c r="R320" s="47" t="n"/>
      <c r="S320" s="47" t="n"/>
      <c r="T320" s="47" t="n"/>
      <c r="U320" s="47" t="n"/>
      <c r="V320" s="47" t="n"/>
      <c r="W320" s="47" t="n"/>
    </row>
    <row r="321" ht="12" customHeight="1">
      <c r="A321" s="30" t="inlineStr">
        <is>
          <t>Itaguai</t>
        </is>
      </c>
      <c r="B321" s="30" t="n">
        <v>71390365</v>
      </c>
      <c r="C321" s="30">
        <f>"61827690763"</f>
        <v/>
      </c>
      <c r="D321" s="30" t="inlineStr">
        <is>
          <t>CARLOS SATORU MATSUNAGA</t>
        </is>
      </c>
      <c r="E321" s="40" t="n">
        <v>0</v>
      </c>
      <c r="F321" s="40" t="n">
        <v>0</v>
      </c>
      <c r="G321" s="40" t="n">
        <v>0</v>
      </c>
      <c r="H321" s="40" t="n">
        <v>0</v>
      </c>
      <c r="I321" s="40" t="n">
        <v>0</v>
      </c>
      <c r="J321" s="40" t="n">
        <v>0</v>
      </c>
      <c r="K321" s="40" t="n">
        <v>0</v>
      </c>
      <c r="L321" s="40" t="n">
        <v>0</v>
      </c>
      <c r="M321" s="40" t="n">
        <v>0</v>
      </c>
      <c r="N321" s="40" t="n">
        <v>0</v>
      </c>
      <c r="O321" s="40" t="n">
        <v>0</v>
      </c>
      <c r="P321" s="40" t="n">
        <v>0</v>
      </c>
      <c r="Q321" s="40" t="n">
        <v>0</v>
      </c>
      <c r="R321" s="47" t="n"/>
      <c r="S321" s="47" t="n"/>
      <c r="T321" s="47" t="n"/>
      <c r="U321" s="47" t="n"/>
      <c r="V321" s="47" t="n"/>
      <c r="W321" s="47" t="n"/>
    </row>
    <row r="322" ht="12" customHeight="1">
      <c r="A322" s="30" t="inlineStr">
        <is>
          <t>Itaguai</t>
        </is>
      </c>
      <c r="B322" s="30" t="n">
        <v>71390470</v>
      </c>
      <c r="C322" s="30">
        <f>"04775660659"</f>
        <v/>
      </c>
      <c r="D322" s="30" t="inlineStr">
        <is>
          <t>ALTAIR JOSE CERQUEIRA</t>
        </is>
      </c>
      <c r="E322" s="40" t="n">
        <v>172950</v>
      </c>
      <c r="F322" s="40" t="n">
        <v>248660</v>
      </c>
      <c r="G322" s="40" t="n">
        <v>43.78</v>
      </c>
      <c r="H322" s="40" t="n">
        <v>308400</v>
      </c>
      <c r="I322" s="40" t="n">
        <v>24.02</v>
      </c>
      <c r="J322" s="40" t="n">
        <v>0</v>
      </c>
      <c r="K322" s="46" t="n">
        <v>-100</v>
      </c>
      <c r="L322" s="40" t="n">
        <v>189700</v>
      </c>
      <c r="M322" s="40" t="n">
        <v>100</v>
      </c>
      <c r="N322" s="40" t="n">
        <v>550300</v>
      </c>
      <c r="O322" s="40" t="n">
        <v>190.09</v>
      </c>
      <c r="P322" s="40" t="n">
        <v>303000</v>
      </c>
      <c r="Q322" s="46" t="n">
        <v>-44.94</v>
      </c>
      <c r="R322" s="47" t="n"/>
      <c r="S322" s="47" t="n"/>
      <c r="T322" s="47" t="n"/>
      <c r="U322" s="47" t="n"/>
      <c r="V322" s="47" t="n"/>
      <c r="W322" s="47" t="n"/>
    </row>
    <row r="323" ht="12" customHeight="1">
      <c r="A323" s="30" t="inlineStr">
        <is>
          <t>Itaguai</t>
        </is>
      </c>
      <c r="B323" s="30" t="n">
        <v>71390489</v>
      </c>
      <c r="C323" s="30">
        <f>"15889807749"</f>
        <v/>
      </c>
      <c r="D323" s="30" t="inlineStr">
        <is>
          <t>ABEL MELLO LIBANO</t>
        </is>
      </c>
      <c r="E323" s="40" t="n">
        <v>196780</v>
      </c>
      <c r="F323" s="40" t="n">
        <v>157200</v>
      </c>
      <c r="G323" s="46" t="n">
        <v>-20.11</v>
      </c>
      <c r="H323" s="40" t="n">
        <v>0</v>
      </c>
      <c r="I323" s="46" t="n">
        <v>-100</v>
      </c>
      <c r="J323" s="40" t="n">
        <v>0</v>
      </c>
      <c r="K323" s="40" t="n">
        <v>0</v>
      </c>
      <c r="L323" s="40" t="n">
        <v>0</v>
      </c>
      <c r="M323" s="40" t="n">
        <v>0</v>
      </c>
      <c r="N323" s="40" t="n">
        <v>0</v>
      </c>
      <c r="O323" s="40" t="n">
        <v>0</v>
      </c>
      <c r="P323" s="40" t="n">
        <v>0</v>
      </c>
      <c r="Q323" s="40" t="n">
        <v>0</v>
      </c>
      <c r="R323" s="47" t="n"/>
      <c r="S323" s="47" t="n"/>
      <c r="T323" s="47" t="n"/>
      <c r="U323" s="47" t="n"/>
      <c r="V323" s="47" t="n"/>
      <c r="W323" s="47" t="n"/>
    </row>
    <row r="324" ht="12" customHeight="1">
      <c r="A324" s="30" t="inlineStr">
        <is>
          <t>Itaguai</t>
        </is>
      </c>
      <c r="B324" s="30" t="n">
        <v>71390560</v>
      </c>
      <c r="C324" s="30">
        <f>"44780567734"</f>
        <v/>
      </c>
      <c r="D324" s="30" t="inlineStr">
        <is>
          <t>FRANCISCO NETO DA SILVA</t>
        </is>
      </c>
      <c r="E324" s="40" t="n">
        <v>50756.43</v>
      </c>
      <c r="F324" s="40" t="n">
        <v>0</v>
      </c>
      <c r="G324" s="46" t="n">
        <v>-100</v>
      </c>
      <c r="H324" s="40" t="n">
        <v>0</v>
      </c>
      <c r="I324" s="40" t="n">
        <v>0</v>
      </c>
      <c r="J324" s="40" t="n">
        <v>0</v>
      </c>
      <c r="K324" s="40" t="n">
        <v>0</v>
      </c>
      <c r="L324" s="40" t="n">
        <v>0</v>
      </c>
      <c r="M324" s="40" t="n">
        <v>0</v>
      </c>
      <c r="N324" s="40" t="n">
        <v>0</v>
      </c>
      <c r="O324" s="40" t="n">
        <v>0</v>
      </c>
      <c r="P324" s="40" t="n">
        <v>0</v>
      </c>
      <c r="Q324" s="40" t="n">
        <v>0</v>
      </c>
      <c r="R324" s="47" t="n"/>
      <c r="S324" s="47" t="n"/>
      <c r="T324" s="47" t="n"/>
      <c r="U324" s="47" t="n"/>
      <c r="V324" s="47" t="n"/>
      <c r="W324" s="47" t="n"/>
    </row>
    <row r="325" ht="12" customHeight="1">
      <c r="A325" s="30" t="inlineStr">
        <is>
          <t>Itaguai</t>
        </is>
      </c>
      <c r="B325" s="30" t="n">
        <v>71390675</v>
      </c>
      <c r="C325" s="30">
        <f>"00091960720"</f>
        <v/>
      </c>
      <c r="D325" s="30" t="inlineStr">
        <is>
          <t>FERNANDO MAGALHAES</t>
        </is>
      </c>
      <c r="E325" s="40" t="n">
        <v>172400</v>
      </c>
      <c r="F325" s="40" t="n">
        <v>0</v>
      </c>
      <c r="G325" s="46" t="n">
        <v>-100</v>
      </c>
      <c r="H325" s="40" t="n">
        <v>17500</v>
      </c>
      <c r="I325" s="40" t="n">
        <v>100</v>
      </c>
      <c r="J325" s="40" t="n">
        <v>0</v>
      </c>
      <c r="K325" s="46" t="n">
        <v>-100</v>
      </c>
      <c r="L325" s="40" t="n">
        <v>0</v>
      </c>
      <c r="M325" s="40" t="n">
        <v>0</v>
      </c>
      <c r="N325" s="40" t="n">
        <v>0</v>
      </c>
      <c r="O325" s="40" t="n">
        <v>0</v>
      </c>
      <c r="P325" s="40" t="n">
        <v>0</v>
      </c>
      <c r="Q325" s="40" t="n">
        <v>0</v>
      </c>
      <c r="R325" s="47" t="n"/>
      <c r="S325" s="47" t="n"/>
      <c r="T325" s="47" t="n"/>
      <c r="U325" s="47" t="n"/>
      <c r="V325" s="47" t="n"/>
      <c r="W325" s="47" t="n"/>
    </row>
    <row r="326" ht="12" customHeight="1">
      <c r="A326" s="30" t="inlineStr">
        <is>
          <t>Itaguai</t>
        </is>
      </c>
      <c r="B326" s="30" t="n">
        <v>71390705</v>
      </c>
      <c r="C326" s="30">
        <f>"47988371720"</f>
        <v/>
      </c>
      <c r="D326" s="30" t="inlineStr">
        <is>
          <t>TATSUSHI KAJISHIMA</t>
        </is>
      </c>
      <c r="E326" s="40" t="n">
        <v>0</v>
      </c>
      <c r="F326" s="40" t="n">
        <v>0</v>
      </c>
      <c r="G326" s="40" t="n">
        <v>0</v>
      </c>
      <c r="H326" s="40" t="n">
        <v>0</v>
      </c>
      <c r="I326" s="40" t="n">
        <v>0</v>
      </c>
      <c r="J326" s="40" t="n">
        <v>234473</v>
      </c>
      <c r="K326" s="40" t="n">
        <v>100</v>
      </c>
      <c r="L326" s="40" t="n">
        <v>340802</v>
      </c>
      <c r="M326" s="40" t="n">
        <v>45.35</v>
      </c>
      <c r="N326" s="40" t="n">
        <v>74753</v>
      </c>
      <c r="O326" s="46" t="n">
        <v>-78.06999999999999</v>
      </c>
      <c r="P326" s="40" t="n">
        <v>0</v>
      </c>
      <c r="Q326" s="46" t="n">
        <v>-100</v>
      </c>
      <c r="R326" s="47" t="n"/>
      <c r="S326" s="47" t="n"/>
      <c r="T326" s="47" t="n"/>
      <c r="U326" s="47" t="n"/>
      <c r="V326" s="47" t="n"/>
      <c r="W326" s="47" t="n"/>
    </row>
    <row r="327" ht="12" customHeight="1">
      <c r="A327" s="30" t="inlineStr">
        <is>
          <t>Itaguai</t>
        </is>
      </c>
      <c r="B327" s="30" t="n">
        <v>71390985</v>
      </c>
      <c r="C327" s="30">
        <f>"53510097734"</f>
        <v/>
      </c>
      <c r="D327" s="30" t="inlineStr">
        <is>
          <t>FERNANDO HISASHI WATANABE</t>
        </is>
      </c>
      <c r="E327" s="40" t="n">
        <v>0</v>
      </c>
      <c r="F327" s="40" t="n">
        <v>0</v>
      </c>
      <c r="G327" s="40" t="n">
        <v>0</v>
      </c>
      <c r="H327" s="40" t="n">
        <v>0</v>
      </c>
      <c r="I327" s="40" t="n">
        <v>0</v>
      </c>
      <c r="J327" s="40" t="n">
        <v>71190</v>
      </c>
      <c r="K327" s="40" t="n">
        <v>100</v>
      </c>
      <c r="L327" s="40" t="n">
        <v>0</v>
      </c>
      <c r="M327" s="46" t="n">
        <v>-100</v>
      </c>
      <c r="N327" s="40" t="n">
        <v>10</v>
      </c>
      <c r="O327" s="40" t="n">
        <v>100</v>
      </c>
      <c r="P327" s="40" t="n">
        <v>0</v>
      </c>
      <c r="Q327" s="46" t="n">
        <v>-100</v>
      </c>
      <c r="R327" s="47" t="n"/>
      <c r="S327" s="47" t="n"/>
      <c r="T327" s="47" t="n"/>
      <c r="U327" s="47" t="n"/>
      <c r="V327" s="47" t="n"/>
      <c r="W327" s="47" t="n"/>
    </row>
    <row r="328" ht="12" customHeight="1">
      <c r="A328" s="30" t="inlineStr">
        <is>
          <t>Itaguai</t>
        </is>
      </c>
      <c r="B328" s="30" t="n">
        <v>71391132</v>
      </c>
      <c r="C328" s="30">
        <f>"00004775660659"</f>
        <v/>
      </c>
      <c r="D328" s="30" t="inlineStr">
        <is>
          <t>ALTAIR JOSE CERQUEIRA</t>
        </is>
      </c>
      <c r="E328" s="40" t="n">
        <v>0</v>
      </c>
      <c r="F328" s="40" t="n">
        <v>0</v>
      </c>
      <c r="G328" s="40" t="n">
        <v>0</v>
      </c>
      <c r="H328" s="40" t="n">
        <v>0</v>
      </c>
      <c r="I328" s="40" t="n">
        <v>0</v>
      </c>
      <c r="J328" s="40" t="n">
        <v>0</v>
      </c>
      <c r="K328" s="40" t="n">
        <v>0</v>
      </c>
      <c r="L328" s="40" t="n">
        <v>0</v>
      </c>
      <c r="M328" s="40" t="n">
        <v>0</v>
      </c>
      <c r="N328" s="40" t="n">
        <v>0</v>
      </c>
      <c r="O328" s="40" t="n">
        <v>0</v>
      </c>
      <c r="P328" s="40" t="n">
        <v>0</v>
      </c>
      <c r="Q328" s="40" t="n">
        <v>0</v>
      </c>
      <c r="R328" s="47" t="n"/>
      <c r="S328" s="47" t="n"/>
      <c r="T328" s="47" t="n"/>
      <c r="U328" s="47" t="n"/>
      <c r="V328" s="47" t="n"/>
      <c r="W328" s="47" t="n"/>
    </row>
    <row r="329" ht="12" customHeight="1">
      <c r="A329" s="30" t="inlineStr">
        <is>
          <t>Itaguai</t>
        </is>
      </c>
      <c r="B329" s="30" t="n">
        <v>71391361</v>
      </c>
      <c r="C329" s="30">
        <f>"20434723720"</f>
        <v/>
      </c>
      <c r="D329" s="30" t="inlineStr">
        <is>
          <t>JOSE CELSO DA COSTA</t>
        </is>
      </c>
      <c r="E329" s="40" t="n">
        <v>0</v>
      </c>
      <c r="F329" s="40" t="n">
        <v>8970</v>
      </c>
      <c r="G329" s="40" t="n">
        <v>100</v>
      </c>
      <c r="H329" s="40" t="n">
        <v>10764</v>
      </c>
      <c r="I329" s="40" t="n">
        <v>20</v>
      </c>
      <c r="J329" s="40" t="n">
        <v>10500</v>
      </c>
      <c r="K329" s="46" t="n">
        <v>-2.45</v>
      </c>
      <c r="L329" s="40" t="n">
        <v>15520</v>
      </c>
      <c r="M329" s="40" t="n">
        <v>47.81</v>
      </c>
      <c r="N329" s="40" t="n">
        <v>17526</v>
      </c>
      <c r="O329" s="40" t="n">
        <v>12.93</v>
      </c>
      <c r="P329" s="40" t="n">
        <v>18965</v>
      </c>
      <c r="Q329" s="40" t="n">
        <v>8.210000000000001</v>
      </c>
      <c r="R329" s="47" t="n"/>
      <c r="S329" s="47" t="n"/>
      <c r="T329" s="47" t="n"/>
      <c r="U329" s="47" t="n"/>
      <c r="V329" s="47" t="n"/>
      <c r="W329" s="47" t="n"/>
    </row>
    <row r="330" ht="12" customHeight="1">
      <c r="A330" s="30" t="inlineStr">
        <is>
          <t>Itaguai</t>
        </is>
      </c>
      <c r="B330" s="30" t="n">
        <v>71391566</v>
      </c>
      <c r="C330" s="30">
        <f>"11516445791"</f>
        <v/>
      </c>
      <c r="D330" s="30" t="inlineStr">
        <is>
          <t>JOAO ALVES MATOSO</t>
        </is>
      </c>
      <c r="E330" s="40" t="n">
        <v>28630</v>
      </c>
      <c r="F330" s="40" t="n">
        <v>28630</v>
      </c>
      <c r="G330" s="40" t="n">
        <v>0</v>
      </c>
      <c r="H330" s="40" t="n">
        <v>0</v>
      </c>
      <c r="I330" s="46" t="n">
        <v>-100</v>
      </c>
      <c r="J330" s="40" t="n">
        <v>28320</v>
      </c>
      <c r="K330" s="40" t="n">
        <v>100</v>
      </c>
      <c r="L330" s="40" t="n">
        <v>0</v>
      </c>
      <c r="M330" s="46" t="n">
        <v>-100</v>
      </c>
      <c r="N330" s="40" t="n">
        <v>0</v>
      </c>
      <c r="O330" s="40" t="n">
        <v>0</v>
      </c>
      <c r="P330" s="40" t="n">
        <v>0</v>
      </c>
      <c r="Q330" s="40" t="n">
        <v>0</v>
      </c>
      <c r="R330" s="47" t="n"/>
      <c r="S330" s="47" t="n"/>
      <c r="T330" s="47" t="n"/>
      <c r="U330" s="47" t="n"/>
      <c r="V330" s="47" t="n"/>
      <c r="W330" s="47" t="n"/>
    </row>
    <row r="331" ht="12" customHeight="1">
      <c r="A331" s="30" t="inlineStr">
        <is>
          <t>Itaguai</t>
        </is>
      </c>
      <c r="B331" s="30" t="n">
        <v>71392007</v>
      </c>
      <c r="C331" s="30">
        <f>"41790316715"</f>
        <v/>
      </c>
      <c r="D331" s="30" t="inlineStr">
        <is>
          <t>ALTAMIRO GOMES DA SILVA</t>
        </is>
      </c>
      <c r="E331" s="40" t="n">
        <v>0</v>
      </c>
      <c r="F331" s="40" t="n">
        <v>0</v>
      </c>
      <c r="G331" s="40" t="n">
        <v>0</v>
      </c>
      <c r="H331" s="40" t="n">
        <v>0</v>
      </c>
      <c r="I331" s="40" t="n">
        <v>0</v>
      </c>
      <c r="J331" s="40" t="n">
        <v>0</v>
      </c>
      <c r="K331" s="40" t="n">
        <v>0</v>
      </c>
      <c r="L331" s="40" t="n">
        <v>0</v>
      </c>
      <c r="M331" s="40" t="n">
        <v>0</v>
      </c>
      <c r="N331" s="40" t="n">
        <v>0</v>
      </c>
      <c r="O331" s="40" t="n">
        <v>0</v>
      </c>
      <c r="P331" s="40" t="n">
        <v>0</v>
      </c>
      <c r="Q331" s="40" t="n">
        <v>0</v>
      </c>
      <c r="R331" s="47" t="n"/>
      <c r="S331" s="47" t="n"/>
      <c r="T331" s="47" t="n"/>
      <c r="U331" s="47" t="n"/>
      <c r="V331" s="47" t="n"/>
      <c r="W331" s="47" t="n"/>
    </row>
    <row r="332" ht="12" customHeight="1">
      <c r="A332" s="30" t="inlineStr">
        <is>
          <t>Itaguai</t>
        </is>
      </c>
      <c r="B332" s="30" t="n">
        <v>71392104</v>
      </c>
      <c r="C332" s="30">
        <f>"43401244787"</f>
        <v/>
      </c>
      <c r="D332" s="30" t="inlineStr">
        <is>
          <t>LHOSO WATANABE</t>
        </is>
      </c>
      <c r="E332" s="40" t="n">
        <v>0</v>
      </c>
      <c r="F332" s="40" t="n">
        <v>0</v>
      </c>
      <c r="G332" s="40" t="n">
        <v>0</v>
      </c>
      <c r="H332" s="40" t="n">
        <v>0</v>
      </c>
      <c r="I332" s="40" t="n">
        <v>0</v>
      </c>
      <c r="J332" s="40" t="n">
        <v>108453</v>
      </c>
      <c r="K332" s="40" t="n">
        <v>100</v>
      </c>
      <c r="L332" s="40" t="n">
        <v>2445</v>
      </c>
      <c r="M332" s="46" t="n">
        <v>-97.75</v>
      </c>
      <c r="N332" s="40" t="n">
        <v>0</v>
      </c>
      <c r="O332" s="46" t="n">
        <v>-100</v>
      </c>
      <c r="P332" s="40" t="n">
        <v>7900</v>
      </c>
      <c r="Q332" s="40" t="n">
        <v>100</v>
      </c>
      <c r="R332" s="47" t="n"/>
      <c r="S332" s="47" t="n"/>
      <c r="T332" s="47" t="n"/>
      <c r="U332" s="47" t="n"/>
      <c r="V332" s="47" t="n"/>
      <c r="W332" s="47" t="n"/>
    </row>
    <row r="333" ht="12" customHeight="1">
      <c r="A333" s="30" t="inlineStr">
        <is>
          <t>Itaguai</t>
        </is>
      </c>
      <c r="B333" s="30" t="n">
        <v>71392155</v>
      </c>
      <c r="C333" s="30">
        <f>"54341809768"</f>
        <v/>
      </c>
      <c r="D333" s="30" t="inlineStr">
        <is>
          <t>MARIA IVONETE DA SILVA</t>
        </is>
      </c>
      <c r="E333" s="40" t="n">
        <v>0</v>
      </c>
      <c r="F333" s="40" t="n">
        <v>0</v>
      </c>
      <c r="G333" s="40" t="n">
        <v>0</v>
      </c>
      <c r="H333" s="40" t="n">
        <v>0</v>
      </c>
      <c r="I333" s="40" t="n">
        <v>0</v>
      </c>
      <c r="J333" s="40" t="n">
        <v>2700</v>
      </c>
      <c r="K333" s="40" t="n">
        <v>100</v>
      </c>
      <c r="L333" s="40" t="n">
        <v>1350</v>
      </c>
      <c r="M333" s="46" t="n">
        <v>-50</v>
      </c>
      <c r="N333" s="40" t="n">
        <v>0</v>
      </c>
      <c r="O333" s="46" t="n">
        <v>-100</v>
      </c>
      <c r="P333" s="40" t="n">
        <v>0</v>
      </c>
      <c r="Q333" s="40" t="n">
        <v>0</v>
      </c>
      <c r="R333" s="47" t="n"/>
      <c r="S333" s="47" t="n"/>
      <c r="T333" s="47" t="n"/>
      <c r="U333" s="47" t="n"/>
      <c r="V333" s="47" t="n"/>
      <c r="W333" s="47" t="n"/>
    </row>
    <row r="334" ht="12" customHeight="1">
      <c r="A334" s="30" t="inlineStr">
        <is>
          <t>Itaguai</t>
        </is>
      </c>
      <c r="B334" s="30" t="n">
        <v>71392210</v>
      </c>
      <c r="C334" s="30">
        <f>"52358950700"</f>
        <v/>
      </c>
      <c r="D334" s="30" t="inlineStr">
        <is>
          <t>CHARLES ROSA AFFONSO</t>
        </is>
      </c>
      <c r="E334" s="40" t="n">
        <v>0</v>
      </c>
      <c r="F334" s="40" t="n">
        <v>0</v>
      </c>
      <c r="G334" s="40" t="n">
        <v>0</v>
      </c>
      <c r="H334" s="40" t="n">
        <v>0</v>
      </c>
      <c r="I334" s="40" t="n">
        <v>0</v>
      </c>
      <c r="J334" s="40" t="n">
        <v>0</v>
      </c>
      <c r="K334" s="40" t="n">
        <v>0</v>
      </c>
      <c r="L334" s="40" t="n">
        <v>0</v>
      </c>
      <c r="M334" s="40" t="n">
        <v>0</v>
      </c>
      <c r="N334" s="40" t="n">
        <v>0</v>
      </c>
      <c r="O334" s="40" t="n">
        <v>0</v>
      </c>
      <c r="P334" s="40" t="n">
        <v>0</v>
      </c>
      <c r="Q334" s="40" t="n">
        <v>0</v>
      </c>
      <c r="R334" s="47" t="n"/>
      <c r="S334" s="47" t="n"/>
      <c r="T334" s="47" t="n"/>
      <c r="U334" s="47" t="n"/>
      <c r="V334" s="47" t="n"/>
      <c r="W334" s="47" t="n"/>
    </row>
    <row r="335" ht="12" customHeight="1">
      <c r="A335" s="30" t="inlineStr">
        <is>
          <t>Itaguai</t>
        </is>
      </c>
      <c r="B335" s="30" t="n">
        <v>71392350</v>
      </c>
      <c r="C335" s="30">
        <f>"10817212787"</f>
        <v/>
      </c>
      <c r="D335" s="30" t="inlineStr">
        <is>
          <t>WANTOYR DE AZEVEDO FRANCO</t>
        </is>
      </c>
      <c r="E335" s="40" t="n">
        <v>0</v>
      </c>
      <c r="F335" s="40" t="n">
        <v>0</v>
      </c>
      <c r="G335" s="40" t="n">
        <v>0</v>
      </c>
      <c r="H335" s="40" t="n">
        <v>0</v>
      </c>
      <c r="I335" s="40" t="n">
        <v>0</v>
      </c>
      <c r="J335" s="40" t="n">
        <v>0</v>
      </c>
      <c r="K335" s="40" t="n">
        <v>0</v>
      </c>
      <c r="L335" s="40" t="n">
        <v>0</v>
      </c>
      <c r="M335" s="40" t="n">
        <v>0</v>
      </c>
      <c r="N335" s="40" t="n">
        <v>0</v>
      </c>
      <c r="O335" s="40" t="n">
        <v>0</v>
      </c>
      <c r="P335" s="40" t="n">
        <v>0</v>
      </c>
      <c r="Q335" s="40" t="n">
        <v>0</v>
      </c>
      <c r="R335" s="47" t="n"/>
      <c r="S335" s="47" t="n"/>
      <c r="T335" s="47" t="n"/>
      <c r="U335" s="47" t="n"/>
      <c r="V335" s="47" t="n"/>
      <c r="W335" s="47" t="n"/>
    </row>
    <row r="336" ht="12" customHeight="1">
      <c r="A336" s="30" t="inlineStr">
        <is>
          <t>Itaguai</t>
        </is>
      </c>
      <c r="B336" s="30" t="n">
        <v>71392716</v>
      </c>
      <c r="C336" s="30">
        <f>"47752890715"</f>
        <v/>
      </c>
      <c r="D336" s="30" t="inlineStr">
        <is>
          <t>CARLOS NAHOYUKI MAEDA</t>
        </is>
      </c>
      <c r="E336" s="40" t="n">
        <v>0</v>
      </c>
      <c r="F336" s="40" t="n">
        <v>0</v>
      </c>
      <c r="G336" s="40" t="n">
        <v>0</v>
      </c>
      <c r="H336" s="40" t="n">
        <v>0</v>
      </c>
      <c r="I336" s="40" t="n">
        <v>0</v>
      </c>
      <c r="J336" s="40" t="n">
        <v>29460</v>
      </c>
      <c r="K336" s="40" t="n">
        <v>100</v>
      </c>
      <c r="L336" s="40" t="n">
        <v>1205</v>
      </c>
      <c r="M336" s="46" t="n">
        <v>-95.91</v>
      </c>
      <c r="N336" s="40" t="n">
        <v>42740</v>
      </c>
      <c r="O336" s="40" t="n">
        <v>3446.89</v>
      </c>
      <c r="P336" s="40" t="n">
        <v>0</v>
      </c>
      <c r="Q336" s="46" t="n">
        <v>-100</v>
      </c>
      <c r="R336" s="47" t="n"/>
      <c r="S336" s="47" t="n"/>
      <c r="T336" s="47" t="n"/>
      <c r="U336" s="47" t="n"/>
      <c r="V336" s="47" t="n"/>
      <c r="W336" s="47" t="n"/>
    </row>
    <row r="337" ht="12" customHeight="1">
      <c r="A337" s="30" t="inlineStr">
        <is>
          <t>Itaguai</t>
        </is>
      </c>
      <c r="B337" s="30" t="n">
        <v>71392856</v>
      </c>
      <c r="C337" s="30">
        <f>"02160170844"</f>
        <v/>
      </c>
      <c r="D337" s="30" t="inlineStr">
        <is>
          <t>HITACI ONUKI</t>
        </is>
      </c>
      <c r="E337" s="40" t="n">
        <v>0</v>
      </c>
      <c r="F337" s="40" t="n">
        <v>1</v>
      </c>
      <c r="G337" s="40" t="n">
        <v>100</v>
      </c>
      <c r="H337" s="40" t="n">
        <v>0</v>
      </c>
      <c r="I337" s="46" t="n">
        <v>-100</v>
      </c>
      <c r="J337" s="40" t="n">
        <v>1</v>
      </c>
      <c r="K337" s="40" t="n">
        <v>100</v>
      </c>
      <c r="L337" s="40" t="n">
        <v>1</v>
      </c>
      <c r="M337" s="40" t="n">
        <v>0</v>
      </c>
      <c r="N337" s="40" t="n">
        <v>0.01</v>
      </c>
      <c r="O337" s="46" t="n">
        <v>-99</v>
      </c>
      <c r="P337" s="40" t="n">
        <v>0.1</v>
      </c>
      <c r="Q337" s="40" t="n">
        <v>900</v>
      </c>
      <c r="R337" s="47" t="n"/>
      <c r="S337" s="47" t="n"/>
      <c r="T337" s="47" t="n"/>
      <c r="U337" s="47" t="n"/>
      <c r="V337" s="47" t="n"/>
      <c r="W337" s="47" t="n"/>
    </row>
    <row r="338" ht="12" customHeight="1">
      <c r="A338" s="30" t="inlineStr">
        <is>
          <t>Itaguai</t>
        </is>
      </c>
      <c r="B338" s="30" t="n">
        <v>71652556</v>
      </c>
      <c r="C338" s="30">
        <f>"30480159734"</f>
        <v/>
      </c>
      <c r="D338" s="30" t="inlineStr">
        <is>
          <t>MANOEL ARRUDA</t>
        </is>
      </c>
      <c r="E338" s="40" t="n">
        <v>0</v>
      </c>
      <c r="F338" s="40" t="n">
        <v>120</v>
      </c>
      <c r="G338" s="40" t="n">
        <v>100</v>
      </c>
      <c r="H338" s="40" t="n">
        <v>0</v>
      </c>
      <c r="I338" s="46" t="n">
        <v>-100</v>
      </c>
      <c r="J338" s="40" t="n">
        <v>0</v>
      </c>
      <c r="K338" s="40" t="n">
        <v>0</v>
      </c>
      <c r="L338" s="40" t="n">
        <v>0</v>
      </c>
      <c r="M338" s="40" t="n">
        <v>0</v>
      </c>
      <c r="N338" s="40" t="n">
        <v>0</v>
      </c>
      <c r="O338" s="40" t="n">
        <v>0</v>
      </c>
      <c r="P338" s="40" t="n">
        <v>0</v>
      </c>
      <c r="Q338" s="40" t="n">
        <v>0</v>
      </c>
      <c r="R338" s="47" t="n"/>
      <c r="S338" s="47" t="n"/>
      <c r="T338" s="47" t="n"/>
      <c r="U338" s="47" t="n"/>
      <c r="V338" s="47" t="n"/>
      <c r="W338" s="47" t="n"/>
    </row>
    <row r="339" ht="12" customHeight="1">
      <c r="A339" s="30" t="inlineStr">
        <is>
          <t>Itaguai</t>
        </is>
      </c>
      <c r="B339" s="30" t="n">
        <v>71686132</v>
      </c>
      <c r="C339" s="30">
        <f>"11516305787"</f>
        <v/>
      </c>
      <c r="D339" s="30" t="inlineStr">
        <is>
          <t>YOSHIO YAHAGI</t>
        </is>
      </c>
      <c r="E339" s="40" t="n">
        <v>0</v>
      </c>
      <c r="F339" s="40" t="n">
        <v>0</v>
      </c>
      <c r="G339" s="40" t="n">
        <v>0</v>
      </c>
      <c r="H339" s="40" t="n">
        <v>0</v>
      </c>
      <c r="I339" s="40" t="n">
        <v>0</v>
      </c>
      <c r="J339" s="40" t="n">
        <v>0</v>
      </c>
      <c r="K339" s="40" t="n">
        <v>0</v>
      </c>
      <c r="L339" s="40" t="n">
        <v>0</v>
      </c>
      <c r="M339" s="40" t="n">
        <v>0</v>
      </c>
      <c r="N339" s="40" t="n">
        <v>0</v>
      </c>
      <c r="O339" s="40" t="n">
        <v>0</v>
      </c>
      <c r="P339" s="40" t="n">
        <v>0</v>
      </c>
      <c r="Q339" s="40" t="n">
        <v>0</v>
      </c>
      <c r="R339" s="47" t="n"/>
      <c r="S339" s="47" t="n"/>
      <c r="T339" s="47" t="n"/>
      <c r="U339" s="47" t="n"/>
      <c r="V339" s="47" t="n"/>
      <c r="W339" s="47" t="n"/>
    </row>
    <row r="340" ht="12" customHeight="1">
      <c r="A340" s="30" t="inlineStr">
        <is>
          <t>Itaguai</t>
        </is>
      </c>
      <c r="B340" s="30" t="n">
        <v>71686159</v>
      </c>
      <c r="C340" s="30">
        <f>"11538562715"</f>
        <v/>
      </c>
      <c r="D340" s="30" t="inlineStr">
        <is>
          <t>JOAO TAVARES DE AGUIAR</t>
        </is>
      </c>
      <c r="E340" s="40" t="n">
        <v>66267</v>
      </c>
      <c r="F340" s="40" t="n">
        <v>79502</v>
      </c>
      <c r="G340" s="40" t="n">
        <v>19.97</v>
      </c>
      <c r="H340" s="40" t="n">
        <v>44744</v>
      </c>
      <c r="I340" s="46" t="n">
        <v>-43.72</v>
      </c>
      <c r="J340" s="40" t="n">
        <v>52025</v>
      </c>
      <c r="K340" s="40" t="n">
        <v>16.27</v>
      </c>
      <c r="L340" s="40" t="n">
        <v>665535</v>
      </c>
      <c r="M340" s="40" t="n">
        <v>1179.26</v>
      </c>
      <c r="N340" s="40" t="n">
        <v>41152</v>
      </c>
      <c r="O340" s="46" t="n">
        <v>-93.81999999999999</v>
      </c>
      <c r="P340" s="40" t="n">
        <v>40555</v>
      </c>
      <c r="Q340" s="46" t="n">
        <v>-1.45</v>
      </c>
      <c r="R340" s="47" t="n"/>
      <c r="S340" s="47" t="n"/>
      <c r="T340" s="47" t="n"/>
      <c r="U340" s="47" t="n"/>
      <c r="V340" s="47" t="n"/>
      <c r="W340" s="47" t="n"/>
    </row>
    <row r="341" ht="12" customHeight="1">
      <c r="A341" s="30" t="inlineStr">
        <is>
          <t>Itaguai</t>
        </is>
      </c>
      <c r="B341" s="30" t="n">
        <v>71686272</v>
      </c>
      <c r="C341" s="30">
        <f>"02956292749"</f>
        <v/>
      </c>
      <c r="D341" s="30" t="inlineStr">
        <is>
          <t>LACIR SENDRA PITA</t>
        </is>
      </c>
      <c r="E341" s="40" t="n">
        <v>0</v>
      </c>
      <c r="F341" s="40" t="n">
        <v>0</v>
      </c>
      <c r="G341" s="40" t="n">
        <v>0</v>
      </c>
      <c r="H341" s="40" t="n">
        <v>0</v>
      </c>
      <c r="I341" s="40" t="n">
        <v>0</v>
      </c>
      <c r="J341" s="40" t="n">
        <v>0</v>
      </c>
      <c r="K341" s="40" t="n">
        <v>0</v>
      </c>
      <c r="L341" s="40" t="n">
        <v>0</v>
      </c>
      <c r="M341" s="40" t="n">
        <v>0</v>
      </c>
      <c r="N341" s="40" t="n">
        <v>0</v>
      </c>
      <c r="O341" s="40" t="n">
        <v>0</v>
      </c>
      <c r="P341" s="40" t="n">
        <v>0</v>
      </c>
      <c r="Q341" s="40" t="n">
        <v>0</v>
      </c>
      <c r="R341" s="47" t="n"/>
      <c r="S341" s="47" t="n"/>
      <c r="T341" s="47" t="n"/>
      <c r="U341" s="47" t="n"/>
      <c r="V341" s="47" t="n"/>
      <c r="W341" s="47" t="n"/>
    </row>
    <row r="342" ht="12" customHeight="1">
      <c r="A342" s="30" t="inlineStr">
        <is>
          <t>Itaguai</t>
        </is>
      </c>
      <c r="B342" s="30" t="n">
        <v>71686566</v>
      </c>
      <c r="C342" s="30">
        <f>"22339515700"</f>
        <v/>
      </c>
      <c r="D342" s="30" t="inlineStr">
        <is>
          <t>ANTONIO LUIZ GANDRA FILHO</t>
        </is>
      </c>
      <c r="E342" s="40" t="n">
        <v>1500</v>
      </c>
      <c r="F342" s="40" t="n">
        <v>0</v>
      </c>
      <c r="G342" s="46" t="n">
        <v>-100</v>
      </c>
      <c r="H342" s="40" t="n">
        <v>0</v>
      </c>
      <c r="I342" s="40" t="n">
        <v>0</v>
      </c>
      <c r="J342" s="40" t="n">
        <v>0</v>
      </c>
      <c r="K342" s="40" t="n">
        <v>0</v>
      </c>
      <c r="L342" s="40" t="n">
        <v>0</v>
      </c>
      <c r="M342" s="40" t="n">
        <v>0</v>
      </c>
      <c r="N342" s="40" t="n">
        <v>0</v>
      </c>
      <c r="O342" s="40" t="n">
        <v>0</v>
      </c>
      <c r="P342" s="40" t="n">
        <v>0</v>
      </c>
      <c r="Q342" s="40" t="n">
        <v>0</v>
      </c>
      <c r="R342" s="47" t="n"/>
      <c r="S342" s="47" t="n"/>
      <c r="T342" s="47" t="n"/>
      <c r="U342" s="47" t="n"/>
      <c r="V342" s="47" t="n"/>
      <c r="W342" s="47" t="n"/>
    </row>
    <row r="343" ht="12" customHeight="1">
      <c r="A343" s="30" t="inlineStr">
        <is>
          <t>Itaguai</t>
        </is>
      </c>
      <c r="B343" s="30" t="n">
        <v>71686710</v>
      </c>
      <c r="C343" s="30">
        <f>"11512407704"</f>
        <v/>
      </c>
      <c r="D343" s="30" t="inlineStr">
        <is>
          <t>CRESIO ANDRIOLO MELGAÇO</t>
        </is>
      </c>
      <c r="E343" s="40" t="n">
        <v>1500</v>
      </c>
      <c r="F343" s="40" t="n">
        <v>0</v>
      </c>
      <c r="G343" s="46" t="n">
        <v>-100</v>
      </c>
      <c r="H343" s="40" t="n">
        <v>3020</v>
      </c>
      <c r="I343" s="40" t="n">
        <v>100</v>
      </c>
      <c r="J343" s="40" t="n">
        <v>3100</v>
      </c>
      <c r="K343" s="40" t="n">
        <v>2.65</v>
      </c>
      <c r="L343" s="40" t="n">
        <v>2900</v>
      </c>
      <c r="M343" s="46" t="n">
        <v>-6.45</v>
      </c>
      <c r="N343" s="40" t="n">
        <v>3000</v>
      </c>
      <c r="O343" s="40" t="n">
        <v>3.45</v>
      </c>
      <c r="P343" s="40" t="n">
        <v>3000</v>
      </c>
      <c r="Q343" s="40" t="n">
        <v>0</v>
      </c>
      <c r="R343" s="47" t="n"/>
      <c r="S343" s="47" t="n"/>
      <c r="T343" s="47" t="n"/>
      <c r="U343" s="47" t="n"/>
      <c r="V343" s="47" t="n"/>
      <c r="W343" s="47" t="n"/>
    </row>
    <row r="344" ht="12" customHeight="1">
      <c r="A344" s="30" t="inlineStr">
        <is>
          <t>Itaguai</t>
        </is>
      </c>
      <c r="B344" s="30" t="n">
        <v>71687163</v>
      </c>
      <c r="C344" s="30">
        <f>"05354030706"</f>
        <v/>
      </c>
      <c r="D344" s="30" t="inlineStr">
        <is>
          <t>SIRLEO RIBEIRO MAIA</t>
        </is>
      </c>
      <c r="E344" s="40" t="n">
        <v>0</v>
      </c>
      <c r="F344" s="40" t="n">
        <v>0</v>
      </c>
      <c r="G344" s="40" t="n">
        <v>0</v>
      </c>
      <c r="H344" s="40" t="n">
        <v>0</v>
      </c>
      <c r="I344" s="40" t="n">
        <v>0</v>
      </c>
      <c r="J344" s="40" t="n">
        <v>0</v>
      </c>
      <c r="K344" s="40" t="n">
        <v>0</v>
      </c>
      <c r="L344" s="40" t="n">
        <v>0</v>
      </c>
      <c r="M344" s="40" t="n">
        <v>0</v>
      </c>
      <c r="N344" s="40" t="n">
        <v>0</v>
      </c>
      <c r="O344" s="40" t="n">
        <v>0</v>
      </c>
      <c r="P344" s="40" t="n">
        <v>0</v>
      </c>
      <c r="Q344" s="40" t="n">
        <v>0</v>
      </c>
      <c r="R344" s="47" t="n"/>
      <c r="S344" s="47" t="n"/>
      <c r="T344" s="47" t="n"/>
      <c r="U344" s="47" t="n"/>
      <c r="V344" s="47" t="n"/>
      <c r="W344" s="47" t="n"/>
    </row>
    <row r="345" ht="12" customHeight="1">
      <c r="A345" s="30" t="inlineStr">
        <is>
          <t>Itaguai</t>
        </is>
      </c>
      <c r="B345" s="30" t="n">
        <v>71687376</v>
      </c>
      <c r="C345" s="30">
        <f>"46438904791"</f>
        <v/>
      </c>
      <c r="D345" s="30" t="inlineStr">
        <is>
          <t>DENERVAL CONSTANTINO DA SILVA</t>
        </is>
      </c>
      <c r="E345" s="40" t="n">
        <v>27031</v>
      </c>
      <c r="F345" s="40" t="n">
        <v>3070</v>
      </c>
      <c r="G345" s="46" t="n">
        <v>-88.64</v>
      </c>
      <c r="H345" s="40" t="n">
        <v>7310</v>
      </c>
      <c r="I345" s="40" t="n">
        <v>138.11</v>
      </c>
      <c r="J345" s="40" t="n">
        <v>4430</v>
      </c>
      <c r="K345" s="46" t="n">
        <v>-39.4</v>
      </c>
      <c r="L345" s="40" t="n">
        <v>0</v>
      </c>
      <c r="M345" s="46" t="n">
        <v>-100</v>
      </c>
      <c r="N345" s="40" t="n">
        <v>0</v>
      </c>
      <c r="O345" s="40" t="n">
        <v>0</v>
      </c>
      <c r="P345" s="40" t="n">
        <v>0</v>
      </c>
      <c r="Q345" s="40" t="n">
        <v>0</v>
      </c>
      <c r="R345" s="47" t="n"/>
      <c r="S345" s="47" t="n"/>
      <c r="T345" s="47" t="n"/>
      <c r="U345" s="47" t="n"/>
      <c r="V345" s="47" t="n"/>
      <c r="W345" s="47" t="n"/>
    </row>
    <row r="346" ht="12" customHeight="1">
      <c r="A346" s="30" t="inlineStr">
        <is>
          <t>Itaguai</t>
        </is>
      </c>
      <c r="B346" s="30" t="n">
        <v>71687805</v>
      </c>
      <c r="C346" s="30">
        <f>"03434028749"</f>
        <v/>
      </c>
      <c r="D346" s="30" t="inlineStr">
        <is>
          <t>VALDEVINO DE SOUZA CAVACANTE</t>
        </is>
      </c>
      <c r="E346" s="40" t="n">
        <v>8000</v>
      </c>
      <c r="F346" s="40" t="n">
        <v>5000</v>
      </c>
      <c r="G346" s="46" t="n">
        <v>-37.5</v>
      </c>
      <c r="H346" s="40" t="n">
        <v>0</v>
      </c>
      <c r="I346" s="46" t="n">
        <v>-100</v>
      </c>
      <c r="J346" s="40" t="n">
        <v>0</v>
      </c>
      <c r="K346" s="40" t="n">
        <v>0</v>
      </c>
      <c r="L346" s="40" t="n">
        <v>0</v>
      </c>
      <c r="M346" s="40" t="n">
        <v>0</v>
      </c>
      <c r="N346" s="40" t="n">
        <v>0</v>
      </c>
      <c r="O346" s="40" t="n">
        <v>0</v>
      </c>
      <c r="P346" s="40" t="n">
        <v>0</v>
      </c>
      <c r="Q346" s="40" t="n">
        <v>0</v>
      </c>
      <c r="R346" s="47" t="n"/>
      <c r="S346" s="47" t="n"/>
      <c r="T346" s="47" t="n"/>
      <c r="U346" s="47" t="n"/>
      <c r="V346" s="47" t="n"/>
      <c r="W346" s="47" t="n"/>
    </row>
    <row r="347" ht="12" customHeight="1">
      <c r="A347" s="30" t="inlineStr">
        <is>
          <t>Itaguai</t>
        </is>
      </c>
      <c r="B347" s="30" t="n">
        <v>71687961</v>
      </c>
      <c r="C347" s="30">
        <f>"73537268734"</f>
        <v/>
      </c>
      <c r="D347" s="30" t="inlineStr">
        <is>
          <t>ROGERIO COUTO PEREIRA</t>
        </is>
      </c>
      <c r="E347" s="40" t="n">
        <v>28550</v>
      </c>
      <c r="F347" s="40" t="n">
        <v>900</v>
      </c>
      <c r="G347" s="46" t="n">
        <v>-96.84999999999999</v>
      </c>
      <c r="H347" s="40" t="n">
        <v>1265</v>
      </c>
      <c r="I347" s="40" t="n">
        <v>40.56</v>
      </c>
      <c r="J347" s="40" t="n">
        <v>24822</v>
      </c>
      <c r="K347" s="40" t="n">
        <v>1862.21</v>
      </c>
      <c r="L347" s="40" t="n">
        <v>47184</v>
      </c>
      <c r="M347" s="40" t="n">
        <v>90.09</v>
      </c>
      <c r="N347" s="40" t="n">
        <v>8847</v>
      </c>
      <c r="O347" s="46" t="n">
        <v>-81.25</v>
      </c>
      <c r="P347" s="40" t="n">
        <v>3488</v>
      </c>
      <c r="Q347" s="46" t="n">
        <v>-60.57</v>
      </c>
      <c r="R347" s="47" t="n"/>
      <c r="S347" s="47" t="n"/>
      <c r="T347" s="47" t="n"/>
      <c r="U347" s="47" t="n"/>
      <c r="V347" s="47" t="n"/>
      <c r="W347" s="47" t="n"/>
    </row>
    <row r="348" ht="12" customHeight="1">
      <c r="A348" s="30" t="inlineStr">
        <is>
          <t>Itaguai</t>
        </is>
      </c>
      <c r="B348" s="30" t="n">
        <v>72039920</v>
      </c>
      <c r="C348" s="30">
        <f>"48468940704"</f>
        <v/>
      </c>
      <c r="D348" s="30" t="inlineStr">
        <is>
          <t>PEDRO DOS SANTOS DIAS</t>
        </is>
      </c>
      <c r="E348" s="40" t="n">
        <v>3500</v>
      </c>
      <c r="F348" s="40" t="n">
        <v>0</v>
      </c>
      <c r="G348" s="46" t="n">
        <v>-100</v>
      </c>
      <c r="H348" s="40" t="n">
        <v>0</v>
      </c>
      <c r="I348" s="40" t="n">
        <v>0</v>
      </c>
      <c r="J348" s="40" t="n">
        <v>0</v>
      </c>
      <c r="K348" s="40" t="n">
        <v>0</v>
      </c>
      <c r="L348" s="40" t="n">
        <v>0</v>
      </c>
      <c r="M348" s="40" t="n">
        <v>0</v>
      </c>
      <c r="N348" s="40" t="n">
        <v>0</v>
      </c>
      <c r="O348" s="40" t="n">
        <v>0</v>
      </c>
      <c r="P348" s="40" t="n">
        <v>0</v>
      </c>
      <c r="Q348" s="40" t="n">
        <v>0</v>
      </c>
      <c r="R348" s="47" t="n"/>
      <c r="S348" s="47" t="n"/>
      <c r="T348" s="47" t="n"/>
      <c r="U348" s="47" t="n"/>
      <c r="V348" s="47" t="n"/>
      <c r="W348" s="47" t="n"/>
    </row>
    <row r="349" ht="12" customHeight="1">
      <c r="A349" s="30" t="inlineStr">
        <is>
          <t>Itaguai</t>
        </is>
      </c>
      <c r="B349" s="30" t="n">
        <v>72058887</v>
      </c>
      <c r="C349" s="30">
        <f>"44782101791"</f>
        <v/>
      </c>
      <c r="D349" s="30" t="inlineStr">
        <is>
          <t>ANDRE CLEMENTINO TEIXEIRA</t>
        </is>
      </c>
      <c r="E349" s="40" t="n">
        <v>12000</v>
      </c>
      <c r="F349" s="40" t="n">
        <v>13500</v>
      </c>
      <c r="G349" s="40" t="n">
        <v>12.5</v>
      </c>
      <c r="H349" s="40" t="n">
        <v>24650</v>
      </c>
      <c r="I349" s="40" t="n">
        <v>82.59</v>
      </c>
      <c r="J349" s="40" t="n">
        <v>20243</v>
      </c>
      <c r="K349" s="46" t="n">
        <v>-17.88</v>
      </c>
      <c r="L349" s="40" t="n">
        <v>13749</v>
      </c>
      <c r="M349" s="46" t="n">
        <v>-32.08</v>
      </c>
      <c r="N349" s="40" t="n">
        <v>18355</v>
      </c>
      <c r="O349" s="40" t="n">
        <v>33.5</v>
      </c>
      <c r="P349" s="40" t="n">
        <v>20213</v>
      </c>
      <c r="Q349" s="40" t="n">
        <v>10.12</v>
      </c>
      <c r="R349" s="47" t="n"/>
      <c r="S349" s="47" t="n"/>
      <c r="T349" s="47" t="n"/>
      <c r="U349" s="47" t="n"/>
      <c r="V349" s="47" t="n"/>
      <c r="W349" s="47" t="n"/>
    </row>
    <row r="350" ht="12" customHeight="1">
      <c r="A350" s="30" t="inlineStr">
        <is>
          <t>Itaguai</t>
        </is>
      </c>
      <c r="B350" s="30" t="n">
        <v>72071247</v>
      </c>
      <c r="C350" s="30">
        <f>"21524661791"</f>
        <v/>
      </c>
      <c r="D350" s="30" t="inlineStr">
        <is>
          <t>LEONEL MARQUES</t>
        </is>
      </c>
      <c r="E350" s="40" t="n">
        <v>27443</v>
      </c>
      <c r="F350" s="40" t="n">
        <v>6925</v>
      </c>
      <c r="G350" s="46" t="n">
        <v>-74.77</v>
      </c>
      <c r="H350" s="40" t="n">
        <v>0</v>
      </c>
      <c r="I350" s="46" t="n">
        <v>-100</v>
      </c>
      <c r="J350" s="40" t="n">
        <v>0</v>
      </c>
      <c r="K350" s="40" t="n">
        <v>0</v>
      </c>
      <c r="L350" s="40" t="n">
        <v>0</v>
      </c>
      <c r="M350" s="40" t="n">
        <v>0</v>
      </c>
      <c r="N350" s="40" t="n">
        <v>0</v>
      </c>
      <c r="O350" s="40" t="n">
        <v>0</v>
      </c>
      <c r="P350" s="40" t="n">
        <v>0</v>
      </c>
      <c r="Q350" s="40" t="n">
        <v>0</v>
      </c>
      <c r="R350" s="47" t="n"/>
      <c r="S350" s="47" t="n"/>
      <c r="T350" s="47" t="n"/>
      <c r="U350" s="47" t="n"/>
      <c r="V350" s="47" t="n"/>
      <c r="W350" s="47" t="n"/>
    </row>
    <row r="351" ht="12" customHeight="1">
      <c r="A351" s="30" t="inlineStr">
        <is>
          <t>Itaguai</t>
        </is>
      </c>
      <c r="B351" s="30" t="n">
        <v>72079892</v>
      </c>
      <c r="C351" s="30">
        <f>"25730118015"</f>
        <v/>
      </c>
      <c r="D351" s="30" t="inlineStr">
        <is>
          <t>JOSE ANTONIO ASSIS SCOTTON</t>
        </is>
      </c>
      <c r="E351" s="40" t="n">
        <v>19745</v>
      </c>
      <c r="F351" s="40" t="n">
        <v>18860</v>
      </c>
      <c r="G351" s="46" t="n">
        <v>-4.48</v>
      </c>
      <c r="H351" s="40" t="n">
        <v>25361</v>
      </c>
      <c r="I351" s="40" t="n">
        <v>34.47</v>
      </c>
      <c r="J351" s="40" t="n">
        <v>28894</v>
      </c>
      <c r="K351" s="40" t="n">
        <v>13.93</v>
      </c>
      <c r="L351" s="40" t="n">
        <v>15841</v>
      </c>
      <c r="M351" s="46" t="n">
        <v>-45.18</v>
      </c>
      <c r="N351" s="40" t="n">
        <v>0</v>
      </c>
      <c r="O351" s="46" t="n">
        <v>-100</v>
      </c>
      <c r="P351" s="40" t="n">
        <v>0</v>
      </c>
      <c r="Q351" s="40" t="n">
        <v>0</v>
      </c>
      <c r="R351" s="47" t="n"/>
      <c r="S351" s="47" t="n"/>
      <c r="T351" s="47" t="n"/>
      <c r="U351" s="47" t="n"/>
      <c r="V351" s="47" t="n"/>
      <c r="W351" s="47" t="n"/>
    </row>
    <row r="352" ht="12" customHeight="1">
      <c r="A352" s="30" t="inlineStr">
        <is>
          <t>Itaguai</t>
        </is>
      </c>
      <c r="B352" s="30" t="n">
        <v>72085663</v>
      </c>
      <c r="C352" s="30">
        <f>"05565358710"</f>
        <v/>
      </c>
      <c r="D352" s="30" t="inlineStr">
        <is>
          <t>FELIPE GIMENES GONCALVES RAUNHEITTI G</t>
        </is>
      </c>
      <c r="E352" s="40" t="n">
        <v>363817.16</v>
      </c>
      <c r="F352" s="40" t="n">
        <v>0</v>
      </c>
      <c r="G352" s="46" t="n">
        <v>-100</v>
      </c>
      <c r="H352" s="40" t="n">
        <v>0</v>
      </c>
      <c r="I352" s="40" t="n">
        <v>0</v>
      </c>
      <c r="J352" s="40" t="n">
        <v>0</v>
      </c>
      <c r="K352" s="40" t="n">
        <v>0</v>
      </c>
      <c r="L352" s="40" t="n">
        <v>0</v>
      </c>
      <c r="M352" s="40" t="n">
        <v>0</v>
      </c>
      <c r="N352" s="40" t="n">
        <v>0</v>
      </c>
      <c r="O352" s="40" t="n">
        <v>0</v>
      </c>
      <c r="P352" s="40" t="n">
        <v>0</v>
      </c>
      <c r="Q352" s="40" t="n">
        <v>0</v>
      </c>
      <c r="R352" s="47" t="n"/>
      <c r="S352" s="47" t="n"/>
      <c r="T352" s="47" t="n"/>
      <c r="U352" s="47" t="n"/>
      <c r="V352" s="47" t="n"/>
      <c r="W352" s="47" t="n"/>
    </row>
    <row r="353" ht="12" customHeight="1">
      <c r="A353" s="30" t="inlineStr">
        <is>
          <t>Itaguai</t>
        </is>
      </c>
      <c r="B353" s="30" t="n">
        <v>72090683</v>
      </c>
      <c r="C353" s="30">
        <f>"32918879720"</f>
        <v/>
      </c>
      <c r="D353" s="30" t="inlineStr">
        <is>
          <t>EDSON DE SOUZA SILVA</t>
        </is>
      </c>
      <c r="E353" s="40" t="n">
        <v>180839</v>
      </c>
      <c r="F353" s="40" t="n">
        <v>0</v>
      </c>
      <c r="G353" s="46" t="n">
        <v>-100</v>
      </c>
      <c r="H353" s="40" t="n">
        <v>0</v>
      </c>
      <c r="I353" s="40" t="n">
        <v>0</v>
      </c>
      <c r="J353" s="40" t="n">
        <v>0</v>
      </c>
      <c r="K353" s="40" t="n">
        <v>0</v>
      </c>
      <c r="L353" s="40" t="n">
        <v>0</v>
      </c>
      <c r="M353" s="40" t="n">
        <v>0</v>
      </c>
      <c r="N353" s="40" t="n">
        <v>0</v>
      </c>
      <c r="O353" s="40" t="n">
        <v>0</v>
      </c>
      <c r="P353" s="40" t="n">
        <v>0</v>
      </c>
      <c r="Q353" s="40" t="n">
        <v>0</v>
      </c>
      <c r="R353" s="47" t="n"/>
      <c r="S353" s="47" t="n"/>
      <c r="T353" s="47" t="n"/>
      <c r="U353" s="47" t="n"/>
      <c r="V353" s="47" t="n"/>
      <c r="W353" s="47" t="n"/>
    </row>
    <row r="354" ht="12" customHeight="1">
      <c r="A354" s="30" t="inlineStr">
        <is>
          <t>Itaguai</t>
        </is>
      </c>
      <c r="B354" s="30" t="n">
        <v>72097629</v>
      </c>
      <c r="C354" s="30">
        <f>"03527592750"</f>
        <v/>
      </c>
      <c r="D354" s="30" t="inlineStr">
        <is>
          <t>MARCOS ANTONIO PEIXOTO DA FONSECA</t>
        </is>
      </c>
      <c r="E354" s="40" t="n">
        <v>2927564.62</v>
      </c>
      <c r="F354" s="40" t="n">
        <v>2217375.72</v>
      </c>
      <c r="G354" s="46" t="n">
        <v>-24.26</v>
      </c>
      <c r="H354" s="40" t="n">
        <v>4794842.34</v>
      </c>
      <c r="I354" s="40" t="n">
        <v>116.24</v>
      </c>
      <c r="J354" s="40" t="n">
        <v>10930291.13</v>
      </c>
      <c r="K354" s="40" t="n">
        <v>127.96</v>
      </c>
      <c r="L354" s="40" t="n">
        <v>18003421.74</v>
      </c>
      <c r="M354" s="40" t="n">
        <v>64.70999999999999</v>
      </c>
      <c r="N354" s="40" t="n">
        <v>173264</v>
      </c>
      <c r="O354" s="46" t="n">
        <v>-99.04000000000001</v>
      </c>
      <c r="P354" s="40" t="n">
        <v>0</v>
      </c>
      <c r="Q354" s="46" t="n">
        <v>-100</v>
      </c>
      <c r="R354" s="47" t="n"/>
      <c r="S354" s="47" t="n"/>
      <c r="T354" s="47" t="n"/>
      <c r="U354" s="47" t="n"/>
      <c r="V354" s="47" t="n"/>
      <c r="W354" s="47" t="n"/>
    </row>
    <row r="355" ht="12" customHeight="1">
      <c r="A355" s="30" t="inlineStr">
        <is>
          <t>Itaguai</t>
        </is>
      </c>
      <c r="B355" s="30" t="n">
        <v>72142829</v>
      </c>
      <c r="C355" s="30">
        <f>"02426552700"</f>
        <v/>
      </c>
      <c r="D355" s="30" t="inlineStr">
        <is>
          <t>LUIZ CARLOS DE CARVALHO STUDART</t>
        </is>
      </c>
      <c r="E355" s="40" t="n">
        <v>37400</v>
      </c>
      <c r="F355" s="40" t="n">
        <v>87620</v>
      </c>
      <c r="G355" s="40" t="n">
        <v>134.28</v>
      </c>
      <c r="H355" s="40" t="n">
        <v>55300</v>
      </c>
      <c r="I355" s="46" t="n">
        <v>-36.89</v>
      </c>
      <c r="J355" s="40" t="n">
        <v>0</v>
      </c>
      <c r="K355" s="46" t="n">
        <v>-100</v>
      </c>
      <c r="L355" s="40" t="n">
        <v>0</v>
      </c>
      <c r="M355" s="40" t="n">
        <v>0</v>
      </c>
      <c r="N355" s="40" t="n">
        <v>0</v>
      </c>
      <c r="O355" s="40" t="n">
        <v>0</v>
      </c>
      <c r="P355" s="40" t="n">
        <v>0</v>
      </c>
      <c r="Q355" s="40" t="n">
        <v>0</v>
      </c>
      <c r="R355" s="47" t="n"/>
      <c r="S355" s="47" t="n"/>
      <c r="T355" s="47" t="n"/>
      <c r="U355" s="47" t="n"/>
      <c r="V355" s="47" t="n"/>
      <c r="W355" s="47" t="n"/>
    </row>
    <row r="356" ht="12" customHeight="1">
      <c r="A356" s="30" t="inlineStr">
        <is>
          <t>Itaguai</t>
        </is>
      </c>
      <c r="B356" s="30" t="n">
        <v>72162544</v>
      </c>
      <c r="C356" s="30">
        <f>"01972624733"</f>
        <v/>
      </c>
      <c r="D356" s="30" t="inlineStr">
        <is>
          <t>PEDRO PACHECO DA SILVA</t>
        </is>
      </c>
      <c r="E356" s="40" t="n">
        <v>0</v>
      </c>
      <c r="F356" s="40" t="n">
        <v>19340.67</v>
      </c>
      <c r="G356" s="40" t="n">
        <v>100</v>
      </c>
      <c r="H356" s="40" t="n">
        <v>0</v>
      </c>
      <c r="I356" s="46" t="n">
        <v>-100</v>
      </c>
      <c r="J356" s="40" t="n">
        <v>0</v>
      </c>
      <c r="K356" s="40" t="n">
        <v>0</v>
      </c>
      <c r="L356" s="40" t="n">
        <v>0</v>
      </c>
      <c r="M356" s="40" t="n">
        <v>0</v>
      </c>
      <c r="N356" s="40" t="n">
        <v>0</v>
      </c>
      <c r="O356" s="40" t="n">
        <v>0</v>
      </c>
      <c r="P356" s="40" t="n">
        <v>0</v>
      </c>
      <c r="Q356" s="40" t="n">
        <v>0</v>
      </c>
      <c r="R356" s="47" t="n"/>
      <c r="S356" s="47" t="n"/>
      <c r="T356" s="47" t="n"/>
      <c r="U356" s="47" t="n"/>
      <c r="V356" s="47" t="n"/>
      <c r="W356" s="47" t="n"/>
    </row>
    <row r="357" ht="12" customHeight="1">
      <c r="A357" s="30" t="inlineStr">
        <is>
          <t>Itaguai</t>
        </is>
      </c>
      <c r="B357" s="30" t="n">
        <v>72169310</v>
      </c>
      <c r="C357" s="30">
        <f>"03248969725"</f>
        <v/>
      </c>
      <c r="D357" s="30" t="inlineStr">
        <is>
          <t>VILMAR DOS SANTOS  CAVALCANTE</t>
        </is>
      </c>
      <c r="E357" s="40" t="n">
        <v>5200</v>
      </c>
      <c r="F357" s="40" t="n">
        <v>8500</v>
      </c>
      <c r="G357" s="40" t="n">
        <v>63.46</v>
      </c>
      <c r="H357" s="40" t="n">
        <v>20000</v>
      </c>
      <c r="I357" s="40" t="n">
        <v>135.29</v>
      </c>
      <c r="J357" s="40" t="n">
        <v>5500</v>
      </c>
      <c r="K357" s="46" t="n">
        <v>-72.5</v>
      </c>
      <c r="L357" s="40" t="n">
        <v>12000</v>
      </c>
      <c r="M357" s="40" t="n">
        <v>118.18</v>
      </c>
      <c r="N357" s="40" t="n">
        <v>10000</v>
      </c>
      <c r="O357" s="46" t="n">
        <v>-16.67</v>
      </c>
      <c r="P357" s="40" t="n">
        <v>12960</v>
      </c>
      <c r="Q357" s="40" t="n">
        <v>29.6</v>
      </c>
      <c r="R357" s="47" t="n"/>
      <c r="S357" s="47" t="n"/>
      <c r="T357" s="47" t="n"/>
      <c r="U357" s="47" t="n"/>
      <c r="V357" s="47" t="n"/>
      <c r="W357" s="47" t="n"/>
    </row>
    <row r="358" ht="12" customHeight="1">
      <c r="A358" s="30" t="inlineStr">
        <is>
          <t>Itaguai</t>
        </is>
      </c>
      <c r="B358" s="30" t="n">
        <v>72235770</v>
      </c>
      <c r="C358" s="30">
        <f>"00008437769"</f>
        <v/>
      </c>
      <c r="D358" s="30" t="inlineStr">
        <is>
          <t>MARGARETH SOARES MELGACO</t>
        </is>
      </c>
      <c r="E358" s="40" t="n">
        <v>0</v>
      </c>
      <c r="F358" s="40" t="n">
        <v>0</v>
      </c>
      <c r="G358" s="40" t="n">
        <v>0</v>
      </c>
      <c r="H358" s="40" t="n">
        <v>0</v>
      </c>
      <c r="I358" s="40" t="n">
        <v>0</v>
      </c>
      <c r="J358" s="40" t="n">
        <v>2760</v>
      </c>
      <c r="K358" s="40" t="n">
        <v>100</v>
      </c>
      <c r="L358" s="40" t="n">
        <v>0</v>
      </c>
      <c r="M358" s="46" t="n">
        <v>-100</v>
      </c>
      <c r="N358" s="40" t="n">
        <v>0</v>
      </c>
      <c r="O358" s="40" t="n">
        <v>0</v>
      </c>
      <c r="P358" s="40" t="n">
        <v>0</v>
      </c>
      <c r="Q358" s="40" t="n">
        <v>0</v>
      </c>
      <c r="R358" s="47" t="n"/>
      <c r="S358" s="47" t="n"/>
      <c r="T358" s="47" t="n"/>
      <c r="U358" s="47" t="n"/>
      <c r="V358" s="47" t="n"/>
      <c r="W358" s="47" t="n"/>
    </row>
    <row r="359" ht="12" customHeight="1">
      <c r="A359" s="30" t="inlineStr">
        <is>
          <t>Itaguai</t>
        </is>
      </c>
      <c r="B359" s="30" t="n">
        <v>72253337</v>
      </c>
      <c r="C359" s="30">
        <f>"03364746796"</f>
        <v/>
      </c>
      <c r="D359" s="30" t="inlineStr">
        <is>
          <t>GUILHERME MORAIS MACHADO</t>
        </is>
      </c>
      <c r="E359" s="40" t="n">
        <v>14120</v>
      </c>
      <c r="F359" s="40" t="n">
        <v>190904</v>
      </c>
      <c r="G359" s="40" t="n">
        <v>1252.01</v>
      </c>
      <c r="H359" s="40" t="n">
        <v>0</v>
      </c>
      <c r="I359" s="46" t="n">
        <v>-100</v>
      </c>
      <c r="J359" s="40" t="n">
        <v>83625</v>
      </c>
      <c r="K359" s="40" t="n">
        <v>100</v>
      </c>
      <c r="L359" s="40" t="n">
        <v>0</v>
      </c>
      <c r="M359" s="46" t="n">
        <v>-100</v>
      </c>
      <c r="N359" s="40" t="n">
        <v>105422</v>
      </c>
      <c r="O359" s="40" t="n">
        <v>100</v>
      </c>
      <c r="P359" s="40" t="n">
        <v>43819</v>
      </c>
      <c r="Q359" s="46" t="n">
        <v>-58.43</v>
      </c>
      <c r="R359" s="47" t="n"/>
      <c r="S359" s="47" t="n"/>
      <c r="T359" s="47" t="n"/>
      <c r="U359" s="47" t="n"/>
      <c r="V359" s="47" t="n"/>
      <c r="W359" s="47" t="n"/>
    </row>
    <row r="360" ht="12" customHeight="1">
      <c r="A360" s="30" t="inlineStr">
        <is>
          <t>Itaguai</t>
        </is>
      </c>
      <c r="B360" s="30" t="n">
        <v>72267486</v>
      </c>
      <c r="C360" s="30">
        <f>"00007452430700"</f>
        <v/>
      </c>
      <c r="D360" s="30" t="inlineStr">
        <is>
          <t>ERIVELTO SOUZA DA ROSA</t>
        </is>
      </c>
      <c r="E360" s="40" t="n">
        <v>0</v>
      </c>
      <c r="F360" s="40" t="n">
        <v>0</v>
      </c>
      <c r="G360" s="40" t="n">
        <v>0</v>
      </c>
      <c r="H360" s="40" t="n">
        <v>0</v>
      </c>
      <c r="I360" s="40" t="n">
        <v>0</v>
      </c>
      <c r="J360" s="40" t="n">
        <v>0</v>
      </c>
      <c r="K360" s="40" t="n">
        <v>0</v>
      </c>
      <c r="L360" s="40" t="n">
        <v>0</v>
      </c>
      <c r="M360" s="40" t="n">
        <v>0</v>
      </c>
      <c r="N360" s="40" t="n">
        <v>0</v>
      </c>
      <c r="O360" s="40" t="n">
        <v>0</v>
      </c>
      <c r="P360" s="40" t="n">
        <v>24000</v>
      </c>
      <c r="Q360" s="40" t="n">
        <v>100</v>
      </c>
      <c r="R360" s="47" t="n"/>
      <c r="S360" s="47" t="n"/>
      <c r="T360" s="47" t="n"/>
      <c r="U360" s="47" t="n"/>
      <c r="V360" s="47" t="n"/>
      <c r="W360" s="47" t="n"/>
    </row>
    <row r="361" ht="12" customHeight="1">
      <c r="A361" s="30" t="inlineStr">
        <is>
          <t>Itaguai</t>
        </is>
      </c>
      <c r="B361" s="30" t="n">
        <v>72294521</v>
      </c>
      <c r="C361" s="30">
        <f>"07859302721"</f>
        <v/>
      </c>
      <c r="D361" s="30" t="inlineStr">
        <is>
          <t>MARCO AURELIO DA COSTA ABADE</t>
        </is>
      </c>
      <c r="E361" s="40" t="n">
        <v>0</v>
      </c>
      <c r="F361" s="40" t="n">
        <v>0</v>
      </c>
      <c r="G361" s="40" t="n">
        <v>0</v>
      </c>
      <c r="H361" s="40" t="n">
        <v>0</v>
      </c>
      <c r="I361" s="40" t="n">
        <v>0</v>
      </c>
      <c r="J361" s="40" t="n">
        <v>0</v>
      </c>
      <c r="K361" s="40" t="n">
        <v>0</v>
      </c>
      <c r="L361" s="40" t="n">
        <v>0</v>
      </c>
      <c r="M361" s="40" t="n">
        <v>0</v>
      </c>
      <c r="N361" s="40" t="n">
        <v>0</v>
      </c>
      <c r="O361" s="40" t="n">
        <v>0</v>
      </c>
      <c r="P361" s="40" t="n">
        <v>0</v>
      </c>
      <c r="Q361" s="40" t="n">
        <v>0</v>
      </c>
      <c r="R361" s="47" t="n"/>
      <c r="S361" s="47" t="n"/>
      <c r="T361" s="47" t="n"/>
      <c r="U361" s="47" t="n"/>
      <c r="V361" s="47" t="n"/>
      <c r="W361" s="47" t="n"/>
    </row>
    <row r="362" ht="12" customHeight="1">
      <c r="A362" s="30" t="inlineStr">
        <is>
          <t>Itaguai</t>
        </is>
      </c>
      <c r="B362" s="30" t="n">
        <v>72314786</v>
      </c>
      <c r="C362" s="30">
        <f>"04754262743"</f>
        <v/>
      </c>
      <c r="D362" s="30" t="inlineStr">
        <is>
          <t>WILSON ALENCAR FILHO</t>
        </is>
      </c>
      <c r="E362" s="40" t="n">
        <v>36429</v>
      </c>
      <c r="F362" s="40" t="n">
        <v>31850</v>
      </c>
      <c r="G362" s="46" t="n">
        <v>-12.57</v>
      </c>
      <c r="H362" s="40" t="n">
        <v>46550</v>
      </c>
      <c r="I362" s="40" t="n">
        <v>46.15</v>
      </c>
      <c r="J362" s="40" t="n">
        <v>0</v>
      </c>
      <c r="K362" s="46" t="n">
        <v>-100</v>
      </c>
      <c r="L362" s="40" t="n">
        <v>53450</v>
      </c>
      <c r="M362" s="40" t="n">
        <v>100</v>
      </c>
      <c r="N362" s="40" t="n">
        <v>0</v>
      </c>
      <c r="O362" s="46" t="n">
        <v>-100</v>
      </c>
      <c r="P362" s="40" t="n">
        <v>68250</v>
      </c>
      <c r="Q362" s="40" t="n">
        <v>100</v>
      </c>
      <c r="R362" s="47" t="n"/>
      <c r="S362" s="47" t="n"/>
      <c r="T362" s="47" t="n"/>
      <c r="U362" s="47" t="n"/>
      <c r="V362" s="47" t="n"/>
      <c r="W362" s="47" t="n"/>
    </row>
    <row r="363" ht="12" customHeight="1">
      <c r="A363" s="30" t="inlineStr">
        <is>
          <t>Itaguai</t>
        </is>
      </c>
      <c r="B363" s="30" t="n">
        <v>72325737</v>
      </c>
      <c r="C363" s="30">
        <f>"80335730744"</f>
        <v/>
      </c>
      <c r="D363" s="30" t="inlineStr">
        <is>
          <t>ROSEMBERG DA SILVA MOURA</t>
        </is>
      </c>
      <c r="E363" s="40" t="n">
        <v>0</v>
      </c>
      <c r="F363" s="40" t="n">
        <v>0</v>
      </c>
      <c r="G363" s="40" t="n">
        <v>0</v>
      </c>
      <c r="H363" s="40" t="n">
        <v>0</v>
      </c>
      <c r="I363" s="40" t="n">
        <v>0</v>
      </c>
      <c r="J363" s="40" t="n">
        <v>0</v>
      </c>
      <c r="K363" s="40" t="n">
        <v>0</v>
      </c>
      <c r="L363" s="40" t="n">
        <v>0</v>
      </c>
      <c r="M363" s="40" t="n">
        <v>0</v>
      </c>
      <c r="N363" s="40" t="n">
        <v>0</v>
      </c>
      <c r="O363" s="40" t="n">
        <v>0</v>
      </c>
      <c r="P363" s="40" t="n">
        <v>0</v>
      </c>
      <c r="Q363" s="40" t="n">
        <v>0</v>
      </c>
      <c r="R363" s="47" t="n"/>
      <c r="S363" s="47" t="n"/>
      <c r="T363" s="47" t="n"/>
      <c r="U363" s="47" t="n"/>
      <c r="V363" s="47" t="n"/>
      <c r="W363" s="47" t="n"/>
    </row>
    <row r="364" ht="12" customHeight="1">
      <c r="A364" s="30" t="inlineStr">
        <is>
          <t>Itaguai</t>
        </is>
      </c>
      <c r="B364" s="30" t="n">
        <v>72355059</v>
      </c>
      <c r="C364" s="30">
        <f>"00685979750"</f>
        <v/>
      </c>
      <c r="D364" s="30" t="inlineStr">
        <is>
          <t>KEIKO OBA HONDA</t>
        </is>
      </c>
      <c r="E364" s="40" t="n">
        <v>71605.60000000001</v>
      </c>
      <c r="F364" s="40" t="n">
        <v>0</v>
      </c>
      <c r="G364" s="46" t="n">
        <v>-100</v>
      </c>
      <c r="H364" s="40" t="n">
        <v>0</v>
      </c>
      <c r="I364" s="40" t="n">
        <v>0</v>
      </c>
      <c r="J364" s="40" t="n">
        <v>100000</v>
      </c>
      <c r="K364" s="40" t="n">
        <v>100</v>
      </c>
      <c r="L364" s="40" t="n">
        <v>92505</v>
      </c>
      <c r="M364" s="46" t="n">
        <v>-7.5</v>
      </c>
      <c r="N364" s="40" t="n">
        <v>80394.89999999999</v>
      </c>
      <c r="O364" s="46" t="n">
        <v>-13.09</v>
      </c>
      <c r="P364" s="40" t="n">
        <v>91959.49000000001</v>
      </c>
      <c r="Q364" s="40" t="n">
        <v>14.38</v>
      </c>
      <c r="R364" s="47" t="n"/>
      <c r="S364" s="47" t="n"/>
      <c r="T364" s="47" t="n"/>
      <c r="U364" s="47" t="n"/>
      <c r="V364" s="47" t="n"/>
      <c r="W364" s="47" t="n"/>
    </row>
    <row r="365" ht="12" customHeight="1">
      <c r="A365" s="30" t="inlineStr">
        <is>
          <t>Itaguai</t>
        </is>
      </c>
      <c r="B365" s="30" t="n">
        <v>72363442</v>
      </c>
      <c r="C365" s="30">
        <f>"49593722734"</f>
        <v/>
      </c>
      <c r="D365" s="30" t="inlineStr">
        <is>
          <t>LUIZ GONZAGA GARCIA</t>
        </is>
      </c>
      <c r="E365" s="40" t="n">
        <v>59500</v>
      </c>
      <c r="F365" s="40" t="n">
        <v>59932</v>
      </c>
      <c r="G365" s="40" t="n">
        <v>0.73</v>
      </c>
      <c r="H365" s="40" t="n">
        <v>141185.2</v>
      </c>
      <c r="I365" s="40" t="n">
        <v>135.58</v>
      </c>
      <c r="J365" s="40" t="n">
        <v>0</v>
      </c>
      <c r="K365" s="46" t="n">
        <v>-100</v>
      </c>
      <c r="L365" s="40" t="n">
        <v>0</v>
      </c>
      <c r="M365" s="40" t="n">
        <v>0</v>
      </c>
      <c r="N365" s="40" t="n">
        <v>0</v>
      </c>
      <c r="O365" s="40" t="n">
        <v>0</v>
      </c>
      <c r="P365" s="40" t="n">
        <v>0</v>
      </c>
      <c r="Q365" s="40" t="n">
        <v>0</v>
      </c>
      <c r="R365" s="47" t="n"/>
      <c r="S365" s="47" t="n"/>
      <c r="T365" s="47" t="n"/>
      <c r="U365" s="47" t="n"/>
      <c r="V365" s="47" t="n"/>
      <c r="W365" s="47" t="n"/>
    </row>
    <row r="366" ht="12" customHeight="1">
      <c r="A366" s="30" t="inlineStr">
        <is>
          <t>Itaguai</t>
        </is>
      </c>
      <c r="B366" s="30" t="n">
        <v>72372042</v>
      </c>
      <c r="C366" s="30">
        <f>"02733976729"</f>
        <v/>
      </c>
      <c r="D366" s="30" t="inlineStr">
        <is>
          <t>MARIA ESTELA DE LEMOS LIMA SANTORO</t>
        </is>
      </c>
      <c r="E366" s="40" t="n">
        <v>0</v>
      </c>
      <c r="F366" s="40" t="n">
        <v>0</v>
      </c>
      <c r="G366" s="40" t="n">
        <v>0</v>
      </c>
      <c r="H366" s="40" t="n">
        <v>0</v>
      </c>
      <c r="I366" s="40" t="n">
        <v>0</v>
      </c>
      <c r="J366" s="40" t="n">
        <v>3567587.13</v>
      </c>
      <c r="K366" s="40" t="n">
        <v>100</v>
      </c>
      <c r="L366" s="40" t="n">
        <v>0</v>
      </c>
      <c r="M366" s="46" t="n">
        <v>-100</v>
      </c>
      <c r="N366" s="40" t="n">
        <v>0</v>
      </c>
      <c r="O366" s="40" t="n">
        <v>0</v>
      </c>
      <c r="P366" s="40" t="n">
        <v>1868651.42</v>
      </c>
      <c r="Q366" s="40" t="n">
        <v>100</v>
      </c>
      <c r="R366" s="47" t="n"/>
      <c r="S366" s="47" t="n"/>
      <c r="T366" s="47" t="n"/>
      <c r="U366" s="47" t="n"/>
      <c r="V366" s="47" t="n"/>
      <c r="W366" s="47" t="n"/>
    </row>
    <row r="367" ht="12" customHeight="1">
      <c r="A367" s="30" t="inlineStr">
        <is>
          <t>Itaguai</t>
        </is>
      </c>
      <c r="B367" s="30" t="n">
        <v>72375343</v>
      </c>
      <c r="C367" s="30">
        <f>"02903444765"</f>
        <v/>
      </c>
      <c r="D367" s="30" t="inlineStr">
        <is>
          <t>MARCOS HENRIQUE PEREIRA ALVES</t>
        </is>
      </c>
      <c r="E367" s="40" t="n">
        <v>0</v>
      </c>
      <c r="F367" s="40" t="n">
        <v>0</v>
      </c>
      <c r="G367" s="40" t="n">
        <v>0</v>
      </c>
      <c r="H367" s="40" t="n">
        <v>0</v>
      </c>
      <c r="I367" s="40" t="n">
        <v>0</v>
      </c>
      <c r="J367" s="40" t="n">
        <v>0</v>
      </c>
      <c r="K367" s="40" t="n">
        <v>0</v>
      </c>
      <c r="L367" s="40" t="n">
        <v>0</v>
      </c>
      <c r="M367" s="40" t="n">
        <v>0</v>
      </c>
      <c r="N367" s="40" t="n">
        <v>0</v>
      </c>
      <c r="O367" s="40" t="n">
        <v>0</v>
      </c>
      <c r="P367" s="40" t="n">
        <v>0</v>
      </c>
      <c r="Q367" s="40" t="n">
        <v>0</v>
      </c>
      <c r="R367" s="47" t="n"/>
      <c r="S367" s="47" t="n"/>
      <c r="T367" s="47" t="n"/>
      <c r="U367" s="47" t="n"/>
      <c r="V367" s="47" t="n"/>
      <c r="W367" s="47" t="n"/>
    </row>
    <row r="368" ht="12" customHeight="1">
      <c r="A368" s="30" t="inlineStr">
        <is>
          <t>Itaguai</t>
        </is>
      </c>
      <c r="B368" s="30" t="n">
        <v>72380665</v>
      </c>
      <c r="C368" s="30">
        <f>"84148624700"</f>
        <v/>
      </c>
      <c r="D368" s="30" t="inlineStr">
        <is>
          <t>JESSE RODRIGUES DE LIMA</t>
        </is>
      </c>
      <c r="E368" s="40" t="n">
        <v>9540</v>
      </c>
      <c r="F368" s="40" t="n">
        <v>11560</v>
      </c>
      <c r="G368" s="40" t="n">
        <v>21.17</v>
      </c>
      <c r="H368" s="40" t="n">
        <v>10500</v>
      </c>
      <c r="I368" s="46" t="n">
        <v>-9.17</v>
      </c>
      <c r="J368" s="40" t="n">
        <v>5500</v>
      </c>
      <c r="K368" s="46" t="n">
        <v>-47.62</v>
      </c>
      <c r="L368" s="40" t="n">
        <v>10000</v>
      </c>
      <c r="M368" s="40" t="n">
        <v>81.81999999999999</v>
      </c>
      <c r="N368" s="40" t="n">
        <v>25200</v>
      </c>
      <c r="O368" s="40" t="n">
        <v>152</v>
      </c>
      <c r="P368" s="40" t="n">
        <v>26900</v>
      </c>
      <c r="Q368" s="40" t="n">
        <v>6.75</v>
      </c>
      <c r="R368" s="47" t="n"/>
      <c r="S368" s="47" t="n"/>
      <c r="T368" s="47" t="n"/>
      <c r="U368" s="47" t="n"/>
      <c r="V368" s="47" t="n"/>
      <c r="W368" s="47" t="n"/>
    </row>
    <row r="369" ht="12" customHeight="1">
      <c r="A369" s="30" t="inlineStr">
        <is>
          <t>Itaguai</t>
        </is>
      </c>
      <c r="B369" s="30" t="n">
        <v>72393775</v>
      </c>
      <c r="C369" s="36">
        <f>"32934173704"</f>
        <v/>
      </c>
      <c r="D369" s="30" t="inlineStr">
        <is>
          <t>NILTON DE SOUZA SILVA</t>
        </is>
      </c>
      <c r="E369" s="48" t="n">
        <v>46130</v>
      </c>
      <c r="F369" s="48" t="n">
        <v>38500</v>
      </c>
      <c r="G369" s="49" t="n">
        <v>-16.54</v>
      </c>
      <c r="H369" s="48" t="n">
        <v>120880</v>
      </c>
      <c r="I369" s="48" t="n">
        <v>213.97</v>
      </c>
      <c r="J369" s="48" t="n">
        <v>26780</v>
      </c>
      <c r="K369" s="49" t="n">
        <v>-77.84999999999999</v>
      </c>
      <c r="L369" s="48" t="n">
        <v>40340</v>
      </c>
      <c r="M369" s="48" t="n">
        <v>50.63</v>
      </c>
      <c r="N369" s="48" t="n">
        <v>53300</v>
      </c>
      <c r="O369" s="48" t="n">
        <v>32.13</v>
      </c>
      <c r="P369" s="48" t="n">
        <v>85440</v>
      </c>
      <c r="Q369" s="48" t="n">
        <v>60.3</v>
      </c>
      <c r="R369" s="47" t="n"/>
      <c r="S369" s="47" t="n"/>
      <c r="T369" s="47" t="n"/>
      <c r="U369" s="47" t="n"/>
      <c r="V369" s="47" t="n"/>
      <c r="W369" s="47" t="n"/>
    </row>
    <row r="370" ht="11.25" customHeight="1">
      <c r="A370" s="30" t="inlineStr">
        <is>
          <t>Itaguai</t>
        </is>
      </c>
      <c r="B370" s="30" t="n">
        <v>72399307</v>
      </c>
      <c r="C370" s="30">
        <f>"59318112734"</f>
        <v/>
      </c>
      <c r="D370" s="30" t="inlineStr">
        <is>
          <t>ISAMU JORGE YAMASHITA</t>
        </is>
      </c>
      <c r="E370" s="40" t="n">
        <v>0</v>
      </c>
      <c r="F370" s="40" t="n">
        <v>0</v>
      </c>
      <c r="G370" s="40" t="n">
        <v>0</v>
      </c>
      <c r="H370" s="40" t="n">
        <v>0</v>
      </c>
      <c r="I370" s="40" t="n">
        <v>0</v>
      </c>
      <c r="J370" s="40" t="n">
        <v>0</v>
      </c>
      <c r="K370" s="40" t="n">
        <v>0</v>
      </c>
      <c r="L370" s="40" t="n">
        <v>0</v>
      </c>
      <c r="M370" s="40" t="n">
        <v>0</v>
      </c>
      <c r="N370" s="40" t="n">
        <v>0</v>
      </c>
      <c r="O370" s="40" t="n">
        <v>0</v>
      </c>
      <c r="P370" s="40" t="n">
        <v>0</v>
      </c>
      <c r="Q370" s="40" t="n">
        <v>0</v>
      </c>
      <c r="R370" s="47" t="n"/>
      <c r="S370" s="47" t="n"/>
      <c r="T370" s="47" t="n"/>
      <c r="U370" s="47" t="n"/>
      <c r="V370" s="47" t="n"/>
      <c r="W370" s="47" t="n"/>
    </row>
    <row r="371" ht="11.25" customHeight="1">
      <c r="A371" s="30" t="inlineStr">
        <is>
          <t>Itaguai</t>
        </is>
      </c>
      <c r="B371" s="30" t="n">
        <v>72400283</v>
      </c>
      <c r="C371" s="30">
        <f>"03364188769"</f>
        <v/>
      </c>
      <c r="D371" s="30" t="inlineStr">
        <is>
          <t>MARIA DE JESUS FERREIRA</t>
        </is>
      </c>
      <c r="E371" s="40" t="n">
        <v>184000</v>
      </c>
      <c r="F371" s="40" t="n">
        <v>0</v>
      </c>
      <c r="G371" s="46" t="n">
        <v>-100</v>
      </c>
      <c r="H371" s="40" t="n">
        <v>0</v>
      </c>
      <c r="I371" s="40" t="n">
        <v>0</v>
      </c>
      <c r="J371" s="40" t="n">
        <v>0</v>
      </c>
      <c r="K371" s="40" t="n">
        <v>0</v>
      </c>
      <c r="L371" s="40" t="n">
        <v>296850</v>
      </c>
      <c r="M371" s="40" t="n">
        <v>100</v>
      </c>
      <c r="N371" s="40" t="n">
        <v>315000</v>
      </c>
      <c r="O371" s="40" t="n">
        <v>6.11</v>
      </c>
      <c r="P371" s="40" t="n">
        <v>162000</v>
      </c>
      <c r="Q371" s="46" t="n">
        <v>-48.57</v>
      </c>
      <c r="R371" s="47" t="n"/>
      <c r="S371" s="47" t="n"/>
      <c r="T371" s="47" t="n"/>
      <c r="U371" s="47" t="n"/>
      <c r="V371" s="47" t="n"/>
      <c r="W371" s="47" t="n"/>
    </row>
    <row r="372" ht="11.25" customHeight="1">
      <c r="A372" s="30" t="inlineStr">
        <is>
          <t>Itaguai</t>
        </is>
      </c>
      <c r="B372" s="30" t="n">
        <v>72408594</v>
      </c>
      <c r="C372" s="30">
        <f>"00003364188769"</f>
        <v/>
      </c>
      <c r="D372" s="30" t="inlineStr">
        <is>
          <t>MARIA DE JESUS FERREIRA</t>
        </is>
      </c>
      <c r="E372" s="40" t="n">
        <v>0</v>
      </c>
      <c r="F372" s="40" t="n">
        <v>0</v>
      </c>
      <c r="G372" s="40" t="n">
        <v>0</v>
      </c>
      <c r="H372" s="40" t="n">
        <v>0</v>
      </c>
      <c r="I372" s="40" t="n">
        <v>0</v>
      </c>
      <c r="J372" s="40" t="n">
        <v>0</v>
      </c>
      <c r="K372" s="40" t="n">
        <v>0</v>
      </c>
      <c r="L372" s="40" t="n">
        <v>0</v>
      </c>
      <c r="M372" s="40" t="n">
        <v>0</v>
      </c>
      <c r="N372" s="40" t="n">
        <v>0</v>
      </c>
      <c r="O372" s="40" t="n">
        <v>0</v>
      </c>
      <c r="P372" s="40" t="n">
        <v>0</v>
      </c>
      <c r="Q372" s="40" t="n">
        <v>0</v>
      </c>
      <c r="R372" s="47" t="n"/>
      <c r="S372" s="47" t="n"/>
      <c r="T372" s="47" t="n"/>
      <c r="U372" s="47" t="n"/>
      <c r="V372" s="47" t="n"/>
      <c r="W372" s="47" t="n"/>
    </row>
    <row r="373" ht="11.25" customHeight="1">
      <c r="A373" s="30" t="inlineStr">
        <is>
          <t>Itaguai</t>
        </is>
      </c>
      <c r="B373" s="30" t="n">
        <v>72408608</v>
      </c>
      <c r="C373" s="30">
        <f>"00003364188769"</f>
        <v/>
      </c>
      <c r="D373" s="30" t="inlineStr">
        <is>
          <t>MARIA DE JESUS FERREIRA</t>
        </is>
      </c>
      <c r="E373" s="40" t="n">
        <v>30370</v>
      </c>
      <c r="F373" s="40" t="n">
        <v>0</v>
      </c>
      <c r="G373" s="46" t="n">
        <v>-100</v>
      </c>
      <c r="H373" s="40" t="n">
        <v>0</v>
      </c>
      <c r="I373" s="40" t="n">
        <v>0</v>
      </c>
      <c r="J373" s="40" t="n">
        <v>0</v>
      </c>
      <c r="K373" s="40" t="n">
        <v>0</v>
      </c>
      <c r="L373" s="40" t="n">
        <v>27600</v>
      </c>
      <c r="M373" s="40" t="n">
        <v>100</v>
      </c>
      <c r="N373" s="40" t="n">
        <v>6200</v>
      </c>
      <c r="O373" s="46" t="n">
        <v>-77.54000000000001</v>
      </c>
      <c r="P373" s="40" t="n">
        <v>6300</v>
      </c>
      <c r="Q373" s="40" t="n">
        <v>1.61</v>
      </c>
      <c r="R373" s="47" t="n"/>
      <c r="S373" s="47" t="n"/>
      <c r="T373" s="47" t="n"/>
      <c r="U373" s="47" t="n"/>
      <c r="V373" s="47" t="n"/>
      <c r="W373" s="47" t="n"/>
    </row>
    <row r="374" ht="11.25" customHeight="1">
      <c r="A374" s="30" t="inlineStr">
        <is>
          <t>Itaguai</t>
        </is>
      </c>
      <c r="B374" s="30" t="n">
        <v>72430867</v>
      </c>
      <c r="C374" s="30">
        <f>"40150887787"</f>
        <v/>
      </c>
      <c r="D374" s="30" t="inlineStr">
        <is>
          <t>JOSE CARLOS NAIPE DOS SANTOS</t>
        </is>
      </c>
      <c r="E374" s="40" t="n">
        <v>0</v>
      </c>
      <c r="F374" s="40" t="n">
        <v>0</v>
      </c>
      <c r="G374" s="40" t="n">
        <v>0</v>
      </c>
      <c r="H374" s="40" t="n">
        <v>0</v>
      </c>
      <c r="I374" s="40" t="n">
        <v>0</v>
      </c>
      <c r="J374" s="40" t="n">
        <v>0</v>
      </c>
      <c r="K374" s="40" t="n">
        <v>0</v>
      </c>
      <c r="L374" s="40" t="n">
        <v>0</v>
      </c>
      <c r="M374" s="40" t="n">
        <v>0</v>
      </c>
      <c r="N374" s="40" t="n">
        <v>0</v>
      </c>
      <c r="O374" s="40" t="n">
        <v>0</v>
      </c>
      <c r="P374" s="40" t="n">
        <v>0</v>
      </c>
      <c r="Q374" s="40" t="n">
        <v>0</v>
      </c>
      <c r="R374" s="47" t="n"/>
      <c r="S374" s="47" t="n"/>
      <c r="T374" s="47" t="n"/>
      <c r="U374" s="47" t="n"/>
      <c r="V374" s="47" t="n"/>
      <c r="W374" s="47" t="n"/>
    </row>
    <row r="375" ht="11.25" customHeight="1">
      <c r="A375" s="30" t="inlineStr">
        <is>
          <t>Itaguai</t>
        </is>
      </c>
      <c r="B375" s="30" t="n">
        <v>72435176</v>
      </c>
      <c r="C375" s="30">
        <f>"70541884700"</f>
        <v/>
      </c>
      <c r="D375" s="30" t="inlineStr">
        <is>
          <t>ISAAC CLEMENTINO ROCHA</t>
        </is>
      </c>
      <c r="E375" s="40" t="n">
        <v>52310</v>
      </c>
      <c r="F375" s="40" t="n">
        <v>1800</v>
      </c>
      <c r="G375" s="46" t="n">
        <v>-96.56</v>
      </c>
      <c r="H375" s="40" t="n">
        <v>1500</v>
      </c>
      <c r="I375" s="46" t="n">
        <v>-16.67</v>
      </c>
      <c r="J375" s="40" t="n">
        <v>2600</v>
      </c>
      <c r="K375" s="40" t="n">
        <v>73.33</v>
      </c>
      <c r="L375" s="40" t="n">
        <v>22400</v>
      </c>
      <c r="M375" s="40" t="n">
        <v>761.54</v>
      </c>
      <c r="N375" s="40" t="n">
        <v>0</v>
      </c>
      <c r="O375" s="46" t="n">
        <v>-100</v>
      </c>
      <c r="P375" s="40" t="n">
        <v>0</v>
      </c>
      <c r="Q375" s="40" t="n">
        <v>0</v>
      </c>
      <c r="R375" s="47" t="n"/>
      <c r="S375" s="47" t="n"/>
      <c r="T375" s="47" t="n"/>
      <c r="U375" s="47" t="n"/>
      <c r="V375" s="47" t="n"/>
      <c r="W375" s="47" t="n"/>
    </row>
    <row r="376" ht="11.25" customHeight="1">
      <c r="A376" s="30" t="inlineStr">
        <is>
          <t>Itaguai</t>
        </is>
      </c>
      <c r="B376" s="30" t="n">
        <v>72435320</v>
      </c>
      <c r="C376" s="30">
        <f>"05355405746"</f>
        <v/>
      </c>
      <c r="D376" s="30" t="inlineStr">
        <is>
          <t>CEZARE YUKIO IWANAGA</t>
        </is>
      </c>
      <c r="E376" s="40" t="n">
        <v>0</v>
      </c>
      <c r="F376" s="40" t="n">
        <v>0</v>
      </c>
      <c r="G376" s="40" t="n">
        <v>0</v>
      </c>
      <c r="H376" s="40" t="n">
        <v>0</v>
      </c>
      <c r="I376" s="40" t="n">
        <v>0</v>
      </c>
      <c r="J376" s="40" t="n">
        <v>0</v>
      </c>
      <c r="K376" s="40" t="n">
        <v>0</v>
      </c>
      <c r="L376" s="40" t="n">
        <v>0</v>
      </c>
      <c r="M376" s="40" t="n">
        <v>0</v>
      </c>
      <c r="N376" s="40" t="n">
        <v>0.1</v>
      </c>
      <c r="O376" s="40" t="n">
        <v>100</v>
      </c>
      <c r="P376" s="40" t="n">
        <v>0.1</v>
      </c>
      <c r="Q376" s="40" t="n">
        <v>0</v>
      </c>
      <c r="R376" s="47" t="n"/>
      <c r="S376" s="47" t="n"/>
      <c r="T376" s="47" t="n"/>
      <c r="U376" s="47" t="n"/>
      <c r="V376" s="47" t="n"/>
      <c r="W376" s="47" t="n"/>
    </row>
    <row r="377" ht="11.25" customHeight="1">
      <c r="A377" s="30" t="inlineStr">
        <is>
          <t>Itaguai</t>
        </is>
      </c>
      <c r="B377" s="30" t="n">
        <v>72436164</v>
      </c>
      <c r="C377" s="30">
        <f>"07198594760"</f>
        <v/>
      </c>
      <c r="D377" s="30" t="inlineStr">
        <is>
          <t>JULIO CESAR GONCALVES</t>
        </is>
      </c>
      <c r="E377" s="40" t="n">
        <v>15855</v>
      </c>
      <c r="F377" s="40" t="n">
        <v>7655</v>
      </c>
      <c r="G377" s="46" t="n">
        <v>-51.72</v>
      </c>
      <c r="H377" s="40" t="n">
        <v>0</v>
      </c>
      <c r="I377" s="46" t="n">
        <v>-100</v>
      </c>
      <c r="J377" s="40" t="n">
        <v>0</v>
      </c>
      <c r="K377" s="40" t="n">
        <v>0</v>
      </c>
      <c r="L377" s="40" t="n">
        <v>0</v>
      </c>
      <c r="M377" s="40" t="n">
        <v>0</v>
      </c>
      <c r="N377" s="40" t="n">
        <v>0</v>
      </c>
      <c r="O377" s="40" t="n">
        <v>0</v>
      </c>
      <c r="P377" s="40" t="n">
        <v>0</v>
      </c>
      <c r="Q377" s="40" t="n">
        <v>0</v>
      </c>
      <c r="R377" s="47" t="n"/>
      <c r="S377" s="47" t="n"/>
      <c r="T377" s="47" t="n"/>
      <c r="U377" s="47" t="n"/>
      <c r="V377" s="47" t="n"/>
      <c r="W377" s="47" t="n"/>
    </row>
    <row r="378" ht="11.25" customHeight="1">
      <c r="A378" s="30" t="inlineStr">
        <is>
          <t>Itaguai</t>
        </is>
      </c>
      <c r="B378" s="30" t="n">
        <v>72438329</v>
      </c>
      <c r="C378" s="30">
        <f>"00009577099785"</f>
        <v/>
      </c>
      <c r="D378" s="30" t="inlineStr">
        <is>
          <t>KATIA KEIKO KOJIMA</t>
        </is>
      </c>
      <c r="E378" s="40" t="n">
        <v>0</v>
      </c>
      <c r="F378" s="40" t="n">
        <v>0</v>
      </c>
      <c r="G378" s="40" t="n">
        <v>0</v>
      </c>
      <c r="H378" s="40" t="n">
        <v>0</v>
      </c>
      <c r="I378" s="40" t="n">
        <v>0</v>
      </c>
      <c r="J378" s="40" t="n">
        <v>0</v>
      </c>
      <c r="K378" s="40" t="n">
        <v>0</v>
      </c>
      <c r="L378" s="40" t="n">
        <v>0</v>
      </c>
      <c r="M378" s="40" t="n">
        <v>0</v>
      </c>
      <c r="N378" s="40" t="n">
        <v>5000</v>
      </c>
      <c r="O378" s="40" t="n">
        <v>100</v>
      </c>
      <c r="P378" s="40" t="n">
        <v>30000</v>
      </c>
      <c r="Q378" s="40" t="n">
        <v>500</v>
      </c>
      <c r="R378" s="47" t="n"/>
      <c r="S378" s="47" t="n"/>
      <c r="T378" s="47" t="n"/>
      <c r="U378" s="47" t="n"/>
      <c r="V378" s="47" t="n"/>
      <c r="W378" s="47" t="n"/>
    </row>
    <row r="379" ht="11.25" customHeight="1">
      <c r="A379" s="30" t="inlineStr">
        <is>
          <t>Itaguai</t>
        </is>
      </c>
      <c r="B379" s="30" t="n">
        <v>72439449</v>
      </c>
      <c r="C379" s="30">
        <f>"38203227791"</f>
        <v/>
      </c>
      <c r="D379" s="30" t="inlineStr">
        <is>
          <t>BENEDITO DIAS GUIMARAES</t>
        </is>
      </c>
      <c r="E379" s="40" t="n">
        <v>1360</v>
      </c>
      <c r="F379" s="40" t="n">
        <v>0</v>
      </c>
      <c r="G379" s="46" t="n">
        <v>-100</v>
      </c>
      <c r="H379" s="40" t="n">
        <v>1528</v>
      </c>
      <c r="I379" s="40" t="n">
        <v>100</v>
      </c>
      <c r="J379" s="40" t="n">
        <v>0</v>
      </c>
      <c r="K379" s="46" t="n">
        <v>-100</v>
      </c>
      <c r="L379" s="40" t="n">
        <v>5250</v>
      </c>
      <c r="M379" s="40" t="n">
        <v>100</v>
      </c>
      <c r="N379" s="40" t="n">
        <v>0</v>
      </c>
      <c r="O379" s="46" t="n">
        <v>-100</v>
      </c>
      <c r="P379" s="40" t="n">
        <v>0</v>
      </c>
      <c r="Q379" s="40" t="n">
        <v>0</v>
      </c>
      <c r="R379" s="47" t="n"/>
      <c r="S379" s="47" t="n"/>
      <c r="T379" s="47" t="n"/>
      <c r="U379" s="47" t="n"/>
      <c r="V379" s="47" t="n"/>
      <c r="W379" s="47" t="n"/>
    </row>
    <row r="380" ht="11.25" customHeight="1">
      <c r="A380" s="30" t="inlineStr">
        <is>
          <t>Itaguai</t>
        </is>
      </c>
      <c r="B380" s="30" t="n">
        <v>72440846</v>
      </c>
      <c r="C380" s="30">
        <f>"09522503738"</f>
        <v/>
      </c>
      <c r="D380" s="30" t="inlineStr">
        <is>
          <t>PAULO SERGIO DA SILVA CONCEICAO</t>
        </is>
      </c>
      <c r="E380" s="40" t="n">
        <v>1995</v>
      </c>
      <c r="F380" s="40" t="n">
        <v>1345</v>
      </c>
      <c r="G380" s="46" t="n">
        <v>-32.58</v>
      </c>
      <c r="H380" s="40" t="n">
        <v>9900</v>
      </c>
      <c r="I380" s="40" t="n">
        <v>636.0599999999999</v>
      </c>
      <c r="J380" s="40" t="n">
        <v>6600</v>
      </c>
      <c r="K380" s="46" t="n">
        <v>-33.33</v>
      </c>
      <c r="L380" s="40" t="n">
        <v>25600</v>
      </c>
      <c r="M380" s="40" t="n">
        <v>287.88</v>
      </c>
      <c r="N380" s="40" t="n">
        <v>23500</v>
      </c>
      <c r="O380" s="46" t="n">
        <v>-8.199999999999999</v>
      </c>
      <c r="P380" s="40" t="n">
        <v>22000</v>
      </c>
      <c r="Q380" s="46" t="n">
        <v>-6.38</v>
      </c>
      <c r="R380" s="47" t="n"/>
      <c r="S380" s="47" t="n"/>
      <c r="T380" s="47" t="n"/>
      <c r="U380" s="47" t="n"/>
      <c r="V380" s="47" t="n"/>
      <c r="W380" s="47" t="n"/>
    </row>
    <row r="381" ht="11.25" customHeight="1">
      <c r="A381" s="30" t="inlineStr">
        <is>
          <t>Itaguai</t>
        </is>
      </c>
      <c r="B381" s="30" t="n">
        <v>72446356</v>
      </c>
      <c r="C381" s="30">
        <f>"09938287794"</f>
        <v/>
      </c>
      <c r="D381" s="30" t="inlineStr">
        <is>
          <t>MOISES PACHECO ARRUDA</t>
        </is>
      </c>
      <c r="E381" s="40" t="n">
        <v>0</v>
      </c>
      <c r="F381" s="40" t="n">
        <v>0</v>
      </c>
      <c r="G381" s="40" t="n">
        <v>0</v>
      </c>
      <c r="H381" s="40" t="n">
        <v>0</v>
      </c>
      <c r="I381" s="40" t="n">
        <v>0</v>
      </c>
      <c r="J381" s="40" t="n">
        <v>0</v>
      </c>
      <c r="K381" s="40" t="n">
        <v>0</v>
      </c>
      <c r="L381" s="40" t="n">
        <v>1200</v>
      </c>
      <c r="M381" s="40" t="n">
        <v>100</v>
      </c>
      <c r="N381" s="40" t="n">
        <v>24000</v>
      </c>
      <c r="O381" s="40" t="n">
        <v>1900</v>
      </c>
      <c r="P381" s="40" t="n">
        <v>1500</v>
      </c>
      <c r="Q381" s="46" t="n">
        <v>-93.75</v>
      </c>
      <c r="R381" s="47" t="n"/>
      <c r="S381" s="47" t="n"/>
      <c r="T381" s="47" t="n"/>
      <c r="U381" s="47" t="n"/>
      <c r="V381" s="47" t="n"/>
      <c r="W381" s="47" t="n"/>
    </row>
    <row r="382" ht="11.25" customHeight="1">
      <c r="A382" s="30" t="inlineStr">
        <is>
          <t>Itaguai</t>
        </is>
      </c>
      <c r="B382" s="30" t="n">
        <v>72451414</v>
      </c>
      <c r="C382" s="30">
        <f>"11465334700"</f>
        <v/>
      </c>
      <c r="D382" s="30" t="inlineStr">
        <is>
          <t>MICHELE VERLY DA C AVELINO CANITES</t>
        </is>
      </c>
      <c r="E382" s="40" t="n">
        <v>0</v>
      </c>
      <c r="F382" s="40" t="n">
        <v>0</v>
      </c>
      <c r="G382" s="40" t="n">
        <v>0</v>
      </c>
      <c r="H382" s="40" t="n">
        <v>0</v>
      </c>
      <c r="I382" s="40" t="n">
        <v>0</v>
      </c>
      <c r="J382" s="40" t="n">
        <v>0</v>
      </c>
      <c r="K382" s="40" t="n">
        <v>0</v>
      </c>
      <c r="L382" s="40" t="n">
        <v>0</v>
      </c>
      <c r="M382" s="40" t="n">
        <v>0</v>
      </c>
      <c r="N382" s="40" t="n">
        <v>0</v>
      </c>
      <c r="O382" s="40" t="n">
        <v>0</v>
      </c>
      <c r="P382" s="40" t="n">
        <v>0</v>
      </c>
      <c r="Q382" s="40" t="n">
        <v>0</v>
      </c>
      <c r="R382" s="47" t="n"/>
      <c r="S382" s="47" t="n"/>
      <c r="T382" s="47" t="n"/>
      <c r="U382" s="47" t="n"/>
      <c r="V382" s="47" t="n"/>
      <c r="W382" s="47" t="n"/>
    </row>
    <row r="383" ht="11.25" customHeight="1">
      <c r="A383" s="30" t="inlineStr">
        <is>
          <t>Itaguai</t>
        </is>
      </c>
      <c r="B383" s="30" t="n">
        <v>72453484</v>
      </c>
      <c r="C383" s="30">
        <f>"87239353753"</f>
        <v/>
      </c>
      <c r="D383" s="30" t="inlineStr">
        <is>
          <t>ROGERIO MAGALHAES</t>
        </is>
      </c>
      <c r="E383" s="40" t="n">
        <v>0</v>
      </c>
      <c r="F383" s="40" t="n">
        <v>131425.12</v>
      </c>
      <c r="G383" s="40" t="n">
        <v>100</v>
      </c>
      <c r="H383" s="40" t="n">
        <v>178840</v>
      </c>
      <c r="I383" s="40" t="n">
        <v>36.08</v>
      </c>
      <c r="J383" s="40" t="n">
        <v>0</v>
      </c>
      <c r="K383" s="46" t="n">
        <v>-100</v>
      </c>
      <c r="L383" s="40" t="n">
        <v>0</v>
      </c>
      <c r="M383" s="40" t="n">
        <v>0</v>
      </c>
      <c r="N383" s="40" t="n">
        <v>0</v>
      </c>
      <c r="O383" s="40" t="n">
        <v>0</v>
      </c>
      <c r="P383" s="40" t="n">
        <v>0</v>
      </c>
      <c r="Q383" s="40" t="n">
        <v>0</v>
      </c>
      <c r="R383" s="47" t="n"/>
      <c r="S383" s="47" t="n"/>
      <c r="T383" s="47" t="n"/>
      <c r="U383" s="47" t="n"/>
      <c r="V383" s="47" t="n"/>
      <c r="W383" s="47" t="n"/>
    </row>
    <row r="384" ht="11.25" customHeight="1">
      <c r="A384" s="30" t="inlineStr">
        <is>
          <t>Itaguai</t>
        </is>
      </c>
      <c r="B384" s="30" t="n">
        <v>72459377</v>
      </c>
      <c r="C384" s="30">
        <f>"09775596700"</f>
        <v/>
      </c>
      <c r="D384" s="30" t="inlineStr">
        <is>
          <t>DANIEL CARDOSO DE OLIVEIRA</t>
        </is>
      </c>
      <c r="E384" s="40" t="n">
        <v>17206.46</v>
      </c>
      <c r="F384" s="40" t="n">
        <v>0</v>
      </c>
      <c r="G384" s="46" t="n">
        <v>-100</v>
      </c>
      <c r="H384" s="40" t="n">
        <v>0</v>
      </c>
      <c r="I384" s="40" t="n">
        <v>0</v>
      </c>
      <c r="J384" s="40" t="n">
        <v>7594.73</v>
      </c>
      <c r="K384" s="40" t="n">
        <v>100</v>
      </c>
      <c r="L384" s="40" t="n">
        <v>0</v>
      </c>
      <c r="M384" s="46" t="n">
        <v>-100</v>
      </c>
      <c r="N384" s="40" t="n">
        <v>36018.7</v>
      </c>
      <c r="O384" s="40" t="n">
        <v>100</v>
      </c>
      <c r="P384" s="40" t="n">
        <v>10897.89</v>
      </c>
      <c r="Q384" s="46" t="n">
        <v>-69.73999999999999</v>
      </c>
      <c r="R384" s="47" t="n"/>
      <c r="S384" s="47" t="n"/>
      <c r="T384" s="47" t="n"/>
      <c r="U384" s="47" t="n"/>
      <c r="V384" s="47" t="n"/>
      <c r="W384" s="47" t="n"/>
    </row>
    <row r="385" ht="11.25" customHeight="1">
      <c r="A385" s="30" t="inlineStr">
        <is>
          <t>Itaguai</t>
        </is>
      </c>
      <c r="B385" s="30" t="n">
        <v>72461150</v>
      </c>
      <c r="C385" s="30">
        <f>"05648363702"</f>
        <v/>
      </c>
      <c r="D385" s="30" t="inlineStr">
        <is>
          <t>TSUNEO JOSE IWANAGA</t>
        </is>
      </c>
      <c r="E385" s="40" t="n">
        <v>0</v>
      </c>
      <c r="F385" s="40" t="n">
        <v>0</v>
      </c>
      <c r="G385" s="40" t="n">
        <v>0</v>
      </c>
      <c r="H385" s="40" t="n">
        <v>0</v>
      </c>
      <c r="I385" s="40" t="n">
        <v>0</v>
      </c>
      <c r="J385" s="40" t="n">
        <v>19180</v>
      </c>
      <c r="K385" s="40" t="n">
        <v>100</v>
      </c>
      <c r="L385" s="40" t="n">
        <v>24000</v>
      </c>
      <c r="M385" s="40" t="n">
        <v>25.13</v>
      </c>
      <c r="N385" s="40" t="n">
        <v>0.01</v>
      </c>
      <c r="O385" s="46" t="n">
        <v>-100</v>
      </c>
      <c r="P385" s="40" t="n">
        <v>1</v>
      </c>
      <c r="Q385" s="40" t="n">
        <v>9900</v>
      </c>
      <c r="R385" s="47" t="n"/>
      <c r="S385" s="47" t="n"/>
      <c r="T385" s="47" t="n"/>
      <c r="U385" s="47" t="n"/>
      <c r="V385" s="47" t="n"/>
      <c r="W385" s="47" t="n"/>
    </row>
    <row r="386" ht="11.25" customHeight="1">
      <c r="A386" s="30" t="inlineStr">
        <is>
          <t>Itaguai</t>
        </is>
      </c>
      <c r="B386" s="30" t="n">
        <v>72461177</v>
      </c>
      <c r="C386" s="30">
        <f>"02734021706"</f>
        <v/>
      </c>
      <c r="D386" s="30" t="inlineStr">
        <is>
          <t>HERCILIA HARUMI IWANAGA</t>
        </is>
      </c>
      <c r="E386" s="40" t="n">
        <v>0</v>
      </c>
      <c r="F386" s="40" t="n">
        <v>0</v>
      </c>
      <c r="G386" s="40" t="n">
        <v>0</v>
      </c>
      <c r="H386" s="40" t="n">
        <v>0</v>
      </c>
      <c r="I386" s="40" t="n">
        <v>0</v>
      </c>
      <c r="J386" s="40" t="n">
        <v>14300</v>
      </c>
      <c r="K386" s="40" t="n">
        <v>100</v>
      </c>
      <c r="L386" s="40" t="n">
        <v>14000</v>
      </c>
      <c r="M386" s="46" t="n">
        <v>-2.1</v>
      </c>
      <c r="N386" s="40" t="n">
        <v>29669.31</v>
      </c>
      <c r="O386" s="40" t="n">
        <v>111.92</v>
      </c>
      <c r="P386" s="40" t="n">
        <v>7556.27</v>
      </c>
      <c r="Q386" s="46" t="n">
        <v>-74.53</v>
      </c>
      <c r="R386" s="47" t="n"/>
      <c r="S386" s="47" t="n"/>
      <c r="T386" s="47" t="n"/>
      <c r="U386" s="47" t="n"/>
      <c r="V386" s="47" t="n"/>
      <c r="W386" s="47" t="n"/>
    </row>
    <row r="387" ht="11.25" customHeight="1">
      <c r="A387" s="30" t="inlineStr">
        <is>
          <t>Itaguai</t>
        </is>
      </c>
      <c r="B387" s="30" t="n">
        <v>72463790</v>
      </c>
      <c r="C387" s="30">
        <f>"04412568725"</f>
        <v/>
      </c>
      <c r="D387" s="30" t="inlineStr">
        <is>
          <t>IZENILDE RODRIGUES DE OLIVEIRA</t>
        </is>
      </c>
      <c r="E387" s="40" t="n">
        <v>7281</v>
      </c>
      <c r="F387" s="40" t="n">
        <v>0</v>
      </c>
      <c r="G387" s="46" t="n">
        <v>-100</v>
      </c>
      <c r="H387" s="40" t="n">
        <v>0</v>
      </c>
      <c r="I387" s="40" t="n">
        <v>0</v>
      </c>
      <c r="J387" s="40" t="n">
        <v>0</v>
      </c>
      <c r="K387" s="40" t="n">
        <v>0</v>
      </c>
      <c r="L387" s="40" t="n">
        <v>0</v>
      </c>
      <c r="M387" s="40" t="n">
        <v>0</v>
      </c>
      <c r="N387" s="40" t="n">
        <v>0</v>
      </c>
      <c r="O387" s="40" t="n">
        <v>0</v>
      </c>
      <c r="P387" s="40" t="n">
        <v>0</v>
      </c>
      <c r="Q387" s="40" t="n">
        <v>0</v>
      </c>
      <c r="R387" s="47" t="n"/>
      <c r="S387" s="47" t="n"/>
      <c r="T387" s="47" t="n"/>
      <c r="U387" s="47" t="n"/>
      <c r="V387" s="47" t="n"/>
      <c r="W387" s="47" t="n"/>
    </row>
    <row r="388" ht="11.25" customHeight="1">
      <c r="A388" s="30" t="inlineStr">
        <is>
          <t>Itaguai</t>
        </is>
      </c>
      <c r="B388" s="30" t="n">
        <v>72465628</v>
      </c>
      <c r="C388" s="30">
        <f>"09347145769"</f>
        <v/>
      </c>
      <c r="D388" s="30" t="inlineStr">
        <is>
          <t>ALVARO HONDA</t>
        </is>
      </c>
      <c r="E388" s="40" t="n">
        <v>0</v>
      </c>
      <c r="F388" s="40" t="n">
        <v>173283.5</v>
      </c>
      <c r="G388" s="40" t="n">
        <v>100</v>
      </c>
      <c r="H388" s="40" t="n">
        <v>0</v>
      </c>
      <c r="I388" s="46" t="n">
        <v>-100</v>
      </c>
      <c r="J388" s="40" t="n">
        <v>102889.45</v>
      </c>
      <c r="K388" s="40" t="n">
        <v>100</v>
      </c>
      <c r="L388" s="40" t="n">
        <v>278359.24</v>
      </c>
      <c r="M388" s="40" t="n">
        <v>170.54</v>
      </c>
      <c r="N388" s="40" t="n">
        <v>236686.4</v>
      </c>
      <c r="O388" s="46" t="n">
        <v>-14.97</v>
      </c>
      <c r="P388" s="40" t="n">
        <v>139436.6</v>
      </c>
      <c r="Q388" s="46" t="n">
        <v>-41.09</v>
      </c>
      <c r="R388" s="47" t="n"/>
      <c r="S388" s="47" t="n"/>
      <c r="T388" s="47" t="n"/>
      <c r="U388" s="47" t="n"/>
      <c r="V388" s="47" t="n"/>
      <c r="W388" s="47" t="n"/>
    </row>
    <row r="389" ht="11.25" customHeight="1">
      <c r="A389" s="30" t="inlineStr">
        <is>
          <t>Itaguai</t>
        </is>
      </c>
      <c r="B389" s="30" t="n">
        <v>72468023</v>
      </c>
      <c r="C389" s="30">
        <f>"00086483005768"</f>
        <v/>
      </c>
      <c r="D389" s="30" t="inlineStr">
        <is>
          <t>MANOEL TORRES RACCA</t>
        </is>
      </c>
      <c r="E389" s="40" t="n">
        <v>10260</v>
      </c>
      <c r="F389" s="40" t="n">
        <v>7800</v>
      </c>
      <c r="G389" s="46" t="n">
        <v>-23.98</v>
      </c>
      <c r="H389" s="40" t="n">
        <v>7360</v>
      </c>
      <c r="I389" s="46" t="n">
        <v>-5.64</v>
      </c>
      <c r="J389" s="40" t="n">
        <v>0</v>
      </c>
      <c r="K389" s="46" t="n">
        <v>-100</v>
      </c>
      <c r="L389" s="40" t="n">
        <v>0</v>
      </c>
      <c r="M389" s="40" t="n">
        <v>0</v>
      </c>
      <c r="N389" s="40" t="n">
        <v>0</v>
      </c>
      <c r="O389" s="40" t="n">
        <v>0</v>
      </c>
      <c r="P389" s="40" t="n">
        <v>0</v>
      </c>
      <c r="Q389" s="40" t="n">
        <v>0</v>
      </c>
      <c r="R389" s="47" t="n"/>
      <c r="S389" s="47" t="n"/>
      <c r="T389" s="47" t="n"/>
      <c r="U389" s="47" t="n"/>
      <c r="V389" s="47" t="n"/>
      <c r="W389" s="47" t="n"/>
    </row>
    <row r="390" ht="11.25" customHeight="1">
      <c r="A390" s="30" t="inlineStr">
        <is>
          <t>Itaguai</t>
        </is>
      </c>
      <c r="B390" s="30" t="n">
        <v>72469364</v>
      </c>
      <c r="C390" s="30">
        <f>"00085724289768"</f>
        <v/>
      </c>
      <c r="D390" s="30" t="inlineStr">
        <is>
          <t>MARIA BEATRIZ DA SILVA CANITES</t>
        </is>
      </c>
      <c r="E390" s="40" t="n">
        <v>0</v>
      </c>
      <c r="F390" s="40" t="n">
        <v>0</v>
      </c>
      <c r="G390" s="40" t="n">
        <v>0</v>
      </c>
      <c r="H390" s="40" t="n">
        <v>0</v>
      </c>
      <c r="I390" s="40" t="n">
        <v>0</v>
      </c>
      <c r="J390" s="40" t="n">
        <v>0</v>
      </c>
      <c r="K390" s="40" t="n">
        <v>0</v>
      </c>
      <c r="L390" s="40" t="n">
        <v>0</v>
      </c>
      <c r="M390" s="40" t="n">
        <v>0</v>
      </c>
      <c r="N390" s="40" t="n">
        <v>0</v>
      </c>
      <c r="O390" s="40" t="n">
        <v>0</v>
      </c>
      <c r="P390" s="40" t="n">
        <v>14220.9</v>
      </c>
      <c r="Q390" s="40" t="n">
        <v>100</v>
      </c>
      <c r="R390" s="47" t="n"/>
      <c r="S390" s="47" t="n"/>
      <c r="T390" s="47" t="n"/>
      <c r="U390" s="47" t="n"/>
      <c r="V390" s="47" t="n"/>
      <c r="W390" s="47" t="n"/>
    </row>
    <row r="391" ht="11.25" customHeight="1">
      <c r="A391" s="30" t="inlineStr">
        <is>
          <t>Itaguai</t>
        </is>
      </c>
      <c r="B391" s="30" t="n">
        <v>72470524</v>
      </c>
      <c r="C391" s="30">
        <f>"00084877359753"</f>
        <v/>
      </c>
      <c r="D391" s="30" t="inlineStr">
        <is>
          <t>ANTONIO MARCOS ALVES</t>
        </is>
      </c>
      <c r="E391" s="40" t="n">
        <v>0</v>
      </c>
      <c r="F391" s="40" t="n">
        <v>0</v>
      </c>
      <c r="G391" s="40" t="n">
        <v>0</v>
      </c>
      <c r="H391" s="40" t="n">
        <v>0</v>
      </c>
      <c r="I391" s="40" t="n">
        <v>0</v>
      </c>
      <c r="J391" s="40" t="n">
        <v>0</v>
      </c>
      <c r="K391" s="40" t="n">
        <v>0</v>
      </c>
      <c r="L391" s="40" t="n">
        <v>7615.86</v>
      </c>
      <c r="M391" s="40" t="n">
        <v>100</v>
      </c>
      <c r="N391" s="40" t="n">
        <v>39607.9</v>
      </c>
      <c r="O391" s="40" t="n">
        <v>420.07</v>
      </c>
      <c r="P391" s="40" t="n">
        <v>24991.37</v>
      </c>
      <c r="Q391" s="46" t="n">
        <v>-36.9</v>
      </c>
      <c r="R391" s="47" t="n"/>
      <c r="S391" s="47" t="n"/>
      <c r="T391" s="47" t="n"/>
      <c r="U391" s="47" t="n"/>
      <c r="V391" s="47" t="n"/>
      <c r="W391" s="47" t="n"/>
    </row>
    <row r="392" ht="11.25" customHeight="1">
      <c r="A392" s="30" t="inlineStr">
        <is>
          <t>Itaguai</t>
        </is>
      </c>
      <c r="B392" s="30" t="n">
        <v>72471920</v>
      </c>
      <c r="C392" s="30">
        <f>"69137668749"</f>
        <v/>
      </c>
      <c r="D392" s="30" t="inlineStr">
        <is>
          <t>AGOSTINHO RODRIGUES ALVES</t>
        </is>
      </c>
      <c r="E392" s="40" t="n">
        <v>0</v>
      </c>
      <c r="F392" s="40" t="n">
        <v>0</v>
      </c>
      <c r="G392" s="40" t="n">
        <v>0</v>
      </c>
      <c r="H392" s="40" t="n">
        <v>0</v>
      </c>
      <c r="I392" s="40" t="n">
        <v>0</v>
      </c>
      <c r="J392" s="40" t="n">
        <v>0</v>
      </c>
      <c r="K392" s="40" t="n">
        <v>0</v>
      </c>
      <c r="L392" s="40" t="n">
        <v>0</v>
      </c>
      <c r="M392" s="40" t="n">
        <v>0</v>
      </c>
      <c r="N392" s="40" t="n">
        <v>0</v>
      </c>
      <c r="O392" s="40" t="n">
        <v>0</v>
      </c>
      <c r="P392" s="40" t="n">
        <v>0</v>
      </c>
      <c r="Q392" s="40" t="n">
        <v>0</v>
      </c>
      <c r="R392" s="47" t="n"/>
      <c r="S392" s="47" t="n"/>
      <c r="T392" s="47" t="n"/>
      <c r="U392" s="47" t="n"/>
      <c r="V392" s="47" t="n"/>
      <c r="W392" s="47" t="n"/>
    </row>
    <row r="393" ht="11.25" customHeight="1">
      <c r="A393" s="30" t="inlineStr">
        <is>
          <t>Itaguai</t>
        </is>
      </c>
      <c r="B393" s="30" t="n">
        <v>72484223</v>
      </c>
      <c r="C393" s="30">
        <f>"04412801705"</f>
        <v/>
      </c>
      <c r="D393" s="30" t="inlineStr">
        <is>
          <t>CARLOS JOSE BATISTA NOGUEIRA</t>
        </is>
      </c>
      <c r="E393" s="40" t="n">
        <v>38826</v>
      </c>
      <c r="F393" s="40" t="n">
        <v>10760</v>
      </c>
      <c r="G393" s="46" t="n">
        <v>-72.29000000000001</v>
      </c>
      <c r="H393" s="40" t="n">
        <v>1700</v>
      </c>
      <c r="I393" s="46" t="n">
        <v>-84.2</v>
      </c>
      <c r="J393" s="40" t="n">
        <v>0</v>
      </c>
      <c r="K393" s="46" t="n">
        <v>-100</v>
      </c>
      <c r="L393" s="40" t="n">
        <v>0</v>
      </c>
      <c r="M393" s="40" t="n">
        <v>0</v>
      </c>
      <c r="N393" s="40" t="n">
        <v>0</v>
      </c>
      <c r="O393" s="40" t="n">
        <v>0</v>
      </c>
      <c r="P393" s="40" t="n">
        <v>0</v>
      </c>
      <c r="Q393" s="40" t="n">
        <v>0</v>
      </c>
      <c r="R393" s="47" t="n"/>
      <c r="S393" s="47" t="n"/>
      <c r="T393" s="47" t="n"/>
      <c r="U393" s="47" t="n"/>
      <c r="V393" s="47" t="n"/>
      <c r="W393" s="47" t="n"/>
    </row>
    <row r="394" ht="11.25" customHeight="1">
      <c r="A394" s="30" t="inlineStr">
        <is>
          <t>Itaguai</t>
        </is>
      </c>
      <c r="B394" s="30" t="n">
        <v>72485254</v>
      </c>
      <c r="C394" s="30">
        <f>"09163221730"</f>
        <v/>
      </c>
      <c r="D394" s="30" t="inlineStr">
        <is>
          <t>LUIZ ANTONIO MORISCO DOS SANTOS</t>
        </is>
      </c>
      <c r="E394" s="40" t="n">
        <v>10200</v>
      </c>
      <c r="F394" s="40" t="n">
        <v>4168</v>
      </c>
      <c r="G394" s="46" t="n">
        <v>-59.14</v>
      </c>
      <c r="H394" s="40" t="n">
        <v>0</v>
      </c>
      <c r="I394" s="46" t="n">
        <v>-100</v>
      </c>
      <c r="J394" s="40" t="n">
        <v>0</v>
      </c>
      <c r="K394" s="40" t="n">
        <v>0</v>
      </c>
      <c r="L394" s="40" t="n">
        <v>0</v>
      </c>
      <c r="M394" s="40" t="n">
        <v>0</v>
      </c>
      <c r="N394" s="40" t="n">
        <v>0</v>
      </c>
      <c r="O394" s="40" t="n">
        <v>0</v>
      </c>
      <c r="P394" s="40" t="n">
        <v>16425</v>
      </c>
      <c r="Q394" s="40" t="n">
        <v>100</v>
      </c>
      <c r="R394" s="47" t="n"/>
      <c r="S394" s="47" t="n"/>
      <c r="T394" s="47" t="n"/>
      <c r="U394" s="47" t="n"/>
      <c r="V394" s="47" t="n"/>
      <c r="W394" s="47" t="n"/>
    </row>
    <row r="395" ht="11.25" customHeight="1">
      <c r="A395" s="30" t="inlineStr">
        <is>
          <t>Itaguai</t>
        </is>
      </c>
      <c r="B395" s="30" t="n">
        <v>72513312</v>
      </c>
      <c r="C395" s="30">
        <f>"22375597753"</f>
        <v/>
      </c>
      <c r="D395" s="30" t="inlineStr">
        <is>
          <t>PEDRO SARTI NETO</t>
        </is>
      </c>
      <c r="E395" s="40" t="n">
        <v>114000</v>
      </c>
      <c r="F395" s="40" t="n">
        <v>175825</v>
      </c>
      <c r="G395" s="40" t="n">
        <v>54.23</v>
      </c>
      <c r="H395" s="40" t="n">
        <v>0</v>
      </c>
      <c r="I395" s="46" t="n">
        <v>-100</v>
      </c>
      <c r="J395" s="40" t="n">
        <v>0</v>
      </c>
      <c r="K395" s="40" t="n">
        <v>0</v>
      </c>
      <c r="L395" s="40" t="n">
        <v>146648.4</v>
      </c>
      <c r="M395" s="40" t="n">
        <v>100</v>
      </c>
      <c r="N395" s="40" t="n">
        <v>83700</v>
      </c>
      <c r="O395" s="46" t="n">
        <v>-42.92</v>
      </c>
      <c r="P395" s="40" t="n">
        <v>23000</v>
      </c>
      <c r="Q395" s="46" t="n">
        <v>-72.52</v>
      </c>
      <c r="R395" s="47" t="n"/>
      <c r="S395" s="47" t="n"/>
      <c r="T395" s="47" t="n"/>
      <c r="U395" s="47" t="n"/>
      <c r="V395" s="47" t="n"/>
      <c r="W395" s="47" t="n"/>
    </row>
    <row r="396" ht="11.25" customHeight="1">
      <c r="A396" s="30" t="inlineStr">
        <is>
          <t>Itaguai</t>
        </is>
      </c>
      <c r="B396" s="30" t="n">
        <v>72518748</v>
      </c>
      <c r="C396" s="30">
        <f>"11091981752"</f>
        <v/>
      </c>
      <c r="D396" s="30" t="inlineStr">
        <is>
          <t>LUIZ ANTONIO TEIXEIRA DA SILVA</t>
        </is>
      </c>
      <c r="E396" s="40" t="n">
        <v>3248</v>
      </c>
      <c r="F396" s="40" t="n">
        <v>9393</v>
      </c>
      <c r="G396" s="40" t="n">
        <v>189.19</v>
      </c>
      <c r="H396" s="40" t="n">
        <v>11536</v>
      </c>
      <c r="I396" s="40" t="n">
        <v>22.81</v>
      </c>
      <c r="J396" s="40" t="n">
        <v>6916</v>
      </c>
      <c r="K396" s="46" t="n">
        <v>-40.05</v>
      </c>
      <c r="L396" s="40" t="n">
        <v>13310</v>
      </c>
      <c r="M396" s="40" t="n">
        <v>92.45</v>
      </c>
      <c r="N396" s="40" t="n">
        <v>16860</v>
      </c>
      <c r="O396" s="40" t="n">
        <v>26.67</v>
      </c>
      <c r="P396" s="40" t="n">
        <v>12416</v>
      </c>
      <c r="Q396" s="46" t="n">
        <v>-26.36</v>
      </c>
      <c r="R396" s="47" t="n"/>
      <c r="S396" s="47" t="n"/>
      <c r="T396" s="47" t="n"/>
      <c r="U396" s="47" t="n"/>
      <c r="V396" s="47" t="n"/>
      <c r="W396" s="47" t="n"/>
    </row>
    <row r="397" ht="11.25" customHeight="1">
      <c r="A397" s="30" t="inlineStr">
        <is>
          <t>Itaguai</t>
        </is>
      </c>
      <c r="B397" s="30" t="n">
        <v>72522842</v>
      </c>
      <c r="C397" s="30">
        <f>"42657105734"</f>
        <v/>
      </c>
      <c r="D397" s="30" t="inlineStr">
        <is>
          <t>ADEL RUIZ LIBANO</t>
        </is>
      </c>
      <c r="E397" s="40" t="n">
        <v>0</v>
      </c>
      <c r="F397" s="40" t="n">
        <v>0</v>
      </c>
      <c r="G397" s="40" t="n">
        <v>0</v>
      </c>
      <c r="H397" s="40" t="n">
        <v>100040</v>
      </c>
      <c r="I397" s="40" t="n">
        <v>100</v>
      </c>
      <c r="J397" s="40" t="n">
        <v>161000</v>
      </c>
      <c r="K397" s="40" t="n">
        <v>60.94</v>
      </c>
      <c r="L397" s="40" t="n">
        <v>140592</v>
      </c>
      <c r="M397" s="46" t="n">
        <v>-12.68</v>
      </c>
      <c r="N397" s="40" t="n">
        <v>117206</v>
      </c>
      <c r="O397" s="46" t="n">
        <v>-16.63</v>
      </c>
      <c r="P397" s="40" t="n">
        <v>104980</v>
      </c>
      <c r="Q397" s="46" t="n">
        <v>-10.43</v>
      </c>
      <c r="R397" s="47" t="n"/>
      <c r="S397" s="47" t="n"/>
      <c r="T397" s="47" t="n"/>
      <c r="U397" s="47" t="n"/>
      <c r="V397" s="47" t="n"/>
      <c r="W397" s="47" t="n"/>
    </row>
    <row r="398" ht="11.25" customHeight="1">
      <c r="A398" s="30" t="inlineStr">
        <is>
          <t>Itaguai</t>
        </is>
      </c>
      <c r="B398" s="30" t="n">
        <v>72527518</v>
      </c>
      <c r="C398" s="30">
        <f>"68661975700"</f>
        <v/>
      </c>
      <c r="D398" s="30" t="inlineStr">
        <is>
          <t>ISMAEL DE ALMEIDA BATALHA</t>
        </is>
      </c>
      <c r="E398" s="40" t="n">
        <v>0</v>
      </c>
      <c r="F398" s="40" t="n">
        <v>620</v>
      </c>
      <c r="G398" s="40" t="n">
        <v>100</v>
      </c>
      <c r="H398" s="40" t="n">
        <v>0</v>
      </c>
      <c r="I398" s="46" t="n">
        <v>-100</v>
      </c>
      <c r="J398" s="40" t="n">
        <v>26480</v>
      </c>
      <c r="K398" s="40" t="n">
        <v>100</v>
      </c>
      <c r="L398" s="40" t="n">
        <v>14966</v>
      </c>
      <c r="M398" s="46" t="n">
        <v>-43.48</v>
      </c>
      <c r="N398" s="40" t="n">
        <v>25167.9</v>
      </c>
      <c r="O398" s="40" t="n">
        <v>68.17</v>
      </c>
      <c r="P398" s="40" t="n">
        <v>12820</v>
      </c>
      <c r="Q398" s="46" t="n">
        <v>-49.06</v>
      </c>
      <c r="R398" s="47" t="n"/>
      <c r="S398" s="47" t="n"/>
      <c r="T398" s="47" t="n"/>
      <c r="U398" s="47" t="n"/>
      <c r="V398" s="47" t="n"/>
      <c r="W398" s="47" t="n"/>
    </row>
    <row r="399" ht="11.25" customHeight="1">
      <c r="A399" s="30" t="inlineStr">
        <is>
          <t>Itaguai</t>
        </is>
      </c>
      <c r="B399" s="30" t="n">
        <v>72527836</v>
      </c>
      <c r="C399" s="30">
        <f>"05349437720"</f>
        <v/>
      </c>
      <c r="D399" s="30" t="inlineStr">
        <is>
          <t>AGENOR DE OLIVEIRA TEIXEIRA</t>
        </is>
      </c>
      <c r="E399" s="40" t="n">
        <v>0</v>
      </c>
      <c r="F399" s="40" t="n">
        <v>0</v>
      </c>
      <c r="G399" s="40" t="n">
        <v>0</v>
      </c>
      <c r="H399" s="40" t="n">
        <v>0</v>
      </c>
      <c r="I399" s="40" t="n">
        <v>0</v>
      </c>
      <c r="J399" s="40" t="n">
        <v>0</v>
      </c>
      <c r="K399" s="40" t="n">
        <v>0</v>
      </c>
      <c r="L399" s="40" t="n">
        <v>0</v>
      </c>
      <c r="M399" s="40" t="n">
        <v>0</v>
      </c>
      <c r="N399" s="40" t="n">
        <v>0</v>
      </c>
      <c r="O399" s="40" t="n">
        <v>0</v>
      </c>
      <c r="P399" s="40" t="n">
        <v>0</v>
      </c>
      <c r="Q399" s="40" t="n">
        <v>0</v>
      </c>
      <c r="R399" s="47" t="n"/>
      <c r="S399" s="47" t="n"/>
      <c r="T399" s="47" t="n"/>
      <c r="U399" s="47" t="n"/>
      <c r="V399" s="47" t="n"/>
      <c r="W399" s="47" t="n"/>
    </row>
    <row r="400" ht="11.25" customHeight="1">
      <c r="A400" s="30" t="inlineStr">
        <is>
          <t>Itaguai</t>
        </is>
      </c>
      <c r="B400" s="30" t="n">
        <v>75038615</v>
      </c>
      <c r="C400" s="30">
        <f>"31652597000182"</f>
        <v/>
      </c>
      <c r="D400" s="30" t="inlineStr">
        <is>
          <t>YUCCA AGROINDUSTRIAL LTDA</t>
        </is>
      </c>
      <c r="E400" s="40" t="n">
        <v>0</v>
      </c>
      <c r="F400" s="40" t="n">
        <v>0</v>
      </c>
      <c r="G400" s="40" t="n">
        <v>0</v>
      </c>
      <c r="H400" s="40" t="n">
        <v>0</v>
      </c>
      <c r="I400" s="40" t="n">
        <v>0</v>
      </c>
      <c r="J400" s="40" t="n">
        <v>0</v>
      </c>
      <c r="K400" s="40" t="n">
        <v>0</v>
      </c>
      <c r="L400" s="40" t="n">
        <v>0</v>
      </c>
      <c r="M400" s="40" t="n">
        <v>0</v>
      </c>
      <c r="N400" s="40" t="n">
        <v>0</v>
      </c>
      <c r="O400" s="40" t="n">
        <v>0</v>
      </c>
      <c r="P400" s="40" t="n">
        <v>0</v>
      </c>
      <c r="Q400" s="40" t="n">
        <v>0</v>
      </c>
      <c r="R400" s="47" t="n"/>
      <c r="S400" s="47" t="n"/>
      <c r="T400" s="47" t="n"/>
      <c r="U400" s="47" t="n"/>
      <c r="V400" s="47" t="n"/>
      <c r="W400" s="47" t="n"/>
    </row>
    <row r="401" ht="11.25" customHeight="1">
      <c r="A401" s="30" t="inlineStr">
        <is>
          <t>Itaguai</t>
        </is>
      </c>
      <c r="B401" s="30" t="n">
        <v>75586744</v>
      </c>
      <c r="C401" s="30">
        <f>"57012098000548"</f>
        <v/>
      </c>
      <c r="D401" s="30" t="inlineStr">
        <is>
          <t>TRANSLUTE TRANSPORTES RODOVIARIO LTDA</t>
        </is>
      </c>
      <c r="E401" s="40" t="n">
        <v>0</v>
      </c>
      <c r="F401" s="40" t="n">
        <v>0</v>
      </c>
      <c r="G401" s="40" t="n">
        <v>0</v>
      </c>
      <c r="H401" s="40" t="n">
        <v>0</v>
      </c>
      <c r="I401" s="40" t="n">
        <v>0</v>
      </c>
      <c r="J401" s="40" t="n">
        <v>0</v>
      </c>
      <c r="K401" s="40" t="n">
        <v>0</v>
      </c>
      <c r="L401" s="40" t="n">
        <v>0</v>
      </c>
      <c r="M401" s="40" t="n">
        <v>0</v>
      </c>
      <c r="N401" s="40" t="n">
        <v>11.03</v>
      </c>
      <c r="O401" s="40" t="n">
        <v>100</v>
      </c>
      <c r="P401" s="40" t="n">
        <v>35.51</v>
      </c>
      <c r="Q401" s="40" t="n">
        <v>221.94</v>
      </c>
      <c r="R401" s="47" t="n"/>
      <c r="S401" s="47" t="n"/>
      <c r="T401" s="47" t="n"/>
      <c r="U401" s="47" t="n"/>
      <c r="V401" s="47" t="n"/>
      <c r="W401" s="47" t="n"/>
    </row>
    <row r="402" ht="11.25" customHeight="1">
      <c r="A402" s="30" t="inlineStr">
        <is>
          <t>Itaguai</t>
        </is>
      </c>
      <c r="B402" s="30" t="n">
        <v>75701535</v>
      </c>
      <c r="C402" s="30">
        <f>"29899143000169"</f>
        <v/>
      </c>
      <c r="D402" s="30" t="inlineStr">
        <is>
          <t>VIACAO TREZE DE JUNHO LTDA</t>
        </is>
      </c>
      <c r="E402" s="40" t="n">
        <v>0</v>
      </c>
      <c r="F402" s="40" t="n">
        <v>0</v>
      </c>
      <c r="G402" s="40" t="n">
        <v>0</v>
      </c>
      <c r="H402" s="40" t="n">
        <v>9600</v>
      </c>
      <c r="I402" s="40" t="n">
        <v>100</v>
      </c>
      <c r="J402" s="40" t="n">
        <v>0</v>
      </c>
      <c r="K402" s="46" t="n">
        <v>-100</v>
      </c>
      <c r="L402" s="40" t="n">
        <v>4600</v>
      </c>
      <c r="M402" s="40" t="n">
        <v>100</v>
      </c>
      <c r="N402" s="40" t="n">
        <v>9100</v>
      </c>
      <c r="O402" s="40" t="n">
        <v>97.83</v>
      </c>
      <c r="P402" s="40" t="n">
        <v>11050</v>
      </c>
      <c r="Q402" s="40" t="n">
        <v>21.43</v>
      </c>
      <c r="R402" s="47" t="n"/>
      <c r="S402" s="47" t="n"/>
      <c r="T402" s="47" t="n"/>
      <c r="U402" s="47" t="n"/>
      <c r="V402" s="47" t="n"/>
      <c r="W402" s="47" t="n"/>
    </row>
    <row r="403" ht="11.25" customHeight="1">
      <c r="A403" s="30" t="inlineStr">
        <is>
          <t>Itaguai</t>
        </is>
      </c>
      <c r="B403" s="30" t="n">
        <v>75733003</v>
      </c>
      <c r="C403" s="30">
        <f>"02411941000143"</f>
        <v/>
      </c>
      <c r="D403" s="30" t="inlineStr">
        <is>
          <t>FUNERARIA ULTIMA SAUDADE LTDA ME</t>
        </is>
      </c>
      <c r="E403" s="40" t="n">
        <v>0</v>
      </c>
      <c r="F403" s="40" t="n">
        <v>0</v>
      </c>
      <c r="G403" s="40" t="n">
        <v>0</v>
      </c>
      <c r="H403" s="40" t="n">
        <v>0</v>
      </c>
      <c r="I403" s="40" t="n">
        <v>0</v>
      </c>
      <c r="J403" s="40" t="n">
        <v>0</v>
      </c>
      <c r="K403" s="40" t="n">
        <v>0</v>
      </c>
      <c r="L403" s="40" t="n">
        <v>0</v>
      </c>
      <c r="M403" s="40" t="n">
        <v>0</v>
      </c>
      <c r="N403" s="40" t="n">
        <v>0</v>
      </c>
      <c r="O403" s="40" t="n">
        <v>0</v>
      </c>
      <c r="P403" s="40" t="n">
        <v>0</v>
      </c>
      <c r="Q403" s="40" t="n">
        <v>0</v>
      </c>
      <c r="R403" s="47" t="n"/>
      <c r="S403" s="47" t="n"/>
      <c r="T403" s="47" t="n"/>
      <c r="U403" s="47" t="n"/>
      <c r="V403" s="47" t="n"/>
      <c r="W403" s="47" t="n"/>
    </row>
    <row r="404" ht="11.25" customHeight="1">
      <c r="A404" s="30" t="inlineStr">
        <is>
          <t>Itaguai</t>
        </is>
      </c>
      <c r="B404" s="30" t="n">
        <v>75733569</v>
      </c>
      <c r="C404" s="30">
        <f>"36124881000108"</f>
        <v/>
      </c>
      <c r="D404" s="30" t="inlineStr">
        <is>
          <t>ITAGUAUTO AUTO CENTER E PECAS LTDA ME</t>
        </is>
      </c>
      <c r="E404" s="40" t="n">
        <v>0</v>
      </c>
      <c r="F404" s="40" t="n">
        <v>0</v>
      </c>
      <c r="G404" s="40" t="n">
        <v>0</v>
      </c>
      <c r="H404" s="40" t="n">
        <v>0</v>
      </c>
      <c r="I404" s="40" t="n">
        <v>0</v>
      </c>
      <c r="J404" s="40" t="n">
        <v>0</v>
      </c>
      <c r="K404" s="40" t="n">
        <v>0</v>
      </c>
      <c r="L404" s="40" t="n">
        <v>0</v>
      </c>
      <c r="M404" s="40" t="n">
        <v>0</v>
      </c>
      <c r="N404" s="40" t="n">
        <v>0</v>
      </c>
      <c r="O404" s="40" t="n">
        <v>0</v>
      </c>
      <c r="P404" s="40" t="n">
        <v>0</v>
      </c>
      <c r="Q404" s="40" t="n">
        <v>0</v>
      </c>
      <c r="R404" s="47" t="n"/>
      <c r="S404" s="47" t="n"/>
      <c r="T404" s="47" t="n"/>
      <c r="U404" s="47" t="n"/>
      <c r="V404" s="47" t="n"/>
      <c r="W404" s="47" t="n"/>
    </row>
    <row r="405" ht="11.25" customHeight="1">
      <c r="A405" s="30" t="inlineStr">
        <is>
          <t>Itaguai</t>
        </is>
      </c>
      <c r="B405" s="30" t="n">
        <v>75733844</v>
      </c>
      <c r="C405" s="30">
        <f>"33438250012173"</f>
        <v/>
      </c>
      <c r="D405" s="30" t="inlineStr">
        <is>
          <t>DROGARIAS PACHECO S/A</t>
        </is>
      </c>
      <c r="E405" s="40" t="n">
        <v>3046883.61</v>
      </c>
      <c r="F405" s="40" t="n">
        <v>2534715.92</v>
      </c>
      <c r="G405" s="46" t="n">
        <v>-16.81</v>
      </c>
      <c r="H405" s="40" t="n">
        <v>3075246.65</v>
      </c>
      <c r="I405" s="40" t="n">
        <v>21.33</v>
      </c>
      <c r="J405" s="40" t="n">
        <v>3769318.32</v>
      </c>
      <c r="K405" s="40" t="n">
        <v>22.57</v>
      </c>
      <c r="L405" s="40" t="n">
        <v>3241566.03</v>
      </c>
      <c r="M405" s="46" t="n">
        <v>-14</v>
      </c>
      <c r="N405" s="40" t="n">
        <v>3468884.23</v>
      </c>
      <c r="O405" s="40" t="n">
        <v>7.01</v>
      </c>
      <c r="P405" s="40" t="n">
        <v>2357891.79</v>
      </c>
      <c r="Q405" s="46" t="n">
        <v>-32.03</v>
      </c>
      <c r="R405" s="47" t="n"/>
      <c r="S405" s="47" t="n"/>
      <c r="T405" s="47" t="n"/>
      <c r="U405" s="47" t="n"/>
      <c r="V405" s="47" t="n"/>
      <c r="W405" s="47" t="n"/>
    </row>
    <row r="406" ht="11.25" customHeight="1">
      <c r="A406" s="30" t="inlineStr">
        <is>
          <t>Itaguai</t>
        </is>
      </c>
      <c r="B406" s="30" t="n">
        <v>75733879</v>
      </c>
      <c r="C406" s="30">
        <f>"72372998000409"</f>
        <v/>
      </c>
      <c r="D406" s="30" t="inlineStr">
        <is>
          <t>COMPANHIA PORTUARIA BAIA DE SEPETIBA</t>
        </is>
      </c>
      <c r="E406" s="40" t="n">
        <v>0</v>
      </c>
      <c r="F406" s="40" t="n">
        <v>0</v>
      </c>
      <c r="G406" s="40" t="n">
        <v>0</v>
      </c>
      <c r="H406" s="40" t="n">
        <v>0</v>
      </c>
      <c r="I406" s="40" t="n">
        <v>0</v>
      </c>
      <c r="J406" s="40" t="n">
        <v>0</v>
      </c>
      <c r="K406" s="40" t="n">
        <v>0</v>
      </c>
      <c r="L406" s="40" t="n">
        <v>0</v>
      </c>
      <c r="M406" s="40" t="n">
        <v>0</v>
      </c>
      <c r="N406" s="40" t="n">
        <v>0</v>
      </c>
      <c r="O406" s="40" t="n">
        <v>0</v>
      </c>
      <c r="P406" s="40" t="n">
        <v>0</v>
      </c>
      <c r="Q406" s="40" t="n">
        <v>0</v>
      </c>
      <c r="R406" s="47" t="n"/>
      <c r="S406" s="47" t="n"/>
      <c r="T406" s="47" t="n"/>
      <c r="U406" s="47" t="n"/>
      <c r="V406" s="47" t="n"/>
      <c r="W406" s="47" t="n"/>
    </row>
    <row r="407" ht="11.25" customHeight="1">
      <c r="A407" s="30" t="inlineStr">
        <is>
          <t>Itaguai</t>
        </is>
      </c>
      <c r="B407" s="30" t="n">
        <v>75733933</v>
      </c>
      <c r="C407" s="30">
        <f>"02751952000172"</f>
        <v/>
      </c>
      <c r="D407" s="30" t="inlineStr">
        <is>
          <t>CAAPEBA RESTAURANTE EIRELI</t>
        </is>
      </c>
      <c r="E407" s="40" t="n">
        <v>306458.35</v>
      </c>
      <c r="F407" s="40" t="n">
        <v>0</v>
      </c>
      <c r="G407" s="46" t="n">
        <v>-100</v>
      </c>
      <c r="H407" s="40" t="n">
        <v>230724.19</v>
      </c>
      <c r="I407" s="40" t="n">
        <v>100</v>
      </c>
      <c r="J407" s="40" t="n">
        <v>0</v>
      </c>
      <c r="K407" s="46" t="n">
        <v>-100</v>
      </c>
      <c r="L407" s="40" t="n">
        <v>0</v>
      </c>
      <c r="M407" s="40" t="n">
        <v>0</v>
      </c>
      <c r="N407" s="40" t="n">
        <v>0</v>
      </c>
      <c r="O407" s="40" t="n">
        <v>0</v>
      </c>
      <c r="P407" s="40" t="n">
        <v>0</v>
      </c>
      <c r="Q407" s="40" t="n">
        <v>0</v>
      </c>
      <c r="R407" s="47" t="n"/>
      <c r="S407" s="47" t="n"/>
      <c r="T407" s="47" t="n"/>
      <c r="U407" s="47" t="n"/>
      <c r="V407" s="47" t="n"/>
      <c r="W407" s="47" t="n"/>
    </row>
    <row r="408" ht="11.25" customHeight="1">
      <c r="A408" s="30" t="inlineStr">
        <is>
          <t>Itaguai</t>
        </is>
      </c>
      <c r="B408" s="30" t="n">
        <v>75734565</v>
      </c>
      <c r="C408" s="30">
        <f>"03017244000175"</f>
        <v/>
      </c>
      <c r="D408" s="30" t="inlineStr">
        <is>
          <t>RIO MAR DE ITAGUAI COMERCIO DE PRODUTOS ALIMENTICIOS LTDA</t>
        </is>
      </c>
      <c r="E408" s="40" t="n">
        <v>3667990.68</v>
      </c>
      <c r="F408" s="40" t="n">
        <v>3612747.62</v>
      </c>
      <c r="G408" s="46" t="n">
        <v>-1.51</v>
      </c>
      <c r="H408" s="40" t="n">
        <v>2914565.29</v>
      </c>
      <c r="I408" s="46" t="n">
        <v>-19.33</v>
      </c>
      <c r="J408" s="40" t="n">
        <v>2719041.54</v>
      </c>
      <c r="K408" s="46" t="n">
        <v>-6.71</v>
      </c>
      <c r="L408" s="40" t="n">
        <v>1938712.85</v>
      </c>
      <c r="M408" s="46" t="n">
        <v>-28.7</v>
      </c>
      <c r="N408" s="40" t="n">
        <v>0</v>
      </c>
      <c r="O408" s="46" t="n">
        <v>-100</v>
      </c>
      <c r="P408" s="40" t="n">
        <v>0</v>
      </c>
      <c r="Q408" s="40" t="n">
        <v>0</v>
      </c>
      <c r="R408" s="47" t="n"/>
      <c r="S408" s="47" t="n"/>
      <c r="T408" s="47" t="n"/>
      <c r="U408" s="47" t="n"/>
      <c r="V408" s="47" t="n"/>
      <c r="W408" s="47" t="n"/>
    </row>
    <row r="409" ht="11.25" customHeight="1">
      <c r="A409" s="30" t="inlineStr">
        <is>
          <t>Itaguai</t>
        </is>
      </c>
      <c r="B409" s="30" t="n">
        <v>75751516</v>
      </c>
      <c r="C409" s="30">
        <f>"03106908000172"</f>
        <v/>
      </c>
      <c r="D409" s="30" t="inlineStr">
        <is>
          <t>AUTO CENTER AUGENI LTDA ME</t>
        </is>
      </c>
      <c r="E409" s="40" t="n">
        <v>0</v>
      </c>
      <c r="F409" s="40" t="n">
        <v>0</v>
      </c>
      <c r="G409" s="40" t="n">
        <v>0</v>
      </c>
      <c r="H409" s="40" t="n">
        <v>0</v>
      </c>
      <c r="I409" s="40" t="n">
        <v>0</v>
      </c>
      <c r="J409" s="40" t="n">
        <v>0</v>
      </c>
      <c r="K409" s="40" t="n">
        <v>0</v>
      </c>
      <c r="L409" s="40" t="n">
        <v>0</v>
      </c>
      <c r="M409" s="40" t="n">
        <v>0</v>
      </c>
      <c r="N409" s="40" t="n">
        <v>0</v>
      </c>
      <c r="O409" s="40" t="n">
        <v>0</v>
      </c>
      <c r="P409" s="40" t="n">
        <v>0</v>
      </c>
      <c r="Q409" s="40" t="n">
        <v>0</v>
      </c>
      <c r="R409" s="47" t="n"/>
      <c r="S409" s="47" t="n"/>
      <c r="T409" s="47" t="n"/>
      <c r="U409" s="47" t="n"/>
      <c r="V409" s="47" t="n"/>
      <c r="W409" s="47" t="n"/>
    </row>
    <row r="410" ht="11.25" customHeight="1">
      <c r="A410" s="30" t="inlineStr">
        <is>
          <t>Itaguai</t>
        </is>
      </c>
      <c r="B410" s="30" t="n">
        <v>75775938</v>
      </c>
      <c r="C410" s="30">
        <f>"02979668000158"</f>
        <v/>
      </c>
      <c r="D410" s="30" t="inlineStr">
        <is>
          <t>TRANSP QUEIROZ EIRELI EPP</t>
        </is>
      </c>
      <c r="E410" s="40" t="n">
        <v>759.51</v>
      </c>
      <c r="F410" s="40" t="n">
        <v>0</v>
      </c>
      <c r="G410" s="46" t="n">
        <v>-100</v>
      </c>
      <c r="H410" s="40" t="n">
        <v>0</v>
      </c>
      <c r="I410" s="40" t="n">
        <v>0</v>
      </c>
      <c r="J410" s="40" t="n">
        <v>8067.48</v>
      </c>
      <c r="K410" s="40" t="n">
        <v>100</v>
      </c>
      <c r="L410" s="40" t="n">
        <v>0</v>
      </c>
      <c r="M410" s="46" t="n">
        <v>-100</v>
      </c>
      <c r="N410" s="40" t="n">
        <v>0</v>
      </c>
      <c r="O410" s="40" t="n">
        <v>0</v>
      </c>
      <c r="P410" s="40" t="n">
        <v>0</v>
      </c>
      <c r="Q410" s="40" t="n">
        <v>0</v>
      </c>
      <c r="R410" s="47" t="n"/>
      <c r="S410" s="47" t="n"/>
      <c r="T410" s="47" t="n"/>
      <c r="U410" s="47" t="n"/>
      <c r="V410" s="47" t="n"/>
      <c r="W410" s="47" t="n"/>
    </row>
    <row r="411" ht="11.25" customHeight="1">
      <c r="A411" s="30" t="inlineStr">
        <is>
          <t>Itaguai</t>
        </is>
      </c>
      <c r="B411" s="30" t="n">
        <v>75794134</v>
      </c>
      <c r="C411" s="30">
        <f>"43244631002455"</f>
        <v/>
      </c>
      <c r="D411" s="30" t="inlineStr">
        <is>
          <t>TRANSPORTADORA AMERICANA LTDA</t>
        </is>
      </c>
      <c r="E411" s="40" t="n">
        <v>2682.56</v>
      </c>
      <c r="F411" s="40" t="n">
        <v>2572.34</v>
      </c>
      <c r="G411" s="46" t="n">
        <v>-4.11</v>
      </c>
      <c r="H411" s="40" t="n">
        <v>938.23</v>
      </c>
      <c r="I411" s="46" t="n">
        <v>-63.53</v>
      </c>
      <c r="J411" s="40" t="n">
        <v>2686.47</v>
      </c>
      <c r="K411" s="40" t="n">
        <v>186.33</v>
      </c>
      <c r="L411" s="40" t="n">
        <v>2452.01</v>
      </c>
      <c r="M411" s="46" t="n">
        <v>-8.73</v>
      </c>
      <c r="N411" s="40" t="n">
        <v>494.17</v>
      </c>
      <c r="O411" s="46" t="n">
        <v>-79.84999999999999</v>
      </c>
      <c r="P411" s="40" t="n">
        <v>0</v>
      </c>
      <c r="Q411" s="46" t="n">
        <v>-100</v>
      </c>
      <c r="R411" s="47" t="n"/>
      <c r="S411" s="47" t="n"/>
      <c r="T411" s="47" t="n"/>
      <c r="U411" s="47" t="n"/>
      <c r="V411" s="47" t="n"/>
      <c r="W411" s="47" t="n"/>
    </row>
    <row r="412" ht="11.25" customHeight="1">
      <c r="A412" s="30" t="inlineStr">
        <is>
          <t>Itaguai</t>
        </is>
      </c>
      <c r="B412" s="30" t="n">
        <v>75795580</v>
      </c>
      <c r="C412" s="30">
        <f>"02714518000112"</f>
        <v/>
      </c>
      <c r="D412" s="30" t="inlineStr">
        <is>
          <t>A PRIMORDIAL LOGISTICA EM TRANSPORTES LTDA</t>
        </is>
      </c>
      <c r="E412" s="40" t="n">
        <v>0</v>
      </c>
      <c r="F412" s="40" t="n">
        <v>0</v>
      </c>
      <c r="G412" s="40" t="n">
        <v>0</v>
      </c>
      <c r="H412" s="40" t="n">
        <v>0</v>
      </c>
      <c r="I412" s="40" t="n">
        <v>0</v>
      </c>
      <c r="J412" s="40" t="n">
        <v>0</v>
      </c>
      <c r="K412" s="40" t="n">
        <v>0</v>
      </c>
      <c r="L412" s="40" t="n">
        <v>11045.67</v>
      </c>
      <c r="M412" s="40" t="n">
        <v>100</v>
      </c>
      <c r="N412" s="40" t="n">
        <v>1495.29</v>
      </c>
      <c r="O412" s="46" t="n">
        <v>-86.45999999999999</v>
      </c>
      <c r="P412" s="40" t="n">
        <v>0</v>
      </c>
      <c r="Q412" s="46" t="n">
        <v>-100</v>
      </c>
      <c r="R412" s="47" t="n"/>
      <c r="S412" s="47" t="n"/>
      <c r="T412" s="47" t="n"/>
      <c r="U412" s="47" t="n"/>
      <c r="V412" s="47" t="n"/>
      <c r="W412" s="47" t="n"/>
    </row>
    <row r="413" ht="11.25" customHeight="1">
      <c r="A413" s="30" t="inlineStr">
        <is>
          <t>Itaguai</t>
        </is>
      </c>
      <c r="B413" s="30" t="n">
        <v>75795629</v>
      </c>
      <c r="C413" s="30">
        <f>"01114430000288"</f>
        <v/>
      </c>
      <c r="D413" s="30" t="inlineStr">
        <is>
          <t>TRANSFUTURO TRANSPORTES LTDA</t>
        </is>
      </c>
      <c r="E413" s="40" t="n">
        <v>10600.26</v>
      </c>
      <c r="F413" s="40" t="n">
        <v>0</v>
      </c>
      <c r="G413" s="46" t="n">
        <v>-100</v>
      </c>
      <c r="H413" s="40" t="n">
        <v>1410</v>
      </c>
      <c r="I413" s="40" t="n">
        <v>100</v>
      </c>
      <c r="J413" s="40" t="n">
        <v>30796.37</v>
      </c>
      <c r="K413" s="40" t="n">
        <v>2084.14</v>
      </c>
      <c r="L413" s="40" t="n">
        <v>12750</v>
      </c>
      <c r="M413" s="46" t="n">
        <v>-58.6</v>
      </c>
      <c r="N413" s="40" t="n">
        <v>0</v>
      </c>
      <c r="O413" s="46" t="n">
        <v>-100</v>
      </c>
      <c r="P413" s="40" t="n">
        <v>0</v>
      </c>
      <c r="Q413" s="40" t="n">
        <v>0</v>
      </c>
      <c r="R413" s="47" t="n"/>
      <c r="S413" s="47" t="n"/>
      <c r="T413" s="47" t="n"/>
      <c r="U413" s="47" t="n"/>
      <c r="V413" s="47" t="n"/>
      <c r="W413" s="47" t="n"/>
    </row>
    <row r="414" ht="11.25" customHeight="1">
      <c r="A414" s="30" t="inlineStr">
        <is>
          <t>Itaguai</t>
        </is>
      </c>
      <c r="B414" s="30" t="n">
        <v>75819625</v>
      </c>
      <c r="C414" s="30">
        <f>"03094658000106"</f>
        <v/>
      </c>
      <c r="D414" s="30" t="inlineStr">
        <is>
          <t>GEFCO LOGISTICA DO BRASIL LTDA</t>
        </is>
      </c>
      <c r="E414" s="40" t="n">
        <v>0</v>
      </c>
      <c r="F414" s="40" t="n">
        <v>0</v>
      </c>
      <c r="G414" s="40" t="n">
        <v>0</v>
      </c>
      <c r="H414" s="40" t="n">
        <v>0</v>
      </c>
      <c r="I414" s="40" t="n">
        <v>0</v>
      </c>
      <c r="J414" s="40" t="n">
        <v>0</v>
      </c>
      <c r="K414" s="40" t="n">
        <v>0</v>
      </c>
      <c r="L414" s="40" t="n">
        <v>41582.25</v>
      </c>
      <c r="M414" s="40" t="n">
        <v>100</v>
      </c>
      <c r="N414" s="40" t="n">
        <v>0</v>
      </c>
      <c r="O414" s="46" t="n">
        <v>-100</v>
      </c>
      <c r="P414" s="40" t="n">
        <v>0</v>
      </c>
      <c r="Q414" s="40" t="n">
        <v>0</v>
      </c>
      <c r="R414" s="47" t="n"/>
      <c r="S414" s="47" t="n"/>
      <c r="T414" s="47" t="n"/>
      <c r="U414" s="47" t="n"/>
      <c r="V414" s="47" t="n"/>
      <c r="W414" s="47" t="n"/>
    </row>
    <row r="415" ht="11.25" customHeight="1">
      <c r="A415" s="30" t="inlineStr">
        <is>
          <t>Itaguai</t>
        </is>
      </c>
      <c r="B415" s="30" t="n">
        <v>75823193</v>
      </c>
      <c r="C415" s="30">
        <f>"03577561000146"</f>
        <v/>
      </c>
      <c r="D415" s="30" t="inlineStr">
        <is>
          <t>GLOBAL COMERCIO DE SOLDAS, FERRAMENTAS E MAT DE SEGURANCA LTDA</t>
        </is>
      </c>
      <c r="E415" s="40" t="n">
        <v>0</v>
      </c>
      <c r="F415" s="40" t="n">
        <v>0</v>
      </c>
      <c r="G415" s="40" t="n">
        <v>0</v>
      </c>
      <c r="H415" s="40" t="n">
        <v>0</v>
      </c>
      <c r="I415" s="40" t="n">
        <v>0</v>
      </c>
      <c r="J415" s="40" t="n">
        <v>0</v>
      </c>
      <c r="K415" s="40" t="n">
        <v>0</v>
      </c>
      <c r="L415" s="40" t="n">
        <v>0</v>
      </c>
      <c r="M415" s="40" t="n">
        <v>0</v>
      </c>
      <c r="N415" s="40" t="n">
        <v>591317.49</v>
      </c>
      <c r="O415" s="40" t="n">
        <v>100</v>
      </c>
      <c r="P415" s="40" t="n">
        <v>481252.65</v>
      </c>
      <c r="Q415" s="46" t="n">
        <v>-18.61</v>
      </c>
      <c r="R415" s="47" t="n"/>
      <c r="S415" s="47" t="n"/>
      <c r="T415" s="47" t="n"/>
      <c r="U415" s="47" t="n"/>
      <c r="V415" s="47" t="n"/>
      <c r="W415" s="47" t="n"/>
    </row>
    <row r="416" ht="11.25" customHeight="1">
      <c r="A416" s="30" t="inlineStr">
        <is>
          <t>Itaguai</t>
        </is>
      </c>
      <c r="B416" s="30" t="n">
        <v>75823223</v>
      </c>
      <c r="C416" s="30">
        <f>"03590204000118"</f>
        <v/>
      </c>
      <c r="D416" s="30" t="inlineStr">
        <is>
          <t>ITA GAS DO BRASIL LTDA</t>
        </is>
      </c>
      <c r="E416" s="40" t="n">
        <v>3825338.08</v>
      </c>
      <c r="F416" s="40" t="n">
        <v>3919039.11</v>
      </c>
      <c r="G416" s="40" t="n">
        <v>2.45</v>
      </c>
      <c r="H416" s="40" t="n">
        <v>3069491.26</v>
      </c>
      <c r="I416" s="46" t="n">
        <v>-21.68</v>
      </c>
      <c r="J416" s="40" t="n">
        <v>2405965.72</v>
      </c>
      <c r="K416" s="46" t="n">
        <v>-21.62</v>
      </c>
      <c r="L416" s="40" t="n">
        <v>2242739.04</v>
      </c>
      <c r="M416" s="46" t="n">
        <v>-6.78</v>
      </c>
      <c r="N416" s="40" t="n">
        <v>2543974.95</v>
      </c>
      <c r="O416" s="40" t="n">
        <v>13.43</v>
      </c>
      <c r="P416" s="40" t="n">
        <v>2063948.53</v>
      </c>
      <c r="Q416" s="46" t="n">
        <v>-18.87</v>
      </c>
      <c r="R416" s="47" t="n"/>
      <c r="S416" s="47" t="n"/>
      <c r="T416" s="47" t="n"/>
      <c r="U416" s="47" t="n"/>
      <c r="V416" s="47" t="n"/>
      <c r="W416" s="47" t="n"/>
    </row>
    <row r="417" ht="11.25" customHeight="1">
      <c r="A417" s="30" t="inlineStr">
        <is>
          <t>Itaguai</t>
        </is>
      </c>
      <c r="B417" s="30" t="n">
        <v>75823339</v>
      </c>
      <c r="C417" s="30">
        <f>"03642412000113"</f>
        <v/>
      </c>
      <c r="D417" s="30" t="inlineStr">
        <is>
          <t>E R PEIXOTO GAIO BAZAR</t>
        </is>
      </c>
      <c r="E417" s="40" t="n">
        <v>0</v>
      </c>
      <c r="F417" s="40" t="n">
        <v>0</v>
      </c>
      <c r="G417" s="40" t="n">
        <v>0</v>
      </c>
      <c r="H417" s="40" t="n">
        <v>0</v>
      </c>
      <c r="I417" s="40" t="n">
        <v>0</v>
      </c>
      <c r="J417" s="40" t="n">
        <v>0</v>
      </c>
      <c r="K417" s="40" t="n">
        <v>0</v>
      </c>
      <c r="L417" s="40" t="n">
        <v>0</v>
      </c>
      <c r="M417" s="40" t="n">
        <v>0</v>
      </c>
      <c r="N417" s="40" t="n">
        <v>0</v>
      </c>
      <c r="O417" s="40" t="n">
        <v>0</v>
      </c>
      <c r="P417" s="40" t="n">
        <v>0</v>
      </c>
      <c r="Q417" s="40" t="n">
        <v>0</v>
      </c>
      <c r="R417" s="47" t="n"/>
      <c r="S417" s="47" t="n"/>
      <c r="T417" s="47" t="n"/>
      <c r="U417" s="47" t="n"/>
      <c r="V417" s="47" t="n"/>
      <c r="W417" s="47" t="n"/>
    </row>
    <row r="418" ht="11.25" customHeight="1">
      <c r="A418" s="30" t="inlineStr">
        <is>
          <t>Itaguai</t>
        </is>
      </c>
      <c r="B418" s="30" t="n">
        <v>75823622</v>
      </c>
      <c r="C418" s="30">
        <f>"36453744000370"</f>
        <v/>
      </c>
      <c r="D418" s="30" t="inlineStr">
        <is>
          <t>SUPERMERCADO BERG E BERG LTDA</t>
        </is>
      </c>
      <c r="E418" s="40" t="n">
        <v>13395596.76</v>
      </c>
      <c r="F418" s="40" t="n">
        <v>9676857.77</v>
      </c>
      <c r="G418" s="46" t="n">
        <v>-27.76</v>
      </c>
      <c r="H418" s="40" t="n">
        <v>8824315.4</v>
      </c>
      <c r="I418" s="46" t="n">
        <v>-8.81</v>
      </c>
      <c r="J418" s="40" t="n">
        <v>7599924.03</v>
      </c>
      <c r="K418" s="46" t="n">
        <v>-13.88</v>
      </c>
      <c r="L418" s="40" t="n">
        <v>9921880.550000001</v>
      </c>
      <c r="M418" s="40" t="n">
        <v>30.55</v>
      </c>
      <c r="N418" s="40" t="n">
        <v>0</v>
      </c>
      <c r="O418" s="46" t="n">
        <v>-100</v>
      </c>
      <c r="P418" s="40" t="n">
        <v>0</v>
      </c>
      <c r="Q418" s="40" t="n">
        <v>0</v>
      </c>
      <c r="R418" s="47" t="n"/>
      <c r="S418" s="47" t="n"/>
      <c r="T418" s="47" t="n"/>
      <c r="U418" s="47" t="n"/>
      <c r="V418" s="47" t="n"/>
      <c r="W418" s="47" t="n"/>
    </row>
    <row r="419" ht="11.25" customHeight="1">
      <c r="A419" s="30" t="inlineStr">
        <is>
          <t>Itaguai</t>
        </is>
      </c>
      <c r="B419" s="30" t="n">
        <v>75824041</v>
      </c>
      <c r="C419" s="30">
        <f>"03960389000105"</f>
        <v/>
      </c>
      <c r="D419" s="30" t="inlineStr">
        <is>
          <t>BOTICA ITAGUAI LTDA ME</t>
        </is>
      </c>
      <c r="E419" s="40" t="n">
        <v>1277549.39</v>
      </c>
      <c r="F419" s="40" t="n">
        <v>770442.17</v>
      </c>
      <c r="G419" s="46" t="n">
        <v>-39.69</v>
      </c>
      <c r="H419" s="40" t="n">
        <v>1088435.6</v>
      </c>
      <c r="I419" s="40" t="n">
        <v>41.27</v>
      </c>
      <c r="J419" s="40" t="n">
        <v>896850.0600000001</v>
      </c>
      <c r="K419" s="46" t="n">
        <v>-17.6</v>
      </c>
      <c r="L419" s="40" t="n">
        <v>1063783.23</v>
      </c>
      <c r="M419" s="40" t="n">
        <v>18.61</v>
      </c>
      <c r="N419" s="40" t="n">
        <v>1346098.58</v>
      </c>
      <c r="O419" s="40" t="n">
        <v>26.54</v>
      </c>
      <c r="P419" s="40" t="n">
        <v>1809151.99</v>
      </c>
      <c r="Q419" s="40" t="n">
        <v>34.4</v>
      </c>
      <c r="R419" s="47" t="n"/>
      <c r="S419" s="47" t="n"/>
      <c r="T419" s="47" t="n"/>
      <c r="U419" s="47" t="n"/>
      <c r="V419" s="47" t="n"/>
      <c r="W419" s="47" t="n"/>
    </row>
    <row r="420" ht="11.25" customHeight="1">
      <c r="A420" s="30" t="inlineStr">
        <is>
          <t>Itaguai</t>
        </is>
      </c>
      <c r="B420" s="30" t="n">
        <v>75824149</v>
      </c>
      <c r="C420" s="30">
        <f>"03978226000150"</f>
        <v/>
      </c>
      <c r="D420" s="30" t="inlineStr">
        <is>
          <t>JLPF TRANSPORTES E PRE MOLDADOS LTDA</t>
        </is>
      </c>
      <c r="E420" s="40" t="n">
        <v>0</v>
      </c>
      <c r="F420" s="40" t="n">
        <v>0</v>
      </c>
      <c r="G420" s="40" t="n">
        <v>0</v>
      </c>
      <c r="H420" s="40" t="n">
        <v>0</v>
      </c>
      <c r="I420" s="40" t="n">
        <v>0</v>
      </c>
      <c r="J420" s="40" t="n">
        <v>0</v>
      </c>
      <c r="K420" s="40" t="n">
        <v>0</v>
      </c>
      <c r="L420" s="40" t="n">
        <v>0</v>
      </c>
      <c r="M420" s="40" t="n">
        <v>0</v>
      </c>
      <c r="N420" s="40" t="n">
        <v>0</v>
      </c>
      <c r="O420" s="40" t="n">
        <v>0</v>
      </c>
      <c r="P420" s="40" t="n">
        <v>0</v>
      </c>
      <c r="Q420" s="40" t="n">
        <v>0</v>
      </c>
      <c r="R420" s="47" t="n"/>
      <c r="S420" s="47" t="n"/>
      <c r="T420" s="47" t="n"/>
      <c r="U420" s="47" t="n"/>
      <c r="V420" s="47" t="n"/>
      <c r="W420" s="47" t="n"/>
    </row>
    <row r="421" ht="11.25" customHeight="1">
      <c r="A421" s="30" t="inlineStr">
        <is>
          <t>Itaguai</t>
        </is>
      </c>
      <c r="B421" s="30" t="n">
        <v>75824157</v>
      </c>
      <c r="C421" s="30">
        <f>"04023382000120"</f>
        <v/>
      </c>
      <c r="D421" s="30" t="inlineStr">
        <is>
          <t>J B LOGISTICA LTDA</t>
        </is>
      </c>
      <c r="E421" s="40" t="n">
        <v>0</v>
      </c>
      <c r="F421" s="40" t="n">
        <v>0</v>
      </c>
      <c r="G421" s="40" t="n">
        <v>0</v>
      </c>
      <c r="H421" s="40" t="n">
        <v>0</v>
      </c>
      <c r="I421" s="40" t="n">
        <v>0</v>
      </c>
      <c r="J421" s="40" t="n">
        <v>0</v>
      </c>
      <c r="K421" s="40" t="n">
        <v>0</v>
      </c>
      <c r="L421" s="40" t="n">
        <v>0</v>
      </c>
      <c r="M421" s="40" t="n">
        <v>0</v>
      </c>
      <c r="N421" s="40" t="n">
        <v>0</v>
      </c>
      <c r="O421" s="40" t="n">
        <v>0</v>
      </c>
      <c r="P421" s="40" t="n">
        <v>0</v>
      </c>
      <c r="Q421" s="40" t="n">
        <v>0</v>
      </c>
      <c r="R421" s="47" t="n"/>
      <c r="S421" s="47" t="n"/>
      <c r="T421" s="47" t="n"/>
      <c r="U421" s="47" t="n"/>
      <c r="V421" s="47" t="n"/>
      <c r="W421" s="47" t="n"/>
    </row>
    <row r="422" ht="11.25" customHeight="1">
      <c r="A422" s="30" t="inlineStr">
        <is>
          <t>Itaguai</t>
        </is>
      </c>
      <c r="B422" s="30" t="n">
        <v>75824297</v>
      </c>
      <c r="C422" s="30">
        <f>"04041907000150"</f>
        <v/>
      </c>
      <c r="D422" s="30" t="inlineStr">
        <is>
          <t>DIMOCOSTAS E ABREU COMERCIO DE DERIVADOS DE PETROLEO LTDA</t>
        </is>
      </c>
      <c r="E422" s="40" t="n">
        <v>2572948.95</v>
      </c>
      <c r="F422" s="40" t="n">
        <v>2078477.88</v>
      </c>
      <c r="G422" s="46" t="n">
        <v>-19.22</v>
      </c>
      <c r="H422" s="40" t="n">
        <v>1922767.55</v>
      </c>
      <c r="I422" s="46" t="n">
        <v>-7.49</v>
      </c>
      <c r="J422" s="40" t="n">
        <v>2464831.12</v>
      </c>
      <c r="K422" s="40" t="n">
        <v>28.19</v>
      </c>
      <c r="L422" s="40" t="n">
        <v>1546922.64</v>
      </c>
      <c r="M422" s="46" t="n">
        <v>-37.24</v>
      </c>
      <c r="N422" s="40" t="n">
        <v>1614828.8</v>
      </c>
      <c r="O422" s="40" t="n">
        <v>4.39</v>
      </c>
      <c r="P422" s="40" t="n">
        <v>3059275.71</v>
      </c>
      <c r="Q422" s="40" t="n">
        <v>89.45</v>
      </c>
      <c r="R422" s="47" t="n"/>
      <c r="S422" s="47" t="n"/>
      <c r="T422" s="47" t="n"/>
      <c r="U422" s="47" t="n"/>
      <c r="V422" s="47" t="n"/>
      <c r="W422" s="47" t="n"/>
    </row>
    <row r="423" ht="11.25" customHeight="1">
      <c r="A423" s="30" t="inlineStr">
        <is>
          <t>Itaguai</t>
        </is>
      </c>
      <c r="B423" s="30" t="n">
        <v>75824521</v>
      </c>
      <c r="C423" s="30">
        <f>"04141294000122"</f>
        <v/>
      </c>
      <c r="D423" s="30" t="inlineStr">
        <is>
          <t>SILVA E SOUZA SERVICOS FUNERARIOS LTDA ME</t>
        </is>
      </c>
      <c r="E423" s="40" t="n">
        <v>0</v>
      </c>
      <c r="F423" s="40" t="n">
        <v>0</v>
      </c>
      <c r="G423" s="40" t="n">
        <v>0</v>
      </c>
      <c r="H423" s="40" t="n">
        <v>0</v>
      </c>
      <c r="I423" s="40" t="n">
        <v>0</v>
      </c>
      <c r="J423" s="40" t="n">
        <v>0</v>
      </c>
      <c r="K423" s="40" t="n">
        <v>0</v>
      </c>
      <c r="L423" s="40" t="n">
        <v>0</v>
      </c>
      <c r="M423" s="40" t="n">
        <v>0</v>
      </c>
      <c r="N423" s="40" t="n">
        <v>0</v>
      </c>
      <c r="O423" s="40" t="n">
        <v>0</v>
      </c>
      <c r="P423" s="40" t="n">
        <v>0</v>
      </c>
      <c r="Q423" s="40" t="n">
        <v>0</v>
      </c>
      <c r="R423" s="47" t="n"/>
      <c r="S423" s="47" t="n"/>
      <c r="T423" s="47" t="n"/>
      <c r="U423" s="47" t="n"/>
      <c r="V423" s="47" t="n"/>
      <c r="W423" s="47" t="n"/>
    </row>
    <row r="424" ht="11.25" customHeight="1">
      <c r="A424" s="30" t="inlineStr">
        <is>
          <t>Itaguai</t>
        </is>
      </c>
      <c r="B424" s="30" t="n">
        <v>75824610</v>
      </c>
      <c r="C424" s="30">
        <f>"04178625000107"</f>
        <v/>
      </c>
      <c r="D424" s="30" t="inlineStr">
        <is>
          <t>TFT PREPARACAO E COMERCIO DE DERIVADOS DE CARNES E TRANSPORTES LTDA</t>
        </is>
      </c>
      <c r="E424" s="40" t="n">
        <v>8345740.58</v>
      </c>
      <c r="F424" s="40" t="n">
        <v>8145383.67</v>
      </c>
      <c r="G424" s="46" t="n">
        <v>-2.4</v>
      </c>
      <c r="H424" s="40" t="n">
        <v>11347257.96</v>
      </c>
      <c r="I424" s="40" t="n">
        <v>39.31</v>
      </c>
      <c r="J424" s="40" t="n">
        <v>8650390.310000001</v>
      </c>
      <c r="K424" s="46" t="n">
        <v>-23.77</v>
      </c>
      <c r="L424" s="40" t="n">
        <v>14267520.79</v>
      </c>
      <c r="M424" s="40" t="n">
        <v>64.93000000000001</v>
      </c>
      <c r="N424" s="40" t="n">
        <v>13817768.5</v>
      </c>
      <c r="O424" s="46" t="n">
        <v>-3.15</v>
      </c>
      <c r="P424" s="40" t="n">
        <v>3530613.26</v>
      </c>
      <c r="Q424" s="46" t="n">
        <v>-74.45</v>
      </c>
      <c r="R424" s="47" t="n"/>
      <c r="S424" s="47" t="n"/>
      <c r="T424" s="47" t="n"/>
      <c r="U424" s="47" t="n"/>
      <c r="V424" s="47" t="n"/>
      <c r="W424" s="47" t="n"/>
    </row>
    <row r="425" ht="11.25" customHeight="1">
      <c r="A425" s="30" t="inlineStr">
        <is>
          <t>Itaguai</t>
        </is>
      </c>
      <c r="B425" s="30" t="n">
        <v>75846223</v>
      </c>
      <c r="C425" s="30">
        <f>"02653803000170"</f>
        <v/>
      </c>
      <c r="D425" s="30" t="inlineStr">
        <is>
          <t>SM - RIO TRANSPORTE E LOGÍSTICA EIRELI</t>
        </is>
      </c>
      <c r="E425" s="40" t="n">
        <v>0</v>
      </c>
      <c r="F425" s="40" t="n">
        <v>1561.97</v>
      </c>
      <c r="G425" s="40" t="n">
        <v>100</v>
      </c>
      <c r="H425" s="40" t="n">
        <v>0</v>
      </c>
      <c r="I425" s="46" t="n">
        <v>-100</v>
      </c>
      <c r="J425" s="40" t="n">
        <v>0</v>
      </c>
      <c r="K425" s="40" t="n">
        <v>0</v>
      </c>
      <c r="L425" s="40" t="n">
        <v>0</v>
      </c>
      <c r="M425" s="40" t="n">
        <v>0</v>
      </c>
      <c r="N425" s="40" t="n">
        <v>0</v>
      </c>
      <c r="O425" s="40" t="n">
        <v>0</v>
      </c>
      <c r="P425" s="40" t="n">
        <v>0</v>
      </c>
      <c r="Q425" s="40" t="n">
        <v>0</v>
      </c>
      <c r="R425" s="47" t="n"/>
      <c r="S425" s="47" t="n"/>
      <c r="T425" s="47" t="n"/>
      <c r="U425" s="47" t="n"/>
      <c r="V425" s="47" t="n"/>
      <c r="W425" s="47" t="n"/>
    </row>
    <row r="426" ht="11.25" customHeight="1">
      <c r="A426" s="30" t="inlineStr">
        <is>
          <t>Itaguai</t>
        </is>
      </c>
      <c r="B426" s="30" t="n">
        <v>75849567</v>
      </c>
      <c r="C426" s="30">
        <f>"19694199000476"</f>
        <v/>
      </c>
      <c r="D426" s="30" t="inlineStr">
        <is>
          <t>TRANSREFER TRANSPORTE E LOGISTICA LTDA</t>
        </is>
      </c>
      <c r="E426" s="40" t="n">
        <v>564.8099999999999</v>
      </c>
      <c r="F426" s="40" t="n">
        <v>293.87</v>
      </c>
      <c r="G426" s="46" t="n">
        <v>-47.97</v>
      </c>
      <c r="H426" s="40" t="n">
        <v>1019.3</v>
      </c>
      <c r="I426" s="40" t="n">
        <v>246.85</v>
      </c>
      <c r="J426" s="40" t="n">
        <v>753.9299999999999</v>
      </c>
      <c r="K426" s="46" t="n">
        <v>-26.03</v>
      </c>
      <c r="L426" s="40" t="n">
        <v>299.15</v>
      </c>
      <c r="M426" s="46" t="n">
        <v>-60.32</v>
      </c>
      <c r="N426" s="40" t="n">
        <v>0</v>
      </c>
      <c r="O426" s="46" t="n">
        <v>-100</v>
      </c>
      <c r="P426" s="40" t="n">
        <v>108.94</v>
      </c>
      <c r="Q426" s="40" t="n">
        <v>100</v>
      </c>
      <c r="R426" s="47" t="n"/>
      <c r="S426" s="47" t="n"/>
      <c r="T426" s="47" t="n"/>
      <c r="U426" s="47" t="n"/>
      <c r="V426" s="47" t="n"/>
      <c r="W426" s="47" t="n"/>
    </row>
    <row r="427" ht="11.25" customHeight="1">
      <c r="A427" s="30" t="inlineStr">
        <is>
          <t>Itaguai</t>
        </is>
      </c>
      <c r="B427" s="30" t="n">
        <v>75865694</v>
      </c>
      <c r="C427" s="30">
        <f>"02849294000156"</f>
        <v/>
      </c>
      <c r="D427" s="30" t="inlineStr">
        <is>
          <t>VIDA SAUDAVEL DISTRIBUIDORA DE AGUA MINERAL LTDA</t>
        </is>
      </c>
      <c r="E427" s="40" t="n">
        <v>0</v>
      </c>
      <c r="F427" s="40" t="n">
        <v>0</v>
      </c>
      <c r="G427" s="40" t="n">
        <v>0</v>
      </c>
      <c r="H427" s="40" t="n">
        <v>6754.93</v>
      </c>
      <c r="I427" s="40" t="n">
        <v>100</v>
      </c>
      <c r="J427" s="40" t="n">
        <v>0</v>
      </c>
      <c r="K427" s="46" t="n">
        <v>-100</v>
      </c>
      <c r="L427" s="40" t="n">
        <v>0</v>
      </c>
      <c r="M427" s="40" t="n">
        <v>0</v>
      </c>
      <c r="N427" s="40" t="n">
        <v>0</v>
      </c>
      <c r="O427" s="40" t="n">
        <v>0</v>
      </c>
      <c r="P427" s="40" t="n">
        <v>0</v>
      </c>
      <c r="Q427" s="40" t="n">
        <v>0</v>
      </c>
      <c r="R427" s="47" t="n"/>
      <c r="S427" s="47" t="n"/>
      <c r="T427" s="47" t="n"/>
      <c r="U427" s="47" t="n"/>
      <c r="V427" s="47" t="n"/>
      <c r="W427" s="47" t="n"/>
    </row>
    <row r="428" ht="11.25" customHeight="1">
      <c r="A428" s="30" t="inlineStr">
        <is>
          <t>Itaguai</t>
        </is>
      </c>
      <c r="B428" s="30" t="n">
        <v>75968779</v>
      </c>
      <c r="C428" s="30">
        <f>"88317847001460"</f>
        <v/>
      </c>
      <c r="D428" s="30" t="inlineStr">
        <is>
          <t>RAPIDO TRANSPAULO LTDA</t>
        </is>
      </c>
      <c r="E428" s="40" t="n">
        <v>1651.7</v>
      </c>
      <c r="F428" s="40" t="n">
        <v>0</v>
      </c>
      <c r="G428" s="46" t="n">
        <v>-100</v>
      </c>
      <c r="H428" s="40" t="n">
        <v>0</v>
      </c>
      <c r="I428" s="40" t="n">
        <v>0</v>
      </c>
      <c r="J428" s="40" t="n">
        <v>0</v>
      </c>
      <c r="K428" s="40" t="n">
        <v>0</v>
      </c>
      <c r="L428" s="40" t="n">
        <v>0</v>
      </c>
      <c r="M428" s="40" t="n">
        <v>0</v>
      </c>
      <c r="N428" s="40" t="n">
        <v>0</v>
      </c>
      <c r="O428" s="40" t="n">
        <v>0</v>
      </c>
      <c r="P428" s="40" t="n">
        <v>0</v>
      </c>
      <c r="Q428" s="40" t="n">
        <v>0</v>
      </c>
      <c r="R428" s="47" t="n"/>
      <c r="S428" s="47" t="n"/>
      <c r="T428" s="47" t="n"/>
      <c r="U428" s="47" t="n"/>
      <c r="V428" s="47" t="n"/>
      <c r="W428" s="47" t="n"/>
    </row>
    <row r="429" ht="11.25" customHeight="1">
      <c r="A429" s="30" t="inlineStr">
        <is>
          <t>Itaguai</t>
        </is>
      </c>
      <c r="B429" s="30" t="n">
        <v>76026831</v>
      </c>
      <c r="C429" s="30">
        <f>"60664828007340"</f>
        <v/>
      </c>
      <c r="D429" s="30" t="inlineStr">
        <is>
          <t>EMPRESA DE TRANSPORTES ATLAS LTDA</t>
        </is>
      </c>
      <c r="E429" s="40" t="n">
        <v>1147.95</v>
      </c>
      <c r="F429" s="40" t="n">
        <v>677.08</v>
      </c>
      <c r="G429" s="46" t="n">
        <v>-41.02</v>
      </c>
      <c r="H429" s="40" t="n">
        <v>903.35</v>
      </c>
      <c r="I429" s="40" t="n">
        <v>33.42</v>
      </c>
      <c r="J429" s="40" t="n">
        <v>0</v>
      </c>
      <c r="K429" s="46" t="n">
        <v>-100</v>
      </c>
      <c r="L429" s="40" t="n">
        <v>0</v>
      </c>
      <c r="M429" s="40" t="n">
        <v>0</v>
      </c>
      <c r="N429" s="40" t="n">
        <v>0</v>
      </c>
      <c r="O429" s="40" t="n">
        <v>0</v>
      </c>
      <c r="P429" s="40" t="n">
        <v>0</v>
      </c>
      <c r="Q429" s="40" t="n">
        <v>0</v>
      </c>
      <c r="R429" s="47" t="n"/>
      <c r="S429" s="47" t="n"/>
      <c r="T429" s="47" t="n"/>
      <c r="U429" s="47" t="n"/>
      <c r="V429" s="47" t="n"/>
      <c r="W429" s="47" t="n"/>
    </row>
    <row r="430" ht="11.25" customHeight="1">
      <c r="A430" s="30" t="inlineStr">
        <is>
          <t>Itaguai</t>
        </is>
      </c>
      <c r="B430" s="30" t="n">
        <v>76038996</v>
      </c>
      <c r="C430" s="30">
        <f>"03333219000109"</f>
        <v/>
      </c>
      <c r="D430" s="30" t="inlineStr">
        <is>
          <t>KVA SEQUIP LOCACAO DE GERADORES LTDA</t>
        </is>
      </c>
      <c r="E430" s="40" t="n">
        <v>0</v>
      </c>
      <c r="F430" s="40" t="n">
        <v>0</v>
      </c>
      <c r="G430" s="40" t="n">
        <v>0</v>
      </c>
      <c r="H430" s="40" t="n">
        <v>0</v>
      </c>
      <c r="I430" s="40" t="n">
        <v>0</v>
      </c>
      <c r="J430" s="40" t="n">
        <v>0</v>
      </c>
      <c r="K430" s="40" t="n">
        <v>0</v>
      </c>
      <c r="L430" s="40" t="n">
        <v>0</v>
      </c>
      <c r="M430" s="40" t="n">
        <v>0</v>
      </c>
      <c r="N430" s="40" t="n">
        <v>0</v>
      </c>
      <c r="O430" s="40" t="n">
        <v>0</v>
      </c>
      <c r="P430" s="40" t="n">
        <v>0</v>
      </c>
      <c r="Q430" s="40" t="n">
        <v>0</v>
      </c>
      <c r="R430" s="47" t="n"/>
      <c r="S430" s="47" t="n"/>
      <c r="T430" s="47" t="n"/>
      <c r="U430" s="47" t="n"/>
      <c r="V430" s="47" t="n"/>
      <c r="W430" s="47" t="n"/>
    </row>
    <row r="431" ht="11.25" customHeight="1">
      <c r="A431" s="30" t="inlineStr">
        <is>
          <t>Itaguai</t>
        </is>
      </c>
      <c r="B431" s="30" t="n">
        <v>76085927</v>
      </c>
      <c r="C431" s="30">
        <f>"26341222000323"</f>
        <v/>
      </c>
      <c r="D431" s="30" t="inlineStr">
        <is>
          <t>EXPRESSO M 2000 LTDA</t>
        </is>
      </c>
      <c r="E431" s="40" t="n">
        <v>0</v>
      </c>
      <c r="F431" s="40" t="n">
        <v>1087.84</v>
      </c>
      <c r="G431" s="40" t="n">
        <v>100</v>
      </c>
      <c r="H431" s="40" t="n">
        <v>0</v>
      </c>
      <c r="I431" s="46" t="n">
        <v>-100</v>
      </c>
      <c r="J431" s="40" t="n">
        <v>0</v>
      </c>
      <c r="K431" s="40" t="n">
        <v>0</v>
      </c>
      <c r="L431" s="40" t="n">
        <v>269.75</v>
      </c>
      <c r="M431" s="40" t="n">
        <v>100</v>
      </c>
      <c r="N431" s="40" t="n">
        <v>0</v>
      </c>
      <c r="O431" s="46" t="n">
        <v>-100</v>
      </c>
      <c r="P431" s="40" t="n">
        <v>0</v>
      </c>
      <c r="Q431" s="40" t="n">
        <v>0</v>
      </c>
      <c r="R431" s="47" t="n"/>
      <c r="S431" s="47" t="n"/>
      <c r="T431" s="47" t="n"/>
      <c r="U431" s="47" t="n"/>
      <c r="V431" s="47" t="n"/>
      <c r="W431" s="47" t="n"/>
    </row>
    <row r="432" ht="11.25" customHeight="1">
      <c r="A432" s="30" t="inlineStr">
        <is>
          <t>Itaguai</t>
        </is>
      </c>
      <c r="B432" s="30" t="n">
        <v>76105502</v>
      </c>
      <c r="C432" s="30">
        <f>"03419953000187"</f>
        <v/>
      </c>
      <c r="D432" s="30" t="inlineStr">
        <is>
          <t>MARFRAN TRANSPORTES E LOGISTICA LTDA ME</t>
        </is>
      </c>
      <c r="E432" s="40" t="n">
        <v>2517.93</v>
      </c>
      <c r="F432" s="40" t="n">
        <v>0</v>
      </c>
      <c r="G432" s="46" t="n">
        <v>-100</v>
      </c>
      <c r="H432" s="40" t="n">
        <v>3285.12</v>
      </c>
      <c r="I432" s="40" t="n">
        <v>100</v>
      </c>
      <c r="J432" s="40" t="n">
        <v>0</v>
      </c>
      <c r="K432" s="46" t="n">
        <v>-100</v>
      </c>
      <c r="L432" s="40" t="n">
        <v>0</v>
      </c>
      <c r="M432" s="40" t="n">
        <v>0</v>
      </c>
      <c r="N432" s="40" t="n">
        <v>0</v>
      </c>
      <c r="O432" s="40" t="n">
        <v>0</v>
      </c>
      <c r="P432" s="40" t="n">
        <v>0</v>
      </c>
      <c r="Q432" s="40" t="n">
        <v>0</v>
      </c>
      <c r="R432" s="47" t="n"/>
      <c r="S432" s="47" t="n"/>
      <c r="T432" s="47" t="n"/>
      <c r="U432" s="47" t="n"/>
      <c r="V432" s="47" t="n"/>
      <c r="W432" s="47" t="n"/>
    </row>
    <row r="433" ht="11.25" customHeight="1">
      <c r="A433" s="30" t="inlineStr">
        <is>
          <t>Itaguai</t>
        </is>
      </c>
      <c r="B433" s="30" t="n">
        <v>76159122</v>
      </c>
      <c r="C433" s="30">
        <f>"03537249000129"</f>
        <v/>
      </c>
      <c r="D433" s="30" t="inlineStr">
        <is>
          <t>CSN ENERGIA S/A</t>
        </is>
      </c>
      <c r="E433" s="40" t="n">
        <v>23246320.17</v>
      </c>
      <c r="F433" s="40" t="n">
        <v>15990254.28</v>
      </c>
      <c r="G433" s="46" t="n">
        <v>-31.21</v>
      </c>
      <c r="H433" s="40" t="n">
        <v>15668082.61</v>
      </c>
      <c r="I433" s="46" t="n">
        <v>-2.01</v>
      </c>
      <c r="J433" s="40" t="n">
        <v>8144818.32</v>
      </c>
      <c r="K433" s="46" t="n">
        <v>-48.02</v>
      </c>
      <c r="L433" s="40" t="n">
        <v>956561.66</v>
      </c>
      <c r="M433" s="46" t="n">
        <v>-88.26000000000001</v>
      </c>
      <c r="N433" s="40" t="n">
        <v>801987.88</v>
      </c>
      <c r="O433" s="46" t="n">
        <v>-16.16</v>
      </c>
      <c r="P433" s="40" t="n">
        <v>155487.22</v>
      </c>
      <c r="Q433" s="46" t="n">
        <v>-80.61</v>
      </c>
      <c r="R433" s="47" t="n"/>
      <c r="S433" s="47" t="n"/>
      <c r="T433" s="47" t="n"/>
      <c r="U433" s="47" t="n"/>
      <c r="V433" s="47" t="n"/>
      <c r="W433" s="47" t="n"/>
    </row>
    <row r="434" ht="11.25" customHeight="1">
      <c r="A434" s="30" t="inlineStr">
        <is>
          <t>Itaguai</t>
        </is>
      </c>
      <c r="B434" s="30" t="n">
        <v>76187681</v>
      </c>
      <c r="C434" s="30">
        <f>"02870124000315"</f>
        <v/>
      </c>
      <c r="D434" s="30" t="inlineStr">
        <is>
          <t>LENARGE TRANSPORTES E SERVICOS LTDA</t>
        </is>
      </c>
      <c r="E434" s="40" t="n">
        <v>0</v>
      </c>
      <c r="F434" s="40" t="n">
        <v>0</v>
      </c>
      <c r="G434" s="40" t="n">
        <v>0</v>
      </c>
      <c r="H434" s="40" t="n">
        <v>19687822.12</v>
      </c>
      <c r="I434" s="40" t="n">
        <v>100</v>
      </c>
      <c r="J434" s="40" t="n">
        <v>22269778.08</v>
      </c>
      <c r="K434" s="40" t="n">
        <v>13.11</v>
      </c>
      <c r="L434" s="40" t="n">
        <v>31373245.57</v>
      </c>
      <c r="M434" s="40" t="n">
        <v>40.88</v>
      </c>
      <c r="N434" s="40" t="n">
        <v>44873294.96</v>
      </c>
      <c r="O434" s="40" t="n">
        <v>43.03</v>
      </c>
      <c r="P434" s="40" t="n">
        <v>43350213.63</v>
      </c>
      <c r="Q434" s="46" t="n">
        <v>-3.39</v>
      </c>
      <c r="R434" s="47" t="n"/>
      <c r="S434" s="47" t="n"/>
      <c r="T434" s="47" t="n"/>
      <c r="U434" s="47" t="n"/>
      <c r="V434" s="47" t="n"/>
      <c r="W434" s="47" t="n"/>
    </row>
    <row r="435" ht="11.25" customHeight="1">
      <c r="A435" s="30" t="inlineStr">
        <is>
          <t>Itaguai</t>
        </is>
      </c>
      <c r="B435" s="30" t="n">
        <v>76197482</v>
      </c>
      <c r="C435" s="30">
        <f>"01619241000186"</f>
        <v/>
      </c>
      <c r="D435" s="30" t="inlineStr">
        <is>
          <t>WMS WORLD MARINE SERVICE LTDA</t>
        </is>
      </c>
      <c r="E435" s="40" t="n">
        <v>35714.63</v>
      </c>
      <c r="F435" s="40" t="n">
        <v>37104.18</v>
      </c>
      <c r="G435" s="40" t="n">
        <v>3.89</v>
      </c>
      <c r="H435" s="40" t="n">
        <v>147790.44</v>
      </c>
      <c r="I435" s="40" t="n">
        <v>298.31</v>
      </c>
      <c r="J435" s="40" t="n">
        <v>0</v>
      </c>
      <c r="K435" s="46" t="n">
        <v>-100</v>
      </c>
      <c r="L435" s="40" t="n">
        <v>41502.4</v>
      </c>
      <c r="M435" s="40" t="n">
        <v>100</v>
      </c>
      <c r="N435" s="40" t="n">
        <v>1797.26</v>
      </c>
      <c r="O435" s="46" t="n">
        <v>-95.67</v>
      </c>
      <c r="P435" s="40" t="n">
        <v>16906.86</v>
      </c>
      <c r="Q435" s="40" t="n">
        <v>840.7</v>
      </c>
      <c r="R435" s="47" t="n"/>
      <c r="S435" s="47" t="n"/>
      <c r="T435" s="47" t="n"/>
      <c r="U435" s="47" t="n"/>
      <c r="V435" s="47" t="n"/>
      <c r="W435" s="47" t="n"/>
    </row>
    <row r="436" ht="11.25" customHeight="1">
      <c r="A436" s="30" t="inlineStr">
        <is>
          <t>Itaguai</t>
        </is>
      </c>
      <c r="B436" s="30" t="n">
        <v>76208042</v>
      </c>
      <c r="C436" s="30">
        <f>"93288124000103"</f>
        <v/>
      </c>
      <c r="D436" s="30" t="inlineStr">
        <is>
          <t>TURISPALL TRANSPORTES E TURISMO LTDA ME</t>
        </is>
      </c>
      <c r="E436" s="40" t="n">
        <v>0</v>
      </c>
      <c r="F436" s="40" t="n">
        <v>0</v>
      </c>
      <c r="G436" s="40" t="n">
        <v>0</v>
      </c>
      <c r="H436" s="40" t="n">
        <v>0</v>
      </c>
      <c r="I436" s="40" t="n">
        <v>0</v>
      </c>
      <c r="J436" s="40" t="n">
        <v>0</v>
      </c>
      <c r="K436" s="40" t="n">
        <v>0</v>
      </c>
      <c r="L436" s="40" t="n">
        <v>2500</v>
      </c>
      <c r="M436" s="40" t="n">
        <v>100</v>
      </c>
      <c r="N436" s="40" t="n">
        <v>0</v>
      </c>
      <c r="O436" s="46" t="n">
        <v>-100</v>
      </c>
      <c r="P436" s="40" t="n">
        <v>0</v>
      </c>
      <c r="Q436" s="40" t="n">
        <v>0</v>
      </c>
      <c r="R436" s="47" t="n"/>
      <c r="S436" s="47" t="n"/>
      <c r="T436" s="47" t="n"/>
      <c r="U436" s="47" t="n"/>
      <c r="V436" s="47" t="n"/>
      <c r="W436" s="47" t="n"/>
    </row>
    <row r="437" ht="11.25" customHeight="1">
      <c r="A437" s="30" t="inlineStr">
        <is>
          <t>Itaguai</t>
        </is>
      </c>
      <c r="B437" s="30" t="n">
        <v>76208549</v>
      </c>
      <c r="C437" s="30">
        <f>"19199348000773"</f>
        <v/>
      </c>
      <c r="D437" s="30" t="inlineStr">
        <is>
          <t>SADA TRANSPORTES E ARMAZENAGENS S/A</t>
        </is>
      </c>
      <c r="E437" s="40" t="n">
        <v>4982994.06</v>
      </c>
      <c r="F437" s="40" t="n">
        <v>5162477.17</v>
      </c>
      <c r="G437" s="40" t="n">
        <v>3.6</v>
      </c>
      <c r="H437" s="40" t="n">
        <v>4770817.92</v>
      </c>
      <c r="I437" s="46" t="n">
        <v>-7.59</v>
      </c>
      <c r="J437" s="40" t="n">
        <v>2204977.47</v>
      </c>
      <c r="K437" s="46" t="n">
        <v>-53.78</v>
      </c>
      <c r="L437" s="40" t="n">
        <v>2663730.04</v>
      </c>
      <c r="M437" s="40" t="n">
        <v>20.81</v>
      </c>
      <c r="N437" s="40" t="n">
        <v>1523625.13</v>
      </c>
      <c r="O437" s="46" t="n">
        <v>-42.8</v>
      </c>
      <c r="P437" s="40" t="n">
        <v>2122438.52</v>
      </c>
      <c r="Q437" s="40" t="n">
        <v>39.3</v>
      </c>
      <c r="R437" s="47" t="n"/>
      <c r="S437" s="47" t="n"/>
      <c r="T437" s="47" t="n"/>
      <c r="U437" s="47" t="n"/>
      <c r="V437" s="47" t="n"/>
      <c r="W437" s="47" t="n"/>
    </row>
    <row r="438" ht="11.25" customHeight="1">
      <c r="A438" s="30" t="inlineStr">
        <is>
          <t>Itaguai</t>
        </is>
      </c>
      <c r="B438" s="30" t="n">
        <v>76208603</v>
      </c>
      <c r="C438" s="30">
        <f>"04239395000130"</f>
        <v/>
      </c>
      <c r="D438" s="30" t="inlineStr">
        <is>
          <t>CAP DE ITAGUAI AUTO PECAS LTDA</t>
        </is>
      </c>
      <c r="E438" s="40" t="n">
        <v>0</v>
      </c>
      <c r="F438" s="40" t="n">
        <v>50214.8</v>
      </c>
      <c r="G438" s="40" t="n">
        <v>100</v>
      </c>
      <c r="H438" s="40" t="n">
        <v>0</v>
      </c>
      <c r="I438" s="46" t="n">
        <v>-100</v>
      </c>
      <c r="J438" s="40" t="n">
        <v>0</v>
      </c>
      <c r="K438" s="40" t="n">
        <v>0</v>
      </c>
      <c r="L438" s="40" t="n">
        <v>219598.26</v>
      </c>
      <c r="M438" s="40" t="n">
        <v>100</v>
      </c>
      <c r="N438" s="40" t="n">
        <v>0</v>
      </c>
      <c r="O438" s="46" t="n">
        <v>-100</v>
      </c>
      <c r="P438" s="40" t="n">
        <v>0</v>
      </c>
      <c r="Q438" s="40" t="n">
        <v>0</v>
      </c>
      <c r="R438" s="47" t="n"/>
      <c r="S438" s="47" t="n"/>
      <c r="T438" s="47" t="n"/>
      <c r="U438" s="47" t="n"/>
      <c r="V438" s="47" t="n"/>
      <c r="W438" s="47" t="n"/>
    </row>
    <row r="439" ht="11.25" customHeight="1">
      <c r="A439" s="30" t="inlineStr">
        <is>
          <t>Itaguai</t>
        </is>
      </c>
      <c r="B439" s="30" t="n">
        <v>76208751</v>
      </c>
      <c r="C439" s="30">
        <f>"56642960010504"</f>
        <v/>
      </c>
      <c r="D439" s="30" t="inlineStr">
        <is>
          <t>LOJAS CEM S A</t>
        </is>
      </c>
      <c r="E439" s="40" t="n">
        <v>8770594.34</v>
      </c>
      <c r="F439" s="40" t="n">
        <v>7950735.29</v>
      </c>
      <c r="G439" s="46" t="n">
        <v>-9.35</v>
      </c>
      <c r="H439" s="40" t="n">
        <v>8197758.79</v>
      </c>
      <c r="I439" s="40" t="n">
        <v>3.11</v>
      </c>
      <c r="J439" s="40" t="n">
        <v>8856576.01</v>
      </c>
      <c r="K439" s="40" t="n">
        <v>8.039999999999999</v>
      </c>
      <c r="L439" s="40" t="n">
        <v>8361872.26</v>
      </c>
      <c r="M439" s="46" t="n">
        <v>-5.59</v>
      </c>
      <c r="N439" s="40" t="n">
        <v>4797074.55</v>
      </c>
      <c r="O439" s="46" t="n">
        <v>-42.63</v>
      </c>
      <c r="P439" s="40" t="n">
        <v>5057014.87</v>
      </c>
      <c r="Q439" s="40" t="n">
        <v>5.42</v>
      </c>
      <c r="R439" s="47" t="n"/>
      <c r="S439" s="47" t="n"/>
      <c r="T439" s="47" t="n"/>
      <c r="U439" s="47" t="n"/>
      <c r="V439" s="47" t="n"/>
      <c r="W439" s="47" t="n"/>
    </row>
    <row r="440" ht="11.25" customHeight="1">
      <c r="A440" s="30" t="inlineStr">
        <is>
          <t>Itaguai</t>
        </is>
      </c>
      <c r="B440" s="30" t="n">
        <v>76208972</v>
      </c>
      <c r="C440" s="30">
        <f>"04316457000160"</f>
        <v/>
      </c>
      <c r="D440" s="30" t="inlineStr">
        <is>
          <t>MACCOMEVAP INDUSTRIA COMERCIO DE TECNOLOGIA EM ILUMINACAO E SERVICOS ELETROMECANICOS LTDA</t>
        </is>
      </c>
      <c r="E440" s="40" t="n">
        <v>4226680.92</v>
      </c>
      <c r="F440" s="40" t="n">
        <v>3579894.18</v>
      </c>
      <c r="G440" s="46" t="n">
        <v>-15.3</v>
      </c>
      <c r="H440" s="40" t="n">
        <v>12726467.16</v>
      </c>
      <c r="I440" s="40" t="n">
        <v>255.5</v>
      </c>
      <c r="J440" s="40" t="n">
        <v>17435833.4</v>
      </c>
      <c r="K440" s="40" t="n">
        <v>37</v>
      </c>
      <c r="L440" s="40" t="n">
        <v>21557874.53</v>
      </c>
      <c r="M440" s="40" t="n">
        <v>23.64</v>
      </c>
      <c r="N440" s="40" t="n">
        <v>25432906.58</v>
      </c>
      <c r="O440" s="40" t="n">
        <v>17.98</v>
      </c>
      <c r="P440" s="40" t="n">
        <v>39452869.03</v>
      </c>
      <c r="Q440" s="40" t="n">
        <v>55.13</v>
      </c>
      <c r="R440" s="47" t="n"/>
      <c r="S440" s="47" t="n"/>
      <c r="T440" s="47" t="n"/>
      <c r="U440" s="47" t="n"/>
      <c r="V440" s="47" t="n"/>
      <c r="W440" s="47" t="n"/>
    </row>
    <row r="441" ht="11.25" customHeight="1">
      <c r="A441" s="30" t="inlineStr">
        <is>
          <t>Itaguai</t>
        </is>
      </c>
      <c r="B441" s="30" t="n">
        <v>76209200</v>
      </c>
      <c r="C441" s="30">
        <f>"04524750000113"</f>
        <v/>
      </c>
      <c r="D441" s="30" t="inlineStr">
        <is>
          <t>MULTIMARCAS SOCIEDADE DE TECNICA GM</t>
        </is>
      </c>
      <c r="E441" s="40" t="n">
        <v>0</v>
      </c>
      <c r="F441" s="40" t="n">
        <v>0</v>
      </c>
      <c r="G441" s="40" t="n">
        <v>0</v>
      </c>
      <c r="H441" s="40" t="n">
        <v>0</v>
      </c>
      <c r="I441" s="40" t="n">
        <v>0</v>
      </c>
      <c r="J441" s="40" t="n">
        <v>0</v>
      </c>
      <c r="K441" s="40" t="n">
        <v>0</v>
      </c>
      <c r="L441" s="40" t="n">
        <v>0</v>
      </c>
      <c r="M441" s="40" t="n">
        <v>0</v>
      </c>
      <c r="N441" s="40" t="n">
        <v>0</v>
      </c>
      <c r="O441" s="40" t="n">
        <v>0</v>
      </c>
      <c r="P441" s="40" t="n">
        <v>0</v>
      </c>
      <c r="Q441" s="40" t="n">
        <v>0</v>
      </c>
      <c r="R441" s="47" t="n"/>
      <c r="S441" s="47" t="n"/>
      <c r="T441" s="47" t="n"/>
      <c r="U441" s="47" t="n"/>
      <c r="V441" s="47" t="n"/>
      <c r="W441" s="47" t="n"/>
    </row>
    <row r="442" ht="11.25" customHeight="1">
      <c r="A442" s="30" t="inlineStr">
        <is>
          <t>Itaguai</t>
        </is>
      </c>
      <c r="B442" s="30" t="n">
        <v>76221723</v>
      </c>
      <c r="C442" s="30">
        <f>"04564857000195"</f>
        <v/>
      </c>
      <c r="D442" s="30" t="inlineStr">
        <is>
          <t>BLOCFER MATERIAIS DE CONSTRUCAO LTDA ME</t>
        </is>
      </c>
      <c r="E442" s="40" t="n">
        <v>0</v>
      </c>
      <c r="F442" s="40" t="n">
        <v>0</v>
      </c>
      <c r="G442" s="40" t="n">
        <v>0</v>
      </c>
      <c r="H442" s="40" t="n">
        <v>0</v>
      </c>
      <c r="I442" s="40" t="n">
        <v>0</v>
      </c>
      <c r="J442" s="40" t="n">
        <v>42975.28</v>
      </c>
      <c r="K442" s="40" t="n">
        <v>100</v>
      </c>
      <c r="L442" s="40" t="n">
        <v>0</v>
      </c>
      <c r="M442" s="46" t="n">
        <v>-100</v>
      </c>
      <c r="N442" s="40" t="n">
        <v>0</v>
      </c>
      <c r="O442" s="40" t="n">
        <v>0</v>
      </c>
      <c r="P442" s="40" t="n">
        <v>0</v>
      </c>
      <c r="Q442" s="40" t="n">
        <v>0</v>
      </c>
      <c r="R442" s="47" t="n"/>
      <c r="S442" s="47" t="n"/>
      <c r="T442" s="47" t="n"/>
      <c r="U442" s="47" t="n"/>
      <c r="V442" s="47" t="n"/>
      <c r="W442" s="47" t="n"/>
    </row>
    <row r="443" ht="11.25" customHeight="1">
      <c r="A443" s="30" t="inlineStr">
        <is>
          <t>Itaguai</t>
        </is>
      </c>
      <c r="B443" s="30" t="n">
        <v>76224382</v>
      </c>
      <c r="C443" s="30">
        <f>"81442014000833"</f>
        <v/>
      </c>
      <c r="D443" s="30" t="inlineStr">
        <is>
          <t>MOINHO GLOBO ALIMENTOS S A</t>
        </is>
      </c>
      <c r="E443" s="40" t="n">
        <v>0</v>
      </c>
      <c r="F443" s="40" t="n">
        <v>0</v>
      </c>
      <c r="G443" s="40" t="n">
        <v>0</v>
      </c>
      <c r="H443" s="40" t="n">
        <v>0</v>
      </c>
      <c r="I443" s="40" t="n">
        <v>0</v>
      </c>
      <c r="J443" s="40" t="n">
        <v>0</v>
      </c>
      <c r="K443" s="40" t="n">
        <v>0</v>
      </c>
      <c r="L443" s="40" t="n">
        <v>360896.34</v>
      </c>
      <c r="M443" s="40" t="n">
        <v>100</v>
      </c>
      <c r="N443" s="40" t="n">
        <v>284083.22</v>
      </c>
      <c r="O443" s="46" t="n">
        <v>-21.28</v>
      </c>
      <c r="P443" s="40" t="n">
        <v>428493.06</v>
      </c>
      <c r="Q443" s="40" t="n">
        <v>50.83</v>
      </c>
      <c r="R443" s="47" t="n"/>
      <c r="S443" s="47" t="n"/>
      <c r="T443" s="47" t="n"/>
      <c r="U443" s="47" t="n"/>
      <c r="V443" s="47" t="n"/>
      <c r="W443" s="47" t="n"/>
    </row>
    <row r="444" ht="11.25" customHeight="1">
      <c r="A444" s="30" t="inlineStr">
        <is>
          <t>Itaguai</t>
        </is>
      </c>
      <c r="B444" s="30" t="n">
        <v>76230145</v>
      </c>
      <c r="C444" s="30">
        <f>"04360163000136"</f>
        <v/>
      </c>
      <c r="D444" s="30" t="inlineStr">
        <is>
          <t>S S D SILVA DISTRIBUIDORA DE GAS GLP ME</t>
        </is>
      </c>
      <c r="E444" s="40" t="n">
        <v>0</v>
      </c>
      <c r="F444" s="40" t="n">
        <v>109547.7</v>
      </c>
      <c r="G444" s="40" t="n">
        <v>100</v>
      </c>
      <c r="H444" s="40" t="n">
        <v>163805.53</v>
      </c>
      <c r="I444" s="40" t="n">
        <v>49.53</v>
      </c>
      <c r="J444" s="40" t="n">
        <v>58779.92</v>
      </c>
      <c r="K444" s="46" t="n">
        <v>-64.12</v>
      </c>
      <c r="L444" s="40" t="n">
        <v>284528</v>
      </c>
      <c r="M444" s="40" t="n">
        <v>384.06</v>
      </c>
      <c r="N444" s="40" t="n">
        <v>456675.21</v>
      </c>
      <c r="O444" s="40" t="n">
        <v>60.5</v>
      </c>
      <c r="P444" s="40" t="n">
        <v>737626.73</v>
      </c>
      <c r="Q444" s="40" t="n">
        <v>61.52</v>
      </c>
      <c r="R444" s="47" t="n"/>
      <c r="S444" s="47" t="n"/>
      <c r="T444" s="47" t="n"/>
      <c r="U444" s="47" t="n"/>
      <c r="V444" s="47" t="n"/>
      <c r="W444" s="47" t="n"/>
    </row>
    <row r="445" ht="11.25" customHeight="1">
      <c r="A445" s="30" t="inlineStr">
        <is>
          <t>Itaguai</t>
        </is>
      </c>
      <c r="B445" s="30" t="n">
        <v>77019090</v>
      </c>
      <c r="C445" s="30">
        <f>"03384298000764"</f>
        <v/>
      </c>
      <c r="D445" s="30" t="inlineStr">
        <is>
          <t>FLUMAR TRANSPORTES DE QUIMICOS E GASES LTDA</t>
        </is>
      </c>
      <c r="E445" s="40" t="n">
        <v>0</v>
      </c>
      <c r="F445" s="40" t="n">
        <v>18154517.53</v>
      </c>
      <c r="G445" s="40" t="n">
        <v>100</v>
      </c>
      <c r="H445" s="40" t="n">
        <v>0</v>
      </c>
      <c r="I445" s="46" t="n">
        <v>-100</v>
      </c>
      <c r="J445" s="40" t="n">
        <v>0</v>
      </c>
      <c r="K445" s="40" t="n">
        <v>0</v>
      </c>
      <c r="L445" s="40" t="n">
        <v>0</v>
      </c>
      <c r="M445" s="40" t="n">
        <v>0</v>
      </c>
      <c r="N445" s="40" t="n">
        <v>0</v>
      </c>
      <c r="O445" s="40" t="n">
        <v>0</v>
      </c>
      <c r="P445" s="40" t="n">
        <v>0</v>
      </c>
      <c r="Q445" s="40" t="n">
        <v>0</v>
      </c>
      <c r="R445" s="47" t="n"/>
      <c r="S445" s="47" t="n"/>
      <c r="T445" s="47" t="n"/>
      <c r="U445" s="47" t="n"/>
      <c r="V445" s="47" t="n"/>
      <c r="W445" s="47" t="n"/>
    </row>
    <row r="446" ht="11.25" customHeight="1">
      <c r="A446" s="30" t="inlineStr">
        <is>
          <t>Itaguai</t>
        </is>
      </c>
      <c r="B446" s="30" t="n">
        <v>77028412</v>
      </c>
      <c r="C446" s="30">
        <f>"17215039000552"</f>
        <v/>
      </c>
      <c r="D446" s="30" t="inlineStr">
        <is>
          <t>TRANSPORTES PESADOS MINAS S A</t>
        </is>
      </c>
      <c r="E446" s="40" t="n">
        <v>4009.75</v>
      </c>
      <c r="F446" s="40" t="n">
        <v>0</v>
      </c>
      <c r="G446" s="46" t="n">
        <v>-100</v>
      </c>
      <c r="H446" s="40" t="n">
        <v>105935.94</v>
      </c>
      <c r="I446" s="40" t="n">
        <v>100</v>
      </c>
      <c r="J446" s="40" t="n">
        <v>18513.4</v>
      </c>
      <c r="K446" s="46" t="n">
        <v>-82.52</v>
      </c>
      <c r="L446" s="40" t="n">
        <v>11819.44</v>
      </c>
      <c r="M446" s="46" t="n">
        <v>-36.16</v>
      </c>
      <c r="N446" s="40" t="n">
        <v>483558.75</v>
      </c>
      <c r="O446" s="40" t="n">
        <v>3991.22</v>
      </c>
      <c r="P446" s="40" t="n">
        <v>1560751.49</v>
      </c>
      <c r="Q446" s="40" t="n">
        <v>222.76</v>
      </c>
      <c r="R446" s="47" t="n"/>
      <c r="S446" s="47" t="n"/>
      <c r="T446" s="47" t="n"/>
      <c r="U446" s="47" t="n"/>
      <c r="V446" s="47" t="n"/>
      <c r="W446" s="47" t="n"/>
    </row>
    <row r="447" ht="11.25" customHeight="1">
      <c r="A447" s="30" t="inlineStr">
        <is>
          <t>Itaguai</t>
        </is>
      </c>
      <c r="B447" s="30" t="n">
        <v>77032037</v>
      </c>
      <c r="C447" s="30">
        <f>"03564702000196"</f>
        <v/>
      </c>
      <c r="D447" s="30" t="inlineStr">
        <is>
          <t>PH TRANSPORTES EIRELI</t>
        </is>
      </c>
      <c r="E447" s="40" t="n">
        <v>0</v>
      </c>
      <c r="F447" s="40" t="n">
        <v>0</v>
      </c>
      <c r="G447" s="40" t="n">
        <v>0</v>
      </c>
      <c r="H447" s="40" t="n">
        <v>1668822.45</v>
      </c>
      <c r="I447" s="40" t="n">
        <v>100</v>
      </c>
      <c r="J447" s="40" t="n">
        <v>1327230.18</v>
      </c>
      <c r="K447" s="46" t="n">
        <v>-20.47</v>
      </c>
      <c r="L447" s="40" t="n">
        <v>0</v>
      </c>
      <c r="M447" s="46" t="n">
        <v>-100</v>
      </c>
      <c r="N447" s="40" t="n">
        <v>0</v>
      </c>
      <c r="O447" s="40" t="n">
        <v>0</v>
      </c>
      <c r="P447" s="40" t="n">
        <v>79361.41</v>
      </c>
      <c r="Q447" s="40" t="n">
        <v>100</v>
      </c>
      <c r="R447" s="47" t="n"/>
      <c r="S447" s="47" t="n"/>
      <c r="T447" s="47" t="n"/>
      <c r="U447" s="47" t="n"/>
      <c r="V447" s="47" t="n"/>
      <c r="W447" s="47" t="n"/>
    </row>
    <row r="448" ht="11.25" customHeight="1">
      <c r="A448" s="30" t="inlineStr">
        <is>
          <t>Itaguai</t>
        </is>
      </c>
      <c r="B448" s="30" t="n">
        <v>77038523</v>
      </c>
      <c r="C448" s="30">
        <f>"43854116005240"</f>
        <v/>
      </c>
      <c r="D448" s="30" t="inlineStr">
        <is>
          <t>CEVA LOGISTICS LTDA</t>
        </is>
      </c>
      <c r="E448" s="40" t="n">
        <v>0</v>
      </c>
      <c r="F448" s="40" t="n">
        <v>0</v>
      </c>
      <c r="G448" s="40" t="n">
        <v>0</v>
      </c>
      <c r="H448" s="40" t="n">
        <v>0</v>
      </c>
      <c r="I448" s="40" t="n">
        <v>0</v>
      </c>
      <c r="J448" s="40" t="n">
        <v>0</v>
      </c>
      <c r="K448" s="40" t="n">
        <v>0</v>
      </c>
      <c r="L448" s="40" t="n">
        <v>0</v>
      </c>
      <c r="M448" s="40" t="n">
        <v>0</v>
      </c>
      <c r="N448" s="40" t="n">
        <v>0</v>
      </c>
      <c r="O448" s="40" t="n">
        <v>0</v>
      </c>
      <c r="P448" s="40" t="n">
        <v>1594.14</v>
      </c>
      <c r="Q448" s="40" t="n">
        <v>100</v>
      </c>
      <c r="R448" s="47" t="n"/>
      <c r="S448" s="47" t="n"/>
      <c r="T448" s="47" t="n"/>
      <c r="U448" s="47" t="n"/>
      <c r="V448" s="47" t="n"/>
      <c r="W448" s="47" t="n"/>
    </row>
    <row r="449" ht="11.25" customHeight="1">
      <c r="A449" s="30" t="inlineStr">
        <is>
          <t>Itaguai</t>
        </is>
      </c>
      <c r="B449" s="30" t="n">
        <v>77052275</v>
      </c>
      <c r="C449" s="30">
        <f>"66702325001015"</f>
        <v/>
      </c>
      <c r="D449" s="30" t="inlineStr">
        <is>
          <t>TORA LOGISTICA ARMAZENS E TERMINAIS MULTIMODAIS S/A</t>
        </is>
      </c>
      <c r="E449" s="40" t="n">
        <v>0</v>
      </c>
      <c r="F449" s="40" t="n">
        <v>0</v>
      </c>
      <c r="G449" s="40" t="n">
        <v>0</v>
      </c>
      <c r="H449" s="40" t="n">
        <v>0</v>
      </c>
      <c r="I449" s="40" t="n">
        <v>0</v>
      </c>
      <c r="J449" s="40" t="n">
        <v>24785.28</v>
      </c>
      <c r="K449" s="40" t="n">
        <v>100</v>
      </c>
      <c r="L449" s="40" t="n">
        <v>0</v>
      </c>
      <c r="M449" s="46" t="n">
        <v>-100</v>
      </c>
      <c r="N449" s="40" t="n">
        <v>38671.9</v>
      </c>
      <c r="O449" s="40" t="n">
        <v>100</v>
      </c>
      <c r="P449" s="40" t="n">
        <v>13927.22</v>
      </c>
      <c r="Q449" s="46" t="n">
        <v>-63.99</v>
      </c>
      <c r="R449" s="47" t="n"/>
      <c r="S449" s="47" t="n"/>
      <c r="T449" s="47" t="n"/>
      <c r="U449" s="47" t="n"/>
      <c r="V449" s="47" t="n"/>
      <c r="W449" s="47" t="n"/>
    </row>
    <row r="450" ht="11.25" customHeight="1">
      <c r="A450" s="30" t="inlineStr">
        <is>
          <t>Itaguai</t>
        </is>
      </c>
      <c r="B450" s="30" t="n">
        <v>77054545</v>
      </c>
      <c r="C450" s="30">
        <f>"03757239000107"</f>
        <v/>
      </c>
      <c r="D450" s="30" t="inlineStr">
        <is>
          <t>SPEED WORK TRANSPORTES EIRELI</t>
        </is>
      </c>
      <c r="E450" s="40" t="n">
        <v>8.779999999999999</v>
      </c>
      <c r="F450" s="40" t="n">
        <v>562.79</v>
      </c>
      <c r="G450" s="40" t="n">
        <v>6309.91</v>
      </c>
      <c r="H450" s="40" t="n">
        <v>0</v>
      </c>
      <c r="I450" s="46" t="n">
        <v>-100</v>
      </c>
      <c r="J450" s="40" t="n">
        <v>4445.92</v>
      </c>
      <c r="K450" s="40" t="n">
        <v>100</v>
      </c>
      <c r="L450" s="40" t="n">
        <v>0</v>
      </c>
      <c r="M450" s="46" t="n">
        <v>-100</v>
      </c>
      <c r="N450" s="40" t="n">
        <v>46132.69</v>
      </c>
      <c r="O450" s="40" t="n">
        <v>100</v>
      </c>
      <c r="P450" s="40" t="n">
        <v>111313.95</v>
      </c>
      <c r="Q450" s="40" t="n">
        <v>141.29</v>
      </c>
      <c r="R450" s="47" t="n"/>
      <c r="S450" s="47" t="n"/>
      <c r="T450" s="47" t="n"/>
      <c r="U450" s="47" t="n"/>
      <c r="V450" s="47" t="n"/>
      <c r="W450" s="47" t="n"/>
    </row>
    <row r="451" ht="11.25" customHeight="1">
      <c r="A451" s="30" t="inlineStr">
        <is>
          <t>Itaguai</t>
        </is>
      </c>
      <c r="B451" s="30" t="n">
        <v>77062238</v>
      </c>
      <c r="C451" s="30">
        <f>"20468310009360"</f>
        <v/>
      </c>
      <c r="D451" s="30" t="inlineStr">
        <is>
          <t>TORA TRANSPORTES INDUSTRIAIS LTDA</t>
        </is>
      </c>
      <c r="E451" s="40" t="n">
        <v>9548.75</v>
      </c>
      <c r="F451" s="40" t="n">
        <v>12350.17</v>
      </c>
      <c r="G451" s="40" t="n">
        <v>29.34</v>
      </c>
      <c r="H451" s="40" t="n">
        <v>198343.76</v>
      </c>
      <c r="I451" s="40" t="n">
        <v>1506</v>
      </c>
      <c r="J451" s="40" t="n">
        <v>226568.51</v>
      </c>
      <c r="K451" s="40" t="n">
        <v>14.23</v>
      </c>
      <c r="L451" s="40" t="n">
        <v>163864.9</v>
      </c>
      <c r="M451" s="46" t="n">
        <v>-27.68</v>
      </c>
      <c r="N451" s="40" t="n">
        <v>188919.4</v>
      </c>
      <c r="O451" s="40" t="n">
        <v>15.29</v>
      </c>
      <c r="P451" s="40" t="n">
        <v>26779.63</v>
      </c>
      <c r="Q451" s="46" t="n">
        <v>-85.81999999999999</v>
      </c>
      <c r="R451" s="47" t="n"/>
      <c r="S451" s="47" t="n"/>
      <c r="T451" s="47" t="n"/>
      <c r="U451" s="47" t="n"/>
      <c r="V451" s="47" t="n"/>
      <c r="W451" s="47" t="n"/>
    </row>
    <row r="452" ht="11.25" customHeight="1">
      <c r="A452" s="30" t="inlineStr">
        <is>
          <t>Itaguai</t>
        </is>
      </c>
      <c r="B452" s="30" t="n">
        <v>77071431</v>
      </c>
      <c r="C452" s="30">
        <f>"01125797000620"</f>
        <v/>
      </c>
      <c r="D452" s="30" t="inlineStr">
        <is>
          <t>ATIVA DISTRIBUICAO E LOGISTICA LTDA</t>
        </is>
      </c>
      <c r="E452" s="40" t="n">
        <v>1062.89</v>
      </c>
      <c r="F452" s="40" t="n">
        <v>2312.75</v>
      </c>
      <c r="G452" s="40" t="n">
        <v>117.59</v>
      </c>
      <c r="H452" s="40" t="n">
        <v>6007.48</v>
      </c>
      <c r="I452" s="40" t="n">
        <v>159.75</v>
      </c>
      <c r="J452" s="40" t="n">
        <v>10684.16</v>
      </c>
      <c r="K452" s="40" t="n">
        <v>77.84999999999999</v>
      </c>
      <c r="L452" s="40" t="n">
        <v>1376.21</v>
      </c>
      <c r="M452" s="46" t="n">
        <v>-87.12</v>
      </c>
      <c r="N452" s="40" t="n">
        <v>0</v>
      </c>
      <c r="O452" s="46" t="n">
        <v>-100</v>
      </c>
      <c r="P452" s="40" t="n">
        <v>0</v>
      </c>
      <c r="Q452" s="40" t="n">
        <v>0</v>
      </c>
      <c r="R452" s="47" t="n"/>
      <c r="S452" s="47" t="n"/>
      <c r="T452" s="47" t="n"/>
      <c r="U452" s="47" t="n"/>
      <c r="V452" s="47" t="n"/>
      <c r="W452" s="47" t="n"/>
    </row>
    <row r="453" ht="11.25" customHeight="1">
      <c r="A453" s="30" t="inlineStr">
        <is>
          <t>Itaguai</t>
        </is>
      </c>
      <c r="B453" s="30" t="n">
        <v>77076042</v>
      </c>
      <c r="C453" s="30">
        <f>"03948646000193"</f>
        <v/>
      </c>
      <c r="D453" s="30" t="inlineStr">
        <is>
          <t>EQUITRANS EQUIPAMENTOS TRANSPORTE E LOGISTICA LTDA</t>
        </is>
      </c>
      <c r="E453" s="40" t="n">
        <v>249313.12</v>
      </c>
      <c r="F453" s="40" t="n">
        <v>500712.73</v>
      </c>
      <c r="G453" s="40" t="n">
        <v>100.84</v>
      </c>
      <c r="H453" s="40" t="n">
        <v>699220.7</v>
      </c>
      <c r="I453" s="40" t="n">
        <v>39.65</v>
      </c>
      <c r="J453" s="40" t="n">
        <v>258911.73</v>
      </c>
      <c r="K453" s="46" t="n">
        <v>-62.97</v>
      </c>
      <c r="L453" s="40" t="n">
        <v>161235.7</v>
      </c>
      <c r="M453" s="46" t="n">
        <v>-37.73</v>
      </c>
      <c r="N453" s="40" t="n">
        <v>1041487.16</v>
      </c>
      <c r="O453" s="40" t="n">
        <v>545.9400000000001</v>
      </c>
      <c r="P453" s="40" t="n">
        <v>824930.15</v>
      </c>
      <c r="Q453" s="46" t="n">
        <v>-20.79</v>
      </c>
      <c r="R453" s="47" t="n"/>
      <c r="S453" s="47" t="n"/>
      <c r="T453" s="47" t="n"/>
      <c r="U453" s="47" t="n"/>
      <c r="V453" s="47" t="n"/>
      <c r="W453" s="47" t="n"/>
    </row>
    <row r="454" ht="11.25" customHeight="1">
      <c r="A454" s="30" t="inlineStr">
        <is>
          <t>Itaguai</t>
        </is>
      </c>
      <c r="B454" s="30" t="n">
        <v>77086897</v>
      </c>
      <c r="C454" s="30">
        <f>"33438250015008"</f>
        <v/>
      </c>
      <c r="D454" s="30" t="inlineStr">
        <is>
          <t>DROGARIAS PACHECO S/A</t>
        </is>
      </c>
      <c r="E454" s="40" t="n">
        <v>2555600.69</v>
      </c>
      <c r="F454" s="40" t="n">
        <v>2405261</v>
      </c>
      <c r="G454" s="46" t="n">
        <v>-5.88</v>
      </c>
      <c r="H454" s="40" t="n">
        <v>2777914.19</v>
      </c>
      <c r="I454" s="40" t="n">
        <v>15.49</v>
      </c>
      <c r="J454" s="40" t="n">
        <v>2971988.16</v>
      </c>
      <c r="K454" s="40" t="n">
        <v>6.99</v>
      </c>
      <c r="L454" s="40" t="n">
        <v>2750147.1</v>
      </c>
      <c r="M454" s="46" t="n">
        <v>-7.46</v>
      </c>
      <c r="N454" s="40" t="n">
        <v>3096532.24</v>
      </c>
      <c r="O454" s="40" t="n">
        <v>12.6</v>
      </c>
      <c r="P454" s="40" t="n">
        <v>2635181.23</v>
      </c>
      <c r="Q454" s="46" t="n">
        <v>-14.9</v>
      </c>
      <c r="R454" s="47" t="n"/>
      <c r="S454" s="47" t="n"/>
      <c r="T454" s="47" t="n"/>
      <c r="U454" s="47" t="n"/>
      <c r="V454" s="47" t="n"/>
      <c r="W454" s="47" t="n"/>
    </row>
    <row r="455" ht="11.25" customHeight="1">
      <c r="A455" s="30" t="inlineStr">
        <is>
          <t>Itaguai</t>
        </is>
      </c>
      <c r="B455" s="30" t="n">
        <v>77089535</v>
      </c>
      <c r="C455" s="30">
        <f>"36761633000402"</f>
        <v/>
      </c>
      <c r="D455" s="30" t="inlineStr">
        <is>
          <t>SEM FURO TRANSPORTES LTDA</t>
        </is>
      </c>
      <c r="E455" s="40" t="n">
        <v>480.4</v>
      </c>
      <c r="F455" s="40" t="n">
        <v>0</v>
      </c>
      <c r="G455" s="46" t="n">
        <v>-100</v>
      </c>
      <c r="H455" s="40" t="n">
        <v>0</v>
      </c>
      <c r="I455" s="40" t="n">
        <v>0</v>
      </c>
      <c r="J455" s="40" t="n">
        <v>0</v>
      </c>
      <c r="K455" s="40" t="n">
        <v>0</v>
      </c>
      <c r="L455" s="40" t="n">
        <v>0</v>
      </c>
      <c r="M455" s="40" t="n">
        <v>0</v>
      </c>
      <c r="N455" s="40" t="n">
        <v>0</v>
      </c>
      <c r="O455" s="40" t="n">
        <v>0</v>
      </c>
      <c r="P455" s="40" t="n">
        <v>0</v>
      </c>
      <c r="Q455" s="40" t="n">
        <v>0</v>
      </c>
      <c r="R455" s="47" t="n"/>
      <c r="S455" s="47" t="n"/>
      <c r="T455" s="47" t="n"/>
      <c r="U455" s="47" t="n"/>
      <c r="V455" s="47" t="n"/>
      <c r="W455" s="47" t="n"/>
    </row>
    <row r="456" ht="11.25" customHeight="1">
      <c r="A456" s="30" t="inlineStr">
        <is>
          <t>Itaguai</t>
        </is>
      </c>
      <c r="B456" s="30" t="n">
        <v>77099301</v>
      </c>
      <c r="C456" s="30">
        <f>"92644483000851"</f>
        <v/>
      </c>
      <c r="D456" s="30" t="inlineStr">
        <is>
          <t>TRANSPORTES GABARDO LTDA</t>
        </is>
      </c>
      <c r="E456" s="40" t="n">
        <v>0</v>
      </c>
      <c r="F456" s="40" t="n">
        <v>0</v>
      </c>
      <c r="G456" s="40" t="n">
        <v>0</v>
      </c>
      <c r="H456" s="40" t="n">
        <v>2000</v>
      </c>
      <c r="I456" s="40" t="n">
        <v>100</v>
      </c>
      <c r="J456" s="40" t="n">
        <v>1500</v>
      </c>
      <c r="K456" s="46" t="n">
        <v>-25</v>
      </c>
      <c r="L456" s="40" t="n">
        <v>700</v>
      </c>
      <c r="M456" s="46" t="n">
        <v>-53.33</v>
      </c>
      <c r="N456" s="40" t="n">
        <v>1200</v>
      </c>
      <c r="O456" s="40" t="n">
        <v>71.43000000000001</v>
      </c>
      <c r="P456" s="40" t="n">
        <v>5400</v>
      </c>
      <c r="Q456" s="40" t="n">
        <v>350</v>
      </c>
      <c r="R456" s="47" t="n"/>
      <c r="S456" s="47" t="n"/>
      <c r="T456" s="47" t="n"/>
      <c r="U456" s="47" t="n"/>
      <c r="V456" s="47" t="n"/>
      <c r="W456" s="47" t="n"/>
    </row>
    <row r="457" ht="11.25" customHeight="1">
      <c r="A457" s="30" t="inlineStr">
        <is>
          <t>Itaguai</t>
        </is>
      </c>
      <c r="B457" s="30" t="n">
        <v>77118888</v>
      </c>
      <c r="C457" s="30">
        <f>"04192493000160"</f>
        <v/>
      </c>
      <c r="D457" s="30" t="inlineStr">
        <is>
          <t>REALEZA TRANSPORTES VIAGENS E TURISMO LTDA ME</t>
        </is>
      </c>
      <c r="E457" s="40" t="n">
        <v>6400</v>
      </c>
      <c r="F457" s="40" t="n">
        <v>1400</v>
      </c>
      <c r="G457" s="46" t="n">
        <v>-78.12</v>
      </c>
      <c r="H457" s="40" t="n">
        <v>0</v>
      </c>
      <c r="I457" s="46" t="n">
        <v>-100</v>
      </c>
      <c r="J457" s="40" t="n">
        <v>0</v>
      </c>
      <c r="K457" s="40" t="n">
        <v>0</v>
      </c>
      <c r="L457" s="40" t="n">
        <v>0</v>
      </c>
      <c r="M457" s="40" t="n">
        <v>0</v>
      </c>
      <c r="N457" s="40" t="n">
        <v>0</v>
      </c>
      <c r="O457" s="40" t="n">
        <v>0</v>
      </c>
      <c r="P457" s="40" t="n">
        <v>0</v>
      </c>
      <c r="Q457" s="40" t="n">
        <v>0</v>
      </c>
      <c r="R457" s="47" t="n"/>
      <c r="S457" s="47" t="n"/>
      <c r="T457" s="47" t="n"/>
      <c r="U457" s="47" t="n"/>
      <c r="V457" s="47" t="n"/>
      <c r="W457" s="47" t="n"/>
    </row>
    <row r="458" ht="11.25" customHeight="1">
      <c r="A458" s="30" t="inlineStr">
        <is>
          <t>Itaguai</t>
        </is>
      </c>
      <c r="B458" s="30" t="n">
        <v>77120688</v>
      </c>
      <c r="C458" s="30">
        <f>"19368927001006"</f>
        <v/>
      </c>
      <c r="D458" s="30" t="inlineStr">
        <is>
          <t>EXPRESSO NEPOMUCENO SA</t>
        </is>
      </c>
      <c r="E458" s="40" t="n">
        <v>2968.23</v>
      </c>
      <c r="F458" s="40" t="n">
        <v>0</v>
      </c>
      <c r="G458" s="46" t="n">
        <v>-100</v>
      </c>
      <c r="H458" s="40" t="n">
        <v>0</v>
      </c>
      <c r="I458" s="40" t="n">
        <v>0</v>
      </c>
      <c r="J458" s="40" t="n">
        <v>0</v>
      </c>
      <c r="K458" s="40" t="n">
        <v>0</v>
      </c>
      <c r="L458" s="40" t="n">
        <v>9990.23</v>
      </c>
      <c r="M458" s="40" t="n">
        <v>100</v>
      </c>
      <c r="N458" s="40" t="n">
        <v>0</v>
      </c>
      <c r="O458" s="46" t="n">
        <v>-100</v>
      </c>
      <c r="P458" s="40" t="n">
        <v>0</v>
      </c>
      <c r="Q458" s="40" t="n">
        <v>0</v>
      </c>
      <c r="R458" s="47" t="n"/>
      <c r="S458" s="47" t="n"/>
      <c r="T458" s="47" t="n"/>
      <c r="U458" s="47" t="n"/>
      <c r="V458" s="47" t="n"/>
      <c r="W458" s="47" t="n"/>
    </row>
    <row r="459" ht="11.25" customHeight="1">
      <c r="A459" s="30" t="inlineStr">
        <is>
          <t>Itaguai</t>
        </is>
      </c>
      <c r="B459" s="30" t="n">
        <v>77126600</v>
      </c>
      <c r="C459" s="30">
        <f>"62408703000534"</f>
        <v/>
      </c>
      <c r="D459" s="30" t="inlineStr">
        <is>
          <t>MOPRI TRANSPORTE LTDA</t>
        </is>
      </c>
      <c r="E459" s="40" t="n">
        <v>0</v>
      </c>
      <c r="F459" s="40" t="n">
        <v>1230.09</v>
      </c>
      <c r="G459" s="40" t="n">
        <v>100</v>
      </c>
      <c r="H459" s="40" t="n">
        <v>0</v>
      </c>
      <c r="I459" s="46" t="n">
        <v>-100</v>
      </c>
      <c r="J459" s="40" t="n">
        <v>0</v>
      </c>
      <c r="K459" s="40" t="n">
        <v>0</v>
      </c>
      <c r="L459" s="40" t="n">
        <v>0</v>
      </c>
      <c r="M459" s="40" t="n">
        <v>0</v>
      </c>
      <c r="N459" s="40" t="n">
        <v>0</v>
      </c>
      <c r="O459" s="40" t="n">
        <v>0</v>
      </c>
      <c r="P459" s="40" t="n">
        <v>0</v>
      </c>
      <c r="Q459" s="40" t="n">
        <v>0</v>
      </c>
      <c r="R459" s="47" t="n"/>
      <c r="S459" s="47" t="n"/>
      <c r="T459" s="47" t="n"/>
      <c r="U459" s="47" t="n"/>
      <c r="V459" s="47" t="n"/>
      <c r="W459" s="47" t="n"/>
    </row>
    <row r="460" ht="11.25" customHeight="1">
      <c r="A460" s="30" t="inlineStr">
        <is>
          <t>Itaguai</t>
        </is>
      </c>
      <c r="B460" s="30" t="n">
        <v>77142126</v>
      </c>
      <c r="C460" s="30">
        <f>"04155259000324"</f>
        <v/>
      </c>
      <c r="D460" s="30" t="inlineStr">
        <is>
          <t>TRANSPORTADORA M M A LTDA</t>
        </is>
      </c>
      <c r="E460" s="40" t="n">
        <v>0</v>
      </c>
      <c r="F460" s="40" t="n">
        <v>0</v>
      </c>
      <c r="G460" s="40" t="n">
        <v>0</v>
      </c>
      <c r="H460" s="40" t="n">
        <v>0</v>
      </c>
      <c r="I460" s="40" t="n">
        <v>0</v>
      </c>
      <c r="J460" s="40" t="n">
        <v>2197.99</v>
      </c>
      <c r="K460" s="40" t="n">
        <v>100</v>
      </c>
      <c r="L460" s="40" t="n">
        <v>3518.35</v>
      </c>
      <c r="M460" s="40" t="n">
        <v>60.07</v>
      </c>
      <c r="N460" s="40" t="n">
        <v>2269.21</v>
      </c>
      <c r="O460" s="46" t="n">
        <v>-35.5</v>
      </c>
      <c r="P460" s="40" t="n">
        <v>2596.89</v>
      </c>
      <c r="Q460" s="40" t="n">
        <v>14.44</v>
      </c>
      <c r="R460" s="47" t="n"/>
      <c r="S460" s="47" t="n"/>
      <c r="T460" s="47" t="n"/>
      <c r="U460" s="47" t="n"/>
      <c r="V460" s="47" t="n"/>
      <c r="W460" s="47" t="n"/>
    </row>
    <row r="461" ht="11.25" customHeight="1">
      <c r="A461" s="30" t="inlineStr">
        <is>
          <t>Itaguai</t>
        </is>
      </c>
      <c r="B461" s="30" t="n">
        <v>77169261</v>
      </c>
      <c r="C461" s="30">
        <f>"32492373002167"</f>
        <v/>
      </c>
      <c r="D461" s="30" t="inlineStr">
        <is>
          <t>TRANSPORTE EXCELSIOR LTDA</t>
        </is>
      </c>
      <c r="E461" s="40" t="n">
        <v>340967.89</v>
      </c>
      <c r="F461" s="40" t="n">
        <v>134709.13</v>
      </c>
      <c r="G461" s="46" t="n">
        <v>-60.49</v>
      </c>
      <c r="H461" s="40" t="n">
        <v>213001.54</v>
      </c>
      <c r="I461" s="40" t="n">
        <v>58.12</v>
      </c>
      <c r="J461" s="40" t="n">
        <v>219815.43</v>
      </c>
      <c r="K461" s="40" t="n">
        <v>3.2</v>
      </c>
      <c r="L461" s="40" t="n">
        <v>328362.91</v>
      </c>
      <c r="M461" s="40" t="n">
        <v>49.38</v>
      </c>
      <c r="N461" s="40" t="n">
        <v>507545.06</v>
      </c>
      <c r="O461" s="40" t="n">
        <v>54.57</v>
      </c>
      <c r="P461" s="40" t="n">
        <v>554467.01</v>
      </c>
      <c r="Q461" s="40" t="n">
        <v>9.24</v>
      </c>
      <c r="R461" s="47" t="n"/>
      <c r="S461" s="47" t="n"/>
      <c r="T461" s="47" t="n"/>
      <c r="U461" s="47" t="n"/>
      <c r="V461" s="47" t="n"/>
      <c r="W461" s="47" t="n"/>
    </row>
    <row r="462" ht="11.25" customHeight="1">
      <c r="A462" s="30" t="inlineStr">
        <is>
          <t>Itaguai</t>
        </is>
      </c>
      <c r="B462" s="30" t="n">
        <v>77191097</v>
      </c>
      <c r="C462" s="30">
        <f>"04020515000376"</f>
        <v/>
      </c>
      <c r="D462" s="30" t="inlineStr">
        <is>
          <t>PONTOCOM SERVICES LTDA</t>
        </is>
      </c>
      <c r="E462" s="40" t="n">
        <v>0</v>
      </c>
      <c r="F462" s="40" t="n">
        <v>0</v>
      </c>
      <c r="G462" s="40" t="n">
        <v>0</v>
      </c>
      <c r="H462" s="40" t="n">
        <v>707.71</v>
      </c>
      <c r="I462" s="40" t="n">
        <v>100</v>
      </c>
      <c r="J462" s="40" t="n">
        <v>0</v>
      </c>
      <c r="K462" s="46" t="n">
        <v>-100</v>
      </c>
      <c r="L462" s="40" t="n">
        <v>0</v>
      </c>
      <c r="M462" s="40" t="n">
        <v>0</v>
      </c>
      <c r="N462" s="40" t="n">
        <v>0</v>
      </c>
      <c r="O462" s="40" t="n">
        <v>0</v>
      </c>
      <c r="P462" s="40" t="n">
        <v>0</v>
      </c>
      <c r="Q462" s="40" t="n">
        <v>0</v>
      </c>
      <c r="R462" s="47" t="n"/>
      <c r="S462" s="47" t="n"/>
      <c r="T462" s="47" t="n"/>
      <c r="U462" s="47" t="n"/>
      <c r="V462" s="47" t="n"/>
      <c r="W462" s="47" t="n"/>
    </row>
    <row r="463" ht="11.25" customHeight="1">
      <c r="A463" s="30" t="inlineStr">
        <is>
          <t>Itaguai</t>
        </is>
      </c>
      <c r="B463" s="30" t="n">
        <v>77235477</v>
      </c>
      <c r="C463" s="30">
        <f>"04644026000123"</f>
        <v/>
      </c>
      <c r="D463" s="30" t="inlineStr">
        <is>
          <t>ANDRATI COMERCIO E SERVIÇOS EIRELI</t>
        </is>
      </c>
      <c r="E463" s="40" t="n">
        <v>0</v>
      </c>
      <c r="F463" s="40" t="n">
        <v>0</v>
      </c>
      <c r="G463" s="40" t="n">
        <v>0</v>
      </c>
      <c r="H463" s="40" t="n">
        <v>0</v>
      </c>
      <c r="I463" s="40" t="n">
        <v>0</v>
      </c>
      <c r="J463" s="40" t="n">
        <v>0</v>
      </c>
      <c r="K463" s="40" t="n">
        <v>0</v>
      </c>
      <c r="L463" s="40" t="n">
        <v>0</v>
      </c>
      <c r="M463" s="40" t="n">
        <v>0</v>
      </c>
      <c r="N463" s="40" t="n">
        <v>0</v>
      </c>
      <c r="O463" s="40" t="n">
        <v>0</v>
      </c>
      <c r="P463" s="40" t="n">
        <v>0</v>
      </c>
      <c r="Q463" s="40" t="n">
        <v>0</v>
      </c>
      <c r="R463" s="47" t="n"/>
      <c r="S463" s="47" t="n"/>
      <c r="T463" s="47" t="n"/>
      <c r="U463" s="47" t="n"/>
      <c r="V463" s="47" t="n"/>
      <c r="W463" s="47" t="n"/>
    </row>
    <row r="464" ht="11.25" customHeight="1">
      <c r="A464" s="30" t="inlineStr">
        <is>
          <t>Itaguai</t>
        </is>
      </c>
      <c r="B464" s="30" t="n">
        <v>77238182</v>
      </c>
      <c r="C464" s="30">
        <f>"04206050004410"</f>
        <v/>
      </c>
      <c r="D464" s="30" t="inlineStr">
        <is>
          <t>TIM CELULAR S/A</t>
        </is>
      </c>
      <c r="E464" s="40" t="n">
        <v>4712834.47</v>
      </c>
      <c r="F464" s="40" t="n">
        <v>3994787.59</v>
      </c>
      <c r="G464" s="46" t="n">
        <v>-15.24</v>
      </c>
      <c r="H464" s="40" t="n">
        <v>0</v>
      </c>
      <c r="I464" s="46" t="n">
        <v>-100</v>
      </c>
      <c r="J464" s="40" t="n">
        <v>0</v>
      </c>
      <c r="K464" s="40" t="n">
        <v>0</v>
      </c>
      <c r="L464" s="40" t="n">
        <v>0</v>
      </c>
      <c r="M464" s="40" t="n">
        <v>0</v>
      </c>
      <c r="N464" s="40" t="n">
        <v>0</v>
      </c>
      <c r="O464" s="40" t="n">
        <v>0</v>
      </c>
      <c r="P464" s="40" t="n">
        <v>0</v>
      </c>
      <c r="Q464" s="40" t="n">
        <v>0</v>
      </c>
      <c r="R464" s="47" t="n"/>
      <c r="S464" s="47" t="n"/>
      <c r="T464" s="47" t="n"/>
      <c r="U464" s="47" t="n"/>
      <c r="V464" s="47" t="n"/>
      <c r="W464" s="47" t="n"/>
    </row>
    <row r="465" ht="11.25" customHeight="1">
      <c r="A465" s="30" t="inlineStr">
        <is>
          <t>Itaguai</t>
        </is>
      </c>
      <c r="B465" s="30" t="n">
        <v>77269576</v>
      </c>
      <c r="C465" s="30">
        <f>"04567423000149"</f>
        <v/>
      </c>
      <c r="D465" s="30" t="inlineStr">
        <is>
          <t>J V CURUMIM MATERIAL DE CONSTRUCAO LTDA</t>
        </is>
      </c>
      <c r="E465" s="40" t="n">
        <v>81998.02</v>
      </c>
      <c r="F465" s="40" t="n">
        <v>0</v>
      </c>
      <c r="G465" s="46" t="n">
        <v>-100</v>
      </c>
      <c r="H465" s="40" t="n">
        <v>0</v>
      </c>
      <c r="I465" s="40" t="n">
        <v>0</v>
      </c>
      <c r="J465" s="40" t="n">
        <v>0</v>
      </c>
      <c r="K465" s="40" t="n">
        <v>0</v>
      </c>
      <c r="L465" s="40" t="n">
        <v>0</v>
      </c>
      <c r="M465" s="40" t="n">
        <v>0</v>
      </c>
      <c r="N465" s="40" t="n">
        <v>0</v>
      </c>
      <c r="O465" s="40" t="n">
        <v>0</v>
      </c>
      <c r="P465" s="40" t="n">
        <v>0</v>
      </c>
      <c r="Q465" s="40" t="n">
        <v>0</v>
      </c>
      <c r="R465" s="47" t="n"/>
      <c r="S465" s="47" t="n"/>
      <c r="T465" s="47" t="n"/>
      <c r="U465" s="47" t="n"/>
      <c r="V465" s="47" t="n"/>
      <c r="W465" s="47" t="n"/>
    </row>
    <row r="466" ht="11.25" customHeight="1">
      <c r="A466" s="30" t="inlineStr">
        <is>
          <t>Itaguai</t>
        </is>
      </c>
      <c r="B466" s="30" t="n">
        <v>77272666</v>
      </c>
      <c r="C466" s="30">
        <f>"33042730000880"</f>
        <v/>
      </c>
      <c r="D466" s="30" t="inlineStr">
        <is>
          <t>COMPANHIA SIDERURGICA NACIONAL</t>
        </is>
      </c>
      <c r="E466" s="40" t="n">
        <v>244771686.66</v>
      </c>
      <c r="F466" s="40" t="n">
        <v>126281719.2</v>
      </c>
      <c r="G466" s="46" t="n">
        <v>-48.41</v>
      </c>
      <c r="H466" s="40" t="n">
        <v>0</v>
      </c>
      <c r="I466" s="46" t="n">
        <v>-100</v>
      </c>
      <c r="J466" s="40" t="n">
        <v>19761346.28</v>
      </c>
      <c r="K466" s="40" t="n">
        <v>100</v>
      </c>
      <c r="L466" s="40" t="n">
        <v>0</v>
      </c>
      <c r="M466" s="46" t="n">
        <v>-100</v>
      </c>
      <c r="N466" s="40" t="n">
        <v>26423952.54</v>
      </c>
      <c r="O466" s="40" t="n">
        <v>100</v>
      </c>
      <c r="P466" s="40" t="n">
        <v>66063439.72</v>
      </c>
      <c r="Q466" s="40" t="n">
        <v>150.01</v>
      </c>
      <c r="R466" s="47" t="n"/>
      <c r="S466" s="47" t="n"/>
      <c r="T466" s="47" t="n"/>
      <c r="U466" s="47" t="n"/>
      <c r="V466" s="47" t="n"/>
      <c r="W466" s="47" t="n"/>
    </row>
    <row r="467" ht="11.25" customHeight="1">
      <c r="A467" s="30" t="inlineStr">
        <is>
          <t>Itaguai</t>
        </is>
      </c>
      <c r="B467" s="30" t="n">
        <v>77280707</v>
      </c>
      <c r="C467" s="30">
        <f>"04676236000101"</f>
        <v/>
      </c>
      <c r="D467" s="30" t="inlineStr">
        <is>
          <t>MINERACAO SANTA LUZIA DE ITAGUAI LTDA</t>
        </is>
      </c>
      <c r="E467" s="40" t="n">
        <v>10409415.57</v>
      </c>
      <c r="F467" s="40" t="n">
        <v>12369199.77</v>
      </c>
      <c r="G467" s="40" t="n">
        <v>18.83</v>
      </c>
      <c r="H467" s="40" t="n">
        <v>11177816.3</v>
      </c>
      <c r="I467" s="46" t="n">
        <v>-9.630000000000001</v>
      </c>
      <c r="J467" s="40" t="n">
        <v>17139486.2</v>
      </c>
      <c r="K467" s="40" t="n">
        <v>53.33</v>
      </c>
      <c r="L467" s="40" t="n">
        <v>26778441.92</v>
      </c>
      <c r="M467" s="40" t="n">
        <v>56.24</v>
      </c>
      <c r="N467" s="40" t="n">
        <v>49405923.95</v>
      </c>
      <c r="O467" s="40" t="n">
        <v>84.5</v>
      </c>
      <c r="P467" s="40" t="n">
        <v>53354119.67</v>
      </c>
      <c r="Q467" s="40" t="n">
        <v>7.99</v>
      </c>
      <c r="R467" s="47" t="n"/>
      <c r="S467" s="47" t="n"/>
      <c r="T467" s="47" t="n"/>
      <c r="U467" s="47" t="n"/>
      <c r="V467" s="47" t="n"/>
      <c r="W467" s="47" t="n"/>
    </row>
    <row r="468" ht="11.25" customHeight="1">
      <c r="A468" s="30" t="inlineStr">
        <is>
          <t>Itaguai</t>
        </is>
      </c>
      <c r="B468" s="30" t="n">
        <v>77290028</v>
      </c>
      <c r="C468" s="30">
        <f>"03341775000461"</f>
        <v/>
      </c>
      <c r="D468" s="30" t="inlineStr">
        <is>
          <t>TRANSPORTES MOBILINE LTDA</t>
        </is>
      </c>
      <c r="E468" s="40" t="n">
        <v>95</v>
      </c>
      <c r="F468" s="40" t="n">
        <v>95.05</v>
      </c>
      <c r="G468" s="40" t="n">
        <v>0.05</v>
      </c>
      <c r="H468" s="40" t="n">
        <v>0.05</v>
      </c>
      <c r="I468" s="46" t="n">
        <v>-99.95</v>
      </c>
      <c r="J468" s="40" t="n">
        <v>240</v>
      </c>
      <c r="K468" s="40" t="n">
        <v>479900</v>
      </c>
      <c r="L468" s="40" t="n">
        <v>302.65</v>
      </c>
      <c r="M468" s="40" t="n">
        <v>26.1</v>
      </c>
      <c r="N468" s="40" t="n">
        <v>0</v>
      </c>
      <c r="O468" s="46" t="n">
        <v>-100</v>
      </c>
      <c r="P468" s="40" t="n">
        <v>0</v>
      </c>
      <c r="Q468" s="40" t="n">
        <v>0</v>
      </c>
      <c r="R468" s="47" t="n"/>
      <c r="S468" s="47" t="n"/>
      <c r="T468" s="47" t="n"/>
      <c r="U468" s="47" t="n"/>
      <c r="V468" s="47" t="n"/>
      <c r="W468" s="47" t="n"/>
    </row>
    <row r="469" ht="11.25" customHeight="1">
      <c r="A469" s="30" t="inlineStr">
        <is>
          <t>Itaguai</t>
        </is>
      </c>
      <c r="B469" s="30" t="n">
        <v>77310550</v>
      </c>
      <c r="C469" s="30">
        <f>"04850539000190"</f>
        <v/>
      </c>
      <c r="D469" s="30" t="inlineStr">
        <is>
          <t>HERMINIO COMERCIO E LOCACAO DE VEICULOS LTDA ME</t>
        </is>
      </c>
      <c r="E469" s="40" t="n">
        <v>158101.72</v>
      </c>
      <c r="F469" s="40" t="n">
        <v>37744.65</v>
      </c>
      <c r="G469" s="46" t="n">
        <v>-76.13</v>
      </c>
      <c r="H469" s="40" t="n">
        <v>0</v>
      </c>
      <c r="I469" s="46" t="n">
        <v>-100</v>
      </c>
      <c r="J469" s="40" t="n">
        <v>730470</v>
      </c>
      <c r="K469" s="40" t="n">
        <v>100</v>
      </c>
      <c r="L469" s="40" t="n">
        <v>280320.64</v>
      </c>
      <c r="M469" s="46" t="n">
        <v>-61.62</v>
      </c>
      <c r="N469" s="40" t="n">
        <v>3658278</v>
      </c>
      <c r="O469" s="40" t="n">
        <v>1205.03</v>
      </c>
      <c r="P469" s="40" t="n">
        <v>0</v>
      </c>
      <c r="Q469" s="46" t="n">
        <v>-100</v>
      </c>
      <c r="R469" s="47" t="n"/>
      <c r="S469" s="47" t="n"/>
      <c r="T469" s="47" t="n"/>
      <c r="U469" s="47" t="n"/>
      <c r="V469" s="47" t="n"/>
      <c r="W469" s="47" t="n"/>
    </row>
    <row r="470" ht="11.25" customHeight="1">
      <c r="A470" s="30" t="inlineStr">
        <is>
          <t>Itaguai</t>
        </is>
      </c>
      <c r="B470" s="30" t="n">
        <v>77322167</v>
      </c>
      <c r="C470" s="30">
        <f>"65293383001584"</f>
        <v/>
      </c>
      <c r="D470" s="30" t="inlineStr">
        <is>
          <t>TRANSNORTE CARGAS E ENCOMENDAS LTDA</t>
        </is>
      </c>
      <c r="E470" s="40" t="n">
        <v>0</v>
      </c>
      <c r="F470" s="40" t="n">
        <v>3922.45</v>
      </c>
      <c r="G470" s="40" t="n">
        <v>100</v>
      </c>
      <c r="H470" s="40" t="n">
        <v>3196.15</v>
      </c>
      <c r="I470" s="46" t="n">
        <v>-18.52</v>
      </c>
      <c r="J470" s="40" t="n">
        <v>0</v>
      </c>
      <c r="K470" s="46" t="n">
        <v>-100</v>
      </c>
      <c r="L470" s="40" t="n">
        <v>0</v>
      </c>
      <c r="M470" s="40" t="n">
        <v>0</v>
      </c>
      <c r="N470" s="40" t="n">
        <v>0</v>
      </c>
      <c r="O470" s="40" t="n">
        <v>0</v>
      </c>
      <c r="P470" s="40" t="n">
        <v>0</v>
      </c>
      <c r="Q470" s="40" t="n">
        <v>0</v>
      </c>
      <c r="R470" s="47" t="n"/>
      <c r="S470" s="47" t="n"/>
      <c r="T470" s="47" t="n"/>
      <c r="U470" s="47" t="n"/>
      <c r="V470" s="47" t="n"/>
      <c r="W470" s="47" t="n"/>
    </row>
    <row r="471" ht="11.25" customHeight="1">
      <c r="A471" s="30" t="inlineStr">
        <is>
          <t>Itaguai</t>
        </is>
      </c>
      <c r="B471" s="30" t="n">
        <v>77339531</v>
      </c>
      <c r="C471" s="30">
        <f>"04970037000101"</f>
        <v/>
      </c>
      <c r="D471" s="30" t="inlineStr">
        <is>
          <t>M &amp; R DE ITAGUAI NAUTICA LTDA ME</t>
        </is>
      </c>
      <c r="E471" s="40" t="n">
        <v>0</v>
      </c>
      <c r="F471" s="40" t="n">
        <v>0</v>
      </c>
      <c r="G471" s="40" t="n">
        <v>0</v>
      </c>
      <c r="H471" s="40" t="n">
        <v>0</v>
      </c>
      <c r="I471" s="40" t="n">
        <v>0</v>
      </c>
      <c r="J471" s="40" t="n">
        <v>28676.54</v>
      </c>
      <c r="K471" s="40" t="n">
        <v>100</v>
      </c>
      <c r="L471" s="40" t="n">
        <v>74142.64</v>
      </c>
      <c r="M471" s="40" t="n">
        <v>158.55</v>
      </c>
      <c r="N471" s="40" t="n">
        <v>136685.2</v>
      </c>
      <c r="O471" s="40" t="n">
        <v>84.34999999999999</v>
      </c>
      <c r="P471" s="40" t="n">
        <v>171269.9</v>
      </c>
      <c r="Q471" s="40" t="n">
        <v>25.3</v>
      </c>
      <c r="R471" s="47" t="n"/>
      <c r="S471" s="47" t="n"/>
      <c r="T471" s="47" t="n"/>
      <c r="U471" s="47" t="n"/>
      <c r="V471" s="47" t="n"/>
      <c r="W471" s="47" t="n"/>
    </row>
    <row r="472" ht="11.25" customHeight="1">
      <c r="A472" s="30" t="inlineStr">
        <is>
          <t>Itaguai</t>
        </is>
      </c>
      <c r="B472" s="30" t="n">
        <v>77346015</v>
      </c>
      <c r="C472" s="30">
        <f>"81382525000483"</f>
        <v/>
      </c>
      <c r="D472" s="30" t="inlineStr">
        <is>
          <t>SUL CONTINENTAL TRANSPORTES LTDA</t>
        </is>
      </c>
      <c r="E472" s="40" t="n">
        <v>0</v>
      </c>
      <c r="F472" s="40" t="n">
        <v>0</v>
      </c>
      <c r="G472" s="40" t="n">
        <v>0</v>
      </c>
      <c r="H472" s="40" t="n">
        <v>0</v>
      </c>
      <c r="I472" s="40" t="n">
        <v>0</v>
      </c>
      <c r="J472" s="40" t="n">
        <v>0</v>
      </c>
      <c r="K472" s="40" t="n">
        <v>0</v>
      </c>
      <c r="L472" s="40" t="n">
        <v>0</v>
      </c>
      <c r="M472" s="40" t="n">
        <v>0</v>
      </c>
      <c r="N472" s="40" t="n">
        <v>0</v>
      </c>
      <c r="O472" s="40" t="n">
        <v>0</v>
      </c>
      <c r="P472" s="40" t="n">
        <v>0</v>
      </c>
      <c r="Q472" s="40" t="n">
        <v>0</v>
      </c>
      <c r="R472" s="47" t="n"/>
      <c r="S472" s="47" t="n"/>
      <c r="T472" s="47" t="n"/>
      <c r="U472" s="47" t="n"/>
      <c r="V472" s="47" t="n"/>
      <c r="W472" s="47" t="n"/>
    </row>
    <row r="473" ht="11.25" customHeight="1">
      <c r="A473" s="30" t="inlineStr">
        <is>
          <t>Itaguai</t>
        </is>
      </c>
      <c r="B473" s="30" t="n">
        <v>77346090</v>
      </c>
      <c r="C473" s="30">
        <f>"60395126000649"</f>
        <v/>
      </c>
      <c r="D473" s="30" t="inlineStr">
        <is>
          <t>JARAGUA EQUIPAMENTOS INDUSTRIAIS LTDA - EM RECUPERA??O JUDICIAL</t>
        </is>
      </c>
      <c r="E473" s="40" t="n">
        <v>0</v>
      </c>
      <c r="F473" s="40" t="n">
        <v>0</v>
      </c>
      <c r="G473" s="40" t="n">
        <v>0</v>
      </c>
      <c r="H473" s="40" t="n">
        <v>0</v>
      </c>
      <c r="I473" s="40" t="n">
        <v>0</v>
      </c>
      <c r="J473" s="40" t="n">
        <v>0</v>
      </c>
      <c r="K473" s="40" t="n">
        <v>0</v>
      </c>
      <c r="L473" s="40" t="n">
        <v>0</v>
      </c>
      <c r="M473" s="40" t="n">
        <v>0</v>
      </c>
      <c r="N473" s="40" t="n">
        <v>0</v>
      </c>
      <c r="O473" s="40" t="n">
        <v>0</v>
      </c>
      <c r="P473" s="40" t="n">
        <v>0</v>
      </c>
      <c r="Q473" s="40" t="n">
        <v>0</v>
      </c>
      <c r="R473" s="47" t="n"/>
      <c r="S473" s="47" t="n"/>
      <c r="T473" s="47" t="n"/>
      <c r="U473" s="47" t="n"/>
      <c r="V473" s="47" t="n"/>
      <c r="W473" s="47" t="n"/>
    </row>
    <row r="474" ht="11.25" customHeight="1">
      <c r="A474" s="30" t="inlineStr">
        <is>
          <t>Itaguai</t>
        </is>
      </c>
      <c r="B474" s="30" t="n">
        <v>77357467</v>
      </c>
      <c r="C474" s="30">
        <f>"05041164000180"</f>
        <v/>
      </c>
      <c r="D474" s="30" t="inlineStr">
        <is>
          <t>UNIMODAL RIO LTDA</t>
        </is>
      </c>
      <c r="E474" s="40" t="n">
        <v>0</v>
      </c>
      <c r="F474" s="40" t="n">
        <v>3592.01</v>
      </c>
      <c r="G474" s="40" t="n">
        <v>100</v>
      </c>
      <c r="H474" s="40" t="n">
        <v>2116.69</v>
      </c>
      <c r="I474" s="46" t="n">
        <v>-41.07</v>
      </c>
      <c r="J474" s="40" t="n">
        <v>0</v>
      </c>
      <c r="K474" s="46" t="n">
        <v>-100</v>
      </c>
      <c r="L474" s="40" t="n">
        <v>135871.55</v>
      </c>
      <c r="M474" s="40" t="n">
        <v>100</v>
      </c>
      <c r="N474" s="40" t="n">
        <v>36596.25</v>
      </c>
      <c r="O474" s="46" t="n">
        <v>-73.06999999999999</v>
      </c>
      <c r="P474" s="40" t="n">
        <v>0</v>
      </c>
      <c r="Q474" s="46" t="n">
        <v>-100</v>
      </c>
      <c r="R474" s="47" t="n"/>
      <c r="S474" s="47" t="n"/>
      <c r="T474" s="47" t="n"/>
      <c r="U474" s="47" t="n"/>
      <c r="V474" s="47" t="n"/>
      <c r="W474" s="47" t="n"/>
    </row>
    <row r="475" ht="11.25" customHeight="1">
      <c r="A475" s="30" t="inlineStr">
        <is>
          <t>Itaguai</t>
        </is>
      </c>
      <c r="B475" s="30" t="n">
        <v>77365117</v>
      </c>
      <c r="C475" s="30">
        <f>"05014171000193"</f>
        <v/>
      </c>
      <c r="D475" s="30" t="inlineStr">
        <is>
          <t>A D G DE JESUS TRANSPORTES LTDA</t>
        </is>
      </c>
      <c r="E475" s="40" t="n">
        <v>1959777.8</v>
      </c>
      <c r="F475" s="40" t="n">
        <v>988632.98</v>
      </c>
      <c r="G475" s="46" t="n">
        <v>-49.55</v>
      </c>
      <c r="H475" s="40" t="n">
        <v>398622</v>
      </c>
      <c r="I475" s="46" t="n">
        <v>-59.68</v>
      </c>
      <c r="J475" s="40" t="n">
        <v>233181.01</v>
      </c>
      <c r="K475" s="46" t="n">
        <v>-41.5</v>
      </c>
      <c r="L475" s="40" t="n">
        <v>117666.76</v>
      </c>
      <c r="M475" s="46" t="n">
        <v>-49.54</v>
      </c>
      <c r="N475" s="40" t="n">
        <v>0</v>
      </c>
      <c r="O475" s="46" t="n">
        <v>-100</v>
      </c>
      <c r="P475" s="40" t="n">
        <v>0</v>
      </c>
      <c r="Q475" s="40" t="n">
        <v>0</v>
      </c>
      <c r="R475" s="47" t="n"/>
      <c r="S475" s="47" t="n"/>
      <c r="T475" s="47" t="n"/>
      <c r="U475" s="47" t="n"/>
      <c r="V475" s="47" t="n"/>
      <c r="W475" s="47" t="n"/>
    </row>
    <row r="476" ht="11.25" customHeight="1">
      <c r="A476" s="30" t="inlineStr">
        <is>
          <t>Itaguai</t>
        </is>
      </c>
      <c r="B476" s="30" t="n">
        <v>77372741</v>
      </c>
      <c r="C476" s="30">
        <f>"05095704000109"</f>
        <v/>
      </c>
      <c r="D476" s="30" t="inlineStr">
        <is>
          <t>MALUPA COMERCIO DE ROUPAS LTDA ME</t>
        </is>
      </c>
      <c r="E476" s="40" t="n">
        <v>0</v>
      </c>
      <c r="F476" s="40" t="n">
        <v>0</v>
      </c>
      <c r="G476" s="40" t="n">
        <v>0</v>
      </c>
      <c r="H476" s="40" t="n">
        <v>0</v>
      </c>
      <c r="I476" s="40" t="n">
        <v>0</v>
      </c>
      <c r="J476" s="40" t="n">
        <v>0</v>
      </c>
      <c r="K476" s="40" t="n">
        <v>0</v>
      </c>
      <c r="L476" s="40" t="n">
        <v>0</v>
      </c>
      <c r="M476" s="40" t="n">
        <v>0</v>
      </c>
      <c r="N476" s="40" t="n">
        <v>0</v>
      </c>
      <c r="O476" s="40" t="n">
        <v>0</v>
      </c>
      <c r="P476" s="40" t="n">
        <v>0</v>
      </c>
      <c r="Q476" s="40" t="n">
        <v>0</v>
      </c>
      <c r="R476" s="47" t="n"/>
      <c r="S476" s="47" t="n"/>
      <c r="T476" s="47" t="n"/>
      <c r="U476" s="47" t="n"/>
      <c r="V476" s="47" t="n"/>
      <c r="W476" s="47" t="n"/>
    </row>
    <row r="477" ht="11.25" customHeight="1">
      <c r="A477" s="30" t="inlineStr">
        <is>
          <t>Itaguai</t>
        </is>
      </c>
      <c r="B477" s="30" t="n">
        <v>77415831</v>
      </c>
      <c r="C477" s="30">
        <f>"05214772000140"</f>
        <v/>
      </c>
      <c r="D477" s="30" t="inlineStr">
        <is>
          <t>RODOLOG TRANSPORTES MULTIMODAIS LTDA</t>
        </is>
      </c>
      <c r="E477" s="40" t="n">
        <v>0</v>
      </c>
      <c r="F477" s="40" t="n">
        <v>0</v>
      </c>
      <c r="G477" s="40" t="n">
        <v>0</v>
      </c>
      <c r="H477" s="40" t="n">
        <v>0</v>
      </c>
      <c r="I477" s="40" t="n">
        <v>0</v>
      </c>
      <c r="J477" s="40" t="n">
        <v>291.76</v>
      </c>
      <c r="K477" s="40" t="n">
        <v>100</v>
      </c>
      <c r="L477" s="40" t="n">
        <v>0</v>
      </c>
      <c r="M477" s="46" t="n">
        <v>-100</v>
      </c>
      <c r="N477" s="40" t="n">
        <v>0</v>
      </c>
      <c r="O477" s="40" t="n">
        <v>0</v>
      </c>
      <c r="P477" s="40" t="n">
        <v>0</v>
      </c>
      <c r="Q477" s="40" t="n">
        <v>0</v>
      </c>
      <c r="R477" s="47" t="n"/>
      <c r="S477" s="47" t="n"/>
      <c r="T477" s="47" t="n"/>
      <c r="U477" s="47" t="n"/>
      <c r="V477" s="47" t="n"/>
      <c r="W477" s="47" t="n"/>
    </row>
    <row r="478" ht="11.25" customHeight="1">
      <c r="A478" s="30" t="inlineStr">
        <is>
          <t>Itaguai</t>
        </is>
      </c>
      <c r="B478" s="30" t="n">
        <v>77421718</v>
      </c>
      <c r="C478" s="30">
        <f>"01014373000508"</f>
        <v/>
      </c>
      <c r="D478" s="30" t="inlineStr">
        <is>
          <t>AEROSOFT CARGAS AEREAS LTDA</t>
        </is>
      </c>
      <c r="E478" s="40" t="n">
        <v>0</v>
      </c>
      <c r="F478" s="40" t="n">
        <v>0</v>
      </c>
      <c r="G478" s="40" t="n">
        <v>0</v>
      </c>
      <c r="H478" s="40" t="n">
        <v>1236.75</v>
      </c>
      <c r="I478" s="40" t="n">
        <v>100</v>
      </c>
      <c r="J478" s="40" t="n">
        <v>3478.1</v>
      </c>
      <c r="K478" s="40" t="n">
        <v>181.23</v>
      </c>
      <c r="L478" s="40" t="n">
        <v>1752.81</v>
      </c>
      <c r="M478" s="46" t="n">
        <v>-49.6</v>
      </c>
      <c r="N478" s="40" t="n">
        <v>1842.64</v>
      </c>
      <c r="O478" s="40" t="n">
        <v>5.12</v>
      </c>
      <c r="P478" s="40" t="n">
        <v>3251.91</v>
      </c>
      <c r="Q478" s="40" t="n">
        <v>76.48</v>
      </c>
      <c r="R478" s="47" t="n"/>
      <c r="S478" s="47" t="n"/>
      <c r="T478" s="47" t="n"/>
      <c r="U478" s="47" t="n"/>
      <c r="V478" s="47" t="n"/>
      <c r="W478" s="47" t="n"/>
    </row>
    <row r="479" ht="11.25" customHeight="1">
      <c r="A479" s="30" t="inlineStr">
        <is>
          <t>Itaguai</t>
        </is>
      </c>
      <c r="B479" s="30" t="n">
        <v>77443673</v>
      </c>
      <c r="C479" s="30">
        <f>"05294609000134"</f>
        <v/>
      </c>
      <c r="D479" s="30" t="inlineStr">
        <is>
          <t>ZIRANLOG ARMAZENS GERAIS E TRANSPORTES EIRELI</t>
        </is>
      </c>
      <c r="E479" s="40" t="n">
        <v>0</v>
      </c>
      <c r="F479" s="40" t="n">
        <v>0</v>
      </c>
      <c r="G479" s="40" t="n">
        <v>0</v>
      </c>
      <c r="H479" s="40" t="n">
        <v>2921781.2</v>
      </c>
      <c r="I479" s="40" t="n">
        <v>100</v>
      </c>
      <c r="J479" s="40" t="n">
        <v>1320970.22</v>
      </c>
      <c r="K479" s="46" t="n">
        <v>-54.79</v>
      </c>
      <c r="L479" s="40" t="n">
        <v>672301.11</v>
      </c>
      <c r="M479" s="46" t="n">
        <v>-49.11</v>
      </c>
      <c r="N479" s="40" t="n">
        <v>835788.6899999999</v>
      </c>
      <c r="O479" s="40" t="n">
        <v>24.32</v>
      </c>
      <c r="P479" s="40" t="n">
        <v>426154.86</v>
      </c>
      <c r="Q479" s="46" t="n">
        <v>-49.01</v>
      </c>
      <c r="R479" s="47" t="n"/>
      <c r="S479" s="47" t="n"/>
      <c r="T479" s="47" t="n"/>
      <c r="U479" s="47" t="n"/>
      <c r="V479" s="47" t="n"/>
      <c r="W479" s="47" t="n"/>
    </row>
    <row r="480" ht="11.25" customHeight="1">
      <c r="A480" s="30" t="inlineStr">
        <is>
          <t>Itaguai</t>
        </is>
      </c>
      <c r="B480" s="30" t="n">
        <v>77452443</v>
      </c>
      <c r="C480" s="30">
        <f>"02558157001487"</f>
        <v/>
      </c>
      <c r="D480" s="30" t="inlineStr">
        <is>
          <t>TELEFONICA BRASIL S.A.</t>
        </is>
      </c>
      <c r="E480" s="40" t="n">
        <v>13628755.25</v>
      </c>
      <c r="F480" s="40" t="n">
        <v>11667066.24</v>
      </c>
      <c r="G480" s="46" t="n">
        <v>-14.39</v>
      </c>
      <c r="H480" s="40" t="n">
        <v>11023288.69</v>
      </c>
      <c r="I480" s="46" t="n">
        <v>-5.52</v>
      </c>
      <c r="J480" s="40" t="n">
        <v>10308735.51</v>
      </c>
      <c r="K480" s="46" t="n">
        <v>-6.48</v>
      </c>
      <c r="L480" s="40" t="n">
        <v>12581655.2</v>
      </c>
      <c r="M480" s="40" t="n">
        <v>22.05</v>
      </c>
      <c r="N480" s="40" t="n">
        <v>12401948.73</v>
      </c>
      <c r="O480" s="46" t="n">
        <v>-1.43</v>
      </c>
      <c r="P480" s="40" t="n">
        <v>11762705.46</v>
      </c>
      <c r="Q480" s="46" t="n">
        <v>-5.15</v>
      </c>
      <c r="R480" s="47" t="n"/>
      <c r="S480" s="47" t="n"/>
      <c r="T480" s="47" t="n"/>
      <c r="U480" s="47" t="n"/>
      <c r="V480" s="47" t="n"/>
      <c r="W480" s="47" t="n"/>
    </row>
    <row r="481" ht="11.25" customHeight="1">
      <c r="A481" s="30" t="inlineStr">
        <is>
          <t>Itaguai</t>
        </is>
      </c>
      <c r="B481" s="30" t="n">
        <v>77477659</v>
      </c>
      <c r="C481" s="30">
        <f>"02085838000231"</f>
        <v/>
      </c>
      <c r="D481" s="30" t="inlineStr">
        <is>
          <t>RODO CARGO ENCOMENDAS URGENTES LTDA</t>
        </is>
      </c>
      <c r="E481" s="40" t="n">
        <v>0</v>
      </c>
      <c r="F481" s="40" t="n">
        <v>0</v>
      </c>
      <c r="G481" s="40" t="n">
        <v>0</v>
      </c>
      <c r="H481" s="40" t="n">
        <v>0</v>
      </c>
      <c r="I481" s="40" t="n">
        <v>0</v>
      </c>
      <c r="J481" s="40" t="n">
        <v>175.48</v>
      </c>
      <c r="K481" s="40" t="n">
        <v>100</v>
      </c>
      <c r="L481" s="40" t="n">
        <v>202.09</v>
      </c>
      <c r="M481" s="40" t="n">
        <v>15.16</v>
      </c>
      <c r="N481" s="40" t="n">
        <v>66.03</v>
      </c>
      <c r="O481" s="46" t="n">
        <v>-67.33</v>
      </c>
      <c r="P481" s="40" t="n">
        <v>268.22</v>
      </c>
      <c r="Q481" s="40" t="n">
        <v>306.21</v>
      </c>
      <c r="R481" s="47" t="n"/>
      <c r="S481" s="47" t="n"/>
      <c r="T481" s="47" t="n"/>
      <c r="U481" s="47" t="n"/>
      <c r="V481" s="47" t="n"/>
      <c r="W481" s="47" t="n"/>
    </row>
    <row r="482" ht="11.25" customHeight="1">
      <c r="A482" s="30" t="inlineStr">
        <is>
          <t>Itaguai</t>
        </is>
      </c>
      <c r="B482" s="30" t="n">
        <v>77481087</v>
      </c>
      <c r="C482" s="30">
        <f>"03094658001170"</f>
        <v/>
      </c>
      <c r="D482" s="30" t="inlineStr">
        <is>
          <t>GEFCO LOGISTICA DO BRASIL LTDA</t>
        </is>
      </c>
      <c r="E482" s="40" t="n">
        <v>0</v>
      </c>
      <c r="F482" s="40" t="n">
        <v>0</v>
      </c>
      <c r="G482" s="40" t="n">
        <v>0</v>
      </c>
      <c r="H482" s="40" t="n">
        <v>0</v>
      </c>
      <c r="I482" s="40" t="n">
        <v>0</v>
      </c>
      <c r="J482" s="40" t="n">
        <v>0</v>
      </c>
      <c r="K482" s="40" t="n">
        <v>0</v>
      </c>
      <c r="L482" s="40" t="n">
        <v>0</v>
      </c>
      <c r="M482" s="40" t="n">
        <v>0</v>
      </c>
      <c r="N482" s="40" t="n">
        <v>0</v>
      </c>
      <c r="O482" s="40" t="n">
        <v>0</v>
      </c>
      <c r="P482" s="40" t="n">
        <v>0</v>
      </c>
      <c r="Q482" s="40" t="n">
        <v>0</v>
      </c>
      <c r="R482" s="47" t="n"/>
      <c r="S482" s="47" t="n"/>
      <c r="T482" s="47" t="n"/>
      <c r="U482" s="47" t="n"/>
      <c r="V482" s="47" t="n"/>
      <c r="W482" s="47" t="n"/>
    </row>
    <row r="483" ht="11.25" customHeight="1">
      <c r="A483" s="30" t="inlineStr">
        <is>
          <t>Itaguai</t>
        </is>
      </c>
      <c r="B483" s="30" t="n">
        <v>77483594</v>
      </c>
      <c r="C483" s="30">
        <f>"01988184000293"</f>
        <v/>
      </c>
      <c r="D483" s="30" t="inlineStr">
        <is>
          <t>OBORN EXPEDITION VESTUARIO EIRELI EPP</t>
        </is>
      </c>
      <c r="E483" s="40" t="n">
        <v>0</v>
      </c>
      <c r="F483" s="40" t="n">
        <v>0</v>
      </c>
      <c r="G483" s="40" t="n">
        <v>0</v>
      </c>
      <c r="H483" s="40" t="n">
        <v>0</v>
      </c>
      <c r="I483" s="40" t="n">
        <v>0</v>
      </c>
      <c r="J483" s="40" t="n">
        <v>0</v>
      </c>
      <c r="K483" s="40" t="n">
        <v>0</v>
      </c>
      <c r="L483" s="40" t="n">
        <v>0</v>
      </c>
      <c r="M483" s="40" t="n">
        <v>0</v>
      </c>
      <c r="N483" s="40" t="n">
        <v>0</v>
      </c>
      <c r="O483" s="40" t="n">
        <v>0</v>
      </c>
      <c r="P483" s="40" t="n">
        <v>0</v>
      </c>
      <c r="Q483" s="40" t="n">
        <v>0</v>
      </c>
      <c r="R483" s="47" t="n"/>
      <c r="S483" s="47" t="n"/>
      <c r="T483" s="47" t="n"/>
      <c r="U483" s="47" t="n"/>
      <c r="V483" s="47" t="n"/>
      <c r="W483" s="47" t="n"/>
    </row>
    <row r="484" ht="11.25" customHeight="1">
      <c r="A484" s="30" t="inlineStr">
        <is>
          <t>Itaguai</t>
        </is>
      </c>
      <c r="B484" s="30" t="n">
        <v>77485554</v>
      </c>
      <c r="C484" s="30">
        <f>"44597524000420"</f>
        <v/>
      </c>
      <c r="D484" s="30" t="inlineStr">
        <is>
          <t>TRANSPORTADORA CAPIVARI LTDA</t>
        </is>
      </c>
      <c r="E484" s="40" t="n">
        <v>118.44</v>
      </c>
      <c r="F484" s="40" t="n">
        <v>0</v>
      </c>
      <c r="G484" s="46" t="n">
        <v>-100</v>
      </c>
      <c r="H484" s="40" t="n">
        <v>807.23</v>
      </c>
      <c r="I484" s="40" t="n">
        <v>100</v>
      </c>
      <c r="J484" s="40" t="n">
        <v>0</v>
      </c>
      <c r="K484" s="46" t="n">
        <v>-100</v>
      </c>
      <c r="L484" s="40" t="n">
        <v>0</v>
      </c>
      <c r="M484" s="40" t="n">
        <v>0</v>
      </c>
      <c r="N484" s="40" t="n">
        <v>0</v>
      </c>
      <c r="O484" s="40" t="n">
        <v>0</v>
      </c>
      <c r="P484" s="40" t="n">
        <v>0</v>
      </c>
      <c r="Q484" s="40" t="n">
        <v>0</v>
      </c>
      <c r="R484" s="47" t="n"/>
      <c r="S484" s="47" t="n"/>
      <c r="T484" s="47" t="n"/>
      <c r="U484" s="47" t="n"/>
      <c r="V484" s="47" t="n"/>
      <c r="W484" s="47" t="n"/>
    </row>
    <row r="485" ht="11.25" customHeight="1">
      <c r="A485" s="30" t="inlineStr">
        <is>
          <t>Itaguai</t>
        </is>
      </c>
      <c r="B485" s="30" t="n">
        <v>77514287</v>
      </c>
      <c r="C485" s="30">
        <f>"05513322000158"</f>
        <v/>
      </c>
      <c r="D485" s="30" t="inlineStr">
        <is>
          <t>AGIFLEX METALURGICA LTDA ME</t>
        </is>
      </c>
      <c r="E485" s="40" t="n">
        <v>1082747.81</v>
      </c>
      <c r="F485" s="40" t="n">
        <v>890345.77</v>
      </c>
      <c r="G485" s="46" t="n">
        <v>-17.77</v>
      </c>
      <c r="H485" s="40" t="n">
        <v>752455.95</v>
      </c>
      <c r="I485" s="46" t="n">
        <v>-15.49</v>
      </c>
      <c r="J485" s="40" t="n">
        <v>142974.95</v>
      </c>
      <c r="K485" s="46" t="n">
        <v>-81</v>
      </c>
      <c r="L485" s="40" t="n">
        <v>0</v>
      </c>
      <c r="M485" s="46" t="n">
        <v>-100</v>
      </c>
      <c r="N485" s="40" t="n">
        <v>0</v>
      </c>
      <c r="O485" s="40" t="n">
        <v>0</v>
      </c>
      <c r="P485" s="40" t="n">
        <v>0</v>
      </c>
      <c r="Q485" s="40" t="n">
        <v>0</v>
      </c>
      <c r="R485" s="47" t="n"/>
      <c r="S485" s="47" t="n"/>
      <c r="T485" s="47" t="n"/>
      <c r="U485" s="47" t="n"/>
      <c r="V485" s="47" t="n"/>
      <c r="W485" s="47" t="n"/>
    </row>
    <row r="486" ht="11.25" customHeight="1">
      <c r="A486" s="30" t="inlineStr">
        <is>
          <t>Itaguai</t>
        </is>
      </c>
      <c r="B486" s="30" t="n">
        <v>77522905</v>
      </c>
      <c r="C486" s="30">
        <f>"04833584000137"</f>
        <v/>
      </c>
      <c r="D486" s="30" t="inlineStr">
        <is>
          <t>TRANSMARGOO TURISMO E FRETAMENTO EIRELI</t>
        </is>
      </c>
      <c r="E486" s="40" t="n">
        <v>24650</v>
      </c>
      <c r="F486" s="40" t="n">
        <v>0</v>
      </c>
      <c r="G486" s="46" t="n">
        <v>-100</v>
      </c>
      <c r="H486" s="40" t="n">
        <v>0</v>
      </c>
      <c r="I486" s="40" t="n">
        <v>0</v>
      </c>
      <c r="J486" s="40" t="n">
        <v>0</v>
      </c>
      <c r="K486" s="40" t="n">
        <v>0</v>
      </c>
      <c r="L486" s="40" t="n">
        <v>0</v>
      </c>
      <c r="M486" s="40" t="n">
        <v>0</v>
      </c>
      <c r="N486" s="40" t="n">
        <v>0</v>
      </c>
      <c r="O486" s="40" t="n">
        <v>0</v>
      </c>
      <c r="P486" s="40" t="n">
        <v>0</v>
      </c>
      <c r="Q486" s="40" t="n">
        <v>0</v>
      </c>
      <c r="R486" s="47" t="n"/>
      <c r="S486" s="47" t="n"/>
      <c r="T486" s="47" t="n"/>
      <c r="U486" s="47" t="n"/>
      <c r="V486" s="47" t="n"/>
      <c r="W486" s="47" t="n"/>
    </row>
    <row r="487" ht="11.25" customHeight="1">
      <c r="A487" s="30" t="inlineStr">
        <is>
          <t>Itaguai</t>
        </is>
      </c>
      <c r="B487" s="30" t="n">
        <v>77523197</v>
      </c>
      <c r="C487" s="30">
        <f>"05545986000107"</f>
        <v/>
      </c>
      <c r="D487" s="30" t="inlineStr">
        <is>
          <t>ELETRO NELKA BAZAR E FERRAGENS LTDA</t>
        </is>
      </c>
      <c r="E487" s="40" t="n">
        <v>1888900.43</v>
      </c>
      <c r="F487" s="40" t="n">
        <v>3161524.92</v>
      </c>
      <c r="G487" s="40" t="n">
        <v>67.37</v>
      </c>
      <c r="H487" s="40" t="n">
        <v>3285880.33</v>
      </c>
      <c r="I487" s="40" t="n">
        <v>3.93</v>
      </c>
      <c r="J487" s="40" t="n">
        <v>2371786.08</v>
      </c>
      <c r="K487" s="46" t="n">
        <v>-27.82</v>
      </c>
      <c r="L487" s="40" t="n">
        <v>1120613.27</v>
      </c>
      <c r="M487" s="46" t="n">
        <v>-52.75</v>
      </c>
      <c r="N487" s="40" t="n">
        <v>3645878.75</v>
      </c>
      <c r="O487" s="40" t="n">
        <v>225.35</v>
      </c>
      <c r="P487" s="40" t="n">
        <v>1480785.06</v>
      </c>
      <c r="Q487" s="46" t="n">
        <v>-59.38</v>
      </c>
      <c r="R487" s="47" t="n"/>
      <c r="S487" s="47" t="n"/>
      <c r="T487" s="47" t="n"/>
      <c r="U487" s="47" t="n"/>
      <c r="V487" s="47" t="n"/>
      <c r="W487" s="47" t="n"/>
    </row>
    <row r="488" ht="11.25" customHeight="1">
      <c r="A488" s="30" t="inlineStr">
        <is>
          <t>Itaguai</t>
        </is>
      </c>
      <c r="B488" s="30" t="n">
        <v>77527168</v>
      </c>
      <c r="C488" s="30">
        <f>"05557441000102"</f>
        <v/>
      </c>
      <c r="D488" s="30" t="inlineStr">
        <is>
          <t>FABRIND FABRICACOES INDUSTRIAIS LTDA ME</t>
        </is>
      </c>
      <c r="E488" s="40" t="n">
        <v>0</v>
      </c>
      <c r="F488" s="40" t="n">
        <v>0</v>
      </c>
      <c r="G488" s="40" t="n">
        <v>0</v>
      </c>
      <c r="H488" s="40" t="n">
        <v>0</v>
      </c>
      <c r="I488" s="40" t="n">
        <v>0</v>
      </c>
      <c r="J488" s="40" t="n">
        <v>0</v>
      </c>
      <c r="K488" s="40" t="n">
        <v>0</v>
      </c>
      <c r="L488" s="40" t="n">
        <v>0</v>
      </c>
      <c r="M488" s="40" t="n">
        <v>0</v>
      </c>
      <c r="N488" s="40" t="n">
        <v>0</v>
      </c>
      <c r="O488" s="40" t="n">
        <v>0</v>
      </c>
      <c r="P488" s="40" t="n">
        <v>0</v>
      </c>
      <c r="Q488" s="40" t="n">
        <v>0</v>
      </c>
      <c r="R488" s="47" t="n"/>
      <c r="S488" s="47" t="n"/>
      <c r="T488" s="47" t="n"/>
      <c r="U488" s="47" t="n"/>
      <c r="V488" s="47" t="n"/>
      <c r="W488" s="47" t="n"/>
    </row>
    <row r="489" ht="11.25" customHeight="1">
      <c r="A489" s="30" t="inlineStr">
        <is>
          <t>Itaguai</t>
        </is>
      </c>
      <c r="B489" s="30" t="n">
        <v>77575839</v>
      </c>
      <c r="C489" s="30">
        <f>"26178616000574"</f>
        <v/>
      </c>
      <c r="D489" s="30" t="inlineStr">
        <is>
          <t>EMPREENDIMENTOS RODEIRO S/A</t>
        </is>
      </c>
      <c r="E489" s="40" t="n">
        <v>0</v>
      </c>
      <c r="F489" s="40" t="n">
        <v>0</v>
      </c>
      <c r="G489" s="40" t="n">
        <v>0</v>
      </c>
      <c r="H489" s="40" t="n">
        <v>0</v>
      </c>
      <c r="I489" s="40" t="n">
        <v>0</v>
      </c>
      <c r="J489" s="40" t="n">
        <v>0</v>
      </c>
      <c r="K489" s="40" t="n">
        <v>0</v>
      </c>
      <c r="L489" s="40" t="n">
        <v>0</v>
      </c>
      <c r="M489" s="40" t="n">
        <v>0</v>
      </c>
      <c r="N489" s="40" t="n">
        <v>0</v>
      </c>
      <c r="O489" s="40" t="n">
        <v>0</v>
      </c>
      <c r="P489" s="40" t="n">
        <v>0</v>
      </c>
      <c r="Q489" s="40" t="n">
        <v>0</v>
      </c>
      <c r="R489" s="47" t="n"/>
      <c r="S489" s="47" t="n"/>
      <c r="T489" s="47" t="n"/>
      <c r="U489" s="47" t="n"/>
      <c r="V489" s="47" t="n"/>
      <c r="W489" s="47" t="n"/>
    </row>
    <row r="490" ht="11.25" customHeight="1">
      <c r="A490" s="30" t="inlineStr">
        <is>
          <t>Itaguai</t>
        </is>
      </c>
      <c r="B490" s="30" t="n">
        <v>77594949</v>
      </c>
      <c r="C490" s="30">
        <f>"00650831000370"</f>
        <v/>
      </c>
      <c r="D490" s="30" t="inlineStr">
        <is>
          <t>EFITRANS TRANSPORTES LTDA</t>
        </is>
      </c>
      <c r="E490" s="40" t="n">
        <v>46697.87</v>
      </c>
      <c r="F490" s="40" t="n">
        <v>41741.23</v>
      </c>
      <c r="G490" s="46" t="n">
        <v>-10.61</v>
      </c>
      <c r="H490" s="40" t="n">
        <v>50438.91</v>
      </c>
      <c r="I490" s="40" t="n">
        <v>20.84</v>
      </c>
      <c r="J490" s="40" t="n">
        <v>187987.05</v>
      </c>
      <c r="K490" s="40" t="n">
        <v>272.7</v>
      </c>
      <c r="L490" s="40" t="n">
        <v>27771.88</v>
      </c>
      <c r="M490" s="46" t="n">
        <v>-85.23</v>
      </c>
      <c r="N490" s="40" t="n">
        <v>24404.62</v>
      </c>
      <c r="O490" s="46" t="n">
        <v>-12.12</v>
      </c>
      <c r="P490" s="40" t="n">
        <v>30481.46</v>
      </c>
      <c r="Q490" s="40" t="n">
        <v>24.9</v>
      </c>
      <c r="R490" s="47" t="n"/>
      <c r="S490" s="47" t="n"/>
      <c r="T490" s="47" t="n"/>
      <c r="U490" s="47" t="n"/>
      <c r="V490" s="47" t="n"/>
      <c r="W490" s="47" t="n"/>
    </row>
    <row r="491" ht="11.25" customHeight="1">
      <c r="A491" s="30" t="inlineStr">
        <is>
          <t>Itaguai</t>
        </is>
      </c>
      <c r="B491" s="30" t="n">
        <v>77613129</v>
      </c>
      <c r="C491" s="30">
        <f>"05514580000230"</f>
        <v/>
      </c>
      <c r="D491" s="30" t="inlineStr">
        <is>
          <t>EXPRESSO MONTCAR 2003 LTDA</t>
        </is>
      </c>
      <c r="E491" s="40" t="n">
        <v>3292.15</v>
      </c>
      <c r="F491" s="40" t="n">
        <v>2948.21</v>
      </c>
      <c r="G491" s="46" t="n">
        <v>-10.45</v>
      </c>
      <c r="H491" s="40" t="n">
        <v>1603.39</v>
      </c>
      <c r="I491" s="46" t="n">
        <v>-45.61</v>
      </c>
      <c r="J491" s="40" t="n">
        <v>0</v>
      </c>
      <c r="K491" s="46" t="n">
        <v>-100</v>
      </c>
      <c r="L491" s="40" t="n">
        <v>0</v>
      </c>
      <c r="M491" s="40" t="n">
        <v>0</v>
      </c>
      <c r="N491" s="40" t="n">
        <v>0</v>
      </c>
      <c r="O491" s="40" t="n">
        <v>0</v>
      </c>
      <c r="P491" s="40" t="n">
        <v>0</v>
      </c>
      <c r="Q491" s="40" t="n">
        <v>0</v>
      </c>
      <c r="R491" s="47" t="n"/>
      <c r="S491" s="47" t="n"/>
      <c r="T491" s="47" t="n"/>
      <c r="U491" s="47" t="n"/>
      <c r="V491" s="47" t="n"/>
      <c r="W491" s="47" t="n"/>
    </row>
    <row r="492" ht="11.25" customHeight="1">
      <c r="A492" s="30" t="inlineStr">
        <is>
          <t>Itaguai</t>
        </is>
      </c>
      <c r="B492" s="30" t="n">
        <v>77617698</v>
      </c>
      <c r="C492" s="30">
        <f>"03176032000130"</f>
        <v/>
      </c>
      <c r="D492" s="30" t="inlineStr">
        <is>
          <t>QUICK LOGISTICA LTDA</t>
        </is>
      </c>
      <c r="E492" s="40" t="n">
        <v>0.32</v>
      </c>
      <c r="F492" s="40" t="n">
        <v>0</v>
      </c>
      <c r="G492" s="46" t="n">
        <v>-100</v>
      </c>
      <c r="H492" s="40" t="n">
        <v>0</v>
      </c>
      <c r="I492" s="40" t="n">
        <v>0</v>
      </c>
      <c r="J492" s="40" t="n">
        <v>0</v>
      </c>
      <c r="K492" s="40" t="n">
        <v>0</v>
      </c>
      <c r="L492" s="40" t="n">
        <v>0</v>
      </c>
      <c r="M492" s="40" t="n">
        <v>0</v>
      </c>
      <c r="N492" s="40" t="n">
        <v>0</v>
      </c>
      <c r="O492" s="40" t="n">
        <v>0</v>
      </c>
      <c r="P492" s="40" t="n">
        <v>0</v>
      </c>
      <c r="Q492" s="40" t="n">
        <v>0</v>
      </c>
      <c r="R492" s="47" t="n"/>
      <c r="S492" s="47" t="n"/>
      <c r="T492" s="47" t="n"/>
      <c r="U492" s="47" t="n"/>
      <c r="V492" s="47" t="n"/>
      <c r="W492" s="47" t="n"/>
    </row>
    <row r="493" ht="11.25" customHeight="1">
      <c r="A493" s="30" t="inlineStr">
        <is>
          <t>Itaguai</t>
        </is>
      </c>
      <c r="B493" s="30" t="n">
        <v>77622080</v>
      </c>
      <c r="C493" s="30">
        <f>"05912532000119"</f>
        <v/>
      </c>
      <c r="D493" s="30" t="inlineStr">
        <is>
          <t>MARVIN MATERIAL DE CONSTRUCOES LTDA ME</t>
        </is>
      </c>
      <c r="E493" s="40" t="n">
        <v>0</v>
      </c>
      <c r="F493" s="40" t="n">
        <v>0</v>
      </c>
      <c r="G493" s="40" t="n">
        <v>0</v>
      </c>
      <c r="H493" s="40" t="n">
        <v>0</v>
      </c>
      <c r="I493" s="40" t="n">
        <v>0</v>
      </c>
      <c r="J493" s="40" t="n">
        <v>0</v>
      </c>
      <c r="K493" s="40" t="n">
        <v>0</v>
      </c>
      <c r="L493" s="40" t="n">
        <v>0</v>
      </c>
      <c r="M493" s="40" t="n">
        <v>0</v>
      </c>
      <c r="N493" s="40" t="n">
        <v>0</v>
      </c>
      <c r="O493" s="40" t="n">
        <v>0</v>
      </c>
      <c r="P493" s="40" t="n">
        <v>0</v>
      </c>
      <c r="Q493" s="40" t="n">
        <v>0</v>
      </c>
      <c r="R493" s="47" t="n"/>
      <c r="S493" s="47" t="n"/>
      <c r="T493" s="47" t="n"/>
      <c r="U493" s="47" t="n"/>
      <c r="V493" s="47" t="n"/>
      <c r="W493" s="47" t="n"/>
    </row>
    <row r="494" ht="11.25" customHeight="1">
      <c r="A494" s="30" t="inlineStr">
        <is>
          <t>Itaguai</t>
        </is>
      </c>
      <c r="B494" s="30" t="n">
        <v>77638687</v>
      </c>
      <c r="C494" s="30">
        <f>"60510583004209"</f>
        <v/>
      </c>
      <c r="D494" s="30" t="inlineStr">
        <is>
          <t>RAPIDO 900 DE TRANSPORTES RODOVIARIOS LTDA</t>
        </is>
      </c>
      <c r="E494" s="40" t="n">
        <v>303.95</v>
      </c>
      <c r="F494" s="40" t="n">
        <v>5677.15</v>
      </c>
      <c r="G494" s="40" t="n">
        <v>1767.79</v>
      </c>
      <c r="H494" s="40" t="n">
        <v>2231.99</v>
      </c>
      <c r="I494" s="46" t="n">
        <v>-60.68</v>
      </c>
      <c r="J494" s="40" t="n">
        <v>0</v>
      </c>
      <c r="K494" s="46" t="n">
        <v>-100</v>
      </c>
      <c r="L494" s="40" t="n">
        <v>0</v>
      </c>
      <c r="M494" s="40" t="n">
        <v>0</v>
      </c>
      <c r="N494" s="40" t="n">
        <v>0</v>
      </c>
      <c r="O494" s="40" t="n">
        <v>0</v>
      </c>
      <c r="P494" s="40" t="n">
        <v>0</v>
      </c>
      <c r="Q494" s="40" t="n">
        <v>0</v>
      </c>
      <c r="R494" s="47" t="n"/>
      <c r="S494" s="47" t="n"/>
      <c r="T494" s="47" t="n"/>
      <c r="U494" s="47" t="n"/>
      <c r="V494" s="47" t="n"/>
      <c r="W494" s="47" t="n"/>
    </row>
    <row r="495" ht="11.25" customHeight="1">
      <c r="A495" s="30" t="inlineStr">
        <is>
          <t>Itaguai</t>
        </is>
      </c>
      <c r="B495" s="30" t="n">
        <v>77639330</v>
      </c>
      <c r="C495" s="30">
        <f>"05940533000177"</f>
        <v/>
      </c>
      <c r="D495" s="30" t="inlineStr">
        <is>
          <t>Q S MODA VIVA CONFECCOES E BAZAR DE ITAGUAI LTDA ME</t>
        </is>
      </c>
      <c r="E495" s="40" t="n">
        <v>0</v>
      </c>
      <c r="F495" s="40" t="n">
        <v>0</v>
      </c>
      <c r="G495" s="40" t="n">
        <v>0</v>
      </c>
      <c r="H495" s="40" t="n">
        <v>0</v>
      </c>
      <c r="I495" s="40" t="n">
        <v>0</v>
      </c>
      <c r="J495" s="40" t="n">
        <v>0</v>
      </c>
      <c r="K495" s="40" t="n">
        <v>0</v>
      </c>
      <c r="L495" s="40" t="n">
        <v>0</v>
      </c>
      <c r="M495" s="40" t="n">
        <v>0</v>
      </c>
      <c r="N495" s="40" t="n">
        <v>0</v>
      </c>
      <c r="O495" s="40" t="n">
        <v>0</v>
      </c>
      <c r="P495" s="40" t="n">
        <v>0</v>
      </c>
      <c r="Q495" s="40" t="n">
        <v>0</v>
      </c>
      <c r="R495" s="47" t="n"/>
      <c r="S495" s="47" t="n"/>
      <c r="T495" s="47" t="n"/>
      <c r="U495" s="47" t="n"/>
      <c r="V495" s="47" t="n"/>
      <c r="W495" s="47" t="n"/>
    </row>
    <row r="496" ht="11.25" customHeight="1">
      <c r="A496" s="30" t="inlineStr">
        <is>
          <t>Itaguai</t>
        </is>
      </c>
      <c r="B496" s="30" t="n">
        <v>77649328</v>
      </c>
      <c r="C496" s="30">
        <f>"02836056004284"</f>
        <v/>
      </c>
      <c r="D496" s="30" t="inlineStr">
        <is>
          <t>DHL LOGISTICS (BRAZIL) LTDA</t>
        </is>
      </c>
      <c r="E496" s="40" t="n">
        <v>37781.59</v>
      </c>
      <c r="F496" s="40" t="n">
        <v>13964.05</v>
      </c>
      <c r="G496" s="46" t="n">
        <v>-63.04</v>
      </c>
      <c r="H496" s="40" t="n">
        <v>0</v>
      </c>
      <c r="I496" s="46" t="n">
        <v>-100</v>
      </c>
      <c r="J496" s="40" t="n">
        <v>0</v>
      </c>
      <c r="K496" s="40" t="n">
        <v>0</v>
      </c>
      <c r="L496" s="40" t="n">
        <v>0</v>
      </c>
      <c r="M496" s="40" t="n">
        <v>0</v>
      </c>
      <c r="N496" s="40" t="n">
        <v>0</v>
      </c>
      <c r="O496" s="40" t="n">
        <v>0</v>
      </c>
      <c r="P496" s="40" t="n">
        <v>0</v>
      </c>
      <c r="Q496" s="40" t="n">
        <v>0</v>
      </c>
      <c r="R496" s="47" t="n"/>
      <c r="S496" s="47" t="n"/>
      <c r="T496" s="47" t="n"/>
      <c r="U496" s="47" t="n"/>
      <c r="V496" s="47" t="n"/>
      <c r="W496" s="47" t="n"/>
    </row>
    <row r="497" ht="11.25" customHeight="1">
      <c r="A497" s="30" t="inlineStr">
        <is>
          <t>Itaguai</t>
        </is>
      </c>
      <c r="B497" s="30" t="n">
        <v>77654356</v>
      </c>
      <c r="C497" s="30">
        <f>"29319514000196"</f>
        <v/>
      </c>
      <c r="D497" s="30" t="inlineStr">
        <is>
          <t>AREAL TERBRASIL EIRELI</t>
        </is>
      </c>
      <c r="E497" s="40" t="n">
        <v>0</v>
      </c>
      <c r="F497" s="40" t="n">
        <v>0</v>
      </c>
      <c r="G497" s="40" t="n">
        <v>0</v>
      </c>
      <c r="H497" s="40" t="n">
        <v>113512.36</v>
      </c>
      <c r="I497" s="40" t="n">
        <v>100</v>
      </c>
      <c r="J497" s="40" t="n">
        <v>238827.09</v>
      </c>
      <c r="K497" s="40" t="n">
        <v>110.4</v>
      </c>
      <c r="L497" s="40" t="n">
        <v>0</v>
      </c>
      <c r="M497" s="46" t="n">
        <v>-100</v>
      </c>
      <c r="N497" s="40" t="n">
        <v>0</v>
      </c>
      <c r="O497" s="40" t="n">
        <v>0</v>
      </c>
      <c r="P497" s="40" t="n">
        <v>0</v>
      </c>
      <c r="Q497" s="40" t="n">
        <v>0</v>
      </c>
      <c r="R497" s="47" t="n"/>
      <c r="S497" s="47" t="n"/>
      <c r="T497" s="47" t="n"/>
      <c r="U497" s="47" t="n"/>
      <c r="V497" s="47" t="n"/>
      <c r="W497" s="47" t="n"/>
    </row>
    <row r="498" ht="11.25" customHeight="1">
      <c r="A498" s="30" t="inlineStr">
        <is>
          <t>Itaguai</t>
        </is>
      </c>
      <c r="B498" s="30" t="n">
        <v>77663711</v>
      </c>
      <c r="C498" s="30">
        <f>"05931640000139"</f>
        <v/>
      </c>
      <c r="D498" s="30" t="inlineStr">
        <is>
          <t>TRANSPORTES SOUZA ARAUJO LTDA</t>
        </is>
      </c>
      <c r="E498" s="40" t="n">
        <v>0</v>
      </c>
      <c r="F498" s="40" t="n">
        <v>3117.31</v>
      </c>
      <c r="G498" s="40" t="n">
        <v>100</v>
      </c>
      <c r="H498" s="40" t="n">
        <v>4259.65</v>
      </c>
      <c r="I498" s="40" t="n">
        <v>36.65</v>
      </c>
      <c r="J498" s="40" t="n">
        <v>58162.89</v>
      </c>
      <c r="K498" s="40" t="n">
        <v>1265.44</v>
      </c>
      <c r="L498" s="40" t="n">
        <v>0</v>
      </c>
      <c r="M498" s="46" t="n">
        <v>-100</v>
      </c>
      <c r="N498" s="40" t="n">
        <v>0</v>
      </c>
      <c r="O498" s="40" t="n">
        <v>0</v>
      </c>
      <c r="P498" s="40" t="n">
        <v>1431932.09</v>
      </c>
      <c r="Q498" s="40" t="n">
        <v>100</v>
      </c>
      <c r="R498" s="47" t="n"/>
      <c r="S498" s="47" t="n"/>
      <c r="T498" s="47" t="n"/>
      <c r="U498" s="47" t="n"/>
      <c r="V498" s="47" t="n"/>
      <c r="W498" s="47" t="n"/>
    </row>
    <row r="499" ht="11.25" customHeight="1">
      <c r="A499" s="30" t="inlineStr">
        <is>
          <t>Itaguai</t>
        </is>
      </c>
      <c r="B499" s="30" t="n">
        <v>77664548</v>
      </c>
      <c r="C499" s="30">
        <f>"03103436000528"</f>
        <v/>
      </c>
      <c r="D499" s="30" t="inlineStr">
        <is>
          <t>COOPERATIVA AGROPECUARIA E TRANSPORTE REGIONAL MONTENEGRO LTDA</t>
        </is>
      </c>
      <c r="E499" s="40" t="n">
        <v>0</v>
      </c>
      <c r="F499" s="40" t="n">
        <v>0</v>
      </c>
      <c r="G499" s="40" t="n">
        <v>0</v>
      </c>
      <c r="H499" s="40" t="n">
        <v>372.38</v>
      </c>
      <c r="I499" s="40" t="n">
        <v>100</v>
      </c>
      <c r="J499" s="40" t="n">
        <v>546.53</v>
      </c>
      <c r="K499" s="40" t="n">
        <v>46.77</v>
      </c>
      <c r="L499" s="40" t="n">
        <v>0</v>
      </c>
      <c r="M499" s="46" t="n">
        <v>-100</v>
      </c>
      <c r="N499" s="40" t="n">
        <v>0</v>
      </c>
      <c r="O499" s="40" t="n">
        <v>0</v>
      </c>
      <c r="P499" s="40" t="n">
        <v>0</v>
      </c>
      <c r="Q499" s="40" t="n">
        <v>0</v>
      </c>
      <c r="R499" s="47" t="n"/>
      <c r="S499" s="47" t="n"/>
      <c r="T499" s="47" t="n"/>
      <c r="U499" s="47" t="n"/>
      <c r="V499" s="47" t="n"/>
      <c r="W499" s="47" t="n"/>
    </row>
    <row r="500" ht="11.25" customHeight="1">
      <c r="A500" s="30" t="inlineStr">
        <is>
          <t>Itaguai</t>
        </is>
      </c>
      <c r="B500" s="30" t="n">
        <v>77668799</v>
      </c>
      <c r="C500" s="30">
        <f>"05980171000148"</f>
        <v/>
      </c>
      <c r="D500" s="30" t="inlineStr">
        <is>
          <t>PREDLINK REDE DE TELECOMUNICACOES LTDA</t>
        </is>
      </c>
      <c r="E500" s="40" t="n">
        <v>0</v>
      </c>
      <c r="F500" s="40" t="n">
        <v>0</v>
      </c>
      <c r="G500" s="40" t="n">
        <v>0</v>
      </c>
      <c r="H500" s="40" t="n">
        <v>2700</v>
      </c>
      <c r="I500" s="40" t="n">
        <v>100</v>
      </c>
      <c r="J500" s="40" t="n">
        <v>8281.629999999999</v>
      </c>
      <c r="K500" s="40" t="n">
        <v>206.73</v>
      </c>
      <c r="L500" s="40" t="n">
        <v>3585.59</v>
      </c>
      <c r="M500" s="46" t="n">
        <v>-56.7</v>
      </c>
      <c r="N500" s="40" t="n">
        <v>3573.4</v>
      </c>
      <c r="O500" s="46" t="n">
        <v>-0.34</v>
      </c>
      <c r="P500" s="40" t="n">
        <v>2476.72</v>
      </c>
      <c r="Q500" s="46" t="n">
        <v>-30.69</v>
      </c>
      <c r="R500" s="47" t="n"/>
      <c r="S500" s="47" t="n"/>
      <c r="T500" s="47" t="n"/>
      <c r="U500" s="47" t="n"/>
      <c r="V500" s="47" t="n"/>
      <c r="W500" s="47" t="n"/>
    </row>
    <row r="501" ht="11.25" customHeight="1">
      <c r="A501" s="30" t="inlineStr">
        <is>
          <t>Itaguai</t>
        </is>
      </c>
      <c r="B501" s="30" t="n">
        <v>77669353</v>
      </c>
      <c r="C501" s="30">
        <f>"06059895000116"</f>
        <v/>
      </c>
      <c r="D501" s="30" t="inlineStr">
        <is>
          <t>MARCENARIA COSTA VERDE DE ITAGUAI LTDA EPP</t>
        </is>
      </c>
      <c r="E501" s="40" t="n">
        <v>0</v>
      </c>
      <c r="F501" s="40" t="n">
        <v>0</v>
      </c>
      <c r="G501" s="40" t="n">
        <v>0</v>
      </c>
      <c r="H501" s="40" t="n">
        <v>0</v>
      </c>
      <c r="I501" s="40" t="n">
        <v>0</v>
      </c>
      <c r="J501" s="40" t="n">
        <v>0</v>
      </c>
      <c r="K501" s="40" t="n">
        <v>0</v>
      </c>
      <c r="L501" s="40" t="n">
        <v>41001.25</v>
      </c>
      <c r="M501" s="40" t="n">
        <v>100</v>
      </c>
      <c r="N501" s="40" t="n">
        <v>0</v>
      </c>
      <c r="O501" s="46" t="n">
        <v>-100</v>
      </c>
      <c r="P501" s="40" t="n">
        <v>0</v>
      </c>
      <c r="Q501" s="40" t="n">
        <v>0</v>
      </c>
      <c r="R501" s="47" t="n"/>
      <c r="S501" s="47" t="n"/>
      <c r="T501" s="47" t="n"/>
      <c r="U501" s="47" t="n"/>
      <c r="V501" s="47" t="n"/>
      <c r="W501" s="47" t="n"/>
    </row>
    <row r="502" ht="11.25" customHeight="1">
      <c r="A502" s="30" t="inlineStr">
        <is>
          <t>Itaguai</t>
        </is>
      </c>
      <c r="B502" s="30" t="n">
        <v>77678638</v>
      </c>
      <c r="C502" s="30">
        <f>"05970651000128"</f>
        <v/>
      </c>
      <c r="D502" s="30" t="inlineStr">
        <is>
          <t>AGITO PARADISE EVENTOS LTDA</t>
        </is>
      </c>
      <c r="E502" s="40" t="n">
        <v>0</v>
      </c>
      <c r="F502" s="40" t="n">
        <v>0</v>
      </c>
      <c r="G502" s="40" t="n">
        <v>0</v>
      </c>
      <c r="H502" s="40" t="n">
        <v>0</v>
      </c>
      <c r="I502" s="40" t="n">
        <v>0</v>
      </c>
      <c r="J502" s="40" t="n">
        <v>0</v>
      </c>
      <c r="K502" s="40" t="n">
        <v>0</v>
      </c>
      <c r="L502" s="40" t="n">
        <v>0</v>
      </c>
      <c r="M502" s="40" t="n">
        <v>0</v>
      </c>
      <c r="N502" s="40" t="n">
        <v>0</v>
      </c>
      <c r="O502" s="40" t="n">
        <v>0</v>
      </c>
      <c r="P502" s="40" t="n">
        <v>0</v>
      </c>
      <c r="Q502" s="40" t="n">
        <v>0</v>
      </c>
      <c r="R502" s="47" t="n"/>
      <c r="S502" s="47" t="n"/>
      <c r="T502" s="47" t="n"/>
      <c r="U502" s="47" t="n"/>
      <c r="V502" s="47" t="n"/>
      <c r="W502" s="47" t="n"/>
    </row>
    <row r="503" ht="11.25" customHeight="1">
      <c r="A503" s="30" t="inlineStr">
        <is>
          <t>Itaguai</t>
        </is>
      </c>
      <c r="B503" s="30" t="n">
        <v>77685022</v>
      </c>
      <c r="C503" s="30">
        <f>"76535764033157"</f>
        <v/>
      </c>
      <c r="D503" s="30" t="inlineStr">
        <is>
          <t>OI SA - EM RECUPERACAO JUDICIAL</t>
        </is>
      </c>
      <c r="E503" s="40" t="n">
        <v>0</v>
      </c>
      <c r="F503" s="40" t="n">
        <v>0</v>
      </c>
      <c r="G503" s="40" t="n">
        <v>0</v>
      </c>
      <c r="H503" s="40" t="n">
        <v>0</v>
      </c>
      <c r="I503" s="40" t="n">
        <v>0</v>
      </c>
      <c r="J503" s="40" t="n">
        <v>0</v>
      </c>
      <c r="K503" s="40" t="n">
        <v>0</v>
      </c>
      <c r="L503" s="40" t="n">
        <v>3254508.8</v>
      </c>
      <c r="M503" s="40" t="n">
        <v>100</v>
      </c>
      <c r="N503" s="40" t="n">
        <v>6881072.13</v>
      </c>
      <c r="O503" s="40" t="n">
        <v>111.43</v>
      </c>
      <c r="P503" s="40" t="n">
        <v>6998183.4</v>
      </c>
      <c r="Q503" s="40" t="n">
        <v>1.7</v>
      </c>
      <c r="R503" s="47" t="n"/>
      <c r="S503" s="47" t="n"/>
      <c r="T503" s="47" t="n"/>
      <c r="U503" s="47" t="n"/>
      <c r="V503" s="47" t="n"/>
      <c r="W503" s="47" t="n"/>
    </row>
    <row r="504" ht="11.25" customHeight="1">
      <c r="A504" s="30" t="inlineStr">
        <is>
          <t>Itaguai</t>
        </is>
      </c>
      <c r="B504" s="30" t="n">
        <v>77689630</v>
      </c>
      <c r="C504" s="30">
        <f>"02427026002009"</f>
        <v/>
      </c>
      <c r="D504" s="30" t="inlineStr">
        <is>
          <t>ALIANCA NAVEGACAO E LOGISTICA LTDA</t>
        </is>
      </c>
      <c r="E504" s="40" t="n">
        <v>33662226.25</v>
      </c>
      <c r="F504" s="40" t="n">
        <v>126034985.21</v>
      </c>
      <c r="G504" s="40" t="n">
        <v>274.41</v>
      </c>
      <c r="H504" s="40" t="n">
        <v>76842822.42</v>
      </c>
      <c r="I504" s="46" t="n">
        <v>-39.03</v>
      </c>
      <c r="J504" s="40" t="n">
        <v>117844541.15</v>
      </c>
      <c r="K504" s="40" t="n">
        <v>53.36</v>
      </c>
      <c r="L504" s="40" t="n">
        <v>114968421.85</v>
      </c>
      <c r="M504" s="46" t="n">
        <v>-2.44</v>
      </c>
      <c r="N504" s="40" t="n">
        <v>81310362.56</v>
      </c>
      <c r="O504" s="46" t="n">
        <v>-29.28</v>
      </c>
      <c r="P504" s="40" t="n">
        <v>87153837.06999999</v>
      </c>
      <c r="Q504" s="40" t="n">
        <v>7.19</v>
      </c>
      <c r="R504" s="47" t="n"/>
      <c r="S504" s="47" t="n"/>
      <c r="T504" s="47" t="n"/>
      <c r="U504" s="47" t="n"/>
      <c r="V504" s="47" t="n"/>
      <c r="W504" s="47" t="n"/>
    </row>
    <row r="505" ht="11.25" customHeight="1">
      <c r="A505" s="30" t="inlineStr">
        <is>
          <t>Itaguai</t>
        </is>
      </c>
      <c r="B505" s="30" t="n">
        <v>77693459</v>
      </c>
      <c r="C505" s="30">
        <f>"67901140000292"</f>
        <v/>
      </c>
      <c r="D505" s="30" t="inlineStr">
        <is>
          <t>COTRALTI - COOPERATIVA DE TRANSPORTE E LOGISTICA DO ALTO TIETE</t>
        </is>
      </c>
      <c r="E505" s="40" t="n">
        <v>0</v>
      </c>
      <c r="F505" s="40" t="n">
        <v>170744.25</v>
      </c>
      <c r="G505" s="40" t="n">
        <v>100</v>
      </c>
      <c r="H505" s="40" t="n">
        <v>5999.85</v>
      </c>
      <c r="I505" s="46" t="n">
        <v>-96.48999999999999</v>
      </c>
      <c r="J505" s="40" t="n">
        <v>0</v>
      </c>
      <c r="K505" s="46" t="n">
        <v>-100</v>
      </c>
      <c r="L505" s="40" t="n">
        <v>0</v>
      </c>
      <c r="M505" s="40" t="n">
        <v>0</v>
      </c>
      <c r="N505" s="40" t="n">
        <v>176.04</v>
      </c>
      <c r="O505" s="40" t="n">
        <v>100</v>
      </c>
      <c r="P505" s="40" t="n">
        <v>0</v>
      </c>
      <c r="Q505" s="46" t="n">
        <v>-100</v>
      </c>
      <c r="R505" s="47" t="n"/>
      <c r="S505" s="47" t="n"/>
      <c r="T505" s="47" t="n"/>
      <c r="U505" s="47" t="n"/>
      <c r="V505" s="47" t="n"/>
      <c r="W505" s="47" t="n"/>
    </row>
    <row r="506" ht="11.25" customHeight="1">
      <c r="A506" s="30" t="inlineStr">
        <is>
          <t>Itaguai</t>
        </is>
      </c>
      <c r="B506" s="30" t="n">
        <v>77694439</v>
      </c>
      <c r="C506" s="30">
        <f>"06130159000107"</f>
        <v/>
      </c>
      <c r="D506" s="30" t="inlineStr">
        <is>
          <t>GRANVISA MARMORARIA E MATERIAL DE CONSTRUCAO LTDA EPP</t>
        </is>
      </c>
      <c r="E506" s="40" t="n">
        <v>0</v>
      </c>
      <c r="F506" s="40" t="n">
        <v>0</v>
      </c>
      <c r="G506" s="40" t="n">
        <v>0</v>
      </c>
      <c r="H506" s="40" t="n">
        <v>0</v>
      </c>
      <c r="I506" s="40" t="n">
        <v>0</v>
      </c>
      <c r="J506" s="40" t="n">
        <v>0</v>
      </c>
      <c r="K506" s="40" t="n">
        <v>0</v>
      </c>
      <c r="L506" s="40" t="n">
        <v>0</v>
      </c>
      <c r="M506" s="40" t="n">
        <v>0</v>
      </c>
      <c r="N506" s="40" t="n">
        <v>0</v>
      </c>
      <c r="O506" s="40" t="n">
        <v>0</v>
      </c>
      <c r="P506" s="40" t="n">
        <v>0</v>
      </c>
      <c r="Q506" s="40" t="n">
        <v>0</v>
      </c>
      <c r="R506" s="47" t="n"/>
      <c r="S506" s="47" t="n"/>
      <c r="T506" s="47" t="n"/>
      <c r="U506" s="47" t="n"/>
      <c r="V506" s="47" t="n"/>
      <c r="W506" s="47" t="n"/>
    </row>
    <row r="507" ht="11.25" customHeight="1">
      <c r="A507" s="30" t="inlineStr">
        <is>
          <t>Itaguai</t>
        </is>
      </c>
      <c r="B507" s="30" t="n">
        <v>77699740</v>
      </c>
      <c r="C507" s="30">
        <f>"32171472000101"</f>
        <v/>
      </c>
      <c r="D507" s="30" t="inlineStr">
        <is>
          <t>PERENYI SERVICOS TECNICOS DE LIMPEZA INDUSTRIAL LTDA</t>
        </is>
      </c>
      <c r="E507" s="40" t="n">
        <v>16974.51</v>
      </c>
      <c r="F507" s="40" t="n">
        <v>11048.14</v>
      </c>
      <c r="G507" s="46" t="n">
        <v>-34.91</v>
      </c>
      <c r="H507" s="40" t="n">
        <v>11180.03</v>
      </c>
      <c r="I507" s="40" t="n">
        <v>1.19</v>
      </c>
      <c r="J507" s="40" t="n">
        <v>0</v>
      </c>
      <c r="K507" s="46" t="n">
        <v>-100</v>
      </c>
      <c r="L507" s="40" t="n">
        <v>0</v>
      </c>
      <c r="M507" s="40" t="n">
        <v>0</v>
      </c>
      <c r="N507" s="40" t="n">
        <v>0</v>
      </c>
      <c r="O507" s="40" t="n">
        <v>0</v>
      </c>
      <c r="P507" s="40" t="n">
        <v>0</v>
      </c>
      <c r="Q507" s="40" t="n">
        <v>0</v>
      </c>
      <c r="R507" s="47" t="n"/>
      <c r="S507" s="47" t="n"/>
      <c r="T507" s="47" t="n"/>
      <c r="U507" s="47" t="n"/>
      <c r="V507" s="47" t="n"/>
      <c r="W507" s="47" t="n"/>
    </row>
    <row r="508" ht="11.25" customHeight="1">
      <c r="A508" s="30" t="inlineStr">
        <is>
          <t>Itaguai</t>
        </is>
      </c>
      <c r="B508" s="30" t="n">
        <v>77700501</v>
      </c>
      <c r="C508" s="30">
        <f>"71208516017140"</f>
        <v/>
      </c>
      <c r="D508" s="30" t="inlineStr">
        <is>
          <t>ALGAR TELECOM S A</t>
        </is>
      </c>
      <c r="E508" s="40" t="n">
        <v>80648.53</v>
      </c>
      <c r="F508" s="40" t="n">
        <v>68481.21000000001</v>
      </c>
      <c r="G508" s="46" t="n">
        <v>-15.09</v>
      </c>
      <c r="H508" s="40" t="n">
        <v>79421.22</v>
      </c>
      <c r="I508" s="40" t="n">
        <v>15.98</v>
      </c>
      <c r="J508" s="40" t="n">
        <v>96967.64</v>
      </c>
      <c r="K508" s="40" t="n">
        <v>22.09</v>
      </c>
      <c r="L508" s="40" t="n">
        <v>79154.85000000001</v>
      </c>
      <c r="M508" s="46" t="n">
        <v>-18.37</v>
      </c>
      <c r="N508" s="40" t="n">
        <v>181107.75</v>
      </c>
      <c r="O508" s="40" t="n">
        <v>128.8</v>
      </c>
      <c r="P508" s="40" t="n">
        <v>195485.24</v>
      </c>
      <c r="Q508" s="40" t="n">
        <v>7.94</v>
      </c>
      <c r="R508" s="47" t="n"/>
      <c r="S508" s="47" t="n"/>
      <c r="T508" s="47" t="n"/>
      <c r="U508" s="47" t="n"/>
      <c r="V508" s="47" t="n"/>
      <c r="W508" s="47" t="n"/>
    </row>
    <row r="509" ht="11.25" customHeight="1">
      <c r="A509" s="30" t="inlineStr">
        <is>
          <t>Itaguai</t>
        </is>
      </c>
      <c r="B509" s="30" t="n">
        <v>77700714</v>
      </c>
      <c r="C509" s="30">
        <f>"04846334000301"</f>
        <v/>
      </c>
      <c r="D509" s="30" t="inlineStr">
        <is>
          <t>RAPIDO FERNAO DIAS BH LTDA</t>
        </is>
      </c>
      <c r="E509" s="40" t="n">
        <v>0</v>
      </c>
      <c r="F509" s="40" t="n">
        <v>354849.94</v>
      </c>
      <c r="G509" s="40" t="n">
        <v>100</v>
      </c>
      <c r="H509" s="40" t="n">
        <v>0</v>
      </c>
      <c r="I509" s="46" t="n">
        <v>-100</v>
      </c>
      <c r="J509" s="40" t="n">
        <v>0</v>
      </c>
      <c r="K509" s="40" t="n">
        <v>0</v>
      </c>
      <c r="L509" s="40" t="n">
        <v>6000</v>
      </c>
      <c r="M509" s="40" t="n">
        <v>100</v>
      </c>
      <c r="N509" s="40" t="n">
        <v>0</v>
      </c>
      <c r="O509" s="46" t="n">
        <v>-100</v>
      </c>
      <c r="P509" s="40" t="n">
        <v>0</v>
      </c>
      <c r="Q509" s="40" t="n">
        <v>0</v>
      </c>
      <c r="R509" s="47" t="n"/>
      <c r="S509" s="47" t="n"/>
      <c r="T509" s="47" t="n"/>
      <c r="U509" s="47" t="n"/>
      <c r="V509" s="47" t="n"/>
      <c r="W509" s="47" t="n"/>
    </row>
    <row r="510" ht="11.25" customHeight="1">
      <c r="A510" s="30" t="inlineStr">
        <is>
          <t>Itaguai</t>
        </is>
      </c>
      <c r="B510" s="30" t="n">
        <v>77716866</v>
      </c>
      <c r="C510" s="30">
        <f>"06204928000174"</f>
        <v/>
      </c>
      <c r="D510" s="30" t="inlineStr">
        <is>
          <t>AMOR AOS FIOS DISTRIBUIDORA DE COSMETICOS LTDA ME</t>
        </is>
      </c>
      <c r="E510" s="40" t="n">
        <v>0</v>
      </c>
      <c r="F510" s="40" t="n">
        <v>0</v>
      </c>
      <c r="G510" s="40" t="n">
        <v>0</v>
      </c>
      <c r="H510" s="40" t="n">
        <v>0</v>
      </c>
      <c r="I510" s="40" t="n">
        <v>0</v>
      </c>
      <c r="J510" s="40" t="n">
        <v>0</v>
      </c>
      <c r="K510" s="40" t="n">
        <v>0</v>
      </c>
      <c r="L510" s="40" t="n">
        <v>0</v>
      </c>
      <c r="M510" s="40" t="n">
        <v>0</v>
      </c>
      <c r="N510" s="40" t="n">
        <v>0</v>
      </c>
      <c r="O510" s="40" t="n">
        <v>0</v>
      </c>
      <c r="P510" s="40" t="n">
        <v>0</v>
      </c>
      <c r="Q510" s="40" t="n">
        <v>0</v>
      </c>
      <c r="R510" s="47" t="n"/>
      <c r="S510" s="47" t="n"/>
      <c r="T510" s="47" t="n"/>
      <c r="U510" s="47" t="n"/>
      <c r="V510" s="47" t="n"/>
      <c r="W510" s="47" t="n"/>
    </row>
    <row r="511" ht="11.25" customHeight="1">
      <c r="A511" s="30" t="inlineStr">
        <is>
          <t>Itaguai</t>
        </is>
      </c>
      <c r="B511" s="30" t="n">
        <v>77717749</v>
      </c>
      <c r="C511" s="30">
        <f>"06073075000189"</f>
        <v/>
      </c>
      <c r="D511" s="30" t="inlineStr">
        <is>
          <t>TRANSPORTADORA RODO CLAM EIRELI - EPP</t>
        </is>
      </c>
      <c r="E511" s="40" t="n">
        <v>0</v>
      </c>
      <c r="F511" s="40" t="n">
        <v>77.70999999999999</v>
      </c>
      <c r="G511" s="40" t="n">
        <v>100</v>
      </c>
      <c r="H511" s="40" t="n">
        <v>0</v>
      </c>
      <c r="I511" s="46" t="n">
        <v>-100</v>
      </c>
      <c r="J511" s="40" t="n">
        <v>0</v>
      </c>
      <c r="K511" s="40" t="n">
        <v>0</v>
      </c>
      <c r="L511" s="40" t="n">
        <v>0</v>
      </c>
      <c r="M511" s="40" t="n">
        <v>0</v>
      </c>
      <c r="N511" s="40" t="n">
        <v>56.2</v>
      </c>
      <c r="O511" s="40" t="n">
        <v>100</v>
      </c>
      <c r="P511" s="40" t="n">
        <v>166.52</v>
      </c>
      <c r="Q511" s="40" t="n">
        <v>196.3</v>
      </c>
      <c r="R511" s="47" t="n"/>
      <c r="S511" s="47" t="n"/>
      <c r="T511" s="47" t="n"/>
      <c r="U511" s="47" t="n"/>
      <c r="V511" s="47" t="n"/>
      <c r="W511" s="47" t="n"/>
    </row>
    <row r="512" ht="11.25" customHeight="1">
      <c r="A512" s="30" t="inlineStr">
        <is>
          <t>Itaguai</t>
        </is>
      </c>
      <c r="B512" s="30" t="n">
        <v>77719385</v>
      </c>
      <c r="C512" s="30">
        <f>"06204921000152"</f>
        <v/>
      </c>
      <c r="D512" s="30" t="inlineStr">
        <is>
          <t>SHEKINA PESCADOS LTDA</t>
        </is>
      </c>
      <c r="E512" s="40" t="n">
        <v>0</v>
      </c>
      <c r="F512" s="40" t="n">
        <v>0</v>
      </c>
      <c r="G512" s="40" t="n">
        <v>0</v>
      </c>
      <c r="H512" s="40" t="n">
        <v>0</v>
      </c>
      <c r="I512" s="40" t="n">
        <v>0</v>
      </c>
      <c r="J512" s="40" t="n">
        <v>0</v>
      </c>
      <c r="K512" s="40" t="n">
        <v>0</v>
      </c>
      <c r="L512" s="40" t="n">
        <v>0</v>
      </c>
      <c r="M512" s="40" t="n">
        <v>0</v>
      </c>
      <c r="N512" s="40" t="n">
        <v>0</v>
      </c>
      <c r="O512" s="40" t="n">
        <v>0</v>
      </c>
      <c r="P512" s="40" t="n">
        <v>0</v>
      </c>
      <c r="Q512" s="40" t="n">
        <v>0</v>
      </c>
      <c r="R512" s="47" t="n"/>
      <c r="S512" s="47" t="n"/>
      <c r="T512" s="47" t="n"/>
      <c r="U512" s="47" t="n"/>
      <c r="V512" s="47" t="n"/>
      <c r="W512" s="47" t="n"/>
    </row>
    <row r="513" ht="11.25" customHeight="1">
      <c r="A513" s="30" t="inlineStr">
        <is>
          <t>Itaguai</t>
        </is>
      </c>
      <c r="B513" s="30" t="n">
        <v>77730729</v>
      </c>
      <c r="C513" s="30">
        <f>"48740351000408"</f>
        <v/>
      </c>
      <c r="D513" s="30" t="inlineStr">
        <is>
          <t>BRASPRESS TRANSPORTES URGENTES LTDA</t>
        </is>
      </c>
      <c r="E513" s="40" t="n">
        <v>37848.34</v>
      </c>
      <c r="F513" s="40" t="n">
        <v>22221.29</v>
      </c>
      <c r="G513" s="46" t="n">
        <v>-41.29</v>
      </c>
      <c r="H513" s="40" t="n">
        <v>1966.71</v>
      </c>
      <c r="I513" s="46" t="n">
        <v>-91.15000000000001</v>
      </c>
      <c r="J513" s="40" t="n">
        <v>1812.04</v>
      </c>
      <c r="K513" s="46" t="n">
        <v>-7.86</v>
      </c>
      <c r="L513" s="40" t="n">
        <v>4327.39</v>
      </c>
      <c r="M513" s="40" t="n">
        <v>138.81</v>
      </c>
      <c r="N513" s="40" t="n">
        <v>90951.48</v>
      </c>
      <c r="O513" s="40" t="n">
        <v>2001.76</v>
      </c>
      <c r="P513" s="40" t="n">
        <v>90077.31</v>
      </c>
      <c r="Q513" s="46" t="n">
        <v>-0.96</v>
      </c>
      <c r="R513" s="47" t="n"/>
      <c r="S513" s="47" t="n"/>
      <c r="T513" s="47" t="n"/>
      <c r="U513" s="47" t="n"/>
      <c r="V513" s="47" t="n"/>
      <c r="W513" s="47" t="n"/>
    </row>
    <row r="514" ht="11.25" customHeight="1">
      <c r="A514" s="30" t="inlineStr">
        <is>
          <t>Itaguai</t>
        </is>
      </c>
      <c r="B514" s="30" t="n">
        <v>77734686</v>
      </c>
      <c r="C514" s="30">
        <f>"48740351003008"</f>
        <v/>
      </c>
      <c r="D514" s="30" t="inlineStr">
        <is>
          <t>BRASPRESS TRANSPORTES URGENTES LTDA</t>
        </is>
      </c>
      <c r="E514" s="40" t="n">
        <v>5568.76</v>
      </c>
      <c r="F514" s="40" t="n">
        <v>6930.51</v>
      </c>
      <c r="G514" s="40" t="n">
        <v>24.45</v>
      </c>
      <c r="H514" s="40" t="n">
        <v>0</v>
      </c>
      <c r="I514" s="46" t="n">
        <v>-100</v>
      </c>
      <c r="J514" s="40" t="n">
        <v>0</v>
      </c>
      <c r="K514" s="40" t="n">
        <v>0</v>
      </c>
      <c r="L514" s="40" t="n">
        <v>0</v>
      </c>
      <c r="M514" s="40" t="n">
        <v>0</v>
      </c>
      <c r="N514" s="40" t="n">
        <v>0</v>
      </c>
      <c r="O514" s="40" t="n">
        <v>0</v>
      </c>
      <c r="P514" s="40" t="n">
        <v>0</v>
      </c>
      <c r="Q514" s="40" t="n">
        <v>0</v>
      </c>
      <c r="R514" s="47" t="n"/>
      <c r="S514" s="47" t="n"/>
      <c r="T514" s="47" t="n"/>
      <c r="U514" s="47" t="n"/>
      <c r="V514" s="47" t="n"/>
      <c r="W514" s="47" t="n"/>
    </row>
    <row r="515" ht="11.25" customHeight="1">
      <c r="A515" s="30" t="inlineStr">
        <is>
          <t>Itaguai</t>
        </is>
      </c>
      <c r="B515" s="30" t="n">
        <v>77734708</v>
      </c>
      <c r="C515" s="30">
        <f>"48740351003261"</f>
        <v/>
      </c>
      <c r="D515" s="30" t="inlineStr">
        <is>
          <t>BRASPRESS TRANSPORTES URGENTES LTDA</t>
        </is>
      </c>
      <c r="E515" s="40" t="n">
        <v>695.73</v>
      </c>
      <c r="F515" s="40" t="n">
        <v>353.35</v>
      </c>
      <c r="G515" s="46" t="n">
        <v>-49.21</v>
      </c>
      <c r="H515" s="40" t="n">
        <v>142.3</v>
      </c>
      <c r="I515" s="46" t="n">
        <v>-59.73</v>
      </c>
      <c r="J515" s="40" t="n">
        <v>129.01</v>
      </c>
      <c r="K515" s="46" t="n">
        <v>-9.34</v>
      </c>
      <c r="L515" s="40" t="n">
        <v>0</v>
      </c>
      <c r="M515" s="46" t="n">
        <v>-100</v>
      </c>
      <c r="N515" s="40" t="n">
        <v>0</v>
      </c>
      <c r="O515" s="40" t="n">
        <v>0</v>
      </c>
      <c r="P515" s="40" t="n">
        <v>0</v>
      </c>
      <c r="Q515" s="40" t="n">
        <v>0</v>
      </c>
      <c r="R515" s="47" t="n"/>
      <c r="S515" s="47" t="n"/>
      <c r="T515" s="47" t="n"/>
      <c r="U515" s="47" t="n"/>
      <c r="V515" s="47" t="n"/>
      <c r="W515" s="47" t="n"/>
    </row>
    <row r="516" ht="11.25" customHeight="1">
      <c r="A516" s="30" t="inlineStr">
        <is>
          <t>Itaguai</t>
        </is>
      </c>
      <c r="B516" s="30" t="n">
        <v>77736832</v>
      </c>
      <c r="C516" s="30">
        <f>"21849120000308"</f>
        <v/>
      </c>
      <c r="D516" s="30" t="inlineStr">
        <is>
          <t>TRANSPEDROSA S/A</t>
        </is>
      </c>
      <c r="E516" s="40" t="n">
        <v>0</v>
      </c>
      <c r="F516" s="40" t="n">
        <v>0</v>
      </c>
      <c r="G516" s="40" t="n">
        <v>0</v>
      </c>
      <c r="H516" s="40" t="n">
        <v>0</v>
      </c>
      <c r="I516" s="40" t="n">
        <v>0</v>
      </c>
      <c r="J516" s="40" t="n">
        <v>479237.47</v>
      </c>
      <c r="K516" s="40" t="n">
        <v>100</v>
      </c>
      <c r="L516" s="40" t="n">
        <v>508553.58</v>
      </c>
      <c r="M516" s="40" t="n">
        <v>6.12</v>
      </c>
      <c r="N516" s="40" t="n">
        <v>176974.1</v>
      </c>
      <c r="O516" s="46" t="n">
        <v>-65.2</v>
      </c>
      <c r="P516" s="40" t="n">
        <v>597111.66</v>
      </c>
      <c r="Q516" s="40" t="n">
        <v>237.4</v>
      </c>
      <c r="R516" s="47" t="n"/>
      <c r="S516" s="47" t="n"/>
      <c r="T516" s="47" t="n"/>
      <c r="U516" s="47" t="n"/>
      <c r="V516" s="47" t="n"/>
      <c r="W516" s="47" t="n"/>
    </row>
    <row r="517" ht="11.25" customHeight="1">
      <c r="A517" s="30" t="inlineStr">
        <is>
          <t>Itaguai</t>
        </is>
      </c>
      <c r="B517" s="30" t="n">
        <v>77751971</v>
      </c>
      <c r="C517" s="30">
        <f>"06347809000170"</f>
        <v/>
      </c>
      <c r="D517" s="30" t="inlineStr">
        <is>
          <t>SEPETIBA CARGO LTDA</t>
        </is>
      </c>
      <c r="E517" s="40" t="n">
        <v>0</v>
      </c>
      <c r="F517" s="40" t="n">
        <v>0</v>
      </c>
      <c r="G517" s="40" t="n">
        <v>0</v>
      </c>
      <c r="H517" s="40" t="n">
        <v>0</v>
      </c>
      <c r="I517" s="40" t="n">
        <v>0</v>
      </c>
      <c r="J517" s="40" t="n">
        <v>0</v>
      </c>
      <c r="K517" s="40" t="n">
        <v>0</v>
      </c>
      <c r="L517" s="40" t="n">
        <v>0</v>
      </c>
      <c r="M517" s="40" t="n">
        <v>0</v>
      </c>
      <c r="N517" s="40" t="n">
        <v>2023281.18</v>
      </c>
      <c r="O517" s="40" t="n">
        <v>100</v>
      </c>
      <c r="P517" s="40" t="n">
        <v>0</v>
      </c>
      <c r="Q517" s="46" t="n">
        <v>-100</v>
      </c>
      <c r="R517" s="47" t="n"/>
      <c r="S517" s="47" t="n"/>
      <c r="T517" s="47" t="n"/>
      <c r="U517" s="47" t="n"/>
      <c r="V517" s="47" t="n"/>
      <c r="W517" s="47" t="n"/>
    </row>
    <row r="518" ht="11.25" customHeight="1">
      <c r="A518" s="30" t="inlineStr">
        <is>
          <t>Itaguai</t>
        </is>
      </c>
      <c r="B518" s="30" t="n">
        <v>77771930</v>
      </c>
      <c r="C518" s="30">
        <f>"06701081000133"</f>
        <v/>
      </c>
      <c r="D518" s="30" t="inlineStr">
        <is>
          <t>GOLD MILENIO TRANSPORTES LTDA ME</t>
        </is>
      </c>
      <c r="E518" s="40" t="n">
        <v>0</v>
      </c>
      <c r="F518" s="40" t="n">
        <v>230.76</v>
      </c>
      <c r="G518" s="40" t="n">
        <v>100</v>
      </c>
      <c r="H518" s="40" t="n">
        <v>0</v>
      </c>
      <c r="I518" s="46" t="n">
        <v>-100</v>
      </c>
      <c r="J518" s="40" t="n">
        <v>0</v>
      </c>
      <c r="K518" s="40" t="n">
        <v>0</v>
      </c>
      <c r="L518" s="40" t="n">
        <v>0</v>
      </c>
      <c r="M518" s="40" t="n">
        <v>0</v>
      </c>
      <c r="N518" s="40" t="n">
        <v>0</v>
      </c>
      <c r="O518" s="40" t="n">
        <v>0</v>
      </c>
      <c r="P518" s="40" t="n">
        <v>0</v>
      </c>
      <c r="Q518" s="40" t="n">
        <v>0</v>
      </c>
      <c r="R518" s="47" t="n"/>
      <c r="S518" s="47" t="n"/>
      <c r="T518" s="47" t="n"/>
      <c r="U518" s="47" t="n"/>
      <c r="V518" s="47" t="n"/>
      <c r="W518" s="47" t="n"/>
    </row>
    <row r="519" ht="11.25" customHeight="1">
      <c r="A519" s="30" t="inlineStr">
        <is>
          <t>Itaguai</t>
        </is>
      </c>
      <c r="B519" s="30" t="n">
        <v>77785361</v>
      </c>
      <c r="C519" s="30">
        <f>"00972696000380"</f>
        <v/>
      </c>
      <c r="D519" s="30" t="inlineStr">
        <is>
          <t>V M RAMOS &amp; CIA LTDA</t>
        </is>
      </c>
      <c r="E519" s="40" t="n">
        <v>11223.03</v>
      </c>
      <c r="F519" s="40" t="n">
        <v>11769.16</v>
      </c>
      <c r="G519" s="40" t="n">
        <v>4.87</v>
      </c>
      <c r="H519" s="40" t="n">
        <v>16926.91</v>
      </c>
      <c r="I519" s="40" t="n">
        <v>43.82</v>
      </c>
      <c r="J519" s="40" t="n">
        <v>19366.96</v>
      </c>
      <c r="K519" s="40" t="n">
        <v>14.42</v>
      </c>
      <c r="L519" s="40" t="n">
        <v>19365.88</v>
      </c>
      <c r="M519" s="46" t="n">
        <v>-0.01</v>
      </c>
      <c r="N519" s="40" t="n">
        <v>35605.52</v>
      </c>
      <c r="O519" s="40" t="n">
        <v>83.86</v>
      </c>
      <c r="P519" s="40" t="n">
        <v>30045.88</v>
      </c>
      <c r="Q519" s="46" t="n">
        <v>-15.61</v>
      </c>
      <c r="R519" s="47" t="n"/>
      <c r="S519" s="47" t="n"/>
      <c r="T519" s="47" t="n"/>
      <c r="U519" s="47" t="n"/>
      <c r="V519" s="47" t="n"/>
      <c r="W519" s="47" t="n"/>
    </row>
    <row r="520" ht="11.25" customHeight="1">
      <c r="A520" s="30" t="inlineStr">
        <is>
          <t>Itaguai</t>
        </is>
      </c>
      <c r="B520" s="30" t="n">
        <v>77790241</v>
      </c>
      <c r="C520" s="30">
        <f>"06957675000100"</f>
        <v/>
      </c>
      <c r="D520" s="30" t="inlineStr">
        <is>
          <t>LOG IN RIO TRANSPORTES LTDA</t>
        </is>
      </c>
      <c r="E520" s="40" t="n">
        <v>0</v>
      </c>
      <c r="F520" s="40" t="n">
        <v>0</v>
      </c>
      <c r="G520" s="40" t="n">
        <v>0</v>
      </c>
      <c r="H520" s="40" t="n">
        <v>0</v>
      </c>
      <c r="I520" s="40" t="n">
        <v>0</v>
      </c>
      <c r="J520" s="40" t="n">
        <v>0</v>
      </c>
      <c r="K520" s="40" t="n">
        <v>0</v>
      </c>
      <c r="L520" s="40" t="n">
        <v>0</v>
      </c>
      <c r="M520" s="40" t="n">
        <v>0</v>
      </c>
      <c r="N520" s="40" t="n">
        <v>0</v>
      </c>
      <c r="O520" s="40" t="n">
        <v>0</v>
      </c>
      <c r="P520" s="40" t="n">
        <v>194.46</v>
      </c>
      <c r="Q520" s="40" t="n">
        <v>100</v>
      </c>
      <c r="R520" s="47" t="n"/>
      <c r="S520" s="47" t="n"/>
      <c r="T520" s="47" t="n"/>
      <c r="U520" s="47" t="n"/>
      <c r="V520" s="47" t="n"/>
      <c r="W520" s="47" t="n"/>
    </row>
    <row r="521" ht="11.25" customHeight="1">
      <c r="A521" s="30" t="inlineStr">
        <is>
          <t>Itaguai</t>
        </is>
      </c>
      <c r="B521" s="30" t="n">
        <v>77791167</v>
      </c>
      <c r="C521" s="30">
        <f>"03839188000154"</f>
        <v/>
      </c>
      <c r="D521" s="30" t="inlineStr">
        <is>
          <t>ROSANGELA APARECIDA ANDRADE ROCHA</t>
        </is>
      </c>
      <c r="E521" s="40" t="n">
        <v>0</v>
      </c>
      <c r="F521" s="40" t="n">
        <v>0</v>
      </c>
      <c r="G521" s="40" t="n">
        <v>0</v>
      </c>
      <c r="H521" s="40" t="n">
        <v>0</v>
      </c>
      <c r="I521" s="40" t="n">
        <v>0</v>
      </c>
      <c r="J521" s="40" t="n">
        <v>0</v>
      </c>
      <c r="K521" s="40" t="n">
        <v>0</v>
      </c>
      <c r="L521" s="40" t="n">
        <v>0</v>
      </c>
      <c r="M521" s="40" t="n">
        <v>0</v>
      </c>
      <c r="N521" s="40" t="n">
        <v>0</v>
      </c>
      <c r="O521" s="40" t="n">
        <v>0</v>
      </c>
      <c r="P521" s="40" t="n">
        <v>0</v>
      </c>
      <c r="Q521" s="40" t="n">
        <v>0</v>
      </c>
      <c r="R521" s="47" t="n"/>
      <c r="S521" s="47" t="n"/>
      <c r="T521" s="47" t="n"/>
      <c r="U521" s="47" t="n"/>
      <c r="V521" s="47" t="n"/>
      <c r="W521" s="47" t="n"/>
    </row>
    <row r="522" ht="11.25" customHeight="1">
      <c r="A522" s="30" t="inlineStr">
        <is>
          <t>Itaguai</t>
        </is>
      </c>
      <c r="B522" s="30" t="n">
        <v>77796070</v>
      </c>
      <c r="C522" s="30">
        <f>"07013237000156"</f>
        <v/>
      </c>
      <c r="D522" s="30" t="inlineStr">
        <is>
          <t>LU BABY COMERCIO DE ROUPA INFANTIL LTDA</t>
        </is>
      </c>
      <c r="E522" s="40" t="n">
        <v>0</v>
      </c>
      <c r="F522" s="40" t="n">
        <v>0</v>
      </c>
      <c r="G522" s="40" t="n">
        <v>0</v>
      </c>
      <c r="H522" s="40" t="n">
        <v>0</v>
      </c>
      <c r="I522" s="40" t="n">
        <v>0</v>
      </c>
      <c r="J522" s="40" t="n">
        <v>0</v>
      </c>
      <c r="K522" s="40" t="n">
        <v>0</v>
      </c>
      <c r="L522" s="40" t="n">
        <v>0</v>
      </c>
      <c r="M522" s="40" t="n">
        <v>0</v>
      </c>
      <c r="N522" s="40" t="n">
        <v>0</v>
      </c>
      <c r="O522" s="40" t="n">
        <v>0</v>
      </c>
      <c r="P522" s="40" t="n">
        <v>0</v>
      </c>
      <c r="Q522" s="40" t="n">
        <v>0</v>
      </c>
      <c r="R522" s="47" t="n"/>
      <c r="S522" s="47" t="n"/>
      <c r="T522" s="47" t="n"/>
      <c r="U522" s="47" t="n"/>
      <c r="V522" s="47" t="n"/>
      <c r="W522" s="47" t="n"/>
    </row>
    <row r="523" ht="11.25" customHeight="1">
      <c r="A523" s="30" t="inlineStr">
        <is>
          <t>Itaguai</t>
        </is>
      </c>
      <c r="B523" s="30" t="n">
        <v>77812393</v>
      </c>
      <c r="C523" s="30">
        <f>"00972696000207"</f>
        <v/>
      </c>
      <c r="D523" s="30" t="inlineStr">
        <is>
          <t>V M RAMOS &amp; CIA LTDA</t>
        </is>
      </c>
      <c r="E523" s="40" t="n">
        <v>0</v>
      </c>
      <c r="F523" s="40" t="n">
        <v>0</v>
      </c>
      <c r="G523" s="40" t="n">
        <v>0</v>
      </c>
      <c r="H523" s="40" t="n">
        <v>0</v>
      </c>
      <c r="I523" s="40" t="n">
        <v>0</v>
      </c>
      <c r="J523" s="40" t="n">
        <v>0</v>
      </c>
      <c r="K523" s="40" t="n">
        <v>0</v>
      </c>
      <c r="L523" s="40" t="n">
        <v>0</v>
      </c>
      <c r="M523" s="40" t="n">
        <v>0</v>
      </c>
      <c r="N523" s="40" t="n">
        <v>372.02</v>
      </c>
      <c r="O523" s="40" t="n">
        <v>100</v>
      </c>
      <c r="P523" s="40" t="n">
        <v>0</v>
      </c>
      <c r="Q523" s="46" t="n">
        <v>-100</v>
      </c>
      <c r="R523" s="47" t="n"/>
      <c r="S523" s="47" t="n"/>
      <c r="T523" s="47" t="n"/>
      <c r="U523" s="47" t="n"/>
      <c r="V523" s="47" t="n"/>
      <c r="W523" s="47" t="n"/>
    </row>
    <row r="524" ht="11.25" customHeight="1">
      <c r="A524" s="30" t="inlineStr">
        <is>
          <t>Itaguai</t>
        </is>
      </c>
      <c r="B524" s="30" t="n">
        <v>77812814</v>
      </c>
      <c r="C524" s="30">
        <f>"06371265000182"</f>
        <v/>
      </c>
      <c r="D524" s="30" t="inlineStr">
        <is>
          <t>MP 2019 TRANSPORTES LTDA</t>
        </is>
      </c>
      <c r="E524" s="40" t="n">
        <v>0</v>
      </c>
      <c r="F524" s="40" t="n">
        <v>0</v>
      </c>
      <c r="G524" s="40" t="n">
        <v>0</v>
      </c>
      <c r="H524" s="40" t="n">
        <v>0</v>
      </c>
      <c r="I524" s="40" t="n">
        <v>0</v>
      </c>
      <c r="J524" s="40" t="n">
        <v>0</v>
      </c>
      <c r="K524" s="40" t="n">
        <v>0</v>
      </c>
      <c r="L524" s="40" t="n">
        <v>2568.41</v>
      </c>
      <c r="M524" s="40" t="n">
        <v>100</v>
      </c>
      <c r="N524" s="40" t="n">
        <v>0</v>
      </c>
      <c r="O524" s="46" t="n">
        <v>-100</v>
      </c>
      <c r="P524" s="40" t="n">
        <v>0</v>
      </c>
      <c r="Q524" s="40" t="n">
        <v>0</v>
      </c>
      <c r="R524" s="47" t="n"/>
      <c r="S524" s="47" t="n"/>
      <c r="T524" s="47" t="n"/>
      <c r="U524" s="47" t="n"/>
      <c r="V524" s="47" t="n"/>
      <c r="W524" s="47" t="n"/>
    </row>
    <row r="525" ht="11.25" customHeight="1">
      <c r="A525" s="30" t="inlineStr">
        <is>
          <t>Itaguai</t>
        </is>
      </c>
      <c r="B525" s="30" t="n">
        <v>77836349</v>
      </c>
      <c r="C525" s="30">
        <f>"03708458000279"</f>
        <v/>
      </c>
      <c r="D525" s="30" t="inlineStr">
        <is>
          <t>REDIVIX TRANSPORTES LTDA</t>
        </is>
      </c>
      <c r="E525" s="40" t="n">
        <v>0</v>
      </c>
      <c r="F525" s="40" t="n">
        <v>0</v>
      </c>
      <c r="G525" s="40" t="n">
        <v>0</v>
      </c>
      <c r="H525" s="40" t="n">
        <v>0</v>
      </c>
      <c r="I525" s="40" t="n">
        <v>0</v>
      </c>
      <c r="J525" s="40" t="n">
        <v>593.83</v>
      </c>
      <c r="K525" s="40" t="n">
        <v>100</v>
      </c>
      <c r="L525" s="40" t="n">
        <v>689.5</v>
      </c>
      <c r="M525" s="40" t="n">
        <v>16.11</v>
      </c>
      <c r="N525" s="40" t="n">
        <v>712.52</v>
      </c>
      <c r="O525" s="40" t="n">
        <v>3.34</v>
      </c>
      <c r="P525" s="40" t="n">
        <v>3787.69</v>
      </c>
      <c r="Q525" s="40" t="n">
        <v>431.59</v>
      </c>
      <c r="R525" s="47" t="n"/>
      <c r="S525" s="47" t="n"/>
      <c r="T525" s="47" t="n"/>
      <c r="U525" s="47" t="n"/>
      <c r="V525" s="47" t="n"/>
      <c r="W525" s="47" t="n"/>
    </row>
    <row r="526" ht="11.25" customHeight="1">
      <c r="A526" s="30" t="inlineStr">
        <is>
          <t>Itaguai</t>
        </is>
      </c>
      <c r="B526" s="30" t="n">
        <v>77838406</v>
      </c>
      <c r="C526" s="30">
        <f>"07118913000156"</f>
        <v/>
      </c>
      <c r="D526" s="30" t="inlineStr">
        <is>
          <t>TRANSPORTADORA BONS AMIGOS E M LOGISTICA LTDA EPP</t>
        </is>
      </c>
      <c r="E526" s="40" t="n">
        <v>911.39</v>
      </c>
      <c r="F526" s="40" t="n">
        <v>233.87</v>
      </c>
      <c r="G526" s="46" t="n">
        <v>-74.34</v>
      </c>
      <c r="H526" s="40" t="n">
        <v>8694.48</v>
      </c>
      <c r="I526" s="40" t="n">
        <v>3617.66</v>
      </c>
      <c r="J526" s="40" t="n">
        <v>4909.31</v>
      </c>
      <c r="K526" s="46" t="n">
        <v>-43.54</v>
      </c>
      <c r="L526" s="40" t="n">
        <v>0</v>
      </c>
      <c r="M526" s="46" t="n">
        <v>-100</v>
      </c>
      <c r="N526" s="40" t="n">
        <v>0</v>
      </c>
      <c r="O526" s="40" t="n">
        <v>0</v>
      </c>
      <c r="P526" s="40" t="n">
        <v>0</v>
      </c>
      <c r="Q526" s="40" t="n">
        <v>0</v>
      </c>
      <c r="R526" s="47" t="n"/>
      <c r="S526" s="47" t="n"/>
      <c r="T526" s="47" t="n"/>
      <c r="U526" s="47" t="n"/>
      <c r="V526" s="47" t="n"/>
      <c r="W526" s="47" t="n"/>
    </row>
    <row r="527" ht="11.25" customHeight="1">
      <c r="A527" s="30" t="inlineStr">
        <is>
          <t>Itaguai</t>
        </is>
      </c>
      <c r="B527" s="30" t="n">
        <v>77838635</v>
      </c>
      <c r="C527" s="30">
        <f>"07134567000108"</f>
        <v/>
      </c>
      <c r="D527" s="30" t="inlineStr">
        <is>
          <t>H. MORAES PEREIRA LOCACÕES &amp; TRANSPORTES EIRELI</t>
        </is>
      </c>
      <c r="E527" s="40" t="n">
        <v>0</v>
      </c>
      <c r="F527" s="40" t="n">
        <v>0</v>
      </c>
      <c r="G527" s="40" t="n">
        <v>0</v>
      </c>
      <c r="H527" s="40" t="n">
        <v>0</v>
      </c>
      <c r="I527" s="40" t="n">
        <v>0</v>
      </c>
      <c r="J527" s="40" t="n">
        <v>0</v>
      </c>
      <c r="K527" s="40" t="n">
        <v>0</v>
      </c>
      <c r="L527" s="40" t="n">
        <v>0</v>
      </c>
      <c r="M527" s="40" t="n">
        <v>0</v>
      </c>
      <c r="N527" s="40" t="n">
        <v>0</v>
      </c>
      <c r="O527" s="40" t="n">
        <v>0</v>
      </c>
      <c r="P527" s="40" t="n">
        <v>0</v>
      </c>
      <c r="Q527" s="40" t="n">
        <v>0</v>
      </c>
      <c r="R527" s="47" t="n"/>
      <c r="S527" s="47" t="n"/>
      <c r="T527" s="47" t="n"/>
      <c r="U527" s="47" t="n"/>
      <c r="V527" s="47" t="n"/>
      <c r="W527" s="47" t="n"/>
    </row>
    <row r="528" ht="11.25" customHeight="1">
      <c r="A528" s="30" t="inlineStr">
        <is>
          <t>Itaguai</t>
        </is>
      </c>
      <c r="B528" s="30" t="n">
        <v>77842187</v>
      </c>
      <c r="C528" s="30">
        <f>"31910037000180"</f>
        <v/>
      </c>
      <c r="D528" s="30" t="inlineStr">
        <is>
          <t>DELCI DE FREITAS RIBEIRO SERRALHERIA</t>
        </is>
      </c>
      <c r="E528" s="40" t="n">
        <v>0</v>
      </c>
      <c r="F528" s="40" t="n">
        <v>0</v>
      </c>
      <c r="G528" s="40" t="n">
        <v>0</v>
      </c>
      <c r="H528" s="40" t="n">
        <v>0</v>
      </c>
      <c r="I528" s="40" t="n">
        <v>0</v>
      </c>
      <c r="J528" s="40" t="n">
        <v>0</v>
      </c>
      <c r="K528" s="40" t="n">
        <v>0</v>
      </c>
      <c r="L528" s="40" t="n">
        <v>0</v>
      </c>
      <c r="M528" s="40" t="n">
        <v>0</v>
      </c>
      <c r="N528" s="40" t="n">
        <v>0</v>
      </c>
      <c r="O528" s="40" t="n">
        <v>0</v>
      </c>
      <c r="P528" s="40" t="n">
        <v>0</v>
      </c>
      <c r="Q528" s="40" t="n">
        <v>0</v>
      </c>
      <c r="R528" s="47" t="n"/>
      <c r="S528" s="47" t="n"/>
      <c r="T528" s="47" t="n"/>
      <c r="U528" s="47" t="n"/>
      <c r="V528" s="47" t="n"/>
      <c r="W528" s="47" t="n"/>
    </row>
    <row r="529" ht="11.25" customHeight="1">
      <c r="A529" s="30" t="inlineStr">
        <is>
          <t>Itaguai</t>
        </is>
      </c>
      <c r="B529" s="30" t="n">
        <v>77848606</v>
      </c>
      <c r="C529" s="30">
        <f>"07098894000143"</f>
        <v/>
      </c>
      <c r="D529" s="30" t="inlineStr">
        <is>
          <t>POSTO DE GASOLINA PORTAL DO PORTO LTDA</t>
        </is>
      </c>
      <c r="E529" s="40" t="n">
        <v>30945.54</v>
      </c>
      <c r="F529" s="40" t="n">
        <v>0</v>
      </c>
      <c r="G529" s="46" t="n">
        <v>-100</v>
      </c>
      <c r="H529" s="40" t="n">
        <v>245265.58</v>
      </c>
      <c r="I529" s="40" t="n">
        <v>100</v>
      </c>
      <c r="J529" s="40" t="n">
        <v>2504194.47</v>
      </c>
      <c r="K529" s="40" t="n">
        <v>921.01</v>
      </c>
      <c r="L529" s="40" t="n">
        <v>1017071.27</v>
      </c>
      <c r="M529" s="46" t="n">
        <v>-59.39</v>
      </c>
      <c r="N529" s="40" t="n">
        <v>0</v>
      </c>
      <c r="O529" s="46" t="n">
        <v>-100</v>
      </c>
      <c r="P529" s="40" t="n">
        <v>0</v>
      </c>
      <c r="Q529" s="40" t="n">
        <v>0</v>
      </c>
      <c r="R529" s="47" t="n"/>
      <c r="S529" s="47" t="n"/>
      <c r="T529" s="47" t="n"/>
      <c r="U529" s="47" t="n"/>
      <c r="V529" s="47" t="n"/>
      <c r="W529" s="47" t="n"/>
    </row>
    <row r="530" ht="11.25" customHeight="1">
      <c r="A530" s="30" t="inlineStr">
        <is>
          <t>Itaguai</t>
        </is>
      </c>
      <c r="B530" s="30" t="n">
        <v>77883517</v>
      </c>
      <c r="C530" s="30">
        <f>"07228365000117"</f>
        <v/>
      </c>
      <c r="D530" s="30" t="inlineStr">
        <is>
          <t>POLIBETUME SERVICOS DE PAVIMENTACAO LTDA</t>
        </is>
      </c>
      <c r="E530" s="40" t="n">
        <v>0</v>
      </c>
      <c r="F530" s="40" t="n">
        <v>0</v>
      </c>
      <c r="G530" s="40" t="n">
        <v>0</v>
      </c>
      <c r="H530" s="40" t="n">
        <v>0</v>
      </c>
      <c r="I530" s="40" t="n">
        <v>0</v>
      </c>
      <c r="J530" s="40" t="n">
        <v>0</v>
      </c>
      <c r="K530" s="40" t="n">
        <v>0</v>
      </c>
      <c r="L530" s="40" t="n">
        <v>0</v>
      </c>
      <c r="M530" s="40" t="n">
        <v>0</v>
      </c>
      <c r="N530" s="40" t="n">
        <v>0</v>
      </c>
      <c r="O530" s="40" t="n">
        <v>0</v>
      </c>
      <c r="P530" s="40" t="n">
        <v>0</v>
      </c>
      <c r="Q530" s="40" t="n">
        <v>0</v>
      </c>
      <c r="R530" s="47" t="n"/>
      <c r="S530" s="47" t="n"/>
      <c r="T530" s="47" t="n"/>
      <c r="U530" s="47" t="n"/>
      <c r="V530" s="47" t="n"/>
      <c r="W530" s="47" t="n"/>
    </row>
    <row r="531" ht="11.25" customHeight="1">
      <c r="A531" s="30" t="inlineStr">
        <is>
          <t>Itaguai</t>
        </is>
      </c>
      <c r="B531" s="30" t="n">
        <v>77883568</v>
      </c>
      <c r="C531" s="30">
        <f>"07274618000199"</f>
        <v/>
      </c>
      <c r="D531" s="30" t="inlineStr">
        <is>
          <t>J A DE ITAGUAI VEICULOS LTDA</t>
        </is>
      </c>
      <c r="E531" s="40" t="n">
        <v>418234</v>
      </c>
      <c r="F531" s="40" t="n">
        <v>914060.77</v>
      </c>
      <c r="G531" s="40" t="n">
        <v>118.55</v>
      </c>
      <c r="H531" s="40" t="n">
        <v>441621.92</v>
      </c>
      <c r="I531" s="46" t="n">
        <v>-51.69</v>
      </c>
      <c r="J531" s="40" t="n">
        <v>996088.11</v>
      </c>
      <c r="K531" s="40" t="n">
        <v>125.55</v>
      </c>
      <c r="L531" s="40" t="n">
        <v>291279.92</v>
      </c>
      <c r="M531" s="46" t="n">
        <v>-70.76000000000001</v>
      </c>
      <c r="N531" s="40" t="n">
        <v>1167953.64</v>
      </c>
      <c r="O531" s="40" t="n">
        <v>300.97</v>
      </c>
      <c r="P531" s="40" t="n">
        <v>229127.05</v>
      </c>
      <c r="Q531" s="46" t="n">
        <v>-80.38</v>
      </c>
      <c r="R531" s="47" t="n"/>
      <c r="S531" s="47" t="n"/>
      <c r="T531" s="47" t="n"/>
      <c r="U531" s="47" t="n"/>
      <c r="V531" s="47" t="n"/>
      <c r="W531" s="47" t="n"/>
    </row>
    <row r="532" ht="11.25" customHeight="1">
      <c r="A532" s="30" t="inlineStr">
        <is>
          <t>Itaguai</t>
        </is>
      </c>
      <c r="B532" s="30" t="n">
        <v>77892001</v>
      </c>
      <c r="C532" s="30">
        <f>"07304874000181"</f>
        <v/>
      </c>
      <c r="D532" s="30" t="inlineStr">
        <is>
          <t>WWW ROSA BAZAR LTDA ME</t>
        </is>
      </c>
      <c r="E532" s="40" t="n">
        <v>0</v>
      </c>
      <c r="F532" s="40" t="n">
        <v>0</v>
      </c>
      <c r="G532" s="40" t="n">
        <v>0</v>
      </c>
      <c r="H532" s="40" t="n">
        <v>0</v>
      </c>
      <c r="I532" s="40" t="n">
        <v>0</v>
      </c>
      <c r="J532" s="40" t="n">
        <v>0</v>
      </c>
      <c r="K532" s="40" t="n">
        <v>0</v>
      </c>
      <c r="L532" s="40" t="n">
        <v>0</v>
      </c>
      <c r="M532" s="40" t="n">
        <v>0</v>
      </c>
      <c r="N532" s="40" t="n">
        <v>0</v>
      </c>
      <c r="O532" s="40" t="n">
        <v>0</v>
      </c>
      <c r="P532" s="40" t="n">
        <v>0</v>
      </c>
      <c r="Q532" s="40" t="n">
        <v>0</v>
      </c>
      <c r="R532" s="47" t="n"/>
      <c r="S532" s="47" t="n"/>
      <c r="T532" s="47" t="n"/>
      <c r="U532" s="47" t="n"/>
      <c r="V532" s="47" t="n"/>
      <c r="W532" s="47" t="n"/>
    </row>
    <row r="533" ht="11.25" customHeight="1">
      <c r="A533" s="30" t="inlineStr">
        <is>
          <t>Itaguai</t>
        </is>
      </c>
      <c r="B533" s="30" t="n">
        <v>77907912</v>
      </c>
      <c r="C533" s="30">
        <f>"31562358000131"</f>
        <v/>
      </c>
      <c r="D533" s="30" t="inlineStr">
        <is>
          <t>R R DA SILVA MERCEARIA ME</t>
        </is>
      </c>
      <c r="E533" s="40" t="n">
        <v>0</v>
      </c>
      <c r="F533" s="40" t="n">
        <v>0</v>
      </c>
      <c r="G533" s="40" t="n">
        <v>0</v>
      </c>
      <c r="H533" s="40" t="n">
        <v>0</v>
      </c>
      <c r="I533" s="40" t="n">
        <v>0</v>
      </c>
      <c r="J533" s="40" t="n">
        <v>0</v>
      </c>
      <c r="K533" s="40" t="n">
        <v>0</v>
      </c>
      <c r="L533" s="40" t="n">
        <v>0</v>
      </c>
      <c r="M533" s="40" t="n">
        <v>0</v>
      </c>
      <c r="N533" s="40" t="n">
        <v>0</v>
      </c>
      <c r="O533" s="40" t="n">
        <v>0</v>
      </c>
      <c r="P533" s="40" t="n">
        <v>0</v>
      </c>
      <c r="Q533" s="40" t="n">
        <v>0</v>
      </c>
      <c r="R533" s="47" t="n"/>
      <c r="S533" s="47" t="n"/>
      <c r="T533" s="47" t="n"/>
      <c r="U533" s="47" t="n"/>
      <c r="V533" s="47" t="n"/>
      <c r="W533" s="47" t="n"/>
    </row>
    <row r="534" ht="11.25" customHeight="1">
      <c r="A534" s="30" t="inlineStr">
        <is>
          <t>Itaguai</t>
        </is>
      </c>
      <c r="B534" s="30" t="n">
        <v>77909028</v>
      </c>
      <c r="C534" s="30">
        <f>"03558055001009"</f>
        <v/>
      </c>
      <c r="D534" s="30" t="inlineStr">
        <is>
          <t>INTERMODAL BRASIL LOGISTICA LTDA</t>
        </is>
      </c>
      <c r="E534" s="40" t="n">
        <v>83.98</v>
      </c>
      <c r="F534" s="40" t="n">
        <v>2609.44</v>
      </c>
      <c r="G534" s="40" t="n">
        <v>3007.22</v>
      </c>
      <c r="H534" s="40" t="n">
        <v>0</v>
      </c>
      <c r="I534" s="46" t="n">
        <v>-100</v>
      </c>
      <c r="J534" s="40" t="n">
        <v>259.71</v>
      </c>
      <c r="K534" s="40" t="n">
        <v>100</v>
      </c>
      <c r="L534" s="40" t="n">
        <v>0</v>
      </c>
      <c r="M534" s="46" t="n">
        <v>-100</v>
      </c>
      <c r="N534" s="40" t="n">
        <v>0</v>
      </c>
      <c r="O534" s="40" t="n">
        <v>0</v>
      </c>
      <c r="P534" s="40" t="n">
        <v>0</v>
      </c>
      <c r="Q534" s="40" t="n">
        <v>0</v>
      </c>
      <c r="R534" s="47" t="n"/>
      <c r="S534" s="47" t="n"/>
      <c r="T534" s="47" t="n"/>
      <c r="U534" s="47" t="n"/>
      <c r="V534" s="47" t="n"/>
      <c r="W534" s="47" t="n"/>
    </row>
    <row r="535" ht="11.25" customHeight="1">
      <c r="A535" s="30" t="inlineStr">
        <is>
          <t>Itaguai</t>
        </is>
      </c>
      <c r="B535" s="30" t="n">
        <v>77910042</v>
      </c>
      <c r="C535" s="30">
        <f>"07244182000195"</f>
        <v/>
      </c>
      <c r="D535" s="30" t="inlineStr">
        <is>
          <t>CARGO ONIX RIO LOGISTICA DE TRANSPORTE DE CARGAS LTDA</t>
        </is>
      </c>
      <c r="E535" s="40" t="n">
        <v>0</v>
      </c>
      <c r="F535" s="40" t="n">
        <v>2903.75</v>
      </c>
      <c r="G535" s="40" t="n">
        <v>100</v>
      </c>
      <c r="H535" s="40" t="n">
        <v>0</v>
      </c>
      <c r="I535" s="46" t="n">
        <v>-100</v>
      </c>
      <c r="J535" s="40" t="n">
        <v>0</v>
      </c>
      <c r="K535" s="40" t="n">
        <v>0</v>
      </c>
      <c r="L535" s="40" t="n">
        <v>0</v>
      </c>
      <c r="M535" s="40" t="n">
        <v>0</v>
      </c>
      <c r="N535" s="40" t="n">
        <v>267499.7</v>
      </c>
      <c r="O535" s="40" t="n">
        <v>100</v>
      </c>
      <c r="P535" s="40" t="n">
        <v>171626.83</v>
      </c>
      <c r="Q535" s="46" t="n">
        <v>-35.84</v>
      </c>
      <c r="R535" s="47" t="n"/>
      <c r="S535" s="47" t="n"/>
      <c r="T535" s="47" t="n"/>
      <c r="U535" s="47" t="n"/>
      <c r="V535" s="47" t="n"/>
      <c r="W535" s="47" t="n"/>
    </row>
    <row r="536" ht="11.25" customHeight="1">
      <c r="A536" s="30" t="inlineStr">
        <is>
          <t>Itaguai</t>
        </is>
      </c>
      <c r="B536" s="30" t="n">
        <v>77916040</v>
      </c>
      <c r="C536" s="30">
        <f>"07406991000156"</f>
        <v/>
      </c>
      <c r="D536" s="30" t="inlineStr">
        <is>
          <t>DROGARIAS ATUAL DA COSTA VERDE LTDA</t>
        </is>
      </c>
      <c r="E536" s="40" t="n">
        <v>831176.7</v>
      </c>
      <c r="F536" s="40" t="n">
        <v>2360567.4</v>
      </c>
      <c r="G536" s="40" t="n">
        <v>184</v>
      </c>
      <c r="H536" s="40" t="n">
        <v>0</v>
      </c>
      <c r="I536" s="46" t="n">
        <v>-100</v>
      </c>
      <c r="J536" s="40" t="n">
        <v>1367217.08</v>
      </c>
      <c r="K536" s="40" t="n">
        <v>100</v>
      </c>
      <c r="L536" s="40" t="n">
        <v>37834.73</v>
      </c>
      <c r="M536" s="46" t="n">
        <v>-97.23</v>
      </c>
      <c r="N536" s="40" t="n">
        <v>1150167.29</v>
      </c>
      <c r="O536" s="40" t="n">
        <v>2939.98</v>
      </c>
      <c r="P536" s="40" t="n">
        <v>0</v>
      </c>
      <c r="Q536" s="46" t="n">
        <v>-100</v>
      </c>
      <c r="R536" s="47" t="n"/>
      <c r="S536" s="47" t="n"/>
      <c r="T536" s="47" t="n"/>
      <c r="U536" s="47" t="n"/>
      <c r="V536" s="47" t="n"/>
      <c r="W536" s="47" t="n"/>
    </row>
    <row r="537" ht="11.25" customHeight="1">
      <c r="A537" s="30" t="inlineStr">
        <is>
          <t>Itaguai</t>
        </is>
      </c>
      <c r="B537" s="30" t="n">
        <v>77922563</v>
      </c>
      <c r="C537" s="30">
        <f>"73749335000180"</f>
        <v/>
      </c>
      <c r="D537" s="30" t="inlineStr">
        <is>
          <t>YRUAMA RIO TRANSPORTES FRETAMENTO E TURISMO LTDA ME</t>
        </is>
      </c>
      <c r="E537" s="40" t="n">
        <v>0</v>
      </c>
      <c r="F537" s="40" t="n">
        <v>0</v>
      </c>
      <c r="G537" s="40" t="n">
        <v>0</v>
      </c>
      <c r="H537" s="40" t="n">
        <v>0</v>
      </c>
      <c r="I537" s="40" t="n">
        <v>0</v>
      </c>
      <c r="J537" s="40" t="n">
        <v>0</v>
      </c>
      <c r="K537" s="40" t="n">
        <v>0</v>
      </c>
      <c r="L537" s="40" t="n">
        <v>0</v>
      </c>
      <c r="M537" s="40" t="n">
        <v>0</v>
      </c>
      <c r="N537" s="40" t="n">
        <v>41250</v>
      </c>
      <c r="O537" s="40" t="n">
        <v>100</v>
      </c>
      <c r="P537" s="40" t="n">
        <v>132.5</v>
      </c>
      <c r="Q537" s="46" t="n">
        <v>-99.68000000000001</v>
      </c>
      <c r="R537" s="47" t="n"/>
      <c r="S537" s="47" t="n"/>
      <c r="T537" s="47" t="n"/>
      <c r="U537" s="47" t="n"/>
      <c r="V537" s="47" t="n"/>
      <c r="W537" s="47" t="n"/>
    </row>
    <row r="538" ht="11.25" customHeight="1">
      <c r="A538" s="30" t="inlineStr">
        <is>
          <t>Itaguai</t>
        </is>
      </c>
      <c r="B538" s="30" t="n">
        <v>77926658</v>
      </c>
      <c r="C538" s="30">
        <f>"07431383000100"</f>
        <v/>
      </c>
      <c r="D538" s="30" t="inlineStr">
        <is>
          <t>SILVA RANGEL COMERCIO E SERVI?OS LTDA</t>
        </is>
      </c>
      <c r="E538" s="40" t="n">
        <v>0</v>
      </c>
      <c r="F538" s="40" t="n">
        <v>0</v>
      </c>
      <c r="G538" s="40" t="n">
        <v>0</v>
      </c>
      <c r="H538" s="40" t="n">
        <v>0</v>
      </c>
      <c r="I538" s="40" t="n">
        <v>0</v>
      </c>
      <c r="J538" s="40" t="n">
        <v>0</v>
      </c>
      <c r="K538" s="40" t="n">
        <v>0</v>
      </c>
      <c r="L538" s="40" t="n">
        <v>0</v>
      </c>
      <c r="M538" s="40" t="n">
        <v>0</v>
      </c>
      <c r="N538" s="40" t="n">
        <v>0</v>
      </c>
      <c r="O538" s="40" t="n">
        <v>0</v>
      </c>
      <c r="P538" s="40" t="n">
        <v>0</v>
      </c>
      <c r="Q538" s="40" t="n">
        <v>0</v>
      </c>
      <c r="R538" s="47" t="n"/>
      <c r="S538" s="47" t="n"/>
      <c r="T538" s="47" t="n"/>
      <c r="U538" s="47" t="n"/>
      <c r="V538" s="47" t="n"/>
      <c r="W538" s="47" t="n"/>
    </row>
    <row r="539" ht="11.25" customHeight="1">
      <c r="A539" s="30" t="inlineStr">
        <is>
          <t>Itaguai</t>
        </is>
      </c>
      <c r="B539" s="30" t="n">
        <v>77939156</v>
      </c>
      <c r="C539" s="30">
        <f>"07478921000103"</f>
        <v/>
      </c>
      <c r="D539" s="30" t="inlineStr">
        <is>
          <t>ACEROS TRANSPORTES LTDA</t>
        </is>
      </c>
      <c r="E539" s="40" t="n">
        <v>0</v>
      </c>
      <c r="F539" s="40" t="n">
        <v>6466.5</v>
      </c>
      <c r="G539" s="40" t="n">
        <v>100</v>
      </c>
      <c r="H539" s="40" t="n">
        <v>0</v>
      </c>
      <c r="I539" s="46" t="n">
        <v>-100</v>
      </c>
      <c r="J539" s="40" t="n">
        <v>0</v>
      </c>
      <c r="K539" s="40" t="n">
        <v>0</v>
      </c>
      <c r="L539" s="40" t="n">
        <v>0</v>
      </c>
      <c r="M539" s="40" t="n">
        <v>0</v>
      </c>
      <c r="N539" s="40" t="n">
        <v>0</v>
      </c>
      <c r="O539" s="40" t="n">
        <v>0</v>
      </c>
      <c r="P539" s="40" t="n">
        <v>0</v>
      </c>
      <c r="Q539" s="40" t="n">
        <v>0</v>
      </c>
      <c r="R539" s="47" t="n"/>
      <c r="S539" s="47" t="n"/>
      <c r="T539" s="47" t="n"/>
      <c r="U539" s="47" t="n"/>
      <c r="V539" s="47" t="n"/>
      <c r="W539" s="47" t="n"/>
    </row>
    <row r="540" ht="11.25" customHeight="1">
      <c r="A540" s="30" t="inlineStr">
        <is>
          <t>Itaguai</t>
        </is>
      </c>
      <c r="B540" s="30" t="n">
        <v>77953299</v>
      </c>
      <c r="C540" s="30">
        <f>"29138302001346"</f>
        <v/>
      </c>
      <c r="D540" s="30" t="inlineStr">
        <is>
          <t>PREFEITURA MUNICIPAL DE ITAGUAI</t>
        </is>
      </c>
      <c r="E540" s="40" t="n">
        <v>0</v>
      </c>
      <c r="F540" s="40" t="n">
        <v>0</v>
      </c>
      <c r="G540" s="40" t="n">
        <v>0</v>
      </c>
      <c r="H540" s="40" t="n">
        <v>0</v>
      </c>
      <c r="I540" s="40" t="n">
        <v>0</v>
      </c>
      <c r="J540" s="40" t="n">
        <v>0</v>
      </c>
      <c r="K540" s="40" t="n">
        <v>0</v>
      </c>
      <c r="L540" s="40" t="n">
        <v>0</v>
      </c>
      <c r="M540" s="40" t="n">
        <v>0</v>
      </c>
      <c r="N540" s="40" t="n">
        <v>0</v>
      </c>
      <c r="O540" s="40" t="n">
        <v>0</v>
      </c>
      <c r="P540" s="40" t="n">
        <v>0</v>
      </c>
      <c r="Q540" s="40" t="n">
        <v>0</v>
      </c>
      <c r="R540" s="47" t="n"/>
      <c r="S540" s="47" t="n"/>
      <c r="T540" s="47" t="n"/>
      <c r="U540" s="47" t="n"/>
      <c r="V540" s="47" t="n"/>
      <c r="W540" s="47" t="n"/>
    </row>
    <row r="541" ht="11.25" customHeight="1">
      <c r="A541" s="30" t="inlineStr">
        <is>
          <t>Itaguai</t>
        </is>
      </c>
      <c r="B541" s="30" t="n">
        <v>77954198</v>
      </c>
      <c r="C541" s="30">
        <f>"05169278000291"</f>
        <v/>
      </c>
      <c r="D541" s="30" t="inlineStr">
        <is>
          <t>MAGUI LUAN UTILIDADES LTDA</t>
        </is>
      </c>
      <c r="E541" s="40" t="n">
        <v>0</v>
      </c>
      <c r="F541" s="40" t="n">
        <v>0</v>
      </c>
      <c r="G541" s="40" t="n">
        <v>0</v>
      </c>
      <c r="H541" s="40" t="n">
        <v>0</v>
      </c>
      <c r="I541" s="40" t="n">
        <v>0</v>
      </c>
      <c r="J541" s="40" t="n">
        <v>0</v>
      </c>
      <c r="K541" s="40" t="n">
        <v>0</v>
      </c>
      <c r="L541" s="40" t="n">
        <v>0</v>
      </c>
      <c r="M541" s="40" t="n">
        <v>0</v>
      </c>
      <c r="N541" s="40" t="n">
        <v>0</v>
      </c>
      <c r="O541" s="40" t="n">
        <v>0</v>
      </c>
      <c r="P541" s="40" t="n">
        <v>0</v>
      </c>
      <c r="Q541" s="40" t="n">
        <v>0</v>
      </c>
      <c r="R541" s="47" t="n"/>
      <c r="S541" s="47" t="n"/>
      <c r="T541" s="47" t="n"/>
      <c r="U541" s="47" t="n"/>
      <c r="V541" s="47" t="n"/>
      <c r="W541" s="47" t="n"/>
    </row>
    <row r="542" ht="11.25" customHeight="1">
      <c r="A542" s="30" t="inlineStr">
        <is>
          <t>Itaguai</t>
        </is>
      </c>
      <c r="B542" s="30" t="n">
        <v>77957731</v>
      </c>
      <c r="C542" s="30">
        <f>"38856126000305"</f>
        <v/>
      </c>
      <c r="D542" s="30" t="inlineStr">
        <is>
          <t>TRANSPALLET TRANSPORTES E LOGISTICA LTDA</t>
        </is>
      </c>
      <c r="E542" s="40" t="n">
        <v>0</v>
      </c>
      <c r="F542" s="40" t="n">
        <v>0</v>
      </c>
      <c r="G542" s="40" t="n">
        <v>0</v>
      </c>
      <c r="H542" s="40" t="n">
        <v>0</v>
      </c>
      <c r="I542" s="40" t="n">
        <v>0</v>
      </c>
      <c r="J542" s="40" t="n">
        <v>0</v>
      </c>
      <c r="K542" s="40" t="n">
        <v>0</v>
      </c>
      <c r="L542" s="40" t="n">
        <v>0</v>
      </c>
      <c r="M542" s="40" t="n">
        <v>0</v>
      </c>
      <c r="N542" s="40" t="n">
        <v>4801</v>
      </c>
      <c r="O542" s="40" t="n">
        <v>100</v>
      </c>
      <c r="P542" s="40" t="n">
        <v>0</v>
      </c>
      <c r="Q542" s="46" t="n">
        <v>-100</v>
      </c>
      <c r="R542" s="47" t="n"/>
      <c r="S542" s="47" t="n"/>
      <c r="T542" s="47" t="n"/>
      <c r="U542" s="47" t="n"/>
      <c r="V542" s="47" t="n"/>
      <c r="W542" s="47" t="n"/>
    </row>
    <row r="543" ht="11.25" customHeight="1">
      <c r="A543" s="30" t="inlineStr">
        <is>
          <t>Itaguai</t>
        </is>
      </c>
      <c r="B543" s="30" t="n">
        <v>77962140</v>
      </c>
      <c r="C543" s="30">
        <f>"07536703000188"</f>
        <v/>
      </c>
      <c r="D543" s="30" t="inlineStr">
        <is>
          <t>PORTOFER DE ITAGUAI COMERCIO DE FERRO E ACO LTDA</t>
        </is>
      </c>
      <c r="E543" s="40" t="n">
        <v>559247.4</v>
      </c>
      <c r="F543" s="40" t="n">
        <v>667111.53</v>
      </c>
      <c r="G543" s="40" t="n">
        <v>19.29</v>
      </c>
      <c r="H543" s="40" t="n">
        <v>677384.45</v>
      </c>
      <c r="I543" s="40" t="n">
        <v>1.54</v>
      </c>
      <c r="J543" s="40" t="n">
        <v>557512.95</v>
      </c>
      <c r="K543" s="46" t="n">
        <v>-17.7</v>
      </c>
      <c r="L543" s="40" t="n">
        <v>994919.6</v>
      </c>
      <c r="M543" s="40" t="n">
        <v>78.45999999999999</v>
      </c>
      <c r="N543" s="40" t="n">
        <v>944918.77</v>
      </c>
      <c r="O543" s="46" t="n">
        <v>-5.03</v>
      </c>
      <c r="P543" s="40" t="n">
        <v>760857.97</v>
      </c>
      <c r="Q543" s="46" t="n">
        <v>-19.48</v>
      </c>
      <c r="R543" s="47" t="n"/>
      <c r="S543" s="47" t="n"/>
      <c r="T543" s="47" t="n"/>
      <c r="U543" s="47" t="n"/>
      <c r="V543" s="47" t="n"/>
      <c r="W543" s="47" t="n"/>
    </row>
    <row r="544" ht="11.25" customHeight="1">
      <c r="A544" s="30" t="inlineStr">
        <is>
          <t>Itaguai</t>
        </is>
      </c>
      <c r="B544" s="30" t="n">
        <v>77968938</v>
      </c>
      <c r="C544" s="30">
        <f>"22447684000883"</f>
        <v/>
      </c>
      <c r="D544" s="30" t="inlineStr">
        <is>
          <t>DGRA NEL TRANSPORTES E COMERCIO LTDA</t>
        </is>
      </c>
      <c r="E544" s="40" t="n">
        <v>2261702.69</v>
      </c>
      <c r="F544" s="40" t="n">
        <v>0</v>
      </c>
      <c r="G544" s="46" t="n">
        <v>-100</v>
      </c>
      <c r="H544" s="40" t="n">
        <v>2576096.33</v>
      </c>
      <c r="I544" s="40" t="n">
        <v>100</v>
      </c>
      <c r="J544" s="40" t="n">
        <v>192454.01</v>
      </c>
      <c r="K544" s="46" t="n">
        <v>-92.53</v>
      </c>
      <c r="L544" s="40" t="n">
        <v>0</v>
      </c>
      <c r="M544" s="46" t="n">
        <v>-100</v>
      </c>
      <c r="N544" s="40" t="n">
        <v>0</v>
      </c>
      <c r="O544" s="40" t="n">
        <v>0</v>
      </c>
      <c r="P544" s="40" t="n">
        <v>0</v>
      </c>
      <c r="Q544" s="40" t="n">
        <v>0</v>
      </c>
      <c r="R544" s="47" t="n"/>
      <c r="S544" s="47" t="n"/>
      <c r="T544" s="47" t="n"/>
      <c r="U544" s="47" t="n"/>
      <c r="V544" s="47" t="n"/>
      <c r="W544" s="47" t="n"/>
    </row>
    <row r="545" ht="11.25" customHeight="1">
      <c r="A545" s="30" t="inlineStr">
        <is>
          <t>Itaguai</t>
        </is>
      </c>
      <c r="B545" s="30" t="n">
        <v>77983139</v>
      </c>
      <c r="C545" s="30">
        <f>"02543119000136"</f>
        <v/>
      </c>
      <c r="D545" s="30" t="inlineStr">
        <is>
          <t>ECO RJ GESTAO AMBIENTAL LTDA ¿ ME</t>
        </is>
      </c>
      <c r="E545" s="40" t="n">
        <v>0</v>
      </c>
      <c r="F545" s="40" t="n">
        <v>0</v>
      </c>
      <c r="G545" s="40" t="n">
        <v>0</v>
      </c>
      <c r="H545" s="40" t="n">
        <v>0</v>
      </c>
      <c r="I545" s="40" t="n">
        <v>0</v>
      </c>
      <c r="J545" s="40" t="n">
        <v>0</v>
      </c>
      <c r="K545" s="40" t="n">
        <v>0</v>
      </c>
      <c r="L545" s="40" t="n">
        <v>0</v>
      </c>
      <c r="M545" s="40" t="n">
        <v>0</v>
      </c>
      <c r="N545" s="40" t="n">
        <v>0</v>
      </c>
      <c r="O545" s="40" t="n">
        <v>0</v>
      </c>
      <c r="P545" s="40" t="n">
        <v>0</v>
      </c>
      <c r="Q545" s="40" t="n">
        <v>0</v>
      </c>
      <c r="R545" s="47" t="n"/>
      <c r="S545" s="47" t="n"/>
      <c r="T545" s="47" t="n"/>
      <c r="U545" s="47" t="n"/>
      <c r="V545" s="47" t="n"/>
      <c r="W545" s="47" t="n"/>
    </row>
    <row r="546" ht="11.25" customHeight="1">
      <c r="A546" s="30" t="inlineStr">
        <is>
          <t>Itaguai</t>
        </is>
      </c>
      <c r="B546" s="30" t="n">
        <v>77985450</v>
      </c>
      <c r="C546" s="30">
        <f>"05214323000100"</f>
        <v/>
      </c>
      <c r="D546" s="30" t="inlineStr">
        <is>
          <t>RESTAURANTE LECASA DE ITAGUAI LTDA</t>
        </is>
      </c>
      <c r="E546" s="40" t="n">
        <v>0</v>
      </c>
      <c r="F546" s="40" t="n">
        <v>0</v>
      </c>
      <c r="G546" s="40" t="n">
        <v>0</v>
      </c>
      <c r="H546" s="40" t="n">
        <v>0</v>
      </c>
      <c r="I546" s="40" t="n">
        <v>0</v>
      </c>
      <c r="J546" s="40" t="n">
        <v>0</v>
      </c>
      <c r="K546" s="40" t="n">
        <v>0</v>
      </c>
      <c r="L546" s="40" t="n">
        <v>0</v>
      </c>
      <c r="M546" s="40" t="n">
        <v>0</v>
      </c>
      <c r="N546" s="40" t="n">
        <v>0</v>
      </c>
      <c r="O546" s="40" t="n">
        <v>0</v>
      </c>
      <c r="P546" s="40" t="n">
        <v>0</v>
      </c>
      <c r="Q546" s="40" t="n">
        <v>0</v>
      </c>
      <c r="R546" s="47" t="n"/>
      <c r="S546" s="47" t="n"/>
      <c r="T546" s="47" t="n"/>
      <c r="U546" s="47" t="n"/>
      <c r="V546" s="47" t="n"/>
      <c r="W546" s="47" t="n"/>
    </row>
    <row r="547" ht="11.25" customHeight="1">
      <c r="A547" s="30" t="inlineStr">
        <is>
          <t>Itaguai</t>
        </is>
      </c>
      <c r="B547" s="30" t="n">
        <v>77997946</v>
      </c>
      <c r="C547" s="30">
        <f>"03570345000179"</f>
        <v/>
      </c>
      <c r="D547" s="30" t="inlineStr">
        <is>
          <t>TSE TRANSPORTES,LOCAÇÕES E EQUIPAMENTOS EIRELI</t>
        </is>
      </c>
      <c r="E547" s="40" t="n">
        <v>0</v>
      </c>
      <c r="F547" s="40" t="n">
        <v>0</v>
      </c>
      <c r="G547" s="40" t="n">
        <v>0</v>
      </c>
      <c r="H547" s="40" t="n">
        <v>0</v>
      </c>
      <c r="I547" s="40" t="n">
        <v>0</v>
      </c>
      <c r="J547" s="40" t="n">
        <v>0</v>
      </c>
      <c r="K547" s="40" t="n">
        <v>0</v>
      </c>
      <c r="L547" s="40" t="n">
        <v>0</v>
      </c>
      <c r="M547" s="40" t="n">
        <v>0</v>
      </c>
      <c r="N547" s="40" t="n">
        <v>409</v>
      </c>
      <c r="O547" s="40" t="n">
        <v>100</v>
      </c>
      <c r="P547" s="40" t="n">
        <v>0</v>
      </c>
      <c r="Q547" s="46" t="n">
        <v>-100</v>
      </c>
      <c r="R547" s="47" t="n"/>
      <c r="S547" s="47" t="n"/>
      <c r="T547" s="47" t="n"/>
      <c r="U547" s="47" t="n"/>
      <c r="V547" s="47" t="n"/>
      <c r="W547" s="47" t="n"/>
    </row>
    <row r="548" ht="11.25" customHeight="1">
      <c r="A548" s="30" t="inlineStr">
        <is>
          <t>Itaguai</t>
        </is>
      </c>
      <c r="B548" s="30" t="n">
        <v>78002840</v>
      </c>
      <c r="C548" s="30">
        <f>"40432544006269"</f>
        <v/>
      </c>
      <c r="D548" s="30" t="inlineStr">
        <is>
          <t>CLARO S/A</t>
        </is>
      </c>
      <c r="E548" s="40" t="n">
        <v>52611225.71</v>
      </c>
      <c r="F548" s="40" t="n">
        <v>47329561.98</v>
      </c>
      <c r="G548" s="46" t="n">
        <v>-10.04</v>
      </c>
      <c r="H548" s="40" t="n">
        <v>44662157.32</v>
      </c>
      <c r="I548" s="46" t="n">
        <v>-5.64</v>
      </c>
      <c r="J548" s="40" t="n">
        <v>45132083.16</v>
      </c>
      <c r="K548" s="40" t="n">
        <v>1.05</v>
      </c>
      <c r="L548" s="40" t="n">
        <v>37494925.61</v>
      </c>
      <c r="M548" s="46" t="n">
        <v>-16.92</v>
      </c>
      <c r="N548" s="40" t="n">
        <v>23140022.94</v>
      </c>
      <c r="O548" s="46" t="n">
        <v>-38.28</v>
      </c>
      <c r="P548" s="40" t="n">
        <v>23481209.74</v>
      </c>
      <c r="Q548" s="40" t="n">
        <v>1.47</v>
      </c>
      <c r="R548" s="47" t="n"/>
      <c r="S548" s="47" t="n"/>
      <c r="T548" s="47" t="n"/>
      <c r="U548" s="47" t="n"/>
      <c r="V548" s="47" t="n"/>
      <c r="W548" s="47" t="n"/>
    </row>
    <row r="549" ht="11.25" customHeight="1">
      <c r="A549" s="30" t="inlineStr">
        <is>
          <t>Itaguai</t>
        </is>
      </c>
      <c r="B549" s="30" t="n">
        <v>78004320</v>
      </c>
      <c r="C549" s="30">
        <f>"02906213000102"</f>
        <v/>
      </c>
      <c r="D549" s="30" t="inlineStr">
        <is>
          <t>ARKITEC BRASIL SERVICOS DE MANUTENCAO PREDIAL - EIRELI</t>
        </is>
      </c>
      <c r="E549" s="40" t="n">
        <v>0</v>
      </c>
      <c r="F549" s="40" t="n">
        <v>0</v>
      </c>
      <c r="G549" s="40" t="n">
        <v>0</v>
      </c>
      <c r="H549" s="40" t="n">
        <v>0</v>
      </c>
      <c r="I549" s="40" t="n">
        <v>0</v>
      </c>
      <c r="J549" s="40" t="n">
        <v>0</v>
      </c>
      <c r="K549" s="40" t="n">
        <v>0</v>
      </c>
      <c r="L549" s="40" t="n">
        <v>0</v>
      </c>
      <c r="M549" s="40" t="n">
        <v>0</v>
      </c>
      <c r="N549" s="40" t="n">
        <v>0</v>
      </c>
      <c r="O549" s="40" t="n">
        <v>0</v>
      </c>
      <c r="P549" s="40" t="n">
        <v>0</v>
      </c>
      <c r="Q549" s="40" t="n">
        <v>0</v>
      </c>
      <c r="R549" s="47" t="n"/>
      <c r="S549" s="47" t="n"/>
      <c r="T549" s="47" t="n"/>
      <c r="U549" s="47" t="n"/>
      <c r="V549" s="47" t="n"/>
      <c r="W549" s="47" t="n"/>
    </row>
    <row r="550" ht="11.25" customHeight="1">
      <c r="A550" s="30" t="inlineStr">
        <is>
          <t>Itaguai</t>
        </is>
      </c>
      <c r="B550" s="30" t="n">
        <v>78013133</v>
      </c>
      <c r="C550" s="30">
        <f>"07685434000111"</f>
        <v/>
      </c>
      <c r="D550" s="30" t="inlineStr">
        <is>
          <t>E M VIEIRA BAZAR ME</t>
        </is>
      </c>
      <c r="E550" s="40" t="n">
        <v>642230.28</v>
      </c>
      <c r="F550" s="40" t="n">
        <v>151404.48</v>
      </c>
      <c r="G550" s="46" t="n">
        <v>-76.43000000000001</v>
      </c>
      <c r="H550" s="40" t="n">
        <v>309499.9</v>
      </c>
      <c r="I550" s="40" t="n">
        <v>104.42</v>
      </c>
      <c r="J550" s="40" t="n">
        <v>413420.19</v>
      </c>
      <c r="K550" s="40" t="n">
        <v>33.58</v>
      </c>
      <c r="L550" s="40" t="n">
        <v>761863.85</v>
      </c>
      <c r="M550" s="40" t="n">
        <v>84.28</v>
      </c>
      <c r="N550" s="40" t="n">
        <v>692013.02</v>
      </c>
      <c r="O550" s="46" t="n">
        <v>-9.17</v>
      </c>
      <c r="P550" s="40" t="n">
        <v>0</v>
      </c>
      <c r="Q550" s="46" t="n">
        <v>-100</v>
      </c>
      <c r="R550" s="47" t="n"/>
      <c r="S550" s="47" t="n"/>
      <c r="T550" s="47" t="n"/>
      <c r="U550" s="47" t="n"/>
      <c r="V550" s="47" t="n"/>
      <c r="W550" s="47" t="n"/>
    </row>
    <row r="551" ht="11.25" customHeight="1">
      <c r="A551" s="30" t="inlineStr">
        <is>
          <t>Itaguai</t>
        </is>
      </c>
      <c r="B551" s="30" t="n">
        <v>78016019</v>
      </c>
      <c r="C551" s="30">
        <f>"07629779000158"</f>
        <v/>
      </c>
      <c r="D551" s="30" t="inlineStr">
        <is>
          <t>E G LOURENCO DISTRIBUIDORA DE GAS GLP LTDA ME</t>
        </is>
      </c>
      <c r="E551" s="40" t="n">
        <v>115928.57</v>
      </c>
      <c r="F551" s="40" t="n">
        <v>0.06</v>
      </c>
      <c r="G551" s="46" t="n">
        <v>-100</v>
      </c>
      <c r="H551" s="40" t="n">
        <v>0</v>
      </c>
      <c r="I551" s="46" t="n">
        <v>-100</v>
      </c>
      <c r="J551" s="40" t="n">
        <v>0</v>
      </c>
      <c r="K551" s="40" t="n">
        <v>0</v>
      </c>
      <c r="L551" s="40" t="n">
        <v>9052.5</v>
      </c>
      <c r="M551" s="40" t="n">
        <v>100</v>
      </c>
      <c r="N551" s="40" t="n">
        <v>0</v>
      </c>
      <c r="O551" s="46" t="n">
        <v>-100</v>
      </c>
      <c r="P551" s="40" t="n">
        <v>0</v>
      </c>
      <c r="Q551" s="40" t="n">
        <v>0</v>
      </c>
      <c r="R551" s="47" t="n"/>
      <c r="S551" s="47" t="n"/>
      <c r="T551" s="47" t="n"/>
      <c r="U551" s="47" t="n"/>
      <c r="V551" s="47" t="n"/>
      <c r="W551" s="47" t="n"/>
    </row>
    <row r="552" ht="11.25" customHeight="1">
      <c r="A552" s="30" t="inlineStr">
        <is>
          <t>Itaguai</t>
        </is>
      </c>
      <c r="B552" s="30" t="n">
        <v>78023430</v>
      </c>
      <c r="C552" s="30">
        <f>"07711370000186"</f>
        <v/>
      </c>
      <c r="D552" s="30" t="inlineStr">
        <is>
          <t>ELETRIZANTE ECCARD ELETRICA E HIDRAULICA LTDA ME</t>
        </is>
      </c>
      <c r="E552" s="40" t="n">
        <v>0</v>
      </c>
      <c r="F552" s="40" t="n">
        <v>0</v>
      </c>
      <c r="G552" s="40" t="n">
        <v>0</v>
      </c>
      <c r="H552" s="40" t="n">
        <v>0</v>
      </c>
      <c r="I552" s="40" t="n">
        <v>0</v>
      </c>
      <c r="J552" s="40" t="n">
        <v>0</v>
      </c>
      <c r="K552" s="40" t="n">
        <v>0</v>
      </c>
      <c r="L552" s="40" t="n">
        <v>0</v>
      </c>
      <c r="M552" s="40" t="n">
        <v>0</v>
      </c>
      <c r="N552" s="40" t="n">
        <v>600246.73</v>
      </c>
      <c r="O552" s="40" t="n">
        <v>100</v>
      </c>
      <c r="P552" s="40" t="n">
        <v>839826.84</v>
      </c>
      <c r="Q552" s="40" t="n">
        <v>39.91</v>
      </c>
      <c r="R552" s="47" t="n"/>
      <c r="S552" s="47" t="n"/>
      <c r="T552" s="47" t="n"/>
      <c r="U552" s="47" t="n"/>
      <c r="V552" s="47" t="n"/>
      <c r="W552" s="47" t="n"/>
    </row>
    <row r="553" ht="11.25" customHeight="1">
      <c r="A553" s="30" t="inlineStr">
        <is>
          <t>Itaguai</t>
        </is>
      </c>
      <c r="B553" s="30" t="n">
        <v>78030844</v>
      </c>
      <c r="C553" s="30">
        <f>"07714104000107"</f>
        <v/>
      </c>
      <c r="D553" s="30" t="inlineStr">
        <is>
          <t>VM OPENLINK COMUNICAÇÃO MULTIMIDIA S.A.</t>
        </is>
      </c>
      <c r="E553" s="40" t="n">
        <v>0</v>
      </c>
      <c r="F553" s="40" t="n">
        <v>0</v>
      </c>
      <c r="G553" s="40" t="n">
        <v>0</v>
      </c>
      <c r="H553" s="40" t="n">
        <v>0</v>
      </c>
      <c r="I553" s="40" t="n">
        <v>0</v>
      </c>
      <c r="J553" s="40" t="n">
        <v>18.99</v>
      </c>
      <c r="K553" s="40" t="n">
        <v>100</v>
      </c>
      <c r="L553" s="40" t="n">
        <v>0</v>
      </c>
      <c r="M553" s="46" t="n">
        <v>-100</v>
      </c>
      <c r="N553" s="40" t="n">
        <v>114.3</v>
      </c>
      <c r="O553" s="40" t="n">
        <v>100</v>
      </c>
      <c r="P553" s="40" t="n">
        <v>0</v>
      </c>
      <c r="Q553" s="46" t="n">
        <v>-100</v>
      </c>
      <c r="R553" s="47" t="n"/>
      <c r="S553" s="47" t="n"/>
      <c r="T553" s="47" t="n"/>
      <c r="U553" s="47" t="n"/>
      <c r="V553" s="47" t="n"/>
      <c r="W553" s="47" t="n"/>
    </row>
    <row r="554" ht="11.25" customHeight="1">
      <c r="A554" s="30" t="inlineStr">
        <is>
          <t>Itaguai</t>
        </is>
      </c>
      <c r="B554" s="30" t="n">
        <v>78034602</v>
      </c>
      <c r="C554" s="30">
        <f>"05316196000222"</f>
        <v/>
      </c>
      <c r="D554" s="30" t="inlineStr">
        <is>
          <t>DTRABAIOLLI LOGISTICA E SERVICOS LTDA</t>
        </is>
      </c>
      <c r="E554" s="40" t="n">
        <v>0</v>
      </c>
      <c r="F554" s="40" t="n">
        <v>0</v>
      </c>
      <c r="G554" s="40" t="n">
        <v>0</v>
      </c>
      <c r="H554" s="40" t="n">
        <v>0</v>
      </c>
      <c r="I554" s="40" t="n">
        <v>0</v>
      </c>
      <c r="J554" s="40" t="n">
        <v>0</v>
      </c>
      <c r="K554" s="40" t="n">
        <v>0</v>
      </c>
      <c r="L554" s="40" t="n">
        <v>116.81</v>
      </c>
      <c r="M554" s="40" t="n">
        <v>100</v>
      </c>
      <c r="N554" s="40" t="n">
        <v>8135.91</v>
      </c>
      <c r="O554" s="40" t="n">
        <v>6865.08</v>
      </c>
      <c r="P554" s="40" t="n">
        <v>560</v>
      </c>
      <c r="Q554" s="46" t="n">
        <v>-93.12</v>
      </c>
      <c r="R554" s="47" t="n"/>
      <c r="S554" s="47" t="n"/>
      <c r="T554" s="47" t="n"/>
      <c r="U554" s="47" t="n"/>
      <c r="V554" s="47" t="n"/>
      <c r="W554" s="47" t="n"/>
    </row>
    <row r="555" ht="11.25" customHeight="1">
      <c r="A555" s="30" t="inlineStr">
        <is>
          <t>Itaguai</t>
        </is>
      </c>
      <c r="B555" s="30" t="n">
        <v>78034947</v>
      </c>
      <c r="C555" s="30">
        <f>"07752950000111"</f>
        <v/>
      </c>
      <c r="D555" s="30" t="inlineStr">
        <is>
          <t>DELPETRO LOGISTICA E TRANSPORTES LTDA</t>
        </is>
      </c>
      <c r="E555" s="40" t="n">
        <v>0</v>
      </c>
      <c r="F555" s="40" t="n">
        <v>0</v>
      </c>
      <c r="G555" s="40" t="n">
        <v>0</v>
      </c>
      <c r="H555" s="40" t="n">
        <v>937.5</v>
      </c>
      <c r="I555" s="40" t="n">
        <v>100</v>
      </c>
      <c r="J555" s="40" t="n">
        <v>0</v>
      </c>
      <c r="K555" s="46" t="n">
        <v>-100</v>
      </c>
      <c r="L555" s="40" t="n">
        <v>0</v>
      </c>
      <c r="M555" s="40" t="n">
        <v>0</v>
      </c>
      <c r="N555" s="40" t="n">
        <v>0</v>
      </c>
      <c r="O555" s="40" t="n">
        <v>0</v>
      </c>
      <c r="P555" s="40" t="n">
        <v>0</v>
      </c>
      <c r="Q555" s="40" t="n">
        <v>0</v>
      </c>
      <c r="R555" s="47" t="n"/>
      <c r="S555" s="47" t="n"/>
      <c r="T555" s="47" t="n"/>
      <c r="U555" s="47" t="n"/>
      <c r="V555" s="47" t="n"/>
      <c r="W555" s="47" t="n"/>
    </row>
    <row r="556" ht="11.25" customHeight="1">
      <c r="A556" s="30" t="inlineStr">
        <is>
          <t>Itaguai</t>
        </is>
      </c>
      <c r="B556" s="30" t="n">
        <v>78039817</v>
      </c>
      <c r="C556" s="30">
        <f>"07506628000102"</f>
        <v/>
      </c>
      <c r="D556" s="30" t="inlineStr">
        <is>
          <t>ANGETEC SOLUCOES TECNICAS INDUSTRIAL EIRELI ME</t>
        </is>
      </c>
      <c r="E556" s="40" t="n">
        <v>1291742.88</v>
      </c>
      <c r="F556" s="40" t="n">
        <v>399607.51</v>
      </c>
      <c r="G556" s="46" t="n">
        <v>-69.06</v>
      </c>
      <c r="H556" s="40" t="n">
        <v>65945.32000000001</v>
      </c>
      <c r="I556" s="46" t="n">
        <v>-83.5</v>
      </c>
      <c r="J556" s="40" t="n">
        <v>623558.7</v>
      </c>
      <c r="K556" s="40" t="n">
        <v>845.5700000000001</v>
      </c>
      <c r="L556" s="40" t="n">
        <v>0</v>
      </c>
      <c r="M556" s="46" t="n">
        <v>-100</v>
      </c>
      <c r="N556" s="40" t="n">
        <v>0</v>
      </c>
      <c r="O556" s="40" t="n">
        <v>0</v>
      </c>
      <c r="P556" s="40" t="n">
        <v>89011.17999999999</v>
      </c>
      <c r="Q556" s="40" t="n">
        <v>100</v>
      </c>
      <c r="R556" s="47" t="n"/>
      <c r="S556" s="47" t="n"/>
      <c r="T556" s="47" t="n"/>
      <c r="U556" s="47" t="n"/>
      <c r="V556" s="47" t="n"/>
      <c r="W556" s="47" t="n"/>
    </row>
    <row r="557" ht="11.25" customHeight="1">
      <c r="A557" s="30" t="inlineStr">
        <is>
          <t>Itaguai</t>
        </is>
      </c>
      <c r="B557" s="30" t="n">
        <v>78048654</v>
      </c>
      <c r="C557" s="30">
        <f>"07792269000105"</f>
        <v/>
      </c>
      <c r="D557" s="30" t="inlineStr">
        <is>
          <t>CONSTRUTORA LYTORANEA S A</t>
        </is>
      </c>
      <c r="E557" s="40" t="n">
        <v>0</v>
      </c>
      <c r="F557" s="40" t="n">
        <v>0</v>
      </c>
      <c r="G557" s="40" t="n">
        <v>0</v>
      </c>
      <c r="H557" s="40" t="n">
        <v>0</v>
      </c>
      <c r="I557" s="40" t="n">
        <v>0</v>
      </c>
      <c r="J557" s="40" t="n">
        <v>0</v>
      </c>
      <c r="K557" s="40" t="n">
        <v>0</v>
      </c>
      <c r="L557" s="40" t="n">
        <v>0</v>
      </c>
      <c r="M557" s="40" t="n">
        <v>0</v>
      </c>
      <c r="N557" s="40" t="n">
        <v>0</v>
      </c>
      <c r="O557" s="40" t="n">
        <v>0</v>
      </c>
      <c r="P557" s="40" t="n">
        <v>0</v>
      </c>
      <c r="Q557" s="40" t="n">
        <v>0</v>
      </c>
      <c r="R557" s="47" t="n"/>
      <c r="S557" s="47" t="n"/>
      <c r="T557" s="47" t="n"/>
      <c r="U557" s="47" t="n"/>
      <c r="V557" s="47" t="n"/>
      <c r="W557" s="47" t="n"/>
    </row>
    <row r="558" ht="11.25" customHeight="1">
      <c r="A558" s="30" t="inlineStr">
        <is>
          <t>Itaguai</t>
        </is>
      </c>
      <c r="B558" s="30" t="n">
        <v>78052260</v>
      </c>
      <c r="C558" s="30">
        <f>"07805442000154"</f>
        <v/>
      </c>
      <c r="D558" s="30" t="inlineStr">
        <is>
          <t>DENMAR LOGISTICA E TRANSPORTES LTDA</t>
        </is>
      </c>
      <c r="E558" s="40" t="n">
        <v>0</v>
      </c>
      <c r="F558" s="40" t="n">
        <v>0</v>
      </c>
      <c r="G558" s="40" t="n">
        <v>0</v>
      </c>
      <c r="H558" s="40" t="n">
        <v>320078.75</v>
      </c>
      <c r="I558" s="40" t="n">
        <v>100</v>
      </c>
      <c r="J558" s="40" t="n">
        <v>39397.5</v>
      </c>
      <c r="K558" s="46" t="n">
        <v>-87.69</v>
      </c>
      <c r="L558" s="40" t="n">
        <v>96630.75</v>
      </c>
      <c r="M558" s="40" t="n">
        <v>145.27</v>
      </c>
      <c r="N558" s="40" t="n">
        <v>235870.17</v>
      </c>
      <c r="O558" s="40" t="n">
        <v>144.09</v>
      </c>
      <c r="P558" s="40" t="n">
        <v>52010.13</v>
      </c>
      <c r="Q558" s="46" t="n">
        <v>-77.95</v>
      </c>
      <c r="R558" s="47" t="n"/>
      <c r="S558" s="47" t="n"/>
      <c r="T558" s="47" t="n"/>
      <c r="U558" s="47" t="n"/>
      <c r="V558" s="47" t="n"/>
      <c r="W558" s="47" t="n"/>
    </row>
    <row r="559" ht="11.25" customHeight="1">
      <c r="A559" s="30" t="inlineStr">
        <is>
          <t>Itaguai</t>
        </is>
      </c>
      <c r="B559" s="30" t="n">
        <v>78077921</v>
      </c>
      <c r="C559" s="30">
        <f>"24314792000137"</f>
        <v/>
      </c>
      <c r="D559" s="30" t="inlineStr">
        <is>
          <t>AUTO POSTO DO TRABALHO ITAGUAI II LTDA</t>
        </is>
      </c>
      <c r="E559" s="40" t="n">
        <v>0</v>
      </c>
      <c r="F559" s="40" t="n">
        <v>0</v>
      </c>
      <c r="G559" s="40" t="n">
        <v>0</v>
      </c>
      <c r="H559" s="40" t="n">
        <v>52972.53</v>
      </c>
      <c r="I559" s="40" t="n">
        <v>100</v>
      </c>
      <c r="J559" s="40" t="n">
        <v>3355866.84</v>
      </c>
      <c r="K559" s="40" t="n">
        <v>6235.11</v>
      </c>
      <c r="L559" s="40" t="n">
        <v>6334460.65</v>
      </c>
      <c r="M559" s="40" t="n">
        <v>88.76000000000001</v>
      </c>
      <c r="N559" s="40" t="n">
        <v>5953369.64</v>
      </c>
      <c r="O559" s="46" t="n">
        <v>-6.02</v>
      </c>
      <c r="P559" s="40" t="n">
        <v>12132.38</v>
      </c>
      <c r="Q559" s="46" t="n">
        <v>-99.8</v>
      </c>
      <c r="R559" s="47" t="n"/>
      <c r="S559" s="47" t="n"/>
      <c r="T559" s="47" t="n"/>
      <c r="U559" s="47" t="n"/>
      <c r="V559" s="47" t="n"/>
      <c r="W559" s="47" t="n"/>
    </row>
    <row r="560" ht="11.25" customHeight="1">
      <c r="A560" s="30" t="inlineStr">
        <is>
          <t>Itaguai</t>
        </is>
      </c>
      <c r="B560" s="30" t="n">
        <v>78078740</v>
      </c>
      <c r="C560" s="30">
        <f>"07897147000175"</f>
        <v/>
      </c>
      <c r="D560" s="30" t="inlineStr">
        <is>
          <t>OLIVEIR COMERCIO DE VEICULOS - EIRELI</t>
        </is>
      </c>
      <c r="E560" s="40" t="n">
        <v>10371.47</v>
      </c>
      <c r="F560" s="40" t="n">
        <v>109875.22</v>
      </c>
      <c r="G560" s="40" t="n">
        <v>959.4</v>
      </c>
      <c r="H560" s="40" t="n">
        <v>0</v>
      </c>
      <c r="I560" s="46" t="n">
        <v>-100</v>
      </c>
      <c r="J560" s="40" t="n">
        <v>290657.51</v>
      </c>
      <c r="K560" s="40" t="n">
        <v>100</v>
      </c>
      <c r="L560" s="40" t="n">
        <v>283300</v>
      </c>
      <c r="M560" s="46" t="n">
        <v>-2.53</v>
      </c>
      <c r="N560" s="40" t="n">
        <v>0</v>
      </c>
      <c r="O560" s="46" t="n">
        <v>-100</v>
      </c>
      <c r="P560" s="40" t="n">
        <v>0</v>
      </c>
      <c r="Q560" s="40" t="n">
        <v>0</v>
      </c>
      <c r="R560" s="47" t="n"/>
      <c r="S560" s="47" t="n"/>
      <c r="T560" s="47" t="n"/>
      <c r="U560" s="47" t="n"/>
      <c r="V560" s="47" t="n"/>
      <c r="W560" s="47" t="n"/>
    </row>
    <row r="561" ht="11.25" customHeight="1">
      <c r="A561" s="30" t="inlineStr">
        <is>
          <t>Itaguai</t>
        </is>
      </c>
      <c r="B561" s="30" t="n">
        <v>78089105</v>
      </c>
      <c r="C561" s="30">
        <f>"06067117000250"</f>
        <v/>
      </c>
      <c r="D561" s="30" t="inlineStr">
        <is>
          <t>MARCIO ANTONIO DOS SANTOS MACHADO TRANSPORTE</t>
        </is>
      </c>
      <c r="E561" s="40" t="n">
        <v>0</v>
      </c>
      <c r="F561" s="40" t="n">
        <v>0</v>
      </c>
      <c r="G561" s="40" t="n">
        <v>0</v>
      </c>
      <c r="H561" s="40" t="n">
        <v>0</v>
      </c>
      <c r="I561" s="40" t="n">
        <v>0</v>
      </c>
      <c r="J561" s="40" t="n">
        <v>2800</v>
      </c>
      <c r="K561" s="40" t="n">
        <v>100</v>
      </c>
      <c r="L561" s="40" t="n">
        <v>0</v>
      </c>
      <c r="M561" s="46" t="n">
        <v>-100</v>
      </c>
      <c r="N561" s="40" t="n">
        <v>0</v>
      </c>
      <c r="O561" s="40" t="n">
        <v>0</v>
      </c>
      <c r="P561" s="40" t="n">
        <v>0</v>
      </c>
      <c r="Q561" s="40" t="n">
        <v>0</v>
      </c>
      <c r="R561" s="47" t="n"/>
      <c r="S561" s="47" t="n"/>
      <c r="T561" s="47" t="n"/>
      <c r="U561" s="47" t="n"/>
      <c r="V561" s="47" t="n"/>
      <c r="W561" s="47" t="n"/>
    </row>
    <row r="562" ht="11.25" customHeight="1">
      <c r="A562" s="30" t="inlineStr">
        <is>
          <t>Itaguai</t>
        </is>
      </c>
      <c r="B562" s="30" t="n">
        <v>78106352</v>
      </c>
      <c r="C562" s="30">
        <f>"03669753000263"</f>
        <v/>
      </c>
      <c r="D562" s="30" t="inlineStr">
        <is>
          <t>ESTALEIRO BRASFELS LTDA</t>
        </is>
      </c>
      <c r="E562" s="40" t="n">
        <v>0</v>
      </c>
      <c r="F562" s="40" t="n">
        <v>0</v>
      </c>
      <c r="G562" s="40" t="n">
        <v>0</v>
      </c>
      <c r="H562" s="40" t="n">
        <v>0</v>
      </c>
      <c r="I562" s="40" t="n">
        <v>0</v>
      </c>
      <c r="J562" s="40" t="n">
        <v>0</v>
      </c>
      <c r="K562" s="40" t="n">
        <v>0</v>
      </c>
      <c r="L562" s="40" t="n">
        <v>0</v>
      </c>
      <c r="M562" s="40" t="n">
        <v>0</v>
      </c>
      <c r="N562" s="40" t="n">
        <v>0</v>
      </c>
      <c r="O562" s="40" t="n">
        <v>0</v>
      </c>
      <c r="P562" s="40" t="n">
        <v>0</v>
      </c>
      <c r="Q562" s="40" t="n">
        <v>0</v>
      </c>
      <c r="R562" s="47" t="n"/>
      <c r="S562" s="47" t="n"/>
      <c r="T562" s="47" t="n"/>
      <c r="U562" s="47" t="n"/>
      <c r="V562" s="47" t="n"/>
      <c r="W562" s="47" t="n"/>
    </row>
    <row r="563" ht="11.25" customHeight="1">
      <c r="A563" s="30" t="inlineStr">
        <is>
          <t>Itaguai</t>
        </is>
      </c>
      <c r="B563" s="30" t="n">
        <v>78107944</v>
      </c>
      <c r="C563" s="30">
        <f>"04425426000229"</f>
        <v/>
      </c>
      <c r="D563" s="30" t="inlineStr">
        <is>
          <t>RADIO E TELEVISAO MODELO PAULISTA</t>
        </is>
      </c>
      <c r="E563" s="40" t="n">
        <v>51275.25</v>
      </c>
      <c r="F563" s="40" t="n">
        <v>50224.91</v>
      </c>
      <c r="G563" s="46" t="n">
        <v>-2.05</v>
      </c>
      <c r="H563" s="40" t="n">
        <v>46904.98</v>
      </c>
      <c r="I563" s="46" t="n">
        <v>-6.61</v>
      </c>
      <c r="J563" s="40" t="n">
        <v>41377.21</v>
      </c>
      <c r="K563" s="46" t="n">
        <v>-11.79</v>
      </c>
      <c r="L563" s="40" t="n">
        <v>36577.4</v>
      </c>
      <c r="M563" s="46" t="n">
        <v>-11.6</v>
      </c>
      <c r="N563" s="40" t="n">
        <v>34644.64</v>
      </c>
      <c r="O563" s="46" t="n">
        <v>-5.28</v>
      </c>
      <c r="P563" s="40" t="n">
        <v>31189.93</v>
      </c>
      <c r="Q563" s="46" t="n">
        <v>-9.970000000000001</v>
      </c>
      <c r="R563" s="47" t="n"/>
      <c r="S563" s="47" t="n"/>
      <c r="T563" s="47" t="n"/>
      <c r="U563" s="47" t="n"/>
      <c r="V563" s="47" t="n"/>
      <c r="W563" s="47" t="n"/>
    </row>
    <row r="564" ht="11.25" customHeight="1">
      <c r="A564" s="30" t="inlineStr">
        <is>
          <t>Itaguai</t>
        </is>
      </c>
      <c r="B564" s="30" t="n">
        <v>78115254</v>
      </c>
      <c r="C564" s="30">
        <f>"08057492000163"</f>
        <v/>
      </c>
      <c r="D564" s="30" t="inlineStr">
        <is>
          <t>J F DE AZEVEDO ?TICA - EIRELI</t>
        </is>
      </c>
      <c r="E564" s="40" t="n">
        <v>0</v>
      </c>
      <c r="F564" s="40" t="n">
        <v>0</v>
      </c>
      <c r="G564" s="40" t="n">
        <v>0</v>
      </c>
      <c r="H564" s="40" t="n">
        <v>0</v>
      </c>
      <c r="I564" s="40" t="n">
        <v>0</v>
      </c>
      <c r="J564" s="40" t="n">
        <v>0</v>
      </c>
      <c r="K564" s="40" t="n">
        <v>0</v>
      </c>
      <c r="L564" s="40" t="n">
        <v>0</v>
      </c>
      <c r="M564" s="40" t="n">
        <v>0</v>
      </c>
      <c r="N564" s="40" t="n">
        <v>0</v>
      </c>
      <c r="O564" s="40" t="n">
        <v>0</v>
      </c>
      <c r="P564" s="40" t="n">
        <v>0</v>
      </c>
      <c r="Q564" s="40" t="n">
        <v>0</v>
      </c>
      <c r="R564" s="47" t="n"/>
      <c r="S564" s="47" t="n"/>
      <c r="T564" s="47" t="n"/>
      <c r="U564" s="47" t="n"/>
      <c r="V564" s="47" t="n"/>
      <c r="W564" s="47" t="n"/>
    </row>
    <row r="565" ht="11.25" customHeight="1">
      <c r="A565" s="30" t="inlineStr">
        <is>
          <t>Itaguai</t>
        </is>
      </c>
      <c r="B565" s="30" t="n">
        <v>78116013</v>
      </c>
      <c r="C565" s="30">
        <f>"08053208000180"</f>
        <v/>
      </c>
      <c r="D565" s="30" t="inlineStr">
        <is>
          <t>PLANETA GRILL ITAGUAI RESTAURANTE LTDA</t>
        </is>
      </c>
      <c r="E565" s="40" t="n">
        <v>0</v>
      </c>
      <c r="F565" s="40" t="n">
        <v>0</v>
      </c>
      <c r="G565" s="40" t="n">
        <v>0</v>
      </c>
      <c r="H565" s="40" t="n">
        <v>0</v>
      </c>
      <c r="I565" s="40" t="n">
        <v>0</v>
      </c>
      <c r="J565" s="40" t="n">
        <v>0</v>
      </c>
      <c r="K565" s="40" t="n">
        <v>0</v>
      </c>
      <c r="L565" s="40" t="n">
        <v>0</v>
      </c>
      <c r="M565" s="40" t="n">
        <v>0</v>
      </c>
      <c r="N565" s="40" t="n">
        <v>0</v>
      </c>
      <c r="O565" s="40" t="n">
        <v>0</v>
      </c>
      <c r="P565" s="40" t="n">
        <v>0</v>
      </c>
      <c r="Q565" s="40" t="n">
        <v>0</v>
      </c>
      <c r="R565" s="47" t="n"/>
      <c r="S565" s="47" t="n"/>
      <c r="T565" s="47" t="n"/>
      <c r="U565" s="47" t="n"/>
      <c r="V565" s="47" t="n"/>
      <c r="W565" s="47" t="n"/>
    </row>
    <row r="566" ht="11.25" customHeight="1">
      <c r="A566" s="30" t="inlineStr">
        <is>
          <t>Itaguai</t>
        </is>
      </c>
      <c r="B566" s="30" t="n">
        <v>78138220</v>
      </c>
      <c r="C566" s="30">
        <f>"88668298003179"</f>
        <v/>
      </c>
      <c r="D566" s="30" t="inlineStr">
        <is>
          <t>IRAPURU TRANSPORTES LTDA</t>
        </is>
      </c>
      <c r="E566" s="40" t="n">
        <v>24211.22</v>
      </c>
      <c r="F566" s="40" t="n">
        <v>910953.58</v>
      </c>
      <c r="G566" s="40" t="n">
        <v>3662.53</v>
      </c>
      <c r="H566" s="40" t="n">
        <v>417257.36</v>
      </c>
      <c r="I566" s="46" t="n">
        <v>-54.2</v>
      </c>
      <c r="J566" s="40" t="n">
        <v>0</v>
      </c>
      <c r="K566" s="46" t="n">
        <v>-100</v>
      </c>
      <c r="L566" s="40" t="n">
        <v>0</v>
      </c>
      <c r="M566" s="40" t="n">
        <v>0</v>
      </c>
      <c r="N566" s="40" t="n">
        <v>0</v>
      </c>
      <c r="O566" s="40" t="n">
        <v>0</v>
      </c>
      <c r="P566" s="40" t="n">
        <v>0</v>
      </c>
      <c r="Q566" s="40" t="n">
        <v>0</v>
      </c>
      <c r="R566" s="47" t="n"/>
      <c r="S566" s="47" t="n"/>
      <c r="T566" s="47" t="n"/>
      <c r="U566" s="47" t="n"/>
      <c r="V566" s="47" t="n"/>
      <c r="W566" s="47" t="n"/>
    </row>
    <row r="567" ht="11.25" customHeight="1">
      <c r="A567" s="30" t="inlineStr">
        <is>
          <t>Itaguai</t>
        </is>
      </c>
      <c r="B567" s="30" t="n">
        <v>78139587</v>
      </c>
      <c r="C567" s="30">
        <f>"26178616000302"</f>
        <v/>
      </c>
      <c r="D567" s="30" t="inlineStr">
        <is>
          <t>EMPREENDIMENTOS RODEIRO S/A</t>
        </is>
      </c>
      <c r="E567" s="40" t="n">
        <v>0</v>
      </c>
      <c r="F567" s="40" t="n">
        <v>0</v>
      </c>
      <c r="G567" s="40" t="n">
        <v>0</v>
      </c>
      <c r="H567" s="40" t="n">
        <v>129382.39</v>
      </c>
      <c r="I567" s="40" t="n">
        <v>100</v>
      </c>
      <c r="J567" s="40" t="n">
        <v>0</v>
      </c>
      <c r="K567" s="46" t="n">
        <v>-100</v>
      </c>
      <c r="L567" s="40" t="n">
        <v>46452.96</v>
      </c>
      <c r="M567" s="40" t="n">
        <v>100</v>
      </c>
      <c r="N567" s="40" t="n">
        <v>0</v>
      </c>
      <c r="O567" s="46" t="n">
        <v>-100</v>
      </c>
      <c r="P567" s="40" t="n">
        <v>182649.36</v>
      </c>
      <c r="Q567" s="40" t="n">
        <v>100</v>
      </c>
      <c r="R567" s="47" t="n"/>
      <c r="S567" s="47" t="n"/>
      <c r="T567" s="47" t="n"/>
      <c r="U567" s="47" t="n"/>
      <c r="V567" s="47" t="n"/>
      <c r="W567" s="47" t="n"/>
    </row>
    <row r="568" ht="11.25" customHeight="1">
      <c r="A568" s="30" t="inlineStr">
        <is>
          <t>Itaguai</t>
        </is>
      </c>
      <c r="B568" s="30" t="n">
        <v>78143983</v>
      </c>
      <c r="C568" s="30">
        <f>"06051223000245"</f>
        <v/>
      </c>
      <c r="D568" s="30" t="inlineStr">
        <is>
          <t>THIAGO A LAMBERTI &amp; CIA LTDA</t>
        </is>
      </c>
      <c r="E568" s="40" t="n">
        <v>0</v>
      </c>
      <c r="F568" s="40" t="n">
        <v>0</v>
      </c>
      <c r="G568" s="40" t="n">
        <v>0</v>
      </c>
      <c r="H568" s="40" t="n">
        <v>0</v>
      </c>
      <c r="I568" s="40" t="n">
        <v>0</v>
      </c>
      <c r="J568" s="40" t="n">
        <v>536.36</v>
      </c>
      <c r="K568" s="40" t="n">
        <v>100</v>
      </c>
      <c r="L568" s="40" t="n">
        <v>0</v>
      </c>
      <c r="M568" s="46" t="n">
        <v>-100</v>
      </c>
      <c r="N568" s="40" t="n">
        <v>0</v>
      </c>
      <c r="O568" s="40" t="n">
        <v>0</v>
      </c>
      <c r="P568" s="40" t="n">
        <v>0</v>
      </c>
      <c r="Q568" s="40" t="n">
        <v>0</v>
      </c>
      <c r="R568" s="47" t="n"/>
      <c r="S568" s="47" t="n"/>
      <c r="T568" s="47" t="n"/>
      <c r="U568" s="47" t="n"/>
      <c r="V568" s="47" t="n"/>
      <c r="W568" s="47" t="n"/>
    </row>
    <row r="569" ht="11.25" customHeight="1">
      <c r="A569" s="30" t="inlineStr">
        <is>
          <t>Itaguai</t>
        </is>
      </c>
      <c r="B569" s="30" t="n">
        <v>78145153</v>
      </c>
      <c r="C569" s="30">
        <f>"08004247000198"</f>
        <v/>
      </c>
      <c r="D569" s="30" t="inlineStr">
        <is>
          <t>PENA &amp; MENEGHITTI 2006 TRANSPORTES LTDA EPP</t>
        </is>
      </c>
      <c r="E569" s="40" t="n">
        <v>0</v>
      </c>
      <c r="F569" s="40" t="n">
        <v>0</v>
      </c>
      <c r="G569" s="40" t="n">
        <v>0</v>
      </c>
      <c r="H569" s="40" t="n">
        <v>0</v>
      </c>
      <c r="I569" s="40" t="n">
        <v>0</v>
      </c>
      <c r="J569" s="40" t="n">
        <v>7.55</v>
      </c>
      <c r="K569" s="40" t="n">
        <v>100</v>
      </c>
      <c r="L569" s="40" t="n">
        <v>10.8</v>
      </c>
      <c r="M569" s="40" t="n">
        <v>43.05</v>
      </c>
      <c r="N569" s="40" t="n">
        <v>133.44</v>
      </c>
      <c r="O569" s="40" t="n">
        <v>1135.56</v>
      </c>
      <c r="P569" s="40" t="n">
        <v>0</v>
      </c>
      <c r="Q569" s="46" t="n">
        <v>-100</v>
      </c>
      <c r="R569" s="47" t="n"/>
      <c r="S569" s="47" t="n"/>
      <c r="T569" s="47" t="n"/>
      <c r="U569" s="47" t="n"/>
      <c r="V569" s="47" t="n"/>
      <c r="W569" s="47" t="n"/>
    </row>
    <row r="570" ht="11.25" customHeight="1">
      <c r="A570" s="30" t="inlineStr">
        <is>
          <t>Itaguai</t>
        </is>
      </c>
      <c r="B570" s="30" t="n">
        <v>78145528</v>
      </c>
      <c r="C570" s="30">
        <f>"08186591000145"</f>
        <v/>
      </c>
      <c r="D570" s="30" t="inlineStr">
        <is>
          <t>GIANNONE TRANSPORTES LTDA</t>
        </is>
      </c>
      <c r="E570" s="40" t="n">
        <v>0</v>
      </c>
      <c r="F570" s="40" t="n">
        <v>0</v>
      </c>
      <c r="G570" s="40" t="n">
        <v>0</v>
      </c>
      <c r="H570" s="40" t="n">
        <v>77.75</v>
      </c>
      <c r="I570" s="40" t="n">
        <v>100</v>
      </c>
      <c r="J570" s="40" t="n">
        <v>0.03</v>
      </c>
      <c r="K570" s="46" t="n">
        <v>-99.95999999999999</v>
      </c>
      <c r="L570" s="40" t="n">
        <v>71.11</v>
      </c>
      <c r="M570" s="40" t="n">
        <v>236933.33</v>
      </c>
      <c r="N570" s="40" t="n">
        <v>0</v>
      </c>
      <c r="O570" s="46" t="n">
        <v>-100</v>
      </c>
      <c r="P570" s="40" t="n">
        <v>0</v>
      </c>
      <c r="Q570" s="40" t="n">
        <v>0</v>
      </c>
      <c r="R570" s="47" t="n"/>
      <c r="S570" s="47" t="n"/>
      <c r="T570" s="47" t="n"/>
      <c r="U570" s="47" t="n"/>
      <c r="V570" s="47" t="n"/>
      <c r="W570" s="47" t="n"/>
    </row>
    <row r="571" ht="11.25" customHeight="1">
      <c r="A571" s="30" t="inlineStr">
        <is>
          <t>Itaguai</t>
        </is>
      </c>
      <c r="B571" s="30" t="n">
        <v>78156090</v>
      </c>
      <c r="C571" s="30">
        <f>"08239521000108"</f>
        <v/>
      </c>
      <c r="D571" s="30" t="inlineStr">
        <is>
          <t>QUATRO IRMAOS SERVICOS DE TRANSPORTES LTDA EPP</t>
        </is>
      </c>
      <c r="E571" s="40" t="n">
        <v>0</v>
      </c>
      <c r="F571" s="40" t="n">
        <v>31.16</v>
      </c>
      <c r="G571" s="40" t="n">
        <v>100</v>
      </c>
      <c r="H571" s="40" t="n">
        <v>0</v>
      </c>
      <c r="I571" s="46" t="n">
        <v>-100</v>
      </c>
      <c r="J571" s="40" t="n">
        <v>0</v>
      </c>
      <c r="K571" s="40" t="n">
        <v>0</v>
      </c>
      <c r="L571" s="40" t="n">
        <v>0</v>
      </c>
      <c r="M571" s="40" t="n">
        <v>0</v>
      </c>
      <c r="N571" s="40" t="n">
        <v>0</v>
      </c>
      <c r="O571" s="40" t="n">
        <v>0</v>
      </c>
      <c r="P571" s="40" t="n">
        <v>133.68</v>
      </c>
      <c r="Q571" s="40" t="n">
        <v>100</v>
      </c>
      <c r="R571" s="47" t="n"/>
      <c r="S571" s="47" t="n"/>
      <c r="T571" s="47" t="n"/>
      <c r="U571" s="47" t="n"/>
      <c r="V571" s="47" t="n"/>
      <c r="W571" s="47" t="n"/>
    </row>
    <row r="572" ht="11.25" customHeight="1">
      <c r="A572" s="30" t="inlineStr">
        <is>
          <t>Itaguai</t>
        </is>
      </c>
      <c r="B572" s="30" t="n">
        <v>78156287</v>
      </c>
      <c r="C572" s="30">
        <f>"02565955000111"</f>
        <v/>
      </c>
      <c r="D572" s="30" t="inlineStr">
        <is>
          <t>MATRIX GLOBAL LOGISTICA EIRELI</t>
        </is>
      </c>
      <c r="E572" s="40" t="n">
        <v>0</v>
      </c>
      <c r="F572" s="40" t="n">
        <v>0</v>
      </c>
      <c r="G572" s="40" t="n">
        <v>0</v>
      </c>
      <c r="H572" s="40" t="n">
        <v>0</v>
      </c>
      <c r="I572" s="40" t="n">
        <v>0</v>
      </c>
      <c r="J572" s="40" t="n">
        <v>0</v>
      </c>
      <c r="K572" s="40" t="n">
        <v>0</v>
      </c>
      <c r="L572" s="40" t="n">
        <v>0</v>
      </c>
      <c r="M572" s="40" t="n">
        <v>0</v>
      </c>
      <c r="N572" s="40" t="n">
        <v>0</v>
      </c>
      <c r="O572" s="40" t="n">
        <v>0</v>
      </c>
      <c r="P572" s="40" t="n">
        <v>0</v>
      </c>
      <c r="Q572" s="40" t="n">
        <v>0</v>
      </c>
      <c r="R572" s="47" t="n"/>
      <c r="S572" s="47" t="n"/>
      <c r="T572" s="47" t="n"/>
      <c r="U572" s="47" t="n"/>
      <c r="V572" s="47" t="n"/>
      <c r="W572" s="47" t="n"/>
    </row>
    <row r="573" ht="11.25" customHeight="1">
      <c r="A573" s="30" t="inlineStr">
        <is>
          <t>Itaguai</t>
        </is>
      </c>
      <c r="B573" s="30" t="n">
        <v>78160462</v>
      </c>
      <c r="C573" s="30">
        <f>"44349199000729"</f>
        <v/>
      </c>
      <c r="D573" s="30" t="inlineStr">
        <is>
          <t>LAURIMAR TRANSPORTES GERAIS LTDA</t>
        </is>
      </c>
      <c r="E573" s="40" t="n">
        <v>0</v>
      </c>
      <c r="F573" s="40" t="n">
        <v>0</v>
      </c>
      <c r="G573" s="40" t="n">
        <v>0</v>
      </c>
      <c r="H573" s="40" t="n">
        <v>0</v>
      </c>
      <c r="I573" s="40" t="n">
        <v>0</v>
      </c>
      <c r="J573" s="40" t="n">
        <v>575.97</v>
      </c>
      <c r="K573" s="40" t="n">
        <v>100</v>
      </c>
      <c r="L573" s="40" t="n">
        <v>0</v>
      </c>
      <c r="M573" s="46" t="n">
        <v>-100</v>
      </c>
      <c r="N573" s="40" t="n">
        <v>0</v>
      </c>
      <c r="O573" s="40" t="n">
        <v>0</v>
      </c>
      <c r="P573" s="40" t="n">
        <v>0</v>
      </c>
      <c r="Q573" s="40" t="n">
        <v>0</v>
      </c>
      <c r="R573" s="47" t="n"/>
      <c r="S573" s="47" t="n"/>
      <c r="T573" s="47" t="n"/>
      <c r="U573" s="47" t="n"/>
      <c r="V573" s="47" t="n"/>
      <c r="W573" s="47" t="n"/>
    </row>
    <row r="574" ht="11.25" customHeight="1">
      <c r="A574" s="30" t="inlineStr">
        <is>
          <t>Itaguai</t>
        </is>
      </c>
      <c r="B574" s="30" t="n">
        <v>78171979</v>
      </c>
      <c r="C574" s="30">
        <f>"05263069000121"</f>
        <v/>
      </c>
      <c r="D574" s="30" t="inlineStr">
        <is>
          <t>TCML TRANSPORTES E TURISMO LTDA ME</t>
        </is>
      </c>
      <c r="E574" s="40" t="n">
        <v>0</v>
      </c>
      <c r="F574" s="40" t="n">
        <v>0</v>
      </c>
      <c r="G574" s="40" t="n">
        <v>0</v>
      </c>
      <c r="H574" s="40" t="n">
        <v>0</v>
      </c>
      <c r="I574" s="40" t="n">
        <v>0</v>
      </c>
      <c r="J574" s="40" t="n">
        <v>0</v>
      </c>
      <c r="K574" s="40" t="n">
        <v>0</v>
      </c>
      <c r="L574" s="40" t="n">
        <v>0</v>
      </c>
      <c r="M574" s="40" t="n">
        <v>0</v>
      </c>
      <c r="N574" s="40" t="n">
        <v>0</v>
      </c>
      <c r="O574" s="40" t="n">
        <v>0</v>
      </c>
      <c r="P574" s="40" t="n">
        <v>490</v>
      </c>
      <c r="Q574" s="40" t="n">
        <v>100</v>
      </c>
      <c r="R574" s="47" t="n"/>
      <c r="S574" s="47" t="n"/>
      <c r="T574" s="47" t="n"/>
      <c r="U574" s="47" t="n"/>
      <c r="V574" s="47" t="n"/>
      <c r="W574" s="47" t="n"/>
    </row>
    <row r="575" ht="11.25" customHeight="1">
      <c r="A575" s="30" t="inlineStr">
        <is>
          <t>Itaguai</t>
        </is>
      </c>
      <c r="B575" s="30" t="n">
        <v>78188324</v>
      </c>
      <c r="C575" s="30">
        <f>"08306629000176"</f>
        <v/>
      </c>
      <c r="D575" s="30" t="inlineStr">
        <is>
          <t>C M MARTINS DE OLIVEIRA PADARIA E MERCEARIA</t>
        </is>
      </c>
      <c r="E575" s="40" t="n">
        <v>0</v>
      </c>
      <c r="F575" s="40" t="n">
        <v>0</v>
      </c>
      <c r="G575" s="40" t="n">
        <v>0</v>
      </c>
      <c r="H575" s="40" t="n">
        <v>0</v>
      </c>
      <c r="I575" s="40" t="n">
        <v>0</v>
      </c>
      <c r="J575" s="40" t="n">
        <v>0</v>
      </c>
      <c r="K575" s="40" t="n">
        <v>0</v>
      </c>
      <c r="L575" s="40" t="n">
        <v>0</v>
      </c>
      <c r="M575" s="40" t="n">
        <v>0</v>
      </c>
      <c r="N575" s="40" t="n">
        <v>0</v>
      </c>
      <c r="O575" s="40" t="n">
        <v>0</v>
      </c>
      <c r="P575" s="40" t="n">
        <v>0</v>
      </c>
      <c r="Q575" s="40" t="n">
        <v>0</v>
      </c>
      <c r="R575" s="47" t="n"/>
      <c r="S575" s="47" t="n"/>
      <c r="T575" s="47" t="n"/>
      <c r="U575" s="47" t="n"/>
      <c r="V575" s="47" t="n"/>
      <c r="W575" s="47" t="n"/>
    </row>
    <row r="576" ht="11.25" customHeight="1">
      <c r="A576" s="30" t="inlineStr">
        <is>
          <t>Itaguai</t>
        </is>
      </c>
      <c r="B576" s="30" t="n">
        <v>78194367</v>
      </c>
      <c r="C576" s="30">
        <f>"08168884000108"</f>
        <v/>
      </c>
      <c r="D576" s="30" t="inlineStr">
        <is>
          <t>NOVA UNIAO LOGISTICA E TRANSPORTES LTDA</t>
        </is>
      </c>
      <c r="E576" s="40" t="n">
        <v>0</v>
      </c>
      <c r="F576" s="40" t="n">
        <v>603.6900000000001</v>
      </c>
      <c r="G576" s="40" t="n">
        <v>100</v>
      </c>
      <c r="H576" s="40" t="n">
        <v>0</v>
      </c>
      <c r="I576" s="46" t="n">
        <v>-100</v>
      </c>
      <c r="J576" s="40" t="n">
        <v>0</v>
      </c>
      <c r="K576" s="40" t="n">
        <v>0</v>
      </c>
      <c r="L576" s="40" t="n">
        <v>0</v>
      </c>
      <c r="M576" s="40" t="n">
        <v>0</v>
      </c>
      <c r="N576" s="40" t="n">
        <v>0</v>
      </c>
      <c r="O576" s="40" t="n">
        <v>0</v>
      </c>
      <c r="P576" s="40" t="n">
        <v>0</v>
      </c>
      <c r="Q576" s="40" t="n">
        <v>0</v>
      </c>
      <c r="R576" s="47" t="n"/>
      <c r="S576" s="47" t="n"/>
      <c r="T576" s="47" t="n"/>
      <c r="U576" s="47" t="n"/>
      <c r="V576" s="47" t="n"/>
      <c r="W576" s="47" t="n"/>
    </row>
    <row r="577" ht="11.25" customHeight="1">
      <c r="A577" s="30" t="inlineStr">
        <is>
          <t>Itaguai</t>
        </is>
      </c>
      <c r="B577" s="30" t="n">
        <v>78195754</v>
      </c>
      <c r="C577" s="30">
        <f>"58526690000520"</f>
        <v/>
      </c>
      <c r="D577" s="30" t="inlineStr">
        <is>
          <t>IDT BRASIL TELECOMUNICACOES LTDA</t>
        </is>
      </c>
      <c r="E577" s="40" t="n">
        <v>2122.22</v>
      </c>
      <c r="F577" s="40" t="n">
        <v>1872.42</v>
      </c>
      <c r="G577" s="46" t="n">
        <v>-11.77</v>
      </c>
      <c r="H577" s="40" t="n">
        <v>0</v>
      </c>
      <c r="I577" s="46" t="n">
        <v>-100</v>
      </c>
      <c r="J577" s="40" t="n">
        <v>0</v>
      </c>
      <c r="K577" s="40" t="n">
        <v>0</v>
      </c>
      <c r="L577" s="40" t="n">
        <v>12314.28</v>
      </c>
      <c r="M577" s="40" t="n">
        <v>100</v>
      </c>
      <c r="N577" s="40" t="n">
        <v>0</v>
      </c>
      <c r="O577" s="46" t="n">
        <v>-100</v>
      </c>
      <c r="P577" s="40" t="n">
        <v>30575.15</v>
      </c>
      <c r="Q577" s="40" t="n">
        <v>100</v>
      </c>
      <c r="R577" s="47" t="n"/>
      <c r="S577" s="47" t="n"/>
      <c r="T577" s="47" t="n"/>
      <c r="U577" s="47" t="n"/>
      <c r="V577" s="47" t="n"/>
      <c r="W577" s="47" t="n"/>
    </row>
    <row r="578" ht="11.25" customHeight="1">
      <c r="A578" s="30" t="inlineStr">
        <is>
          <t>Itaguai</t>
        </is>
      </c>
      <c r="B578" s="30" t="n">
        <v>78196475</v>
      </c>
      <c r="C578" s="30">
        <f>"76642743001603"</f>
        <v/>
      </c>
      <c r="D578" s="30" t="inlineStr">
        <is>
          <t>DEL POZO TRANSPORTES RODOVIARIOS LTDA</t>
        </is>
      </c>
      <c r="E578" s="40" t="n">
        <v>0</v>
      </c>
      <c r="F578" s="40" t="n">
        <v>0</v>
      </c>
      <c r="G578" s="40" t="n">
        <v>0</v>
      </c>
      <c r="H578" s="40" t="n">
        <v>76796.72</v>
      </c>
      <c r="I578" s="40" t="n">
        <v>100</v>
      </c>
      <c r="J578" s="40" t="n">
        <v>0</v>
      </c>
      <c r="K578" s="46" t="n">
        <v>-100</v>
      </c>
      <c r="L578" s="40" t="n">
        <v>0</v>
      </c>
      <c r="M578" s="40" t="n">
        <v>0</v>
      </c>
      <c r="N578" s="40" t="n">
        <v>0</v>
      </c>
      <c r="O578" s="40" t="n">
        <v>0</v>
      </c>
      <c r="P578" s="40" t="n">
        <v>0</v>
      </c>
      <c r="Q578" s="40" t="n">
        <v>0</v>
      </c>
      <c r="R578" s="47" t="n"/>
      <c r="S578" s="47" t="n"/>
      <c r="T578" s="47" t="n"/>
      <c r="U578" s="47" t="n"/>
      <c r="V578" s="47" t="n"/>
      <c r="W578" s="47" t="n"/>
    </row>
    <row r="579" ht="11.25" customHeight="1">
      <c r="A579" s="30" t="inlineStr">
        <is>
          <t>Itaguai</t>
        </is>
      </c>
      <c r="B579" s="30" t="n">
        <v>78207370</v>
      </c>
      <c r="C579" s="30">
        <f>"00785977000161"</f>
        <v/>
      </c>
      <c r="D579" s="30" t="inlineStr">
        <is>
          <t>SILPER DIESEL LTDA</t>
        </is>
      </c>
      <c r="E579" s="40" t="n">
        <v>0</v>
      </c>
      <c r="F579" s="40" t="n">
        <v>0</v>
      </c>
      <c r="G579" s="40" t="n">
        <v>0</v>
      </c>
      <c r="H579" s="40" t="n">
        <v>0</v>
      </c>
      <c r="I579" s="40" t="n">
        <v>0</v>
      </c>
      <c r="J579" s="40" t="n">
        <v>0</v>
      </c>
      <c r="K579" s="40" t="n">
        <v>0</v>
      </c>
      <c r="L579" s="40" t="n">
        <v>0</v>
      </c>
      <c r="M579" s="40" t="n">
        <v>0</v>
      </c>
      <c r="N579" s="40" t="n">
        <v>0</v>
      </c>
      <c r="O579" s="40" t="n">
        <v>0</v>
      </c>
      <c r="P579" s="40" t="n">
        <v>0</v>
      </c>
      <c r="Q579" s="40" t="n">
        <v>0</v>
      </c>
      <c r="R579" s="47" t="n"/>
      <c r="S579" s="47" t="n"/>
      <c r="T579" s="47" t="n"/>
      <c r="U579" s="47" t="n"/>
      <c r="V579" s="47" t="n"/>
      <c r="W579" s="47" t="n"/>
    </row>
    <row r="580" ht="11.25" customHeight="1">
      <c r="A580" s="30" t="inlineStr">
        <is>
          <t>Itaguai</t>
        </is>
      </c>
      <c r="B580" s="30" t="n">
        <v>78211008</v>
      </c>
      <c r="C580" s="30">
        <f>"08476351000185"</f>
        <v/>
      </c>
      <c r="D580" s="30" t="inlineStr">
        <is>
          <t>T M DE OLIVEIRA COMERCIO VAREJISTA DE BICICLETAS EIRELI ME</t>
        </is>
      </c>
      <c r="E580" s="40" t="n">
        <v>0</v>
      </c>
      <c r="F580" s="40" t="n">
        <v>0</v>
      </c>
      <c r="G580" s="40" t="n">
        <v>0</v>
      </c>
      <c r="H580" s="40" t="n">
        <v>0</v>
      </c>
      <c r="I580" s="40" t="n">
        <v>0</v>
      </c>
      <c r="J580" s="40" t="n">
        <v>0</v>
      </c>
      <c r="K580" s="40" t="n">
        <v>0</v>
      </c>
      <c r="L580" s="40" t="n">
        <v>358229.68</v>
      </c>
      <c r="M580" s="40" t="n">
        <v>100</v>
      </c>
      <c r="N580" s="40" t="n">
        <v>0</v>
      </c>
      <c r="O580" s="46" t="n">
        <v>-100</v>
      </c>
      <c r="P580" s="40" t="n">
        <v>0</v>
      </c>
      <c r="Q580" s="40" t="n">
        <v>0</v>
      </c>
      <c r="R580" s="47" t="n"/>
      <c r="S580" s="47" t="n"/>
      <c r="T580" s="47" t="n"/>
      <c r="U580" s="47" t="n"/>
      <c r="V580" s="47" t="n"/>
      <c r="W580" s="47" t="n"/>
    </row>
    <row r="581" ht="11.25" customHeight="1">
      <c r="A581" s="30" t="inlineStr">
        <is>
          <t>Itaguai</t>
        </is>
      </c>
      <c r="B581" s="30" t="n">
        <v>78213809</v>
      </c>
      <c r="C581" s="30">
        <f>"08360383000110"</f>
        <v/>
      </c>
      <c r="D581" s="30" t="inlineStr">
        <is>
          <t>TROPICAL BUS TRANSPORTE E TURISMO LTDA ME</t>
        </is>
      </c>
      <c r="E581" s="40" t="n">
        <v>0</v>
      </c>
      <c r="F581" s="40" t="n">
        <v>0</v>
      </c>
      <c r="G581" s="40" t="n">
        <v>0</v>
      </c>
      <c r="H581" s="40" t="n">
        <v>0</v>
      </c>
      <c r="I581" s="40" t="n">
        <v>0</v>
      </c>
      <c r="J581" s="40" t="n">
        <v>0</v>
      </c>
      <c r="K581" s="40" t="n">
        <v>0</v>
      </c>
      <c r="L581" s="40" t="n">
        <v>0</v>
      </c>
      <c r="M581" s="40" t="n">
        <v>0</v>
      </c>
      <c r="N581" s="40" t="n">
        <v>485.3</v>
      </c>
      <c r="O581" s="40" t="n">
        <v>100</v>
      </c>
      <c r="P581" s="40" t="n">
        <v>350</v>
      </c>
      <c r="Q581" s="46" t="n">
        <v>-27.88</v>
      </c>
      <c r="R581" s="47" t="n"/>
      <c r="S581" s="47" t="n"/>
      <c r="T581" s="47" t="n"/>
      <c r="U581" s="47" t="n"/>
      <c r="V581" s="47" t="n"/>
      <c r="W581" s="47" t="n"/>
    </row>
    <row r="582" ht="11.25" customHeight="1">
      <c r="A582" s="30" t="inlineStr">
        <is>
          <t>Itaguai</t>
        </is>
      </c>
      <c r="B582" s="30" t="n">
        <v>78219165</v>
      </c>
      <c r="C582" s="30">
        <f>"03109593000389"</f>
        <v/>
      </c>
      <c r="D582" s="30" t="inlineStr">
        <is>
          <t>SCS SERVICOS LTDA</t>
        </is>
      </c>
      <c r="E582" s="40" t="n">
        <v>0</v>
      </c>
      <c r="F582" s="40" t="n">
        <v>0</v>
      </c>
      <c r="G582" s="40" t="n">
        <v>0</v>
      </c>
      <c r="H582" s="40" t="n">
        <v>0</v>
      </c>
      <c r="I582" s="40" t="n">
        <v>0</v>
      </c>
      <c r="J582" s="40" t="n">
        <v>0</v>
      </c>
      <c r="K582" s="40" t="n">
        <v>0</v>
      </c>
      <c r="L582" s="40" t="n">
        <v>0</v>
      </c>
      <c r="M582" s="40" t="n">
        <v>0</v>
      </c>
      <c r="N582" s="40" t="n">
        <v>0</v>
      </c>
      <c r="O582" s="40" t="n">
        <v>0</v>
      </c>
      <c r="P582" s="40" t="n">
        <v>0</v>
      </c>
      <c r="Q582" s="40" t="n">
        <v>0</v>
      </c>
      <c r="R582" s="47" t="n"/>
      <c r="S582" s="47" t="n"/>
      <c r="T582" s="47" t="n"/>
      <c r="U582" s="47" t="n"/>
      <c r="V582" s="47" t="n"/>
      <c r="W582" s="47" t="n"/>
    </row>
    <row r="583" ht="11.25" customHeight="1">
      <c r="A583" s="30" t="inlineStr">
        <is>
          <t>Itaguai</t>
        </is>
      </c>
      <c r="B583" s="30" t="n">
        <v>78224533</v>
      </c>
      <c r="C583" s="30">
        <f>"05132549000153"</f>
        <v/>
      </c>
      <c r="D583" s="30" t="inlineStr">
        <is>
          <t>S O DO BRASIL TELECOMUNICACOES LTDA EPP</t>
        </is>
      </c>
      <c r="E583" s="40" t="n">
        <v>699</v>
      </c>
      <c r="F583" s="40" t="n">
        <v>1659.89</v>
      </c>
      <c r="G583" s="40" t="n">
        <v>137.47</v>
      </c>
      <c r="H583" s="40" t="n">
        <v>2230.52</v>
      </c>
      <c r="I583" s="40" t="n">
        <v>34.38</v>
      </c>
      <c r="J583" s="40" t="n">
        <v>83.88</v>
      </c>
      <c r="K583" s="46" t="n">
        <v>-96.23999999999999</v>
      </c>
      <c r="L583" s="40" t="n">
        <v>0</v>
      </c>
      <c r="M583" s="46" t="n">
        <v>-100</v>
      </c>
      <c r="N583" s="40" t="n">
        <v>33832</v>
      </c>
      <c r="O583" s="40" t="n">
        <v>100</v>
      </c>
      <c r="P583" s="40" t="n">
        <v>5460</v>
      </c>
      <c r="Q583" s="46" t="n">
        <v>-83.86</v>
      </c>
      <c r="R583" s="47" t="n"/>
      <c r="S583" s="47" t="n"/>
      <c r="T583" s="47" t="n"/>
      <c r="U583" s="47" t="n"/>
      <c r="V583" s="47" t="n"/>
      <c r="W583" s="47" t="n"/>
    </row>
    <row r="584" ht="11.25" customHeight="1">
      <c r="A584" s="30" t="inlineStr">
        <is>
          <t>Itaguai</t>
        </is>
      </c>
      <c r="B584" s="30" t="n">
        <v>78235403</v>
      </c>
      <c r="C584" s="30">
        <f>"08111564000103"</f>
        <v/>
      </c>
      <c r="D584" s="30" t="inlineStr">
        <is>
          <t>ASTRAL CAR TRANSPORTES VEICULOS E LOCACAO EIRELI EPP</t>
        </is>
      </c>
      <c r="E584" s="40" t="n">
        <v>0</v>
      </c>
      <c r="F584" s="40" t="n">
        <v>0</v>
      </c>
      <c r="G584" s="40" t="n">
        <v>0</v>
      </c>
      <c r="H584" s="40" t="n">
        <v>600</v>
      </c>
      <c r="I584" s="40" t="n">
        <v>100</v>
      </c>
      <c r="J584" s="40" t="n">
        <v>0</v>
      </c>
      <c r="K584" s="46" t="n">
        <v>-100</v>
      </c>
      <c r="L584" s="40" t="n">
        <v>1000</v>
      </c>
      <c r="M584" s="40" t="n">
        <v>100</v>
      </c>
      <c r="N584" s="40" t="n">
        <v>0</v>
      </c>
      <c r="O584" s="46" t="n">
        <v>-100</v>
      </c>
      <c r="P584" s="40" t="n">
        <v>0</v>
      </c>
      <c r="Q584" s="40" t="n">
        <v>0</v>
      </c>
      <c r="R584" s="47" t="n"/>
      <c r="S584" s="47" t="n"/>
      <c r="T584" s="47" t="n"/>
      <c r="U584" s="47" t="n"/>
      <c r="V584" s="47" t="n"/>
      <c r="W584" s="47" t="n"/>
    </row>
    <row r="585" ht="11.25" customHeight="1">
      <c r="A585" s="30" t="inlineStr">
        <is>
          <t>Itaguai</t>
        </is>
      </c>
      <c r="B585" s="30" t="n">
        <v>78235802</v>
      </c>
      <c r="C585" s="30">
        <f>"08599033000101"</f>
        <v/>
      </c>
      <c r="D585" s="30" t="inlineStr">
        <is>
          <t>TRANSMQ DA SERRA SERVICOS DE TRANSPORTES LTDA</t>
        </is>
      </c>
      <c r="E585" s="40" t="n">
        <v>0</v>
      </c>
      <c r="F585" s="40" t="n">
        <v>1736</v>
      </c>
      <c r="G585" s="40" t="n">
        <v>100</v>
      </c>
      <c r="H585" s="40" t="n">
        <v>0</v>
      </c>
      <c r="I585" s="46" t="n">
        <v>-100</v>
      </c>
      <c r="J585" s="40" t="n">
        <v>0</v>
      </c>
      <c r="K585" s="40" t="n">
        <v>0</v>
      </c>
      <c r="L585" s="40" t="n">
        <v>0</v>
      </c>
      <c r="M585" s="40" t="n">
        <v>0</v>
      </c>
      <c r="N585" s="40" t="n">
        <v>0</v>
      </c>
      <c r="O585" s="40" t="n">
        <v>0</v>
      </c>
      <c r="P585" s="40" t="n">
        <v>0</v>
      </c>
      <c r="Q585" s="40" t="n">
        <v>0</v>
      </c>
      <c r="R585" s="47" t="n"/>
      <c r="S585" s="47" t="n"/>
      <c r="T585" s="47" t="n"/>
      <c r="U585" s="47" t="n"/>
      <c r="V585" s="47" t="n"/>
      <c r="W585" s="47" t="n"/>
    </row>
    <row r="586" ht="11.25" customHeight="1">
      <c r="A586" s="30" t="inlineStr">
        <is>
          <t>Itaguai</t>
        </is>
      </c>
      <c r="B586" s="30" t="n">
        <v>78236647</v>
      </c>
      <c r="C586" s="30">
        <f>"42502492000244"</f>
        <v/>
      </c>
      <c r="D586" s="30" t="inlineStr">
        <is>
          <t>REAL VEICULOS COMERCIO E SERVICOS LTDA</t>
        </is>
      </c>
      <c r="E586" s="40" t="n">
        <v>7266714.38</v>
      </c>
      <c r="F586" s="40" t="n">
        <v>6184885.65</v>
      </c>
      <c r="G586" s="46" t="n">
        <v>-14.89</v>
      </c>
      <c r="H586" s="40" t="n">
        <v>7014572.65</v>
      </c>
      <c r="I586" s="40" t="n">
        <v>13.41</v>
      </c>
      <c r="J586" s="40" t="n">
        <v>5308231.57</v>
      </c>
      <c r="K586" s="46" t="n">
        <v>-24.33</v>
      </c>
      <c r="L586" s="40" t="n">
        <v>7402097.63</v>
      </c>
      <c r="M586" s="40" t="n">
        <v>39.45</v>
      </c>
      <c r="N586" s="40" t="n">
        <v>0</v>
      </c>
      <c r="O586" s="46" t="n">
        <v>-100</v>
      </c>
      <c r="P586" s="40" t="n">
        <v>5459249.86</v>
      </c>
      <c r="Q586" s="40" t="n">
        <v>100</v>
      </c>
      <c r="R586" s="47" t="n"/>
      <c r="S586" s="47" t="n"/>
      <c r="T586" s="47" t="n"/>
      <c r="U586" s="47" t="n"/>
      <c r="V586" s="47" t="n"/>
      <c r="W586" s="47" t="n"/>
    </row>
    <row r="587" ht="11.25" customHeight="1">
      <c r="A587" s="30" t="inlineStr">
        <is>
          <t>Itaguai</t>
        </is>
      </c>
      <c r="B587" s="30" t="n">
        <v>78246596</v>
      </c>
      <c r="C587" s="30">
        <f>"08140951000178"</f>
        <v/>
      </c>
      <c r="D587" s="30" t="inlineStr">
        <is>
          <t>INFO COLUMBIA COMERCIO E SERVICOS LTDA ME</t>
        </is>
      </c>
      <c r="E587" s="40" t="n">
        <v>0</v>
      </c>
      <c r="F587" s="40" t="n">
        <v>0</v>
      </c>
      <c r="G587" s="40" t="n">
        <v>0</v>
      </c>
      <c r="H587" s="40" t="n">
        <v>0</v>
      </c>
      <c r="I587" s="40" t="n">
        <v>0</v>
      </c>
      <c r="J587" s="40" t="n">
        <v>0</v>
      </c>
      <c r="K587" s="40" t="n">
        <v>0</v>
      </c>
      <c r="L587" s="40" t="n">
        <v>0</v>
      </c>
      <c r="M587" s="40" t="n">
        <v>0</v>
      </c>
      <c r="N587" s="40" t="n">
        <v>0</v>
      </c>
      <c r="O587" s="40" t="n">
        <v>0</v>
      </c>
      <c r="P587" s="40" t="n">
        <v>0</v>
      </c>
      <c r="Q587" s="40" t="n">
        <v>0</v>
      </c>
      <c r="R587" s="47" t="n"/>
      <c r="S587" s="47" t="n"/>
      <c r="T587" s="47" t="n"/>
      <c r="U587" s="47" t="n"/>
      <c r="V587" s="47" t="n"/>
      <c r="W587" s="47" t="n"/>
    </row>
    <row r="588" ht="11.25" customHeight="1">
      <c r="A588" s="30" t="inlineStr">
        <is>
          <t>Itaguai</t>
        </is>
      </c>
      <c r="B588" s="30" t="n">
        <v>78258950</v>
      </c>
      <c r="C588" s="30">
        <f>"08219203000690"</f>
        <v/>
      </c>
      <c r="D588" s="30" t="inlineStr">
        <is>
          <t>DIRECIONAL TRANSPORTE E LOGISTICA S A</t>
        </is>
      </c>
      <c r="E588" s="40" t="n">
        <v>328.27</v>
      </c>
      <c r="F588" s="40" t="n">
        <v>713.55</v>
      </c>
      <c r="G588" s="40" t="n">
        <v>117.37</v>
      </c>
      <c r="H588" s="40" t="n">
        <v>785.1900000000001</v>
      </c>
      <c r="I588" s="40" t="n">
        <v>10.04</v>
      </c>
      <c r="J588" s="40" t="n">
        <v>2628.41</v>
      </c>
      <c r="K588" s="40" t="n">
        <v>234.75</v>
      </c>
      <c r="L588" s="40" t="n">
        <v>450.46</v>
      </c>
      <c r="M588" s="46" t="n">
        <v>-82.86</v>
      </c>
      <c r="N588" s="40" t="n">
        <v>0</v>
      </c>
      <c r="O588" s="46" t="n">
        <v>-100</v>
      </c>
      <c r="P588" s="40" t="n">
        <v>0</v>
      </c>
      <c r="Q588" s="40" t="n">
        <v>0</v>
      </c>
      <c r="R588" s="47" t="n"/>
      <c r="S588" s="47" t="n"/>
      <c r="T588" s="47" t="n"/>
      <c r="U588" s="47" t="n"/>
      <c r="V588" s="47" t="n"/>
      <c r="W588" s="47" t="n"/>
    </row>
    <row r="589" ht="11.25" customHeight="1">
      <c r="A589" s="30" t="inlineStr">
        <is>
          <t>Itaguai</t>
        </is>
      </c>
      <c r="B589" s="30" t="n">
        <v>78271906</v>
      </c>
      <c r="C589" s="30">
        <f>"07040886000146"</f>
        <v/>
      </c>
      <c r="D589" s="30" t="inlineStr">
        <is>
          <t>S S FERNANDES COMERCIO DE PERFIS E ACESSORIOS DE ALUMINIO</t>
        </is>
      </c>
      <c r="E589" s="40" t="n">
        <v>0</v>
      </c>
      <c r="F589" s="40" t="n">
        <v>0</v>
      </c>
      <c r="G589" s="40" t="n">
        <v>0</v>
      </c>
      <c r="H589" s="40" t="n">
        <v>0</v>
      </c>
      <c r="I589" s="40" t="n">
        <v>0</v>
      </c>
      <c r="J589" s="40" t="n">
        <v>0</v>
      </c>
      <c r="K589" s="40" t="n">
        <v>0</v>
      </c>
      <c r="L589" s="40" t="n">
        <v>0</v>
      </c>
      <c r="M589" s="40" t="n">
        <v>0</v>
      </c>
      <c r="N589" s="40" t="n">
        <v>0</v>
      </c>
      <c r="O589" s="40" t="n">
        <v>0</v>
      </c>
      <c r="P589" s="40" t="n">
        <v>0</v>
      </c>
      <c r="Q589" s="40" t="n">
        <v>0</v>
      </c>
      <c r="R589" s="47" t="n"/>
      <c r="S589" s="47" t="n"/>
      <c r="T589" s="47" t="n"/>
      <c r="U589" s="47" t="n"/>
      <c r="V589" s="47" t="n"/>
      <c r="W589" s="47" t="n"/>
    </row>
    <row r="590" ht="11.25" customHeight="1">
      <c r="A590" s="30" t="inlineStr">
        <is>
          <t>Itaguai</t>
        </is>
      </c>
      <c r="B590" s="30" t="n">
        <v>78275650</v>
      </c>
      <c r="C590" s="30">
        <f>"07625852000113"</f>
        <v/>
      </c>
      <c r="D590" s="30" t="inlineStr">
        <is>
          <t>TELEXPERTS TELECOMUNICACOES LTDA</t>
        </is>
      </c>
      <c r="E590" s="40" t="n">
        <v>0</v>
      </c>
      <c r="F590" s="40" t="n">
        <v>9794.190000000001</v>
      </c>
      <c r="G590" s="40" t="n">
        <v>100</v>
      </c>
      <c r="H590" s="40" t="n">
        <v>37551.12</v>
      </c>
      <c r="I590" s="40" t="n">
        <v>283.4</v>
      </c>
      <c r="J590" s="40" t="n">
        <v>117127.91</v>
      </c>
      <c r="K590" s="40" t="n">
        <v>211.92</v>
      </c>
      <c r="L590" s="40" t="n">
        <v>91.62</v>
      </c>
      <c r="M590" s="46" t="n">
        <v>-99.92</v>
      </c>
      <c r="N590" s="40" t="n">
        <v>2040.5</v>
      </c>
      <c r="O590" s="40" t="n">
        <v>2127.13</v>
      </c>
      <c r="P590" s="40" t="n">
        <v>3031.38</v>
      </c>
      <c r="Q590" s="40" t="n">
        <v>48.56</v>
      </c>
      <c r="R590" s="47" t="n"/>
      <c r="S590" s="47" t="n"/>
      <c r="T590" s="47" t="n"/>
      <c r="U590" s="47" t="n"/>
      <c r="V590" s="47" t="n"/>
      <c r="W590" s="47" t="n"/>
    </row>
    <row r="591" ht="11.25" customHeight="1">
      <c r="A591" s="30" t="inlineStr">
        <is>
          <t>Itaguai</t>
        </is>
      </c>
      <c r="B591" s="30" t="n">
        <v>78280115</v>
      </c>
      <c r="C591" s="30">
        <f>"08587110000103"</f>
        <v/>
      </c>
      <c r="D591" s="30" t="inlineStr">
        <is>
          <t>LUCKY MONEY X INFORMATICA COMERCIO E SERVICOS LTDA ME</t>
        </is>
      </c>
      <c r="E591" s="40" t="n">
        <v>0</v>
      </c>
      <c r="F591" s="40" t="n">
        <v>0</v>
      </c>
      <c r="G591" s="40" t="n">
        <v>0</v>
      </c>
      <c r="H591" s="40" t="n">
        <v>0</v>
      </c>
      <c r="I591" s="40" t="n">
        <v>0</v>
      </c>
      <c r="J591" s="40" t="n">
        <v>0</v>
      </c>
      <c r="K591" s="40" t="n">
        <v>0</v>
      </c>
      <c r="L591" s="40" t="n">
        <v>0</v>
      </c>
      <c r="M591" s="40" t="n">
        <v>0</v>
      </c>
      <c r="N591" s="40" t="n">
        <v>0</v>
      </c>
      <c r="O591" s="40" t="n">
        <v>0</v>
      </c>
      <c r="P591" s="40" t="n">
        <v>0</v>
      </c>
      <c r="Q591" s="40" t="n">
        <v>0</v>
      </c>
      <c r="R591" s="47" t="n"/>
      <c r="S591" s="47" t="n"/>
      <c r="T591" s="47" t="n"/>
      <c r="U591" s="47" t="n"/>
      <c r="V591" s="47" t="n"/>
      <c r="W591" s="47" t="n"/>
    </row>
    <row r="592" ht="11.25" customHeight="1">
      <c r="A592" s="30" t="inlineStr">
        <is>
          <t>Itaguai</t>
        </is>
      </c>
      <c r="B592" s="30" t="n">
        <v>78284242</v>
      </c>
      <c r="C592" s="30">
        <f>"93949899000336"</f>
        <v/>
      </c>
      <c r="D592" s="30" t="inlineStr">
        <is>
          <t>VENETOSUL TRANSPORTES LTDA</t>
        </is>
      </c>
      <c r="E592" s="40" t="n">
        <v>0</v>
      </c>
      <c r="F592" s="40" t="n">
        <v>0</v>
      </c>
      <c r="G592" s="40" t="n">
        <v>0</v>
      </c>
      <c r="H592" s="40" t="n">
        <v>0</v>
      </c>
      <c r="I592" s="40" t="n">
        <v>0</v>
      </c>
      <c r="J592" s="40" t="n">
        <v>0</v>
      </c>
      <c r="K592" s="40" t="n">
        <v>0</v>
      </c>
      <c r="L592" s="40" t="n">
        <v>200</v>
      </c>
      <c r="M592" s="40" t="n">
        <v>100</v>
      </c>
      <c r="N592" s="40" t="n">
        <v>0</v>
      </c>
      <c r="O592" s="46" t="n">
        <v>-100</v>
      </c>
      <c r="P592" s="40" t="n">
        <v>0</v>
      </c>
      <c r="Q592" s="40" t="n">
        <v>0</v>
      </c>
      <c r="R592" s="47" t="n"/>
      <c r="S592" s="47" t="n"/>
      <c r="T592" s="47" t="n"/>
      <c r="U592" s="47" t="n"/>
      <c r="V592" s="47" t="n"/>
      <c r="W592" s="47" t="n"/>
    </row>
    <row r="593" ht="11.25" customHeight="1">
      <c r="A593" s="30" t="inlineStr">
        <is>
          <t>Itaguai</t>
        </is>
      </c>
      <c r="B593" s="30" t="n">
        <v>78285974</v>
      </c>
      <c r="C593" s="30">
        <f>"08772052000198"</f>
        <v/>
      </c>
      <c r="D593" s="30" t="inlineStr">
        <is>
          <t>JW BRASIL LOCACAO DE MAQUINAS E EQUIPAMENTOS LTDA ME</t>
        </is>
      </c>
      <c r="E593" s="40" t="n">
        <v>0</v>
      </c>
      <c r="F593" s="40" t="n">
        <v>0</v>
      </c>
      <c r="G593" s="40" t="n">
        <v>0</v>
      </c>
      <c r="H593" s="40" t="n">
        <v>0</v>
      </c>
      <c r="I593" s="40" t="n">
        <v>0</v>
      </c>
      <c r="J593" s="40" t="n">
        <v>0</v>
      </c>
      <c r="K593" s="40" t="n">
        <v>0</v>
      </c>
      <c r="L593" s="40" t="n">
        <v>0</v>
      </c>
      <c r="M593" s="40" t="n">
        <v>0</v>
      </c>
      <c r="N593" s="40" t="n">
        <v>0</v>
      </c>
      <c r="O593" s="40" t="n">
        <v>0</v>
      </c>
      <c r="P593" s="40" t="n">
        <v>0</v>
      </c>
      <c r="Q593" s="40" t="n">
        <v>0</v>
      </c>
      <c r="R593" s="47" t="n"/>
      <c r="S593" s="47" t="n"/>
      <c r="T593" s="47" t="n"/>
      <c r="U593" s="47" t="n"/>
      <c r="V593" s="47" t="n"/>
      <c r="W593" s="47" t="n"/>
    </row>
    <row r="594" ht="11.25" customHeight="1">
      <c r="A594" s="30" t="inlineStr">
        <is>
          <t>Itaguai</t>
        </is>
      </c>
      <c r="B594" s="30" t="n">
        <v>78286067</v>
      </c>
      <c r="C594" s="30">
        <f>"08768619000152"</f>
        <v/>
      </c>
      <c r="D594" s="30" t="inlineStr">
        <is>
          <t>REDE CARGA AGENCIAMENTO E TRANSPORTE DE CARGAS LTDA EPP</t>
        </is>
      </c>
      <c r="E594" s="40" t="n">
        <v>0</v>
      </c>
      <c r="F594" s="40" t="n">
        <v>0</v>
      </c>
      <c r="G594" s="40" t="n">
        <v>0</v>
      </c>
      <c r="H594" s="40" t="n">
        <v>0</v>
      </c>
      <c r="I594" s="40" t="n">
        <v>0</v>
      </c>
      <c r="J594" s="40" t="n">
        <v>100.36</v>
      </c>
      <c r="K594" s="40" t="n">
        <v>100</v>
      </c>
      <c r="L594" s="40" t="n">
        <v>0</v>
      </c>
      <c r="M594" s="46" t="n">
        <v>-100</v>
      </c>
      <c r="N594" s="40" t="n">
        <v>0</v>
      </c>
      <c r="O594" s="40" t="n">
        <v>0</v>
      </c>
      <c r="P594" s="40" t="n">
        <v>0</v>
      </c>
      <c r="Q594" s="40" t="n">
        <v>0</v>
      </c>
      <c r="R594" s="47" t="n"/>
      <c r="S594" s="47" t="n"/>
      <c r="T594" s="47" t="n"/>
      <c r="U594" s="47" t="n"/>
      <c r="V594" s="47" t="n"/>
      <c r="W594" s="47" t="n"/>
    </row>
    <row r="595" ht="11.25" customHeight="1">
      <c r="A595" s="30" t="inlineStr">
        <is>
          <t>Itaguai</t>
        </is>
      </c>
      <c r="B595" s="30" t="n">
        <v>78288841</v>
      </c>
      <c r="C595" s="30">
        <f>"75785675000516"</f>
        <v/>
      </c>
      <c r="D595" s="30" t="inlineStr">
        <is>
          <t>TRANSPORTADORA OCIANI LTDA</t>
        </is>
      </c>
      <c r="E595" s="40" t="n">
        <v>1365.16</v>
      </c>
      <c r="F595" s="40" t="n">
        <v>66.69</v>
      </c>
      <c r="G595" s="46" t="n">
        <v>-95.11</v>
      </c>
      <c r="H595" s="40" t="n">
        <v>74.55</v>
      </c>
      <c r="I595" s="40" t="n">
        <v>11.79</v>
      </c>
      <c r="J595" s="40" t="n">
        <v>115.74</v>
      </c>
      <c r="K595" s="40" t="n">
        <v>55.25</v>
      </c>
      <c r="L595" s="40" t="n">
        <v>221.45</v>
      </c>
      <c r="M595" s="40" t="n">
        <v>91.33</v>
      </c>
      <c r="N595" s="40" t="n">
        <v>0</v>
      </c>
      <c r="O595" s="46" t="n">
        <v>-100</v>
      </c>
      <c r="P595" s="40" t="n">
        <v>0</v>
      </c>
      <c r="Q595" s="40" t="n">
        <v>0</v>
      </c>
      <c r="R595" s="47" t="n"/>
      <c r="S595" s="47" t="n"/>
      <c r="T595" s="47" t="n"/>
      <c r="U595" s="47" t="n"/>
      <c r="V595" s="47" t="n"/>
      <c r="W595" s="47" t="n"/>
    </row>
    <row r="596" ht="11.25" customHeight="1">
      <c r="A596" s="30" t="inlineStr">
        <is>
          <t>Itaguai</t>
        </is>
      </c>
      <c r="B596" s="30" t="n">
        <v>78290188</v>
      </c>
      <c r="C596" s="30">
        <f>"01009876000242"</f>
        <v/>
      </c>
      <c r="D596" s="30" t="inlineStr">
        <is>
          <t>FALKLAND TECNOLOGIA EM TELECOMUNICACOES S/A</t>
        </is>
      </c>
      <c r="E596" s="40" t="n">
        <v>148220.59</v>
      </c>
      <c r="F596" s="40" t="n">
        <v>100942.64</v>
      </c>
      <c r="G596" s="46" t="n">
        <v>-31.9</v>
      </c>
      <c r="H596" s="40" t="n">
        <v>14968.18</v>
      </c>
      <c r="I596" s="46" t="n">
        <v>-85.17</v>
      </c>
      <c r="J596" s="40" t="n">
        <v>64.38</v>
      </c>
      <c r="K596" s="46" t="n">
        <v>-99.56999999999999</v>
      </c>
      <c r="L596" s="40" t="n">
        <v>0</v>
      </c>
      <c r="M596" s="46" t="n">
        <v>-100</v>
      </c>
      <c r="N596" s="40" t="n">
        <v>0</v>
      </c>
      <c r="O596" s="40" t="n">
        <v>0</v>
      </c>
      <c r="P596" s="40" t="n">
        <v>0</v>
      </c>
      <c r="Q596" s="40" t="n">
        <v>0</v>
      </c>
      <c r="R596" s="47" t="n"/>
      <c r="S596" s="47" t="n"/>
      <c r="T596" s="47" t="n"/>
      <c r="U596" s="47" t="n"/>
      <c r="V596" s="47" t="n"/>
      <c r="W596" s="47" t="n"/>
    </row>
    <row r="597" ht="11.25" customHeight="1">
      <c r="A597" s="30" t="inlineStr">
        <is>
          <t>Itaguai</t>
        </is>
      </c>
      <c r="B597" s="30" t="n">
        <v>78314079</v>
      </c>
      <c r="C597" s="30">
        <f>"08912871000193"</f>
        <v/>
      </c>
      <c r="D597" s="30" t="inlineStr">
        <is>
          <t>PLANETA KIDS DE ITAGUAI ROUPAS LTDA</t>
        </is>
      </c>
      <c r="E597" s="40" t="n">
        <v>0</v>
      </c>
      <c r="F597" s="40" t="n">
        <v>0</v>
      </c>
      <c r="G597" s="40" t="n">
        <v>0</v>
      </c>
      <c r="H597" s="40" t="n">
        <v>0</v>
      </c>
      <c r="I597" s="40" t="n">
        <v>0</v>
      </c>
      <c r="J597" s="40" t="n">
        <v>0</v>
      </c>
      <c r="K597" s="40" t="n">
        <v>0</v>
      </c>
      <c r="L597" s="40" t="n">
        <v>0</v>
      </c>
      <c r="M597" s="40" t="n">
        <v>0</v>
      </c>
      <c r="N597" s="40" t="n">
        <v>0</v>
      </c>
      <c r="O597" s="40" t="n">
        <v>0</v>
      </c>
      <c r="P597" s="40" t="n">
        <v>0</v>
      </c>
      <c r="Q597" s="40" t="n">
        <v>0</v>
      </c>
      <c r="R597" s="47" t="n"/>
      <c r="S597" s="47" t="n"/>
      <c r="T597" s="47" t="n"/>
      <c r="U597" s="47" t="n"/>
      <c r="V597" s="47" t="n"/>
      <c r="W597" s="47" t="n"/>
    </row>
    <row r="598" ht="11.25" customHeight="1">
      <c r="A598" s="30" t="inlineStr">
        <is>
          <t>Itaguai</t>
        </is>
      </c>
      <c r="B598" s="30" t="n">
        <v>78324686</v>
      </c>
      <c r="C598" s="30">
        <f>"08934302000149"</f>
        <v/>
      </c>
      <c r="D598" s="30" t="inlineStr">
        <is>
          <t>LPA PRIMOR TRANSPORTES RODOVIARIO E AEREO DE CARGAS E LOCACAO DE</t>
        </is>
      </c>
      <c r="E598" s="40" t="n">
        <v>0</v>
      </c>
      <c r="F598" s="40" t="n">
        <v>2318.64</v>
      </c>
      <c r="G598" s="40" t="n">
        <v>100</v>
      </c>
      <c r="H598" s="40" t="n">
        <v>1172.68</v>
      </c>
      <c r="I598" s="46" t="n">
        <v>-49.42</v>
      </c>
      <c r="J598" s="40" t="n">
        <v>820.74</v>
      </c>
      <c r="K598" s="46" t="n">
        <v>-30.01</v>
      </c>
      <c r="L598" s="40" t="n">
        <v>0</v>
      </c>
      <c r="M598" s="46" t="n">
        <v>-100</v>
      </c>
      <c r="N598" s="40" t="n">
        <v>0</v>
      </c>
      <c r="O598" s="40" t="n">
        <v>0</v>
      </c>
      <c r="P598" s="40" t="n">
        <v>0</v>
      </c>
      <c r="Q598" s="40" t="n">
        <v>0</v>
      </c>
      <c r="R598" s="47" t="n"/>
      <c r="S598" s="47" t="n"/>
      <c r="T598" s="47" t="n"/>
      <c r="U598" s="47" t="n"/>
      <c r="V598" s="47" t="n"/>
      <c r="W598" s="47" t="n"/>
    </row>
    <row r="599" ht="11.25" customHeight="1">
      <c r="A599" s="30" t="inlineStr">
        <is>
          <t>Itaguai</t>
        </is>
      </c>
      <c r="B599" s="30" t="n">
        <v>78325038</v>
      </c>
      <c r="C599" s="30">
        <f>"04112022000285"</f>
        <v/>
      </c>
      <c r="D599" s="30" t="inlineStr">
        <is>
          <t>STEULER DO BRASIL LTDA</t>
        </is>
      </c>
      <c r="E599" s="40" t="n">
        <v>0</v>
      </c>
      <c r="F599" s="40" t="n">
        <v>0</v>
      </c>
      <c r="G599" s="40" t="n">
        <v>0</v>
      </c>
      <c r="H599" s="40" t="n">
        <v>0</v>
      </c>
      <c r="I599" s="40" t="n">
        <v>0</v>
      </c>
      <c r="J599" s="40" t="n">
        <v>0</v>
      </c>
      <c r="K599" s="40" t="n">
        <v>0</v>
      </c>
      <c r="L599" s="40" t="n">
        <v>0</v>
      </c>
      <c r="M599" s="40" t="n">
        <v>0</v>
      </c>
      <c r="N599" s="40" t="n">
        <v>0</v>
      </c>
      <c r="O599" s="40" t="n">
        <v>0</v>
      </c>
      <c r="P599" s="40" t="n">
        <v>0</v>
      </c>
      <c r="Q599" s="40" t="n">
        <v>0</v>
      </c>
      <c r="R599" s="47" t="n"/>
      <c r="S599" s="47" t="n"/>
      <c r="T599" s="47" t="n"/>
      <c r="U599" s="47" t="n"/>
      <c r="V599" s="47" t="n"/>
      <c r="W599" s="47" t="n"/>
    </row>
    <row r="600" ht="11.25" customHeight="1">
      <c r="A600" s="30" t="inlineStr">
        <is>
          <t>Itaguai</t>
        </is>
      </c>
      <c r="B600" s="30" t="n">
        <v>78325160</v>
      </c>
      <c r="C600" s="30">
        <f>"05029926000123"</f>
        <v/>
      </c>
      <c r="D600" s="30" t="inlineStr">
        <is>
          <t>COOPERNOVA COOPERATIVA DE MOTORISTAS AUTONOMOS DO TRANSPORTE COMPLEMENTAR DE PASSAGEIROS FRETAMENTO E TURISMO LTDA</t>
        </is>
      </c>
      <c r="E600" s="40" t="n">
        <v>0</v>
      </c>
      <c r="F600" s="40" t="n">
        <v>0</v>
      </c>
      <c r="G600" s="40" t="n">
        <v>0</v>
      </c>
      <c r="H600" s="40" t="n">
        <v>1400</v>
      </c>
      <c r="I600" s="40" t="n">
        <v>100</v>
      </c>
      <c r="J600" s="40" t="n">
        <v>0</v>
      </c>
      <c r="K600" s="46" t="n">
        <v>-100</v>
      </c>
      <c r="L600" s="40" t="n">
        <v>900</v>
      </c>
      <c r="M600" s="40" t="n">
        <v>100</v>
      </c>
      <c r="N600" s="40" t="n">
        <v>3290</v>
      </c>
      <c r="O600" s="40" t="n">
        <v>265.56</v>
      </c>
      <c r="P600" s="40" t="n">
        <v>3950</v>
      </c>
      <c r="Q600" s="40" t="n">
        <v>20.06</v>
      </c>
      <c r="R600" s="47" t="n"/>
      <c r="S600" s="47" t="n"/>
      <c r="T600" s="47" t="n"/>
      <c r="U600" s="47" t="n"/>
      <c r="V600" s="47" t="n"/>
      <c r="W600" s="47" t="n"/>
    </row>
    <row r="601" ht="11.25" customHeight="1">
      <c r="A601" s="30" t="inlineStr">
        <is>
          <t>Itaguai</t>
        </is>
      </c>
      <c r="B601" s="30" t="n">
        <v>78336820</v>
      </c>
      <c r="C601" s="30">
        <f>"08964218000178"</f>
        <v/>
      </c>
      <c r="D601" s="30" t="inlineStr">
        <is>
          <t>J S FERREIRA FRIGORIFICO LTDA</t>
        </is>
      </c>
      <c r="E601" s="40" t="n">
        <v>0</v>
      </c>
      <c r="F601" s="40" t="n">
        <v>0</v>
      </c>
      <c r="G601" s="40" t="n">
        <v>0</v>
      </c>
      <c r="H601" s="40" t="n">
        <v>229058.21</v>
      </c>
      <c r="I601" s="40" t="n">
        <v>100</v>
      </c>
      <c r="J601" s="40" t="n">
        <v>6785.81</v>
      </c>
      <c r="K601" s="46" t="n">
        <v>-97.04000000000001</v>
      </c>
      <c r="L601" s="40" t="n">
        <v>299663.33</v>
      </c>
      <c r="M601" s="40" t="n">
        <v>4316.03</v>
      </c>
      <c r="N601" s="40" t="n">
        <v>272934.39</v>
      </c>
      <c r="O601" s="46" t="n">
        <v>-8.92</v>
      </c>
      <c r="P601" s="40" t="n">
        <v>117179.82</v>
      </c>
      <c r="Q601" s="46" t="n">
        <v>-57.07</v>
      </c>
      <c r="R601" s="47" t="n"/>
      <c r="S601" s="47" t="n"/>
      <c r="T601" s="47" t="n"/>
      <c r="U601" s="47" t="n"/>
      <c r="V601" s="47" t="n"/>
      <c r="W601" s="47" t="n"/>
    </row>
    <row r="602" ht="11.25" customHeight="1">
      <c r="A602" s="30" t="inlineStr">
        <is>
          <t>Itaguai</t>
        </is>
      </c>
      <c r="B602" s="30" t="n">
        <v>78342480</v>
      </c>
      <c r="C602" s="30">
        <f>"08980148000141"</f>
        <v/>
      </c>
      <c r="D602" s="30" t="inlineStr">
        <is>
          <t>ADAPT LINK SERVIÇOS DE COMUNICAÇÃO MULTIMÍDIA EIRELI</t>
        </is>
      </c>
      <c r="E602" s="40" t="n">
        <v>0</v>
      </c>
      <c r="F602" s="40" t="n">
        <v>0</v>
      </c>
      <c r="G602" s="40" t="n">
        <v>0</v>
      </c>
      <c r="H602" s="40" t="n">
        <v>0</v>
      </c>
      <c r="I602" s="40" t="n">
        <v>0</v>
      </c>
      <c r="J602" s="40" t="n">
        <v>0</v>
      </c>
      <c r="K602" s="40" t="n">
        <v>0</v>
      </c>
      <c r="L602" s="40" t="n">
        <v>71180.91</v>
      </c>
      <c r="M602" s="40" t="n">
        <v>100</v>
      </c>
      <c r="N602" s="40" t="n">
        <v>109177.68</v>
      </c>
      <c r="O602" s="40" t="n">
        <v>53.38</v>
      </c>
      <c r="P602" s="40" t="n">
        <v>118583.13</v>
      </c>
      <c r="Q602" s="40" t="n">
        <v>8.609999999999999</v>
      </c>
      <c r="R602" s="47" t="n"/>
      <c r="S602" s="47" t="n"/>
      <c r="T602" s="47" t="n"/>
      <c r="U602" s="47" t="n"/>
      <c r="V602" s="47" t="n"/>
      <c r="W602" s="47" t="n"/>
    </row>
    <row r="603" ht="11.25" customHeight="1">
      <c r="A603" s="30" t="inlineStr">
        <is>
          <t>Itaguai</t>
        </is>
      </c>
      <c r="B603" s="30" t="n">
        <v>78344261</v>
      </c>
      <c r="C603" s="30">
        <f>"08165642000233"</f>
        <v/>
      </c>
      <c r="D603" s="30" t="inlineStr">
        <is>
          <t>GAT LOGISTICAS LTDA</t>
        </is>
      </c>
      <c r="E603" s="40" t="n">
        <v>191.08</v>
      </c>
      <c r="F603" s="40" t="n">
        <v>11118.67</v>
      </c>
      <c r="G603" s="40" t="n">
        <v>5718.86</v>
      </c>
      <c r="H603" s="40" t="n">
        <v>3113.44</v>
      </c>
      <c r="I603" s="46" t="n">
        <v>-72</v>
      </c>
      <c r="J603" s="40" t="n">
        <v>0</v>
      </c>
      <c r="K603" s="46" t="n">
        <v>-100</v>
      </c>
      <c r="L603" s="40" t="n">
        <v>0</v>
      </c>
      <c r="M603" s="40" t="n">
        <v>0</v>
      </c>
      <c r="N603" s="40" t="n">
        <v>2661.44</v>
      </c>
      <c r="O603" s="40" t="n">
        <v>100</v>
      </c>
      <c r="P603" s="40" t="n">
        <v>1012.11</v>
      </c>
      <c r="Q603" s="46" t="n">
        <v>-61.97</v>
      </c>
      <c r="R603" s="47" t="n"/>
      <c r="S603" s="47" t="n"/>
      <c r="T603" s="47" t="n"/>
      <c r="U603" s="47" t="n"/>
      <c r="V603" s="47" t="n"/>
      <c r="W603" s="47" t="n"/>
    </row>
    <row r="604" ht="11.25" customHeight="1">
      <c r="A604" s="30" t="inlineStr">
        <is>
          <t>Itaguai</t>
        </is>
      </c>
      <c r="B604" s="30" t="n">
        <v>78347783</v>
      </c>
      <c r="C604" s="30">
        <f>"05353658000109"</f>
        <v/>
      </c>
      <c r="D604" s="30" t="inlineStr">
        <is>
          <t>J. E. MARQUES CURRAL DE APREENSÃO LTDA</t>
        </is>
      </c>
      <c r="E604" s="40" t="n">
        <v>0</v>
      </c>
      <c r="F604" s="40" t="n">
        <v>0</v>
      </c>
      <c r="G604" s="40" t="n">
        <v>0</v>
      </c>
      <c r="H604" s="40" t="n">
        <v>0</v>
      </c>
      <c r="I604" s="40" t="n">
        <v>0</v>
      </c>
      <c r="J604" s="40" t="n">
        <v>0</v>
      </c>
      <c r="K604" s="40" t="n">
        <v>0</v>
      </c>
      <c r="L604" s="40" t="n">
        <v>0</v>
      </c>
      <c r="M604" s="40" t="n">
        <v>0</v>
      </c>
      <c r="N604" s="40" t="n">
        <v>0</v>
      </c>
      <c r="O604" s="40" t="n">
        <v>0</v>
      </c>
      <c r="P604" s="40" t="n">
        <v>0</v>
      </c>
      <c r="Q604" s="40" t="n">
        <v>0</v>
      </c>
      <c r="R604" s="47" t="n"/>
      <c r="S604" s="47" t="n"/>
      <c r="T604" s="47" t="n"/>
      <c r="U604" s="47" t="n"/>
      <c r="V604" s="47" t="n"/>
      <c r="W604" s="47" t="n"/>
    </row>
    <row r="605" ht="11.25" customHeight="1">
      <c r="A605" s="30" t="inlineStr">
        <is>
          <t>Itaguai</t>
        </is>
      </c>
      <c r="B605" s="30" t="n">
        <v>78362111</v>
      </c>
      <c r="C605" s="30">
        <f>"36061646000126"</f>
        <v/>
      </c>
      <c r="D605" s="30" t="inlineStr">
        <is>
          <t>COOPERATIVA DOS MOTORISTAS ITAGUAIENSES DE TAXI LTDA COOMIT</t>
        </is>
      </c>
      <c r="E605" s="40" t="n">
        <v>816315.87</v>
      </c>
      <c r="F605" s="40" t="n">
        <v>315335.91</v>
      </c>
      <c r="G605" s="46" t="n">
        <v>-61.37</v>
      </c>
      <c r="H605" s="40" t="n">
        <v>1221531.21</v>
      </c>
      <c r="I605" s="40" t="n">
        <v>287.37</v>
      </c>
      <c r="J605" s="40" t="n">
        <v>589455.22</v>
      </c>
      <c r="K605" s="46" t="n">
        <v>-51.74</v>
      </c>
      <c r="L605" s="40" t="n">
        <v>824360.34</v>
      </c>
      <c r="M605" s="40" t="n">
        <v>39.85</v>
      </c>
      <c r="N605" s="40" t="n">
        <v>621480.6800000001</v>
      </c>
      <c r="O605" s="46" t="n">
        <v>-24.61</v>
      </c>
      <c r="P605" s="40" t="n">
        <v>1033664.09</v>
      </c>
      <c r="Q605" s="40" t="n">
        <v>66.31999999999999</v>
      </c>
      <c r="R605" s="47" t="n"/>
      <c r="S605" s="47" t="n"/>
      <c r="T605" s="47" t="n"/>
      <c r="U605" s="47" t="n"/>
      <c r="V605" s="47" t="n"/>
      <c r="W605" s="47" t="n"/>
    </row>
    <row r="606" ht="11.25" customHeight="1">
      <c r="A606" s="30" t="inlineStr">
        <is>
          <t>Itaguai</t>
        </is>
      </c>
      <c r="B606" s="30" t="n">
        <v>78363444</v>
      </c>
      <c r="C606" s="30">
        <f>"09059896000159"</f>
        <v/>
      </c>
      <c r="D606" s="30" t="inlineStr">
        <is>
          <t>MINIMERCADO PAG LEV DE ITAGUAI - EIRELI</t>
        </is>
      </c>
      <c r="E606" s="40" t="n">
        <v>2902862.19</v>
      </c>
      <c r="F606" s="40" t="n">
        <v>2516985.71</v>
      </c>
      <c r="G606" s="46" t="n">
        <v>-13.29</v>
      </c>
      <c r="H606" s="40" t="n">
        <v>2517237.79</v>
      </c>
      <c r="I606" s="40" t="n">
        <v>0.01</v>
      </c>
      <c r="J606" s="40" t="n">
        <v>2215978.46</v>
      </c>
      <c r="K606" s="46" t="n">
        <v>-11.97</v>
      </c>
      <c r="L606" s="40" t="n">
        <v>2841921.52</v>
      </c>
      <c r="M606" s="40" t="n">
        <v>28.25</v>
      </c>
      <c r="N606" s="40" t="n">
        <v>3303400.82</v>
      </c>
      <c r="O606" s="40" t="n">
        <v>16.24</v>
      </c>
      <c r="P606" s="40" t="n">
        <v>3732040.87</v>
      </c>
      <c r="Q606" s="40" t="n">
        <v>12.98</v>
      </c>
      <c r="R606" s="47" t="n"/>
      <c r="S606" s="47" t="n"/>
      <c r="T606" s="47" t="n"/>
      <c r="U606" s="47" t="n"/>
      <c r="V606" s="47" t="n"/>
      <c r="W606" s="47" t="n"/>
    </row>
    <row r="607" ht="11.25" customHeight="1">
      <c r="A607" s="30" t="inlineStr">
        <is>
          <t>Itaguai</t>
        </is>
      </c>
      <c r="B607" s="30" t="n">
        <v>78367989</v>
      </c>
      <c r="C607" s="30">
        <f>"09077954000177"</f>
        <v/>
      </c>
      <c r="D607" s="30" t="inlineStr">
        <is>
          <t>RESTAURANTE NOVA RODOVIA 2007 LTDA EPP</t>
        </is>
      </c>
      <c r="E607" s="40" t="n">
        <v>0</v>
      </c>
      <c r="F607" s="40" t="n">
        <v>0</v>
      </c>
      <c r="G607" s="40" t="n">
        <v>0</v>
      </c>
      <c r="H607" s="40" t="n">
        <v>0</v>
      </c>
      <c r="I607" s="40" t="n">
        <v>0</v>
      </c>
      <c r="J607" s="40" t="n">
        <v>5577833.13</v>
      </c>
      <c r="K607" s="40" t="n">
        <v>100</v>
      </c>
      <c r="L607" s="40" t="n">
        <v>7468824.16</v>
      </c>
      <c r="M607" s="40" t="n">
        <v>33.9</v>
      </c>
      <c r="N607" s="40" t="n">
        <v>18715535.68</v>
      </c>
      <c r="O607" s="40" t="n">
        <v>150.58</v>
      </c>
      <c r="P607" s="40" t="n">
        <v>41306754.86</v>
      </c>
      <c r="Q607" s="40" t="n">
        <v>120.71</v>
      </c>
      <c r="R607" s="47" t="n"/>
      <c r="S607" s="47" t="n"/>
      <c r="T607" s="47" t="n"/>
      <c r="U607" s="47" t="n"/>
      <c r="V607" s="47" t="n"/>
      <c r="W607" s="47" t="n"/>
    </row>
    <row r="608" ht="11.25" customHeight="1">
      <c r="A608" s="30" t="inlineStr">
        <is>
          <t>Itaguai</t>
        </is>
      </c>
      <c r="B608" s="30" t="n">
        <v>78368594</v>
      </c>
      <c r="C608" s="30">
        <f>"09015688000158"</f>
        <v/>
      </c>
      <c r="D608" s="30" t="inlineStr">
        <is>
          <t>AVATAR INDUSTRIA MECANICA LTDA</t>
        </is>
      </c>
      <c r="E608" s="40" t="n">
        <v>0</v>
      </c>
      <c r="F608" s="40" t="n">
        <v>0</v>
      </c>
      <c r="G608" s="40" t="n">
        <v>0</v>
      </c>
      <c r="H608" s="40" t="n">
        <v>31325.19</v>
      </c>
      <c r="I608" s="40" t="n">
        <v>100</v>
      </c>
      <c r="J608" s="40" t="n">
        <v>0</v>
      </c>
      <c r="K608" s="46" t="n">
        <v>-100</v>
      </c>
      <c r="L608" s="40" t="n">
        <v>0</v>
      </c>
      <c r="M608" s="40" t="n">
        <v>0</v>
      </c>
      <c r="N608" s="40" t="n">
        <v>0</v>
      </c>
      <c r="O608" s="40" t="n">
        <v>0</v>
      </c>
      <c r="P608" s="40" t="n">
        <v>0</v>
      </c>
      <c r="Q608" s="40" t="n">
        <v>0</v>
      </c>
      <c r="R608" s="47" t="n"/>
      <c r="S608" s="47" t="n"/>
      <c r="T608" s="47" t="n"/>
      <c r="U608" s="47" t="n"/>
      <c r="V608" s="47" t="n"/>
      <c r="W608" s="47" t="n"/>
    </row>
    <row r="609" ht="11.25" customHeight="1">
      <c r="A609" s="30" t="inlineStr">
        <is>
          <t>Itaguai</t>
        </is>
      </c>
      <c r="B609" s="30" t="n">
        <v>78372397</v>
      </c>
      <c r="C609" s="30">
        <f>"02424326000171"</f>
        <v/>
      </c>
      <c r="D609" s="30" t="inlineStr">
        <is>
          <t>SOUZA E FONTES DEMOLICOES EIRELI</t>
        </is>
      </c>
      <c r="E609" s="40" t="n">
        <v>10782.67</v>
      </c>
      <c r="F609" s="40" t="n">
        <v>0</v>
      </c>
      <c r="G609" s="46" t="n">
        <v>-100</v>
      </c>
      <c r="H609" s="40" t="n">
        <v>0</v>
      </c>
      <c r="I609" s="40" t="n">
        <v>0</v>
      </c>
      <c r="J609" s="40" t="n">
        <v>0</v>
      </c>
      <c r="K609" s="40" t="n">
        <v>0</v>
      </c>
      <c r="L609" s="40" t="n">
        <v>0</v>
      </c>
      <c r="M609" s="40" t="n">
        <v>0</v>
      </c>
      <c r="N609" s="40" t="n">
        <v>0</v>
      </c>
      <c r="O609" s="40" t="n">
        <v>0</v>
      </c>
      <c r="P609" s="40" t="n">
        <v>0</v>
      </c>
      <c r="Q609" s="40" t="n">
        <v>0</v>
      </c>
      <c r="R609" s="47" t="n"/>
      <c r="S609" s="47" t="n"/>
      <c r="T609" s="47" t="n"/>
      <c r="U609" s="47" t="n"/>
      <c r="V609" s="47" t="n"/>
      <c r="W609" s="47" t="n"/>
    </row>
    <row r="610" ht="11.25" customHeight="1">
      <c r="A610" s="30" t="inlineStr">
        <is>
          <t>Itaguai</t>
        </is>
      </c>
      <c r="B610" s="30" t="n">
        <v>78373571</v>
      </c>
      <c r="C610" s="30">
        <f>"09059609000100"</f>
        <v/>
      </c>
      <c r="D610" s="30" t="inlineStr">
        <is>
          <t>MM TRANSPORTES LOGISTICA E ARMAZENS LTDA ME</t>
        </is>
      </c>
      <c r="E610" s="40" t="n">
        <v>0</v>
      </c>
      <c r="F610" s="40" t="n">
        <v>0</v>
      </c>
      <c r="G610" s="40" t="n">
        <v>0</v>
      </c>
      <c r="H610" s="40" t="n">
        <v>0</v>
      </c>
      <c r="I610" s="40" t="n">
        <v>0</v>
      </c>
      <c r="J610" s="40" t="n">
        <v>0</v>
      </c>
      <c r="K610" s="40" t="n">
        <v>0</v>
      </c>
      <c r="L610" s="40" t="n">
        <v>0</v>
      </c>
      <c r="M610" s="40" t="n">
        <v>0</v>
      </c>
      <c r="N610" s="40" t="n">
        <v>0</v>
      </c>
      <c r="O610" s="40" t="n">
        <v>0</v>
      </c>
      <c r="P610" s="40" t="n">
        <v>67809.13</v>
      </c>
      <c r="Q610" s="40" t="n">
        <v>100</v>
      </c>
      <c r="R610" s="47" t="n"/>
      <c r="S610" s="47" t="n"/>
      <c r="T610" s="47" t="n"/>
      <c r="U610" s="47" t="n"/>
      <c r="V610" s="47" t="n"/>
      <c r="W610" s="47" t="n"/>
    </row>
    <row r="611" ht="11.25" customHeight="1">
      <c r="A611" s="30" t="inlineStr">
        <is>
          <t>Itaguai</t>
        </is>
      </c>
      <c r="B611" s="30" t="n">
        <v>78377070</v>
      </c>
      <c r="C611" s="30">
        <f>"09100594000187"</f>
        <v/>
      </c>
      <c r="D611" s="30" t="inlineStr">
        <is>
          <t>THATHYLIA COMERCIO DE ARTIGOS DO VESTUARIO EM GERAL LTDA</t>
        </is>
      </c>
      <c r="E611" s="40" t="n">
        <v>0</v>
      </c>
      <c r="F611" s="40" t="n">
        <v>0</v>
      </c>
      <c r="G611" s="40" t="n">
        <v>0</v>
      </c>
      <c r="H611" s="40" t="n">
        <v>0</v>
      </c>
      <c r="I611" s="40" t="n">
        <v>0</v>
      </c>
      <c r="J611" s="40" t="n">
        <v>0</v>
      </c>
      <c r="K611" s="40" t="n">
        <v>0</v>
      </c>
      <c r="L611" s="40" t="n">
        <v>0</v>
      </c>
      <c r="M611" s="40" t="n">
        <v>0</v>
      </c>
      <c r="N611" s="40" t="n">
        <v>0</v>
      </c>
      <c r="O611" s="40" t="n">
        <v>0</v>
      </c>
      <c r="P611" s="40" t="n">
        <v>0</v>
      </c>
      <c r="Q611" s="40" t="n">
        <v>0</v>
      </c>
      <c r="R611" s="47" t="n"/>
      <c r="S611" s="47" t="n"/>
      <c r="T611" s="47" t="n"/>
      <c r="U611" s="47" t="n"/>
      <c r="V611" s="47" t="n"/>
      <c r="W611" s="47" t="n"/>
    </row>
    <row r="612" ht="11.25" customHeight="1">
      <c r="A612" s="30" t="inlineStr">
        <is>
          <t>Itaguai</t>
        </is>
      </c>
      <c r="B612" s="30" t="n">
        <v>78387548</v>
      </c>
      <c r="C612" s="30">
        <f>"09132659000176"</f>
        <v/>
      </c>
      <c r="D612" s="30" t="inlineStr">
        <is>
          <t>EMBRATEL TVSAT TELECOMUNICACOES S A</t>
        </is>
      </c>
      <c r="E612" s="40" t="n">
        <v>3171666.42</v>
      </c>
      <c r="F612" s="40" t="n">
        <v>2483192.83</v>
      </c>
      <c r="G612" s="46" t="n">
        <v>-21.71</v>
      </c>
      <c r="H612" s="40" t="n">
        <v>2254393.69</v>
      </c>
      <c r="I612" s="46" t="n">
        <v>-9.210000000000001</v>
      </c>
      <c r="J612" s="40" t="n">
        <v>1634319.75</v>
      </c>
      <c r="K612" s="46" t="n">
        <v>-27.51</v>
      </c>
      <c r="L612" s="40" t="n">
        <v>1290997.32</v>
      </c>
      <c r="M612" s="46" t="n">
        <v>-21.01</v>
      </c>
      <c r="N612" s="40" t="n">
        <v>1038096.9</v>
      </c>
      <c r="O612" s="46" t="n">
        <v>-19.59</v>
      </c>
      <c r="P612" s="40" t="n">
        <v>848843.04</v>
      </c>
      <c r="Q612" s="46" t="n">
        <v>-18.23</v>
      </c>
      <c r="R612" s="47" t="n"/>
      <c r="S612" s="47" t="n"/>
      <c r="T612" s="47" t="n"/>
      <c r="U612" s="47" t="n"/>
      <c r="V612" s="47" t="n"/>
      <c r="W612" s="47" t="n"/>
    </row>
    <row r="613" ht="11.25" customHeight="1">
      <c r="A613" s="30" t="inlineStr">
        <is>
          <t>Itaguai</t>
        </is>
      </c>
      <c r="B613" s="30" t="n">
        <v>78401524</v>
      </c>
      <c r="C613" s="30">
        <f>"09032695000168"</f>
        <v/>
      </c>
      <c r="D613" s="30" t="inlineStr">
        <is>
          <t>GLOBAL OPERACOES PORTUARIAS S A</t>
        </is>
      </c>
      <c r="E613" s="40" t="n">
        <v>0</v>
      </c>
      <c r="F613" s="40" t="n">
        <v>0</v>
      </c>
      <c r="G613" s="40" t="n">
        <v>0</v>
      </c>
      <c r="H613" s="40" t="n">
        <v>0</v>
      </c>
      <c r="I613" s="40" t="n">
        <v>0</v>
      </c>
      <c r="J613" s="40" t="n">
        <v>0</v>
      </c>
      <c r="K613" s="40" t="n">
        <v>0</v>
      </c>
      <c r="L613" s="40" t="n">
        <v>0</v>
      </c>
      <c r="M613" s="40" t="n">
        <v>0</v>
      </c>
      <c r="N613" s="40" t="n">
        <v>0</v>
      </c>
      <c r="O613" s="40" t="n">
        <v>0</v>
      </c>
      <c r="P613" s="40" t="n">
        <v>0</v>
      </c>
      <c r="Q613" s="40" t="n">
        <v>0</v>
      </c>
      <c r="R613" s="47" t="n"/>
      <c r="S613" s="47" t="n"/>
      <c r="T613" s="47" t="n"/>
      <c r="U613" s="47" t="n"/>
      <c r="V613" s="47" t="n"/>
      <c r="W613" s="47" t="n"/>
    </row>
    <row r="614" ht="11.25" customHeight="1">
      <c r="A614" s="30" t="inlineStr">
        <is>
          <t>Itaguai</t>
        </is>
      </c>
      <c r="B614" s="30" t="n">
        <v>78401923</v>
      </c>
      <c r="C614" s="30">
        <f>"09054570000139"</f>
        <v/>
      </c>
      <c r="D614" s="30" t="inlineStr">
        <is>
          <t>MARKO SISTEMAS METALICOS DE CONSTRUCAO LTDA</t>
        </is>
      </c>
      <c r="E614" s="40" t="n">
        <v>8489938.48</v>
      </c>
      <c r="F614" s="40" t="n">
        <v>7959771.39</v>
      </c>
      <c r="G614" s="46" t="n">
        <v>-6.24</v>
      </c>
      <c r="H614" s="40" t="n">
        <v>21943265.49</v>
      </c>
      <c r="I614" s="40" t="n">
        <v>175.68</v>
      </c>
      <c r="J614" s="40" t="n">
        <v>36736172.79</v>
      </c>
      <c r="K614" s="40" t="n">
        <v>67.41</v>
      </c>
      <c r="L614" s="40" t="n">
        <v>105498835.21</v>
      </c>
      <c r="M614" s="40" t="n">
        <v>187.18</v>
      </c>
      <c r="N614" s="40" t="n">
        <v>99765888.38</v>
      </c>
      <c r="O614" s="46" t="n">
        <v>-5.43</v>
      </c>
      <c r="P614" s="40" t="n">
        <v>71209039.67</v>
      </c>
      <c r="Q614" s="46" t="n">
        <v>-28.62</v>
      </c>
      <c r="R614" s="47" t="n"/>
      <c r="S614" s="47" t="n"/>
      <c r="T614" s="47" t="n"/>
      <c r="U614" s="47" t="n"/>
      <c r="V614" s="47" t="n"/>
      <c r="W614" s="47" t="n"/>
    </row>
    <row r="615" ht="11.25" customHeight="1">
      <c r="A615" s="30" t="inlineStr">
        <is>
          <t>Itaguai</t>
        </is>
      </c>
      <c r="B615" s="30" t="n">
        <v>78402687</v>
      </c>
      <c r="C615" s="30">
        <f>"04884082000640"</f>
        <v/>
      </c>
      <c r="D615" s="30" t="inlineStr">
        <is>
          <t>JADLOG LOGISTICA S.A.</t>
        </is>
      </c>
      <c r="E615" s="40" t="n">
        <v>0</v>
      </c>
      <c r="F615" s="40" t="n">
        <v>68919.50999999999</v>
      </c>
      <c r="G615" s="40" t="n">
        <v>100</v>
      </c>
      <c r="H615" s="40" t="n">
        <v>222081.15</v>
      </c>
      <c r="I615" s="40" t="n">
        <v>222.23</v>
      </c>
      <c r="J615" s="40" t="n">
        <v>0</v>
      </c>
      <c r="K615" s="46" t="n">
        <v>-100</v>
      </c>
      <c r="L615" s="40" t="n">
        <v>0</v>
      </c>
      <c r="M615" s="40" t="n">
        <v>0</v>
      </c>
      <c r="N615" s="40" t="n">
        <v>611509.8199999999</v>
      </c>
      <c r="O615" s="40" t="n">
        <v>100</v>
      </c>
      <c r="P615" s="40" t="n">
        <v>59541.51</v>
      </c>
      <c r="Q615" s="46" t="n">
        <v>-90.26000000000001</v>
      </c>
      <c r="R615" s="47" t="n"/>
      <c r="S615" s="47" t="n"/>
      <c r="T615" s="47" t="n"/>
      <c r="U615" s="47" t="n"/>
      <c r="V615" s="47" t="n"/>
      <c r="W615" s="47" t="n"/>
    </row>
    <row r="616" ht="11.25" customHeight="1">
      <c r="A616" s="30" t="inlineStr">
        <is>
          <t>Itaguai</t>
        </is>
      </c>
      <c r="B616" s="30" t="n">
        <v>78416742</v>
      </c>
      <c r="C616" s="30">
        <f>"09193823000155"</f>
        <v/>
      </c>
      <c r="D616" s="30" t="inlineStr">
        <is>
          <t>START ONE TRANSPORTES DE RESIDUOS E LOCACOES EIRELI EPP</t>
        </is>
      </c>
      <c r="E616" s="40" t="n">
        <v>0</v>
      </c>
      <c r="F616" s="40" t="n">
        <v>0</v>
      </c>
      <c r="G616" s="40" t="n">
        <v>0</v>
      </c>
      <c r="H616" s="40" t="n">
        <v>0</v>
      </c>
      <c r="I616" s="40" t="n">
        <v>0</v>
      </c>
      <c r="J616" s="40" t="n">
        <v>0</v>
      </c>
      <c r="K616" s="40" t="n">
        <v>0</v>
      </c>
      <c r="L616" s="40" t="n">
        <v>0</v>
      </c>
      <c r="M616" s="40" t="n">
        <v>0</v>
      </c>
      <c r="N616" s="40" t="n">
        <v>0</v>
      </c>
      <c r="O616" s="40" t="n">
        <v>0</v>
      </c>
      <c r="P616" s="40" t="n">
        <v>0</v>
      </c>
      <c r="Q616" s="40" t="n">
        <v>0</v>
      </c>
      <c r="R616" s="47" t="n"/>
      <c r="S616" s="47" t="n"/>
      <c r="T616" s="47" t="n"/>
      <c r="U616" s="47" t="n"/>
      <c r="V616" s="47" t="n"/>
      <c r="W616" s="47" t="n"/>
    </row>
    <row r="617" ht="11.25" customHeight="1">
      <c r="A617" s="30" t="inlineStr">
        <is>
          <t>Itaguai</t>
        </is>
      </c>
      <c r="B617" s="30" t="n">
        <v>78419709</v>
      </c>
      <c r="C617" s="30">
        <f>"09229680000194"</f>
        <v/>
      </c>
      <c r="D617" s="30" t="inlineStr">
        <is>
          <t>MONTEIRO &amp; NASCIMENTO TRANSPORTADORA LTDA EPP</t>
        </is>
      </c>
      <c r="E617" s="40" t="n">
        <v>0</v>
      </c>
      <c r="F617" s="40" t="n">
        <v>0</v>
      </c>
      <c r="G617" s="40" t="n">
        <v>0</v>
      </c>
      <c r="H617" s="40" t="n">
        <v>21638.15</v>
      </c>
      <c r="I617" s="40" t="n">
        <v>100</v>
      </c>
      <c r="J617" s="40" t="n">
        <v>29861.81</v>
      </c>
      <c r="K617" s="40" t="n">
        <v>38.01</v>
      </c>
      <c r="L617" s="40" t="n">
        <v>33310.4</v>
      </c>
      <c r="M617" s="40" t="n">
        <v>11.55</v>
      </c>
      <c r="N617" s="40" t="n">
        <v>14609.92</v>
      </c>
      <c r="O617" s="46" t="n">
        <v>-56.14</v>
      </c>
      <c r="P617" s="40" t="n">
        <v>8959.74</v>
      </c>
      <c r="Q617" s="46" t="n">
        <v>-38.67</v>
      </c>
      <c r="R617" s="47" t="n"/>
      <c r="S617" s="47" t="n"/>
      <c r="T617" s="47" t="n"/>
      <c r="U617" s="47" t="n"/>
      <c r="V617" s="47" t="n"/>
      <c r="W617" s="47" t="n"/>
    </row>
    <row r="618" ht="11.25" customHeight="1">
      <c r="A618" s="30" t="inlineStr">
        <is>
          <t>Itaguai</t>
        </is>
      </c>
      <c r="B618" s="30" t="n">
        <v>78426438</v>
      </c>
      <c r="C618" s="30">
        <f>"09185485000100"</f>
        <v/>
      </c>
      <c r="D618" s="30" t="inlineStr">
        <is>
          <t>ENEVA COMERCIALIZADORA DE ENERGIA LTDA</t>
        </is>
      </c>
      <c r="E618" s="40" t="n">
        <v>0</v>
      </c>
      <c r="F618" s="40" t="n">
        <v>7806727.76</v>
      </c>
      <c r="G618" s="40" t="n">
        <v>100</v>
      </c>
      <c r="H618" s="40" t="n">
        <v>0</v>
      </c>
      <c r="I618" s="46" t="n">
        <v>-100</v>
      </c>
      <c r="J618" s="40" t="n">
        <v>0</v>
      </c>
      <c r="K618" s="40" t="n">
        <v>0</v>
      </c>
      <c r="L618" s="40" t="n">
        <v>0</v>
      </c>
      <c r="M618" s="40" t="n">
        <v>0</v>
      </c>
      <c r="N618" s="40" t="n">
        <v>0</v>
      </c>
      <c r="O618" s="40" t="n">
        <v>0</v>
      </c>
      <c r="P618" s="40" t="n">
        <v>0</v>
      </c>
      <c r="Q618" s="40" t="n">
        <v>0</v>
      </c>
      <c r="R618" s="47" t="n"/>
      <c r="S618" s="47" t="n"/>
      <c r="T618" s="47" t="n"/>
      <c r="U618" s="47" t="n"/>
      <c r="V618" s="47" t="n"/>
      <c r="W618" s="47" t="n"/>
    </row>
    <row r="619" ht="11.25" customHeight="1">
      <c r="A619" s="30" t="inlineStr">
        <is>
          <t>Itaguai</t>
        </is>
      </c>
      <c r="B619" s="30" t="n">
        <v>78427221</v>
      </c>
      <c r="C619" s="30">
        <f>"09272239000195"</f>
        <v/>
      </c>
      <c r="D619" s="30" t="inlineStr">
        <is>
          <t>AUTO POSTO ITACOM LTDA</t>
        </is>
      </c>
      <c r="E619" s="40" t="n">
        <v>0</v>
      </c>
      <c r="F619" s="40" t="n">
        <v>0</v>
      </c>
      <c r="G619" s="40" t="n">
        <v>0</v>
      </c>
      <c r="H619" s="40" t="n">
        <v>0</v>
      </c>
      <c r="I619" s="40" t="n">
        <v>0</v>
      </c>
      <c r="J619" s="40" t="n">
        <v>0</v>
      </c>
      <c r="K619" s="40" t="n">
        <v>0</v>
      </c>
      <c r="L619" s="40" t="n">
        <v>0</v>
      </c>
      <c r="M619" s="40" t="n">
        <v>0</v>
      </c>
      <c r="N619" s="40" t="n">
        <v>0</v>
      </c>
      <c r="O619" s="40" t="n">
        <v>0</v>
      </c>
      <c r="P619" s="40" t="n">
        <v>0</v>
      </c>
      <c r="Q619" s="40" t="n">
        <v>0</v>
      </c>
      <c r="R619" s="47" t="n"/>
      <c r="S619" s="47" t="n"/>
      <c r="T619" s="47" t="n"/>
      <c r="U619" s="47" t="n"/>
      <c r="V619" s="47" t="n"/>
      <c r="W619" s="47" t="n"/>
    </row>
    <row r="620" ht="11.25" customHeight="1">
      <c r="A620" s="30" t="inlineStr">
        <is>
          <t>Itaguai</t>
        </is>
      </c>
      <c r="B620" s="30" t="n">
        <v>78432926</v>
      </c>
      <c r="C620" s="30">
        <f>"04931041000233"</f>
        <v/>
      </c>
      <c r="D620" s="30" t="inlineStr">
        <is>
          <t>TUTTA L"ORA PAVUNA COM?RCIO DE ALIMENTOS LTDA</t>
        </is>
      </c>
      <c r="E620" s="40" t="n">
        <v>0</v>
      </c>
      <c r="F620" s="40" t="n">
        <v>0</v>
      </c>
      <c r="G620" s="40" t="n">
        <v>0</v>
      </c>
      <c r="H620" s="40" t="n">
        <v>0</v>
      </c>
      <c r="I620" s="40" t="n">
        <v>0</v>
      </c>
      <c r="J620" s="40" t="n">
        <v>0</v>
      </c>
      <c r="K620" s="40" t="n">
        <v>0</v>
      </c>
      <c r="L620" s="40" t="n">
        <v>0</v>
      </c>
      <c r="M620" s="40" t="n">
        <v>0</v>
      </c>
      <c r="N620" s="40" t="n">
        <v>0</v>
      </c>
      <c r="O620" s="40" t="n">
        <v>0</v>
      </c>
      <c r="P620" s="40" t="n">
        <v>0</v>
      </c>
      <c r="Q620" s="40" t="n">
        <v>0</v>
      </c>
      <c r="R620" s="47" t="n"/>
      <c r="S620" s="47" t="n"/>
      <c r="T620" s="47" t="n"/>
      <c r="U620" s="47" t="n"/>
      <c r="V620" s="47" t="n"/>
      <c r="W620" s="47" t="n"/>
    </row>
    <row r="621" ht="11.25" customHeight="1">
      <c r="A621" s="30" t="inlineStr">
        <is>
          <t>Itaguai</t>
        </is>
      </c>
      <c r="B621" s="30" t="n">
        <v>78436379</v>
      </c>
      <c r="C621" s="30">
        <f>"39527817000239"</f>
        <v/>
      </c>
      <c r="D621" s="30" t="inlineStr">
        <is>
          <t>ACO RUBER COMERCIAL LTDA EPP</t>
        </is>
      </c>
      <c r="E621" s="40" t="n">
        <v>2776271.15</v>
      </c>
      <c r="F621" s="40" t="n">
        <v>3022236.08</v>
      </c>
      <c r="G621" s="40" t="n">
        <v>8.859999999999999</v>
      </c>
      <c r="H621" s="40" t="n">
        <v>3550984.55</v>
      </c>
      <c r="I621" s="40" t="n">
        <v>17.5</v>
      </c>
      <c r="J621" s="40" t="n">
        <v>3692457.29</v>
      </c>
      <c r="K621" s="40" t="n">
        <v>3.98</v>
      </c>
      <c r="L621" s="40" t="n">
        <v>5247047.51</v>
      </c>
      <c r="M621" s="40" t="n">
        <v>42.1</v>
      </c>
      <c r="N621" s="40" t="n">
        <v>5762933.06</v>
      </c>
      <c r="O621" s="40" t="n">
        <v>9.83</v>
      </c>
      <c r="P621" s="40" t="n">
        <v>4709209.46</v>
      </c>
      <c r="Q621" s="46" t="n">
        <v>-18.28</v>
      </c>
      <c r="R621" s="47" t="n"/>
      <c r="S621" s="47" t="n"/>
      <c r="T621" s="47" t="n"/>
      <c r="U621" s="47" t="n"/>
      <c r="V621" s="47" t="n"/>
      <c r="W621" s="47" t="n"/>
    </row>
    <row r="622" ht="11.25" customHeight="1">
      <c r="A622" s="30" t="inlineStr">
        <is>
          <t>Itaguai</t>
        </is>
      </c>
      <c r="B622" s="30" t="n">
        <v>78451297</v>
      </c>
      <c r="C622" s="30">
        <f>"74508292000376"</f>
        <v/>
      </c>
      <c r="D622" s="30" t="inlineStr">
        <is>
          <t>REMOVECARGA COMERCIAL E TRANSPORTES LTDA</t>
        </is>
      </c>
      <c r="E622" s="40" t="n">
        <v>0</v>
      </c>
      <c r="F622" s="40" t="n">
        <v>261124.83</v>
      </c>
      <c r="G622" s="40" t="n">
        <v>100</v>
      </c>
      <c r="H622" s="40" t="n">
        <v>0</v>
      </c>
      <c r="I622" s="46" t="n">
        <v>-100</v>
      </c>
      <c r="J622" s="40" t="n">
        <v>416104.9</v>
      </c>
      <c r="K622" s="40" t="n">
        <v>100</v>
      </c>
      <c r="L622" s="40" t="n">
        <v>0</v>
      </c>
      <c r="M622" s="46" t="n">
        <v>-100</v>
      </c>
      <c r="N622" s="40" t="n">
        <v>0</v>
      </c>
      <c r="O622" s="40" t="n">
        <v>0</v>
      </c>
      <c r="P622" s="40" t="n">
        <v>0</v>
      </c>
      <c r="Q622" s="40" t="n">
        <v>0</v>
      </c>
      <c r="R622" s="47" t="n"/>
      <c r="S622" s="47" t="n"/>
      <c r="T622" s="47" t="n"/>
      <c r="U622" s="47" t="n"/>
      <c r="V622" s="47" t="n"/>
      <c r="W622" s="47" t="n"/>
    </row>
    <row r="623" ht="11.25" customHeight="1">
      <c r="A623" s="30" t="inlineStr">
        <is>
          <t>Itaguai</t>
        </is>
      </c>
      <c r="B623" s="30" t="n">
        <v>78454059</v>
      </c>
      <c r="C623" s="30">
        <f>"06041638000157"</f>
        <v/>
      </c>
      <c r="D623" s="30" t="inlineStr">
        <is>
          <t>COOTACOM COOPERATIVA DE TRANSPORTADORES E AMIGOS DO COLEGIO MILITAR LTDA</t>
        </is>
      </c>
      <c r="E623" s="40" t="n">
        <v>0</v>
      </c>
      <c r="F623" s="40" t="n">
        <v>0</v>
      </c>
      <c r="G623" s="40" t="n">
        <v>0</v>
      </c>
      <c r="H623" s="40" t="n">
        <v>8750</v>
      </c>
      <c r="I623" s="40" t="n">
        <v>100</v>
      </c>
      <c r="J623" s="40" t="n">
        <v>0</v>
      </c>
      <c r="K623" s="46" t="n">
        <v>-100</v>
      </c>
      <c r="L623" s="40" t="n">
        <v>2100</v>
      </c>
      <c r="M623" s="40" t="n">
        <v>100</v>
      </c>
      <c r="N623" s="40" t="n">
        <v>0</v>
      </c>
      <c r="O623" s="46" t="n">
        <v>-100</v>
      </c>
      <c r="P623" s="40" t="n">
        <v>0</v>
      </c>
      <c r="Q623" s="40" t="n">
        <v>0</v>
      </c>
      <c r="R623" s="47" t="n"/>
      <c r="S623" s="47" t="n"/>
      <c r="T623" s="47" t="n"/>
      <c r="U623" s="47" t="n"/>
      <c r="V623" s="47" t="n"/>
      <c r="W623" s="47" t="n"/>
    </row>
    <row r="624" ht="11.25" customHeight="1">
      <c r="A624" s="30" t="inlineStr">
        <is>
          <t>Itaguai</t>
        </is>
      </c>
      <c r="B624" s="30" t="n">
        <v>78464038</v>
      </c>
      <c r="C624" s="30">
        <f>"17638271001141"</f>
        <v/>
      </c>
      <c r="D624" s="30" t="inlineStr">
        <is>
          <t>SETE SERVICOS DE ENTREGA DE TITULOS E ENCOMENDAS LTDA</t>
        </is>
      </c>
      <c r="E624" s="40" t="n">
        <v>136.63</v>
      </c>
      <c r="F624" s="40" t="n">
        <v>107.81</v>
      </c>
      <c r="G624" s="46" t="n">
        <v>-21.09</v>
      </c>
      <c r="H624" s="40" t="n">
        <v>0</v>
      </c>
      <c r="I624" s="46" t="n">
        <v>-100</v>
      </c>
      <c r="J624" s="40" t="n">
        <v>0</v>
      </c>
      <c r="K624" s="40" t="n">
        <v>0</v>
      </c>
      <c r="L624" s="40" t="n">
        <v>0</v>
      </c>
      <c r="M624" s="40" t="n">
        <v>0</v>
      </c>
      <c r="N624" s="40" t="n">
        <v>0</v>
      </c>
      <c r="O624" s="40" t="n">
        <v>0</v>
      </c>
      <c r="P624" s="40" t="n">
        <v>0</v>
      </c>
      <c r="Q624" s="40" t="n">
        <v>0</v>
      </c>
      <c r="R624" s="47" t="n"/>
      <c r="S624" s="47" t="n"/>
      <c r="T624" s="47" t="n"/>
      <c r="U624" s="47" t="n"/>
      <c r="V624" s="47" t="n"/>
      <c r="W624" s="47" t="n"/>
    </row>
    <row r="625" ht="11.25" customHeight="1">
      <c r="A625" s="30" t="inlineStr">
        <is>
          <t>Itaguai</t>
        </is>
      </c>
      <c r="B625" s="30" t="n">
        <v>78465115</v>
      </c>
      <c r="C625" s="30">
        <f>"07508782000113"</f>
        <v/>
      </c>
      <c r="D625" s="30" t="inlineStr">
        <is>
          <t>COOPITAGUAI COOPERATIVA MISTA DE TRABALHO E CONSUMO DOS CONDUTORES DE TRANSPORTE TAXISTAS E AFINS DO MUNICIPIO DE ITAGUAI LTDA</t>
        </is>
      </c>
      <c r="E625" s="40" t="n">
        <v>343364.85</v>
      </c>
      <c r="F625" s="40" t="n">
        <v>0</v>
      </c>
      <c r="G625" s="46" t="n">
        <v>-100</v>
      </c>
      <c r="H625" s="40" t="n">
        <v>0</v>
      </c>
      <c r="I625" s="40" t="n">
        <v>0</v>
      </c>
      <c r="J625" s="40" t="n">
        <v>0</v>
      </c>
      <c r="K625" s="40" t="n">
        <v>0</v>
      </c>
      <c r="L625" s="40" t="n">
        <v>0</v>
      </c>
      <c r="M625" s="40" t="n">
        <v>0</v>
      </c>
      <c r="N625" s="40" t="n">
        <v>0</v>
      </c>
      <c r="O625" s="40" t="n">
        <v>0</v>
      </c>
      <c r="P625" s="40" t="n">
        <v>0</v>
      </c>
      <c r="Q625" s="40" t="n">
        <v>0</v>
      </c>
      <c r="R625" s="47" t="n"/>
      <c r="S625" s="47" t="n"/>
      <c r="T625" s="47" t="n"/>
      <c r="U625" s="47" t="n"/>
      <c r="V625" s="47" t="n"/>
      <c r="W625" s="47" t="n"/>
    </row>
    <row r="626" ht="11.25" customHeight="1">
      <c r="A626" s="30" t="inlineStr">
        <is>
          <t>Itaguai</t>
        </is>
      </c>
      <c r="B626" s="30" t="n">
        <v>78466219</v>
      </c>
      <c r="C626" s="30">
        <f>"09373684000141"</f>
        <v/>
      </c>
      <c r="D626" s="30" t="inlineStr">
        <is>
          <t>RAPHAEL R SANTOS ME</t>
        </is>
      </c>
      <c r="E626" s="40" t="n">
        <v>0</v>
      </c>
      <c r="F626" s="40" t="n">
        <v>0</v>
      </c>
      <c r="G626" s="40" t="n">
        <v>0</v>
      </c>
      <c r="H626" s="40" t="n">
        <v>0</v>
      </c>
      <c r="I626" s="40" t="n">
        <v>0</v>
      </c>
      <c r="J626" s="40" t="n">
        <v>0</v>
      </c>
      <c r="K626" s="40" t="n">
        <v>0</v>
      </c>
      <c r="L626" s="40" t="n">
        <v>0</v>
      </c>
      <c r="M626" s="40" t="n">
        <v>0</v>
      </c>
      <c r="N626" s="40" t="n">
        <v>0</v>
      </c>
      <c r="O626" s="40" t="n">
        <v>0</v>
      </c>
      <c r="P626" s="40" t="n">
        <v>0</v>
      </c>
      <c r="Q626" s="40" t="n">
        <v>0</v>
      </c>
      <c r="R626" s="47" t="n"/>
      <c r="S626" s="47" t="n"/>
      <c r="T626" s="47" t="n"/>
      <c r="U626" s="47" t="n"/>
      <c r="V626" s="47" t="n"/>
      <c r="W626" s="47" t="n"/>
    </row>
    <row r="627" ht="11.25" customHeight="1">
      <c r="A627" s="30" t="inlineStr">
        <is>
          <t>Itaguai</t>
        </is>
      </c>
      <c r="B627" s="30" t="n">
        <v>78481269</v>
      </c>
      <c r="C627" s="30">
        <f>"09360018000179"</f>
        <v/>
      </c>
      <c r="D627" s="30" t="inlineStr">
        <is>
          <t>PEREIRA NUNES GOURMET EXPRESSO LTDA ME</t>
        </is>
      </c>
      <c r="E627" s="40" t="n">
        <v>220099.5</v>
      </c>
      <c r="F627" s="40" t="n">
        <v>255579</v>
      </c>
      <c r="G627" s="40" t="n">
        <v>16.12</v>
      </c>
      <c r="H627" s="40" t="n">
        <v>210240</v>
      </c>
      <c r="I627" s="46" t="n">
        <v>-17.74</v>
      </c>
      <c r="J627" s="40" t="n">
        <v>204342.5</v>
      </c>
      <c r="K627" s="46" t="n">
        <v>-2.81</v>
      </c>
      <c r="L627" s="40" t="n">
        <v>0</v>
      </c>
      <c r="M627" s="46" t="n">
        <v>-100</v>
      </c>
      <c r="N627" s="40" t="n">
        <v>0</v>
      </c>
      <c r="O627" s="40" t="n">
        <v>0</v>
      </c>
      <c r="P627" s="40" t="n">
        <v>0</v>
      </c>
      <c r="Q627" s="40" t="n">
        <v>0</v>
      </c>
      <c r="R627" s="47" t="n"/>
      <c r="S627" s="47" t="n"/>
      <c r="T627" s="47" t="n"/>
      <c r="U627" s="47" t="n"/>
      <c r="V627" s="47" t="n"/>
      <c r="W627" s="47" t="n"/>
    </row>
    <row r="628" ht="11.25" customHeight="1">
      <c r="A628" s="30" t="inlineStr">
        <is>
          <t>Itaguai</t>
        </is>
      </c>
      <c r="B628" s="30" t="n">
        <v>78487941</v>
      </c>
      <c r="C628" s="30">
        <f>"09452341000172"</f>
        <v/>
      </c>
      <c r="D628" s="30" t="inlineStr">
        <is>
          <t>EXPRESSO ANGRENSE DE TURISMO LTDA EPP</t>
        </is>
      </c>
      <c r="E628" s="40" t="n">
        <v>6200</v>
      </c>
      <c r="F628" s="40" t="n">
        <v>14150</v>
      </c>
      <c r="G628" s="40" t="n">
        <v>128.23</v>
      </c>
      <c r="H628" s="40" t="n">
        <v>23090.77</v>
      </c>
      <c r="I628" s="40" t="n">
        <v>63.19</v>
      </c>
      <c r="J628" s="40" t="n">
        <v>7450</v>
      </c>
      <c r="K628" s="46" t="n">
        <v>-67.73999999999999</v>
      </c>
      <c r="L628" s="40" t="n">
        <v>1000</v>
      </c>
      <c r="M628" s="46" t="n">
        <v>-86.58</v>
      </c>
      <c r="N628" s="40" t="n">
        <v>8780</v>
      </c>
      <c r="O628" s="40" t="n">
        <v>778</v>
      </c>
      <c r="P628" s="40" t="n">
        <v>0</v>
      </c>
      <c r="Q628" s="46" t="n">
        <v>-100</v>
      </c>
      <c r="R628" s="47" t="n"/>
      <c r="S628" s="47" t="n"/>
      <c r="T628" s="47" t="n"/>
      <c r="U628" s="47" t="n"/>
      <c r="V628" s="47" t="n"/>
      <c r="W628" s="47" t="n"/>
    </row>
    <row r="629" ht="11.25" customHeight="1">
      <c r="A629" s="30" t="inlineStr">
        <is>
          <t>Itaguai</t>
        </is>
      </c>
      <c r="B629" s="30" t="n">
        <v>78494506</v>
      </c>
      <c r="C629" s="30">
        <f>"00634453000846"</f>
        <v/>
      </c>
      <c r="D629" s="30" t="inlineStr">
        <is>
          <t>T S V TRANSPORTES RAPIDOS LTDA</t>
        </is>
      </c>
      <c r="E629" s="40" t="n">
        <v>1298.16</v>
      </c>
      <c r="F629" s="40" t="n">
        <v>983.78</v>
      </c>
      <c r="G629" s="46" t="n">
        <v>-24.22</v>
      </c>
      <c r="H629" s="40" t="n">
        <v>18952.61</v>
      </c>
      <c r="I629" s="40" t="n">
        <v>1826.51</v>
      </c>
      <c r="J629" s="40" t="n">
        <v>1354.68</v>
      </c>
      <c r="K629" s="46" t="n">
        <v>-92.84999999999999</v>
      </c>
      <c r="L629" s="40" t="n">
        <v>812.66</v>
      </c>
      <c r="M629" s="46" t="n">
        <v>-40.01</v>
      </c>
      <c r="N629" s="40" t="n">
        <v>581.02</v>
      </c>
      <c r="O629" s="46" t="n">
        <v>-28.5</v>
      </c>
      <c r="P629" s="40" t="n">
        <v>546.4299999999999</v>
      </c>
      <c r="Q629" s="46" t="n">
        <v>-5.95</v>
      </c>
      <c r="R629" s="47" t="n"/>
      <c r="S629" s="47" t="n"/>
      <c r="T629" s="47" t="n"/>
      <c r="U629" s="47" t="n"/>
      <c r="V629" s="47" t="n"/>
      <c r="W629" s="47" t="n"/>
    </row>
    <row r="630" ht="11.25" customHeight="1">
      <c r="A630" s="30" t="inlineStr">
        <is>
          <t>Itaguai</t>
        </is>
      </c>
      <c r="B630" s="30" t="n">
        <v>78498560</v>
      </c>
      <c r="C630" s="30">
        <f>"01107327000553"</f>
        <v/>
      </c>
      <c r="D630" s="30" t="inlineStr">
        <is>
          <t>BBM LOGISTICA SA</t>
        </is>
      </c>
      <c r="E630" s="40" t="n">
        <v>0</v>
      </c>
      <c r="F630" s="40" t="n">
        <v>2924.36</v>
      </c>
      <c r="G630" s="40" t="n">
        <v>100</v>
      </c>
      <c r="H630" s="40" t="n">
        <v>0</v>
      </c>
      <c r="I630" s="46" t="n">
        <v>-100</v>
      </c>
      <c r="J630" s="40" t="n">
        <v>8960.35</v>
      </c>
      <c r="K630" s="40" t="n">
        <v>100</v>
      </c>
      <c r="L630" s="40" t="n">
        <v>284652.73</v>
      </c>
      <c r="M630" s="40" t="n">
        <v>3076.8</v>
      </c>
      <c r="N630" s="40" t="n">
        <v>1577.78</v>
      </c>
      <c r="O630" s="46" t="n">
        <v>-99.45</v>
      </c>
      <c r="P630" s="40" t="n">
        <v>630.4299999999999</v>
      </c>
      <c r="Q630" s="46" t="n">
        <v>-60.04</v>
      </c>
      <c r="R630" s="47" t="n"/>
      <c r="S630" s="47" t="n"/>
      <c r="T630" s="47" t="n"/>
      <c r="U630" s="47" t="n"/>
      <c r="V630" s="47" t="n"/>
      <c r="W630" s="47" t="n"/>
    </row>
    <row r="631" ht="11.25" customHeight="1">
      <c r="A631" s="30" t="inlineStr">
        <is>
          <t>Itaguai</t>
        </is>
      </c>
      <c r="B631" s="30" t="n">
        <v>78513080</v>
      </c>
      <c r="C631" s="30">
        <f>"09540744000173"</f>
        <v/>
      </c>
      <c r="D631" s="30" t="inlineStr">
        <is>
          <t>CLEBER SOUZA DOS SANTOS</t>
        </is>
      </c>
      <c r="E631" s="40" t="n">
        <v>0</v>
      </c>
      <c r="F631" s="40" t="n">
        <v>0</v>
      </c>
      <c r="G631" s="40" t="n">
        <v>0</v>
      </c>
      <c r="H631" s="40" t="n">
        <v>0</v>
      </c>
      <c r="I631" s="40" t="n">
        <v>0</v>
      </c>
      <c r="J631" s="40" t="n">
        <v>0</v>
      </c>
      <c r="K631" s="40" t="n">
        <v>0</v>
      </c>
      <c r="L631" s="40" t="n">
        <v>0</v>
      </c>
      <c r="M631" s="40" t="n">
        <v>0</v>
      </c>
      <c r="N631" s="40" t="n">
        <v>0</v>
      </c>
      <c r="O631" s="40" t="n">
        <v>0</v>
      </c>
      <c r="P631" s="40" t="n">
        <v>0</v>
      </c>
      <c r="Q631" s="40" t="n">
        <v>0</v>
      </c>
      <c r="R631" s="47" t="n"/>
      <c r="S631" s="47" t="n"/>
      <c r="T631" s="47" t="n"/>
      <c r="U631" s="47" t="n"/>
      <c r="V631" s="47" t="n"/>
      <c r="W631" s="47" t="n"/>
    </row>
    <row r="632" ht="11.25" customHeight="1">
      <c r="A632" s="30" t="inlineStr">
        <is>
          <t>Itaguai</t>
        </is>
      </c>
      <c r="B632" s="30" t="n">
        <v>78520302</v>
      </c>
      <c r="C632" s="30">
        <f>"09366418000353"</f>
        <v/>
      </c>
      <c r="D632" s="30" t="inlineStr">
        <is>
          <t>RECREIO RIO MOTOS COMERCIO E REPRESENTACOES LTDA</t>
        </is>
      </c>
      <c r="E632" s="40" t="n">
        <v>1453539.66</v>
      </c>
      <c r="F632" s="40" t="n">
        <v>1815129.47</v>
      </c>
      <c r="G632" s="40" t="n">
        <v>24.88</v>
      </c>
      <c r="H632" s="40" t="n">
        <v>2575383.55</v>
      </c>
      <c r="I632" s="40" t="n">
        <v>41.88</v>
      </c>
      <c r="J632" s="40" t="n">
        <v>3389240.5</v>
      </c>
      <c r="K632" s="40" t="n">
        <v>31.6</v>
      </c>
      <c r="L632" s="40" t="n">
        <v>5470453.65</v>
      </c>
      <c r="M632" s="40" t="n">
        <v>61.41</v>
      </c>
      <c r="N632" s="40" t="n">
        <v>7267583.6</v>
      </c>
      <c r="O632" s="40" t="n">
        <v>32.85</v>
      </c>
      <c r="P632" s="40" t="n">
        <v>8927485.800000001</v>
      </c>
      <c r="Q632" s="40" t="n">
        <v>22.84</v>
      </c>
      <c r="R632" s="47" t="n"/>
      <c r="S632" s="47" t="n"/>
      <c r="T632" s="47" t="n"/>
      <c r="U632" s="47" t="n"/>
      <c r="V632" s="47" t="n"/>
      <c r="W632" s="47" t="n"/>
    </row>
    <row r="633" ht="11.25" customHeight="1">
      <c r="A633" s="30" t="inlineStr">
        <is>
          <t>Itaguai</t>
        </is>
      </c>
      <c r="B633" s="30" t="n">
        <v>78524251</v>
      </c>
      <c r="C633" s="30">
        <f>"03290982000191"</f>
        <v/>
      </c>
      <c r="D633" s="30" t="inlineStr">
        <is>
          <t>CASAPLAN EMPREENDIMENTOS IMOBILIARIOS LTDA</t>
        </is>
      </c>
      <c r="E633" s="40" t="n">
        <v>0</v>
      </c>
      <c r="F633" s="40" t="n">
        <v>0</v>
      </c>
      <c r="G633" s="40" t="n">
        <v>0</v>
      </c>
      <c r="H633" s="40" t="n">
        <v>0</v>
      </c>
      <c r="I633" s="40" t="n">
        <v>0</v>
      </c>
      <c r="J633" s="40" t="n">
        <v>0</v>
      </c>
      <c r="K633" s="40" t="n">
        <v>0</v>
      </c>
      <c r="L633" s="40" t="n">
        <v>0</v>
      </c>
      <c r="M633" s="40" t="n">
        <v>0</v>
      </c>
      <c r="N633" s="40" t="n">
        <v>0</v>
      </c>
      <c r="O633" s="40" t="n">
        <v>0</v>
      </c>
      <c r="P633" s="40" t="n">
        <v>0</v>
      </c>
      <c r="Q633" s="40" t="n">
        <v>0</v>
      </c>
      <c r="R633" s="47" t="n"/>
      <c r="S633" s="47" t="n"/>
      <c r="T633" s="47" t="n"/>
      <c r="U633" s="47" t="n"/>
      <c r="V633" s="47" t="n"/>
      <c r="W633" s="47" t="n"/>
    </row>
    <row r="634" ht="11.25" customHeight="1">
      <c r="A634" s="30" t="inlineStr">
        <is>
          <t>Itaguai</t>
        </is>
      </c>
      <c r="B634" s="30" t="n">
        <v>78545224</v>
      </c>
      <c r="C634" s="30">
        <f>"09676994000135"</f>
        <v/>
      </c>
      <c r="D634" s="30" t="inlineStr">
        <is>
          <t>AMP SIMETRIA MODAS LTDA</t>
        </is>
      </c>
      <c r="E634" s="40" t="n">
        <v>0</v>
      </c>
      <c r="F634" s="40" t="n">
        <v>0</v>
      </c>
      <c r="G634" s="40" t="n">
        <v>0</v>
      </c>
      <c r="H634" s="40" t="n">
        <v>0</v>
      </c>
      <c r="I634" s="40" t="n">
        <v>0</v>
      </c>
      <c r="J634" s="40" t="n">
        <v>0</v>
      </c>
      <c r="K634" s="40" t="n">
        <v>0</v>
      </c>
      <c r="L634" s="40" t="n">
        <v>0</v>
      </c>
      <c r="M634" s="40" t="n">
        <v>0</v>
      </c>
      <c r="N634" s="40" t="n">
        <v>0</v>
      </c>
      <c r="O634" s="40" t="n">
        <v>0</v>
      </c>
      <c r="P634" s="40" t="n">
        <v>0</v>
      </c>
      <c r="Q634" s="40" t="n">
        <v>0</v>
      </c>
      <c r="R634" s="47" t="n"/>
      <c r="S634" s="47" t="n"/>
      <c r="T634" s="47" t="n"/>
      <c r="U634" s="47" t="n"/>
      <c r="V634" s="47" t="n"/>
      <c r="W634" s="47" t="n"/>
    </row>
    <row r="635" ht="11.25" customHeight="1">
      <c r="A635" s="30" t="inlineStr">
        <is>
          <t>Itaguai</t>
        </is>
      </c>
      <c r="B635" s="30" t="n">
        <v>78552786</v>
      </c>
      <c r="C635" s="30">
        <f>"06913480000591"</f>
        <v/>
      </c>
      <c r="D635" s="30" t="inlineStr">
        <is>
          <t>DIMENSIONAL CENTELHA SOLUÇÕES LTDA</t>
        </is>
      </c>
      <c r="E635" s="40" t="n">
        <v>0</v>
      </c>
      <c r="F635" s="40" t="n">
        <v>0</v>
      </c>
      <c r="G635" s="40" t="n">
        <v>0</v>
      </c>
      <c r="H635" s="40" t="n">
        <v>0</v>
      </c>
      <c r="I635" s="40" t="n">
        <v>0</v>
      </c>
      <c r="J635" s="40" t="n">
        <v>0</v>
      </c>
      <c r="K635" s="40" t="n">
        <v>0</v>
      </c>
      <c r="L635" s="40" t="n">
        <v>0</v>
      </c>
      <c r="M635" s="40" t="n">
        <v>0</v>
      </c>
      <c r="N635" s="40" t="n">
        <v>0</v>
      </c>
      <c r="O635" s="40" t="n">
        <v>0</v>
      </c>
      <c r="P635" s="40" t="n">
        <v>0</v>
      </c>
      <c r="Q635" s="40" t="n">
        <v>0</v>
      </c>
      <c r="R635" s="47" t="n"/>
      <c r="S635" s="47" t="n"/>
      <c r="T635" s="47" t="n"/>
      <c r="U635" s="47" t="n"/>
      <c r="V635" s="47" t="n"/>
      <c r="W635" s="47" t="n"/>
    </row>
    <row r="636" ht="11.25" customHeight="1">
      <c r="A636" s="30" t="inlineStr">
        <is>
          <t>Itaguai</t>
        </is>
      </c>
      <c r="B636" s="30" t="n">
        <v>78560142</v>
      </c>
      <c r="C636" s="30">
        <f>"10247527000179"</f>
        <v/>
      </c>
      <c r="D636" s="30" t="inlineStr">
        <is>
          <t>RODOVIARIO FRETBUS FRETAMENTO DE ONIBUS E TURISMO LTDA-EPP</t>
        </is>
      </c>
      <c r="E636" s="40" t="n">
        <v>0</v>
      </c>
      <c r="F636" s="40" t="n">
        <v>0</v>
      </c>
      <c r="G636" s="40" t="n">
        <v>0</v>
      </c>
      <c r="H636" s="40" t="n">
        <v>0</v>
      </c>
      <c r="I636" s="40" t="n">
        <v>0</v>
      </c>
      <c r="J636" s="40" t="n">
        <v>0</v>
      </c>
      <c r="K636" s="40" t="n">
        <v>0</v>
      </c>
      <c r="L636" s="40" t="n">
        <v>0</v>
      </c>
      <c r="M636" s="40" t="n">
        <v>0</v>
      </c>
      <c r="N636" s="40" t="n">
        <v>0</v>
      </c>
      <c r="O636" s="40" t="n">
        <v>0</v>
      </c>
      <c r="P636" s="40" t="n">
        <v>1600</v>
      </c>
      <c r="Q636" s="40" t="n">
        <v>100</v>
      </c>
      <c r="R636" s="47" t="n"/>
      <c r="S636" s="47" t="n"/>
      <c r="T636" s="47" t="n"/>
      <c r="U636" s="47" t="n"/>
      <c r="V636" s="47" t="n"/>
      <c r="W636" s="47" t="n"/>
    </row>
    <row r="637" ht="11.25" customHeight="1">
      <c r="A637" s="30" t="inlineStr">
        <is>
          <t>Itaguai</t>
        </is>
      </c>
      <c r="B637" s="30" t="n">
        <v>78562749</v>
      </c>
      <c r="C637" s="30">
        <f>"04622116001608"</f>
        <v/>
      </c>
      <c r="D637" s="30" t="inlineStr">
        <is>
          <t>ALGAR MULTIMIDIA S/A</t>
        </is>
      </c>
      <c r="E637" s="40" t="n">
        <v>1166070.06</v>
      </c>
      <c r="F637" s="40" t="n">
        <v>1106978.17</v>
      </c>
      <c r="G637" s="46" t="n">
        <v>-5.07</v>
      </c>
      <c r="H637" s="40" t="n">
        <v>1014689.44</v>
      </c>
      <c r="I637" s="46" t="n">
        <v>-8.34</v>
      </c>
      <c r="J637" s="40" t="n">
        <v>672868.02</v>
      </c>
      <c r="K637" s="46" t="n">
        <v>-33.69</v>
      </c>
      <c r="L637" s="40" t="n">
        <v>450927.2</v>
      </c>
      <c r="M637" s="46" t="n">
        <v>-32.98</v>
      </c>
      <c r="N637" s="40" t="n">
        <v>336437.2</v>
      </c>
      <c r="O637" s="46" t="n">
        <v>-25.39</v>
      </c>
      <c r="P637" s="40" t="n">
        <v>304450.4</v>
      </c>
      <c r="Q637" s="46" t="n">
        <v>-9.51</v>
      </c>
      <c r="R637" s="47" t="n"/>
      <c r="S637" s="47" t="n"/>
      <c r="T637" s="47" t="n"/>
      <c r="U637" s="47" t="n"/>
      <c r="V637" s="47" t="n"/>
      <c r="W637" s="47" t="n"/>
    </row>
    <row r="638" ht="11.25" customHeight="1">
      <c r="A638" s="30" t="inlineStr">
        <is>
          <t>Itaguai</t>
        </is>
      </c>
      <c r="B638" s="30" t="n">
        <v>78579242</v>
      </c>
      <c r="C638" s="30">
        <f>"19199348000269"</f>
        <v/>
      </c>
      <c r="D638" s="30" t="inlineStr">
        <is>
          <t>SADA TRANSPORTES E ARMAZENAGENS S/A</t>
        </is>
      </c>
      <c r="E638" s="40" t="n">
        <v>111674.9</v>
      </c>
      <c r="F638" s="40" t="n">
        <v>16964.64</v>
      </c>
      <c r="G638" s="46" t="n">
        <v>-84.81</v>
      </c>
      <c r="H638" s="40" t="n">
        <v>0</v>
      </c>
      <c r="I638" s="46" t="n">
        <v>-100</v>
      </c>
      <c r="J638" s="40" t="n">
        <v>0</v>
      </c>
      <c r="K638" s="40" t="n">
        <v>0</v>
      </c>
      <c r="L638" s="40" t="n">
        <v>0</v>
      </c>
      <c r="M638" s="40" t="n">
        <v>0</v>
      </c>
      <c r="N638" s="40" t="n">
        <v>0</v>
      </c>
      <c r="O638" s="40" t="n">
        <v>0</v>
      </c>
      <c r="P638" s="40" t="n">
        <v>0</v>
      </c>
      <c r="Q638" s="40" t="n">
        <v>0</v>
      </c>
      <c r="R638" s="47" t="n"/>
      <c r="S638" s="47" t="n"/>
      <c r="T638" s="47" t="n"/>
      <c r="U638" s="47" t="n"/>
      <c r="V638" s="47" t="n"/>
      <c r="W638" s="47" t="n"/>
    </row>
    <row r="639" ht="11.25" customHeight="1">
      <c r="A639" s="30" t="inlineStr">
        <is>
          <t>Itaguai</t>
        </is>
      </c>
      <c r="B639" s="30" t="n">
        <v>78579358</v>
      </c>
      <c r="C639" s="30">
        <f>"10304682000180"</f>
        <v/>
      </c>
      <c r="D639" s="30" t="inlineStr">
        <is>
          <t>MX SAMA ALIMENTOS LTDA EPP</t>
        </is>
      </c>
      <c r="E639" s="40" t="n">
        <v>0</v>
      </c>
      <c r="F639" s="40" t="n">
        <v>0</v>
      </c>
      <c r="G639" s="40" t="n">
        <v>0</v>
      </c>
      <c r="H639" s="40" t="n">
        <v>0</v>
      </c>
      <c r="I639" s="40" t="n">
        <v>0</v>
      </c>
      <c r="J639" s="40" t="n">
        <v>0</v>
      </c>
      <c r="K639" s="40" t="n">
        <v>0</v>
      </c>
      <c r="L639" s="40" t="n">
        <v>0</v>
      </c>
      <c r="M639" s="40" t="n">
        <v>0</v>
      </c>
      <c r="N639" s="40" t="n">
        <v>0</v>
      </c>
      <c r="O639" s="40" t="n">
        <v>0</v>
      </c>
      <c r="P639" s="40" t="n">
        <v>0</v>
      </c>
      <c r="Q639" s="40" t="n">
        <v>0</v>
      </c>
      <c r="R639" s="47" t="n"/>
      <c r="S639" s="47" t="n"/>
      <c r="T639" s="47" t="n"/>
      <c r="U639" s="47" t="n"/>
      <c r="V639" s="47" t="n"/>
      <c r="W639" s="47" t="n"/>
    </row>
    <row r="640" ht="11.25" customHeight="1">
      <c r="A640" s="30" t="inlineStr">
        <is>
          <t>Itaguai</t>
        </is>
      </c>
      <c r="B640" s="30" t="n">
        <v>78581298</v>
      </c>
      <c r="C640" s="30">
        <f>"13579271000780"</f>
        <v/>
      </c>
      <c r="D640" s="30" t="inlineStr">
        <is>
          <t>RAJAN TRANSPORTES COM E IND LTDA</t>
        </is>
      </c>
      <c r="E640" s="40" t="n">
        <v>0</v>
      </c>
      <c r="F640" s="40" t="n">
        <v>0</v>
      </c>
      <c r="G640" s="40" t="n">
        <v>0</v>
      </c>
      <c r="H640" s="40" t="n">
        <v>0</v>
      </c>
      <c r="I640" s="40" t="n">
        <v>0</v>
      </c>
      <c r="J640" s="40" t="n">
        <v>0</v>
      </c>
      <c r="K640" s="40" t="n">
        <v>0</v>
      </c>
      <c r="L640" s="40" t="n">
        <v>1807.13</v>
      </c>
      <c r="M640" s="40" t="n">
        <v>100</v>
      </c>
      <c r="N640" s="40" t="n">
        <v>719.14</v>
      </c>
      <c r="O640" s="46" t="n">
        <v>-60.21</v>
      </c>
      <c r="P640" s="40" t="n">
        <v>0</v>
      </c>
      <c r="Q640" s="46" t="n">
        <v>-100</v>
      </c>
      <c r="R640" s="47" t="n"/>
      <c r="S640" s="47" t="n"/>
      <c r="T640" s="47" t="n"/>
      <c r="U640" s="47" t="n"/>
      <c r="V640" s="47" t="n"/>
      <c r="W640" s="47" t="n"/>
    </row>
    <row r="641" ht="11.25" customHeight="1">
      <c r="A641" s="30" t="inlineStr">
        <is>
          <t>Itaguai</t>
        </is>
      </c>
      <c r="B641" s="30" t="n">
        <v>78581620</v>
      </c>
      <c r="C641" s="30">
        <f>"10142068000169"</f>
        <v/>
      </c>
      <c r="D641" s="30" t="inlineStr">
        <is>
          <t>FRIGOMIX INDUSTRIA E COMERCIO DE CARNES LTDA</t>
        </is>
      </c>
      <c r="E641" s="40" t="n">
        <v>16566199.09</v>
      </c>
      <c r="F641" s="40" t="n">
        <v>20580676.38</v>
      </c>
      <c r="G641" s="40" t="n">
        <v>24.23</v>
      </c>
      <c r="H641" s="40" t="n">
        <v>18664080.62</v>
      </c>
      <c r="I641" s="46" t="n">
        <v>-9.31</v>
      </c>
      <c r="J641" s="40" t="n">
        <v>23006550.09</v>
      </c>
      <c r="K641" s="40" t="n">
        <v>23.27</v>
      </c>
      <c r="L641" s="40" t="n">
        <v>21459838.48</v>
      </c>
      <c r="M641" s="46" t="n">
        <v>-6.72</v>
      </c>
      <c r="N641" s="40" t="n">
        <v>16780833.69</v>
      </c>
      <c r="O641" s="46" t="n">
        <v>-21.8</v>
      </c>
      <c r="P641" s="40" t="n">
        <v>14347364.08</v>
      </c>
      <c r="Q641" s="46" t="n">
        <v>-14.5</v>
      </c>
      <c r="R641" s="47" t="n"/>
      <c r="S641" s="47" t="n"/>
      <c r="T641" s="47" t="n"/>
      <c r="U641" s="47" t="n"/>
      <c r="V641" s="47" t="n"/>
      <c r="W641" s="47" t="n"/>
    </row>
    <row r="642" ht="11.25" customHeight="1">
      <c r="A642" s="30" t="inlineStr">
        <is>
          <t>Itaguai</t>
        </is>
      </c>
      <c r="B642" s="30" t="n">
        <v>78583746</v>
      </c>
      <c r="C642" s="30">
        <f>"10312737000101"</f>
        <v/>
      </c>
      <c r="D642" s="30" t="inlineStr">
        <is>
          <t>N B TRANSPORTES DE MACAE LTDA</t>
        </is>
      </c>
      <c r="E642" s="40" t="n">
        <v>0</v>
      </c>
      <c r="F642" s="40" t="n">
        <v>0</v>
      </c>
      <c r="G642" s="40" t="n">
        <v>0</v>
      </c>
      <c r="H642" s="40" t="n">
        <v>0</v>
      </c>
      <c r="I642" s="40" t="n">
        <v>0</v>
      </c>
      <c r="J642" s="40" t="n">
        <v>0</v>
      </c>
      <c r="K642" s="40" t="n">
        <v>0</v>
      </c>
      <c r="L642" s="40" t="n">
        <v>0</v>
      </c>
      <c r="M642" s="40" t="n">
        <v>0</v>
      </c>
      <c r="N642" s="40" t="n">
        <v>0</v>
      </c>
      <c r="O642" s="40" t="n">
        <v>0</v>
      </c>
      <c r="P642" s="40" t="n">
        <v>2796</v>
      </c>
      <c r="Q642" s="40" t="n">
        <v>100</v>
      </c>
      <c r="R642" s="47" t="n"/>
      <c r="S642" s="47" t="n"/>
      <c r="T642" s="47" t="n"/>
      <c r="U642" s="47" t="n"/>
      <c r="V642" s="47" t="n"/>
      <c r="W642" s="47" t="n"/>
    </row>
    <row r="643" ht="11.25" customHeight="1">
      <c r="A643" s="30" t="inlineStr">
        <is>
          <t>Itaguai</t>
        </is>
      </c>
      <c r="B643" s="30" t="n">
        <v>78587555</v>
      </c>
      <c r="C643" s="30">
        <f>"10218686000145"</f>
        <v/>
      </c>
      <c r="D643" s="30" t="inlineStr">
        <is>
          <t>MP SIMETRIA CALCADOS LTDA</t>
        </is>
      </c>
      <c r="E643" s="40" t="n">
        <v>0</v>
      </c>
      <c r="F643" s="40" t="n">
        <v>0</v>
      </c>
      <c r="G643" s="40" t="n">
        <v>0</v>
      </c>
      <c r="H643" s="40" t="n">
        <v>0</v>
      </c>
      <c r="I643" s="40" t="n">
        <v>0</v>
      </c>
      <c r="J643" s="40" t="n">
        <v>0</v>
      </c>
      <c r="K643" s="40" t="n">
        <v>0</v>
      </c>
      <c r="L643" s="40" t="n">
        <v>0</v>
      </c>
      <c r="M643" s="40" t="n">
        <v>0</v>
      </c>
      <c r="N643" s="40" t="n">
        <v>0</v>
      </c>
      <c r="O643" s="40" t="n">
        <v>0</v>
      </c>
      <c r="P643" s="40" t="n">
        <v>0</v>
      </c>
      <c r="Q643" s="40" t="n">
        <v>0</v>
      </c>
      <c r="R643" s="47" t="n"/>
      <c r="S643" s="47" t="n"/>
      <c r="T643" s="47" t="n"/>
      <c r="U643" s="47" t="n"/>
      <c r="V643" s="47" t="n"/>
      <c r="W643" s="47" t="n"/>
    </row>
    <row r="644" ht="11.25" customHeight="1">
      <c r="A644" s="30" t="inlineStr">
        <is>
          <t>Itaguai</t>
        </is>
      </c>
      <c r="B644" s="30" t="n">
        <v>78604840</v>
      </c>
      <c r="C644" s="30">
        <f>"10383159000196"</f>
        <v/>
      </c>
      <c r="D644" s="30" t="inlineStr">
        <is>
          <t>DONATO TRANSPORTES LTDA</t>
        </is>
      </c>
      <c r="E644" s="40" t="n">
        <v>10290</v>
      </c>
      <c r="F644" s="40" t="n">
        <v>0</v>
      </c>
      <c r="G644" s="46" t="n">
        <v>-100</v>
      </c>
      <c r="H644" s="40" t="n">
        <v>0</v>
      </c>
      <c r="I644" s="40" t="n">
        <v>0</v>
      </c>
      <c r="J644" s="40" t="n">
        <v>0</v>
      </c>
      <c r="K644" s="40" t="n">
        <v>0</v>
      </c>
      <c r="L644" s="40" t="n">
        <v>0</v>
      </c>
      <c r="M644" s="40" t="n">
        <v>0</v>
      </c>
      <c r="N644" s="40" t="n">
        <v>0</v>
      </c>
      <c r="O644" s="40" t="n">
        <v>0</v>
      </c>
      <c r="P644" s="40" t="n">
        <v>0</v>
      </c>
      <c r="Q644" s="40" t="n">
        <v>0</v>
      </c>
      <c r="R644" s="47" t="n"/>
      <c r="S644" s="47" t="n"/>
      <c r="T644" s="47" t="n"/>
      <c r="U644" s="47" t="n"/>
      <c r="V644" s="47" t="n"/>
      <c r="W644" s="47" t="n"/>
    </row>
    <row r="645" ht="11.25" customHeight="1">
      <c r="A645" s="30" t="inlineStr">
        <is>
          <t>Itaguai</t>
        </is>
      </c>
      <c r="B645" s="30" t="n">
        <v>78613432</v>
      </c>
      <c r="C645" s="30">
        <f>"10408064000180"</f>
        <v/>
      </c>
      <c r="D645" s="30" t="inlineStr">
        <is>
          <t>TATY LACERDA MODAS LTDA ME</t>
        </is>
      </c>
      <c r="E645" s="40" t="n">
        <v>0</v>
      </c>
      <c r="F645" s="40" t="n">
        <v>0</v>
      </c>
      <c r="G645" s="40" t="n">
        <v>0</v>
      </c>
      <c r="H645" s="40" t="n">
        <v>0</v>
      </c>
      <c r="I645" s="40" t="n">
        <v>0</v>
      </c>
      <c r="J645" s="40" t="n">
        <v>0</v>
      </c>
      <c r="K645" s="40" t="n">
        <v>0</v>
      </c>
      <c r="L645" s="40" t="n">
        <v>0</v>
      </c>
      <c r="M645" s="40" t="n">
        <v>0</v>
      </c>
      <c r="N645" s="40" t="n">
        <v>0</v>
      </c>
      <c r="O645" s="40" t="n">
        <v>0</v>
      </c>
      <c r="P645" s="40" t="n">
        <v>0</v>
      </c>
      <c r="Q645" s="40" t="n">
        <v>0</v>
      </c>
      <c r="R645" s="47" t="n"/>
      <c r="S645" s="47" t="n"/>
      <c r="T645" s="47" t="n"/>
      <c r="U645" s="47" t="n"/>
      <c r="V645" s="47" t="n"/>
      <c r="W645" s="47" t="n"/>
    </row>
    <row r="646" ht="11.25" customHeight="1">
      <c r="A646" s="30" t="inlineStr">
        <is>
          <t>Itaguai</t>
        </is>
      </c>
      <c r="B646" s="30" t="n">
        <v>78614200</v>
      </c>
      <c r="C646" s="30">
        <f>"10290263000136"</f>
        <v/>
      </c>
      <c r="D646" s="30" t="inlineStr">
        <is>
          <t>E LOURENCO EQUIPAMENTOS DE INFORMATICA LTDA ME</t>
        </is>
      </c>
      <c r="E646" s="40" t="n">
        <v>0</v>
      </c>
      <c r="F646" s="40" t="n">
        <v>0</v>
      </c>
      <c r="G646" s="40" t="n">
        <v>0</v>
      </c>
      <c r="H646" s="40" t="n">
        <v>0</v>
      </c>
      <c r="I646" s="40" t="n">
        <v>0</v>
      </c>
      <c r="J646" s="40" t="n">
        <v>0</v>
      </c>
      <c r="K646" s="40" t="n">
        <v>0</v>
      </c>
      <c r="L646" s="40" t="n">
        <v>0</v>
      </c>
      <c r="M646" s="40" t="n">
        <v>0</v>
      </c>
      <c r="N646" s="40" t="n">
        <v>0</v>
      </c>
      <c r="O646" s="40" t="n">
        <v>0</v>
      </c>
      <c r="P646" s="40" t="n">
        <v>0</v>
      </c>
      <c r="Q646" s="40" t="n">
        <v>0</v>
      </c>
      <c r="R646" s="47" t="n"/>
      <c r="S646" s="47" t="n"/>
      <c r="T646" s="47" t="n"/>
      <c r="U646" s="47" t="n"/>
      <c r="V646" s="47" t="n"/>
      <c r="W646" s="47" t="n"/>
    </row>
    <row r="647" ht="11.25" customHeight="1">
      <c r="A647" s="30" t="inlineStr">
        <is>
          <t>Itaguai</t>
        </is>
      </c>
      <c r="B647" s="30" t="n">
        <v>78616326</v>
      </c>
      <c r="C647" s="30">
        <f>"10393647000184"</f>
        <v/>
      </c>
      <c r="D647" s="30" t="inlineStr">
        <is>
          <t>M A G TERRAPLANAGEM TRANSPORTE E LOGISTICA LTDA</t>
        </is>
      </c>
      <c r="E647" s="40" t="n">
        <v>0</v>
      </c>
      <c r="F647" s="40" t="n">
        <v>0</v>
      </c>
      <c r="G647" s="40" t="n">
        <v>0</v>
      </c>
      <c r="H647" s="40" t="n">
        <v>0</v>
      </c>
      <c r="I647" s="40" t="n">
        <v>0</v>
      </c>
      <c r="J647" s="40" t="n">
        <v>0</v>
      </c>
      <c r="K647" s="40" t="n">
        <v>0</v>
      </c>
      <c r="L647" s="40" t="n">
        <v>0</v>
      </c>
      <c r="M647" s="40" t="n">
        <v>0</v>
      </c>
      <c r="N647" s="40" t="n">
        <v>0</v>
      </c>
      <c r="O647" s="40" t="n">
        <v>0</v>
      </c>
      <c r="P647" s="40" t="n">
        <v>0</v>
      </c>
      <c r="Q647" s="40" t="n">
        <v>0</v>
      </c>
      <c r="R647" s="47" t="n"/>
      <c r="S647" s="47" t="n"/>
      <c r="T647" s="47" t="n"/>
      <c r="U647" s="47" t="n"/>
      <c r="V647" s="47" t="n"/>
      <c r="W647" s="47" t="n"/>
    </row>
    <row r="648" ht="11.25" customHeight="1">
      <c r="A648" s="30" t="inlineStr">
        <is>
          <t>Itaguai</t>
        </is>
      </c>
      <c r="B648" s="30" t="n">
        <v>78632097</v>
      </c>
      <c r="C648" s="30">
        <f>"07628915000195"</f>
        <v/>
      </c>
      <c r="D648" s="30" t="inlineStr">
        <is>
          <t>TRANSPORTE RODOVIARIO CATUESA LTDA ME</t>
        </is>
      </c>
      <c r="E648" s="40" t="n">
        <v>0</v>
      </c>
      <c r="F648" s="40" t="n">
        <v>0</v>
      </c>
      <c r="G648" s="40" t="n">
        <v>0</v>
      </c>
      <c r="H648" s="40" t="n">
        <v>0</v>
      </c>
      <c r="I648" s="40" t="n">
        <v>0</v>
      </c>
      <c r="J648" s="40" t="n">
        <v>0</v>
      </c>
      <c r="K648" s="40" t="n">
        <v>0</v>
      </c>
      <c r="L648" s="40" t="n">
        <v>0</v>
      </c>
      <c r="M648" s="40" t="n">
        <v>0</v>
      </c>
      <c r="N648" s="40" t="n">
        <v>0</v>
      </c>
      <c r="O648" s="40" t="n">
        <v>0</v>
      </c>
      <c r="P648" s="40" t="n">
        <v>0</v>
      </c>
      <c r="Q648" s="40" t="n">
        <v>0</v>
      </c>
      <c r="R648" s="47" t="n"/>
      <c r="S648" s="47" t="n"/>
      <c r="T648" s="47" t="n"/>
      <c r="U648" s="47" t="n"/>
      <c r="V648" s="47" t="n"/>
      <c r="W648" s="47" t="n"/>
    </row>
    <row r="649" ht="11.25" customHeight="1">
      <c r="A649" s="30" t="inlineStr">
        <is>
          <t>Itaguai</t>
        </is>
      </c>
      <c r="B649" s="30" t="n">
        <v>78633638</v>
      </c>
      <c r="C649" s="30">
        <f>"10449779000180"</f>
        <v/>
      </c>
      <c r="D649" s="30" t="inlineStr">
        <is>
          <t>MULTIFOX TRANSPORTES LTDA EPP</t>
        </is>
      </c>
      <c r="E649" s="40" t="n">
        <v>1233.96</v>
      </c>
      <c r="F649" s="40" t="n">
        <v>0</v>
      </c>
      <c r="G649" s="46" t="n">
        <v>-100</v>
      </c>
      <c r="H649" s="40" t="n">
        <v>0</v>
      </c>
      <c r="I649" s="40" t="n">
        <v>0</v>
      </c>
      <c r="J649" s="40" t="n">
        <v>0</v>
      </c>
      <c r="K649" s="40" t="n">
        <v>0</v>
      </c>
      <c r="L649" s="40" t="n">
        <v>0</v>
      </c>
      <c r="M649" s="40" t="n">
        <v>0</v>
      </c>
      <c r="N649" s="40" t="n">
        <v>0</v>
      </c>
      <c r="O649" s="40" t="n">
        <v>0</v>
      </c>
      <c r="P649" s="40" t="n">
        <v>0</v>
      </c>
      <c r="Q649" s="40" t="n">
        <v>0</v>
      </c>
      <c r="R649" s="47" t="n"/>
      <c r="S649" s="47" t="n"/>
      <c r="T649" s="47" t="n"/>
      <c r="U649" s="47" t="n"/>
      <c r="V649" s="47" t="n"/>
      <c r="W649" s="47" t="n"/>
    </row>
    <row r="650" ht="11.25" customHeight="1">
      <c r="A650" s="30" t="inlineStr">
        <is>
          <t>Itaguai</t>
        </is>
      </c>
      <c r="B650" s="30" t="n">
        <v>78643463</v>
      </c>
      <c r="C650" s="30">
        <f>"00591531000368"</f>
        <v/>
      </c>
      <c r="D650" s="30" t="inlineStr">
        <is>
          <t>E J DE SOUZA - TRANSPORTES</t>
        </is>
      </c>
      <c r="E650" s="40" t="n">
        <v>0</v>
      </c>
      <c r="F650" s="40" t="n">
        <v>0</v>
      </c>
      <c r="G650" s="40" t="n">
        <v>0</v>
      </c>
      <c r="H650" s="40" t="n">
        <v>266.51</v>
      </c>
      <c r="I650" s="40" t="n">
        <v>100</v>
      </c>
      <c r="J650" s="40" t="n">
        <v>70.73999999999999</v>
      </c>
      <c r="K650" s="46" t="n">
        <v>-73.45999999999999</v>
      </c>
      <c r="L650" s="40" t="n">
        <v>0</v>
      </c>
      <c r="M650" s="46" t="n">
        <v>-100</v>
      </c>
      <c r="N650" s="40" t="n">
        <v>0</v>
      </c>
      <c r="O650" s="40" t="n">
        <v>0</v>
      </c>
      <c r="P650" s="40" t="n">
        <v>0</v>
      </c>
      <c r="Q650" s="40" t="n">
        <v>0</v>
      </c>
      <c r="R650" s="47" t="n"/>
      <c r="S650" s="47" t="n"/>
      <c r="T650" s="47" t="n"/>
      <c r="U650" s="47" t="n"/>
      <c r="V650" s="47" t="n"/>
      <c r="W650" s="47" t="n"/>
    </row>
    <row r="651" ht="11.25" customHeight="1">
      <c r="A651" s="30" t="inlineStr">
        <is>
          <t>Itaguai</t>
        </is>
      </c>
      <c r="B651" s="30" t="n">
        <v>78645288</v>
      </c>
      <c r="C651" s="30">
        <f>"10386033000175"</f>
        <v/>
      </c>
      <c r="D651" s="30" t="inlineStr">
        <is>
          <t>SHIVA TRANSPORTES LTDA</t>
        </is>
      </c>
      <c r="E651" s="40" t="n">
        <v>0</v>
      </c>
      <c r="F651" s="40" t="n">
        <v>0</v>
      </c>
      <c r="G651" s="40" t="n">
        <v>0</v>
      </c>
      <c r="H651" s="40" t="n">
        <v>0</v>
      </c>
      <c r="I651" s="40" t="n">
        <v>0</v>
      </c>
      <c r="J651" s="40" t="n">
        <v>0</v>
      </c>
      <c r="K651" s="40" t="n">
        <v>0</v>
      </c>
      <c r="L651" s="40" t="n">
        <v>0</v>
      </c>
      <c r="M651" s="40" t="n">
        <v>0</v>
      </c>
      <c r="N651" s="40" t="n">
        <v>0</v>
      </c>
      <c r="O651" s="40" t="n">
        <v>0</v>
      </c>
      <c r="P651" s="40" t="n">
        <v>8777.809999999999</v>
      </c>
      <c r="Q651" s="40" t="n">
        <v>100</v>
      </c>
      <c r="R651" s="47" t="n"/>
      <c r="S651" s="47" t="n"/>
      <c r="T651" s="47" t="n"/>
      <c r="U651" s="47" t="n"/>
      <c r="V651" s="47" t="n"/>
      <c r="W651" s="47" t="n"/>
    </row>
    <row r="652" ht="11.25" customHeight="1">
      <c r="A652" s="30" t="inlineStr">
        <is>
          <t>Itaguai</t>
        </is>
      </c>
      <c r="B652" s="30" t="n">
        <v>78655747</v>
      </c>
      <c r="C652" s="30">
        <f>"10520551000130"</f>
        <v/>
      </c>
      <c r="D652" s="30" t="inlineStr">
        <is>
          <t>AGIFLEX TRANSPORTES DE CARGAS LTDA</t>
        </is>
      </c>
      <c r="E652" s="40" t="n">
        <v>0</v>
      </c>
      <c r="F652" s="40" t="n">
        <v>274.5</v>
      </c>
      <c r="G652" s="40" t="n">
        <v>100</v>
      </c>
      <c r="H652" s="40" t="n">
        <v>280.12</v>
      </c>
      <c r="I652" s="40" t="n">
        <v>2.05</v>
      </c>
      <c r="J652" s="40" t="n">
        <v>0</v>
      </c>
      <c r="K652" s="46" t="n">
        <v>-100</v>
      </c>
      <c r="L652" s="40" t="n">
        <v>278.18</v>
      </c>
      <c r="M652" s="40" t="n">
        <v>100</v>
      </c>
      <c r="N652" s="40" t="n">
        <v>1147.73</v>
      </c>
      <c r="O652" s="40" t="n">
        <v>312.59</v>
      </c>
      <c r="P652" s="40" t="n">
        <v>5138.18</v>
      </c>
      <c r="Q652" s="40" t="n">
        <v>347.68</v>
      </c>
      <c r="R652" s="47" t="n"/>
      <c r="S652" s="47" t="n"/>
      <c r="T652" s="47" t="n"/>
      <c r="U652" s="47" t="n"/>
      <c r="V652" s="47" t="n"/>
      <c r="W652" s="47" t="n"/>
    </row>
    <row r="653" ht="11.25" customHeight="1">
      <c r="A653" s="30" t="inlineStr">
        <is>
          <t>Itaguai</t>
        </is>
      </c>
      <c r="B653" s="30" t="n">
        <v>78666528</v>
      </c>
      <c r="C653" s="30">
        <f>"10553018000174"</f>
        <v/>
      </c>
      <c r="D653" s="30" t="inlineStr">
        <is>
          <t>RRLOG LOGISTICA E TRANSPORTADORA LTDA</t>
        </is>
      </c>
      <c r="E653" s="40" t="n">
        <v>116.44</v>
      </c>
      <c r="F653" s="40" t="n">
        <v>0</v>
      </c>
      <c r="G653" s="46" t="n">
        <v>-100</v>
      </c>
      <c r="H653" s="40" t="n">
        <v>0</v>
      </c>
      <c r="I653" s="40" t="n">
        <v>0</v>
      </c>
      <c r="J653" s="40" t="n">
        <v>0</v>
      </c>
      <c r="K653" s="40" t="n">
        <v>0</v>
      </c>
      <c r="L653" s="40" t="n">
        <v>0</v>
      </c>
      <c r="M653" s="40" t="n">
        <v>0</v>
      </c>
      <c r="N653" s="40" t="n">
        <v>0</v>
      </c>
      <c r="O653" s="40" t="n">
        <v>0</v>
      </c>
      <c r="P653" s="40" t="n">
        <v>0</v>
      </c>
      <c r="Q653" s="40" t="n">
        <v>0</v>
      </c>
      <c r="R653" s="47" t="n"/>
      <c r="S653" s="47" t="n"/>
      <c r="T653" s="47" t="n"/>
      <c r="U653" s="47" t="n"/>
      <c r="V653" s="47" t="n"/>
      <c r="W653" s="47" t="n"/>
    </row>
    <row r="654" ht="11.25" customHeight="1">
      <c r="A654" s="30" t="inlineStr">
        <is>
          <t>Itaguai</t>
        </is>
      </c>
      <c r="B654" s="30" t="n">
        <v>78672471</v>
      </c>
      <c r="C654" s="30">
        <f>"10536388000101"</f>
        <v/>
      </c>
      <c r="D654" s="30" t="inlineStr">
        <is>
          <t>CASIN CASA DA SINALIZACAO,INDUSTRIA  E COMERCIO DE PRODUTOS  DE</t>
        </is>
      </c>
      <c r="E654" s="40" t="n">
        <v>46111.36</v>
      </c>
      <c r="F654" s="40" t="n">
        <v>0</v>
      </c>
      <c r="G654" s="46" t="n">
        <v>-100</v>
      </c>
      <c r="H654" s="40" t="n">
        <v>0</v>
      </c>
      <c r="I654" s="40" t="n">
        <v>0</v>
      </c>
      <c r="J654" s="40" t="n">
        <v>0</v>
      </c>
      <c r="K654" s="40" t="n">
        <v>0</v>
      </c>
      <c r="L654" s="40" t="n">
        <v>0</v>
      </c>
      <c r="M654" s="40" t="n">
        <v>0</v>
      </c>
      <c r="N654" s="40" t="n">
        <v>0</v>
      </c>
      <c r="O654" s="40" t="n">
        <v>0</v>
      </c>
      <c r="P654" s="40" t="n">
        <v>0</v>
      </c>
      <c r="Q654" s="40" t="n">
        <v>0</v>
      </c>
      <c r="R654" s="47" t="n"/>
      <c r="S654" s="47" t="n"/>
      <c r="T654" s="47" t="n"/>
      <c r="U654" s="47" t="n"/>
      <c r="V654" s="47" t="n"/>
      <c r="W654" s="47" t="n"/>
    </row>
    <row r="655" ht="11.25" customHeight="1">
      <c r="A655" s="30" t="inlineStr">
        <is>
          <t>Itaguai</t>
        </is>
      </c>
      <c r="B655" s="30" t="n">
        <v>78675306</v>
      </c>
      <c r="C655" s="30">
        <f>"10569074000105"</f>
        <v/>
      </c>
      <c r="D655" s="30" t="inlineStr">
        <is>
          <t>DROGARIA RAMOS PIRES LTDA</t>
        </is>
      </c>
      <c r="E655" s="40" t="n">
        <v>0</v>
      </c>
      <c r="F655" s="40" t="n">
        <v>0</v>
      </c>
      <c r="G655" s="40" t="n">
        <v>0</v>
      </c>
      <c r="H655" s="40" t="n">
        <v>276100.05</v>
      </c>
      <c r="I655" s="40" t="n">
        <v>100</v>
      </c>
      <c r="J655" s="40" t="n">
        <v>97226.17</v>
      </c>
      <c r="K655" s="46" t="n">
        <v>-64.79000000000001</v>
      </c>
      <c r="L655" s="40" t="n">
        <v>25006.71</v>
      </c>
      <c r="M655" s="46" t="n">
        <v>-74.28</v>
      </c>
      <c r="N655" s="40" t="n">
        <v>0</v>
      </c>
      <c r="O655" s="46" t="n">
        <v>-100</v>
      </c>
      <c r="P655" s="40" t="n">
        <v>0</v>
      </c>
      <c r="Q655" s="40" t="n">
        <v>0</v>
      </c>
      <c r="R655" s="47" t="n"/>
      <c r="S655" s="47" t="n"/>
      <c r="T655" s="47" t="n"/>
      <c r="U655" s="47" t="n"/>
      <c r="V655" s="47" t="n"/>
      <c r="W655" s="47" t="n"/>
    </row>
    <row r="656" ht="11.25" customHeight="1">
      <c r="A656" s="30" t="inlineStr">
        <is>
          <t>Itaguai</t>
        </is>
      </c>
      <c r="B656" s="30" t="n">
        <v>78676850</v>
      </c>
      <c r="C656" s="30">
        <f>"09296295000321"</f>
        <v/>
      </c>
      <c r="D656" s="30" t="inlineStr">
        <is>
          <t>AZUL LINHAS AEREAS BRASILEIRAS S A</t>
        </is>
      </c>
      <c r="E656" s="40" t="n">
        <v>1084.01</v>
      </c>
      <c r="F656" s="40" t="n">
        <v>1092.11</v>
      </c>
      <c r="G656" s="40" t="n">
        <v>0.75</v>
      </c>
      <c r="H656" s="40" t="n">
        <v>0</v>
      </c>
      <c r="I656" s="46" t="n">
        <v>-100</v>
      </c>
      <c r="J656" s="40" t="n">
        <v>0</v>
      </c>
      <c r="K656" s="40" t="n">
        <v>0</v>
      </c>
      <c r="L656" s="40" t="n">
        <v>0</v>
      </c>
      <c r="M656" s="40" t="n">
        <v>0</v>
      </c>
      <c r="N656" s="40" t="n">
        <v>0</v>
      </c>
      <c r="O656" s="40" t="n">
        <v>0</v>
      </c>
      <c r="P656" s="40" t="n">
        <v>0</v>
      </c>
      <c r="Q656" s="40" t="n">
        <v>0</v>
      </c>
      <c r="R656" s="47" t="n"/>
      <c r="S656" s="47" t="n"/>
      <c r="T656" s="47" t="n"/>
      <c r="U656" s="47" t="n"/>
      <c r="V656" s="47" t="n"/>
      <c r="W656" s="47" t="n"/>
    </row>
    <row r="657" ht="11.25" customHeight="1">
      <c r="A657" s="30" t="inlineStr">
        <is>
          <t>Itaguai</t>
        </is>
      </c>
      <c r="B657" s="30" t="n">
        <v>78682566</v>
      </c>
      <c r="C657" s="30">
        <f>"08599609000130"</f>
        <v/>
      </c>
      <c r="D657" s="30" t="inlineStr">
        <is>
          <t>IGUANA ENROLAMENTO DE MOTORES LTDA</t>
        </is>
      </c>
      <c r="E657" s="40" t="n">
        <v>0</v>
      </c>
      <c r="F657" s="40" t="n">
        <v>0</v>
      </c>
      <c r="G657" s="40" t="n">
        <v>0</v>
      </c>
      <c r="H657" s="40" t="n">
        <v>0</v>
      </c>
      <c r="I657" s="40" t="n">
        <v>0</v>
      </c>
      <c r="J657" s="40" t="n">
        <v>0</v>
      </c>
      <c r="K657" s="40" t="n">
        <v>0</v>
      </c>
      <c r="L657" s="40" t="n">
        <v>0</v>
      </c>
      <c r="M657" s="40" t="n">
        <v>0</v>
      </c>
      <c r="N657" s="40" t="n">
        <v>0</v>
      </c>
      <c r="O657" s="40" t="n">
        <v>0</v>
      </c>
      <c r="P657" s="40" t="n">
        <v>0</v>
      </c>
      <c r="Q657" s="40" t="n">
        <v>0</v>
      </c>
      <c r="R657" s="47" t="n"/>
      <c r="S657" s="47" t="n"/>
      <c r="T657" s="47" t="n"/>
      <c r="U657" s="47" t="n"/>
      <c r="V657" s="47" t="n"/>
      <c r="W657" s="47" t="n"/>
    </row>
    <row r="658" ht="11.25" customHeight="1">
      <c r="A658" s="30" t="inlineStr">
        <is>
          <t>Itaguai</t>
        </is>
      </c>
      <c r="B658" s="30" t="n">
        <v>78686111</v>
      </c>
      <c r="C658" s="30">
        <f>"10526585000131"</f>
        <v/>
      </c>
      <c r="D658" s="30" t="inlineStr">
        <is>
          <t>TILIM DISTRIBUIDORA DE ALIMENTOS LTDA</t>
        </is>
      </c>
      <c r="E658" s="40" t="n">
        <v>0</v>
      </c>
      <c r="F658" s="40" t="n">
        <v>0</v>
      </c>
      <c r="G658" s="40" t="n">
        <v>0</v>
      </c>
      <c r="H658" s="40" t="n">
        <v>0</v>
      </c>
      <c r="I658" s="40" t="n">
        <v>0</v>
      </c>
      <c r="J658" s="40" t="n">
        <v>0</v>
      </c>
      <c r="K658" s="40" t="n">
        <v>0</v>
      </c>
      <c r="L658" s="40" t="n">
        <v>0</v>
      </c>
      <c r="M658" s="40" t="n">
        <v>0</v>
      </c>
      <c r="N658" s="40" t="n">
        <v>409183.34</v>
      </c>
      <c r="O658" s="40" t="n">
        <v>100</v>
      </c>
      <c r="P658" s="40" t="n">
        <v>148797.57</v>
      </c>
      <c r="Q658" s="46" t="n">
        <v>-63.64</v>
      </c>
      <c r="R658" s="47" t="n"/>
      <c r="S658" s="47" t="n"/>
      <c r="T658" s="47" t="n"/>
      <c r="U658" s="47" t="n"/>
      <c r="V658" s="47" t="n"/>
      <c r="W658" s="47" t="n"/>
    </row>
    <row r="659" ht="11.25" customHeight="1">
      <c r="A659" s="30" t="inlineStr">
        <is>
          <t>Itaguai</t>
        </is>
      </c>
      <c r="B659" s="30" t="n">
        <v>78686707</v>
      </c>
      <c r="C659" s="30">
        <f>"10505938000117"</f>
        <v/>
      </c>
      <c r="D659" s="30" t="inlineStr">
        <is>
          <t>EMPRESA DE TRANSPORTES INVICTA X LTDA ME</t>
        </is>
      </c>
      <c r="E659" s="40" t="n">
        <v>0</v>
      </c>
      <c r="F659" s="40" t="n">
        <v>0</v>
      </c>
      <c r="G659" s="40" t="n">
        <v>0</v>
      </c>
      <c r="H659" s="40" t="n">
        <v>0</v>
      </c>
      <c r="I659" s="40" t="n">
        <v>0</v>
      </c>
      <c r="J659" s="40" t="n">
        <v>19262.78</v>
      </c>
      <c r="K659" s="40" t="n">
        <v>100</v>
      </c>
      <c r="L659" s="40" t="n">
        <v>0</v>
      </c>
      <c r="M659" s="46" t="n">
        <v>-100</v>
      </c>
      <c r="N659" s="40" t="n">
        <v>0</v>
      </c>
      <c r="O659" s="40" t="n">
        <v>0</v>
      </c>
      <c r="P659" s="40" t="n">
        <v>0</v>
      </c>
      <c r="Q659" s="40" t="n">
        <v>0</v>
      </c>
      <c r="R659" s="47" t="n"/>
      <c r="S659" s="47" t="n"/>
      <c r="T659" s="47" t="n"/>
      <c r="U659" s="47" t="n"/>
      <c r="V659" s="47" t="n"/>
      <c r="W659" s="47" t="n"/>
    </row>
    <row r="660" ht="11.25" customHeight="1">
      <c r="A660" s="30" t="inlineStr">
        <is>
          <t>Itaguai</t>
        </is>
      </c>
      <c r="B660" s="30" t="n">
        <v>78696362</v>
      </c>
      <c r="C660" s="30">
        <f>"39777776000158"</f>
        <v/>
      </c>
      <c r="D660" s="30" t="inlineStr">
        <is>
          <t>LASSAC REPRESENTACOES LTDA - ME</t>
        </is>
      </c>
      <c r="E660" s="40" t="n">
        <v>0</v>
      </c>
      <c r="F660" s="40" t="n">
        <v>0</v>
      </c>
      <c r="G660" s="40" t="n">
        <v>0</v>
      </c>
      <c r="H660" s="40" t="n">
        <v>0</v>
      </c>
      <c r="I660" s="40" t="n">
        <v>0</v>
      </c>
      <c r="J660" s="40" t="n">
        <v>114831.74</v>
      </c>
      <c r="K660" s="40" t="n">
        <v>100</v>
      </c>
      <c r="L660" s="40" t="n">
        <v>91847.99000000001</v>
      </c>
      <c r="M660" s="46" t="n">
        <v>-20.02</v>
      </c>
      <c r="N660" s="40" t="n">
        <v>240456.27</v>
      </c>
      <c r="O660" s="40" t="n">
        <v>161.8</v>
      </c>
      <c r="P660" s="40" t="n">
        <v>0</v>
      </c>
      <c r="Q660" s="46" t="n">
        <v>-100</v>
      </c>
      <c r="R660" s="47" t="n"/>
      <c r="S660" s="47" t="n"/>
      <c r="T660" s="47" t="n"/>
      <c r="U660" s="47" t="n"/>
      <c r="V660" s="47" t="n"/>
      <c r="W660" s="47" t="n"/>
    </row>
    <row r="661" ht="11.25" customHeight="1">
      <c r="A661" s="30" t="inlineStr">
        <is>
          <t>Itaguai</t>
        </is>
      </c>
      <c r="B661" s="30" t="n">
        <v>78704284</v>
      </c>
      <c r="C661" s="30">
        <f>"08512037000372"</f>
        <v/>
      </c>
      <c r="D661" s="30" t="inlineStr">
        <is>
          <t>GHISOLFI LOGISTICA E TRANSPORTE LTDA</t>
        </is>
      </c>
      <c r="E661" s="40" t="n">
        <v>0</v>
      </c>
      <c r="F661" s="40" t="n">
        <v>0</v>
      </c>
      <c r="G661" s="40" t="n">
        <v>0</v>
      </c>
      <c r="H661" s="40" t="n">
        <v>0</v>
      </c>
      <c r="I661" s="40" t="n">
        <v>0</v>
      </c>
      <c r="J661" s="40" t="n">
        <v>0</v>
      </c>
      <c r="K661" s="40" t="n">
        <v>0</v>
      </c>
      <c r="L661" s="40" t="n">
        <v>7096.8</v>
      </c>
      <c r="M661" s="40" t="n">
        <v>100</v>
      </c>
      <c r="N661" s="40" t="n">
        <v>0</v>
      </c>
      <c r="O661" s="46" t="n">
        <v>-100</v>
      </c>
      <c r="P661" s="40" t="n">
        <v>0</v>
      </c>
      <c r="Q661" s="40" t="n">
        <v>0</v>
      </c>
      <c r="R661" s="47" t="n"/>
      <c r="S661" s="47" t="n"/>
      <c r="T661" s="47" t="n"/>
      <c r="U661" s="47" t="n"/>
      <c r="V661" s="47" t="n"/>
      <c r="W661" s="47" t="n"/>
    </row>
    <row r="662" ht="11.25" customHeight="1">
      <c r="A662" s="30" t="inlineStr">
        <is>
          <t>Itaguai</t>
        </is>
      </c>
      <c r="B662" s="30" t="n">
        <v>78718021</v>
      </c>
      <c r="C662" s="30">
        <f>"74155052000416"</f>
        <v/>
      </c>
      <c r="D662" s="30" t="inlineStr">
        <is>
          <t>UPS DO BRASIL REMESSAS EXPRESSAS LTDA</t>
        </is>
      </c>
      <c r="E662" s="40" t="n">
        <v>737.03</v>
      </c>
      <c r="F662" s="40" t="n">
        <v>304.12</v>
      </c>
      <c r="G662" s="46" t="n">
        <v>-58.74</v>
      </c>
      <c r="H662" s="40" t="n">
        <v>199.5</v>
      </c>
      <c r="I662" s="46" t="n">
        <v>-34.4</v>
      </c>
      <c r="J662" s="40" t="n">
        <v>86.27</v>
      </c>
      <c r="K662" s="46" t="n">
        <v>-56.76</v>
      </c>
      <c r="L662" s="40" t="n">
        <v>479.45</v>
      </c>
      <c r="M662" s="40" t="n">
        <v>455.76</v>
      </c>
      <c r="N662" s="40" t="n">
        <v>519.88</v>
      </c>
      <c r="O662" s="40" t="n">
        <v>8.43</v>
      </c>
      <c r="P662" s="40" t="n">
        <v>533.73</v>
      </c>
      <c r="Q662" s="40" t="n">
        <v>2.66</v>
      </c>
      <c r="R662" s="47" t="n"/>
      <c r="S662" s="47" t="n"/>
      <c r="T662" s="47" t="n"/>
      <c r="U662" s="47" t="n"/>
      <c r="V662" s="47" t="n"/>
      <c r="W662" s="47" t="n"/>
    </row>
    <row r="663" ht="11.25" customHeight="1">
      <c r="A663" s="30" t="inlineStr">
        <is>
          <t>Itaguai</t>
        </is>
      </c>
      <c r="B663" s="30" t="n">
        <v>78724226</v>
      </c>
      <c r="C663" s="30">
        <f>"09452900000306"</f>
        <v/>
      </c>
      <c r="D663" s="30" t="inlineStr">
        <is>
          <t>VIX TRANSPORTES DEDICADOS LTDA</t>
        </is>
      </c>
      <c r="E663" s="40" t="n">
        <v>0</v>
      </c>
      <c r="F663" s="40" t="n">
        <v>0</v>
      </c>
      <c r="G663" s="40" t="n">
        <v>0</v>
      </c>
      <c r="H663" s="40" t="n">
        <v>0</v>
      </c>
      <c r="I663" s="40" t="n">
        <v>0</v>
      </c>
      <c r="J663" s="40" t="n">
        <v>0</v>
      </c>
      <c r="K663" s="40" t="n">
        <v>0</v>
      </c>
      <c r="L663" s="40" t="n">
        <v>0</v>
      </c>
      <c r="M663" s="40" t="n">
        <v>0</v>
      </c>
      <c r="N663" s="40" t="n">
        <v>0</v>
      </c>
      <c r="O663" s="40" t="n">
        <v>0</v>
      </c>
      <c r="P663" s="40" t="n">
        <v>5718.19</v>
      </c>
      <c r="Q663" s="40" t="n">
        <v>100</v>
      </c>
      <c r="R663" s="47" t="n"/>
      <c r="S663" s="47" t="n"/>
      <c r="T663" s="47" t="n"/>
      <c r="U663" s="47" t="n"/>
      <c r="V663" s="47" t="n"/>
      <c r="W663" s="47" t="n"/>
    </row>
    <row r="664" ht="11.25" customHeight="1">
      <c r="A664" s="30" t="inlineStr">
        <is>
          <t>Itaguai</t>
        </is>
      </c>
      <c r="B664" s="30" t="n">
        <v>78731451</v>
      </c>
      <c r="C664" s="30">
        <f>"07360468000217"</f>
        <v/>
      </c>
      <c r="D664" s="30" t="inlineStr">
        <is>
          <t>MTR LOGISTICA LTDA</t>
        </is>
      </c>
      <c r="E664" s="40" t="n">
        <v>296.47</v>
      </c>
      <c r="F664" s="40" t="n">
        <v>386.45</v>
      </c>
      <c r="G664" s="40" t="n">
        <v>30.35</v>
      </c>
      <c r="H664" s="40" t="n">
        <v>0</v>
      </c>
      <c r="I664" s="46" t="n">
        <v>-100</v>
      </c>
      <c r="J664" s="40" t="n">
        <v>0</v>
      </c>
      <c r="K664" s="40" t="n">
        <v>0</v>
      </c>
      <c r="L664" s="40" t="n">
        <v>0</v>
      </c>
      <c r="M664" s="40" t="n">
        <v>0</v>
      </c>
      <c r="N664" s="40" t="n">
        <v>0</v>
      </c>
      <c r="O664" s="40" t="n">
        <v>0</v>
      </c>
      <c r="P664" s="40" t="n">
        <v>0</v>
      </c>
      <c r="Q664" s="40" t="n">
        <v>0</v>
      </c>
      <c r="R664" s="47" t="n"/>
      <c r="S664" s="47" t="n"/>
      <c r="T664" s="47" t="n"/>
      <c r="U664" s="47" t="n"/>
      <c r="V664" s="47" t="n"/>
      <c r="W664" s="47" t="n"/>
    </row>
    <row r="665" ht="11.25" customHeight="1">
      <c r="A665" s="30" t="inlineStr">
        <is>
          <t>Itaguai</t>
        </is>
      </c>
      <c r="B665" s="30" t="n">
        <v>78754117</v>
      </c>
      <c r="C665" s="30">
        <f>"60869336020657"</f>
        <v/>
      </c>
      <c r="D665" s="30" t="inlineStr">
        <is>
          <t>LAFARGEHOLCIM (BRASIL) S A</t>
        </is>
      </c>
      <c r="E665" s="40" t="n">
        <v>0</v>
      </c>
      <c r="F665" s="40" t="n">
        <v>0</v>
      </c>
      <c r="G665" s="40" t="n">
        <v>0</v>
      </c>
      <c r="H665" s="40" t="n">
        <v>0</v>
      </c>
      <c r="I665" s="40" t="n">
        <v>0</v>
      </c>
      <c r="J665" s="40" t="n">
        <v>0</v>
      </c>
      <c r="K665" s="40" t="n">
        <v>0</v>
      </c>
      <c r="L665" s="40" t="n">
        <v>0</v>
      </c>
      <c r="M665" s="40" t="n">
        <v>0</v>
      </c>
      <c r="N665" s="40" t="n">
        <v>0</v>
      </c>
      <c r="O665" s="40" t="n">
        <v>0</v>
      </c>
      <c r="P665" s="40" t="n">
        <v>0</v>
      </c>
      <c r="Q665" s="40" t="n">
        <v>0</v>
      </c>
      <c r="R665" s="47" t="n"/>
      <c r="S665" s="47" t="n"/>
      <c r="T665" s="47" t="n"/>
      <c r="U665" s="47" t="n"/>
      <c r="V665" s="47" t="n"/>
      <c r="W665" s="47" t="n"/>
    </row>
    <row r="666" ht="11.25" customHeight="1">
      <c r="A666" s="30" t="inlineStr">
        <is>
          <t>Itaguai</t>
        </is>
      </c>
      <c r="B666" s="30" t="n">
        <v>78760230</v>
      </c>
      <c r="C666" s="30">
        <f>"08310839000138"</f>
        <v/>
      </c>
      <c r="D666" s="30" t="inlineStr">
        <is>
          <t>PORTO SUDESTE DO BRASIL S A</t>
        </is>
      </c>
      <c r="E666" s="40" t="n">
        <v>0</v>
      </c>
      <c r="F666" s="40" t="n">
        <v>0</v>
      </c>
      <c r="G666" s="40" t="n">
        <v>0</v>
      </c>
      <c r="H666" s="40" t="n">
        <v>0</v>
      </c>
      <c r="I666" s="40" t="n">
        <v>0</v>
      </c>
      <c r="J666" s="40" t="n">
        <v>0</v>
      </c>
      <c r="K666" s="40" t="n">
        <v>0</v>
      </c>
      <c r="L666" s="40" t="n">
        <v>0</v>
      </c>
      <c r="M666" s="40" t="n">
        <v>0</v>
      </c>
      <c r="N666" s="40" t="n">
        <v>0</v>
      </c>
      <c r="O666" s="40" t="n">
        <v>0</v>
      </c>
      <c r="P666" s="40" t="n">
        <v>0</v>
      </c>
      <c r="Q666" s="40" t="n">
        <v>0</v>
      </c>
      <c r="R666" s="47" t="n"/>
      <c r="S666" s="47" t="n"/>
      <c r="T666" s="47" t="n"/>
      <c r="U666" s="47" t="n"/>
      <c r="V666" s="47" t="n"/>
      <c r="W666" s="47" t="n"/>
    </row>
    <row r="667" ht="11.25" customHeight="1">
      <c r="A667" s="30" t="inlineStr">
        <is>
          <t>Itaguai</t>
        </is>
      </c>
      <c r="B667" s="30" t="n">
        <v>78775211</v>
      </c>
      <c r="C667" s="30">
        <f>"10904999000157"</f>
        <v/>
      </c>
      <c r="D667" s="30" t="inlineStr">
        <is>
          <t>FIGUEIRA &amp; CIA REPRESENTACAO COMERCIAL E SERVICOS TECNICOS LTDA</t>
        </is>
      </c>
      <c r="E667" s="40" t="n">
        <v>0</v>
      </c>
      <c r="F667" s="40" t="n">
        <v>0</v>
      </c>
      <c r="G667" s="40" t="n">
        <v>0</v>
      </c>
      <c r="H667" s="40" t="n">
        <v>0</v>
      </c>
      <c r="I667" s="40" t="n">
        <v>0</v>
      </c>
      <c r="J667" s="40" t="n">
        <v>0</v>
      </c>
      <c r="K667" s="40" t="n">
        <v>0</v>
      </c>
      <c r="L667" s="40" t="n">
        <v>0</v>
      </c>
      <c r="M667" s="40" t="n">
        <v>0</v>
      </c>
      <c r="N667" s="40" t="n">
        <v>0</v>
      </c>
      <c r="O667" s="40" t="n">
        <v>0</v>
      </c>
      <c r="P667" s="40" t="n">
        <v>0</v>
      </c>
      <c r="Q667" s="40" t="n">
        <v>0</v>
      </c>
      <c r="R667" s="47" t="n"/>
      <c r="S667" s="47" t="n"/>
      <c r="T667" s="47" t="n"/>
      <c r="U667" s="47" t="n"/>
      <c r="V667" s="47" t="n"/>
      <c r="W667" s="47" t="n"/>
    </row>
    <row r="668" ht="11.25" customHeight="1">
      <c r="A668" s="30" t="inlineStr">
        <is>
          <t>Itaguai</t>
        </is>
      </c>
      <c r="B668" s="30" t="n">
        <v>78776323</v>
      </c>
      <c r="C668" s="30">
        <f>"03098929000436"</f>
        <v/>
      </c>
      <c r="D668" s="30" t="inlineStr">
        <is>
          <t>SETE LAGOAS TRANSPORTES LTDA ME</t>
        </is>
      </c>
      <c r="E668" s="40" t="n">
        <v>1492.37</v>
      </c>
      <c r="F668" s="40" t="n">
        <v>683.14</v>
      </c>
      <c r="G668" s="46" t="n">
        <v>-54.22</v>
      </c>
      <c r="H668" s="40" t="n">
        <v>93.68000000000001</v>
      </c>
      <c r="I668" s="46" t="n">
        <v>-86.29000000000001</v>
      </c>
      <c r="J668" s="40" t="n">
        <v>0</v>
      </c>
      <c r="K668" s="46" t="n">
        <v>-100</v>
      </c>
      <c r="L668" s="40" t="n">
        <v>3581.13</v>
      </c>
      <c r="M668" s="40" t="n">
        <v>100</v>
      </c>
      <c r="N668" s="40" t="n">
        <v>1476.3</v>
      </c>
      <c r="O668" s="46" t="n">
        <v>-58.78</v>
      </c>
      <c r="P668" s="40" t="n">
        <v>1026.77</v>
      </c>
      <c r="Q668" s="46" t="n">
        <v>-30.45</v>
      </c>
      <c r="R668" s="47" t="n"/>
      <c r="S668" s="47" t="n"/>
      <c r="T668" s="47" t="n"/>
      <c r="U668" s="47" t="n"/>
      <c r="V668" s="47" t="n"/>
      <c r="W668" s="47" t="n"/>
    </row>
    <row r="669" ht="11.25" customHeight="1">
      <c r="A669" s="30" t="inlineStr">
        <is>
          <t>Itaguai</t>
        </is>
      </c>
      <c r="B669" s="30" t="n">
        <v>78776633</v>
      </c>
      <c r="C669" s="30">
        <f>"72189988000602"</f>
        <v/>
      </c>
      <c r="D669" s="30" t="inlineStr">
        <is>
          <t>EMPRESA DE ONIBUS ROSA LTDA</t>
        </is>
      </c>
      <c r="E669" s="40" t="n">
        <v>8784980.93</v>
      </c>
      <c r="F669" s="40" t="n">
        <v>7908044.04</v>
      </c>
      <c r="G669" s="46" t="n">
        <v>-9.98</v>
      </c>
      <c r="H669" s="40" t="n">
        <v>4005297.27</v>
      </c>
      <c r="I669" s="46" t="n">
        <v>-49.35</v>
      </c>
      <c r="J669" s="40" t="n">
        <v>2541925.11</v>
      </c>
      <c r="K669" s="46" t="n">
        <v>-36.54</v>
      </c>
      <c r="L669" s="40" t="n">
        <v>3195725.92</v>
      </c>
      <c r="M669" s="40" t="n">
        <v>25.72</v>
      </c>
      <c r="N669" s="40" t="n">
        <v>2912868.61</v>
      </c>
      <c r="O669" s="46" t="n">
        <v>-8.85</v>
      </c>
      <c r="P669" s="40" t="n">
        <v>2540808.67</v>
      </c>
      <c r="Q669" s="46" t="n">
        <v>-12.77</v>
      </c>
      <c r="R669" s="47" t="n"/>
      <c r="S669" s="47" t="n"/>
      <c r="T669" s="47" t="n"/>
      <c r="U669" s="47" t="n"/>
      <c r="V669" s="47" t="n"/>
      <c r="W669" s="47" t="n"/>
    </row>
    <row r="670" ht="11.25" customHeight="1">
      <c r="A670" s="30" t="inlineStr">
        <is>
          <t>Itaguai</t>
        </is>
      </c>
      <c r="B670" s="30" t="n">
        <v>78779691</v>
      </c>
      <c r="C670" s="30">
        <f>"10865047000171"</f>
        <v/>
      </c>
      <c r="D670" s="30" t="inlineStr">
        <is>
          <t>POUSADA E LAZER CANTINHO DA ROÇA LTDA</t>
        </is>
      </c>
      <c r="E670" s="40" t="n">
        <v>0</v>
      </c>
      <c r="F670" s="40" t="n">
        <v>0</v>
      </c>
      <c r="G670" s="40" t="n">
        <v>0</v>
      </c>
      <c r="H670" s="40" t="n">
        <v>0</v>
      </c>
      <c r="I670" s="40" t="n">
        <v>0</v>
      </c>
      <c r="J670" s="40" t="n">
        <v>0</v>
      </c>
      <c r="K670" s="40" t="n">
        <v>0</v>
      </c>
      <c r="L670" s="40" t="n">
        <v>0</v>
      </c>
      <c r="M670" s="40" t="n">
        <v>0</v>
      </c>
      <c r="N670" s="40" t="n">
        <v>0</v>
      </c>
      <c r="O670" s="40" t="n">
        <v>0</v>
      </c>
      <c r="P670" s="40" t="n">
        <v>0</v>
      </c>
      <c r="Q670" s="40" t="n">
        <v>0</v>
      </c>
      <c r="R670" s="47" t="n"/>
      <c r="S670" s="47" t="n"/>
      <c r="T670" s="47" t="n"/>
      <c r="U670" s="47" t="n"/>
      <c r="V670" s="47" t="n"/>
      <c r="W670" s="47" t="n"/>
    </row>
    <row r="671" ht="11.25" customHeight="1">
      <c r="A671" s="30" t="inlineStr">
        <is>
          <t>Itaguai</t>
        </is>
      </c>
      <c r="B671" s="30" t="n">
        <v>78782544</v>
      </c>
      <c r="C671" s="30">
        <f>"10928631000129"</f>
        <v/>
      </c>
      <c r="D671" s="30" t="inlineStr">
        <is>
          <t>RIVETTI COM?RCIO E SERVI?OS T?CNICOS LTDA</t>
        </is>
      </c>
      <c r="E671" s="40" t="n">
        <v>0</v>
      </c>
      <c r="F671" s="40" t="n">
        <v>0</v>
      </c>
      <c r="G671" s="40" t="n">
        <v>0</v>
      </c>
      <c r="H671" s="40" t="n">
        <v>0</v>
      </c>
      <c r="I671" s="40" t="n">
        <v>0</v>
      </c>
      <c r="J671" s="40" t="n">
        <v>0</v>
      </c>
      <c r="K671" s="40" t="n">
        <v>0</v>
      </c>
      <c r="L671" s="40" t="n">
        <v>0</v>
      </c>
      <c r="M671" s="40" t="n">
        <v>0</v>
      </c>
      <c r="N671" s="40" t="n">
        <v>0</v>
      </c>
      <c r="O671" s="40" t="n">
        <v>0</v>
      </c>
      <c r="P671" s="40" t="n">
        <v>0</v>
      </c>
      <c r="Q671" s="40" t="n">
        <v>0</v>
      </c>
      <c r="R671" s="47" t="n"/>
      <c r="S671" s="47" t="n"/>
      <c r="T671" s="47" t="n"/>
      <c r="U671" s="47" t="n"/>
      <c r="V671" s="47" t="n"/>
      <c r="W671" s="47" t="n"/>
    </row>
    <row r="672" ht="11.25" customHeight="1">
      <c r="A672" s="30" t="inlineStr">
        <is>
          <t>Itaguai</t>
        </is>
      </c>
      <c r="B672" s="30" t="n">
        <v>78782986</v>
      </c>
      <c r="C672" s="30">
        <f>"08472792000109"</f>
        <v/>
      </c>
      <c r="D672" s="30" t="inlineStr">
        <is>
          <t>TERRAPLAN RJ LOCAÇÕES LTDA</t>
        </is>
      </c>
      <c r="E672" s="40" t="n">
        <v>0</v>
      </c>
      <c r="F672" s="40" t="n">
        <v>0</v>
      </c>
      <c r="G672" s="40" t="n">
        <v>0</v>
      </c>
      <c r="H672" s="40" t="n">
        <v>0</v>
      </c>
      <c r="I672" s="40" t="n">
        <v>0</v>
      </c>
      <c r="J672" s="40" t="n">
        <v>0</v>
      </c>
      <c r="K672" s="40" t="n">
        <v>0</v>
      </c>
      <c r="L672" s="40" t="n">
        <v>0</v>
      </c>
      <c r="M672" s="40" t="n">
        <v>0</v>
      </c>
      <c r="N672" s="40" t="n">
        <v>0</v>
      </c>
      <c r="O672" s="40" t="n">
        <v>0</v>
      </c>
      <c r="P672" s="40" t="n">
        <v>0</v>
      </c>
      <c r="Q672" s="40" t="n">
        <v>0</v>
      </c>
      <c r="R672" s="47" t="n"/>
      <c r="S672" s="47" t="n"/>
      <c r="T672" s="47" t="n"/>
      <c r="U672" s="47" t="n"/>
      <c r="V672" s="47" t="n"/>
      <c r="W672" s="47" t="n"/>
    </row>
    <row r="673" ht="11.25" customHeight="1">
      <c r="A673" s="30" t="inlineStr">
        <is>
          <t>Itaguai</t>
        </is>
      </c>
      <c r="B673" s="30" t="n">
        <v>78788496</v>
      </c>
      <c r="C673" s="30">
        <f>"10955881000158"</f>
        <v/>
      </c>
      <c r="D673" s="30" t="inlineStr">
        <is>
          <t>CHACARA SANTA BARBARA DE ITAGUAI LTDA</t>
        </is>
      </c>
      <c r="E673" s="40" t="n">
        <v>0</v>
      </c>
      <c r="F673" s="40" t="n">
        <v>0</v>
      </c>
      <c r="G673" s="40" t="n">
        <v>0</v>
      </c>
      <c r="H673" s="40" t="n">
        <v>0</v>
      </c>
      <c r="I673" s="40" t="n">
        <v>0</v>
      </c>
      <c r="J673" s="40" t="n">
        <v>0</v>
      </c>
      <c r="K673" s="40" t="n">
        <v>0</v>
      </c>
      <c r="L673" s="40" t="n">
        <v>0</v>
      </c>
      <c r="M673" s="40" t="n">
        <v>0</v>
      </c>
      <c r="N673" s="40" t="n">
        <v>0</v>
      </c>
      <c r="O673" s="40" t="n">
        <v>0</v>
      </c>
      <c r="P673" s="40" t="n">
        <v>0</v>
      </c>
      <c r="Q673" s="40" t="n">
        <v>0</v>
      </c>
      <c r="R673" s="47" t="n"/>
      <c r="S673" s="47" t="n"/>
      <c r="T673" s="47" t="n"/>
      <c r="U673" s="47" t="n"/>
      <c r="V673" s="47" t="n"/>
      <c r="W673" s="47" t="n"/>
    </row>
    <row r="674" ht="11.25" customHeight="1">
      <c r="A674" s="30" t="inlineStr">
        <is>
          <t>Itaguai</t>
        </is>
      </c>
      <c r="B674" s="30" t="n">
        <v>78790865</v>
      </c>
      <c r="C674" s="30">
        <f>"10955352000154"</f>
        <v/>
      </c>
      <c r="D674" s="30" t="inlineStr">
        <is>
          <t>PRS EMPRESA ADMINISTRADORA DE POSTOS DE COMBUSTIVEIS LTDA</t>
        </is>
      </c>
      <c r="E674" s="40" t="n">
        <v>1581460.64</v>
      </c>
      <c r="F674" s="40" t="n">
        <v>1107205.63</v>
      </c>
      <c r="G674" s="46" t="n">
        <v>-29.99</v>
      </c>
      <c r="H674" s="40" t="n">
        <v>1767762.13</v>
      </c>
      <c r="I674" s="40" t="n">
        <v>59.66</v>
      </c>
      <c r="J674" s="40" t="n">
        <v>4627236.57</v>
      </c>
      <c r="K674" s="40" t="n">
        <v>161.76</v>
      </c>
      <c r="L674" s="40" t="n">
        <v>26500.51</v>
      </c>
      <c r="M674" s="46" t="n">
        <v>-99.43000000000001</v>
      </c>
      <c r="N674" s="40" t="n">
        <v>2314617.94</v>
      </c>
      <c r="O674" s="40" t="n">
        <v>8634.24</v>
      </c>
      <c r="P674" s="40" t="n">
        <v>2281007.18</v>
      </c>
      <c r="Q674" s="46" t="n">
        <v>-1.45</v>
      </c>
      <c r="R674" s="47" t="n"/>
      <c r="S674" s="47" t="n"/>
      <c r="T674" s="47" t="n"/>
      <c r="U674" s="47" t="n"/>
      <c r="V674" s="47" t="n"/>
      <c r="W674" s="47" t="n"/>
    </row>
    <row r="675" ht="11.25" customHeight="1">
      <c r="A675" s="30" t="inlineStr">
        <is>
          <t>Itaguai</t>
        </is>
      </c>
      <c r="B675" s="30" t="n">
        <v>78795700</v>
      </c>
      <c r="C675" s="30">
        <f>"10914634000103"</f>
        <v/>
      </c>
      <c r="D675" s="30" t="inlineStr">
        <is>
          <t>PEGADA FORTE INDUSTRIA DE ARGAMASSAS LTDA</t>
        </is>
      </c>
      <c r="E675" s="40" t="n">
        <v>0</v>
      </c>
      <c r="F675" s="40" t="n">
        <v>8911655.390000001</v>
      </c>
      <c r="G675" s="40" t="n">
        <v>100</v>
      </c>
      <c r="H675" s="40" t="n">
        <v>8935912.949999999</v>
      </c>
      <c r="I675" s="40" t="n">
        <v>0.27</v>
      </c>
      <c r="J675" s="40" t="n">
        <v>10199168.95</v>
      </c>
      <c r="K675" s="40" t="n">
        <v>14.14</v>
      </c>
      <c r="L675" s="40" t="n">
        <v>1650538</v>
      </c>
      <c r="M675" s="46" t="n">
        <v>-83.81999999999999</v>
      </c>
      <c r="N675" s="40" t="n">
        <v>0</v>
      </c>
      <c r="O675" s="46" t="n">
        <v>-100</v>
      </c>
      <c r="P675" s="40" t="n">
        <v>0</v>
      </c>
      <c r="Q675" s="40" t="n">
        <v>0</v>
      </c>
      <c r="R675" s="47" t="n"/>
      <c r="S675" s="47" t="n"/>
      <c r="T675" s="47" t="n"/>
      <c r="U675" s="47" t="n"/>
      <c r="V675" s="47" t="n"/>
      <c r="W675" s="47" t="n"/>
    </row>
    <row r="676" ht="11.25" customHeight="1">
      <c r="A676" s="30" t="inlineStr">
        <is>
          <t>Itaguai</t>
        </is>
      </c>
      <c r="B676" s="30" t="n">
        <v>78797509</v>
      </c>
      <c r="C676" s="30">
        <f>"08310839000308"</f>
        <v/>
      </c>
      <c r="D676" s="30" t="inlineStr">
        <is>
          <t>PORTO SUDESTE DO BRASIL S A</t>
        </is>
      </c>
      <c r="E676" s="40" t="n">
        <v>0</v>
      </c>
      <c r="F676" s="40" t="n">
        <v>0</v>
      </c>
      <c r="G676" s="40" t="n">
        <v>0</v>
      </c>
      <c r="H676" s="40" t="n">
        <v>0</v>
      </c>
      <c r="I676" s="40" t="n">
        <v>0</v>
      </c>
      <c r="J676" s="40" t="n">
        <v>0</v>
      </c>
      <c r="K676" s="40" t="n">
        <v>0</v>
      </c>
      <c r="L676" s="40" t="n">
        <v>0</v>
      </c>
      <c r="M676" s="40" t="n">
        <v>0</v>
      </c>
      <c r="N676" s="40" t="n">
        <v>0</v>
      </c>
      <c r="O676" s="40" t="n">
        <v>0</v>
      </c>
      <c r="P676" s="40" t="n">
        <v>0</v>
      </c>
      <c r="Q676" s="40" t="n">
        <v>0</v>
      </c>
      <c r="R676" s="47" t="n"/>
      <c r="S676" s="47" t="n"/>
      <c r="T676" s="47" t="n"/>
      <c r="U676" s="47" t="n"/>
      <c r="V676" s="47" t="n"/>
      <c r="W676" s="47" t="n"/>
    </row>
    <row r="677" ht="11.25" customHeight="1">
      <c r="A677" s="30" t="inlineStr">
        <is>
          <t>Itaguai</t>
        </is>
      </c>
      <c r="B677" s="30" t="n">
        <v>78797517</v>
      </c>
      <c r="C677" s="30">
        <f>"08310839000219"</f>
        <v/>
      </c>
      <c r="D677" s="30" t="inlineStr">
        <is>
          <t>PORTO SUDESTE DO BRASIL S A</t>
        </is>
      </c>
      <c r="E677" s="40" t="n">
        <v>0</v>
      </c>
      <c r="F677" s="40" t="n">
        <v>0</v>
      </c>
      <c r="G677" s="40" t="n">
        <v>0</v>
      </c>
      <c r="H677" s="40" t="n">
        <v>0</v>
      </c>
      <c r="I677" s="40" t="n">
        <v>0</v>
      </c>
      <c r="J677" s="40" t="n">
        <v>0</v>
      </c>
      <c r="K677" s="40" t="n">
        <v>0</v>
      </c>
      <c r="L677" s="40" t="n">
        <v>0</v>
      </c>
      <c r="M677" s="40" t="n">
        <v>0</v>
      </c>
      <c r="N677" s="40" t="n">
        <v>0</v>
      </c>
      <c r="O677" s="40" t="n">
        <v>0</v>
      </c>
      <c r="P677" s="40" t="n">
        <v>0</v>
      </c>
      <c r="Q677" s="40" t="n">
        <v>0</v>
      </c>
      <c r="R677" s="47" t="n"/>
      <c r="S677" s="47" t="n"/>
      <c r="T677" s="47" t="n"/>
      <c r="U677" s="47" t="n"/>
      <c r="V677" s="47" t="n"/>
      <c r="W677" s="47" t="n"/>
    </row>
    <row r="678" ht="11.25" customHeight="1">
      <c r="A678" s="30" t="inlineStr">
        <is>
          <t>Itaguai</t>
        </is>
      </c>
      <c r="B678" s="30" t="n">
        <v>78802693</v>
      </c>
      <c r="C678" s="30">
        <f>"10949805000130"</f>
        <v/>
      </c>
      <c r="D678" s="30" t="inlineStr">
        <is>
          <t>C A A DOS S CANDIDA COMERCIO DE GAS ME</t>
        </is>
      </c>
      <c r="E678" s="40" t="n">
        <v>565035.15</v>
      </c>
      <c r="F678" s="40" t="n">
        <v>0</v>
      </c>
      <c r="G678" s="46" t="n">
        <v>-100</v>
      </c>
      <c r="H678" s="40" t="n">
        <v>0</v>
      </c>
      <c r="I678" s="40" t="n">
        <v>0</v>
      </c>
      <c r="J678" s="40" t="n">
        <v>0</v>
      </c>
      <c r="K678" s="40" t="n">
        <v>0</v>
      </c>
      <c r="L678" s="40" t="n">
        <v>0</v>
      </c>
      <c r="M678" s="40" t="n">
        <v>0</v>
      </c>
      <c r="N678" s="40" t="n">
        <v>0</v>
      </c>
      <c r="O678" s="40" t="n">
        <v>0</v>
      </c>
      <c r="P678" s="40" t="n">
        <v>0</v>
      </c>
      <c r="Q678" s="40" t="n">
        <v>0</v>
      </c>
      <c r="R678" s="47" t="n"/>
      <c r="S678" s="47" t="n"/>
      <c r="T678" s="47" t="n"/>
      <c r="U678" s="47" t="n"/>
      <c r="V678" s="47" t="n"/>
      <c r="W678" s="47" t="n"/>
    </row>
    <row r="679" ht="11.25" customHeight="1">
      <c r="A679" s="30" t="inlineStr">
        <is>
          <t>Itaguai</t>
        </is>
      </c>
      <c r="B679" s="30" t="n">
        <v>78808209</v>
      </c>
      <c r="C679" s="30">
        <f>"11011612000104"</f>
        <v/>
      </c>
      <c r="D679" s="30" t="inlineStr">
        <is>
          <t>ZL LOG LOGISTICA LTDA</t>
        </is>
      </c>
      <c r="E679" s="40" t="n">
        <v>2210</v>
      </c>
      <c r="F679" s="40" t="n">
        <v>2416603.8</v>
      </c>
      <c r="G679" s="40" t="n">
        <v>109248.59</v>
      </c>
      <c r="H679" s="40" t="n">
        <v>0</v>
      </c>
      <c r="I679" s="46" t="n">
        <v>-100</v>
      </c>
      <c r="J679" s="40" t="n">
        <v>0</v>
      </c>
      <c r="K679" s="40" t="n">
        <v>0</v>
      </c>
      <c r="L679" s="40" t="n">
        <v>0</v>
      </c>
      <c r="M679" s="40" t="n">
        <v>0</v>
      </c>
      <c r="N679" s="40" t="n">
        <v>0</v>
      </c>
      <c r="O679" s="40" t="n">
        <v>0</v>
      </c>
      <c r="P679" s="40" t="n">
        <v>0</v>
      </c>
      <c r="Q679" s="40" t="n">
        <v>0</v>
      </c>
      <c r="R679" s="47" t="n"/>
      <c r="S679" s="47" t="n"/>
      <c r="T679" s="47" t="n"/>
      <c r="U679" s="47" t="n"/>
      <c r="V679" s="47" t="n"/>
      <c r="W679" s="47" t="n"/>
    </row>
    <row r="680" ht="11.25" customHeight="1">
      <c r="A680" s="30" t="inlineStr">
        <is>
          <t>Itaguai</t>
        </is>
      </c>
      <c r="B680" s="30" t="n">
        <v>78813997</v>
      </c>
      <c r="C680" s="30">
        <f>"10861580000165"</f>
        <v/>
      </c>
      <c r="D680" s="30" t="inlineStr">
        <is>
          <t>EUCLIDES JOSE DE CERQUEIRA FILHO</t>
        </is>
      </c>
      <c r="E680" s="40" t="n">
        <v>0</v>
      </c>
      <c r="F680" s="40" t="n">
        <v>0</v>
      </c>
      <c r="G680" s="40" t="n">
        <v>0</v>
      </c>
      <c r="H680" s="40" t="n">
        <v>0</v>
      </c>
      <c r="I680" s="40" t="n">
        <v>0</v>
      </c>
      <c r="J680" s="40" t="n">
        <v>0</v>
      </c>
      <c r="K680" s="40" t="n">
        <v>0</v>
      </c>
      <c r="L680" s="40" t="n">
        <v>0</v>
      </c>
      <c r="M680" s="40" t="n">
        <v>0</v>
      </c>
      <c r="N680" s="40" t="n">
        <v>0</v>
      </c>
      <c r="O680" s="40" t="n">
        <v>0</v>
      </c>
      <c r="P680" s="40" t="n">
        <v>0</v>
      </c>
      <c r="Q680" s="40" t="n">
        <v>0</v>
      </c>
      <c r="R680" s="47" t="n"/>
      <c r="S680" s="47" t="n"/>
      <c r="T680" s="47" t="n"/>
      <c r="U680" s="47" t="n"/>
      <c r="V680" s="47" t="n"/>
      <c r="W680" s="47" t="n"/>
    </row>
    <row r="681" ht="11.25" customHeight="1">
      <c r="A681" s="30" t="inlineStr">
        <is>
          <t>Itaguai</t>
        </is>
      </c>
      <c r="B681" s="30" t="n">
        <v>78826266</v>
      </c>
      <c r="C681" s="30">
        <f>"10957487000159"</f>
        <v/>
      </c>
      <c r="D681" s="30" t="inlineStr">
        <is>
          <t>DAJA QUIOSQUE E MADEIRAS LTDA ME</t>
        </is>
      </c>
      <c r="E681" s="40" t="n">
        <v>0</v>
      </c>
      <c r="F681" s="40" t="n">
        <v>0</v>
      </c>
      <c r="G681" s="40" t="n">
        <v>0</v>
      </c>
      <c r="H681" s="40" t="n">
        <v>0</v>
      </c>
      <c r="I681" s="40" t="n">
        <v>0</v>
      </c>
      <c r="J681" s="40" t="n">
        <v>0</v>
      </c>
      <c r="K681" s="40" t="n">
        <v>0</v>
      </c>
      <c r="L681" s="40" t="n">
        <v>0</v>
      </c>
      <c r="M681" s="40" t="n">
        <v>0</v>
      </c>
      <c r="N681" s="40" t="n">
        <v>0</v>
      </c>
      <c r="O681" s="40" t="n">
        <v>0</v>
      </c>
      <c r="P681" s="40" t="n">
        <v>18856.81</v>
      </c>
      <c r="Q681" s="40" t="n">
        <v>100</v>
      </c>
      <c r="R681" s="47" t="n"/>
      <c r="S681" s="47" t="n"/>
      <c r="T681" s="47" t="n"/>
      <c r="U681" s="47" t="n"/>
      <c r="V681" s="47" t="n"/>
      <c r="W681" s="47" t="n"/>
    </row>
    <row r="682" ht="11.25" customHeight="1">
      <c r="A682" s="30" t="inlineStr">
        <is>
          <t>Itaguai</t>
        </is>
      </c>
      <c r="B682" s="30" t="n">
        <v>78827661</v>
      </c>
      <c r="C682" s="30">
        <f>"02303036000331"</f>
        <v/>
      </c>
      <c r="D682" s="30" t="inlineStr">
        <is>
          <t>CLURCRI DISTRIBUIDORA DE GAS EIRELI ME</t>
        </is>
      </c>
      <c r="E682" s="40" t="n">
        <v>17318.83</v>
      </c>
      <c r="F682" s="40" t="n">
        <v>0</v>
      </c>
      <c r="G682" s="46" t="n">
        <v>-100</v>
      </c>
      <c r="H682" s="40" t="n">
        <v>0</v>
      </c>
      <c r="I682" s="40" t="n">
        <v>0</v>
      </c>
      <c r="J682" s="40" t="n">
        <v>0</v>
      </c>
      <c r="K682" s="40" t="n">
        <v>0</v>
      </c>
      <c r="L682" s="40" t="n">
        <v>0</v>
      </c>
      <c r="M682" s="40" t="n">
        <v>0</v>
      </c>
      <c r="N682" s="40" t="n">
        <v>0</v>
      </c>
      <c r="O682" s="40" t="n">
        <v>0</v>
      </c>
      <c r="P682" s="40" t="n">
        <v>0</v>
      </c>
      <c r="Q682" s="40" t="n">
        <v>0</v>
      </c>
      <c r="R682" s="47" t="n"/>
      <c r="S682" s="47" t="n"/>
      <c r="T682" s="47" t="n"/>
      <c r="U682" s="47" t="n"/>
      <c r="V682" s="47" t="n"/>
      <c r="W682" s="47" t="n"/>
    </row>
    <row r="683" ht="11.25" customHeight="1">
      <c r="A683" s="30" t="inlineStr">
        <is>
          <t>Itaguai</t>
        </is>
      </c>
      <c r="B683" s="30" t="n">
        <v>78828358</v>
      </c>
      <c r="C683" s="30">
        <f>"11078742000156"</f>
        <v/>
      </c>
      <c r="D683" s="30" t="inlineStr">
        <is>
          <t>G N P PREPARACAO E COMERCIO DE DERIVADOS DE CARNES LTDA</t>
        </is>
      </c>
      <c r="E683" s="40" t="n">
        <v>0</v>
      </c>
      <c r="F683" s="40" t="n">
        <v>0</v>
      </c>
      <c r="G683" s="40" t="n">
        <v>0</v>
      </c>
      <c r="H683" s="40" t="n">
        <v>0</v>
      </c>
      <c r="I683" s="40" t="n">
        <v>0</v>
      </c>
      <c r="J683" s="40" t="n">
        <v>0</v>
      </c>
      <c r="K683" s="40" t="n">
        <v>0</v>
      </c>
      <c r="L683" s="40" t="n">
        <v>0</v>
      </c>
      <c r="M683" s="40" t="n">
        <v>0</v>
      </c>
      <c r="N683" s="40" t="n">
        <v>0</v>
      </c>
      <c r="O683" s="40" t="n">
        <v>0</v>
      </c>
      <c r="P683" s="40" t="n">
        <v>0</v>
      </c>
      <c r="Q683" s="40" t="n">
        <v>0</v>
      </c>
      <c r="R683" s="47" t="n"/>
      <c r="S683" s="47" t="n"/>
      <c r="T683" s="47" t="n"/>
      <c r="U683" s="47" t="n"/>
      <c r="V683" s="47" t="n"/>
      <c r="W683" s="47" t="n"/>
    </row>
    <row r="684" ht="11.25" customHeight="1">
      <c r="A684" s="30" t="inlineStr">
        <is>
          <t>Itaguai</t>
        </is>
      </c>
      <c r="B684" s="30" t="n">
        <v>78832410</v>
      </c>
      <c r="C684" s="30">
        <f>"29502945001084"</f>
        <v/>
      </c>
      <c r="D684" s="30" t="inlineStr">
        <is>
          <t>DISTAC DISTRIBUIDORA DE AUTOMOVEIS E COMERCIO LTDA</t>
        </is>
      </c>
      <c r="E684" s="40" t="n">
        <v>0</v>
      </c>
      <c r="F684" s="40" t="n">
        <v>0</v>
      </c>
      <c r="G684" s="40" t="n">
        <v>0</v>
      </c>
      <c r="H684" s="40" t="n">
        <v>0</v>
      </c>
      <c r="I684" s="40" t="n">
        <v>0</v>
      </c>
      <c r="J684" s="40" t="n">
        <v>0</v>
      </c>
      <c r="K684" s="40" t="n">
        <v>0</v>
      </c>
      <c r="L684" s="40" t="n">
        <v>0</v>
      </c>
      <c r="M684" s="40" t="n">
        <v>0</v>
      </c>
      <c r="N684" s="40" t="n">
        <v>0</v>
      </c>
      <c r="O684" s="40" t="n">
        <v>0</v>
      </c>
      <c r="P684" s="40" t="n">
        <v>0</v>
      </c>
      <c r="Q684" s="40" t="n">
        <v>0</v>
      </c>
      <c r="R684" s="47" t="n"/>
      <c r="S684" s="47" t="n"/>
      <c r="T684" s="47" t="n"/>
      <c r="U684" s="47" t="n"/>
      <c r="V684" s="47" t="n"/>
      <c r="W684" s="47" t="n"/>
    </row>
    <row r="685" ht="11.25" customHeight="1">
      <c r="A685" s="30" t="inlineStr">
        <is>
          <t>Itaguai</t>
        </is>
      </c>
      <c r="B685" s="30" t="n">
        <v>78832584</v>
      </c>
      <c r="C685" s="30">
        <f>"10827182000122"</f>
        <v/>
      </c>
      <c r="D685" s="30" t="inlineStr">
        <is>
          <t>ITAGUAI CONSTRUCOES NAVAIS S/A</t>
        </is>
      </c>
      <c r="E685" s="40" t="n">
        <v>0</v>
      </c>
      <c r="F685" s="40" t="n">
        <v>0</v>
      </c>
      <c r="G685" s="40" t="n">
        <v>0</v>
      </c>
      <c r="H685" s="40" t="n">
        <v>0</v>
      </c>
      <c r="I685" s="40" t="n">
        <v>0</v>
      </c>
      <c r="J685" s="40" t="n">
        <v>0</v>
      </c>
      <c r="K685" s="40" t="n">
        <v>0</v>
      </c>
      <c r="L685" s="40" t="n">
        <v>0</v>
      </c>
      <c r="M685" s="40" t="n">
        <v>0</v>
      </c>
      <c r="N685" s="40" t="n">
        <v>704568054.77</v>
      </c>
      <c r="O685" s="40" t="n">
        <v>100</v>
      </c>
      <c r="P685" s="40" t="n">
        <v>0</v>
      </c>
      <c r="Q685" s="46" t="n">
        <v>-100</v>
      </c>
      <c r="R685" s="47" t="n"/>
      <c r="S685" s="47" t="n"/>
      <c r="T685" s="47" t="n"/>
      <c r="U685" s="47" t="n"/>
      <c r="V685" s="47" t="n"/>
      <c r="W685" s="47" t="n"/>
    </row>
    <row r="686" ht="11.25" customHeight="1">
      <c r="A686" s="30" t="inlineStr">
        <is>
          <t>Itaguai</t>
        </is>
      </c>
      <c r="B686" s="30" t="n">
        <v>78833319</v>
      </c>
      <c r="C686" s="30">
        <f>"11091069000194"</f>
        <v/>
      </c>
      <c r="D686" s="30" t="inlineStr">
        <is>
          <t>GREEN COAST COMERCIAL E REPRESENTACAO DE GEN ALIMENTICIOS LTDA</t>
        </is>
      </c>
      <c r="E686" s="40" t="n">
        <v>0</v>
      </c>
      <c r="F686" s="40" t="n">
        <v>0</v>
      </c>
      <c r="G686" s="40" t="n">
        <v>0</v>
      </c>
      <c r="H686" s="40" t="n">
        <v>0</v>
      </c>
      <c r="I686" s="40" t="n">
        <v>0</v>
      </c>
      <c r="J686" s="40" t="n">
        <v>0</v>
      </c>
      <c r="K686" s="40" t="n">
        <v>0</v>
      </c>
      <c r="L686" s="40" t="n">
        <v>0</v>
      </c>
      <c r="M686" s="40" t="n">
        <v>0</v>
      </c>
      <c r="N686" s="40" t="n">
        <v>0</v>
      </c>
      <c r="O686" s="40" t="n">
        <v>0</v>
      </c>
      <c r="P686" s="40" t="n">
        <v>0</v>
      </c>
      <c r="Q686" s="40" t="n">
        <v>0</v>
      </c>
      <c r="R686" s="47" t="n"/>
      <c r="S686" s="47" t="n"/>
      <c r="T686" s="47" t="n"/>
      <c r="U686" s="47" t="n"/>
      <c r="V686" s="47" t="n"/>
      <c r="W686" s="47" t="n"/>
    </row>
    <row r="687" ht="11.25" customHeight="1">
      <c r="A687" s="30" t="inlineStr">
        <is>
          <t>Itaguai</t>
        </is>
      </c>
      <c r="B687" s="30" t="n">
        <v>78833327</v>
      </c>
      <c r="C687" s="30">
        <f>"10317382000135"</f>
        <v/>
      </c>
      <c r="D687" s="30" t="inlineStr">
        <is>
          <t>POSTO DE GASOLINA CIDADE DO PORTO LTDA</t>
        </is>
      </c>
      <c r="E687" s="40" t="n">
        <v>1206364.07</v>
      </c>
      <c r="F687" s="40" t="n">
        <v>1483752.91</v>
      </c>
      <c r="G687" s="40" t="n">
        <v>22.99</v>
      </c>
      <c r="H687" s="40" t="n">
        <v>1390640.41</v>
      </c>
      <c r="I687" s="46" t="n">
        <v>-6.28</v>
      </c>
      <c r="J687" s="40" t="n">
        <v>3361403.82</v>
      </c>
      <c r="K687" s="40" t="n">
        <v>141.72</v>
      </c>
      <c r="L687" s="40" t="n">
        <v>6141251.69</v>
      </c>
      <c r="M687" s="40" t="n">
        <v>82.7</v>
      </c>
      <c r="N687" s="40" t="n">
        <v>2136406.72</v>
      </c>
      <c r="O687" s="46" t="n">
        <v>-65.20999999999999</v>
      </c>
      <c r="P687" s="40" t="n">
        <v>5861667.56</v>
      </c>
      <c r="Q687" s="40" t="n">
        <v>174.37</v>
      </c>
      <c r="R687" s="47" t="n"/>
      <c r="S687" s="47" t="n"/>
      <c r="T687" s="47" t="n"/>
      <c r="U687" s="47" t="n"/>
      <c r="V687" s="47" t="n"/>
      <c r="W687" s="47" t="n"/>
    </row>
    <row r="688" ht="11.25" customHeight="1">
      <c r="A688" s="30" t="inlineStr">
        <is>
          <t>Itaguai</t>
        </is>
      </c>
      <c r="B688" s="30" t="n">
        <v>78835516</v>
      </c>
      <c r="C688" s="30">
        <f>"06933939000608"</f>
        <v/>
      </c>
      <c r="D688" s="30" t="inlineStr">
        <is>
          <t>TRANSCHERRER TRANSPORTADORA LTDA</t>
        </is>
      </c>
      <c r="E688" s="40" t="n">
        <v>0</v>
      </c>
      <c r="F688" s="40" t="n">
        <v>0</v>
      </c>
      <c r="G688" s="40" t="n">
        <v>0</v>
      </c>
      <c r="H688" s="40" t="n">
        <v>0</v>
      </c>
      <c r="I688" s="40" t="n">
        <v>0</v>
      </c>
      <c r="J688" s="40" t="n">
        <v>43.49</v>
      </c>
      <c r="K688" s="40" t="n">
        <v>100</v>
      </c>
      <c r="L688" s="40" t="n">
        <v>0</v>
      </c>
      <c r="M688" s="46" t="n">
        <v>-100</v>
      </c>
      <c r="N688" s="40" t="n">
        <v>0</v>
      </c>
      <c r="O688" s="40" t="n">
        <v>0</v>
      </c>
      <c r="P688" s="40" t="n">
        <v>0</v>
      </c>
      <c r="Q688" s="40" t="n">
        <v>0</v>
      </c>
      <c r="R688" s="47" t="n"/>
      <c r="S688" s="47" t="n"/>
      <c r="T688" s="47" t="n"/>
      <c r="U688" s="47" t="n"/>
      <c r="V688" s="47" t="n"/>
      <c r="W688" s="47" t="n"/>
    </row>
    <row r="689" ht="11.25" customHeight="1">
      <c r="A689" s="30" t="inlineStr">
        <is>
          <t>Itaguai</t>
        </is>
      </c>
      <c r="B689" s="30" t="n">
        <v>78835630</v>
      </c>
      <c r="C689" s="30">
        <f>"11064899000122"</f>
        <v/>
      </c>
      <c r="D689" s="30" t="inlineStr">
        <is>
          <t>E R F RIOS SERRALHERIA ME</t>
        </is>
      </c>
      <c r="E689" s="40" t="n">
        <v>0</v>
      </c>
      <c r="F689" s="40" t="n">
        <v>0</v>
      </c>
      <c r="G689" s="40" t="n">
        <v>0</v>
      </c>
      <c r="H689" s="40" t="n">
        <v>0</v>
      </c>
      <c r="I689" s="40" t="n">
        <v>0</v>
      </c>
      <c r="J689" s="40" t="n">
        <v>0</v>
      </c>
      <c r="K689" s="40" t="n">
        <v>0</v>
      </c>
      <c r="L689" s="40" t="n">
        <v>0</v>
      </c>
      <c r="M689" s="40" t="n">
        <v>0</v>
      </c>
      <c r="N689" s="40" t="n">
        <v>0</v>
      </c>
      <c r="O689" s="40" t="n">
        <v>0</v>
      </c>
      <c r="P689" s="40" t="n">
        <v>0</v>
      </c>
      <c r="Q689" s="40" t="n">
        <v>0</v>
      </c>
      <c r="R689" s="47" t="n"/>
      <c r="S689" s="47" t="n"/>
      <c r="T689" s="47" t="n"/>
      <c r="U689" s="47" t="n"/>
      <c r="V689" s="47" t="n"/>
      <c r="W689" s="47" t="n"/>
    </row>
    <row r="690" ht="11.25" customHeight="1">
      <c r="A690" s="30" t="inlineStr">
        <is>
          <t>Itaguai</t>
        </is>
      </c>
      <c r="B690" s="30" t="n">
        <v>78840110</v>
      </c>
      <c r="C690" s="30">
        <f>"43368422002251"</f>
        <v/>
      </c>
      <c r="D690" s="30" t="inlineStr">
        <is>
          <t>LOCAR GUINDASTES E TRANSPORTES INTERMODAIS LTDA</t>
        </is>
      </c>
      <c r="E690" s="40" t="n">
        <v>0</v>
      </c>
      <c r="F690" s="40" t="n">
        <v>0</v>
      </c>
      <c r="G690" s="40" t="n">
        <v>0</v>
      </c>
      <c r="H690" s="40" t="n">
        <v>0</v>
      </c>
      <c r="I690" s="40" t="n">
        <v>0</v>
      </c>
      <c r="J690" s="40" t="n">
        <v>4586.85</v>
      </c>
      <c r="K690" s="40" t="n">
        <v>100</v>
      </c>
      <c r="L690" s="40" t="n">
        <v>0</v>
      </c>
      <c r="M690" s="46" t="n">
        <v>-100</v>
      </c>
      <c r="N690" s="40" t="n">
        <v>0</v>
      </c>
      <c r="O690" s="40" t="n">
        <v>0</v>
      </c>
      <c r="P690" s="40" t="n">
        <v>5000</v>
      </c>
      <c r="Q690" s="40" t="n">
        <v>100</v>
      </c>
      <c r="R690" s="47" t="n"/>
      <c r="S690" s="47" t="n"/>
      <c r="T690" s="47" t="n"/>
      <c r="U690" s="47" t="n"/>
      <c r="V690" s="47" t="n"/>
      <c r="W690" s="47" t="n"/>
    </row>
    <row r="691" ht="11.25" customHeight="1">
      <c r="A691" s="30" t="inlineStr">
        <is>
          <t>Itaguai</t>
        </is>
      </c>
      <c r="B691" s="30" t="n">
        <v>78845988</v>
      </c>
      <c r="C691" s="30">
        <f>"48740351010390"</f>
        <v/>
      </c>
      <c r="D691" s="30" t="inlineStr">
        <is>
          <t>BRASPRESS TRANSPORTES URGENTES LTDA</t>
        </is>
      </c>
      <c r="E691" s="40" t="n">
        <v>673.8099999999999</v>
      </c>
      <c r="F691" s="40" t="n">
        <v>851.35</v>
      </c>
      <c r="G691" s="40" t="n">
        <v>26.35</v>
      </c>
      <c r="H691" s="40" t="n">
        <v>0</v>
      </c>
      <c r="I691" s="46" t="n">
        <v>-100</v>
      </c>
      <c r="J691" s="40" t="n">
        <v>0</v>
      </c>
      <c r="K691" s="40" t="n">
        <v>0</v>
      </c>
      <c r="L691" s="40" t="n">
        <v>0</v>
      </c>
      <c r="M691" s="40" t="n">
        <v>0</v>
      </c>
      <c r="N691" s="40" t="n">
        <v>0</v>
      </c>
      <c r="O691" s="40" t="n">
        <v>0</v>
      </c>
      <c r="P691" s="40" t="n">
        <v>0</v>
      </c>
      <c r="Q691" s="40" t="n">
        <v>0</v>
      </c>
      <c r="R691" s="47" t="n"/>
      <c r="S691" s="47" t="n"/>
      <c r="T691" s="47" t="n"/>
      <c r="U691" s="47" t="n"/>
      <c r="V691" s="47" t="n"/>
      <c r="W691" s="47" t="n"/>
    </row>
    <row r="692" ht="11.25" customHeight="1">
      <c r="A692" s="30" t="inlineStr">
        <is>
          <t>Itaguai</t>
        </is>
      </c>
      <c r="B692" s="30" t="n">
        <v>78854979</v>
      </c>
      <c r="C692" s="30">
        <f>"10828536000153"</f>
        <v/>
      </c>
      <c r="D692" s="30" t="inlineStr">
        <is>
          <t>M.A. DE FARIAS CONSTRU??ES E REFORMAS LTDA</t>
        </is>
      </c>
      <c r="E692" s="40" t="n">
        <v>0</v>
      </c>
      <c r="F692" s="40" t="n">
        <v>0</v>
      </c>
      <c r="G692" s="40" t="n">
        <v>0</v>
      </c>
      <c r="H692" s="40" t="n">
        <v>0</v>
      </c>
      <c r="I692" s="40" t="n">
        <v>0</v>
      </c>
      <c r="J692" s="40" t="n">
        <v>0</v>
      </c>
      <c r="K692" s="40" t="n">
        <v>0</v>
      </c>
      <c r="L692" s="40" t="n">
        <v>0</v>
      </c>
      <c r="M692" s="40" t="n">
        <v>0</v>
      </c>
      <c r="N692" s="40" t="n">
        <v>0</v>
      </c>
      <c r="O692" s="40" t="n">
        <v>0</v>
      </c>
      <c r="P692" s="40" t="n">
        <v>0</v>
      </c>
      <c r="Q692" s="40" t="n">
        <v>0</v>
      </c>
      <c r="R692" s="47" t="n"/>
      <c r="S692" s="47" t="n"/>
      <c r="T692" s="47" t="n"/>
      <c r="U692" s="47" t="n"/>
      <c r="V692" s="47" t="n"/>
      <c r="W692" s="47" t="n"/>
    </row>
    <row r="693" ht="11.25" customHeight="1">
      <c r="A693" s="30" t="inlineStr">
        <is>
          <t>Itaguai</t>
        </is>
      </c>
      <c r="B693" s="30" t="n">
        <v>78855525</v>
      </c>
      <c r="C693" s="30">
        <f>"29240660000121"</f>
        <v/>
      </c>
      <c r="D693" s="30" t="inlineStr">
        <is>
          <t>J S AUTO ELETRICA COMERCIO DE PECAS E SERVICOS LTDA ME</t>
        </is>
      </c>
      <c r="E693" s="40" t="n">
        <v>0</v>
      </c>
      <c r="F693" s="40" t="n">
        <v>0</v>
      </c>
      <c r="G693" s="40" t="n">
        <v>0</v>
      </c>
      <c r="H693" s="40" t="n">
        <v>0</v>
      </c>
      <c r="I693" s="40" t="n">
        <v>0</v>
      </c>
      <c r="J693" s="40" t="n">
        <v>0</v>
      </c>
      <c r="K693" s="40" t="n">
        <v>0</v>
      </c>
      <c r="L693" s="40" t="n">
        <v>0</v>
      </c>
      <c r="M693" s="40" t="n">
        <v>0</v>
      </c>
      <c r="N693" s="40" t="n">
        <v>0</v>
      </c>
      <c r="O693" s="40" t="n">
        <v>0</v>
      </c>
      <c r="P693" s="40" t="n">
        <v>0</v>
      </c>
      <c r="Q693" s="40" t="n">
        <v>0</v>
      </c>
      <c r="R693" s="47" t="n"/>
      <c r="S693" s="47" t="n"/>
      <c r="T693" s="47" t="n"/>
      <c r="U693" s="47" t="n"/>
      <c r="V693" s="47" t="n"/>
      <c r="W693" s="47" t="n"/>
    </row>
    <row r="694" ht="11.25" customHeight="1">
      <c r="A694" s="30" t="inlineStr">
        <is>
          <t>Itaguai</t>
        </is>
      </c>
      <c r="B694" s="30" t="n">
        <v>78873884</v>
      </c>
      <c r="C694" s="30">
        <f>"86447224001214"</f>
        <v/>
      </c>
      <c r="D694" s="30" t="inlineStr">
        <is>
          <t>LOGMIX TRANSPORTES LTDA</t>
        </is>
      </c>
      <c r="E694" s="40" t="n">
        <v>3619.97</v>
      </c>
      <c r="F694" s="40" t="n">
        <v>1069.43</v>
      </c>
      <c r="G694" s="46" t="n">
        <v>-70.45999999999999</v>
      </c>
      <c r="H694" s="40" t="n">
        <v>0</v>
      </c>
      <c r="I694" s="46" t="n">
        <v>-100</v>
      </c>
      <c r="J694" s="40" t="n">
        <v>0</v>
      </c>
      <c r="K694" s="40" t="n">
        <v>0</v>
      </c>
      <c r="L694" s="40" t="n">
        <v>9414.299999999999</v>
      </c>
      <c r="M694" s="40" t="n">
        <v>100</v>
      </c>
      <c r="N694" s="40" t="n">
        <v>0</v>
      </c>
      <c r="O694" s="46" t="n">
        <v>-100</v>
      </c>
      <c r="P694" s="40" t="n">
        <v>0</v>
      </c>
      <c r="Q694" s="40" t="n">
        <v>0</v>
      </c>
      <c r="R694" s="47" t="n"/>
      <c r="S694" s="47" t="n"/>
      <c r="T694" s="47" t="n"/>
      <c r="U694" s="47" t="n"/>
      <c r="V694" s="47" t="n"/>
      <c r="W694" s="47" t="n"/>
    </row>
    <row r="695" ht="11.25" customHeight="1">
      <c r="A695" s="30" t="inlineStr">
        <is>
          <t>Itaguai</t>
        </is>
      </c>
      <c r="B695" s="30" t="n">
        <v>78885416</v>
      </c>
      <c r="C695" s="30">
        <f>"11203265000103"</f>
        <v/>
      </c>
      <c r="D695" s="30" t="inlineStr">
        <is>
          <t>CCR DA SILVA COMERCIO DE GAS - EPP</t>
        </is>
      </c>
      <c r="E695" s="40" t="n">
        <v>61971.92</v>
      </c>
      <c r="F695" s="40" t="n">
        <v>59147.99</v>
      </c>
      <c r="G695" s="46" t="n">
        <v>-4.56</v>
      </c>
      <c r="H695" s="40" t="n">
        <v>29633.61</v>
      </c>
      <c r="I695" s="46" t="n">
        <v>-49.9</v>
      </c>
      <c r="J695" s="40" t="n">
        <v>51826.55</v>
      </c>
      <c r="K695" s="40" t="n">
        <v>74.89</v>
      </c>
      <c r="L695" s="40" t="n">
        <v>82481.67999999999</v>
      </c>
      <c r="M695" s="40" t="n">
        <v>59.15</v>
      </c>
      <c r="N695" s="40" t="n">
        <v>104511.5</v>
      </c>
      <c r="O695" s="40" t="n">
        <v>26.71</v>
      </c>
      <c r="P695" s="40" t="n">
        <v>0</v>
      </c>
      <c r="Q695" s="46" t="n">
        <v>-100</v>
      </c>
      <c r="R695" s="47" t="n"/>
      <c r="S695" s="47" t="n"/>
      <c r="T695" s="47" t="n"/>
      <c r="U695" s="47" t="n"/>
      <c r="V695" s="47" t="n"/>
      <c r="W695" s="47" t="n"/>
    </row>
    <row r="696" ht="11.25" customHeight="1">
      <c r="A696" s="30" t="inlineStr">
        <is>
          <t>Itaguai</t>
        </is>
      </c>
      <c r="B696" s="30" t="n">
        <v>78889365</v>
      </c>
      <c r="C696" s="30">
        <f>"11114284002530"</f>
        <v/>
      </c>
      <c r="D696" s="30" t="inlineStr">
        <is>
          <t>CASA &amp; VIDEO RIO DE JANEIRO S A</t>
        </is>
      </c>
      <c r="E696" s="40" t="n">
        <v>3319666.55</v>
      </c>
      <c r="F696" s="40" t="n">
        <v>3232823.19</v>
      </c>
      <c r="G696" s="46" t="n">
        <v>-2.62</v>
      </c>
      <c r="H696" s="40" t="n">
        <v>3420829.41</v>
      </c>
      <c r="I696" s="40" t="n">
        <v>5.82</v>
      </c>
      <c r="J696" s="40" t="n">
        <v>4377646.72</v>
      </c>
      <c r="K696" s="40" t="n">
        <v>27.97</v>
      </c>
      <c r="L696" s="40" t="n">
        <v>3229857.39</v>
      </c>
      <c r="M696" s="46" t="n">
        <v>-26.22</v>
      </c>
      <c r="N696" s="40" t="n">
        <v>3125149.78</v>
      </c>
      <c r="O696" s="46" t="n">
        <v>-3.24</v>
      </c>
      <c r="P696" s="40" t="n">
        <v>3353941.66</v>
      </c>
      <c r="Q696" s="40" t="n">
        <v>7.32</v>
      </c>
      <c r="R696" s="47" t="n"/>
      <c r="S696" s="47" t="n"/>
      <c r="T696" s="47" t="n"/>
      <c r="U696" s="47" t="n"/>
      <c r="V696" s="47" t="n"/>
      <c r="W696" s="47" t="n"/>
    </row>
    <row r="697" ht="11.25" customHeight="1">
      <c r="A697" s="30" t="inlineStr">
        <is>
          <t>Itaguai</t>
        </is>
      </c>
      <c r="B697" s="30" t="n">
        <v>78889659</v>
      </c>
      <c r="C697" s="30">
        <f>"11016242000190"</f>
        <v/>
      </c>
      <c r="D697" s="30" t="inlineStr">
        <is>
          <t>BERIT CAM EMPREENDIMENTOS SERVICOS LTDA ME</t>
        </is>
      </c>
      <c r="E697" s="40" t="n">
        <v>0</v>
      </c>
      <c r="F697" s="40" t="n">
        <v>0</v>
      </c>
      <c r="G697" s="40" t="n">
        <v>0</v>
      </c>
      <c r="H697" s="40" t="n">
        <v>0</v>
      </c>
      <c r="I697" s="40" t="n">
        <v>0</v>
      </c>
      <c r="J697" s="40" t="n">
        <v>0</v>
      </c>
      <c r="K697" s="40" t="n">
        <v>0</v>
      </c>
      <c r="L697" s="40" t="n">
        <v>0</v>
      </c>
      <c r="M697" s="40" t="n">
        <v>0</v>
      </c>
      <c r="N697" s="40" t="n">
        <v>0</v>
      </c>
      <c r="O697" s="40" t="n">
        <v>0</v>
      </c>
      <c r="P697" s="40" t="n">
        <v>0</v>
      </c>
      <c r="Q697" s="40" t="n">
        <v>0</v>
      </c>
      <c r="R697" s="47" t="n"/>
      <c r="S697" s="47" t="n"/>
      <c r="T697" s="47" t="n"/>
      <c r="U697" s="47" t="n"/>
      <c r="V697" s="47" t="n"/>
      <c r="W697" s="47" t="n"/>
    </row>
    <row r="698" ht="11.25" customHeight="1">
      <c r="A698" s="30" t="inlineStr">
        <is>
          <t>Itaguai</t>
        </is>
      </c>
      <c r="B698" s="30" t="n">
        <v>78891220</v>
      </c>
      <c r="C698" s="30">
        <f>"33337122003142"</f>
        <v/>
      </c>
      <c r="D698" s="30" t="inlineStr">
        <is>
          <t>IPIRANGA PRODUTOS DE PETROLEO S A</t>
        </is>
      </c>
      <c r="E698" s="40" t="n">
        <v>0</v>
      </c>
      <c r="F698" s="40" t="n">
        <v>0</v>
      </c>
      <c r="G698" s="40" t="n">
        <v>0</v>
      </c>
      <c r="H698" s="40" t="n">
        <v>0</v>
      </c>
      <c r="I698" s="40" t="n">
        <v>0</v>
      </c>
      <c r="J698" s="40" t="n">
        <v>0</v>
      </c>
      <c r="K698" s="40" t="n">
        <v>0</v>
      </c>
      <c r="L698" s="40" t="n">
        <v>0</v>
      </c>
      <c r="M698" s="40" t="n">
        <v>0</v>
      </c>
      <c r="N698" s="40" t="n">
        <v>0</v>
      </c>
      <c r="O698" s="40" t="n">
        <v>0</v>
      </c>
      <c r="P698" s="40" t="n">
        <v>0</v>
      </c>
      <c r="Q698" s="40" t="n">
        <v>0</v>
      </c>
      <c r="R698" s="47" t="n"/>
      <c r="S698" s="47" t="n"/>
      <c r="T698" s="47" t="n"/>
      <c r="U698" s="47" t="n"/>
      <c r="V698" s="47" t="n"/>
      <c r="W698" s="47" t="n"/>
    </row>
    <row r="699" ht="11.25" customHeight="1">
      <c r="A699" s="30" t="inlineStr">
        <is>
          <t>Itaguai</t>
        </is>
      </c>
      <c r="B699" s="30" t="n">
        <v>78892188</v>
      </c>
      <c r="C699" s="30">
        <f>"10811717000177"</f>
        <v/>
      </c>
      <c r="D699" s="30" t="inlineStr">
        <is>
          <t>VITORIA DE ITAGUAI CONFECCOES EIRELI- ME</t>
        </is>
      </c>
      <c r="E699" s="40" t="n">
        <v>0</v>
      </c>
      <c r="F699" s="40" t="n">
        <v>0</v>
      </c>
      <c r="G699" s="40" t="n">
        <v>0</v>
      </c>
      <c r="H699" s="40" t="n">
        <v>0</v>
      </c>
      <c r="I699" s="40" t="n">
        <v>0</v>
      </c>
      <c r="J699" s="40" t="n">
        <v>0</v>
      </c>
      <c r="K699" s="40" t="n">
        <v>0</v>
      </c>
      <c r="L699" s="40" t="n">
        <v>0</v>
      </c>
      <c r="M699" s="40" t="n">
        <v>0</v>
      </c>
      <c r="N699" s="40" t="n">
        <v>0</v>
      </c>
      <c r="O699" s="40" t="n">
        <v>0</v>
      </c>
      <c r="P699" s="40" t="n">
        <v>0</v>
      </c>
      <c r="Q699" s="40" t="n">
        <v>0</v>
      </c>
      <c r="R699" s="47" t="n"/>
      <c r="S699" s="47" t="n"/>
      <c r="T699" s="47" t="n"/>
      <c r="U699" s="47" t="n"/>
      <c r="V699" s="47" t="n"/>
      <c r="W699" s="47" t="n"/>
    </row>
    <row r="700" ht="11.25" customHeight="1">
      <c r="A700" s="30" t="inlineStr">
        <is>
          <t>Itaguai</t>
        </is>
      </c>
      <c r="B700" s="30" t="n">
        <v>78892200</v>
      </c>
      <c r="C700" s="30">
        <f>"07035062000188"</f>
        <v/>
      </c>
      <c r="D700" s="30" t="inlineStr">
        <is>
          <t>PANDELLI TRANSPORTES LTDA ME</t>
        </is>
      </c>
      <c r="E700" s="40" t="n">
        <v>0</v>
      </c>
      <c r="F700" s="40" t="n">
        <v>20190</v>
      </c>
      <c r="G700" s="40" t="n">
        <v>100</v>
      </c>
      <c r="H700" s="40" t="n">
        <v>0</v>
      </c>
      <c r="I700" s="46" t="n">
        <v>-100</v>
      </c>
      <c r="J700" s="40" t="n">
        <v>0</v>
      </c>
      <c r="K700" s="40" t="n">
        <v>0</v>
      </c>
      <c r="L700" s="40" t="n">
        <v>0</v>
      </c>
      <c r="M700" s="40" t="n">
        <v>0</v>
      </c>
      <c r="N700" s="40" t="n">
        <v>0</v>
      </c>
      <c r="O700" s="40" t="n">
        <v>0</v>
      </c>
      <c r="P700" s="40" t="n">
        <v>0</v>
      </c>
      <c r="Q700" s="40" t="n">
        <v>0</v>
      </c>
      <c r="R700" s="47" t="n"/>
      <c r="S700" s="47" t="n"/>
      <c r="T700" s="47" t="n"/>
      <c r="U700" s="47" t="n"/>
      <c r="V700" s="47" t="n"/>
      <c r="W700" s="47" t="n"/>
    </row>
    <row r="701" ht="11.25" customHeight="1">
      <c r="A701" s="30" t="inlineStr">
        <is>
          <t>Itaguai</t>
        </is>
      </c>
      <c r="B701" s="30" t="n">
        <v>78903449</v>
      </c>
      <c r="C701" s="30">
        <f>"08902291000387"</f>
        <v/>
      </c>
      <c r="D701" s="30" t="inlineStr">
        <is>
          <t>CSN MINERACAO S A</t>
        </is>
      </c>
      <c r="E701" s="40" t="n">
        <v>128077337.66</v>
      </c>
      <c r="F701" s="40" t="n">
        <v>296710618.1</v>
      </c>
      <c r="G701" s="40" t="n">
        <v>131.67</v>
      </c>
      <c r="H701" s="40" t="n">
        <v>1734474077.92</v>
      </c>
      <c r="I701" s="40" t="n">
        <v>484.57</v>
      </c>
      <c r="J701" s="40" t="n">
        <v>2991178647.76</v>
      </c>
      <c r="K701" s="40" t="n">
        <v>72.45</v>
      </c>
      <c r="L701" s="40" t="n">
        <v>1480732192.48</v>
      </c>
      <c r="M701" s="46" t="n">
        <v>-50.5</v>
      </c>
      <c r="N701" s="40" t="n">
        <v>2036551431.54</v>
      </c>
      <c r="O701" s="40" t="n">
        <v>37.54</v>
      </c>
      <c r="P701" s="40" t="n">
        <v>2054621169.65</v>
      </c>
      <c r="Q701" s="40" t="n">
        <v>0.89</v>
      </c>
      <c r="R701" s="47" t="n"/>
      <c r="S701" s="47" t="n"/>
      <c r="T701" s="47" t="n"/>
      <c r="U701" s="47" t="n"/>
      <c r="V701" s="47" t="n"/>
      <c r="W701" s="47" t="n"/>
    </row>
    <row r="702" ht="11.25" customHeight="1">
      <c r="A702" s="30" t="inlineStr">
        <is>
          <t>Itaguai</t>
        </is>
      </c>
      <c r="B702" s="30" t="n">
        <v>78904593</v>
      </c>
      <c r="C702" s="30">
        <f>"30006027000314"</f>
        <v/>
      </c>
      <c r="D702" s="30" t="inlineStr">
        <is>
          <t>LIDER RIO VEICULOS S A</t>
        </is>
      </c>
      <c r="E702" s="40" t="n">
        <v>917649.6899999999</v>
      </c>
      <c r="F702" s="40" t="n">
        <v>1433168.52</v>
      </c>
      <c r="G702" s="40" t="n">
        <v>56.18</v>
      </c>
      <c r="H702" s="40" t="n">
        <v>487497.37</v>
      </c>
      <c r="I702" s="46" t="n">
        <v>-65.98</v>
      </c>
      <c r="J702" s="40" t="n">
        <v>1219089.2</v>
      </c>
      <c r="K702" s="40" t="n">
        <v>150.07</v>
      </c>
      <c r="L702" s="40" t="n">
        <v>698522.8199999999</v>
      </c>
      <c r="M702" s="46" t="n">
        <v>-42.7</v>
      </c>
      <c r="N702" s="40" t="n">
        <v>0</v>
      </c>
      <c r="O702" s="46" t="n">
        <v>-100</v>
      </c>
      <c r="P702" s="40" t="n">
        <v>0</v>
      </c>
      <c r="Q702" s="40" t="n">
        <v>0</v>
      </c>
      <c r="R702" s="47" t="n"/>
      <c r="S702" s="47" t="n"/>
      <c r="T702" s="47" t="n"/>
      <c r="U702" s="47" t="n"/>
      <c r="V702" s="47" t="n"/>
      <c r="W702" s="47" t="n"/>
    </row>
    <row r="703" ht="11.25" customHeight="1">
      <c r="A703" s="30" t="inlineStr">
        <is>
          <t>Itaguai</t>
        </is>
      </c>
      <c r="B703" s="30" t="n">
        <v>78911905</v>
      </c>
      <c r="C703" s="30">
        <f>"87456562005272"</f>
        <v/>
      </c>
      <c r="D703" s="30" t="inlineStr">
        <is>
          <t>JOSAPAR JOAQUIM OLIVEIRA S A PARTICIPACOES</t>
        </is>
      </c>
      <c r="E703" s="40" t="n">
        <v>35264266.06</v>
      </c>
      <c r="F703" s="40" t="n">
        <v>35526920.86</v>
      </c>
      <c r="G703" s="40" t="n">
        <v>0.74</v>
      </c>
      <c r="H703" s="40" t="n">
        <v>32194086.32</v>
      </c>
      <c r="I703" s="46" t="n">
        <v>-9.380000000000001</v>
      </c>
      <c r="J703" s="40" t="n">
        <v>29933399.24</v>
      </c>
      <c r="K703" s="46" t="n">
        <v>-7.02</v>
      </c>
      <c r="L703" s="40" t="n">
        <v>40316807.59</v>
      </c>
      <c r="M703" s="40" t="n">
        <v>34.69</v>
      </c>
      <c r="N703" s="40" t="n">
        <v>50030850.13</v>
      </c>
      <c r="O703" s="40" t="n">
        <v>24.09</v>
      </c>
      <c r="P703" s="40" t="n">
        <v>59722075.69</v>
      </c>
      <c r="Q703" s="40" t="n">
        <v>19.37</v>
      </c>
      <c r="R703" s="47" t="n"/>
      <c r="S703" s="47" t="n"/>
      <c r="T703" s="47" t="n"/>
      <c r="U703" s="47" t="n"/>
      <c r="V703" s="47" t="n"/>
      <c r="W703" s="47" t="n"/>
    </row>
    <row r="704" ht="11.25" customHeight="1">
      <c r="A704" s="30" t="inlineStr">
        <is>
          <t>Itaguai</t>
        </is>
      </c>
      <c r="B704" s="30" t="n">
        <v>78916907</v>
      </c>
      <c r="C704" s="30">
        <f>"11358292000155"</f>
        <v/>
      </c>
      <c r="D704" s="30" t="inlineStr">
        <is>
          <t>ZIRANLOG LOGISTICA EIRELI</t>
        </is>
      </c>
      <c r="E704" s="40" t="n">
        <v>0</v>
      </c>
      <c r="F704" s="40" t="n">
        <v>0</v>
      </c>
      <c r="G704" s="40" t="n">
        <v>0</v>
      </c>
      <c r="H704" s="40" t="n">
        <v>692828.66</v>
      </c>
      <c r="I704" s="40" t="n">
        <v>100</v>
      </c>
      <c r="J704" s="40" t="n">
        <v>78860.13</v>
      </c>
      <c r="K704" s="46" t="n">
        <v>-88.62</v>
      </c>
      <c r="L704" s="40" t="n">
        <v>0</v>
      </c>
      <c r="M704" s="46" t="n">
        <v>-100</v>
      </c>
      <c r="N704" s="40" t="n">
        <v>0</v>
      </c>
      <c r="O704" s="40" t="n">
        <v>0</v>
      </c>
      <c r="P704" s="40" t="n">
        <v>0</v>
      </c>
      <c r="Q704" s="40" t="n">
        <v>0</v>
      </c>
      <c r="R704" s="47" t="n"/>
      <c r="S704" s="47" t="n"/>
      <c r="T704" s="47" t="n"/>
      <c r="U704" s="47" t="n"/>
      <c r="V704" s="47" t="n"/>
      <c r="W704" s="47" t="n"/>
    </row>
    <row r="705" ht="11.25" customHeight="1">
      <c r="A705" s="30" t="inlineStr">
        <is>
          <t>Itaguai</t>
        </is>
      </c>
      <c r="B705" s="30" t="n">
        <v>78919655</v>
      </c>
      <c r="C705" s="30">
        <f>"10925867000101"</f>
        <v/>
      </c>
      <c r="D705" s="30" t="inlineStr">
        <is>
          <t>EXPRESSO FENIX TRANSPORTES LTDA</t>
        </is>
      </c>
      <c r="E705" s="40" t="n">
        <v>0</v>
      </c>
      <c r="F705" s="40" t="n">
        <v>0</v>
      </c>
      <c r="G705" s="40" t="n">
        <v>0</v>
      </c>
      <c r="H705" s="40" t="n">
        <v>0</v>
      </c>
      <c r="I705" s="40" t="n">
        <v>0</v>
      </c>
      <c r="J705" s="40" t="n">
        <v>1650</v>
      </c>
      <c r="K705" s="40" t="n">
        <v>100</v>
      </c>
      <c r="L705" s="40" t="n">
        <v>0</v>
      </c>
      <c r="M705" s="46" t="n">
        <v>-100</v>
      </c>
      <c r="N705" s="40" t="n">
        <v>0</v>
      </c>
      <c r="O705" s="40" t="n">
        <v>0</v>
      </c>
      <c r="P705" s="40" t="n">
        <v>0</v>
      </c>
      <c r="Q705" s="40" t="n">
        <v>0</v>
      </c>
      <c r="R705" s="47" t="n"/>
      <c r="S705" s="47" t="n"/>
      <c r="T705" s="47" t="n"/>
      <c r="U705" s="47" t="n"/>
      <c r="V705" s="47" t="n"/>
      <c r="W705" s="47" t="n"/>
    </row>
    <row r="706" ht="11.25" customHeight="1">
      <c r="A706" s="30" t="inlineStr">
        <is>
          <t>Itaguai</t>
        </is>
      </c>
      <c r="B706" s="30" t="n">
        <v>78926279</v>
      </c>
      <c r="C706" s="30">
        <f>"21312434000440"</f>
        <v/>
      </c>
      <c r="D706" s="30" t="inlineStr">
        <is>
          <t>METALURGICA LORENA LTDA</t>
        </is>
      </c>
      <c r="E706" s="40" t="n">
        <v>0</v>
      </c>
      <c r="F706" s="40" t="n">
        <v>0</v>
      </c>
      <c r="G706" s="40" t="n">
        <v>0</v>
      </c>
      <c r="H706" s="40" t="n">
        <v>0</v>
      </c>
      <c r="I706" s="40" t="n">
        <v>0</v>
      </c>
      <c r="J706" s="40" t="n">
        <v>0</v>
      </c>
      <c r="K706" s="40" t="n">
        <v>0</v>
      </c>
      <c r="L706" s="40" t="n">
        <v>0</v>
      </c>
      <c r="M706" s="40" t="n">
        <v>0</v>
      </c>
      <c r="N706" s="40" t="n">
        <v>179865.6</v>
      </c>
      <c r="O706" s="40" t="n">
        <v>100</v>
      </c>
      <c r="P706" s="40" t="n">
        <v>1669972.37</v>
      </c>
      <c r="Q706" s="40" t="n">
        <v>828.46</v>
      </c>
      <c r="R706" s="47" t="n"/>
      <c r="S706" s="47" t="n"/>
      <c r="T706" s="47" t="n"/>
      <c r="U706" s="47" t="n"/>
      <c r="V706" s="47" t="n"/>
      <c r="W706" s="47" t="n"/>
    </row>
    <row r="707" ht="11.25" customHeight="1">
      <c r="A707" s="30" t="inlineStr">
        <is>
          <t>Itaguai</t>
        </is>
      </c>
      <c r="B707" s="30" t="n">
        <v>78943742</v>
      </c>
      <c r="C707" s="30">
        <f>"79942140002697"</f>
        <v/>
      </c>
      <c r="D707" s="30" t="inlineStr">
        <is>
          <t>TRANSMAGNA TRANSPORTES EIRELI</t>
        </is>
      </c>
      <c r="E707" s="40" t="n">
        <v>465.44</v>
      </c>
      <c r="F707" s="40" t="n">
        <v>0</v>
      </c>
      <c r="G707" s="46" t="n">
        <v>-100</v>
      </c>
      <c r="H707" s="40" t="n">
        <v>492.9</v>
      </c>
      <c r="I707" s="40" t="n">
        <v>100</v>
      </c>
      <c r="J707" s="40" t="n">
        <v>269.22</v>
      </c>
      <c r="K707" s="46" t="n">
        <v>-45.38</v>
      </c>
      <c r="L707" s="40" t="n">
        <v>213.93</v>
      </c>
      <c r="M707" s="46" t="n">
        <v>-20.54</v>
      </c>
      <c r="N707" s="40" t="n">
        <v>0</v>
      </c>
      <c r="O707" s="46" t="n">
        <v>-100</v>
      </c>
      <c r="P707" s="40" t="n">
        <v>0</v>
      </c>
      <c r="Q707" s="40" t="n">
        <v>0</v>
      </c>
      <c r="R707" s="47" t="n"/>
      <c r="S707" s="47" t="n"/>
      <c r="T707" s="47" t="n"/>
      <c r="U707" s="47" t="n"/>
      <c r="V707" s="47" t="n"/>
      <c r="W707" s="47" t="n"/>
    </row>
    <row r="708" ht="11.25" customHeight="1">
      <c r="A708" s="30" t="inlineStr">
        <is>
          <t>Itaguai</t>
        </is>
      </c>
      <c r="B708" s="30" t="n">
        <v>78956070</v>
      </c>
      <c r="C708" s="30">
        <f>"10992167000210"</f>
        <v/>
      </c>
      <c r="D708" s="30" t="inlineStr">
        <is>
          <t>METAR LOGISTICA LTDA</t>
        </is>
      </c>
      <c r="E708" s="40" t="n">
        <v>0</v>
      </c>
      <c r="F708" s="40" t="n">
        <v>0</v>
      </c>
      <c r="G708" s="40" t="n">
        <v>0</v>
      </c>
      <c r="H708" s="40" t="n">
        <v>0</v>
      </c>
      <c r="I708" s="40" t="n">
        <v>0</v>
      </c>
      <c r="J708" s="40" t="n">
        <v>473.7</v>
      </c>
      <c r="K708" s="40" t="n">
        <v>100</v>
      </c>
      <c r="L708" s="40" t="n">
        <v>960.24</v>
      </c>
      <c r="M708" s="40" t="n">
        <v>102.71</v>
      </c>
      <c r="N708" s="40" t="n">
        <v>871.97</v>
      </c>
      <c r="O708" s="46" t="n">
        <v>-9.19</v>
      </c>
      <c r="P708" s="40" t="n">
        <v>0</v>
      </c>
      <c r="Q708" s="46" t="n">
        <v>-100</v>
      </c>
      <c r="R708" s="47" t="n"/>
      <c r="S708" s="47" t="n"/>
      <c r="T708" s="47" t="n"/>
      <c r="U708" s="47" t="n"/>
      <c r="V708" s="47" t="n"/>
      <c r="W708" s="47" t="n"/>
    </row>
    <row r="709" ht="11.25" customHeight="1">
      <c r="A709" s="30" t="inlineStr">
        <is>
          <t>Itaguai</t>
        </is>
      </c>
      <c r="B709" s="30" t="n">
        <v>78961104</v>
      </c>
      <c r="C709" s="30">
        <f>"11426289000393"</f>
        <v/>
      </c>
      <c r="D709" s="30" t="inlineStr">
        <is>
          <t>ITVA RIO MOTOS LTDA</t>
        </is>
      </c>
      <c r="E709" s="40" t="n">
        <v>0</v>
      </c>
      <c r="F709" s="40" t="n">
        <v>0</v>
      </c>
      <c r="G709" s="40" t="n">
        <v>0</v>
      </c>
      <c r="H709" s="40" t="n">
        <v>0</v>
      </c>
      <c r="I709" s="40" t="n">
        <v>0</v>
      </c>
      <c r="J709" s="40" t="n">
        <v>0</v>
      </c>
      <c r="K709" s="40" t="n">
        <v>0</v>
      </c>
      <c r="L709" s="40" t="n">
        <v>0</v>
      </c>
      <c r="M709" s="40" t="n">
        <v>0</v>
      </c>
      <c r="N709" s="40" t="n">
        <v>0</v>
      </c>
      <c r="O709" s="40" t="n">
        <v>0</v>
      </c>
      <c r="P709" s="40" t="n">
        <v>0</v>
      </c>
      <c r="Q709" s="40" t="n">
        <v>0</v>
      </c>
      <c r="R709" s="47" t="n"/>
      <c r="S709" s="47" t="n"/>
      <c r="T709" s="47" t="n"/>
      <c r="U709" s="47" t="n"/>
      <c r="V709" s="47" t="n"/>
      <c r="W709" s="47" t="n"/>
    </row>
    <row r="710" ht="11.25" customHeight="1">
      <c r="A710" s="30" t="inlineStr">
        <is>
          <t>Itaguai</t>
        </is>
      </c>
      <c r="B710" s="30" t="n">
        <v>78964332</v>
      </c>
      <c r="C710" s="30">
        <f>"11304945000202"</f>
        <v/>
      </c>
      <c r="D710" s="30" t="inlineStr">
        <is>
          <t>MERCADO SAO FERNANDO 10 LTDA ME</t>
        </is>
      </c>
      <c r="E710" s="40" t="n">
        <v>1470258.32</v>
      </c>
      <c r="F710" s="40" t="n">
        <v>86834.8</v>
      </c>
      <c r="G710" s="46" t="n">
        <v>-94.09</v>
      </c>
      <c r="H710" s="40" t="n">
        <v>2889148.39</v>
      </c>
      <c r="I710" s="40" t="n">
        <v>3227.18</v>
      </c>
      <c r="J710" s="40" t="n">
        <v>7299490.19</v>
      </c>
      <c r="K710" s="40" t="n">
        <v>152.65</v>
      </c>
      <c r="L710" s="40" t="n">
        <v>9357805.199999999</v>
      </c>
      <c r="M710" s="40" t="n">
        <v>28.2</v>
      </c>
      <c r="N710" s="40" t="n">
        <v>10334895.18</v>
      </c>
      <c r="O710" s="40" t="n">
        <v>10.44</v>
      </c>
      <c r="P710" s="40" t="n">
        <v>11031010.1</v>
      </c>
      <c r="Q710" s="40" t="n">
        <v>6.74</v>
      </c>
      <c r="R710" s="47" t="n"/>
      <c r="S710" s="47" t="n"/>
      <c r="T710" s="47" t="n"/>
      <c r="U710" s="47" t="n"/>
      <c r="V710" s="47" t="n"/>
      <c r="W710" s="47" t="n"/>
    </row>
    <row r="711" ht="11.25" customHeight="1">
      <c r="A711" s="30" t="inlineStr">
        <is>
          <t>Itaguai</t>
        </is>
      </c>
      <c r="B711" s="30" t="n">
        <v>78968362</v>
      </c>
      <c r="C711" s="30">
        <f>"11503663000145"</f>
        <v/>
      </c>
      <c r="D711" s="30" t="inlineStr">
        <is>
          <t>PORTO VEICULOS DE ITAGUAI - EIRELI</t>
        </is>
      </c>
      <c r="E711" s="40" t="n">
        <v>0</v>
      </c>
      <c r="F711" s="40" t="n">
        <v>0</v>
      </c>
      <c r="G711" s="40" t="n">
        <v>0</v>
      </c>
      <c r="H711" s="40" t="n">
        <v>0</v>
      </c>
      <c r="I711" s="40" t="n">
        <v>0</v>
      </c>
      <c r="J711" s="40" t="n">
        <v>0</v>
      </c>
      <c r="K711" s="40" t="n">
        <v>0</v>
      </c>
      <c r="L711" s="40" t="n">
        <v>0</v>
      </c>
      <c r="M711" s="40" t="n">
        <v>0</v>
      </c>
      <c r="N711" s="40" t="n">
        <v>0</v>
      </c>
      <c r="O711" s="40" t="n">
        <v>0</v>
      </c>
      <c r="P711" s="40" t="n">
        <v>0</v>
      </c>
      <c r="Q711" s="40" t="n">
        <v>0</v>
      </c>
      <c r="R711" s="47" t="n"/>
      <c r="S711" s="47" t="n"/>
      <c r="T711" s="47" t="n"/>
      <c r="U711" s="47" t="n"/>
      <c r="V711" s="47" t="n"/>
      <c r="W711" s="47" t="n"/>
    </row>
    <row r="712" ht="11.25" customHeight="1">
      <c r="A712" s="30" t="inlineStr">
        <is>
          <t>Itaguai</t>
        </is>
      </c>
      <c r="B712" s="30" t="n">
        <v>78976217</v>
      </c>
      <c r="C712" s="30">
        <f>"11505209000123"</f>
        <v/>
      </c>
      <c r="D712" s="30" t="inlineStr">
        <is>
          <t>M L J TRIGO 117 COMERCIO DE ALIMENTOS LTDA ME</t>
        </is>
      </c>
      <c r="E712" s="40" t="n">
        <v>0</v>
      </c>
      <c r="F712" s="40" t="n">
        <v>0</v>
      </c>
      <c r="G712" s="40" t="n">
        <v>0</v>
      </c>
      <c r="H712" s="40" t="n">
        <v>0</v>
      </c>
      <c r="I712" s="40" t="n">
        <v>0</v>
      </c>
      <c r="J712" s="40" t="n">
        <v>0</v>
      </c>
      <c r="K712" s="40" t="n">
        <v>0</v>
      </c>
      <c r="L712" s="40" t="n">
        <v>0</v>
      </c>
      <c r="M712" s="40" t="n">
        <v>0</v>
      </c>
      <c r="N712" s="40" t="n">
        <v>0</v>
      </c>
      <c r="O712" s="40" t="n">
        <v>0</v>
      </c>
      <c r="P712" s="40" t="n">
        <v>0</v>
      </c>
      <c r="Q712" s="40" t="n">
        <v>0</v>
      </c>
      <c r="R712" s="47" t="n"/>
      <c r="S712" s="47" t="n"/>
      <c r="T712" s="47" t="n"/>
      <c r="U712" s="47" t="n"/>
      <c r="V712" s="47" t="n"/>
      <c r="W712" s="47" t="n"/>
    </row>
    <row r="713" ht="11.25" customHeight="1">
      <c r="A713" s="30" t="inlineStr">
        <is>
          <t>Itaguai</t>
        </is>
      </c>
      <c r="B713" s="30" t="n">
        <v>78978902</v>
      </c>
      <c r="C713" s="30">
        <f>"02448002000254"</f>
        <v/>
      </c>
      <c r="D713" s="30" t="inlineStr">
        <is>
          <t>GP TRANSPORTES E SERVIÇOS EIRELI</t>
        </is>
      </c>
      <c r="E713" s="40" t="n">
        <v>0</v>
      </c>
      <c r="F713" s="40" t="n">
        <v>0</v>
      </c>
      <c r="G713" s="40" t="n">
        <v>0</v>
      </c>
      <c r="H713" s="40" t="n">
        <v>195.49</v>
      </c>
      <c r="I713" s="40" t="n">
        <v>100</v>
      </c>
      <c r="J713" s="40" t="n">
        <v>0</v>
      </c>
      <c r="K713" s="46" t="n">
        <v>-100</v>
      </c>
      <c r="L713" s="40" t="n">
        <v>43.97</v>
      </c>
      <c r="M713" s="40" t="n">
        <v>100</v>
      </c>
      <c r="N713" s="40" t="n">
        <v>0</v>
      </c>
      <c r="O713" s="46" t="n">
        <v>-100</v>
      </c>
      <c r="P713" s="40" t="n">
        <v>0</v>
      </c>
      <c r="Q713" s="40" t="n">
        <v>0</v>
      </c>
      <c r="R713" s="47" t="n"/>
      <c r="S713" s="47" t="n"/>
      <c r="T713" s="47" t="n"/>
      <c r="U713" s="47" t="n"/>
      <c r="V713" s="47" t="n"/>
      <c r="W713" s="47" t="n"/>
    </row>
    <row r="714" ht="11.25" customHeight="1">
      <c r="A714" s="30" t="inlineStr">
        <is>
          <t>Itaguai</t>
        </is>
      </c>
      <c r="B714" s="30" t="n">
        <v>78982926</v>
      </c>
      <c r="C714" s="30">
        <f>"03505701000170"</f>
        <v/>
      </c>
      <c r="D714" s="30" t="inlineStr">
        <is>
          <t>J I DISTRIBUIDORA DE BEBIDAS E DESCARTAVEIS LTDA ME</t>
        </is>
      </c>
      <c r="E714" s="40" t="n">
        <v>0</v>
      </c>
      <c r="F714" s="40" t="n">
        <v>0</v>
      </c>
      <c r="G714" s="40" t="n">
        <v>0</v>
      </c>
      <c r="H714" s="40" t="n">
        <v>0</v>
      </c>
      <c r="I714" s="40" t="n">
        <v>0</v>
      </c>
      <c r="J714" s="40" t="n">
        <v>0</v>
      </c>
      <c r="K714" s="40" t="n">
        <v>0</v>
      </c>
      <c r="L714" s="40" t="n">
        <v>0</v>
      </c>
      <c r="M714" s="40" t="n">
        <v>0</v>
      </c>
      <c r="N714" s="40" t="n">
        <v>0</v>
      </c>
      <c r="O714" s="40" t="n">
        <v>0</v>
      </c>
      <c r="P714" s="40" t="n">
        <v>0</v>
      </c>
      <c r="Q714" s="40" t="n">
        <v>0</v>
      </c>
      <c r="R714" s="47" t="n"/>
      <c r="S714" s="47" t="n"/>
      <c r="T714" s="47" t="n"/>
      <c r="U714" s="47" t="n"/>
      <c r="V714" s="47" t="n"/>
      <c r="W714" s="47" t="n"/>
    </row>
    <row r="715" ht="11.25" customHeight="1">
      <c r="A715" s="30" t="inlineStr">
        <is>
          <t>Itaguai</t>
        </is>
      </c>
      <c r="B715" s="30" t="n">
        <v>78991437</v>
      </c>
      <c r="C715" s="30">
        <f>"11497152000168"</f>
        <v/>
      </c>
      <c r="D715" s="30" t="inlineStr">
        <is>
          <t>GRILL-RIO PRODUTOS ALIMENTÍCIOS EIRELI</t>
        </is>
      </c>
      <c r="E715" s="40" t="n">
        <v>1036415.84</v>
      </c>
      <c r="F715" s="40" t="n">
        <v>671362.86</v>
      </c>
      <c r="G715" s="46" t="n">
        <v>-35.22</v>
      </c>
      <c r="H715" s="40" t="n">
        <v>738711.73</v>
      </c>
      <c r="I715" s="40" t="n">
        <v>10.03</v>
      </c>
      <c r="J715" s="40" t="n">
        <v>0</v>
      </c>
      <c r="K715" s="46" t="n">
        <v>-100</v>
      </c>
      <c r="L715" s="40" t="n">
        <v>0</v>
      </c>
      <c r="M715" s="40" t="n">
        <v>0</v>
      </c>
      <c r="N715" s="40" t="n">
        <v>0</v>
      </c>
      <c r="O715" s="40" t="n">
        <v>0</v>
      </c>
      <c r="P715" s="40" t="n">
        <v>0</v>
      </c>
      <c r="Q715" s="40" t="n">
        <v>0</v>
      </c>
      <c r="R715" s="47" t="n"/>
      <c r="S715" s="47" t="n"/>
      <c r="T715" s="47" t="n"/>
      <c r="U715" s="47" t="n"/>
      <c r="V715" s="47" t="n"/>
      <c r="W715" s="47" t="n"/>
    </row>
    <row r="716" ht="11.25" customHeight="1">
      <c r="A716" s="30" t="inlineStr">
        <is>
          <t>Itaguai</t>
        </is>
      </c>
      <c r="B716" s="30" t="n">
        <v>78991674</v>
      </c>
      <c r="C716" s="30">
        <f>"01778972000336"</f>
        <v/>
      </c>
      <c r="D716" s="30" t="inlineStr">
        <is>
          <t>AMERICA NET LTDA</t>
        </is>
      </c>
      <c r="E716" s="40" t="n">
        <v>0</v>
      </c>
      <c r="F716" s="40" t="n">
        <v>0</v>
      </c>
      <c r="G716" s="40" t="n">
        <v>0</v>
      </c>
      <c r="H716" s="40" t="n">
        <v>0</v>
      </c>
      <c r="I716" s="40" t="n">
        <v>0</v>
      </c>
      <c r="J716" s="40" t="n">
        <v>0</v>
      </c>
      <c r="K716" s="40" t="n">
        <v>0</v>
      </c>
      <c r="L716" s="40" t="n">
        <v>1472.01</v>
      </c>
      <c r="M716" s="40" t="n">
        <v>100</v>
      </c>
      <c r="N716" s="40" t="n">
        <v>2385.19</v>
      </c>
      <c r="O716" s="40" t="n">
        <v>62.04</v>
      </c>
      <c r="P716" s="40" t="n">
        <v>0</v>
      </c>
      <c r="Q716" s="46" t="n">
        <v>-100</v>
      </c>
      <c r="R716" s="47" t="n"/>
      <c r="S716" s="47" t="n"/>
      <c r="T716" s="47" t="n"/>
      <c r="U716" s="47" t="n"/>
      <c r="V716" s="47" t="n"/>
      <c r="W716" s="47" t="n"/>
    </row>
    <row r="717" ht="11.25" customHeight="1">
      <c r="A717" s="30" t="inlineStr">
        <is>
          <t>Itaguai</t>
        </is>
      </c>
      <c r="B717" s="30" t="n">
        <v>78998121</v>
      </c>
      <c r="C717" s="30">
        <f>"01489122000407"</f>
        <v/>
      </c>
      <c r="D717" s="30" t="inlineStr">
        <is>
          <t>TJ4 TRANSPORTES EIRELI</t>
        </is>
      </c>
      <c r="E717" s="40" t="n">
        <v>0</v>
      </c>
      <c r="F717" s="40" t="n">
        <v>0</v>
      </c>
      <c r="G717" s="40" t="n">
        <v>0</v>
      </c>
      <c r="H717" s="40" t="n">
        <v>0</v>
      </c>
      <c r="I717" s="40" t="n">
        <v>0</v>
      </c>
      <c r="J717" s="40" t="n">
        <v>0</v>
      </c>
      <c r="K717" s="40" t="n">
        <v>0</v>
      </c>
      <c r="L717" s="40" t="n">
        <v>684.02</v>
      </c>
      <c r="M717" s="40" t="n">
        <v>100</v>
      </c>
      <c r="N717" s="40" t="n">
        <v>1770.13</v>
      </c>
      <c r="O717" s="40" t="n">
        <v>158.78</v>
      </c>
      <c r="P717" s="40" t="n">
        <v>705.41</v>
      </c>
      <c r="Q717" s="46" t="n">
        <v>-60.15</v>
      </c>
      <c r="R717" s="47" t="n"/>
      <c r="S717" s="47" t="n"/>
      <c r="T717" s="47" t="n"/>
      <c r="U717" s="47" t="n"/>
      <c r="V717" s="47" t="n"/>
      <c r="W717" s="47" t="n"/>
    </row>
    <row r="718" ht="11.25" customHeight="1">
      <c r="A718" s="30" t="inlineStr">
        <is>
          <t>Itaguai</t>
        </is>
      </c>
      <c r="B718" s="30" t="n">
        <v>79010570</v>
      </c>
      <c r="C718" s="30">
        <f>"09256422000105"</f>
        <v/>
      </c>
      <c r="D718" s="30" t="inlineStr">
        <is>
          <t>MP TRANSPORTES, MONTAGENS INDUSTRIAIS, REFORMA E MANUTENÇÃO EIRELI</t>
        </is>
      </c>
      <c r="E718" s="40" t="n">
        <v>0</v>
      </c>
      <c r="F718" s="40" t="n">
        <v>0</v>
      </c>
      <c r="G718" s="40" t="n">
        <v>0</v>
      </c>
      <c r="H718" s="40" t="n">
        <v>0</v>
      </c>
      <c r="I718" s="40" t="n">
        <v>0</v>
      </c>
      <c r="J718" s="40" t="n">
        <v>0</v>
      </c>
      <c r="K718" s="40" t="n">
        <v>0</v>
      </c>
      <c r="L718" s="40" t="n">
        <v>0</v>
      </c>
      <c r="M718" s="40" t="n">
        <v>0</v>
      </c>
      <c r="N718" s="40" t="n">
        <v>0</v>
      </c>
      <c r="O718" s="40" t="n">
        <v>0</v>
      </c>
      <c r="P718" s="40" t="n">
        <v>0</v>
      </c>
      <c r="Q718" s="40" t="n">
        <v>0</v>
      </c>
      <c r="R718" s="47" t="n"/>
      <c r="S718" s="47" t="n"/>
      <c r="T718" s="47" t="n"/>
      <c r="U718" s="47" t="n"/>
      <c r="V718" s="47" t="n"/>
      <c r="W718" s="47" t="n"/>
    </row>
    <row r="719" ht="11.25" customHeight="1">
      <c r="A719" s="30" t="inlineStr">
        <is>
          <t>Itaguai</t>
        </is>
      </c>
      <c r="B719" s="30" t="n">
        <v>79010685</v>
      </c>
      <c r="C719" s="30">
        <f>"05944440000110"</f>
        <v/>
      </c>
      <c r="D719" s="30" t="inlineStr">
        <is>
          <t>BRENDA COMERCIO E SERVICOS LTDA ME</t>
        </is>
      </c>
      <c r="E719" s="40" t="n">
        <v>0</v>
      </c>
      <c r="F719" s="40" t="n">
        <v>0</v>
      </c>
      <c r="G719" s="40" t="n">
        <v>0</v>
      </c>
      <c r="H719" s="40" t="n">
        <v>0</v>
      </c>
      <c r="I719" s="40" t="n">
        <v>0</v>
      </c>
      <c r="J719" s="40" t="n">
        <v>0</v>
      </c>
      <c r="K719" s="40" t="n">
        <v>0</v>
      </c>
      <c r="L719" s="40" t="n">
        <v>0</v>
      </c>
      <c r="M719" s="40" t="n">
        <v>0</v>
      </c>
      <c r="N719" s="40" t="n">
        <v>0</v>
      </c>
      <c r="O719" s="40" t="n">
        <v>0</v>
      </c>
      <c r="P719" s="40" t="n">
        <v>0</v>
      </c>
      <c r="Q719" s="40" t="n">
        <v>0</v>
      </c>
      <c r="R719" s="47" t="n"/>
      <c r="S719" s="47" t="n"/>
      <c r="T719" s="47" t="n"/>
      <c r="U719" s="47" t="n"/>
      <c r="V719" s="47" t="n"/>
      <c r="W719" s="47" t="n"/>
    </row>
    <row r="720" ht="11.25" customHeight="1">
      <c r="A720" s="30" t="inlineStr">
        <is>
          <t>Itaguai</t>
        </is>
      </c>
      <c r="B720" s="30" t="n">
        <v>79010731</v>
      </c>
      <c r="C720" s="30">
        <f>"03961747000102"</f>
        <v/>
      </c>
      <c r="D720" s="30" t="inlineStr">
        <is>
          <t>C S F J M IDIOMAS LTDA ME</t>
        </is>
      </c>
      <c r="E720" s="40" t="n">
        <v>0</v>
      </c>
      <c r="F720" s="40" t="n">
        <v>0</v>
      </c>
      <c r="G720" s="40" t="n">
        <v>0</v>
      </c>
      <c r="H720" s="40" t="n">
        <v>0</v>
      </c>
      <c r="I720" s="40" t="n">
        <v>0</v>
      </c>
      <c r="J720" s="40" t="n">
        <v>0</v>
      </c>
      <c r="K720" s="40" t="n">
        <v>0</v>
      </c>
      <c r="L720" s="40" t="n">
        <v>0</v>
      </c>
      <c r="M720" s="40" t="n">
        <v>0</v>
      </c>
      <c r="N720" s="40" t="n">
        <v>0</v>
      </c>
      <c r="O720" s="40" t="n">
        <v>0</v>
      </c>
      <c r="P720" s="40" t="n">
        <v>0</v>
      </c>
      <c r="Q720" s="40" t="n">
        <v>0</v>
      </c>
      <c r="R720" s="47" t="n"/>
      <c r="S720" s="47" t="n"/>
      <c r="T720" s="47" t="n"/>
      <c r="U720" s="47" t="n"/>
      <c r="V720" s="47" t="n"/>
      <c r="W720" s="47" t="n"/>
    </row>
    <row r="721" ht="11.25" customHeight="1">
      <c r="A721" s="30" t="inlineStr">
        <is>
          <t>Itaguai</t>
        </is>
      </c>
      <c r="B721" s="30" t="n">
        <v>79017329</v>
      </c>
      <c r="C721" s="30">
        <f>"00747102000256"</f>
        <v/>
      </c>
      <c r="D721" s="30" t="inlineStr">
        <is>
          <t>AREAL DO FUTURO EXTRACAO DE AREIA LTDA EPP</t>
        </is>
      </c>
      <c r="E721" s="40" t="n">
        <v>0</v>
      </c>
      <c r="F721" s="40" t="n">
        <v>0</v>
      </c>
      <c r="G721" s="40" t="n">
        <v>0</v>
      </c>
      <c r="H721" s="40" t="n">
        <v>0</v>
      </c>
      <c r="I721" s="40" t="n">
        <v>0</v>
      </c>
      <c r="J721" s="40" t="n">
        <v>0</v>
      </c>
      <c r="K721" s="40" t="n">
        <v>0</v>
      </c>
      <c r="L721" s="40" t="n">
        <v>0</v>
      </c>
      <c r="M721" s="40" t="n">
        <v>0</v>
      </c>
      <c r="N721" s="40" t="n">
        <v>0</v>
      </c>
      <c r="O721" s="40" t="n">
        <v>0</v>
      </c>
      <c r="P721" s="40" t="n">
        <v>0</v>
      </c>
      <c r="Q721" s="40" t="n">
        <v>0</v>
      </c>
      <c r="R721" s="47" t="n"/>
      <c r="S721" s="47" t="n"/>
      <c r="T721" s="47" t="n"/>
      <c r="U721" s="47" t="n"/>
      <c r="V721" s="47" t="n"/>
      <c r="W721" s="47" t="n"/>
    </row>
    <row r="722" ht="11.25" customHeight="1">
      <c r="A722" s="30" t="inlineStr">
        <is>
          <t>Itaguai</t>
        </is>
      </c>
      <c r="B722" s="30" t="n">
        <v>79020354</v>
      </c>
      <c r="C722" s="30">
        <f>"06236452000234"</f>
        <v/>
      </c>
      <c r="D722" s="30" t="inlineStr">
        <is>
          <t>PH 2009 RECICLAGEM LTDA</t>
        </is>
      </c>
      <c r="E722" s="40" t="n">
        <v>0</v>
      </c>
      <c r="F722" s="40" t="n">
        <v>0</v>
      </c>
      <c r="G722" s="40" t="n">
        <v>0</v>
      </c>
      <c r="H722" s="40" t="n">
        <v>0</v>
      </c>
      <c r="I722" s="40" t="n">
        <v>0</v>
      </c>
      <c r="J722" s="40" t="n">
        <v>0</v>
      </c>
      <c r="K722" s="40" t="n">
        <v>0</v>
      </c>
      <c r="L722" s="40" t="n">
        <v>0</v>
      </c>
      <c r="M722" s="40" t="n">
        <v>0</v>
      </c>
      <c r="N722" s="40" t="n">
        <v>0</v>
      </c>
      <c r="O722" s="40" t="n">
        <v>0</v>
      </c>
      <c r="P722" s="40" t="n">
        <v>28140</v>
      </c>
      <c r="Q722" s="40" t="n">
        <v>100</v>
      </c>
      <c r="R722" s="47" t="n"/>
      <c r="S722" s="47" t="n"/>
      <c r="T722" s="47" t="n"/>
      <c r="U722" s="47" t="n"/>
      <c r="V722" s="47" t="n"/>
      <c r="W722" s="47" t="n"/>
    </row>
    <row r="723" ht="11.25" customHeight="1">
      <c r="A723" s="30" t="inlineStr">
        <is>
          <t>Itaguai</t>
        </is>
      </c>
      <c r="B723" s="30" t="n">
        <v>79024554</v>
      </c>
      <c r="C723" s="30">
        <f>"78531000105"</f>
        <v/>
      </c>
      <c r="D723" s="30" t="inlineStr">
        <is>
          <t>MTECH LOCAÇÕES E SERVIÇOS LTDA</t>
        </is>
      </c>
      <c r="E723" s="40" t="n">
        <v>0</v>
      </c>
      <c r="F723" s="40" t="n">
        <v>0</v>
      </c>
      <c r="G723" s="40" t="n">
        <v>0</v>
      </c>
      <c r="H723" s="40" t="n">
        <v>0</v>
      </c>
      <c r="I723" s="40" t="n">
        <v>0</v>
      </c>
      <c r="J723" s="40" t="n">
        <v>0</v>
      </c>
      <c r="K723" s="40" t="n">
        <v>0</v>
      </c>
      <c r="L723" s="40" t="n">
        <v>0</v>
      </c>
      <c r="M723" s="40" t="n">
        <v>0</v>
      </c>
      <c r="N723" s="40" t="n">
        <v>0</v>
      </c>
      <c r="O723" s="40" t="n">
        <v>0</v>
      </c>
      <c r="P723" s="40" t="n">
        <v>0</v>
      </c>
      <c r="Q723" s="40" t="n">
        <v>0</v>
      </c>
      <c r="R723" s="47" t="n"/>
      <c r="S723" s="47" t="n"/>
      <c r="T723" s="47" t="n"/>
      <c r="U723" s="47" t="n"/>
      <c r="V723" s="47" t="n"/>
      <c r="W723" s="47" t="n"/>
    </row>
    <row r="724" ht="11.25" customHeight="1">
      <c r="A724" s="30" t="inlineStr">
        <is>
          <t>Itaguai</t>
        </is>
      </c>
      <c r="B724" s="30" t="n">
        <v>79024597</v>
      </c>
      <c r="C724" s="30">
        <f>"01491379000142"</f>
        <v/>
      </c>
      <c r="D724" s="30" t="inlineStr">
        <is>
          <t>CORBO PIZZAS E SERVICOS LTDA ME</t>
        </is>
      </c>
      <c r="E724" s="40" t="n">
        <v>21984.56</v>
      </c>
      <c r="F724" s="40" t="n">
        <v>0</v>
      </c>
      <c r="G724" s="46" t="n">
        <v>-100</v>
      </c>
      <c r="H724" s="40" t="n">
        <v>0</v>
      </c>
      <c r="I724" s="40" t="n">
        <v>0</v>
      </c>
      <c r="J724" s="40" t="n">
        <v>0</v>
      </c>
      <c r="K724" s="40" t="n">
        <v>0</v>
      </c>
      <c r="L724" s="40" t="n">
        <v>0</v>
      </c>
      <c r="M724" s="40" t="n">
        <v>0</v>
      </c>
      <c r="N724" s="40" t="n">
        <v>0</v>
      </c>
      <c r="O724" s="40" t="n">
        <v>0</v>
      </c>
      <c r="P724" s="40" t="n">
        <v>0</v>
      </c>
      <c r="Q724" s="40" t="n">
        <v>0</v>
      </c>
      <c r="R724" s="47" t="n"/>
      <c r="S724" s="47" t="n"/>
      <c r="T724" s="47" t="n"/>
      <c r="U724" s="47" t="n"/>
      <c r="V724" s="47" t="n"/>
      <c r="W724" s="47" t="n"/>
    </row>
    <row r="725" ht="11.25" customHeight="1">
      <c r="A725" s="30" t="inlineStr">
        <is>
          <t>Itaguai</t>
        </is>
      </c>
      <c r="B725" s="30" t="n">
        <v>79027782</v>
      </c>
      <c r="C725" s="30">
        <f>"66702325001600"</f>
        <v/>
      </c>
      <c r="D725" s="30" t="inlineStr">
        <is>
          <t>TORA LOGISTICA ARMAZENS E TERMINAIS MULTIMODAIS S/A</t>
        </is>
      </c>
      <c r="E725" s="40" t="n">
        <v>0</v>
      </c>
      <c r="F725" s="40" t="n">
        <v>0</v>
      </c>
      <c r="G725" s="40" t="n">
        <v>0</v>
      </c>
      <c r="H725" s="40" t="n">
        <v>0</v>
      </c>
      <c r="I725" s="40" t="n">
        <v>0</v>
      </c>
      <c r="J725" s="40" t="n">
        <v>0</v>
      </c>
      <c r="K725" s="40" t="n">
        <v>0</v>
      </c>
      <c r="L725" s="40" t="n">
        <v>0</v>
      </c>
      <c r="M725" s="40" t="n">
        <v>0</v>
      </c>
      <c r="N725" s="40" t="n">
        <v>0</v>
      </c>
      <c r="O725" s="40" t="n">
        <v>0</v>
      </c>
      <c r="P725" s="40" t="n">
        <v>0</v>
      </c>
      <c r="Q725" s="40" t="n">
        <v>0</v>
      </c>
      <c r="R725" s="47" t="n"/>
      <c r="S725" s="47" t="n"/>
      <c r="T725" s="47" t="n"/>
      <c r="U725" s="47" t="n"/>
      <c r="V725" s="47" t="n"/>
      <c r="W725" s="47" t="n"/>
    </row>
    <row r="726" ht="11.25" customHeight="1">
      <c r="A726" s="30" t="inlineStr">
        <is>
          <t>Itaguai</t>
        </is>
      </c>
      <c r="B726" s="30" t="n">
        <v>79029076</v>
      </c>
      <c r="C726" s="30">
        <f>"11824706000194"</f>
        <v/>
      </c>
      <c r="D726" s="30" t="inlineStr">
        <is>
          <t>MENOS E MAIS INDUSTRIA E COMERCIO DE ROUPAS LTDA ME</t>
        </is>
      </c>
      <c r="E726" s="40" t="n">
        <v>0</v>
      </c>
      <c r="F726" s="40" t="n">
        <v>0</v>
      </c>
      <c r="G726" s="40" t="n">
        <v>0</v>
      </c>
      <c r="H726" s="40" t="n">
        <v>0</v>
      </c>
      <c r="I726" s="40" t="n">
        <v>0</v>
      </c>
      <c r="J726" s="40" t="n">
        <v>0</v>
      </c>
      <c r="K726" s="40" t="n">
        <v>0</v>
      </c>
      <c r="L726" s="40" t="n">
        <v>0</v>
      </c>
      <c r="M726" s="40" t="n">
        <v>0</v>
      </c>
      <c r="N726" s="40" t="n">
        <v>0</v>
      </c>
      <c r="O726" s="40" t="n">
        <v>0</v>
      </c>
      <c r="P726" s="40" t="n">
        <v>0</v>
      </c>
      <c r="Q726" s="40" t="n">
        <v>0</v>
      </c>
      <c r="R726" s="47" t="n"/>
      <c r="S726" s="47" t="n"/>
      <c r="T726" s="47" t="n"/>
      <c r="U726" s="47" t="n"/>
      <c r="V726" s="47" t="n"/>
      <c r="W726" s="47" t="n"/>
    </row>
    <row r="727" ht="11.25" customHeight="1">
      <c r="A727" s="30" t="inlineStr">
        <is>
          <t>Itaguai</t>
        </is>
      </c>
      <c r="B727" s="30" t="n">
        <v>79032557</v>
      </c>
      <c r="C727" s="30">
        <f>"33014556056906"</f>
        <v/>
      </c>
      <c r="D727" s="30" t="inlineStr">
        <is>
          <t>LOJAS AMERICANAS S.A.</t>
        </is>
      </c>
      <c r="E727" s="40" t="n">
        <v>2428163.09</v>
      </c>
      <c r="F727" s="40" t="n">
        <v>2208804.75</v>
      </c>
      <c r="G727" s="46" t="n">
        <v>-9.029999999999999</v>
      </c>
      <c r="H727" s="40" t="n">
        <v>2163553.11</v>
      </c>
      <c r="I727" s="46" t="n">
        <v>-2.05</v>
      </c>
      <c r="J727" s="40" t="n">
        <v>1520579.29</v>
      </c>
      <c r="K727" s="46" t="n">
        <v>-29.72</v>
      </c>
      <c r="L727" s="40" t="n">
        <v>0</v>
      </c>
      <c r="M727" s="46" t="n">
        <v>-100</v>
      </c>
      <c r="N727" s="40" t="n">
        <v>0</v>
      </c>
      <c r="O727" s="40" t="n">
        <v>0</v>
      </c>
      <c r="P727" s="40" t="n">
        <v>0</v>
      </c>
      <c r="Q727" s="40" t="n">
        <v>0</v>
      </c>
      <c r="R727" s="47" t="n"/>
      <c r="S727" s="47" t="n"/>
      <c r="T727" s="47" t="n"/>
      <c r="U727" s="47" t="n"/>
      <c r="V727" s="47" t="n"/>
      <c r="W727" s="47" t="n"/>
    </row>
    <row r="728" ht="11.25" customHeight="1">
      <c r="A728" s="30" t="inlineStr">
        <is>
          <t>Itaguai</t>
        </is>
      </c>
      <c r="B728" s="30" t="n">
        <v>79038849</v>
      </c>
      <c r="C728" s="30">
        <f>"11395515000154"</f>
        <v/>
      </c>
      <c r="D728" s="30" t="inlineStr">
        <is>
          <t>RODRIGUES E CORREDOR COMERCIO E CONFECCAO DE ROUPAS LTDA ME</t>
        </is>
      </c>
      <c r="E728" s="40" t="n">
        <v>0</v>
      </c>
      <c r="F728" s="40" t="n">
        <v>0</v>
      </c>
      <c r="G728" s="40" t="n">
        <v>0</v>
      </c>
      <c r="H728" s="40" t="n">
        <v>0</v>
      </c>
      <c r="I728" s="40" t="n">
        <v>0</v>
      </c>
      <c r="J728" s="40" t="n">
        <v>0</v>
      </c>
      <c r="K728" s="40" t="n">
        <v>0</v>
      </c>
      <c r="L728" s="40" t="n">
        <v>0</v>
      </c>
      <c r="M728" s="40" t="n">
        <v>0</v>
      </c>
      <c r="N728" s="40" t="n">
        <v>0</v>
      </c>
      <c r="O728" s="40" t="n">
        <v>0</v>
      </c>
      <c r="P728" s="40" t="n">
        <v>0</v>
      </c>
      <c r="Q728" s="40" t="n">
        <v>0</v>
      </c>
      <c r="R728" s="47" t="n"/>
      <c r="S728" s="47" t="n"/>
      <c r="T728" s="47" t="n"/>
      <c r="U728" s="47" t="n"/>
      <c r="V728" s="47" t="n"/>
      <c r="W728" s="47" t="n"/>
    </row>
    <row r="729" ht="11.25" customHeight="1">
      <c r="A729" s="30" t="inlineStr">
        <is>
          <t>Itaguai</t>
        </is>
      </c>
      <c r="B729" s="30" t="n">
        <v>79038857</v>
      </c>
      <c r="C729" s="30">
        <f>"11836157000178"</f>
        <v/>
      </c>
      <c r="D729" s="30" t="inlineStr">
        <is>
          <t>DROGARIA SANTOS &amp; PIRES LTDA ME</t>
        </is>
      </c>
      <c r="E729" s="40" t="n">
        <v>0</v>
      </c>
      <c r="F729" s="40" t="n">
        <v>0</v>
      </c>
      <c r="G729" s="40" t="n">
        <v>0</v>
      </c>
      <c r="H729" s="40" t="n">
        <v>137047.87</v>
      </c>
      <c r="I729" s="40" t="n">
        <v>100</v>
      </c>
      <c r="J729" s="40" t="n">
        <v>62822.07</v>
      </c>
      <c r="K729" s="46" t="n">
        <v>-54.16</v>
      </c>
      <c r="L729" s="40" t="n">
        <v>22957.18</v>
      </c>
      <c r="M729" s="46" t="n">
        <v>-63.46</v>
      </c>
      <c r="N729" s="40" t="n">
        <v>0</v>
      </c>
      <c r="O729" s="46" t="n">
        <v>-100</v>
      </c>
      <c r="P729" s="40" t="n">
        <v>0</v>
      </c>
      <c r="Q729" s="40" t="n">
        <v>0</v>
      </c>
      <c r="R729" s="47" t="n"/>
      <c r="S729" s="47" t="n"/>
      <c r="T729" s="47" t="n"/>
      <c r="U729" s="47" t="n"/>
      <c r="V729" s="47" t="n"/>
      <c r="W729" s="47" t="n"/>
    </row>
    <row r="730" ht="11.25" customHeight="1">
      <c r="A730" s="30" t="inlineStr">
        <is>
          <t>Itaguai</t>
        </is>
      </c>
      <c r="B730" s="30" t="n">
        <v>79041777</v>
      </c>
      <c r="C730" s="30">
        <f>"11884885000155"</f>
        <v/>
      </c>
      <c r="D730" s="30" t="inlineStr">
        <is>
          <t>DROGARIA SILVA DE ITAGUAI LTDA EPP</t>
        </is>
      </c>
      <c r="E730" s="40" t="n">
        <v>0</v>
      </c>
      <c r="F730" s="40" t="n">
        <v>3050861.54</v>
      </c>
      <c r="G730" s="40" t="n">
        <v>100</v>
      </c>
      <c r="H730" s="40" t="n">
        <v>876355.33</v>
      </c>
      <c r="I730" s="46" t="n">
        <v>-71.28</v>
      </c>
      <c r="J730" s="40" t="n">
        <v>484807.47</v>
      </c>
      <c r="K730" s="46" t="n">
        <v>-44.68</v>
      </c>
      <c r="L730" s="40" t="n">
        <v>1357204.39</v>
      </c>
      <c r="M730" s="40" t="n">
        <v>179.95</v>
      </c>
      <c r="N730" s="40" t="n">
        <v>0</v>
      </c>
      <c r="O730" s="46" t="n">
        <v>-100</v>
      </c>
      <c r="P730" s="40" t="n">
        <v>0</v>
      </c>
      <c r="Q730" s="40" t="n">
        <v>0</v>
      </c>
      <c r="R730" s="47" t="n"/>
      <c r="S730" s="47" t="n"/>
      <c r="T730" s="47" t="n"/>
      <c r="U730" s="47" t="n"/>
      <c r="V730" s="47" t="n"/>
      <c r="W730" s="47" t="n"/>
    </row>
    <row r="731" ht="11.25" customHeight="1">
      <c r="A731" s="30" t="inlineStr">
        <is>
          <t>Itaguai</t>
        </is>
      </c>
      <c r="B731" s="30" t="n">
        <v>79065668</v>
      </c>
      <c r="C731" s="30">
        <f>"33355207000723"</f>
        <v/>
      </c>
      <c r="D731" s="30" t="inlineStr">
        <is>
          <t>DROGARIA SANTO AGOSTINHO LTDA</t>
        </is>
      </c>
      <c r="E731" s="40" t="n">
        <v>2139121.49</v>
      </c>
      <c r="F731" s="40" t="n">
        <v>2061933.91</v>
      </c>
      <c r="G731" s="46" t="n">
        <v>-3.61</v>
      </c>
      <c r="H731" s="40" t="n">
        <v>2640874.76</v>
      </c>
      <c r="I731" s="40" t="n">
        <v>28.08</v>
      </c>
      <c r="J731" s="40" t="n">
        <v>2943865.63</v>
      </c>
      <c r="K731" s="40" t="n">
        <v>11.47</v>
      </c>
      <c r="L731" s="40" t="n">
        <v>4270421.26</v>
      </c>
      <c r="M731" s="40" t="n">
        <v>45.06</v>
      </c>
      <c r="N731" s="40" t="n">
        <v>4123002.79</v>
      </c>
      <c r="O731" s="46" t="n">
        <v>-3.45</v>
      </c>
      <c r="P731" s="40" t="n">
        <v>3500380.39</v>
      </c>
      <c r="Q731" s="46" t="n">
        <v>-15.1</v>
      </c>
      <c r="R731" s="47" t="n"/>
      <c r="S731" s="47" t="n"/>
      <c r="T731" s="47" t="n"/>
      <c r="U731" s="47" t="n"/>
      <c r="V731" s="47" t="n"/>
      <c r="W731" s="47" t="n"/>
    </row>
    <row r="732" ht="11.25" customHeight="1">
      <c r="A732" s="30" t="inlineStr">
        <is>
          <t>Itaguai</t>
        </is>
      </c>
      <c r="B732" s="30" t="n">
        <v>79065684</v>
      </c>
      <c r="C732" s="30">
        <f>"33355207000804"</f>
        <v/>
      </c>
      <c r="D732" s="30" t="inlineStr">
        <is>
          <t>DROGARIA SANTO AGOSTINHO LTDA</t>
        </is>
      </c>
      <c r="E732" s="40" t="n">
        <v>1087151.31</v>
      </c>
      <c r="F732" s="40" t="n">
        <v>1034790.82</v>
      </c>
      <c r="G732" s="46" t="n">
        <v>-4.82</v>
      </c>
      <c r="H732" s="40" t="n">
        <v>1199083.79</v>
      </c>
      <c r="I732" s="40" t="n">
        <v>15.88</v>
      </c>
      <c r="J732" s="40" t="n">
        <v>982706.03</v>
      </c>
      <c r="K732" s="46" t="n">
        <v>-18.05</v>
      </c>
      <c r="L732" s="40" t="n">
        <v>1696314.2</v>
      </c>
      <c r="M732" s="40" t="n">
        <v>72.62</v>
      </c>
      <c r="N732" s="40" t="n">
        <v>1275212.49</v>
      </c>
      <c r="O732" s="46" t="n">
        <v>-24.82</v>
      </c>
      <c r="P732" s="40" t="n">
        <v>1297470.43</v>
      </c>
      <c r="Q732" s="40" t="n">
        <v>1.75</v>
      </c>
      <c r="R732" s="47" t="n"/>
      <c r="S732" s="47" t="n"/>
      <c r="T732" s="47" t="n"/>
      <c r="U732" s="47" t="n"/>
      <c r="V732" s="47" t="n"/>
      <c r="W732" s="47" t="n"/>
    </row>
    <row r="733" ht="11.25" customHeight="1">
      <c r="A733" s="30" t="inlineStr">
        <is>
          <t>Itaguai</t>
        </is>
      </c>
      <c r="B733" s="30" t="n">
        <v>79091111</v>
      </c>
      <c r="C733" s="30">
        <f>"12104312000124"</f>
        <v/>
      </c>
      <c r="D733" s="30" t="inlineStr">
        <is>
          <t>DROGA-FARMA RIO DE ITAGUAI LTDA - ME</t>
        </is>
      </c>
      <c r="E733" s="40" t="n">
        <v>0</v>
      </c>
      <c r="F733" s="40" t="n">
        <v>0</v>
      </c>
      <c r="G733" s="40" t="n">
        <v>0</v>
      </c>
      <c r="H733" s="40" t="n">
        <v>0</v>
      </c>
      <c r="I733" s="40" t="n">
        <v>0</v>
      </c>
      <c r="J733" s="40" t="n">
        <v>0</v>
      </c>
      <c r="K733" s="40" t="n">
        <v>0</v>
      </c>
      <c r="L733" s="40" t="n">
        <v>0</v>
      </c>
      <c r="M733" s="40" t="n">
        <v>0</v>
      </c>
      <c r="N733" s="40" t="n">
        <v>2888123.64</v>
      </c>
      <c r="O733" s="40" t="n">
        <v>100</v>
      </c>
      <c r="P733" s="40" t="n">
        <v>0</v>
      </c>
      <c r="Q733" s="46" t="n">
        <v>-100</v>
      </c>
      <c r="R733" s="47" t="n"/>
      <c r="S733" s="47" t="n"/>
      <c r="T733" s="47" t="n"/>
      <c r="U733" s="47" t="n"/>
      <c r="V733" s="47" t="n"/>
      <c r="W733" s="47" t="n"/>
    </row>
    <row r="734" ht="11.25" customHeight="1">
      <c r="A734" s="30" t="inlineStr">
        <is>
          <t>Itaguai</t>
        </is>
      </c>
      <c r="B734" s="30" t="n">
        <v>79092959</v>
      </c>
      <c r="C734" s="30">
        <f>"08955576000203"</f>
        <v/>
      </c>
      <c r="D734" s="30" t="inlineStr">
        <is>
          <t>WINSTON TRANSPORTES LTDA</t>
        </is>
      </c>
      <c r="E734" s="40" t="n">
        <v>2000</v>
      </c>
      <c r="F734" s="40" t="n">
        <v>0</v>
      </c>
      <c r="G734" s="46" t="n">
        <v>-100</v>
      </c>
      <c r="H734" s="40" t="n">
        <v>0</v>
      </c>
      <c r="I734" s="40" t="n">
        <v>0</v>
      </c>
      <c r="J734" s="40" t="n">
        <v>0</v>
      </c>
      <c r="K734" s="40" t="n">
        <v>0</v>
      </c>
      <c r="L734" s="40" t="n">
        <v>0</v>
      </c>
      <c r="M734" s="40" t="n">
        <v>0</v>
      </c>
      <c r="N734" s="40" t="n">
        <v>0</v>
      </c>
      <c r="O734" s="40" t="n">
        <v>0</v>
      </c>
      <c r="P734" s="40" t="n">
        <v>0</v>
      </c>
      <c r="Q734" s="40" t="n">
        <v>0</v>
      </c>
      <c r="R734" s="47" t="n"/>
      <c r="S734" s="47" t="n"/>
      <c r="T734" s="47" t="n"/>
      <c r="U734" s="47" t="n"/>
      <c r="V734" s="47" t="n"/>
      <c r="W734" s="47" t="n"/>
    </row>
    <row r="735" ht="11.25" customHeight="1">
      <c r="A735" s="30" t="inlineStr">
        <is>
          <t>Itaguai</t>
        </is>
      </c>
      <c r="B735" s="30" t="n">
        <v>79094714</v>
      </c>
      <c r="C735" s="30">
        <f>"45242914024039"</f>
        <v/>
      </c>
      <c r="D735" s="30" t="inlineStr">
        <is>
          <t>C&amp;A MODAS S.A.</t>
        </is>
      </c>
      <c r="E735" s="40" t="n">
        <v>4674316.46</v>
      </c>
      <c r="F735" s="40" t="n">
        <v>4602988.7</v>
      </c>
      <c r="G735" s="46" t="n">
        <v>-1.53</v>
      </c>
      <c r="H735" s="40" t="n">
        <v>6055412.71</v>
      </c>
      <c r="I735" s="40" t="n">
        <v>31.55</v>
      </c>
      <c r="J735" s="40" t="n">
        <v>3277691.47</v>
      </c>
      <c r="K735" s="46" t="n">
        <v>-45.87</v>
      </c>
      <c r="L735" s="40" t="n">
        <v>4854639</v>
      </c>
      <c r="M735" s="40" t="n">
        <v>48.11</v>
      </c>
      <c r="N735" s="40" t="n">
        <v>4757819.62</v>
      </c>
      <c r="O735" s="46" t="n">
        <v>-1.99</v>
      </c>
      <c r="P735" s="40" t="n">
        <v>5918244.79</v>
      </c>
      <c r="Q735" s="40" t="n">
        <v>24.39</v>
      </c>
      <c r="R735" s="47" t="n"/>
      <c r="S735" s="47" t="n"/>
      <c r="T735" s="47" t="n"/>
      <c r="U735" s="47" t="n"/>
      <c r="V735" s="47" t="n"/>
      <c r="W735" s="47" t="n"/>
    </row>
    <row r="736" ht="11.25" customHeight="1">
      <c r="A736" s="30" t="inlineStr">
        <is>
          <t>Itaguai</t>
        </is>
      </c>
      <c r="B736" s="30" t="n">
        <v>79095346</v>
      </c>
      <c r="C736" s="30">
        <f>"20520862004069"</f>
        <v/>
      </c>
      <c r="D736" s="30" t="inlineStr">
        <is>
          <t>A R G LTDA</t>
        </is>
      </c>
      <c r="E736" s="40" t="n">
        <v>0</v>
      </c>
      <c r="F736" s="40" t="n">
        <v>0</v>
      </c>
      <c r="G736" s="40" t="n">
        <v>0</v>
      </c>
      <c r="H736" s="40" t="n">
        <v>0</v>
      </c>
      <c r="I736" s="40" t="n">
        <v>0</v>
      </c>
      <c r="J736" s="40" t="n">
        <v>0</v>
      </c>
      <c r="K736" s="40" t="n">
        <v>0</v>
      </c>
      <c r="L736" s="40" t="n">
        <v>0</v>
      </c>
      <c r="M736" s="40" t="n">
        <v>0</v>
      </c>
      <c r="N736" s="40" t="n">
        <v>0</v>
      </c>
      <c r="O736" s="40" t="n">
        <v>0</v>
      </c>
      <c r="P736" s="40" t="n">
        <v>0</v>
      </c>
      <c r="Q736" s="40" t="n">
        <v>0</v>
      </c>
      <c r="R736" s="47" t="n"/>
      <c r="S736" s="47" t="n"/>
      <c r="T736" s="47" t="n"/>
      <c r="U736" s="47" t="n"/>
      <c r="V736" s="47" t="n"/>
      <c r="W736" s="47" t="n"/>
    </row>
    <row r="737" ht="11.25" customHeight="1">
      <c r="A737" s="30" t="inlineStr">
        <is>
          <t>Itaguai</t>
        </is>
      </c>
      <c r="B737" s="30" t="n">
        <v>79095524</v>
      </c>
      <c r="C737" s="30">
        <f>"06979577000688"</f>
        <v/>
      </c>
      <c r="D737" s="30" t="inlineStr">
        <is>
          <t>JC THEDIN TRANSPORTES LTDA</t>
        </is>
      </c>
      <c r="E737" s="40" t="n">
        <v>581.04</v>
      </c>
      <c r="F737" s="40" t="n">
        <v>0</v>
      </c>
      <c r="G737" s="46" t="n">
        <v>-100</v>
      </c>
      <c r="H737" s="40" t="n">
        <v>920.51</v>
      </c>
      <c r="I737" s="40" t="n">
        <v>100</v>
      </c>
      <c r="J737" s="40" t="n">
        <v>1313.15</v>
      </c>
      <c r="K737" s="40" t="n">
        <v>42.65</v>
      </c>
      <c r="L737" s="40" t="n">
        <v>887.61</v>
      </c>
      <c r="M737" s="46" t="n">
        <v>-32.41</v>
      </c>
      <c r="N737" s="40" t="n">
        <v>0</v>
      </c>
      <c r="O737" s="46" t="n">
        <v>-100</v>
      </c>
      <c r="P737" s="40" t="n">
        <v>338.68</v>
      </c>
      <c r="Q737" s="40" t="n">
        <v>100</v>
      </c>
      <c r="R737" s="47" t="n"/>
      <c r="S737" s="47" t="n"/>
      <c r="T737" s="47" t="n"/>
      <c r="U737" s="47" t="n"/>
      <c r="V737" s="47" t="n"/>
      <c r="W737" s="47" t="n"/>
    </row>
    <row r="738" ht="11.25" customHeight="1">
      <c r="A738" s="30" t="inlineStr">
        <is>
          <t>Itaguai</t>
        </is>
      </c>
      <c r="B738" s="30" t="n">
        <v>79111678</v>
      </c>
      <c r="C738" s="30">
        <f>"60157377000504"</f>
        <v/>
      </c>
      <c r="D738" s="30" t="inlineStr">
        <is>
          <t>TRANS WELL S EXPRESSO RODOVIARIO EIRELI</t>
        </is>
      </c>
      <c r="E738" s="40" t="n">
        <v>0</v>
      </c>
      <c r="F738" s="40" t="n">
        <v>5673.2</v>
      </c>
      <c r="G738" s="40" t="n">
        <v>100</v>
      </c>
      <c r="H738" s="40" t="n">
        <v>82.58</v>
      </c>
      <c r="I738" s="46" t="n">
        <v>-98.54000000000001</v>
      </c>
      <c r="J738" s="40" t="n">
        <v>75.02</v>
      </c>
      <c r="K738" s="46" t="n">
        <v>-9.15</v>
      </c>
      <c r="L738" s="40" t="n">
        <v>395.03</v>
      </c>
      <c r="M738" s="40" t="n">
        <v>426.57</v>
      </c>
      <c r="N738" s="40" t="n">
        <v>823.21</v>
      </c>
      <c r="O738" s="40" t="n">
        <v>108.39</v>
      </c>
      <c r="P738" s="40" t="n">
        <v>193.03</v>
      </c>
      <c r="Q738" s="46" t="n">
        <v>-76.55</v>
      </c>
      <c r="R738" s="47" t="n"/>
      <c r="S738" s="47" t="n"/>
      <c r="T738" s="47" t="n"/>
      <c r="U738" s="47" t="n"/>
      <c r="V738" s="47" t="n"/>
      <c r="W738" s="47" t="n"/>
    </row>
    <row r="739" ht="11.25" customHeight="1">
      <c r="A739" s="30" t="inlineStr">
        <is>
          <t>Itaguai</t>
        </is>
      </c>
      <c r="B739" s="30" t="n">
        <v>79113166</v>
      </c>
      <c r="C739" s="30">
        <f>"12220768000150"</f>
        <v/>
      </c>
      <c r="D739" s="30" t="inlineStr">
        <is>
          <t>PB2 RESTAURANTE E PIZZARIA EIRELI</t>
        </is>
      </c>
      <c r="E739" s="40" t="n">
        <v>0</v>
      </c>
      <c r="F739" s="40" t="n">
        <v>0</v>
      </c>
      <c r="G739" s="40" t="n">
        <v>0</v>
      </c>
      <c r="H739" s="40" t="n">
        <v>0</v>
      </c>
      <c r="I739" s="40" t="n">
        <v>0</v>
      </c>
      <c r="J739" s="40" t="n">
        <v>0</v>
      </c>
      <c r="K739" s="40" t="n">
        <v>0</v>
      </c>
      <c r="L739" s="40" t="n">
        <v>0</v>
      </c>
      <c r="M739" s="40" t="n">
        <v>0</v>
      </c>
      <c r="N739" s="40" t="n">
        <v>0</v>
      </c>
      <c r="O739" s="40" t="n">
        <v>0</v>
      </c>
      <c r="P739" s="40" t="n">
        <v>0</v>
      </c>
      <c r="Q739" s="40" t="n">
        <v>0</v>
      </c>
      <c r="R739" s="47" t="n"/>
      <c r="S739" s="47" t="n"/>
      <c r="T739" s="47" t="n"/>
      <c r="U739" s="47" t="n"/>
      <c r="V739" s="47" t="n"/>
      <c r="W739" s="47" t="n"/>
    </row>
    <row r="740" ht="11.25" customHeight="1">
      <c r="A740" s="30" t="inlineStr">
        <is>
          <t>Itaguai</t>
        </is>
      </c>
      <c r="B740" s="30" t="n">
        <v>79114693</v>
      </c>
      <c r="C740" s="30">
        <f>"60541240000559"</f>
        <v/>
      </c>
      <c r="D740" s="30" t="inlineStr">
        <is>
          <t>TECNOLOG TRANSPORTES RODO AEREO E LOGISTICA LTDA</t>
        </is>
      </c>
      <c r="E740" s="40" t="n">
        <v>0</v>
      </c>
      <c r="F740" s="40" t="n">
        <v>0</v>
      </c>
      <c r="G740" s="40" t="n">
        <v>0</v>
      </c>
      <c r="H740" s="40" t="n">
        <v>0</v>
      </c>
      <c r="I740" s="40" t="n">
        <v>0</v>
      </c>
      <c r="J740" s="40" t="n">
        <v>0</v>
      </c>
      <c r="K740" s="40" t="n">
        <v>0</v>
      </c>
      <c r="L740" s="40" t="n">
        <v>1501.94</v>
      </c>
      <c r="M740" s="40" t="n">
        <v>100</v>
      </c>
      <c r="N740" s="40" t="n">
        <v>0</v>
      </c>
      <c r="O740" s="46" t="n">
        <v>-100</v>
      </c>
      <c r="P740" s="40" t="n">
        <v>0</v>
      </c>
      <c r="Q740" s="40" t="n">
        <v>0</v>
      </c>
      <c r="R740" s="47" t="n"/>
      <c r="S740" s="47" t="n"/>
      <c r="T740" s="47" t="n"/>
      <c r="U740" s="47" t="n"/>
      <c r="V740" s="47" t="n"/>
      <c r="W740" s="47" t="n"/>
    </row>
    <row r="741" ht="11.25" customHeight="1">
      <c r="A741" s="30" t="inlineStr">
        <is>
          <t>Itaguai</t>
        </is>
      </c>
      <c r="B741" s="30" t="n">
        <v>79121320</v>
      </c>
      <c r="C741" s="30">
        <f>"12186855000138"</f>
        <v/>
      </c>
      <c r="D741" s="30" t="inlineStr">
        <is>
          <t>K LOG TRANSPORTES EIRELI</t>
        </is>
      </c>
      <c r="E741" s="40" t="n">
        <v>0</v>
      </c>
      <c r="F741" s="40" t="n">
        <v>124210.46</v>
      </c>
      <c r="G741" s="40" t="n">
        <v>100</v>
      </c>
      <c r="H741" s="40" t="n">
        <v>691239.36</v>
      </c>
      <c r="I741" s="40" t="n">
        <v>456.51</v>
      </c>
      <c r="J741" s="40" t="n">
        <v>306351.19</v>
      </c>
      <c r="K741" s="46" t="n">
        <v>-55.68</v>
      </c>
      <c r="L741" s="40" t="n">
        <v>93885.14</v>
      </c>
      <c r="M741" s="46" t="n">
        <v>-69.34999999999999</v>
      </c>
      <c r="N741" s="40" t="n">
        <v>0</v>
      </c>
      <c r="O741" s="46" t="n">
        <v>-100</v>
      </c>
      <c r="P741" s="40" t="n">
        <v>0</v>
      </c>
      <c r="Q741" s="40" t="n">
        <v>0</v>
      </c>
      <c r="R741" s="47" t="n"/>
      <c r="S741" s="47" t="n"/>
      <c r="T741" s="47" t="n"/>
      <c r="U741" s="47" t="n"/>
      <c r="V741" s="47" t="n"/>
      <c r="W741" s="47" t="n"/>
    </row>
    <row r="742" ht="11.25" customHeight="1">
      <c r="A742" s="30" t="inlineStr">
        <is>
          <t>Itaguai</t>
        </is>
      </c>
      <c r="B742" s="30" t="n">
        <v>79121800</v>
      </c>
      <c r="C742" s="30">
        <f>"05593147000237"</f>
        <v/>
      </c>
      <c r="D742" s="30" t="inlineStr">
        <is>
          <t>VELTEN LOGISTICA E TRANSPORTE LTDA EPP</t>
        </is>
      </c>
      <c r="E742" s="40" t="n">
        <v>3.51</v>
      </c>
      <c r="F742" s="40" t="n">
        <v>0</v>
      </c>
      <c r="G742" s="46" t="n">
        <v>-100</v>
      </c>
      <c r="H742" s="40" t="n">
        <v>0</v>
      </c>
      <c r="I742" s="40" t="n">
        <v>0</v>
      </c>
      <c r="J742" s="40" t="n">
        <v>0</v>
      </c>
      <c r="K742" s="40" t="n">
        <v>0</v>
      </c>
      <c r="L742" s="40" t="n">
        <v>0</v>
      </c>
      <c r="M742" s="40" t="n">
        <v>0</v>
      </c>
      <c r="N742" s="40" t="n">
        <v>0</v>
      </c>
      <c r="O742" s="40" t="n">
        <v>0</v>
      </c>
      <c r="P742" s="40" t="n">
        <v>0</v>
      </c>
      <c r="Q742" s="40" t="n">
        <v>0</v>
      </c>
      <c r="R742" s="47" t="n"/>
      <c r="S742" s="47" t="n"/>
      <c r="T742" s="47" t="n"/>
      <c r="U742" s="47" t="n"/>
      <c r="V742" s="47" t="n"/>
      <c r="W742" s="47" t="n"/>
    </row>
    <row r="743" ht="11.25" customHeight="1">
      <c r="A743" s="30" t="inlineStr">
        <is>
          <t>Itaguai</t>
        </is>
      </c>
      <c r="B743" s="30" t="n">
        <v>79123927</v>
      </c>
      <c r="C743" s="30">
        <f>"12137130000150"</f>
        <v/>
      </c>
      <c r="D743" s="30" t="inlineStr">
        <is>
          <t>REINO VEGETAL PLANTAS E JARDINS LTDA ME</t>
        </is>
      </c>
      <c r="E743" s="40" t="n">
        <v>0</v>
      </c>
      <c r="F743" s="40" t="n">
        <v>0</v>
      </c>
      <c r="G743" s="40" t="n">
        <v>0</v>
      </c>
      <c r="H743" s="40" t="n">
        <v>0</v>
      </c>
      <c r="I743" s="40" t="n">
        <v>0</v>
      </c>
      <c r="J743" s="40" t="n">
        <v>0</v>
      </c>
      <c r="K743" s="40" t="n">
        <v>0</v>
      </c>
      <c r="L743" s="40" t="n">
        <v>0</v>
      </c>
      <c r="M743" s="40" t="n">
        <v>0</v>
      </c>
      <c r="N743" s="40" t="n">
        <v>0</v>
      </c>
      <c r="O743" s="40" t="n">
        <v>0</v>
      </c>
      <c r="P743" s="40" t="n">
        <v>0</v>
      </c>
      <c r="Q743" s="40" t="n">
        <v>0</v>
      </c>
      <c r="R743" s="47" t="n"/>
      <c r="S743" s="47" t="n"/>
      <c r="T743" s="47" t="n"/>
      <c r="U743" s="47" t="n"/>
      <c r="V743" s="47" t="n"/>
      <c r="W743" s="47" t="n"/>
    </row>
    <row r="744" ht="11.25" customHeight="1">
      <c r="A744" s="30" t="inlineStr">
        <is>
          <t>Itaguai</t>
        </is>
      </c>
      <c r="B744" s="30" t="n">
        <v>79130508</v>
      </c>
      <c r="C744" s="30">
        <f>"12330142000104"</f>
        <v/>
      </c>
      <c r="D744" s="30" t="inlineStr">
        <is>
          <t>MABA V MANIPULACAO FARMACEUTICA EIRELI EPP</t>
        </is>
      </c>
      <c r="E744" s="40" t="n">
        <v>0</v>
      </c>
      <c r="F744" s="40" t="n">
        <v>0</v>
      </c>
      <c r="G744" s="40" t="n">
        <v>0</v>
      </c>
      <c r="H744" s="40" t="n">
        <v>0</v>
      </c>
      <c r="I744" s="40" t="n">
        <v>0</v>
      </c>
      <c r="J744" s="40" t="n">
        <v>0</v>
      </c>
      <c r="K744" s="40" t="n">
        <v>0</v>
      </c>
      <c r="L744" s="40" t="n">
        <v>0</v>
      </c>
      <c r="M744" s="40" t="n">
        <v>0</v>
      </c>
      <c r="N744" s="40" t="n">
        <v>61739.18</v>
      </c>
      <c r="O744" s="40" t="n">
        <v>100</v>
      </c>
      <c r="P744" s="40" t="n">
        <v>0</v>
      </c>
      <c r="Q744" s="46" t="n">
        <v>-100</v>
      </c>
      <c r="R744" s="47" t="n"/>
      <c r="S744" s="47" t="n"/>
      <c r="T744" s="47" t="n"/>
      <c r="U744" s="47" t="n"/>
      <c r="V744" s="47" t="n"/>
      <c r="W744" s="47" t="n"/>
    </row>
    <row r="745" ht="11.25" customHeight="1">
      <c r="A745" s="30" t="inlineStr">
        <is>
          <t>Itaguai</t>
        </is>
      </c>
      <c r="B745" s="30" t="n">
        <v>79133108</v>
      </c>
      <c r="C745" s="30">
        <f>"11682198000157"</f>
        <v/>
      </c>
      <c r="D745" s="30" t="inlineStr">
        <is>
          <t>TRANSMAGNOLOG SERVICOS LOGISTICOS LTDA</t>
        </is>
      </c>
      <c r="E745" s="40" t="n">
        <v>285304.47</v>
      </c>
      <c r="F745" s="40" t="n">
        <v>0</v>
      </c>
      <c r="G745" s="46" t="n">
        <v>-100</v>
      </c>
      <c r="H745" s="40" t="n">
        <v>0</v>
      </c>
      <c r="I745" s="40" t="n">
        <v>0</v>
      </c>
      <c r="J745" s="40" t="n">
        <v>0</v>
      </c>
      <c r="K745" s="40" t="n">
        <v>0</v>
      </c>
      <c r="L745" s="40" t="n">
        <v>0</v>
      </c>
      <c r="M745" s="40" t="n">
        <v>0</v>
      </c>
      <c r="N745" s="40" t="n">
        <v>0</v>
      </c>
      <c r="O745" s="40" t="n">
        <v>0</v>
      </c>
      <c r="P745" s="40" t="n">
        <v>0</v>
      </c>
      <c r="Q745" s="40" t="n">
        <v>0</v>
      </c>
      <c r="R745" s="47" t="n"/>
      <c r="S745" s="47" t="n"/>
      <c r="T745" s="47" t="n"/>
      <c r="U745" s="47" t="n"/>
      <c r="V745" s="47" t="n"/>
      <c r="W745" s="47" t="n"/>
    </row>
    <row r="746" ht="11.25" customHeight="1">
      <c r="A746" s="30" t="inlineStr">
        <is>
          <t>Itaguai</t>
        </is>
      </c>
      <c r="B746" s="30" t="n">
        <v>79142166</v>
      </c>
      <c r="C746" s="30">
        <f>"12334748000100"</f>
        <v/>
      </c>
      <c r="D746" s="30" t="inlineStr">
        <is>
          <t>DEVOC COMERCIO DE ALIMENTOS LTDA</t>
        </is>
      </c>
      <c r="E746" s="40" t="n">
        <v>3745019.11</v>
      </c>
      <c r="F746" s="40" t="n">
        <v>4110531.57</v>
      </c>
      <c r="G746" s="40" t="n">
        <v>9.76</v>
      </c>
      <c r="H746" s="40" t="n">
        <v>2553699.95</v>
      </c>
      <c r="I746" s="46" t="n">
        <v>-37.87</v>
      </c>
      <c r="J746" s="40" t="n">
        <v>3997332.54</v>
      </c>
      <c r="K746" s="40" t="n">
        <v>56.53</v>
      </c>
      <c r="L746" s="40" t="n">
        <v>5014741.75</v>
      </c>
      <c r="M746" s="40" t="n">
        <v>25.45</v>
      </c>
      <c r="N746" s="40" t="n">
        <v>6229497.74</v>
      </c>
      <c r="O746" s="40" t="n">
        <v>24.22</v>
      </c>
      <c r="P746" s="40" t="n">
        <v>6796153.45</v>
      </c>
      <c r="Q746" s="40" t="n">
        <v>9.1</v>
      </c>
      <c r="R746" s="47" t="n"/>
      <c r="S746" s="47" t="n"/>
      <c r="T746" s="47" t="n"/>
      <c r="U746" s="47" t="n"/>
      <c r="V746" s="47" t="n"/>
      <c r="W746" s="47" t="n"/>
    </row>
    <row r="747" ht="11.25" customHeight="1">
      <c r="A747" s="30" t="inlineStr">
        <is>
          <t>Itaguai</t>
        </is>
      </c>
      <c r="B747" s="30" t="n">
        <v>79145866</v>
      </c>
      <c r="C747" s="30">
        <f>"12382566000104"</f>
        <v/>
      </c>
      <c r="D747" s="30" t="inlineStr">
        <is>
          <t>BOTIMIX LTDA EPP</t>
        </is>
      </c>
      <c r="E747" s="40" t="n">
        <v>468425.33</v>
      </c>
      <c r="F747" s="40" t="n">
        <v>269887.99</v>
      </c>
      <c r="G747" s="46" t="n">
        <v>-42.38</v>
      </c>
      <c r="H747" s="40" t="n">
        <v>248380.61</v>
      </c>
      <c r="I747" s="46" t="n">
        <v>-7.97</v>
      </c>
      <c r="J747" s="40" t="n">
        <v>0</v>
      </c>
      <c r="K747" s="46" t="n">
        <v>-100</v>
      </c>
      <c r="L747" s="40" t="n">
        <v>0</v>
      </c>
      <c r="M747" s="40" t="n">
        <v>0</v>
      </c>
      <c r="N747" s="40" t="n">
        <v>0</v>
      </c>
      <c r="O747" s="40" t="n">
        <v>0</v>
      </c>
      <c r="P747" s="40" t="n">
        <v>0</v>
      </c>
      <c r="Q747" s="40" t="n">
        <v>0</v>
      </c>
      <c r="R747" s="47" t="n"/>
      <c r="S747" s="47" t="n"/>
      <c r="T747" s="47" t="n"/>
      <c r="U747" s="47" t="n"/>
      <c r="V747" s="47" t="n"/>
      <c r="W747" s="47" t="n"/>
    </row>
    <row r="748" ht="11.25" customHeight="1">
      <c r="A748" s="30" t="inlineStr">
        <is>
          <t>Itaguai</t>
        </is>
      </c>
      <c r="B748" s="30" t="n">
        <v>79145963</v>
      </c>
      <c r="C748" s="30">
        <f>"12382533000164"</f>
        <v/>
      </c>
      <c r="D748" s="30" t="inlineStr">
        <is>
          <t>LU BOTICA LTDA EPP</t>
        </is>
      </c>
      <c r="E748" s="40" t="n">
        <v>400076.28</v>
      </c>
      <c r="F748" s="40" t="n">
        <v>387285.56</v>
      </c>
      <c r="G748" s="46" t="n">
        <v>-3.2</v>
      </c>
      <c r="H748" s="40" t="n">
        <v>378575.66</v>
      </c>
      <c r="I748" s="46" t="n">
        <v>-2.25</v>
      </c>
      <c r="J748" s="40" t="n">
        <v>362223.74</v>
      </c>
      <c r="K748" s="46" t="n">
        <v>-4.32</v>
      </c>
      <c r="L748" s="40" t="n">
        <v>410352.2</v>
      </c>
      <c r="M748" s="40" t="n">
        <v>13.29</v>
      </c>
      <c r="N748" s="40" t="n">
        <v>539818.02</v>
      </c>
      <c r="O748" s="40" t="n">
        <v>31.55</v>
      </c>
      <c r="P748" s="40" t="n">
        <v>507621.04</v>
      </c>
      <c r="Q748" s="46" t="n">
        <v>-5.96</v>
      </c>
      <c r="R748" s="47" t="n"/>
      <c r="S748" s="47" t="n"/>
      <c r="T748" s="47" t="n"/>
      <c r="U748" s="47" t="n"/>
      <c r="V748" s="47" t="n"/>
      <c r="W748" s="47" t="n"/>
    </row>
    <row r="749" ht="11.25" customHeight="1">
      <c r="A749" s="30" t="inlineStr">
        <is>
          <t>Itaguai</t>
        </is>
      </c>
      <c r="B749" s="30" t="n">
        <v>79146641</v>
      </c>
      <c r="C749" s="30">
        <f>"60960473001304"</f>
        <v/>
      </c>
      <c r="D749" s="30" t="inlineStr">
        <is>
          <t>RODOGARCIA TRANSPORTES RODOVIARIOS LTDA</t>
        </is>
      </c>
      <c r="E749" s="40" t="n">
        <v>0</v>
      </c>
      <c r="F749" s="40" t="n">
        <v>0</v>
      </c>
      <c r="G749" s="40" t="n">
        <v>0</v>
      </c>
      <c r="H749" s="40" t="n">
        <v>0</v>
      </c>
      <c r="I749" s="40" t="n">
        <v>0</v>
      </c>
      <c r="J749" s="40" t="n">
        <v>0</v>
      </c>
      <c r="K749" s="40" t="n">
        <v>0</v>
      </c>
      <c r="L749" s="40" t="n">
        <v>0</v>
      </c>
      <c r="M749" s="40" t="n">
        <v>0</v>
      </c>
      <c r="N749" s="40" t="n">
        <v>0</v>
      </c>
      <c r="O749" s="40" t="n">
        <v>0</v>
      </c>
      <c r="P749" s="40" t="n">
        <v>435.94</v>
      </c>
      <c r="Q749" s="40" t="n">
        <v>100</v>
      </c>
      <c r="R749" s="47" t="n"/>
      <c r="S749" s="47" t="n"/>
      <c r="T749" s="47" t="n"/>
      <c r="U749" s="47" t="n"/>
      <c r="V749" s="47" t="n"/>
      <c r="W749" s="47" t="n"/>
    </row>
    <row r="750" ht="11.25" customHeight="1">
      <c r="A750" s="30" t="inlineStr">
        <is>
          <t>Itaguai</t>
        </is>
      </c>
      <c r="B750" s="30" t="n">
        <v>79147222</v>
      </c>
      <c r="C750" s="30">
        <f>"59530832001487"</f>
        <v/>
      </c>
      <c r="D750" s="30" t="inlineStr">
        <is>
          <t>BRASILMAXI LOGISTICA LTDA</t>
        </is>
      </c>
      <c r="E750" s="40" t="n">
        <v>18157.92</v>
      </c>
      <c r="F750" s="40" t="n">
        <v>0</v>
      </c>
      <c r="G750" s="46" t="n">
        <v>-100</v>
      </c>
      <c r="H750" s="40" t="n">
        <v>0</v>
      </c>
      <c r="I750" s="40" t="n">
        <v>0</v>
      </c>
      <c r="J750" s="40" t="n">
        <v>0</v>
      </c>
      <c r="K750" s="40" t="n">
        <v>0</v>
      </c>
      <c r="L750" s="40" t="n">
        <v>0</v>
      </c>
      <c r="M750" s="40" t="n">
        <v>0</v>
      </c>
      <c r="N750" s="40" t="n">
        <v>0</v>
      </c>
      <c r="O750" s="40" t="n">
        <v>0</v>
      </c>
      <c r="P750" s="40" t="n">
        <v>0</v>
      </c>
      <c r="Q750" s="40" t="n">
        <v>0</v>
      </c>
      <c r="R750" s="47" t="n"/>
      <c r="S750" s="47" t="n"/>
      <c r="T750" s="47" t="n"/>
      <c r="U750" s="47" t="n"/>
      <c r="V750" s="47" t="n"/>
      <c r="W750" s="47" t="n"/>
    </row>
    <row r="751" ht="11.25" customHeight="1">
      <c r="A751" s="30" t="inlineStr">
        <is>
          <t>Itaguai</t>
        </is>
      </c>
      <c r="B751" s="30" t="n">
        <v>79148474</v>
      </c>
      <c r="C751" s="30">
        <f>"00202759000157"</f>
        <v/>
      </c>
      <c r="D751" s="30" t="inlineStr">
        <is>
          <t>SUPERPESA MARITIMA LTDA</t>
        </is>
      </c>
      <c r="E751" s="40" t="n">
        <v>0</v>
      </c>
      <c r="F751" s="40" t="n">
        <v>0</v>
      </c>
      <c r="G751" s="40" t="n">
        <v>0</v>
      </c>
      <c r="H751" s="40" t="n">
        <v>0</v>
      </c>
      <c r="I751" s="40" t="n">
        <v>0</v>
      </c>
      <c r="J751" s="40" t="n">
        <v>0</v>
      </c>
      <c r="K751" s="40" t="n">
        <v>0</v>
      </c>
      <c r="L751" s="40" t="n">
        <v>0</v>
      </c>
      <c r="M751" s="40" t="n">
        <v>0</v>
      </c>
      <c r="N751" s="40" t="n">
        <v>0</v>
      </c>
      <c r="O751" s="40" t="n">
        <v>0</v>
      </c>
      <c r="P751" s="40" t="n">
        <v>836936.29</v>
      </c>
      <c r="Q751" s="40" t="n">
        <v>100</v>
      </c>
      <c r="R751" s="47" t="n"/>
      <c r="S751" s="47" t="n"/>
      <c r="T751" s="47" t="n"/>
      <c r="U751" s="47" t="n"/>
      <c r="V751" s="47" t="n"/>
      <c r="W751" s="47" t="n"/>
    </row>
    <row r="752" ht="11.25" customHeight="1">
      <c r="A752" s="30" t="inlineStr">
        <is>
          <t>Itaguai</t>
        </is>
      </c>
      <c r="B752" s="30" t="n">
        <v>79153583</v>
      </c>
      <c r="C752" s="30">
        <f>"11682198000238"</f>
        <v/>
      </c>
      <c r="D752" s="30" t="inlineStr">
        <is>
          <t>TRANSMAGNOLOG SERVICOS LOGISTICOS LTDA</t>
        </is>
      </c>
      <c r="E752" s="40" t="n">
        <v>1750.51</v>
      </c>
      <c r="F752" s="40" t="n">
        <v>0</v>
      </c>
      <c r="G752" s="46" t="n">
        <v>-100</v>
      </c>
      <c r="H752" s="40" t="n">
        <v>0</v>
      </c>
      <c r="I752" s="40" t="n">
        <v>0</v>
      </c>
      <c r="J752" s="40" t="n">
        <v>0</v>
      </c>
      <c r="K752" s="40" t="n">
        <v>0</v>
      </c>
      <c r="L752" s="40" t="n">
        <v>0</v>
      </c>
      <c r="M752" s="40" t="n">
        <v>0</v>
      </c>
      <c r="N752" s="40" t="n">
        <v>0</v>
      </c>
      <c r="O752" s="40" t="n">
        <v>0</v>
      </c>
      <c r="P752" s="40" t="n">
        <v>0</v>
      </c>
      <c r="Q752" s="40" t="n">
        <v>0</v>
      </c>
      <c r="R752" s="47" t="n"/>
      <c r="S752" s="47" t="n"/>
      <c r="T752" s="47" t="n"/>
      <c r="U752" s="47" t="n"/>
      <c r="V752" s="47" t="n"/>
      <c r="W752" s="47" t="n"/>
    </row>
    <row r="753" ht="11.25" customHeight="1">
      <c r="A753" s="30" t="inlineStr">
        <is>
          <t>Itaguai</t>
        </is>
      </c>
      <c r="B753" s="30" t="n">
        <v>79159310</v>
      </c>
      <c r="C753" s="30">
        <f>"12238412000224"</f>
        <v/>
      </c>
      <c r="D753" s="30" t="inlineStr">
        <is>
          <t>CONSORCIO ARG-CIVILPORT-PORTO SUDESTE</t>
        </is>
      </c>
      <c r="E753" s="40" t="n">
        <v>0</v>
      </c>
      <c r="F753" s="40" t="n">
        <v>0</v>
      </c>
      <c r="G753" s="40" t="n">
        <v>0</v>
      </c>
      <c r="H753" s="40" t="n">
        <v>0</v>
      </c>
      <c r="I753" s="40" t="n">
        <v>0</v>
      </c>
      <c r="J753" s="40" t="n">
        <v>0</v>
      </c>
      <c r="K753" s="40" t="n">
        <v>0</v>
      </c>
      <c r="L753" s="40" t="n">
        <v>0</v>
      </c>
      <c r="M753" s="40" t="n">
        <v>0</v>
      </c>
      <c r="N753" s="40" t="n">
        <v>0</v>
      </c>
      <c r="O753" s="40" t="n">
        <v>0</v>
      </c>
      <c r="P753" s="40" t="n">
        <v>0</v>
      </c>
      <c r="Q753" s="40" t="n">
        <v>0</v>
      </c>
      <c r="R753" s="47" t="n"/>
      <c r="S753" s="47" t="n"/>
      <c r="T753" s="47" t="n"/>
      <c r="U753" s="47" t="n"/>
      <c r="V753" s="47" t="n"/>
      <c r="W753" s="47" t="n"/>
    </row>
    <row r="754" ht="11.25" customHeight="1">
      <c r="A754" s="30" t="inlineStr">
        <is>
          <t>Itaguai</t>
        </is>
      </c>
      <c r="B754" s="30" t="n">
        <v>79167061</v>
      </c>
      <c r="C754" s="30">
        <f>"05053441001309"</f>
        <v/>
      </c>
      <c r="D754" s="30" t="inlineStr">
        <is>
          <t>RASTRECALL REPRESENTACOES COMERCIAIS DE TELECOMUNICACOES LTDA</t>
        </is>
      </c>
      <c r="E754" s="40" t="n">
        <v>179421.38</v>
      </c>
      <c r="F754" s="40" t="n">
        <v>0</v>
      </c>
      <c r="G754" s="46" t="n">
        <v>-100</v>
      </c>
      <c r="H754" s="40" t="n">
        <v>0</v>
      </c>
      <c r="I754" s="40" t="n">
        <v>0</v>
      </c>
      <c r="J754" s="40" t="n">
        <v>0</v>
      </c>
      <c r="K754" s="40" t="n">
        <v>0</v>
      </c>
      <c r="L754" s="40" t="n">
        <v>0</v>
      </c>
      <c r="M754" s="40" t="n">
        <v>0</v>
      </c>
      <c r="N754" s="40" t="n">
        <v>0</v>
      </c>
      <c r="O754" s="40" t="n">
        <v>0</v>
      </c>
      <c r="P754" s="40" t="n">
        <v>0</v>
      </c>
      <c r="Q754" s="40" t="n">
        <v>0</v>
      </c>
      <c r="R754" s="47" t="n"/>
      <c r="S754" s="47" t="n"/>
      <c r="T754" s="47" t="n"/>
      <c r="U754" s="47" t="n"/>
      <c r="V754" s="47" t="n"/>
      <c r="W754" s="47" t="n"/>
    </row>
    <row r="755" ht="11.25" customHeight="1">
      <c r="A755" s="30" t="inlineStr">
        <is>
          <t>Itaguai</t>
        </is>
      </c>
      <c r="B755" s="30" t="n">
        <v>79170089</v>
      </c>
      <c r="C755" s="30">
        <f>"11058804000168"</f>
        <v/>
      </c>
      <c r="D755" s="30" t="inlineStr">
        <is>
          <t>PETRO RIO O&amp;G EXPLORACAO E PRODUCAO DE PETROLEO LTDA</t>
        </is>
      </c>
      <c r="E755" s="40" t="n">
        <v>860369.17</v>
      </c>
      <c r="F755" s="40" t="n">
        <v>1468737.72</v>
      </c>
      <c r="G755" s="40" t="n">
        <v>70.70999999999999</v>
      </c>
      <c r="H755" s="40" t="n">
        <v>1316850.36</v>
      </c>
      <c r="I755" s="46" t="n">
        <v>-10.34</v>
      </c>
      <c r="J755" s="40" t="n">
        <v>1445162.32</v>
      </c>
      <c r="K755" s="40" t="n">
        <v>9.74</v>
      </c>
      <c r="L755" s="40" t="n">
        <v>1337381.81</v>
      </c>
      <c r="M755" s="46" t="n">
        <v>-7.46</v>
      </c>
      <c r="N755" s="40" t="n">
        <v>0</v>
      </c>
      <c r="O755" s="46" t="n">
        <v>-100</v>
      </c>
      <c r="P755" s="40" t="n">
        <v>0</v>
      </c>
      <c r="Q755" s="40" t="n">
        <v>0</v>
      </c>
      <c r="R755" s="47" t="n"/>
      <c r="S755" s="47" t="n"/>
      <c r="T755" s="47" t="n"/>
      <c r="U755" s="47" t="n"/>
      <c r="V755" s="47" t="n"/>
      <c r="W755" s="47" t="n"/>
    </row>
    <row r="756" ht="11.25" customHeight="1">
      <c r="A756" s="30" t="inlineStr">
        <is>
          <t>Itaguai</t>
        </is>
      </c>
      <c r="B756" s="30" t="n">
        <v>79179558</v>
      </c>
      <c r="C756" s="30">
        <f>"07568880000146"</f>
        <v/>
      </c>
      <c r="D756" s="30" t="inlineStr">
        <is>
          <t>EXPRESSO RECREIO TRANSPORTE DE PASSAGEIROS LTDA</t>
        </is>
      </c>
      <c r="E756" s="40" t="n">
        <v>0</v>
      </c>
      <c r="F756" s="40" t="n">
        <v>384315.63</v>
      </c>
      <c r="G756" s="40" t="n">
        <v>100</v>
      </c>
      <c r="H756" s="40" t="n">
        <v>1374455</v>
      </c>
      <c r="I756" s="40" t="n">
        <v>257.64</v>
      </c>
      <c r="J756" s="40" t="n">
        <v>0</v>
      </c>
      <c r="K756" s="46" t="n">
        <v>-100</v>
      </c>
      <c r="L756" s="40" t="n">
        <v>0</v>
      </c>
      <c r="M756" s="40" t="n">
        <v>0</v>
      </c>
      <c r="N756" s="40" t="n">
        <v>0</v>
      </c>
      <c r="O756" s="40" t="n">
        <v>0</v>
      </c>
      <c r="P756" s="40" t="n">
        <v>0</v>
      </c>
      <c r="Q756" s="40" t="n">
        <v>0</v>
      </c>
      <c r="R756" s="47" t="n"/>
      <c r="S756" s="47" t="n"/>
      <c r="T756" s="47" t="n"/>
      <c r="U756" s="47" t="n"/>
      <c r="V756" s="47" t="n"/>
      <c r="W756" s="47" t="n"/>
    </row>
    <row r="757" ht="11.25" customHeight="1">
      <c r="A757" s="30" t="inlineStr">
        <is>
          <t>Itaguai</t>
        </is>
      </c>
      <c r="B757" s="30" t="n">
        <v>79180297</v>
      </c>
      <c r="C757" s="30">
        <f>"05699139000199"</f>
        <v/>
      </c>
      <c r="D757" s="30" t="inlineStr">
        <is>
          <t>GUIOMAR TRANSPORTES LTDA ME</t>
        </is>
      </c>
      <c r="E757" s="40" t="n">
        <v>4804774.15</v>
      </c>
      <c r="F757" s="40" t="n">
        <v>1845032.66</v>
      </c>
      <c r="G757" s="46" t="n">
        <v>-61.6</v>
      </c>
      <c r="H757" s="40" t="n">
        <v>27518.75</v>
      </c>
      <c r="I757" s="46" t="n">
        <v>-98.51000000000001</v>
      </c>
      <c r="J757" s="40" t="n">
        <v>9180367.4</v>
      </c>
      <c r="K757" s="40" t="n">
        <v>33260.41</v>
      </c>
      <c r="L757" s="40" t="n">
        <v>9166310.289999999</v>
      </c>
      <c r="M757" s="46" t="n">
        <v>-0.15</v>
      </c>
      <c r="N757" s="40" t="n">
        <v>8614543.68</v>
      </c>
      <c r="O757" s="46" t="n">
        <v>-6.02</v>
      </c>
      <c r="P757" s="40" t="n">
        <v>7771826.28</v>
      </c>
      <c r="Q757" s="46" t="n">
        <v>-9.779999999999999</v>
      </c>
      <c r="R757" s="47" t="n"/>
      <c r="S757" s="47" t="n"/>
      <c r="T757" s="47" t="n"/>
      <c r="U757" s="47" t="n"/>
      <c r="V757" s="47" t="n"/>
      <c r="W757" s="47" t="n"/>
    </row>
    <row r="758" ht="11.25" customHeight="1">
      <c r="A758" s="30" t="inlineStr">
        <is>
          <t>Itaguai</t>
        </is>
      </c>
      <c r="B758" s="30" t="n">
        <v>79180351</v>
      </c>
      <c r="C758" s="30">
        <f>"12056613000634"</f>
        <v/>
      </c>
      <c r="D758" s="30" t="inlineStr">
        <is>
          <t>MINERACAO USIMINAS S A</t>
        </is>
      </c>
      <c r="E758" s="40" t="n">
        <v>0</v>
      </c>
      <c r="F758" s="40" t="n">
        <v>0</v>
      </c>
      <c r="G758" s="40" t="n">
        <v>0</v>
      </c>
      <c r="H758" s="40" t="n">
        <v>0</v>
      </c>
      <c r="I758" s="40" t="n">
        <v>0</v>
      </c>
      <c r="J758" s="40" t="n">
        <v>0</v>
      </c>
      <c r="K758" s="40" t="n">
        <v>0</v>
      </c>
      <c r="L758" s="40" t="n">
        <v>0</v>
      </c>
      <c r="M758" s="40" t="n">
        <v>0</v>
      </c>
      <c r="N758" s="40" t="n">
        <v>0</v>
      </c>
      <c r="O758" s="40" t="n">
        <v>0</v>
      </c>
      <c r="P758" s="40" t="n">
        <v>0</v>
      </c>
      <c r="Q758" s="40" t="n">
        <v>0</v>
      </c>
      <c r="R758" s="47" t="n"/>
      <c r="S758" s="47" t="n"/>
      <c r="T758" s="47" t="n"/>
      <c r="U758" s="47" t="n"/>
      <c r="V758" s="47" t="n"/>
      <c r="W758" s="47" t="n"/>
    </row>
    <row r="759" ht="11.25" customHeight="1">
      <c r="A759" s="30" t="inlineStr">
        <is>
          <t>Itaguai</t>
        </is>
      </c>
      <c r="B759" s="30" t="n">
        <v>79183989</v>
      </c>
      <c r="C759" s="30">
        <f>"12489359000153"</f>
        <v/>
      </c>
      <c r="D759" s="30" t="inlineStr">
        <is>
          <t>BOAS NOVAS DE ITAGUAI COMERCIO DE ROUPAS EIRELI EPP</t>
        </is>
      </c>
      <c r="E759" s="40" t="n">
        <v>0</v>
      </c>
      <c r="F759" s="40" t="n">
        <v>0</v>
      </c>
      <c r="G759" s="40" t="n">
        <v>0</v>
      </c>
      <c r="H759" s="40" t="n">
        <v>0</v>
      </c>
      <c r="I759" s="40" t="n">
        <v>0</v>
      </c>
      <c r="J759" s="40" t="n">
        <v>14301.76</v>
      </c>
      <c r="K759" s="40" t="n">
        <v>100</v>
      </c>
      <c r="L759" s="40" t="n">
        <v>0</v>
      </c>
      <c r="M759" s="46" t="n">
        <v>-100</v>
      </c>
      <c r="N759" s="40" t="n">
        <v>0</v>
      </c>
      <c r="O759" s="40" t="n">
        <v>0</v>
      </c>
      <c r="P759" s="40" t="n">
        <v>0</v>
      </c>
      <c r="Q759" s="40" t="n">
        <v>0</v>
      </c>
      <c r="R759" s="47" t="n"/>
      <c r="S759" s="47" t="n"/>
      <c r="T759" s="47" t="n"/>
      <c r="U759" s="47" t="n"/>
      <c r="V759" s="47" t="n"/>
      <c r="W759" s="47" t="n"/>
    </row>
    <row r="760" ht="11.25" customHeight="1">
      <c r="A760" s="30" t="inlineStr">
        <is>
          <t>Itaguai</t>
        </is>
      </c>
      <c r="B760" s="30" t="n">
        <v>79185280</v>
      </c>
      <c r="C760" s="30">
        <f>"11824706000275"</f>
        <v/>
      </c>
      <c r="D760" s="30" t="inlineStr">
        <is>
          <t>MENOS E MAIS INDUSTRIA E COMERCIO DE ROUPAS LTDA ME</t>
        </is>
      </c>
      <c r="E760" s="40" t="n">
        <v>0</v>
      </c>
      <c r="F760" s="40" t="n">
        <v>0</v>
      </c>
      <c r="G760" s="40" t="n">
        <v>0</v>
      </c>
      <c r="H760" s="40" t="n">
        <v>0</v>
      </c>
      <c r="I760" s="40" t="n">
        <v>0</v>
      </c>
      <c r="J760" s="40" t="n">
        <v>0</v>
      </c>
      <c r="K760" s="40" t="n">
        <v>0</v>
      </c>
      <c r="L760" s="40" t="n">
        <v>0</v>
      </c>
      <c r="M760" s="40" t="n">
        <v>0</v>
      </c>
      <c r="N760" s="40" t="n">
        <v>0</v>
      </c>
      <c r="O760" s="40" t="n">
        <v>0</v>
      </c>
      <c r="P760" s="40" t="n">
        <v>0</v>
      </c>
      <c r="Q760" s="40" t="n">
        <v>0</v>
      </c>
      <c r="R760" s="47" t="n"/>
      <c r="S760" s="47" t="n"/>
      <c r="T760" s="47" t="n"/>
      <c r="U760" s="47" t="n"/>
      <c r="V760" s="47" t="n"/>
      <c r="W760" s="47" t="n"/>
    </row>
    <row r="761" ht="11.25" customHeight="1">
      <c r="A761" s="30" t="inlineStr">
        <is>
          <t>Itaguai</t>
        </is>
      </c>
      <c r="B761" s="30" t="n">
        <v>79192309</v>
      </c>
      <c r="C761" s="30">
        <f>"12434161000172"</f>
        <v/>
      </c>
      <c r="D761" s="30" t="inlineStr">
        <is>
          <t>R A DE OLIVEIRA COMERCIO DE RECICLAGEM LTDA ME</t>
        </is>
      </c>
      <c r="E761" s="40" t="n">
        <v>0</v>
      </c>
      <c r="F761" s="40" t="n">
        <v>0</v>
      </c>
      <c r="G761" s="40" t="n">
        <v>0</v>
      </c>
      <c r="H761" s="40" t="n">
        <v>0</v>
      </c>
      <c r="I761" s="40" t="n">
        <v>0</v>
      </c>
      <c r="J761" s="40" t="n">
        <v>0</v>
      </c>
      <c r="K761" s="40" t="n">
        <v>0</v>
      </c>
      <c r="L761" s="40" t="n">
        <v>0</v>
      </c>
      <c r="M761" s="40" t="n">
        <v>0</v>
      </c>
      <c r="N761" s="40" t="n">
        <v>0</v>
      </c>
      <c r="O761" s="40" t="n">
        <v>0</v>
      </c>
      <c r="P761" s="40" t="n">
        <v>0</v>
      </c>
      <c r="Q761" s="40" t="n">
        <v>0</v>
      </c>
      <c r="R761" s="47" t="n"/>
      <c r="S761" s="47" t="n"/>
      <c r="T761" s="47" t="n"/>
      <c r="U761" s="47" t="n"/>
      <c r="V761" s="47" t="n"/>
      <c r="W761" s="47" t="n"/>
    </row>
    <row r="762" ht="11.25" customHeight="1">
      <c r="A762" s="30" t="inlineStr">
        <is>
          <t>Itaguai</t>
        </is>
      </c>
      <c r="B762" s="30" t="n">
        <v>79192317</v>
      </c>
      <c r="C762" s="30">
        <f>"01748365000161"</f>
        <v/>
      </c>
      <c r="D762" s="30" t="inlineStr">
        <is>
          <t>GRUPO NESTOR CAMPOS PAIVA COMERCIO E SERVICOS GRAFICOS LTDA ME</t>
        </is>
      </c>
      <c r="E762" s="40" t="n">
        <v>0</v>
      </c>
      <c r="F762" s="40" t="n">
        <v>0</v>
      </c>
      <c r="G762" s="40" t="n">
        <v>0</v>
      </c>
      <c r="H762" s="40" t="n">
        <v>0</v>
      </c>
      <c r="I762" s="40" t="n">
        <v>0</v>
      </c>
      <c r="J762" s="40" t="n">
        <v>0</v>
      </c>
      <c r="K762" s="40" t="n">
        <v>0</v>
      </c>
      <c r="L762" s="40" t="n">
        <v>0</v>
      </c>
      <c r="M762" s="40" t="n">
        <v>0</v>
      </c>
      <c r="N762" s="40" t="n">
        <v>0</v>
      </c>
      <c r="O762" s="40" t="n">
        <v>0</v>
      </c>
      <c r="P762" s="40" t="n">
        <v>0</v>
      </c>
      <c r="Q762" s="40" t="n">
        <v>0</v>
      </c>
      <c r="R762" s="47" t="n"/>
      <c r="S762" s="47" t="n"/>
      <c r="T762" s="47" t="n"/>
      <c r="U762" s="47" t="n"/>
      <c r="V762" s="47" t="n"/>
      <c r="W762" s="47" t="n"/>
    </row>
    <row r="763" ht="11.25" customHeight="1">
      <c r="A763" s="30" t="inlineStr">
        <is>
          <t>Itaguai</t>
        </is>
      </c>
      <c r="B763" s="30" t="n">
        <v>79193941</v>
      </c>
      <c r="C763" s="30">
        <f>"12609494000195"</f>
        <v/>
      </c>
      <c r="D763" s="30" t="inlineStr">
        <is>
          <t>CONCRETO SANTA LUZIA LTDA</t>
        </is>
      </c>
      <c r="E763" s="40" t="n">
        <v>0</v>
      </c>
      <c r="F763" s="40" t="n">
        <v>0</v>
      </c>
      <c r="G763" s="40" t="n">
        <v>0</v>
      </c>
      <c r="H763" s="40" t="n">
        <v>0</v>
      </c>
      <c r="I763" s="40" t="n">
        <v>0</v>
      </c>
      <c r="J763" s="40" t="n">
        <v>0</v>
      </c>
      <c r="K763" s="40" t="n">
        <v>0</v>
      </c>
      <c r="L763" s="40" t="n">
        <v>0</v>
      </c>
      <c r="M763" s="40" t="n">
        <v>0</v>
      </c>
      <c r="N763" s="40" t="n">
        <v>0</v>
      </c>
      <c r="O763" s="40" t="n">
        <v>0</v>
      </c>
      <c r="P763" s="40" t="n">
        <v>0</v>
      </c>
      <c r="Q763" s="40" t="n">
        <v>0</v>
      </c>
      <c r="R763" s="47" t="n"/>
      <c r="S763" s="47" t="n"/>
      <c r="T763" s="47" t="n"/>
      <c r="U763" s="47" t="n"/>
      <c r="V763" s="47" t="n"/>
      <c r="W763" s="47" t="n"/>
    </row>
    <row r="764" ht="11.25" customHeight="1">
      <c r="A764" s="30" t="inlineStr">
        <is>
          <t>Itaguai</t>
        </is>
      </c>
      <c r="B764" s="30" t="n">
        <v>79193976</v>
      </c>
      <c r="C764" s="30">
        <f>"12609440000120"</f>
        <v/>
      </c>
      <c r="D764" s="30" t="inlineStr">
        <is>
          <t>TRANSPORTES E LOGISTICA SANTA LUZIA LTDA</t>
        </is>
      </c>
      <c r="E764" s="40" t="n">
        <v>0</v>
      </c>
      <c r="F764" s="40" t="n">
        <v>0</v>
      </c>
      <c r="G764" s="40" t="n">
        <v>0</v>
      </c>
      <c r="H764" s="40" t="n">
        <v>0</v>
      </c>
      <c r="I764" s="40" t="n">
        <v>0</v>
      </c>
      <c r="J764" s="40" t="n">
        <v>0</v>
      </c>
      <c r="K764" s="40" t="n">
        <v>0</v>
      </c>
      <c r="L764" s="40" t="n">
        <v>0</v>
      </c>
      <c r="M764" s="40" t="n">
        <v>0</v>
      </c>
      <c r="N764" s="40" t="n">
        <v>0</v>
      </c>
      <c r="O764" s="40" t="n">
        <v>0</v>
      </c>
      <c r="P764" s="40" t="n">
        <v>0</v>
      </c>
      <c r="Q764" s="40" t="n">
        <v>0</v>
      </c>
      <c r="R764" s="47" t="n"/>
      <c r="S764" s="47" t="n"/>
      <c r="T764" s="47" t="n"/>
      <c r="U764" s="47" t="n"/>
      <c r="V764" s="47" t="n"/>
      <c r="W764" s="47" t="n"/>
    </row>
    <row r="765" ht="11.25" customHeight="1">
      <c r="A765" s="30" t="inlineStr">
        <is>
          <t>Itaguai</t>
        </is>
      </c>
      <c r="B765" s="30" t="n">
        <v>79194670</v>
      </c>
      <c r="C765" s="30">
        <f>"07605932000107"</f>
        <v/>
      </c>
      <c r="D765" s="30" t="inlineStr">
        <is>
          <t>WLENET SERVICOS DE TELECOMINICACOES LTDA</t>
        </is>
      </c>
      <c r="E765" s="40" t="n">
        <v>0</v>
      </c>
      <c r="F765" s="40" t="n">
        <v>0</v>
      </c>
      <c r="G765" s="40" t="n">
        <v>0</v>
      </c>
      <c r="H765" s="40" t="n">
        <v>0</v>
      </c>
      <c r="I765" s="40" t="n">
        <v>0</v>
      </c>
      <c r="J765" s="40" t="n">
        <v>18206.9</v>
      </c>
      <c r="K765" s="40" t="n">
        <v>100</v>
      </c>
      <c r="L765" s="40" t="n">
        <v>69728</v>
      </c>
      <c r="M765" s="40" t="n">
        <v>282.98</v>
      </c>
      <c r="N765" s="40" t="n">
        <v>77115</v>
      </c>
      <c r="O765" s="40" t="n">
        <v>10.59</v>
      </c>
      <c r="P765" s="40" t="n">
        <v>43860</v>
      </c>
      <c r="Q765" s="46" t="n">
        <v>-43.12</v>
      </c>
      <c r="R765" s="47" t="n"/>
      <c r="S765" s="47" t="n"/>
      <c r="T765" s="47" t="n"/>
      <c r="U765" s="47" t="n"/>
      <c r="V765" s="47" t="n"/>
      <c r="W765" s="47" t="n"/>
    </row>
    <row r="766" ht="11.25" customHeight="1">
      <c r="A766" s="30" t="inlineStr">
        <is>
          <t>Itaguai</t>
        </is>
      </c>
      <c r="B766" s="30" t="n">
        <v>79198382</v>
      </c>
      <c r="C766" s="30">
        <f>"02674023000107"</f>
        <v/>
      </c>
      <c r="D766" s="30" t="inlineStr">
        <is>
          <t>JOANA DARC DO NASCIMENTO VALOIS ME</t>
        </is>
      </c>
      <c r="E766" s="40" t="n">
        <v>0</v>
      </c>
      <c r="F766" s="40" t="n">
        <v>0</v>
      </c>
      <c r="G766" s="40" t="n">
        <v>0</v>
      </c>
      <c r="H766" s="40" t="n">
        <v>0</v>
      </c>
      <c r="I766" s="40" t="n">
        <v>0</v>
      </c>
      <c r="J766" s="40" t="n">
        <v>0</v>
      </c>
      <c r="K766" s="40" t="n">
        <v>0</v>
      </c>
      <c r="L766" s="40" t="n">
        <v>0</v>
      </c>
      <c r="M766" s="40" t="n">
        <v>0</v>
      </c>
      <c r="N766" s="40" t="n">
        <v>0</v>
      </c>
      <c r="O766" s="40" t="n">
        <v>0</v>
      </c>
      <c r="P766" s="40" t="n">
        <v>0</v>
      </c>
      <c r="Q766" s="40" t="n">
        <v>0</v>
      </c>
      <c r="R766" s="47" t="n"/>
      <c r="S766" s="47" t="n"/>
      <c r="T766" s="47" t="n"/>
      <c r="U766" s="47" t="n"/>
      <c r="V766" s="47" t="n"/>
      <c r="W766" s="47" t="n"/>
    </row>
    <row r="767" ht="11.25" customHeight="1">
      <c r="A767" s="30" t="inlineStr">
        <is>
          <t>Itaguai</t>
        </is>
      </c>
      <c r="B767" s="30" t="n">
        <v>79198595</v>
      </c>
      <c r="C767" s="30">
        <f>"03222025000128"</f>
        <v/>
      </c>
      <c r="D767" s="30" t="inlineStr">
        <is>
          <t>JH DE PAULA TRANSPORTE E TURISMO LTDA</t>
        </is>
      </c>
      <c r="E767" s="40" t="n">
        <v>0</v>
      </c>
      <c r="F767" s="40" t="n">
        <v>0</v>
      </c>
      <c r="G767" s="40" t="n">
        <v>0</v>
      </c>
      <c r="H767" s="40" t="n">
        <v>0</v>
      </c>
      <c r="I767" s="40" t="n">
        <v>0</v>
      </c>
      <c r="J767" s="40" t="n">
        <v>105639.72</v>
      </c>
      <c r="K767" s="40" t="n">
        <v>100</v>
      </c>
      <c r="L767" s="40" t="n">
        <v>62700</v>
      </c>
      <c r="M767" s="46" t="n">
        <v>-40.65</v>
      </c>
      <c r="N767" s="40" t="n">
        <v>0</v>
      </c>
      <c r="O767" s="46" t="n">
        <v>-100</v>
      </c>
      <c r="P767" s="40" t="n">
        <v>0</v>
      </c>
      <c r="Q767" s="40" t="n">
        <v>0</v>
      </c>
      <c r="R767" s="47" t="n"/>
      <c r="S767" s="47" t="n"/>
      <c r="T767" s="47" t="n"/>
      <c r="U767" s="47" t="n"/>
      <c r="V767" s="47" t="n"/>
      <c r="W767" s="47" t="n"/>
    </row>
    <row r="768" ht="11.25" customHeight="1">
      <c r="A768" s="30" t="inlineStr">
        <is>
          <t>Itaguai</t>
        </is>
      </c>
      <c r="B768" s="30" t="n">
        <v>79201944</v>
      </c>
      <c r="C768" s="30">
        <f>"61189288036884"</f>
        <v/>
      </c>
      <c r="D768" s="30" t="inlineStr">
        <is>
          <t>MARISA LOJAS SA</t>
        </is>
      </c>
      <c r="E768" s="40" t="n">
        <v>1049118.61</v>
      </c>
      <c r="F768" s="40" t="n">
        <v>984855.22</v>
      </c>
      <c r="G768" s="46" t="n">
        <v>-6.13</v>
      </c>
      <c r="H768" s="40" t="n">
        <v>0</v>
      </c>
      <c r="I768" s="46" t="n">
        <v>-100</v>
      </c>
      <c r="J768" s="40" t="n">
        <v>0</v>
      </c>
      <c r="K768" s="40" t="n">
        <v>0</v>
      </c>
      <c r="L768" s="40" t="n">
        <v>0</v>
      </c>
      <c r="M768" s="40" t="n">
        <v>0</v>
      </c>
      <c r="N768" s="40" t="n">
        <v>0</v>
      </c>
      <c r="O768" s="40" t="n">
        <v>0</v>
      </c>
      <c r="P768" s="40" t="n">
        <v>0</v>
      </c>
      <c r="Q768" s="40" t="n">
        <v>0</v>
      </c>
      <c r="R768" s="47" t="n"/>
      <c r="S768" s="47" t="n"/>
      <c r="T768" s="47" t="n"/>
      <c r="U768" s="47" t="n"/>
      <c r="V768" s="47" t="n"/>
      <c r="W768" s="47" t="n"/>
    </row>
    <row r="769" ht="11.25" customHeight="1">
      <c r="A769" s="30" t="inlineStr">
        <is>
          <t>Itaguai</t>
        </is>
      </c>
      <c r="B769" s="30" t="n">
        <v>79205567</v>
      </c>
      <c r="C769" s="30">
        <f>"12689268000161"</f>
        <v/>
      </c>
      <c r="D769" s="30" t="inlineStr">
        <is>
          <t>MAFRAL BAR E RESTAURANTE LTDA</t>
        </is>
      </c>
      <c r="E769" s="40" t="n">
        <v>1692999.52</v>
      </c>
      <c r="F769" s="40" t="n">
        <v>1376948.94</v>
      </c>
      <c r="G769" s="46" t="n">
        <v>-18.67</v>
      </c>
      <c r="H769" s="40" t="n">
        <v>1893108.08</v>
      </c>
      <c r="I769" s="40" t="n">
        <v>37.49</v>
      </c>
      <c r="J769" s="40" t="n">
        <v>891247.33</v>
      </c>
      <c r="K769" s="46" t="n">
        <v>-52.92</v>
      </c>
      <c r="L769" s="40" t="n">
        <v>1243492.26</v>
      </c>
      <c r="M769" s="40" t="n">
        <v>39.52</v>
      </c>
      <c r="N769" s="40" t="n">
        <v>1491053.09</v>
      </c>
      <c r="O769" s="40" t="n">
        <v>19.91</v>
      </c>
      <c r="P769" s="40" t="n">
        <v>1293322.17</v>
      </c>
      <c r="Q769" s="46" t="n">
        <v>-13.26</v>
      </c>
      <c r="R769" s="47" t="n"/>
      <c r="S769" s="47" t="n"/>
      <c r="T769" s="47" t="n"/>
      <c r="U769" s="47" t="n"/>
      <c r="V769" s="47" t="n"/>
      <c r="W769" s="47" t="n"/>
    </row>
    <row r="770" ht="11.25" customHeight="1">
      <c r="A770" s="30" t="inlineStr">
        <is>
          <t>Itaguai</t>
        </is>
      </c>
      <c r="B770" s="30" t="n">
        <v>79205869</v>
      </c>
      <c r="C770" s="30">
        <f>"11908151000320"</f>
        <v/>
      </c>
      <c r="D770" s="30" t="inlineStr">
        <is>
          <t>MORI ARTIGOS ESPORTIVOS LTDA</t>
        </is>
      </c>
      <c r="E770" s="40" t="n">
        <v>0</v>
      </c>
      <c r="F770" s="40" t="n">
        <v>464634.47</v>
      </c>
      <c r="G770" s="40" t="n">
        <v>100</v>
      </c>
      <c r="H770" s="40" t="n">
        <v>400738.13</v>
      </c>
      <c r="I770" s="46" t="n">
        <v>-13.75</v>
      </c>
      <c r="J770" s="40" t="n">
        <v>325577.49</v>
      </c>
      <c r="K770" s="46" t="n">
        <v>-18.76</v>
      </c>
      <c r="L770" s="40" t="n">
        <v>316390.52</v>
      </c>
      <c r="M770" s="46" t="n">
        <v>-2.82</v>
      </c>
      <c r="N770" s="40" t="n">
        <v>0</v>
      </c>
      <c r="O770" s="46" t="n">
        <v>-100</v>
      </c>
      <c r="P770" s="40" t="n">
        <v>0</v>
      </c>
      <c r="Q770" s="40" t="n">
        <v>0</v>
      </c>
      <c r="R770" s="47" t="n"/>
      <c r="S770" s="47" t="n"/>
      <c r="T770" s="47" t="n"/>
      <c r="U770" s="47" t="n"/>
      <c r="V770" s="47" t="n"/>
      <c r="W770" s="47" t="n"/>
    </row>
    <row r="771" ht="11.25" customHeight="1">
      <c r="A771" s="30" t="inlineStr">
        <is>
          <t>Itaguai</t>
        </is>
      </c>
      <c r="B771" s="30" t="n">
        <v>79205877</v>
      </c>
      <c r="C771" s="30">
        <f>"09633032000280"</f>
        <v/>
      </c>
      <c r="D771" s="30" t="inlineStr">
        <is>
          <t>MERCADO LIBERDADE JOAO XXIII LTDA ME</t>
        </is>
      </c>
      <c r="E771" s="40" t="n">
        <v>0</v>
      </c>
      <c r="F771" s="40" t="n">
        <v>0</v>
      </c>
      <c r="G771" s="40" t="n">
        <v>0</v>
      </c>
      <c r="H771" s="40" t="n">
        <v>0</v>
      </c>
      <c r="I771" s="40" t="n">
        <v>0</v>
      </c>
      <c r="J771" s="40" t="n">
        <v>0</v>
      </c>
      <c r="K771" s="40" t="n">
        <v>0</v>
      </c>
      <c r="L771" s="40" t="n">
        <v>0</v>
      </c>
      <c r="M771" s="40" t="n">
        <v>0</v>
      </c>
      <c r="N771" s="40" t="n">
        <v>0</v>
      </c>
      <c r="O771" s="40" t="n">
        <v>0</v>
      </c>
      <c r="P771" s="40" t="n">
        <v>0</v>
      </c>
      <c r="Q771" s="40" t="n">
        <v>0</v>
      </c>
      <c r="R771" s="47" t="n"/>
      <c r="S771" s="47" t="n"/>
      <c r="T771" s="47" t="n"/>
      <c r="U771" s="47" t="n"/>
      <c r="V771" s="47" t="n"/>
      <c r="W771" s="47" t="n"/>
    </row>
    <row r="772" ht="11.25" customHeight="1">
      <c r="A772" s="30" t="inlineStr">
        <is>
          <t>Itaguai</t>
        </is>
      </c>
      <c r="B772" s="30" t="n">
        <v>79213160</v>
      </c>
      <c r="C772" s="30">
        <f>"52548435015524"</f>
        <v/>
      </c>
      <c r="D772" s="30" t="inlineStr">
        <is>
          <t>JSL S/A</t>
        </is>
      </c>
      <c r="E772" s="40" t="n">
        <v>0</v>
      </c>
      <c r="F772" s="40" t="n">
        <v>0</v>
      </c>
      <c r="G772" s="40" t="n">
        <v>0</v>
      </c>
      <c r="H772" s="40" t="n">
        <v>0</v>
      </c>
      <c r="I772" s="40" t="n">
        <v>0</v>
      </c>
      <c r="J772" s="40" t="n">
        <v>283980.6</v>
      </c>
      <c r="K772" s="40" t="n">
        <v>100</v>
      </c>
      <c r="L772" s="40" t="n">
        <v>541812.29</v>
      </c>
      <c r="M772" s="40" t="n">
        <v>90.79000000000001</v>
      </c>
      <c r="N772" s="40" t="n">
        <v>293826.22</v>
      </c>
      <c r="O772" s="46" t="n">
        <v>-45.77</v>
      </c>
      <c r="P772" s="40" t="n">
        <v>81801.63</v>
      </c>
      <c r="Q772" s="46" t="n">
        <v>-72.16</v>
      </c>
      <c r="R772" s="47" t="n"/>
      <c r="S772" s="47" t="n"/>
      <c r="T772" s="47" t="n"/>
      <c r="U772" s="47" t="n"/>
      <c r="V772" s="47" t="n"/>
      <c r="W772" s="47" t="n"/>
    </row>
    <row r="773" ht="11.25" customHeight="1">
      <c r="A773" s="30" t="inlineStr">
        <is>
          <t>Itaguai</t>
        </is>
      </c>
      <c r="B773" s="30" t="n">
        <v>79214043</v>
      </c>
      <c r="C773" s="30">
        <f>"11755795000245"</f>
        <v/>
      </c>
      <c r="D773" s="30" t="inlineStr">
        <is>
          <t>WM TRANSPORTADORA DE COMBUSTIVEL E CARGAS LTDA</t>
        </is>
      </c>
      <c r="E773" s="40" t="n">
        <v>40577.74</v>
      </c>
      <c r="F773" s="40" t="n">
        <v>25161.22</v>
      </c>
      <c r="G773" s="46" t="n">
        <v>-37.99</v>
      </c>
      <c r="H773" s="40" t="n">
        <v>41536.3</v>
      </c>
      <c r="I773" s="40" t="n">
        <v>65.08</v>
      </c>
      <c r="J773" s="40" t="n">
        <v>0</v>
      </c>
      <c r="K773" s="46" t="n">
        <v>-100</v>
      </c>
      <c r="L773" s="40" t="n">
        <v>0</v>
      </c>
      <c r="M773" s="40" t="n">
        <v>0</v>
      </c>
      <c r="N773" s="40" t="n">
        <v>0</v>
      </c>
      <c r="O773" s="40" t="n">
        <v>0</v>
      </c>
      <c r="P773" s="40" t="n">
        <v>0</v>
      </c>
      <c r="Q773" s="40" t="n">
        <v>0</v>
      </c>
      <c r="R773" s="47" t="n"/>
      <c r="S773" s="47" t="n"/>
      <c r="T773" s="47" t="n"/>
      <c r="U773" s="47" t="n"/>
      <c r="V773" s="47" t="n"/>
      <c r="W773" s="47" t="n"/>
    </row>
    <row r="774" ht="11.25" customHeight="1">
      <c r="A774" s="30" t="inlineStr">
        <is>
          <t>Itaguai</t>
        </is>
      </c>
      <c r="B774" s="30" t="n">
        <v>79216933</v>
      </c>
      <c r="C774" s="30">
        <f>"29853942000609"</f>
        <v/>
      </c>
      <c r="D774" s="30" t="inlineStr">
        <is>
          <t>RIO ITA LTDA</t>
        </is>
      </c>
      <c r="E774" s="40" t="n">
        <v>0</v>
      </c>
      <c r="F774" s="40" t="n">
        <v>0</v>
      </c>
      <c r="G774" s="40" t="n">
        <v>0</v>
      </c>
      <c r="H774" s="40" t="n">
        <v>4880</v>
      </c>
      <c r="I774" s="40" t="n">
        <v>100</v>
      </c>
      <c r="J774" s="40" t="n">
        <v>0</v>
      </c>
      <c r="K774" s="46" t="n">
        <v>-100</v>
      </c>
      <c r="L774" s="40" t="n">
        <v>0</v>
      </c>
      <c r="M774" s="40" t="n">
        <v>0</v>
      </c>
      <c r="N774" s="40" t="n">
        <v>3292</v>
      </c>
      <c r="O774" s="40" t="n">
        <v>100</v>
      </c>
      <c r="P774" s="40" t="n">
        <v>1120</v>
      </c>
      <c r="Q774" s="46" t="n">
        <v>-65.98</v>
      </c>
      <c r="R774" s="47" t="n"/>
      <c r="S774" s="47" t="n"/>
      <c r="T774" s="47" t="n"/>
      <c r="U774" s="47" t="n"/>
      <c r="V774" s="47" t="n"/>
      <c r="W774" s="47" t="n"/>
    </row>
    <row r="775" ht="11.25" customHeight="1">
      <c r="A775" s="30" t="inlineStr">
        <is>
          <t>Itaguai</t>
        </is>
      </c>
      <c r="B775" s="30" t="n">
        <v>79217220</v>
      </c>
      <c r="C775" s="30">
        <f>"01515934000200"</f>
        <v/>
      </c>
      <c r="D775" s="30" t="inlineStr">
        <is>
          <t>FRIBURGO TRANSPORTE E LOGISTICA LTDA</t>
        </is>
      </c>
      <c r="E775" s="40" t="n">
        <v>0</v>
      </c>
      <c r="F775" s="40" t="n">
        <v>145.88</v>
      </c>
      <c r="G775" s="40" t="n">
        <v>100</v>
      </c>
      <c r="H775" s="40" t="n">
        <v>0</v>
      </c>
      <c r="I775" s="46" t="n">
        <v>-100</v>
      </c>
      <c r="J775" s="40" t="n">
        <v>0</v>
      </c>
      <c r="K775" s="40" t="n">
        <v>0</v>
      </c>
      <c r="L775" s="40" t="n">
        <v>0</v>
      </c>
      <c r="M775" s="40" t="n">
        <v>0</v>
      </c>
      <c r="N775" s="40" t="n">
        <v>0</v>
      </c>
      <c r="O775" s="40" t="n">
        <v>0</v>
      </c>
      <c r="P775" s="40" t="n">
        <v>0</v>
      </c>
      <c r="Q775" s="40" t="n">
        <v>0</v>
      </c>
      <c r="R775" s="47" t="n"/>
      <c r="S775" s="47" t="n"/>
      <c r="T775" s="47" t="n"/>
      <c r="U775" s="47" t="n"/>
      <c r="V775" s="47" t="n"/>
      <c r="W775" s="47" t="n"/>
    </row>
    <row r="776" ht="11.25" customHeight="1">
      <c r="A776" s="30" t="inlineStr">
        <is>
          <t>Itaguai</t>
        </is>
      </c>
      <c r="B776" s="30" t="n">
        <v>79228940</v>
      </c>
      <c r="C776" s="30">
        <f>"11356166000595"</f>
        <v/>
      </c>
      <c r="D776" s="30" t="inlineStr">
        <is>
          <t>CAVAGUTI CAMINHOES PECAS E SERVICOS EIRELI</t>
        </is>
      </c>
      <c r="E776" s="40" t="n">
        <v>0</v>
      </c>
      <c r="F776" s="40" t="n">
        <v>1036486.38</v>
      </c>
      <c r="G776" s="40" t="n">
        <v>100</v>
      </c>
      <c r="H776" s="40" t="n">
        <v>326651.69</v>
      </c>
      <c r="I776" s="46" t="n">
        <v>-68.48</v>
      </c>
      <c r="J776" s="40" t="n">
        <v>1871285.14</v>
      </c>
      <c r="K776" s="40" t="n">
        <v>472.87</v>
      </c>
      <c r="L776" s="40" t="n">
        <v>76100.34</v>
      </c>
      <c r="M776" s="46" t="n">
        <v>-95.93000000000001</v>
      </c>
      <c r="N776" s="40" t="n">
        <v>0</v>
      </c>
      <c r="O776" s="46" t="n">
        <v>-100</v>
      </c>
      <c r="P776" s="40" t="n">
        <v>0</v>
      </c>
      <c r="Q776" s="40" t="n">
        <v>0</v>
      </c>
      <c r="R776" s="47" t="n"/>
      <c r="S776" s="47" t="n"/>
      <c r="T776" s="47" t="n"/>
      <c r="U776" s="47" t="n"/>
      <c r="V776" s="47" t="n"/>
      <c r="W776" s="47" t="n"/>
    </row>
    <row r="777" ht="11.25" customHeight="1">
      <c r="A777" s="30" t="inlineStr">
        <is>
          <t>Itaguai</t>
        </is>
      </c>
      <c r="B777" s="30" t="n">
        <v>79235652</v>
      </c>
      <c r="C777" s="30">
        <f>"11146466001007"</f>
        <v/>
      </c>
      <c r="D777" s="30" t="inlineStr">
        <is>
          <t>FLORIPA INDUSTRIA E COMERCIO DE ROUPAS LTDA</t>
        </is>
      </c>
      <c r="E777" s="40" t="n">
        <v>216525.21</v>
      </c>
      <c r="F777" s="40" t="n">
        <v>0</v>
      </c>
      <c r="G777" s="46" t="n">
        <v>-100</v>
      </c>
      <c r="H777" s="40" t="n">
        <v>0</v>
      </c>
      <c r="I777" s="40" t="n">
        <v>0</v>
      </c>
      <c r="J777" s="40" t="n">
        <v>0</v>
      </c>
      <c r="K777" s="40" t="n">
        <v>0</v>
      </c>
      <c r="L777" s="40" t="n">
        <v>208128.69</v>
      </c>
      <c r="M777" s="40" t="n">
        <v>100</v>
      </c>
      <c r="N777" s="40" t="n">
        <v>627463.66</v>
      </c>
      <c r="O777" s="40" t="n">
        <v>201.48</v>
      </c>
      <c r="P777" s="40" t="n">
        <v>284062.38</v>
      </c>
      <c r="Q777" s="46" t="n">
        <v>-54.73</v>
      </c>
      <c r="R777" s="47" t="n"/>
      <c r="S777" s="47" t="n"/>
      <c r="T777" s="47" t="n"/>
      <c r="U777" s="47" t="n"/>
      <c r="V777" s="47" t="n"/>
      <c r="W777" s="47" t="n"/>
    </row>
    <row r="778" ht="11.25" customHeight="1">
      <c r="A778" s="30" t="inlineStr">
        <is>
          <t>Itaguai</t>
        </is>
      </c>
      <c r="B778" s="30" t="n">
        <v>79238651</v>
      </c>
      <c r="C778" s="30">
        <f>"27045905000134"</f>
        <v/>
      </c>
      <c r="D778" s="30" t="inlineStr">
        <is>
          <t>VALLE SUL TERRAPLENAGEM LTDA</t>
        </is>
      </c>
      <c r="E778" s="40" t="n">
        <v>0</v>
      </c>
      <c r="F778" s="40" t="n">
        <v>0</v>
      </c>
      <c r="G778" s="40" t="n">
        <v>0</v>
      </c>
      <c r="H778" s="40" t="n">
        <v>0</v>
      </c>
      <c r="I778" s="40" t="n">
        <v>0</v>
      </c>
      <c r="J778" s="40" t="n">
        <v>0</v>
      </c>
      <c r="K778" s="40" t="n">
        <v>0</v>
      </c>
      <c r="L778" s="40" t="n">
        <v>0</v>
      </c>
      <c r="M778" s="40" t="n">
        <v>0</v>
      </c>
      <c r="N778" s="40" t="n">
        <v>0</v>
      </c>
      <c r="O778" s="40" t="n">
        <v>0</v>
      </c>
      <c r="P778" s="40" t="n">
        <v>0</v>
      </c>
      <c r="Q778" s="40" t="n">
        <v>0</v>
      </c>
      <c r="R778" s="47" t="n"/>
      <c r="S778" s="47" t="n"/>
      <c r="T778" s="47" t="n"/>
      <c r="U778" s="47" t="n"/>
      <c r="V778" s="47" t="n"/>
      <c r="W778" s="47" t="n"/>
    </row>
    <row r="779" ht="11.25" customHeight="1">
      <c r="A779" s="30" t="inlineStr">
        <is>
          <t>Itaguai</t>
        </is>
      </c>
      <c r="B779" s="30" t="n">
        <v>79253545</v>
      </c>
      <c r="C779" s="30">
        <f>"13005146000171"</f>
        <v/>
      </c>
      <c r="D779" s="30" t="inlineStr">
        <is>
          <t>SILVA &amp; ABREU COMERCIO OPTICO LTDA - ME</t>
        </is>
      </c>
      <c r="E779" s="40" t="n">
        <v>36017</v>
      </c>
      <c r="F779" s="40" t="n">
        <v>30158</v>
      </c>
      <c r="G779" s="46" t="n">
        <v>-16.27</v>
      </c>
      <c r="H779" s="40" t="n">
        <v>72730</v>
      </c>
      <c r="I779" s="40" t="n">
        <v>141.16</v>
      </c>
      <c r="J779" s="40" t="n">
        <v>55045.99</v>
      </c>
      <c r="K779" s="46" t="n">
        <v>-24.31</v>
      </c>
      <c r="L779" s="40" t="n">
        <v>123332.2</v>
      </c>
      <c r="M779" s="40" t="n">
        <v>124.05</v>
      </c>
      <c r="N779" s="40" t="n">
        <v>242313.38</v>
      </c>
      <c r="O779" s="40" t="n">
        <v>96.47</v>
      </c>
      <c r="P779" s="40" t="n">
        <v>27520.35</v>
      </c>
      <c r="Q779" s="46" t="n">
        <v>-88.64</v>
      </c>
      <c r="R779" s="47" t="n"/>
      <c r="S779" s="47" t="n"/>
      <c r="T779" s="47" t="n"/>
      <c r="U779" s="47" t="n"/>
      <c r="V779" s="47" t="n"/>
      <c r="W779" s="47" t="n"/>
    </row>
    <row r="780" ht="11.25" customHeight="1">
      <c r="A780" s="30" t="inlineStr">
        <is>
          <t>Itaguai</t>
        </is>
      </c>
      <c r="B780" s="30" t="n">
        <v>79261688</v>
      </c>
      <c r="C780" s="30">
        <f>"40284663000523"</f>
        <v/>
      </c>
      <c r="D780" s="30" t="inlineStr">
        <is>
          <t>ACORP DO BRASIL IMPORTACAO E EXPORTACAO LTDA</t>
        </is>
      </c>
      <c r="E780" s="40" t="n">
        <v>0</v>
      </c>
      <c r="F780" s="40" t="n">
        <v>0</v>
      </c>
      <c r="G780" s="40" t="n">
        <v>0</v>
      </c>
      <c r="H780" s="40" t="n">
        <v>2347235.39</v>
      </c>
      <c r="I780" s="40" t="n">
        <v>100</v>
      </c>
      <c r="J780" s="40" t="n">
        <v>0</v>
      </c>
      <c r="K780" s="46" t="n">
        <v>-100</v>
      </c>
      <c r="L780" s="40" t="n">
        <v>5131674.73</v>
      </c>
      <c r="M780" s="40" t="n">
        <v>100</v>
      </c>
      <c r="N780" s="40" t="n">
        <v>0</v>
      </c>
      <c r="O780" s="46" t="n">
        <v>-100</v>
      </c>
      <c r="P780" s="40" t="n">
        <v>8028.66</v>
      </c>
      <c r="Q780" s="40" t="n">
        <v>100</v>
      </c>
      <c r="R780" s="47" t="n"/>
      <c r="S780" s="47" t="n"/>
      <c r="T780" s="47" t="n"/>
      <c r="U780" s="47" t="n"/>
      <c r="V780" s="47" t="n"/>
      <c r="W780" s="47" t="n"/>
    </row>
    <row r="781" ht="11.25" customHeight="1">
      <c r="A781" s="30" t="inlineStr">
        <is>
          <t>Itaguai</t>
        </is>
      </c>
      <c r="B781" s="30" t="n">
        <v>79263575</v>
      </c>
      <c r="C781" s="30">
        <f>"13045627000100"</f>
        <v/>
      </c>
      <c r="D781" s="30" t="inlineStr">
        <is>
          <t>LESSA COMERCIO DE BEBIDAS E DESCARTAVEIS LTDA ME</t>
        </is>
      </c>
      <c r="E781" s="40" t="n">
        <v>155976.55</v>
      </c>
      <c r="F781" s="40" t="n">
        <v>5046.5</v>
      </c>
      <c r="G781" s="46" t="n">
        <v>-96.76000000000001</v>
      </c>
      <c r="H781" s="40" t="n">
        <v>0</v>
      </c>
      <c r="I781" s="46" t="n">
        <v>-100</v>
      </c>
      <c r="J781" s="40" t="n">
        <v>0</v>
      </c>
      <c r="K781" s="40" t="n">
        <v>0</v>
      </c>
      <c r="L781" s="40" t="n">
        <v>0</v>
      </c>
      <c r="M781" s="40" t="n">
        <v>0</v>
      </c>
      <c r="N781" s="40" t="n">
        <v>0</v>
      </c>
      <c r="O781" s="40" t="n">
        <v>0</v>
      </c>
      <c r="P781" s="40" t="n">
        <v>0</v>
      </c>
      <c r="Q781" s="40" t="n">
        <v>0</v>
      </c>
      <c r="R781" s="47" t="n"/>
      <c r="S781" s="47" t="n"/>
      <c r="T781" s="47" t="n"/>
      <c r="U781" s="47" t="n"/>
      <c r="V781" s="47" t="n"/>
      <c r="W781" s="47" t="n"/>
    </row>
    <row r="782" ht="11.25" customHeight="1">
      <c r="A782" s="30" t="inlineStr">
        <is>
          <t>Itaguai</t>
        </is>
      </c>
      <c r="B782" s="30" t="n">
        <v>79269085</v>
      </c>
      <c r="C782" s="30">
        <f>"01625195001108"</f>
        <v/>
      </c>
      <c r="D782" s="30" t="inlineStr">
        <is>
          <t>SCS COMERCIAL E SERVICOS QUIMICOS LTDA</t>
        </is>
      </c>
      <c r="E782" s="40" t="n">
        <v>36958186.69</v>
      </c>
      <c r="F782" s="40" t="n">
        <v>29022443.65</v>
      </c>
      <c r="G782" s="46" t="n">
        <v>-21.47</v>
      </c>
      <c r="H782" s="40" t="n">
        <v>49528081.9</v>
      </c>
      <c r="I782" s="40" t="n">
        <v>70.65000000000001</v>
      </c>
      <c r="J782" s="40" t="n">
        <v>36846145.7</v>
      </c>
      <c r="K782" s="46" t="n">
        <v>-25.61</v>
      </c>
      <c r="L782" s="40" t="n">
        <v>44154898.59</v>
      </c>
      <c r="M782" s="40" t="n">
        <v>19.84</v>
      </c>
      <c r="N782" s="40" t="n">
        <v>17734706.56</v>
      </c>
      <c r="O782" s="46" t="n">
        <v>-59.84</v>
      </c>
      <c r="P782" s="40" t="n">
        <v>0</v>
      </c>
      <c r="Q782" s="46" t="n">
        <v>-100</v>
      </c>
      <c r="R782" s="47" t="n"/>
      <c r="S782" s="47" t="n"/>
      <c r="T782" s="47" t="n"/>
      <c r="U782" s="47" t="n"/>
      <c r="V782" s="47" t="n"/>
      <c r="W782" s="47" t="n"/>
    </row>
    <row r="783" ht="11.25" customHeight="1">
      <c r="A783" s="30" t="inlineStr">
        <is>
          <t>Itaguai</t>
        </is>
      </c>
      <c r="B783" s="30" t="n">
        <v>79273945</v>
      </c>
      <c r="C783" s="30">
        <f>"49871213001583"</f>
        <v/>
      </c>
      <c r="D783" s="30" t="inlineStr">
        <is>
          <t>IC TRANSPORTES LTDA</t>
        </is>
      </c>
      <c r="E783" s="40" t="n">
        <v>0</v>
      </c>
      <c r="F783" s="40" t="n">
        <v>0</v>
      </c>
      <c r="G783" s="40" t="n">
        <v>0</v>
      </c>
      <c r="H783" s="40" t="n">
        <v>0</v>
      </c>
      <c r="I783" s="40" t="n">
        <v>0</v>
      </c>
      <c r="J783" s="40" t="n">
        <v>0</v>
      </c>
      <c r="K783" s="40" t="n">
        <v>0</v>
      </c>
      <c r="L783" s="40" t="n">
        <v>0</v>
      </c>
      <c r="M783" s="40" t="n">
        <v>0</v>
      </c>
      <c r="N783" s="40" t="n">
        <v>0</v>
      </c>
      <c r="O783" s="40" t="n">
        <v>0</v>
      </c>
      <c r="P783" s="40" t="n">
        <v>0</v>
      </c>
      <c r="Q783" s="40" t="n">
        <v>0</v>
      </c>
      <c r="R783" s="47" t="n"/>
      <c r="S783" s="47" t="n"/>
      <c r="T783" s="47" t="n"/>
      <c r="U783" s="47" t="n"/>
      <c r="V783" s="47" t="n"/>
      <c r="W783" s="47" t="n"/>
    </row>
    <row r="784" ht="11.25" customHeight="1">
      <c r="A784" s="30" t="inlineStr">
        <is>
          <t>Itaguai</t>
        </is>
      </c>
      <c r="B784" s="30" t="n">
        <v>79280313</v>
      </c>
      <c r="C784" s="30">
        <f>"12892994000187"</f>
        <v/>
      </c>
      <c r="D784" s="30" t="inlineStr">
        <is>
          <t>RECICLE RECICLAGEM E COLETA LTDA</t>
        </is>
      </c>
      <c r="E784" s="40" t="n">
        <v>0</v>
      </c>
      <c r="F784" s="40" t="n">
        <v>0</v>
      </c>
      <c r="G784" s="40" t="n">
        <v>0</v>
      </c>
      <c r="H784" s="40" t="n">
        <v>0</v>
      </c>
      <c r="I784" s="40" t="n">
        <v>0</v>
      </c>
      <c r="J784" s="40" t="n">
        <v>0</v>
      </c>
      <c r="K784" s="40" t="n">
        <v>0</v>
      </c>
      <c r="L784" s="40" t="n">
        <v>0</v>
      </c>
      <c r="M784" s="40" t="n">
        <v>0</v>
      </c>
      <c r="N784" s="40" t="n">
        <v>0</v>
      </c>
      <c r="O784" s="40" t="n">
        <v>0</v>
      </c>
      <c r="P784" s="40" t="n">
        <v>0</v>
      </c>
      <c r="Q784" s="40" t="n">
        <v>0</v>
      </c>
      <c r="R784" s="47" t="n"/>
      <c r="S784" s="47" t="n"/>
      <c r="T784" s="47" t="n"/>
      <c r="U784" s="47" t="n"/>
      <c r="V784" s="47" t="n"/>
      <c r="W784" s="47" t="n"/>
    </row>
    <row r="785" ht="11.25" customHeight="1">
      <c r="A785" s="30" t="inlineStr">
        <is>
          <t>Itaguai</t>
        </is>
      </c>
      <c r="B785" s="30" t="n">
        <v>79280410</v>
      </c>
      <c r="C785" s="30">
        <f>"12881139000170"</f>
        <v/>
      </c>
      <c r="D785" s="30" t="inlineStr">
        <is>
          <t>PADARIA E CONFEITARIA NOVA BRISA MAR LTDA ME</t>
        </is>
      </c>
      <c r="E785" s="40" t="n">
        <v>0</v>
      </c>
      <c r="F785" s="40" t="n">
        <v>0</v>
      </c>
      <c r="G785" s="40" t="n">
        <v>0</v>
      </c>
      <c r="H785" s="40" t="n">
        <v>0</v>
      </c>
      <c r="I785" s="40" t="n">
        <v>0</v>
      </c>
      <c r="J785" s="40" t="n">
        <v>0</v>
      </c>
      <c r="K785" s="40" t="n">
        <v>0</v>
      </c>
      <c r="L785" s="40" t="n">
        <v>0</v>
      </c>
      <c r="M785" s="40" t="n">
        <v>0</v>
      </c>
      <c r="N785" s="40" t="n">
        <v>0</v>
      </c>
      <c r="O785" s="40" t="n">
        <v>0</v>
      </c>
      <c r="P785" s="40" t="n">
        <v>0</v>
      </c>
      <c r="Q785" s="40" t="n">
        <v>0</v>
      </c>
      <c r="R785" s="47" t="n"/>
      <c r="S785" s="47" t="n"/>
      <c r="T785" s="47" t="n"/>
      <c r="U785" s="47" t="n"/>
      <c r="V785" s="47" t="n"/>
      <c r="W785" s="47" t="n"/>
    </row>
    <row r="786" ht="11.25" customHeight="1">
      <c r="A786" s="30" t="inlineStr">
        <is>
          <t>Itaguai</t>
        </is>
      </c>
      <c r="B786" s="30" t="n">
        <v>79282898</v>
      </c>
      <c r="C786" s="30">
        <f>"13146095000106"</f>
        <v/>
      </c>
      <c r="D786" s="30" t="inlineStr">
        <is>
          <t>AUTO POSTO JMX LTDA - ME</t>
        </is>
      </c>
      <c r="E786" s="40" t="n">
        <v>506602.46</v>
      </c>
      <c r="F786" s="40" t="n">
        <v>2246228.73</v>
      </c>
      <c r="G786" s="40" t="n">
        <v>343.39</v>
      </c>
      <c r="H786" s="40" t="n">
        <v>32677.1</v>
      </c>
      <c r="I786" s="46" t="n">
        <v>-98.55</v>
      </c>
      <c r="J786" s="40" t="n">
        <v>89936.39</v>
      </c>
      <c r="K786" s="40" t="n">
        <v>175.23</v>
      </c>
      <c r="L786" s="40" t="n">
        <v>0</v>
      </c>
      <c r="M786" s="46" t="n">
        <v>-100</v>
      </c>
      <c r="N786" s="40" t="n">
        <v>0</v>
      </c>
      <c r="O786" s="40" t="n">
        <v>0</v>
      </c>
      <c r="P786" s="40" t="n">
        <v>0</v>
      </c>
      <c r="Q786" s="40" t="n">
        <v>0</v>
      </c>
      <c r="R786" s="47" t="n"/>
      <c r="S786" s="47" t="n"/>
      <c r="T786" s="47" t="n"/>
      <c r="U786" s="47" t="n"/>
      <c r="V786" s="47" t="n"/>
      <c r="W786" s="47" t="n"/>
    </row>
    <row r="787" ht="11.25" customHeight="1">
      <c r="A787" s="30" t="inlineStr">
        <is>
          <t>Itaguai</t>
        </is>
      </c>
      <c r="B787" s="30" t="n">
        <v>79292109</v>
      </c>
      <c r="C787" s="30">
        <f>"11047649000265"</f>
        <v/>
      </c>
      <c r="D787" s="30" t="inlineStr">
        <is>
          <t>VIACAO CAICARA LTDA</t>
        </is>
      </c>
      <c r="E787" s="40" t="n">
        <v>105598.82</v>
      </c>
      <c r="F787" s="40" t="n">
        <v>131994.92</v>
      </c>
      <c r="G787" s="40" t="n">
        <v>25</v>
      </c>
      <c r="H787" s="40" t="n">
        <v>232988.74</v>
      </c>
      <c r="I787" s="40" t="n">
        <v>76.51000000000001</v>
      </c>
      <c r="J787" s="40" t="n">
        <v>122555.28</v>
      </c>
      <c r="K787" s="46" t="n">
        <v>-47.4</v>
      </c>
      <c r="L787" s="40" t="n">
        <v>0</v>
      </c>
      <c r="M787" s="46" t="n">
        <v>-100</v>
      </c>
      <c r="N787" s="40" t="n">
        <v>0</v>
      </c>
      <c r="O787" s="40" t="n">
        <v>0</v>
      </c>
      <c r="P787" s="40" t="n">
        <v>0</v>
      </c>
      <c r="Q787" s="40" t="n">
        <v>0</v>
      </c>
      <c r="R787" s="47" t="n"/>
      <c r="S787" s="47" t="n"/>
      <c r="T787" s="47" t="n"/>
      <c r="U787" s="47" t="n"/>
      <c r="V787" s="47" t="n"/>
      <c r="W787" s="47" t="n"/>
    </row>
    <row r="788" ht="11.25" customHeight="1">
      <c r="A788" s="30" t="inlineStr">
        <is>
          <t>Itaguai</t>
        </is>
      </c>
      <c r="B788" s="30" t="n">
        <v>79299294</v>
      </c>
      <c r="C788" s="30">
        <f>"13203242000124"</f>
        <v/>
      </c>
      <c r="D788" s="30" t="inlineStr">
        <is>
          <t>TATI RESTAURANTE E LANCHONETE LTDA - ME</t>
        </is>
      </c>
      <c r="E788" s="40" t="n">
        <v>715328.28</v>
      </c>
      <c r="F788" s="40" t="n">
        <v>8135450.32</v>
      </c>
      <c r="G788" s="40" t="n">
        <v>1037.3</v>
      </c>
      <c r="H788" s="40" t="n">
        <v>4951124.03</v>
      </c>
      <c r="I788" s="46" t="n">
        <v>-39.14</v>
      </c>
      <c r="J788" s="40" t="n">
        <v>0</v>
      </c>
      <c r="K788" s="46" t="n">
        <v>-100</v>
      </c>
      <c r="L788" s="40" t="n">
        <v>0</v>
      </c>
      <c r="M788" s="40" t="n">
        <v>0</v>
      </c>
      <c r="N788" s="40" t="n">
        <v>0</v>
      </c>
      <c r="O788" s="40" t="n">
        <v>0</v>
      </c>
      <c r="P788" s="40" t="n">
        <v>0</v>
      </c>
      <c r="Q788" s="40" t="n">
        <v>0</v>
      </c>
      <c r="R788" s="47" t="n"/>
      <c r="S788" s="47" t="n"/>
      <c r="T788" s="47" t="n"/>
      <c r="U788" s="47" t="n"/>
      <c r="V788" s="47" t="n"/>
      <c r="W788" s="47" t="n"/>
    </row>
    <row r="789" ht="11.25" customHeight="1">
      <c r="A789" s="30" t="inlineStr">
        <is>
          <t>Itaguai</t>
        </is>
      </c>
      <c r="B789" s="30" t="n">
        <v>79310166</v>
      </c>
      <c r="C789" s="30">
        <f>"13203282000176"</f>
        <v/>
      </c>
      <c r="D789" s="30" t="inlineStr">
        <is>
          <t>EMPORIO DO DOM LTDA ME</t>
        </is>
      </c>
      <c r="E789" s="40" t="n">
        <v>0</v>
      </c>
      <c r="F789" s="40" t="n">
        <v>0</v>
      </c>
      <c r="G789" s="40" t="n">
        <v>0</v>
      </c>
      <c r="H789" s="40" t="n">
        <v>0</v>
      </c>
      <c r="I789" s="40" t="n">
        <v>0</v>
      </c>
      <c r="J789" s="40" t="n">
        <v>0</v>
      </c>
      <c r="K789" s="40" t="n">
        <v>0</v>
      </c>
      <c r="L789" s="40" t="n">
        <v>0</v>
      </c>
      <c r="M789" s="40" t="n">
        <v>0</v>
      </c>
      <c r="N789" s="40" t="n">
        <v>0</v>
      </c>
      <c r="O789" s="40" t="n">
        <v>0</v>
      </c>
      <c r="P789" s="40" t="n">
        <v>0</v>
      </c>
      <c r="Q789" s="40" t="n">
        <v>0</v>
      </c>
      <c r="R789" s="47" t="n"/>
      <c r="S789" s="47" t="n"/>
      <c r="T789" s="47" t="n"/>
      <c r="U789" s="47" t="n"/>
      <c r="V789" s="47" t="n"/>
      <c r="W789" s="47" t="n"/>
    </row>
    <row r="790" ht="11.25" customHeight="1">
      <c r="A790" s="30" t="inlineStr">
        <is>
          <t>Itaguai</t>
        </is>
      </c>
      <c r="B790" s="30" t="n">
        <v>79310700</v>
      </c>
      <c r="C790" s="30">
        <f>"05055714000110"</f>
        <v/>
      </c>
      <c r="D790" s="30" t="inlineStr">
        <is>
          <t>MARVIN - TRANSPORTES E LOCACAO DE MAQUINAS LTDA</t>
        </is>
      </c>
      <c r="E790" s="40" t="n">
        <v>0</v>
      </c>
      <c r="F790" s="40" t="n">
        <v>0</v>
      </c>
      <c r="G790" s="40" t="n">
        <v>0</v>
      </c>
      <c r="H790" s="40" t="n">
        <v>0</v>
      </c>
      <c r="I790" s="40" t="n">
        <v>0</v>
      </c>
      <c r="J790" s="40" t="n">
        <v>77368.69</v>
      </c>
      <c r="K790" s="40" t="n">
        <v>100</v>
      </c>
      <c r="L790" s="40" t="n">
        <v>0</v>
      </c>
      <c r="M790" s="46" t="n">
        <v>-100</v>
      </c>
      <c r="N790" s="40" t="n">
        <v>0</v>
      </c>
      <c r="O790" s="40" t="n">
        <v>0</v>
      </c>
      <c r="P790" s="40" t="n">
        <v>0</v>
      </c>
      <c r="Q790" s="40" t="n">
        <v>0</v>
      </c>
      <c r="R790" s="47" t="n"/>
      <c r="S790" s="47" t="n"/>
      <c r="T790" s="47" t="n"/>
      <c r="U790" s="47" t="n"/>
      <c r="V790" s="47" t="n"/>
      <c r="W790" s="47" t="n"/>
    </row>
    <row r="791" ht="11.25" customHeight="1">
      <c r="A791" s="30" t="inlineStr">
        <is>
          <t>Itaguai</t>
        </is>
      </c>
      <c r="B791" s="30" t="n">
        <v>79317870</v>
      </c>
      <c r="C791" s="30">
        <f>"13345892000104"</f>
        <v/>
      </c>
      <c r="D791" s="30" t="inlineStr">
        <is>
          <t>ASSOCIACAO MISTA DE PRODUTORES RURAIS DA AGRICULTURA FAMILIAR</t>
        </is>
      </c>
      <c r="E791" s="40" t="n">
        <v>0</v>
      </c>
      <c r="F791" s="40" t="n">
        <v>0</v>
      </c>
      <c r="G791" s="40" t="n">
        <v>0</v>
      </c>
      <c r="H791" s="40" t="n">
        <v>0</v>
      </c>
      <c r="I791" s="40" t="n">
        <v>0</v>
      </c>
      <c r="J791" s="40" t="n">
        <v>0</v>
      </c>
      <c r="K791" s="40" t="n">
        <v>0</v>
      </c>
      <c r="L791" s="40" t="n">
        <v>0</v>
      </c>
      <c r="M791" s="40" t="n">
        <v>0</v>
      </c>
      <c r="N791" s="40" t="n">
        <v>0</v>
      </c>
      <c r="O791" s="40" t="n">
        <v>0</v>
      </c>
      <c r="P791" s="40" t="n">
        <v>0</v>
      </c>
      <c r="Q791" s="40" t="n">
        <v>0</v>
      </c>
      <c r="R791" s="47" t="n"/>
      <c r="S791" s="47" t="n"/>
      <c r="T791" s="47" t="n"/>
      <c r="U791" s="47" t="n"/>
      <c r="V791" s="47" t="n"/>
      <c r="W791" s="47" t="n"/>
    </row>
    <row r="792" ht="11.25" customHeight="1">
      <c r="A792" s="30" t="inlineStr">
        <is>
          <t>Itaguai</t>
        </is>
      </c>
      <c r="B792" s="30" t="n">
        <v>79337471</v>
      </c>
      <c r="C792" s="30">
        <f>"13447161000170"</f>
        <v/>
      </c>
      <c r="D792" s="30" t="inlineStr">
        <is>
          <t>R C RANGEL TRANSPORTES LTDA ME</t>
        </is>
      </c>
      <c r="E792" s="40" t="n">
        <v>0</v>
      </c>
      <c r="F792" s="40" t="n">
        <v>0</v>
      </c>
      <c r="G792" s="40" t="n">
        <v>0</v>
      </c>
      <c r="H792" s="40" t="n">
        <v>0</v>
      </c>
      <c r="I792" s="40" t="n">
        <v>0</v>
      </c>
      <c r="J792" s="40" t="n">
        <v>0</v>
      </c>
      <c r="K792" s="40" t="n">
        <v>0</v>
      </c>
      <c r="L792" s="40" t="n">
        <v>0</v>
      </c>
      <c r="M792" s="40" t="n">
        <v>0</v>
      </c>
      <c r="N792" s="40" t="n">
        <v>19765.38</v>
      </c>
      <c r="O792" s="40" t="n">
        <v>100</v>
      </c>
      <c r="P792" s="40" t="n">
        <v>0</v>
      </c>
      <c r="Q792" s="46" t="n">
        <v>-100</v>
      </c>
      <c r="R792" s="47" t="n"/>
      <c r="S792" s="47" t="n"/>
      <c r="T792" s="47" t="n"/>
      <c r="U792" s="47" t="n"/>
      <c r="V792" s="47" t="n"/>
      <c r="W792" s="47" t="n"/>
    </row>
    <row r="793" ht="11.25" customHeight="1">
      <c r="A793" s="30" t="inlineStr">
        <is>
          <t>Itaguai</t>
        </is>
      </c>
      <c r="B793" s="30" t="n">
        <v>79338931</v>
      </c>
      <c r="C793" s="30">
        <f>"13461436000120"</f>
        <v/>
      </c>
      <c r="D793" s="30" t="inlineStr">
        <is>
          <t>AUDAX LOGISTICA TRANSPORTES &amp; TURISMO LTDA</t>
        </is>
      </c>
      <c r="E793" s="40" t="n">
        <v>0</v>
      </c>
      <c r="F793" s="40" t="n">
        <v>972.23</v>
      </c>
      <c r="G793" s="40" t="n">
        <v>100</v>
      </c>
      <c r="H793" s="40" t="n">
        <v>737.71</v>
      </c>
      <c r="I793" s="46" t="n">
        <v>-24.12</v>
      </c>
      <c r="J793" s="40" t="n">
        <v>15502.12</v>
      </c>
      <c r="K793" s="40" t="n">
        <v>2001.38</v>
      </c>
      <c r="L793" s="40" t="n">
        <v>23908.77</v>
      </c>
      <c r="M793" s="40" t="n">
        <v>54.23</v>
      </c>
      <c r="N793" s="40" t="n">
        <v>90618.31</v>
      </c>
      <c r="O793" s="40" t="n">
        <v>279.02</v>
      </c>
      <c r="P793" s="40" t="n">
        <v>57507.96</v>
      </c>
      <c r="Q793" s="46" t="n">
        <v>-36.54</v>
      </c>
      <c r="R793" s="47" t="n"/>
      <c r="S793" s="47" t="n"/>
      <c r="T793" s="47" t="n"/>
      <c r="U793" s="47" t="n"/>
      <c r="V793" s="47" t="n"/>
      <c r="W793" s="47" t="n"/>
    </row>
    <row r="794" ht="11.25" customHeight="1">
      <c r="A794" s="30" t="inlineStr">
        <is>
          <t>Itaguai</t>
        </is>
      </c>
      <c r="B794" s="30" t="n">
        <v>79340839</v>
      </c>
      <c r="C794" s="30">
        <f>"33247271001177"</f>
        <v/>
      </c>
      <c r="D794" s="30" t="inlineStr">
        <is>
          <t>EMPRESA BRASILEIRA DE ENGENHARIA S/A</t>
        </is>
      </c>
      <c r="E794" s="40" t="n">
        <v>0</v>
      </c>
      <c r="F794" s="40" t="n">
        <v>0</v>
      </c>
      <c r="G794" s="40" t="n">
        <v>0</v>
      </c>
      <c r="H794" s="40" t="n">
        <v>0</v>
      </c>
      <c r="I794" s="40" t="n">
        <v>0</v>
      </c>
      <c r="J794" s="40" t="n">
        <v>0</v>
      </c>
      <c r="K794" s="40" t="n">
        <v>0</v>
      </c>
      <c r="L794" s="40" t="n">
        <v>0</v>
      </c>
      <c r="M794" s="40" t="n">
        <v>0</v>
      </c>
      <c r="N794" s="40" t="n">
        <v>0</v>
      </c>
      <c r="O794" s="40" t="n">
        <v>0</v>
      </c>
      <c r="P794" s="40" t="n">
        <v>0</v>
      </c>
      <c r="Q794" s="40" t="n">
        <v>0</v>
      </c>
      <c r="R794" s="47" t="n"/>
      <c r="S794" s="47" t="n"/>
      <c r="T794" s="47" t="n"/>
      <c r="U794" s="47" t="n"/>
      <c r="V794" s="47" t="n"/>
      <c r="W794" s="47" t="n"/>
    </row>
    <row r="795" ht="11.25" customHeight="1">
      <c r="A795" s="30" t="inlineStr">
        <is>
          <t>Itaguai</t>
        </is>
      </c>
      <c r="B795" s="30" t="n">
        <v>79341789</v>
      </c>
      <c r="C795" s="30">
        <f>"30094114006735"</f>
        <v/>
      </c>
      <c r="D795" s="30" t="inlineStr">
        <is>
          <t>UNIAO DE LOJAS LEADER S/A</t>
        </is>
      </c>
      <c r="E795" s="40" t="n">
        <v>5912716.58</v>
      </c>
      <c r="F795" s="40" t="n">
        <v>5500097.05</v>
      </c>
      <c r="G795" s="46" t="n">
        <v>-6.98</v>
      </c>
      <c r="H795" s="40" t="n">
        <v>6525120.65</v>
      </c>
      <c r="I795" s="40" t="n">
        <v>18.64</v>
      </c>
      <c r="J795" s="40" t="n">
        <v>1948741.78</v>
      </c>
      <c r="K795" s="46" t="n">
        <v>-70.13</v>
      </c>
      <c r="L795" s="40" t="n">
        <v>3626971.7</v>
      </c>
      <c r="M795" s="40" t="n">
        <v>86.12</v>
      </c>
      <c r="N795" s="40" t="n">
        <v>1868338.13</v>
      </c>
      <c r="O795" s="46" t="n">
        <v>-48.49</v>
      </c>
      <c r="P795" s="40" t="n">
        <v>0</v>
      </c>
      <c r="Q795" s="46" t="n">
        <v>-100</v>
      </c>
      <c r="R795" s="47" t="n"/>
      <c r="S795" s="47" t="n"/>
      <c r="T795" s="47" t="n"/>
      <c r="U795" s="47" t="n"/>
      <c r="V795" s="47" t="n"/>
      <c r="W795" s="47" t="n"/>
    </row>
    <row r="796" ht="11.25" customHeight="1">
      <c r="A796" s="30" t="inlineStr">
        <is>
          <t>Itaguai</t>
        </is>
      </c>
      <c r="B796" s="30" t="n">
        <v>79345091</v>
      </c>
      <c r="C796" s="30">
        <f>"48740351012252"</f>
        <v/>
      </c>
      <c r="D796" s="30" t="inlineStr">
        <is>
          <t>BRASPRESS TRANSPORTES URGENTES LTDA</t>
        </is>
      </c>
      <c r="E796" s="40" t="n">
        <v>0</v>
      </c>
      <c r="F796" s="40" t="n">
        <v>1126.99</v>
      </c>
      <c r="G796" s="40" t="n">
        <v>100</v>
      </c>
      <c r="H796" s="40" t="n">
        <v>2720.34</v>
      </c>
      <c r="I796" s="40" t="n">
        <v>141.38</v>
      </c>
      <c r="J796" s="40" t="n">
        <v>1718.7</v>
      </c>
      <c r="K796" s="46" t="n">
        <v>-36.82</v>
      </c>
      <c r="L796" s="40" t="n">
        <v>166.13</v>
      </c>
      <c r="M796" s="46" t="n">
        <v>-90.33</v>
      </c>
      <c r="N796" s="40" t="n">
        <v>0</v>
      </c>
      <c r="O796" s="46" t="n">
        <v>-100</v>
      </c>
      <c r="P796" s="40" t="n">
        <v>61.83</v>
      </c>
      <c r="Q796" s="40" t="n">
        <v>100</v>
      </c>
      <c r="R796" s="47" t="n"/>
      <c r="S796" s="47" t="n"/>
      <c r="T796" s="47" t="n"/>
      <c r="U796" s="47" t="n"/>
      <c r="V796" s="47" t="n"/>
      <c r="W796" s="47" t="n"/>
    </row>
    <row r="797" ht="11.25" customHeight="1">
      <c r="A797" s="30" t="inlineStr">
        <is>
          <t>Itaguai</t>
        </is>
      </c>
      <c r="B797" s="30" t="n">
        <v>79360651</v>
      </c>
      <c r="C797" s="30">
        <f>"19451038003477"</f>
        <v/>
      </c>
      <c r="D797" s="30" t="inlineStr">
        <is>
          <t>RODOVIARIO CAMILO DOS SANTOS FILHO LTDA</t>
        </is>
      </c>
      <c r="E797" s="40" t="n">
        <v>0</v>
      </c>
      <c r="F797" s="40" t="n">
        <v>0</v>
      </c>
      <c r="G797" s="40" t="n">
        <v>0</v>
      </c>
      <c r="H797" s="40" t="n">
        <v>0</v>
      </c>
      <c r="I797" s="40" t="n">
        <v>0</v>
      </c>
      <c r="J797" s="40" t="n">
        <v>137.5</v>
      </c>
      <c r="K797" s="40" t="n">
        <v>100</v>
      </c>
      <c r="L797" s="40" t="n">
        <v>0</v>
      </c>
      <c r="M797" s="46" t="n">
        <v>-100</v>
      </c>
      <c r="N797" s="40" t="n">
        <v>0</v>
      </c>
      <c r="O797" s="40" t="n">
        <v>0</v>
      </c>
      <c r="P797" s="40" t="n">
        <v>0</v>
      </c>
      <c r="Q797" s="40" t="n">
        <v>0</v>
      </c>
      <c r="R797" s="47" t="n"/>
      <c r="S797" s="47" t="n"/>
      <c r="T797" s="47" t="n"/>
      <c r="U797" s="47" t="n"/>
      <c r="V797" s="47" t="n"/>
      <c r="W797" s="47" t="n"/>
    </row>
    <row r="798" ht="11.25" customHeight="1">
      <c r="A798" s="30" t="inlineStr">
        <is>
          <t>Itaguai</t>
        </is>
      </c>
      <c r="B798" s="30" t="n">
        <v>79370991</v>
      </c>
      <c r="C798" s="30">
        <f>"13632836000150"</f>
        <v/>
      </c>
      <c r="D798" s="30" t="inlineStr">
        <is>
          <t>QUEIJARIA E ADEGA SANTA EDWIGES COMERCIO EIRELI EPP</t>
        </is>
      </c>
      <c r="E798" s="40" t="n">
        <v>2300</v>
      </c>
      <c r="F798" s="40" t="n">
        <v>0</v>
      </c>
      <c r="G798" s="46" t="n">
        <v>-100</v>
      </c>
      <c r="H798" s="40" t="n">
        <v>0</v>
      </c>
      <c r="I798" s="40" t="n">
        <v>0</v>
      </c>
      <c r="J798" s="40" t="n">
        <v>0</v>
      </c>
      <c r="K798" s="40" t="n">
        <v>0</v>
      </c>
      <c r="L798" s="40" t="n">
        <v>0</v>
      </c>
      <c r="M798" s="40" t="n">
        <v>0</v>
      </c>
      <c r="N798" s="40" t="n">
        <v>0</v>
      </c>
      <c r="O798" s="40" t="n">
        <v>0</v>
      </c>
      <c r="P798" s="40" t="n">
        <v>0</v>
      </c>
      <c r="Q798" s="40" t="n">
        <v>0</v>
      </c>
      <c r="R798" s="47" t="n"/>
      <c r="S798" s="47" t="n"/>
      <c r="T798" s="47" t="n"/>
      <c r="U798" s="47" t="n"/>
      <c r="V798" s="47" t="n"/>
      <c r="W798" s="47" t="n"/>
    </row>
    <row r="799" ht="11.25" customHeight="1">
      <c r="A799" s="30" t="inlineStr">
        <is>
          <t>Itaguai</t>
        </is>
      </c>
      <c r="B799" s="30" t="n">
        <v>79373095</v>
      </c>
      <c r="C799" s="30">
        <f>"13647980000160"</f>
        <v/>
      </c>
      <c r="D799" s="30" t="inlineStr">
        <is>
          <t>PROGRESSO ARMAZENS E LOGISTICA EIRELI EPP</t>
        </is>
      </c>
      <c r="E799" s="40" t="n">
        <v>0</v>
      </c>
      <c r="F799" s="40" t="n">
        <v>113881.01</v>
      </c>
      <c r="G799" s="40" t="n">
        <v>100</v>
      </c>
      <c r="H799" s="40" t="n">
        <v>188951.73</v>
      </c>
      <c r="I799" s="40" t="n">
        <v>65.92</v>
      </c>
      <c r="J799" s="40" t="n">
        <v>12506234.11</v>
      </c>
      <c r="K799" s="40" t="n">
        <v>6518.75</v>
      </c>
      <c r="L799" s="40" t="n">
        <v>9619977.1</v>
      </c>
      <c r="M799" s="46" t="n">
        <v>-23.08</v>
      </c>
      <c r="N799" s="40" t="n">
        <v>0</v>
      </c>
      <c r="O799" s="46" t="n">
        <v>-100</v>
      </c>
      <c r="P799" s="40" t="n">
        <v>0</v>
      </c>
      <c r="Q799" s="40" t="n">
        <v>0</v>
      </c>
      <c r="R799" s="47" t="n"/>
      <c r="S799" s="47" t="n"/>
      <c r="T799" s="47" t="n"/>
      <c r="U799" s="47" t="n"/>
      <c r="V799" s="47" t="n"/>
      <c r="W799" s="47" t="n"/>
    </row>
    <row r="800" ht="11.25" customHeight="1">
      <c r="A800" s="30" t="inlineStr">
        <is>
          <t>Itaguai</t>
        </is>
      </c>
      <c r="B800" s="30" t="n">
        <v>79376019</v>
      </c>
      <c r="C800" s="30">
        <f>"13653577000144"</f>
        <v/>
      </c>
      <c r="D800" s="30" t="inlineStr">
        <is>
          <t>SUPER GELO SISTEMAS LTDA</t>
        </is>
      </c>
      <c r="E800" s="40" t="n">
        <v>0</v>
      </c>
      <c r="F800" s="40" t="n">
        <v>0</v>
      </c>
      <c r="G800" s="40" t="n">
        <v>0</v>
      </c>
      <c r="H800" s="40" t="n">
        <v>0</v>
      </c>
      <c r="I800" s="40" t="n">
        <v>0</v>
      </c>
      <c r="J800" s="40" t="n">
        <v>0</v>
      </c>
      <c r="K800" s="40" t="n">
        <v>0</v>
      </c>
      <c r="L800" s="40" t="n">
        <v>0</v>
      </c>
      <c r="M800" s="40" t="n">
        <v>0</v>
      </c>
      <c r="N800" s="40" t="n">
        <v>0</v>
      </c>
      <c r="O800" s="40" t="n">
        <v>0</v>
      </c>
      <c r="P800" s="40" t="n">
        <v>0</v>
      </c>
      <c r="Q800" s="40" t="n">
        <v>0</v>
      </c>
      <c r="R800" s="47" t="n"/>
      <c r="S800" s="47" t="n"/>
      <c r="T800" s="47" t="n"/>
      <c r="U800" s="47" t="n"/>
      <c r="V800" s="47" t="n"/>
      <c r="W800" s="47" t="n"/>
    </row>
    <row r="801" ht="11.25" customHeight="1">
      <c r="A801" s="30" t="inlineStr">
        <is>
          <t>Itaguai</t>
        </is>
      </c>
      <c r="B801" s="30" t="n">
        <v>79379190</v>
      </c>
      <c r="C801" s="30">
        <f>"13682031000111"</f>
        <v/>
      </c>
      <c r="D801" s="30" t="inlineStr">
        <is>
          <t>F DE ALMEIDA MINI MERCADO ME</t>
        </is>
      </c>
      <c r="E801" s="40" t="n">
        <v>0</v>
      </c>
      <c r="F801" s="40" t="n">
        <v>0</v>
      </c>
      <c r="G801" s="40" t="n">
        <v>0</v>
      </c>
      <c r="H801" s="40" t="n">
        <v>0</v>
      </c>
      <c r="I801" s="40" t="n">
        <v>0</v>
      </c>
      <c r="J801" s="40" t="n">
        <v>0</v>
      </c>
      <c r="K801" s="40" t="n">
        <v>0</v>
      </c>
      <c r="L801" s="40" t="n">
        <v>0</v>
      </c>
      <c r="M801" s="40" t="n">
        <v>0</v>
      </c>
      <c r="N801" s="40" t="n">
        <v>0</v>
      </c>
      <c r="O801" s="40" t="n">
        <v>0</v>
      </c>
      <c r="P801" s="40" t="n">
        <v>7378.35</v>
      </c>
      <c r="Q801" s="40" t="n">
        <v>100</v>
      </c>
      <c r="R801" s="47" t="n"/>
      <c r="S801" s="47" t="n"/>
      <c r="T801" s="47" t="n"/>
      <c r="U801" s="47" t="n"/>
      <c r="V801" s="47" t="n"/>
      <c r="W801" s="47" t="n"/>
    </row>
    <row r="802" ht="11.25" customHeight="1">
      <c r="A802" s="30" t="inlineStr">
        <is>
          <t>Itaguai</t>
        </is>
      </c>
      <c r="B802" s="30" t="n">
        <v>79384232</v>
      </c>
      <c r="C802" s="30">
        <f>"12500309000120"</f>
        <v/>
      </c>
      <c r="D802" s="30" t="inlineStr">
        <is>
          <t>FLAVIA DA SILVA ZAMBONI CABELEIREIRA</t>
        </is>
      </c>
      <c r="E802" s="40" t="n">
        <v>0</v>
      </c>
      <c r="F802" s="40" t="n">
        <v>0</v>
      </c>
      <c r="G802" s="40" t="n">
        <v>0</v>
      </c>
      <c r="H802" s="40" t="n">
        <v>0</v>
      </c>
      <c r="I802" s="40" t="n">
        <v>0</v>
      </c>
      <c r="J802" s="40" t="n">
        <v>0</v>
      </c>
      <c r="K802" s="40" t="n">
        <v>0</v>
      </c>
      <c r="L802" s="40" t="n">
        <v>0</v>
      </c>
      <c r="M802" s="40" t="n">
        <v>0</v>
      </c>
      <c r="N802" s="40" t="n">
        <v>0</v>
      </c>
      <c r="O802" s="40" t="n">
        <v>0</v>
      </c>
      <c r="P802" s="40" t="n">
        <v>0</v>
      </c>
      <c r="Q802" s="40" t="n">
        <v>0</v>
      </c>
      <c r="R802" s="47" t="n"/>
      <c r="S802" s="47" t="n"/>
      <c r="T802" s="47" t="n"/>
      <c r="U802" s="47" t="n"/>
      <c r="V802" s="47" t="n"/>
      <c r="W802" s="47" t="n"/>
    </row>
    <row r="803" ht="11.25" customHeight="1">
      <c r="A803" s="30" t="inlineStr">
        <is>
          <t>Itaguai</t>
        </is>
      </c>
      <c r="B803" s="30" t="n">
        <v>79393789</v>
      </c>
      <c r="C803" s="30">
        <f>"09044235019098"</f>
        <v/>
      </c>
      <c r="D803" s="30" t="inlineStr">
        <is>
          <t>Q1 COMERCIAL DE ROUPAS S A</t>
        </is>
      </c>
      <c r="E803" s="40" t="n">
        <v>0</v>
      </c>
      <c r="F803" s="40" t="n">
        <v>198987.1</v>
      </c>
      <c r="G803" s="40" t="n">
        <v>100</v>
      </c>
      <c r="H803" s="40" t="n">
        <v>47886.36</v>
      </c>
      <c r="I803" s="46" t="n">
        <v>-75.93000000000001</v>
      </c>
      <c r="J803" s="40" t="n">
        <v>0</v>
      </c>
      <c r="K803" s="46" t="n">
        <v>-100</v>
      </c>
      <c r="L803" s="40" t="n">
        <v>0</v>
      </c>
      <c r="M803" s="40" t="n">
        <v>0</v>
      </c>
      <c r="N803" s="40" t="n">
        <v>0</v>
      </c>
      <c r="O803" s="40" t="n">
        <v>0</v>
      </c>
      <c r="P803" s="40" t="n">
        <v>0</v>
      </c>
      <c r="Q803" s="40" t="n">
        <v>0</v>
      </c>
      <c r="R803" s="47" t="n"/>
      <c r="S803" s="47" t="n"/>
      <c r="T803" s="47" t="n"/>
      <c r="U803" s="47" t="n"/>
      <c r="V803" s="47" t="n"/>
      <c r="W803" s="47" t="n"/>
    </row>
    <row r="804" ht="11.25" customHeight="1">
      <c r="A804" s="30" t="inlineStr">
        <is>
          <t>Itaguai</t>
        </is>
      </c>
      <c r="B804" s="30" t="n">
        <v>79394203</v>
      </c>
      <c r="C804" s="30">
        <f>"33014556068742"</f>
        <v/>
      </c>
      <c r="D804" s="30" t="inlineStr">
        <is>
          <t>LOJAS AMERICANAS S.A.</t>
        </is>
      </c>
      <c r="E804" s="40" t="n">
        <v>1667820.14</v>
      </c>
      <c r="F804" s="40" t="n">
        <v>1456198.35</v>
      </c>
      <c r="G804" s="46" t="n">
        <v>-12.69</v>
      </c>
      <c r="H804" s="40" t="n">
        <v>1410950.26</v>
      </c>
      <c r="I804" s="46" t="n">
        <v>-3.11</v>
      </c>
      <c r="J804" s="40" t="n">
        <v>1636291.09</v>
      </c>
      <c r="K804" s="40" t="n">
        <v>15.97</v>
      </c>
      <c r="L804" s="40" t="n">
        <v>0</v>
      </c>
      <c r="M804" s="46" t="n">
        <v>-100</v>
      </c>
      <c r="N804" s="40" t="n">
        <v>0</v>
      </c>
      <c r="O804" s="40" t="n">
        <v>0</v>
      </c>
      <c r="P804" s="40" t="n">
        <v>0</v>
      </c>
      <c r="Q804" s="40" t="n">
        <v>0</v>
      </c>
      <c r="R804" s="47" t="n"/>
      <c r="S804" s="47" t="n"/>
      <c r="T804" s="47" t="n"/>
      <c r="U804" s="47" t="n"/>
      <c r="V804" s="47" t="n"/>
      <c r="W804" s="47" t="n"/>
    </row>
    <row r="805" ht="11.25" customHeight="1">
      <c r="A805" s="30" t="inlineStr">
        <is>
          <t>Itaguai</t>
        </is>
      </c>
      <c r="B805" s="30" t="n">
        <v>79394521</v>
      </c>
      <c r="C805" s="30">
        <f>"13759684000151"</f>
        <v/>
      </c>
      <c r="D805" s="30" t="inlineStr">
        <is>
          <t>PRESERVE SOLUCOES AMBIENTAIS EIRELI</t>
        </is>
      </c>
      <c r="E805" s="40" t="n">
        <v>219297</v>
      </c>
      <c r="F805" s="40" t="n">
        <v>0</v>
      </c>
      <c r="G805" s="46" t="n">
        <v>-100</v>
      </c>
      <c r="H805" s="40" t="n">
        <v>0</v>
      </c>
      <c r="I805" s="40" t="n">
        <v>0</v>
      </c>
      <c r="J805" s="40" t="n">
        <v>0</v>
      </c>
      <c r="K805" s="40" t="n">
        <v>0</v>
      </c>
      <c r="L805" s="40" t="n">
        <v>0</v>
      </c>
      <c r="M805" s="40" t="n">
        <v>0</v>
      </c>
      <c r="N805" s="40" t="n">
        <v>794.48</v>
      </c>
      <c r="O805" s="40" t="n">
        <v>100</v>
      </c>
      <c r="P805" s="40" t="n">
        <v>0</v>
      </c>
      <c r="Q805" s="46" t="n">
        <v>-100</v>
      </c>
      <c r="R805" s="47" t="n"/>
      <c r="S805" s="47" t="n"/>
      <c r="T805" s="47" t="n"/>
      <c r="U805" s="47" t="n"/>
      <c r="V805" s="47" t="n"/>
      <c r="W805" s="47" t="n"/>
    </row>
    <row r="806" ht="11.25" customHeight="1">
      <c r="A806" s="30" t="inlineStr">
        <is>
          <t>Itaguai</t>
        </is>
      </c>
      <c r="B806" s="30" t="n">
        <v>79395595</v>
      </c>
      <c r="C806" s="30">
        <f>"13725103000160"</f>
        <v/>
      </c>
      <c r="D806" s="30" t="inlineStr">
        <is>
          <t>INTALOG LOGISTICA TRANSPORTES LTDA</t>
        </is>
      </c>
      <c r="E806" s="40" t="n">
        <v>399526.41</v>
      </c>
      <c r="F806" s="40" t="n">
        <v>1729370.62</v>
      </c>
      <c r="G806" s="40" t="n">
        <v>332.86</v>
      </c>
      <c r="H806" s="40" t="n">
        <v>1959487.02</v>
      </c>
      <c r="I806" s="40" t="n">
        <v>13.31</v>
      </c>
      <c r="J806" s="40" t="n">
        <v>0</v>
      </c>
      <c r="K806" s="46" t="n">
        <v>-100</v>
      </c>
      <c r="L806" s="40" t="n">
        <v>1126783.62</v>
      </c>
      <c r="M806" s="40" t="n">
        <v>100</v>
      </c>
      <c r="N806" s="40" t="n">
        <v>3537704.46</v>
      </c>
      <c r="O806" s="40" t="n">
        <v>213.96</v>
      </c>
      <c r="P806" s="40" t="n">
        <v>2698686.18</v>
      </c>
      <c r="Q806" s="46" t="n">
        <v>-23.72</v>
      </c>
      <c r="R806" s="47" t="n"/>
      <c r="S806" s="47" t="n"/>
      <c r="T806" s="47" t="n"/>
      <c r="U806" s="47" t="n"/>
      <c r="V806" s="47" t="n"/>
      <c r="W806" s="47" t="n"/>
    </row>
    <row r="807" ht="11.25" customHeight="1">
      <c r="A807" s="30" t="inlineStr">
        <is>
          <t>Itaguai</t>
        </is>
      </c>
      <c r="B807" s="30" t="n">
        <v>79402605</v>
      </c>
      <c r="C807" s="30">
        <f>"13742011000199"</f>
        <v/>
      </c>
      <c r="D807" s="30" t="inlineStr">
        <is>
          <t>TRANSLUC TRANSPORTES E SERVICOS EIRELI EPP</t>
        </is>
      </c>
      <c r="E807" s="40" t="n">
        <v>0</v>
      </c>
      <c r="F807" s="40" t="n">
        <v>0</v>
      </c>
      <c r="G807" s="40" t="n">
        <v>0</v>
      </c>
      <c r="H807" s="40" t="n">
        <v>0</v>
      </c>
      <c r="I807" s="40" t="n">
        <v>0</v>
      </c>
      <c r="J807" s="40" t="n">
        <v>0</v>
      </c>
      <c r="K807" s="40" t="n">
        <v>0</v>
      </c>
      <c r="L807" s="40" t="n">
        <v>0</v>
      </c>
      <c r="M807" s="40" t="n">
        <v>0</v>
      </c>
      <c r="N807" s="40" t="n">
        <v>13387.5</v>
      </c>
      <c r="O807" s="40" t="n">
        <v>100</v>
      </c>
      <c r="P807" s="40" t="n">
        <v>0</v>
      </c>
      <c r="Q807" s="46" t="n">
        <v>-100</v>
      </c>
      <c r="R807" s="47" t="n"/>
      <c r="S807" s="47" t="n"/>
      <c r="T807" s="47" t="n"/>
      <c r="U807" s="47" t="n"/>
      <c r="V807" s="47" t="n"/>
      <c r="W807" s="47" t="n"/>
    </row>
    <row r="808" ht="11.25" customHeight="1">
      <c r="A808" s="30" t="inlineStr">
        <is>
          <t>Itaguai</t>
        </is>
      </c>
      <c r="B808" s="30" t="n">
        <v>79421707</v>
      </c>
      <c r="C808" s="30">
        <f>"13847255000136"</f>
        <v/>
      </c>
      <c r="D808" s="30" t="inlineStr">
        <is>
          <t>BAZAR O AMIGAO DE ITAGUAI LTDA EPP</t>
        </is>
      </c>
      <c r="E808" s="40" t="n">
        <v>4378790.71</v>
      </c>
      <c r="F808" s="40" t="n">
        <v>4684352.87</v>
      </c>
      <c r="G808" s="40" t="n">
        <v>6.98</v>
      </c>
      <c r="H808" s="40" t="n">
        <v>5313907.8</v>
      </c>
      <c r="I808" s="40" t="n">
        <v>13.44</v>
      </c>
      <c r="J808" s="40" t="n">
        <v>5121341.42</v>
      </c>
      <c r="K808" s="46" t="n">
        <v>-3.62</v>
      </c>
      <c r="L808" s="40" t="n">
        <v>5397770.21</v>
      </c>
      <c r="M808" s="40" t="n">
        <v>5.4</v>
      </c>
      <c r="N808" s="40" t="n">
        <v>6514656.79</v>
      </c>
      <c r="O808" s="40" t="n">
        <v>20.69</v>
      </c>
      <c r="P808" s="40" t="n">
        <v>7886171.65</v>
      </c>
      <c r="Q808" s="40" t="n">
        <v>21.05</v>
      </c>
      <c r="R808" s="47" t="n"/>
      <c r="S808" s="47" t="n"/>
      <c r="T808" s="47" t="n"/>
      <c r="U808" s="47" t="n"/>
      <c r="V808" s="47" t="n"/>
      <c r="W808" s="47" t="n"/>
    </row>
    <row r="809" ht="11.25" customHeight="1">
      <c r="A809" s="30" t="inlineStr">
        <is>
          <t>Itaguai</t>
        </is>
      </c>
      <c r="B809" s="30" t="n">
        <v>79424862</v>
      </c>
      <c r="C809" s="30">
        <f>"13481309005402"</f>
        <v/>
      </c>
      <c r="D809" s="30" t="inlineStr">
        <is>
          <t>RN COMERCIO VAREJISTA S/A</t>
        </is>
      </c>
      <c r="E809" s="40" t="n">
        <v>948417</v>
      </c>
      <c r="F809" s="40" t="n">
        <v>546764.87</v>
      </c>
      <c r="G809" s="46" t="n">
        <v>-42.35</v>
      </c>
      <c r="H809" s="40" t="n">
        <v>594050.73</v>
      </c>
      <c r="I809" s="40" t="n">
        <v>8.65</v>
      </c>
      <c r="J809" s="40" t="n">
        <v>0</v>
      </c>
      <c r="K809" s="46" t="n">
        <v>-100</v>
      </c>
      <c r="L809" s="40" t="n">
        <v>0</v>
      </c>
      <c r="M809" s="40" t="n">
        <v>0</v>
      </c>
      <c r="N809" s="40" t="n">
        <v>0</v>
      </c>
      <c r="O809" s="40" t="n">
        <v>0</v>
      </c>
      <c r="P809" s="40" t="n">
        <v>0</v>
      </c>
      <c r="Q809" s="40" t="n">
        <v>0</v>
      </c>
      <c r="R809" s="47" t="n"/>
      <c r="S809" s="47" t="n"/>
      <c r="T809" s="47" t="n"/>
      <c r="U809" s="47" t="n"/>
      <c r="V809" s="47" t="n"/>
      <c r="W809" s="47" t="n"/>
    </row>
    <row r="810" ht="11.25" customHeight="1">
      <c r="A810" s="30" t="inlineStr">
        <is>
          <t>Itaguai</t>
        </is>
      </c>
      <c r="B810" s="30" t="n">
        <v>79425532</v>
      </c>
      <c r="C810" s="30">
        <f>"13481309009149"</f>
        <v/>
      </c>
      <c r="D810" s="30" t="inlineStr">
        <is>
          <t>RN COMERCIO VAREJISTA S/A</t>
        </is>
      </c>
      <c r="E810" s="40" t="n">
        <v>0</v>
      </c>
      <c r="F810" s="40" t="n">
        <v>0</v>
      </c>
      <c r="G810" s="40" t="n">
        <v>0</v>
      </c>
      <c r="H810" s="40" t="n">
        <v>0</v>
      </c>
      <c r="I810" s="40" t="n">
        <v>0</v>
      </c>
      <c r="J810" s="40" t="n">
        <v>0</v>
      </c>
      <c r="K810" s="40" t="n">
        <v>0</v>
      </c>
      <c r="L810" s="40" t="n">
        <v>0</v>
      </c>
      <c r="M810" s="40" t="n">
        <v>0</v>
      </c>
      <c r="N810" s="40" t="n">
        <v>0</v>
      </c>
      <c r="O810" s="40" t="n">
        <v>0</v>
      </c>
      <c r="P810" s="40" t="n">
        <v>0</v>
      </c>
      <c r="Q810" s="40" t="n">
        <v>0</v>
      </c>
      <c r="R810" s="47" t="n"/>
      <c r="S810" s="47" t="n"/>
      <c r="T810" s="47" t="n"/>
      <c r="U810" s="47" t="n"/>
      <c r="V810" s="47" t="n"/>
      <c r="W810" s="47" t="n"/>
    </row>
    <row r="811" ht="11.25" customHeight="1">
      <c r="A811" s="30" t="inlineStr">
        <is>
          <t>Itaguai</t>
        </is>
      </c>
      <c r="B811" s="30" t="n">
        <v>79427047</v>
      </c>
      <c r="C811" s="30">
        <f>"10334588000173"</f>
        <v/>
      </c>
      <c r="D811" s="30" t="inlineStr">
        <is>
          <t>FENIX TRANSPORTES RODOVIARIOS LTDA EPP</t>
        </is>
      </c>
      <c r="E811" s="40" t="n">
        <v>0</v>
      </c>
      <c r="F811" s="40" t="n">
        <v>0</v>
      </c>
      <c r="G811" s="40" t="n">
        <v>0</v>
      </c>
      <c r="H811" s="40" t="n">
        <v>0</v>
      </c>
      <c r="I811" s="40" t="n">
        <v>0</v>
      </c>
      <c r="J811" s="40" t="n">
        <v>0</v>
      </c>
      <c r="K811" s="40" t="n">
        <v>0</v>
      </c>
      <c r="L811" s="40" t="n">
        <v>9.59</v>
      </c>
      <c r="M811" s="40" t="n">
        <v>100</v>
      </c>
      <c r="N811" s="40" t="n">
        <v>0</v>
      </c>
      <c r="O811" s="46" t="n">
        <v>-100</v>
      </c>
      <c r="P811" s="40" t="n">
        <v>0</v>
      </c>
      <c r="Q811" s="40" t="n">
        <v>0</v>
      </c>
      <c r="R811" s="47" t="n"/>
      <c r="S811" s="47" t="n"/>
      <c r="T811" s="47" t="n"/>
      <c r="U811" s="47" t="n"/>
      <c r="V811" s="47" t="n"/>
      <c r="W811" s="47" t="n"/>
    </row>
    <row r="812" ht="11.25" customHeight="1">
      <c r="A812" s="30" t="inlineStr">
        <is>
          <t>Itaguai</t>
        </is>
      </c>
      <c r="B812" s="30" t="n">
        <v>79433802</v>
      </c>
      <c r="C812" s="30">
        <f>"13982428000129"</f>
        <v/>
      </c>
      <c r="D812" s="30" t="inlineStr">
        <is>
          <t>FORTE - GLASS SERRALHERIA E VIDRAÇARIA EIRELI</t>
        </is>
      </c>
      <c r="E812" s="40" t="n">
        <v>0</v>
      </c>
      <c r="F812" s="40" t="n">
        <v>0</v>
      </c>
      <c r="G812" s="40" t="n">
        <v>0</v>
      </c>
      <c r="H812" s="40" t="n">
        <v>0</v>
      </c>
      <c r="I812" s="40" t="n">
        <v>0</v>
      </c>
      <c r="J812" s="40" t="n">
        <v>0</v>
      </c>
      <c r="K812" s="40" t="n">
        <v>0</v>
      </c>
      <c r="L812" s="40" t="n">
        <v>0</v>
      </c>
      <c r="M812" s="40" t="n">
        <v>0</v>
      </c>
      <c r="N812" s="40" t="n">
        <v>0</v>
      </c>
      <c r="O812" s="40" t="n">
        <v>0</v>
      </c>
      <c r="P812" s="40" t="n">
        <v>0</v>
      </c>
      <c r="Q812" s="40" t="n">
        <v>0</v>
      </c>
      <c r="R812" s="47" t="n"/>
      <c r="S812" s="47" t="n"/>
      <c r="T812" s="47" t="n"/>
      <c r="U812" s="47" t="n"/>
      <c r="V812" s="47" t="n"/>
      <c r="W812" s="47" t="n"/>
    </row>
    <row r="813" ht="11.25" customHeight="1">
      <c r="A813" s="30" t="inlineStr">
        <is>
          <t>Itaguai</t>
        </is>
      </c>
      <c r="B813" s="30" t="n">
        <v>79438111</v>
      </c>
      <c r="C813" s="30">
        <f>"49025695000660"</f>
        <v/>
      </c>
      <c r="D813" s="30" t="inlineStr">
        <is>
          <t>JD COCENZO &amp; CIA LTDA</t>
        </is>
      </c>
      <c r="E813" s="40" t="n">
        <v>0</v>
      </c>
      <c r="F813" s="40" t="n">
        <v>1687.5</v>
      </c>
      <c r="G813" s="40" t="n">
        <v>100</v>
      </c>
      <c r="H813" s="40" t="n">
        <v>0</v>
      </c>
      <c r="I813" s="46" t="n">
        <v>-100</v>
      </c>
      <c r="J813" s="40" t="n">
        <v>0</v>
      </c>
      <c r="K813" s="40" t="n">
        <v>0</v>
      </c>
      <c r="L813" s="40" t="n">
        <v>0</v>
      </c>
      <c r="M813" s="40" t="n">
        <v>0</v>
      </c>
      <c r="N813" s="40" t="n">
        <v>0</v>
      </c>
      <c r="O813" s="40" t="n">
        <v>0</v>
      </c>
      <c r="P813" s="40" t="n">
        <v>16530.4</v>
      </c>
      <c r="Q813" s="40" t="n">
        <v>100</v>
      </c>
      <c r="R813" s="47" t="n"/>
      <c r="S813" s="47" t="n"/>
      <c r="T813" s="47" t="n"/>
      <c r="U813" s="47" t="n"/>
      <c r="V813" s="47" t="n"/>
      <c r="W813" s="47" t="n"/>
    </row>
    <row r="814" ht="11.25" customHeight="1">
      <c r="A814" s="30" t="inlineStr">
        <is>
          <t>Itaguai</t>
        </is>
      </c>
      <c r="B814" s="30" t="n">
        <v>79442178</v>
      </c>
      <c r="C814" s="30">
        <f>"14000190000151"</f>
        <v/>
      </c>
      <c r="D814" s="30" t="inlineStr">
        <is>
          <t>MG RODRIGUES TRANSPORTES LTDA ME</t>
        </is>
      </c>
      <c r="E814" s="40" t="n">
        <v>0</v>
      </c>
      <c r="F814" s="40" t="n">
        <v>8700</v>
      </c>
      <c r="G814" s="40" t="n">
        <v>100</v>
      </c>
      <c r="H814" s="40" t="n">
        <v>40035.51</v>
      </c>
      <c r="I814" s="40" t="n">
        <v>360.18</v>
      </c>
      <c r="J814" s="40" t="n">
        <v>0</v>
      </c>
      <c r="K814" s="46" t="n">
        <v>-100</v>
      </c>
      <c r="L814" s="40" t="n">
        <v>0</v>
      </c>
      <c r="M814" s="40" t="n">
        <v>0</v>
      </c>
      <c r="N814" s="40" t="n">
        <v>0</v>
      </c>
      <c r="O814" s="40" t="n">
        <v>0</v>
      </c>
      <c r="P814" s="40" t="n">
        <v>0</v>
      </c>
      <c r="Q814" s="40" t="n">
        <v>0</v>
      </c>
      <c r="R814" s="47" t="n"/>
      <c r="S814" s="47" t="n"/>
      <c r="T814" s="47" t="n"/>
      <c r="U814" s="47" t="n"/>
      <c r="V814" s="47" t="n"/>
      <c r="W814" s="47" t="n"/>
    </row>
    <row r="815" ht="11.25" customHeight="1">
      <c r="A815" s="30" t="inlineStr">
        <is>
          <t>Itaguai</t>
        </is>
      </c>
      <c r="B815" s="30" t="n">
        <v>79444634</v>
      </c>
      <c r="C815" s="30">
        <f>"13648760000151"</f>
        <v/>
      </c>
      <c r="D815" s="30" t="inlineStr">
        <is>
          <t>TRANSPORTES PITASSI RJ EIRELI</t>
        </is>
      </c>
      <c r="E815" s="40" t="n">
        <v>0</v>
      </c>
      <c r="F815" s="40" t="n">
        <v>10993</v>
      </c>
      <c r="G815" s="40" t="n">
        <v>100</v>
      </c>
      <c r="H815" s="40" t="n">
        <v>0</v>
      </c>
      <c r="I815" s="46" t="n">
        <v>-100</v>
      </c>
      <c r="J815" s="40" t="n">
        <v>24</v>
      </c>
      <c r="K815" s="40" t="n">
        <v>100</v>
      </c>
      <c r="L815" s="40" t="n">
        <v>0</v>
      </c>
      <c r="M815" s="46" t="n">
        <v>-100</v>
      </c>
      <c r="N815" s="40" t="n">
        <v>4039332.88</v>
      </c>
      <c r="O815" s="40" t="n">
        <v>100</v>
      </c>
      <c r="P815" s="40" t="n">
        <v>0</v>
      </c>
      <c r="Q815" s="46" t="n">
        <v>-100</v>
      </c>
      <c r="R815" s="47" t="n"/>
      <c r="S815" s="47" t="n"/>
      <c r="T815" s="47" t="n"/>
      <c r="U815" s="47" t="n"/>
      <c r="V815" s="47" t="n"/>
      <c r="W815" s="47" t="n"/>
    </row>
    <row r="816" ht="11.25" customHeight="1">
      <c r="A816" s="30" t="inlineStr">
        <is>
          <t>Itaguai</t>
        </is>
      </c>
      <c r="B816" s="30" t="n">
        <v>79446610</v>
      </c>
      <c r="C816" s="30">
        <f>"44384832001449"</f>
        <v/>
      </c>
      <c r="D816" s="30" t="inlineStr">
        <is>
          <t>TOME EQUIPAMENTOS E TRANSPORTES S A</t>
        </is>
      </c>
      <c r="E816" s="40" t="n">
        <v>0</v>
      </c>
      <c r="F816" s="40" t="n">
        <v>0</v>
      </c>
      <c r="G816" s="40" t="n">
        <v>0</v>
      </c>
      <c r="H816" s="40" t="n">
        <v>0</v>
      </c>
      <c r="I816" s="40" t="n">
        <v>0</v>
      </c>
      <c r="J816" s="40" t="n">
        <v>4480</v>
      </c>
      <c r="K816" s="40" t="n">
        <v>100</v>
      </c>
      <c r="L816" s="40" t="n">
        <v>0</v>
      </c>
      <c r="M816" s="46" t="n">
        <v>-100</v>
      </c>
      <c r="N816" s="40" t="n">
        <v>0</v>
      </c>
      <c r="O816" s="40" t="n">
        <v>0</v>
      </c>
      <c r="P816" s="40" t="n">
        <v>0</v>
      </c>
      <c r="Q816" s="40" t="n">
        <v>0</v>
      </c>
      <c r="R816" s="47" t="n"/>
      <c r="S816" s="47" t="n"/>
      <c r="T816" s="47" t="n"/>
      <c r="U816" s="47" t="n"/>
      <c r="V816" s="47" t="n"/>
      <c r="W816" s="47" t="n"/>
    </row>
    <row r="817" ht="11.25" customHeight="1">
      <c r="A817" s="30" t="inlineStr">
        <is>
          <t>Itaguai</t>
        </is>
      </c>
      <c r="B817" s="30" t="n">
        <v>79449393</v>
      </c>
      <c r="C817" s="30">
        <f>"14084886000103"</f>
        <v/>
      </c>
      <c r="D817" s="30" t="inlineStr">
        <is>
          <t>EXPRESSO GUARANI ARMAZÉNS GERAIS E LOGISTICA EIRELI</t>
        </is>
      </c>
      <c r="E817" s="40" t="n">
        <v>0</v>
      </c>
      <c r="F817" s="40" t="n">
        <v>0</v>
      </c>
      <c r="G817" s="40" t="n">
        <v>0</v>
      </c>
      <c r="H817" s="40" t="n">
        <v>17058.54</v>
      </c>
      <c r="I817" s="40" t="n">
        <v>100</v>
      </c>
      <c r="J817" s="40" t="n">
        <v>0</v>
      </c>
      <c r="K817" s="46" t="n">
        <v>-100</v>
      </c>
      <c r="L817" s="40" t="n">
        <v>18735.24</v>
      </c>
      <c r="M817" s="40" t="n">
        <v>100</v>
      </c>
      <c r="N817" s="40" t="n">
        <v>901539.27</v>
      </c>
      <c r="O817" s="40" t="n">
        <v>4712</v>
      </c>
      <c r="P817" s="40" t="n">
        <v>0</v>
      </c>
      <c r="Q817" s="46" t="n">
        <v>-100</v>
      </c>
      <c r="R817" s="47" t="n"/>
      <c r="S817" s="47" t="n"/>
      <c r="T817" s="47" t="n"/>
      <c r="U817" s="47" t="n"/>
      <c r="V817" s="47" t="n"/>
      <c r="W817" s="47" t="n"/>
    </row>
    <row r="818" ht="11.25" customHeight="1">
      <c r="A818" s="30" t="inlineStr">
        <is>
          <t>Itaguai</t>
        </is>
      </c>
      <c r="B818" s="30" t="n">
        <v>79451100</v>
      </c>
      <c r="C818" s="30">
        <f>"30245542000276"</f>
        <v/>
      </c>
      <c r="D818" s="30" t="inlineStr">
        <is>
          <t>FRIGORIFICO BEIJA FLOR COM ATAC E VAR DE PROD ALIM LTDA EPP</t>
        </is>
      </c>
      <c r="E818" s="40" t="n">
        <v>0</v>
      </c>
      <c r="F818" s="40" t="n">
        <v>60282.52</v>
      </c>
      <c r="G818" s="40" t="n">
        <v>100</v>
      </c>
      <c r="H818" s="40" t="n">
        <v>0</v>
      </c>
      <c r="I818" s="46" t="n">
        <v>-100</v>
      </c>
      <c r="J818" s="40" t="n">
        <v>0</v>
      </c>
      <c r="K818" s="40" t="n">
        <v>0</v>
      </c>
      <c r="L818" s="40" t="n">
        <v>0</v>
      </c>
      <c r="M818" s="40" t="n">
        <v>0</v>
      </c>
      <c r="N818" s="40" t="n">
        <v>211062.27</v>
      </c>
      <c r="O818" s="40" t="n">
        <v>100</v>
      </c>
      <c r="P818" s="40" t="n">
        <v>459443.11</v>
      </c>
      <c r="Q818" s="40" t="n">
        <v>117.68</v>
      </c>
      <c r="R818" s="47" t="n"/>
      <c r="S818" s="47" t="n"/>
      <c r="T818" s="47" t="n"/>
      <c r="U818" s="47" t="n"/>
      <c r="V818" s="47" t="n"/>
      <c r="W818" s="47" t="n"/>
    </row>
    <row r="819" ht="11.25" customHeight="1">
      <c r="A819" s="30" t="inlineStr">
        <is>
          <t>Itaguai</t>
        </is>
      </c>
      <c r="B819" s="30" t="n">
        <v>79451142</v>
      </c>
      <c r="C819" s="30">
        <f>"12334748000290"</f>
        <v/>
      </c>
      <c r="D819" s="30" t="inlineStr">
        <is>
          <t>DEVOC COMERCIO DE ALIMENTOS LTDA</t>
        </is>
      </c>
      <c r="E819" s="40" t="n">
        <v>637994.5</v>
      </c>
      <c r="F819" s="40" t="n">
        <v>669059.8</v>
      </c>
      <c r="G819" s="40" t="n">
        <v>4.87</v>
      </c>
      <c r="H819" s="40" t="n">
        <v>647333.62</v>
      </c>
      <c r="I819" s="46" t="n">
        <v>-3.25</v>
      </c>
      <c r="J819" s="40" t="n">
        <v>356712.94</v>
      </c>
      <c r="K819" s="46" t="n">
        <v>-44.9</v>
      </c>
      <c r="L819" s="40" t="n">
        <v>380138.86</v>
      </c>
      <c r="M819" s="40" t="n">
        <v>6.57</v>
      </c>
      <c r="N819" s="40" t="n">
        <v>413540.11</v>
      </c>
      <c r="O819" s="40" t="n">
        <v>8.789999999999999</v>
      </c>
      <c r="P819" s="40" t="n">
        <v>523880.67</v>
      </c>
      <c r="Q819" s="40" t="n">
        <v>26.68</v>
      </c>
      <c r="R819" s="47" t="n"/>
      <c r="S819" s="47" t="n"/>
      <c r="T819" s="47" t="n"/>
      <c r="U819" s="47" t="n"/>
      <c r="V819" s="47" t="n"/>
      <c r="W819" s="47" t="n"/>
    </row>
    <row r="820" ht="11.25" customHeight="1">
      <c r="A820" s="30" t="inlineStr">
        <is>
          <t>Itaguai</t>
        </is>
      </c>
      <c r="B820" s="30" t="n">
        <v>79456748</v>
      </c>
      <c r="C820" s="30">
        <f>"14120369000142"</f>
        <v/>
      </c>
      <c r="D820" s="30" t="inlineStr">
        <is>
          <t>JARBAS GONCALVES DIAS EIRELI</t>
        </is>
      </c>
      <c r="E820" s="40" t="n">
        <v>0</v>
      </c>
      <c r="F820" s="40" t="n">
        <v>136.5</v>
      </c>
      <c r="G820" s="40" t="n">
        <v>100</v>
      </c>
      <c r="H820" s="40" t="n">
        <v>0</v>
      </c>
      <c r="I820" s="46" t="n">
        <v>-100</v>
      </c>
      <c r="J820" s="40" t="n">
        <v>0</v>
      </c>
      <c r="K820" s="40" t="n">
        <v>0</v>
      </c>
      <c r="L820" s="40" t="n">
        <v>0</v>
      </c>
      <c r="M820" s="40" t="n">
        <v>0</v>
      </c>
      <c r="N820" s="40" t="n">
        <v>0</v>
      </c>
      <c r="O820" s="40" t="n">
        <v>0</v>
      </c>
      <c r="P820" s="40" t="n">
        <v>0</v>
      </c>
      <c r="Q820" s="40" t="n">
        <v>0</v>
      </c>
      <c r="R820" s="47" t="n"/>
      <c r="S820" s="47" t="n"/>
      <c r="T820" s="47" t="n"/>
      <c r="U820" s="47" t="n"/>
      <c r="V820" s="47" t="n"/>
      <c r="W820" s="47" t="n"/>
    </row>
    <row r="821" ht="11.25" customHeight="1">
      <c r="A821" s="30" t="inlineStr">
        <is>
          <t>Itaguai</t>
        </is>
      </c>
      <c r="B821" s="30" t="n">
        <v>79461911</v>
      </c>
      <c r="C821" s="30">
        <f>"14135440000160"</f>
        <v/>
      </c>
      <c r="D821" s="30" t="inlineStr">
        <is>
          <t>RODOMAX TRANSPORTES E SERVICOS DE LOGISTICA LTDA EPP</t>
        </is>
      </c>
      <c r="E821" s="40" t="n">
        <v>129000</v>
      </c>
      <c r="F821" s="40" t="n">
        <v>0</v>
      </c>
      <c r="G821" s="46" t="n">
        <v>-100</v>
      </c>
      <c r="H821" s="40" t="n">
        <v>0</v>
      </c>
      <c r="I821" s="40" t="n">
        <v>0</v>
      </c>
      <c r="J821" s="40" t="n">
        <v>0</v>
      </c>
      <c r="K821" s="40" t="n">
        <v>0</v>
      </c>
      <c r="L821" s="40" t="n">
        <v>0</v>
      </c>
      <c r="M821" s="40" t="n">
        <v>0</v>
      </c>
      <c r="N821" s="40" t="n">
        <v>0</v>
      </c>
      <c r="O821" s="40" t="n">
        <v>0</v>
      </c>
      <c r="P821" s="40" t="n">
        <v>0</v>
      </c>
      <c r="Q821" s="40" t="n">
        <v>0</v>
      </c>
      <c r="R821" s="47" t="n"/>
      <c r="S821" s="47" t="n"/>
      <c r="T821" s="47" t="n"/>
      <c r="U821" s="47" t="n"/>
      <c r="V821" s="47" t="n"/>
      <c r="W821" s="47" t="n"/>
    </row>
    <row r="822" ht="11.25" customHeight="1">
      <c r="A822" s="30" t="inlineStr">
        <is>
          <t>Itaguai</t>
        </is>
      </c>
      <c r="B822" s="30" t="n">
        <v>79470597</v>
      </c>
      <c r="C822" s="30">
        <f>"14207276000150"</f>
        <v/>
      </c>
      <c r="D822" s="30" t="inlineStr">
        <is>
          <t>MAREVE DISTRIBUIDORA DE GAS LIQUEFEITO LTDA ME</t>
        </is>
      </c>
      <c r="E822" s="40" t="n">
        <v>0</v>
      </c>
      <c r="F822" s="40" t="n">
        <v>0</v>
      </c>
      <c r="G822" s="40" t="n">
        <v>0</v>
      </c>
      <c r="H822" s="40" t="n">
        <v>106936.37</v>
      </c>
      <c r="I822" s="40" t="n">
        <v>100</v>
      </c>
      <c r="J822" s="40" t="n">
        <v>247645.83</v>
      </c>
      <c r="K822" s="40" t="n">
        <v>131.58</v>
      </c>
      <c r="L822" s="40" t="n">
        <v>342491.01</v>
      </c>
      <c r="M822" s="40" t="n">
        <v>38.3</v>
      </c>
      <c r="N822" s="40" t="n">
        <v>1404374.45</v>
      </c>
      <c r="O822" s="40" t="n">
        <v>310.05</v>
      </c>
      <c r="P822" s="40" t="n">
        <v>367734.89</v>
      </c>
      <c r="Q822" s="46" t="n">
        <v>-73.81999999999999</v>
      </c>
      <c r="R822" s="47" t="n"/>
      <c r="S822" s="47" t="n"/>
      <c r="T822" s="47" t="n"/>
      <c r="U822" s="47" t="n"/>
      <c r="V822" s="47" t="n"/>
      <c r="W822" s="47" t="n"/>
    </row>
    <row r="823" ht="11.25" customHeight="1">
      <c r="A823" s="30" t="inlineStr">
        <is>
          <t>Itaguai</t>
        </is>
      </c>
      <c r="B823" s="30" t="n">
        <v>79482358</v>
      </c>
      <c r="C823" s="30">
        <f>"14248013000199"</f>
        <v/>
      </c>
      <c r="D823" s="30" t="inlineStr">
        <is>
          <t>ESTRELAR WEB SERVICOS DE INTERNET LTDA ME</t>
        </is>
      </c>
      <c r="E823" s="40" t="n">
        <v>0</v>
      </c>
      <c r="F823" s="40" t="n">
        <v>0</v>
      </c>
      <c r="G823" s="40" t="n">
        <v>0</v>
      </c>
      <c r="H823" s="40" t="n">
        <v>0</v>
      </c>
      <c r="I823" s="40" t="n">
        <v>0</v>
      </c>
      <c r="J823" s="40" t="n">
        <v>342382.35</v>
      </c>
      <c r="K823" s="40" t="n">
        <v>100</v>
      </c>
      <c r="L823" s="40" t="n">
        <v>481024.68</v>
      </c>
      <c r="M823" s="40" t="n">
        <v>40.49</v>
      </c>
      <c r="N823" s="40" t="n">
        <v>529925.92</v>
      </c>
      <c r="O823" s="40" t="n">
        <v>10.17</v>
      </c>
      <c r="P823" s="40" t="n">
        <v>512884</v>
      </c>
      <c r="Q823" s="46" t="n">
        <v>-3.22</v>
      </c>
      <c r="R823" s="47" t="n"/>
      <c r="S823" s="47" t="n"/>
      <c r="T823" s="47" t="n"/>
      <c r="U823" s="47" t="n"/>
      <c r="V823" s="47" t="n"/>
      <c r="W823" s="47" t="n"/>
    </row>
    <row r="824" ht="11.25" customHeight="1">
      <c r="A824" s="30" t="inlineStr">
        <is>
          <t>Itaguai</t>
        </is>
      </c>
      <c r="B824" s="30" t="n">
        <v>79495808</v>
      </c>
      <c r="C824" s="30">
        <f>"14232190000187"</f>
        <v/>
      </c>
      <c r="D824" s="30" t="inlineStr">
        <is>
          <t>ROBERTO DOS SANTOS BAR E RESTAURANTE ME</t>
        </is>
      </c>
      <c r="E824" s="40" t="n">
        <v>0</v>
      </c>
      <c r="F824" s="40" t="n">
        <v>0</v>
      </c>
      <c r="G824" s="40" t="n">
        <v>0</v>
      </c>
      <c r="H824" s="40" t="n">
        <v>0</v>
      </c>
      <c r="I824" s="40" t="n">
        <v>0</v>
      </c>
      <c r="J824" s="40" t="n">
        <v>0</v>
      </c>
      <c r="K824" s="40" t="n">
        <v>0</v>
      </c>
      <c r="L824" s="40" t="n">
        <v>0</v>
      </c>
      <c r="M824" s="40" t="n">
        <v>0</v>
      </c>
      <c r="N824" s="40" t="n">
        <v>0</v>
      </c>
      <c r="O824" s="40" t="n">
        <v>0</v>
      </c>
      <c r="P824" s="40" t="n">
        <v>0</v>
      </c>
      <c r="Q824" s="40" t="n">
        <v>0</v>
      </c>
      <c r="R824" s="47" t="n"/>
      <c r="S824" s="47" t="n"/>
      <c r="T824" s="47" t="n"/>
      <c r="U824" s="47" t="n"/>
      <c r="V824" s="47" t="n"/>
      <c r="W824" s="47" t="n"/>
    </row>
    <row r="825" ht="11.25" customHeight="1">
      <c r="A825" s="30" t="inlineStr">
        <is>
          <t>Itaguai</t>
        </is>
      </c>
      <c r="B825" s="30" t="n">
        <v>79495930</v>
      </c>
      <c r="C825" s="30">
        <f>"06334771000363"</f>
        <v/>
      </c>
      <c r="D825" s="30" t="inlineStr">
        <is>
          <t>J M EUROFLEX COMERCIO E SERVICOS DE ARTIGOS INDUSTRIAIS LTDA</t>
        </is>
      </c>
      <c r="E825" s="40" t="n">
        <v>0</v>
      </c>
      <c r="F825" s="40" t="n">
        <v>0</v>
      </c>
      <c r="G825" s="40" t="n">
        <v>0</v>
      </c>
      <c r="H825" s="40" t="n">
        <v>0</v>
      </c>
      <c r="I825" s="40" t="n">
        <v>0</v>
      </c>
      <c r="J825" s="40" t="n">
        <v>0</v>
      </c>
      <c r="K825" s="40" t="n">
        <v>0</v>
      </c>
      <c r="L825" s="40" t="n">
        <v>0</v>
      </c>
      <c r="M825" s="40" t="n">
        <v>0</v>
      </c>
      <c r="N825" s="40" t="n">
        <v>0</v>
      </c>
      <c r="O825" s="40" t="n">
        <v>0</v>
      </c>
      <c r="P825" s="40" t="n">
        <v>0</v>
      </c>
      <c r="Q825" s="40" t="n">
        <v>0</v>
      </c>
      <c r="R825" s="47" t="n"/>
      <c r="S825" s="47" t="n"/>
      <c r="T825" s="47" t="n"/>
      <c r="U825" s="47" t="n"/>
      <c r="V825" s="47" t="n"/>
      <c r="W825" s="47" t="n"/>
    </row>
    <row r="826" ht="11.25" customHeight="1">
      <c r="A826" s="30" t="inlineStr">
        <is>
          <t>Itaguai</t>
        </is>
      </c>
      <c r="B826" s="30" t="n">
        <v>79500178</v>
      </c>
      <c r="C826" s="30">
        <f>"91382000882"</f>
        <v/>
      </c>
      <c r="D826" s="30" t="inlineStr">
        <is>
          <t>OPCAO JCA TURISMO E FRETAMENTO LTDA</t>
        </is>
      </c>
      <c r="E826" s="40" t="n">
        <v>9990</v>
      </c>
      <c r="F826" s="40" t="n">
        <v>0</v>
      </c>
      <c r="G826" s="46" t="n">
        <v>-100</v>
      </c>
      <c r="H826" s="40" t="n">
        <v>0</v>
      </c>
      <c r="I826" s="40" t="n">
        <v>0</v>
      </c>
      <c r="J826" s="40" t="n">
        <v>0</v>
      </c>
      <c r="K826" s="40" t="n">
        <v>0</v>
      </c>
      <c r="L826" s="40" t="n">
        <v>0</v>
      </c>
      <c r="M826" s="40" t="n">
        <v>0</v>
      </c>
      <c r="N826" s="40" t="n">
        <v>0</v>
      </c>
      <c r="O826" s="40" t="n">
        <v>0</v>
      </c>
      <c r="P826" s="40" t="n">
        <v>0</v>
      </c>
      <c r="Q826" s="40" t="n">
        <v>0</v>
      </c>
      <c r="R826" s="47" t="n"/>
      <c r="S826" s="47" t="n"/>
      <c r="T826" s="47" t="n"/>
      <c r="U826" s="47" t="n"/>
      <c r="V826" s="47" t="n"/>
      <c r="W826" s="47" t="n"/>
    </row>
    <row r="827" ht="11.25" customHeight="1">
      <c r="A827" s="30" t="inlineStr">
        <is>
          <t>Itaguai</t>
        </is>
      </c>
      <c r="B827" s="30" t="n">
        <v>79500208</v>
      </c>
      <c r="C827" s="30">
        <f>"33220880000837"</f>
        <v/>
      </c>
      <c r="D827" s="30" t="inlineStr">
        <is>
          <t>EBSE ENGENHARIA DE SOLU??ES S.A</t>
        </is>
      </c>
      <c r="E827" s="40" t="n">
        <v>0</v>
      </c>
      <c r="F827" s="40" t="n">
        <v>0</v>
      </c>
      <c r="G827" s="40" t="n">
        <v>0</v>
      </c>
      <c r="H827" s="40" t="n">
        <v>0</v>
      </c>
      <c r="I827" s="40" t="n">
        <v>0</v>
      </c>
      <c r="J827" s="40" t="n">
        <v>0</v>
      </c>
      <c r="K827" s="40" t="n">
        <v>0</v>
      </c>
      <c r="L827" s="40" t="n">
        <v>0</v>
      </c>
      <c r="M827" s="40" t="n">
        <v>0</v>
      </c>
      <c r="N827" s="40" t="n">
        <v>0</v>
      </c>
      <c r="O827" s="40" t="n">
        <v>0</v>
      </c>
      <c r="P827" s="40" t="n">
        <v>0</v>
      </c>
      <c r="Q827" s="40" t="n">
        <v>0</v>
      </c>
      <c r="R827" s="47" t="n"/>
      <c r="S827" s="47" t="n"/>
      <c r="T827" s="47" t="n"/>
      <c r="U827" s="47" t="n"/>
      <c r="V827" s="47" t="n"/>
      <c r="W827" s="47" t="n"/>
    </row>
    <row r="828" ht="11.25" customHeight="1">
      <c r="A828" s="30" t="inlineStr">
        <is>
          <t>Itaguai</t>
        </is>
      </c>
      <c r="B828" s="30" t="n">
        <v>79508284</v>
      </c>
      <c r="C828" s="30">
        <f>"42278291002763"</f>
        <v/>
      </c>
      <c r="D828" s="30" t="inlineStr">
        <is>
          <t>LOG IN LOGISTICA INTERMODAL S/A</t>
        </is>
      </c>
      <c r="E828" s="40" t="n">
        <v>8597708.779999999</v>
      </c>
      <c r="F828" s="40" t="n">
        <v>10821498.8</v>
      </c>
      <c r="G828" s="40" t="n">
        <v>25.86</v>
      </c>
      <c r="H828" s="40" t="n">
        <v>11535352.1</v>
      </c>
      <c r="I828" s="40" t="n">
        <v>6.6</v>
      </c>
      <c r="J828" s="40" t="n">
        <v>11472651.09</v>
      </c>
      <c r="K828" s="46" t="n">
        <v>-0.54</v>
      </c>
      <c r="L828" s="40" t="n">
        <v>7892794.71</v>
      </c>
      <c r="M828" s="46" t="n">
        <v>-31.2</v>
      </c>
      <c r="N828" s="40" t="n">
        <v>5648298.42</v>
      </c>
      <c r="O828" s="46" t="n">
        <v>-28.44</v>
      </c>
      <c r="P828" s="40" t="n">
        <v>50926.84</v>
      </c>
      <c r="Q828" s="46" t="n">
        <v>-99.09999999999999</v>
      </c>
      <c r="R828" s="47" t="n"/>
      <c r="S828" s="47" t="n"/>
      <c r="T828" s="47" t="n"/>
      <c r="U828" s="47" t="n"/>
      <c r="V828" s="47" t="n"/>
      <c r="W828" s="47" t="n"/>
    </row>
    <row r="829" ht="11.25" customHeight="1">
      <c r="A829" s="30" t="inlineStr">
        <is>
          <t>Itaguai</t>
        </is>
      </c>
      <c r="B829" s="30" t="n">
        <v>79510688</v>
      </c>
      <c r="C829" s="30">
        <f>"10839911000322"</f>
        <v/>
      </c>
      <c r="D829" s="30" t="inlineStr">
        <is>
          <t>TG LOGISTICA E TRANSPORTES LTDA</t>
        </is>
      </c>
      <c r="E829" s="40" t="n">
        <v>0</v>
      </c>
      <c r="F829" s="40" t="n">
        <v>0</v>
      </c>
      <c r="G829" s="40" t="n">
        <v>0</v>
      </c>
      <c r="H829" s="40" t="n">
        <v>0</v>
      </c>
      <c r="I829" s="40" t="n">
        <v>0</v>
      </c>
      <c r="J829" s="40" t="n">
        <v>0</v>
      </c>
      <c r="K829" s="40" t="n">
        <v>0</v>
      </c>
      <c r="L829" s="40" t="n">
        <v>0</v>
      </c>
      <c r="M829" s="40" t="n">
        <v>0</v>
      </c>
      <c r="N829" s="40" t="n">
        <v>19356.09</v>
      </c>
      <c r="O829" s="40" t="n">
        <v>100</v>
      </c>
      <c r="P829" s="40" t="n">
        <v>5864.56</v>
      </c>
      <c r="Q829" s="46" t="n">
        <v>-69.7</v>
      </c>
      <c r="R829" s="47" t="n"/>
      <c r="S829" s="47" t="n"/>
      <c r="T829" s="47" t="n"/>
      <c r="U829" s="47" t="n"/>
      <c r="V829" s="47" t="n"/>
      <c r="W829" s="47" t="n"/>
    </row>
    <row r="830" ht="11.25" customHeight="1">
      <c r="A830" s="30" t="inlineStr">
        <is>
          <t>Itaguai</t>
        </is>
      </c>
      <c r="B830" s="30" t="n">
        <v>79514420</v>
      </c>
      <c r="C830" s="30">
        <f>"14424528000100"</f>
        <v/>
      </c>
      <c r="D830" s="30" t="inlineStr">
        <is>
          <t>BAR DO ANDRE COMERCIO DE BEBIDAS LTDA ME</t>
        </is>
      </c>
      <c r="E830" s="40" t="n">
        <v>0</v>
      </c>
      <c r="F830" s="40" t="n">
        <v>0</v>
      </c>
      <c r="G830" s="40" t="n">
        <v>0</v>
      </c>
      <c r="H830" s="40" t="n">
        <v>0</v>
      </c>
      <c r="I830" s="40" t="n">
        <v>0</v>
      </c>
      <c r="J830" s="40" t="n">
        <v>0</v>
      </c>
      <c r="K830" s="40" t="n">
        <v>0</v>
      </c>
      <c r="L830" s="40" t="n">
        <v>0</v>
      </c>
      <c r="M830" s="40" t="n">
        <v>0</v>
      </c>
      <c r="N830" s="40" t="n">
        <v>0</v>
      </c>
      <c r="O830" s="40" t="n">
        <v>0</v>
      </c>
      <c r="P830" s="40" t="n">
        <v>0</v>
      </c>
      <c r="Q830" s="40" t="n">
        <v>0</v>
      </c>
      <c r="R830" s="47" t="n"/>
      <c r="S830" s="47" t="n"/>
      <c r="T830" s="47" t="n"/>
      <c r="U830" s="47" t="n"/>
      <c r="V830" s="47" t="n"/>
      <c r="W830" s="47" t="n"/>
    </row>
    <row r="831" ht="11.25" customHeight="1">
      <c r="A831" s="30" t="inlineStr">
        <is>
          <t>Itaguai</t>
        </is>
      </c>
      <c r="B831" s="30" t="n">
        <v>79522554</v>
      </c>
      <c r="C831" s="30">
        <f>"14493773000161"</f>
        <v/>
      </c>
      <c r="D831" s="30" t="inlineStr">
        <is>
          <t>SOLUÇÃO LOCAÇÃO E TRANSPORTES EIRELI</t>
        </is>
      </c>
      <c r="E831" s="40" t="n">
        <v>967.1799999999999</v>
      </c>
      <c r="F831" s="40" t="n">
        <v>2245.43</v>
      </c>
      <c r="G831" s="40" t="n">
        <v>132.16</v>
      </c>
      <c r="H831" s="40" t="n">
        <v>39.86</v>
      </c>
      <c r="I831" s="46" t="n">
        <v>-98.22</v>
      </c>
      <c r="J831" s="40" t="n">
        <v>144.05</v>
      </c>
      <c r="K831" s="40" t="n">
        <v>261.39</v>
      </c>
      <c r="L831" s="40" t="n">
        <v>0</v>
      </c>
      <c r="M831" s="46" t="n">
        <v>-100</v>
      </c>
      <c r="N831" s="40" t="n">
        <v>10</v>
      </c>
      <c r="O831" s="40" t="n">
        <v>100</v>
      </c>
      <c r="P831" s="40" t="n">
        <v>716.16</v>
      </c>
      <c r="Q831" s="40" t="n">
        <v>7061.6</v>
      </c>
      <c r="R831" s="47" t="n"/>
      <c r="S831" s="47" t="n"/>
      <c r="T831" s="47" t="n"/>
      <c r="U831" s="47" t="n"/>
      <c r="V831" s="47" t="n"/>
      <c r="W831" s="47" t="n"/>
    </row>
    <row r="832" ht="11.25" customHeight="1">
      <c r="A832" s="30" t="inlineStr">
        <is>
          <t>Itaguai</t>
        </is>
      </c>
      <c r="B832" s="30" t="n">
        <v>79523500</v>
      </c>
      <c r="C832" s="30">
        <f>"10375294000270"</f>
        <v/>
      </c>
      <c r="D832" s="30" t="inlineStr">
        <is>
          <t>TRANS LOGISTIC TRANSPORTES LTDA-EPP</t>
        </is>
      </c>
      <c r="E832" s="40" t="n">
        <v>3949.51</v>
      </c>
      <c r="F832" s="40" t="n">
        <v>28640.3</v>
      </c>
      <c r="G832" s="40" t="n">
        <v>625.16</v>
      </c>
      <c r="H832" s="40" t="n">
        <v>0</v>
      </c>
      <c r="I832" s="46" t="n">
        <v>-100</v>
      </c>
      <c r="J832" s="40" t="n">
        <v>0</v>
      </c>
      <c r="K832" s="40" t="n">
        <v>0</v>
      </c>
      <c r="L832" s="40" t="n">
        <v>0</v>
      </c>
      <c r="M832" s="40" t="n">
        <v>0</v>
      </c>
      <c r="N832" s="40" t="n">
        <v>0</v>
      </c>
      <c r="O832" s="40" t="n">
        <v>0</v>
      </c>
      <c r="P832" s="40" t="n">
        <v>0</v>
      </c>
      <c r="Q832" s="40" t="n">
        <v>0</v>
      </c>
      <c r="R832" s="47" t="n"/>
      <c r="S832" s="47" t="n"/>
      <c r="T832" s="47" t="n"/>
      <c r="U832" s="47" t="n"/>
      <c r="V832" s="47" t="n"/>
      <c r="W832" s="47" t="n"/>
    </row>
    <row r="833" ht="11.25" customHeight="1">
      <c r="A833" s="30" t="inlineStr">
        <is>
          <t>Itaguai</t>
        </is>
      </c>
      <c r="B833" s="30" t="n">
        <v>79525596</v>
      </c>
      <c r="C833" s="30">
        <f>"14395944000110"</f>
        <v/>
      </c>
      <c r="D833" s="30" t="inlineStr">
        <is>
          <t>BA LOG LOGISTICA E LOCACAO LTDA ME</t>
        </is>
      </c>
      <c r="E833" s="40" t="n">
        <v>1315.86</v>
      </c>
      <c r="F833" s="40" t="n">
        <v>0</v>
      </c>
      <c r="G833" s="46" t="n">
        <v>-100</v>
      </c>
      <c r="H833" s="40" t="n">
        <v>0</v>
      </c>
      <c r="I833" s="40" t="n">
        <v>0</v>
      </c>
      <c r="J833" s="40" t="n">
        <v>12444.83</v>
      </c>
      <c r="K833" s="40" t="n">
        <v>100</v>
      </c>
      <c r="L833" s="40" t="n">
        <v>0</v>
      </c>
      <c r="M833" s="46" t="n">
        <v>-100</v>
      </c>
      <c r="N833" s="40" t="n">
        <v>14325.89</v>
      </c>
      <c r="O833" s="40" t="n">
        <v>100</v>
      </c>
      <c r="P833" s="40" t="n">
        <v>26219.48</v>
      </c>
      <c r="Q833" s="40" t="n">
        <v>83.02</v>
      </c>
      <c r="R833" s="47" t="n"/>
      <c r="S833" s="47" t="n"/>
      <c r="T833" s="47" t="n"/>
      <c r="U833" s="47" t="n"/>
      <c r="V833" s="47" t="n"/>
      <c r="W833" s="47" t="n"/>
    </row>
    <row r="834" ht="11.25" customHeight="1">
      <c r="A834" s="30" t="inlineStr">
        <is>
          <t>Itaguai</t>
        </is>
      </c>
      <c r="B834" s="30" t="n">
        <v>79529095</v>
      </c>
      <c r="C834" s="30">
        <f>"02564963000224"</f>
        <v/>
      </c>
      <c r="D834" s="30" t="inlineStr">
        <is>
          <t>HEBER TRANSPORTADORA LTDA</t>
        </is>
      </c>
      <c r="E834" s="40" t="n">
        <v>15.03</v>
      </c>
      <c r="F834" s="40" t="n">
        <v>0</v>
      </c>
      <c r="G834" s="46" t="n">
        <v>-100</v>
      </c>
      <c r="H834" s="40" t="n">
        <v>0</v>
      </c>
      <c r="I834" s="40" t="n">
        <v>0</v>
      </c>
      <c r="J834" s="40" t="n">
        <v>0</v>
      </c>
      <c r="K834" s="40" t="n">
        <v>0</v>
      </c>
      <c r="L834" s="40" t="n">
        <v>0</v>
      </c>
      <c r="M834" s="40" t="n">
        <v>0</v>
      </c>
      <c r="N834" s="40" t="n">
        <v>0</v>
      </c>
      <c r="O834" s="40" t="n">
        <v>0</v>
      </c>
      <c r="P834" s="40" t="n">
        <v>0</v>
      </c>
      <c r="Q834" s="40" t="n">
        <v>0</v>
      </c>
      <c r="R834" s="47" t="n"/>
      <c r="S834" s="47" t="n"/>
      <c r="T834" s="47" t="n"/>
      <c r="U834" s="47" t="n"/>
      <c r="V834" s="47" t="n"/>
      <c r="W834" s="47" t="n"/>
    </row>
    <row r="835" ht="11.25" customHeight="1">
      <c r="A835" s="30" t="inlineStr">
        <is>
          <t>Itaguai</t>
        </is>
      </c>
      <c r="B835" s="30" t="n">
        <v>79535400</v>
      </c>
      <c r="C835" s="30">
        <f>"07406991000318"</f>
        <v/>
      </c>
      <c r="D835" s="30" t="inlineStr">
        <is>
          <t>DROGARIAS ATUAL DA COSTA VERDE LTDA</t>
        </is>
      </c>
      <c r="E835" s="40" t="n">
        <v>1303489.7</v>
      </c>
      <c r="F835" s="40" t="n">
        <v>2966913.14</v>
      </c>
      <c r="G835" s="40" t="n">
        <v>127.61</v>
      </c>
      <c r="H835" s="40" t="n">
        <v>1308415.88</v>
      </c>
      <c r="I835" s="46" t="n">
        <v>-55.9</v>
      </c>
      <c r="J835" s="40" t="n">
        <v>1058495.62</v>
      </c>
      <c r="K835" s="46" t="n">
        <v>-19.1</v>
      </c>
      <c r="L835" s="40" t="n">
        <v>2208174.56</v>
      </c>
      <c r="M835" s="40" t="n">
        <v>108.61</v>
      </c>
      <c r="N835" s="40" t="n">
        <v>4485580.33</v>
      </c>
      <c r="O835" s="40" t="n">
        <v>103.14</v>
      </c>
      <c r="P835" s="40" t="n">
        <v>0</v>
      </c>
      <c r="Q835" s="46" t="n">
        <v>-100</v>
      </c>
      <c r="R835" s="47" t="n"/>
      <c r="S835" s="47" t="n"/>
      <c r="T835" s="47" t="n"/>
      <c r="U835" s="47" t="n"/>
      <c r="V835" s="47" t="n"/>
      <c r="W835" s="47" t="n"/>
    </row>
    <row r="836" ht="11.25" customHeight="1">
      <c r="A836" s="30" t="inlineStr">
        <is>
          <t>Itaguai</t>
        </is>
      </c>
      <c r="B836" s="30" t="n">
        <v>79536644</v>
      </c>
      <c r="C836" s="30">
        <f>"50935436003751"</f>
        <v/>
      </c>
      <c r="D836" s="30" t="inlineStr">
        <is>
          <t>EXPRESSO JUNDIAI LOGISTICA E TRANSPORTE LTDA</t>
        </is>
      </c>
      <c r="E836" s="40" t="n">
        <v>2269.56</v>
      </c>
      <c r="F836" s="40" t="n">
        <v>0</v>
      </c>
      <c r="G836" s="46" t="n">
        <v>-100</v>
      </c>
      <c r="H836" s="40" t="n">
        <v>0</v>
      </c>
      <c r="I836" s="40" t="n">
        <v>0</v>
      </c>
      <c r="J836" s="40" t="n">
        <v>0</v>
      </c>
      <c r="K836" s="40" t="n">
        <v>0</v>
      </c>
      <c r="L836" s="40" t="n">
        <v>0</v>
      </c>
      <c r="M836" s="40" t="n">
        <v>0</v>
      </c>
      <c r="N836" s="40" t="n">
        <v>0</v>
      </c>
      <c r="O836" s="40" t="n">
        <v>0</v>
      </c>
      <c r="P836" s="40" t="n">
        <v>0</v>
      </c>
      <c r="Q836" s="40" t="n">
        <v>0</v>
      </c>
      <c r="R836" s="47" t="n"/>
      <c r="S836" s="47" t="n"/>
      <c r="T836" s="47" t="n"/>
      <c r="U836" s="47" t="n"/>
      <c r="V836" s="47" t="n"/>
      <c r="W836" s="47" t="n"/>
    </row>
    <row r="837" ht="11.25" customHeight="1">
      <c r="A837" s="30" t="inlineStr">
        <is>
          <t>Itaguai</t>
        </is>
      </c>
      <c r="B837" s="30" t="n">
        <v>79541575</v>
      </c>
      <c r="C837" s="30">
        <f>"04915315001434"</f>
        <v/>
      </c>
      <c r="D837" s="30" t="inlineStr">
        <is>
          <t>VENTANA SERRA DO BRASIL AGENCIAMENTO DE CARGAS LTDA</t>
        </is>
      </c>
      <c r="E837" s="40" t="n">
        <v>121597.08</v>
      </c>
      <c r="F837" s="40" t="n">
        <v>0</v>
      </c>
      <c r="G837" s="46" t="n">
        <v>-100</v>
      </c>
      <c r="H837" s="40" t="n">
        <v>0</v>
      </c>
      <c r="I837" s="40" t="n">
        <v>0</v>
      </c>
      <c r="J837" s="40" t="n">
        <v>0</v>
      </c>
      <c r="K837" s="40" t="n">
        <v>0</v>
      </c>
      <c r="L837" s="40" t="n">
        <v>0</v>
      </c>
      <c r="M837" s="40" t="n">
        <v>0</v>
      </c>
      <c r="N837" s="40" t="n">
        <v>6854.65</v>
      </c>
      <c r="O837" s="40" t="n">
        <v>100</v>
      </c>
      <c r="P837" s="40" t="n">
        <v>7539.77</v>
      </c>
      <c r="Q837" s="40" t="n">
        <v>9.99</v>
      </c>
      <c r="R837" s="47" t="n"/>
      <c r="S837" s="47" t="n"/>
      <c r="T837" s="47" t="n"/>
      <c r="U837" s="47" t="n"/>
      <c r="V837" s="47" t="n"/>
      <c r="W837" s="47" t="n"/>
    </row>
    <row r="838" ht="11.25" customHeight="1">
      <c r="A838" s="30" t="inlineStr">
        <is>
          <t>Itaguai</t>
        </is>
      </c>
      <c r="B838" s="30" t="n">
        <v>79543411</v>
      </c>
      <c r="C838" s="30">
        <f>"68639251001550"</f>
        <v/>
      </c>
      <c r="D838" s="30" t="inlineStr">
        <is>
          <t>PREMIUM RIO VEICULOS LTDA</t>
        </is>
      </c>
      <c r="E838" s="40" t="n">
        <v>0</v>
      </c>
      <c r="F838" s="40" t="n">
        <v>0</v>
      </c>
      <c r="G838" s="40" t="n">
        <v>0</v>
      </c>
      <c r="H838" s="40" t="n">
        <v>0</v>
      </c>
      <c r="I838" s="40" t="n">
        <v>0</v>
      </c>
      <c r="J838" s="40" t="n">
        <v>0</v>
      </c>
      <c r="K838" s="40" t="n">
        <v>0</v>
      </c>
      <c r="L838" s="40" t="n">
        <v>0</v>
      </c>
      <c r="M838" s="40" t="n">
        <v>0</v>
      </c>
      <c r="N838" s="40" t="n">
        <v>0</v>
      </c>
      <c r="O838" s="40" t="n">
        <v>0</v>
      </c>
      <c r="P838" s="40" t="n">
        <v>0</v>
      </c>
      <c r="Q838" s="40" t="n">
        <v>0</v>
      </c>
      <c r="R838" s="47" t="n"/>
      <c r="S838" s="47" t="n"/>
      <c r="T838" s="47" t="n"/>
      <c r="U838" s="47" t="n"/>
      <c r="V838" s="47" t="n"/>
      <c r="W838" s="47" t="n"/>
    </row>
    <row r="839" ht="11.25" customHeight="1">
      <c r="A839" s="30" t="inlineStr">
        <is>
          <t>Itaguai</t>
        </is>
      </c>
      <c r="B839" s="30" t="n">
        <v>79545660</v>
      </c>
      <c r="C839" s="30">
        <f>"05294609000304"</f>
        <v/>
      </c>
      <c r="D839" s="30" t="inlineStr">
        <is>
          <t>ZIRANLOG ARMAZENS GERAIS E TRANSPORTES EIRELI</t>
        </is>
      </c>
      <c r="E839" s="40" t="n">
        <v>0</v>
      </c>
      <c r="F839" s="40" t="n">
        <v>0</v>
      </c>
      <c r="G839" s="40" t="n">
        <v>0</v>
      </c>
      <c r="H839" s="40" t="n">
        <v>0</v>
      </c>
      <c r="I839" s="40" t="n">
        <v>0</v>
      </c>
      <c r="J839" s="40" t="n">
        <v>0</v>
      </c>
      <c r="K839" s="40" t="n">
        <v>0</v>
      </c>
      <c r="L839" s="40" t="n">
        <v>0</v>
      </c>
      <c r="M839" s="40" t="n">
        <v>0</v>
      </c>
      <c r="N839" s="40" t="n">
        <v>0</v>
      </c>
      <c r="O839" s="40" t="n">
        <v>0</v>
      </c>
      <c r="P839" s="40" t="n">
        <v>0</v>
      </c>
      <c r="Q839" s="40" t="n">
        <v>0</v>
      </c>
      <c r="R839" s="47" t="n"/>
      <c r="S839" s="47" t="n"/>
      <c r="T839" s="47" t="n"/>
      <c r="U839" s="47" t="n"/>
      <c r="V839" s="47" t="n"/>
      <c r="W839" s="47" t="n"/>
    </row>
    <row r="840" ht="11.25" customHeight="1">
      <c r="A840" s="30" t="inlineStr">
        <is>
          <t>Itaguai</t>
        </is>
      </c>
      <c r="B840" s="30" t="n">
        <v>79554332</v>
      </c>
      <c r="C840" s="30">
        <f>"14744388000140"</f>
        <v/>
      </c>
      <c r="D840" s="30" t="inlineStr">
        <is>
          <t>RICAL COMERCIO DE VEICULOS - EIRELI</t>
        </is>
      </c>
      <c r="E840" s="40" t="n">
        <v>64134.3</v>
      </c>
      <c r="F840" s="40" t="n">
        <v>8220</v>
      </c>
      <c r="G840" s="46" t="n">
        <v>-87.18000000000001</v>
      </c>
      <c r="H840" s="40" t="n">
        <v>0</v>
      </c>
      <c r="I840" s="46" t="n">
        <v>-100</v>
      </c>
      <c r="J840" s="40" t="n">
        <v>0</v>
      </c>
      <c r="K840" s="40" t="n">
        <v>0</v>
      </c>
      <c r="L840" s="40" t="n">
        <v>0</v>
      </c>
      <c r="M840" s="40" t="n">
        <v>0</v>
      </c>
      <c r="N840" s="40" t="n">
        <v>0</v>
      </c>
      <c r="O840" s="40" t="n">
        <v>0</v>
      </c>
      <c r="P840" s="40" t="n">
        <v>0</v>
      </c>
      <c r="Q840" s="40" t="n">
        <v>0</v>
      </c>
      <c r="R840" s="47" t="n"/>
      <c r="S840" s="47" t="n"/>
      <c r="T840" s="47" t="n"/>
      <c r="U840" s="47" t="n"/>
      <c r="V840" s="47" t="n"/>
      <c r="W840" s="47" t="n"/>
    </row>
    <row r="841" ht="11.25" customHeight="1">
      <c r="A841" s="30" t="inlineStr">
        <is>
          <t>Itaguai</t>
        </is>
      </c>
      <c r="B841" s="30" t="n">
        <v>79556637</v>
      </c>
      <c r="C841" s="30">
        <f>"14758652000102"</f>
        <v/>
      </c>
      <c r="D841" s="30" t="inlineStr">
        <is>
          <t>POSTO DE SERVICOS GIGANTE DE CAXIAS LTDA</t>
        </is>
      </c>
      <c r="E841" s="40" t="n">
        <v>1267670.53</v>
      </c>
      <c r="F841" s="40" t="n">
        <v>632017.62</v>
      </c>
      <c r="G841" s="46" t="n">
        <v>-50.14</v>
      </c>
      <c r="H841" s="40" t="n">
        <v>544618.12</v>
      </c>
      <c r="I841" s="46" t="n">
        <v>-13.83</v>
      </c>
      <c r="J841" s="40" t="n">
        <v>441902.88</v>
      </c>
      <c r="K841" s="46" t="n">
        <v>-18.86</v>
      </c>
      <c r="L841" s="40" t="n">
        <v>407239.26</v>
      </c>
      <c r="M841" s="46" t="n">
        <v>-7.84</v>
      </c>
      <c r="N841" s="40" t="n">
        <v>0</v>
      </c>
      <c r="O841" s="46" t="n">
        <v>-100</v>
      </c>
      <c r="P841" s="40" t="n">
        <v>730692.47</v>
      </c>
      <c r="Q841" s="40" t="n">
        <v>100</v>
      </c>
      <c r="R841" s="47" t="n"/>
      <c r="S841" s="47" t="n"/>
      <c r="T841" s="47" t="n"/>
      <c r="U841" s="47" t="n"/>
      <c r="V841" s="47" t="n"/>
      <c r="W841" s="47" t="n"/>
    </row>
    <row r="842" ht="11.25" customHeight="1">
      <c r="A842" s="30" t="inlineStr">
        <is>
          <t>Itaguai</t>
        </is>
      </c>
      <c r="B842" s="30" t="n">
        <v>79558630</v>
      </c>
      <c r="C842" s="30">
        <f>"00991619000105"</f>
        <v/>
      </c>
      <c r="D842" s="30" t="inlineStr">
        <is>
          <t>FRANCISCO C FREITAS RESTAURANTE E BAR ME</t>
        </is>
      </c>
      <c r="E842" s="40" t="n">
        <v>0</v>
      </c>
      <c r="F842" s="40" t="n">
        <v>0</v>
      </c>
      <c r="G842" s="40" t="n">
        <v>0</v>
      </c>
      <c r="H842" s="40" t="n">
        <v>0</v>
      </c>
      <c r="I842" s="40" t="n">
        <v>0</v>
      </c>
      <c r="J842" s="40" t="n">
        <v>0</v>
      </c>
      <c r="K842" s="40" t="n">
        <v>0</v>
      </c>
      <c r="L842" s="40" t="n">
        <v>0</v>
      </c>
      <c r="M842" s="40" t="n">
        <v>0</v>
      </c>
      <c r="N842" s="40" t="n">
        <v>0</v>
      </c>
      <c r="O842" s="40" t="n">
        <v>0</v>
      </c>
      <c r="P842" s="40" t="n">
        <v>0</v>
      </c>
      <c r="Q842" s="40" t="n">
        <v>0</v>
      </c>
      <c r="R842" s="47" t="n"/>
      <c r="S842" s="47" t="n"/>
      <c r="T842" s="47" t="n"/>
      <c r="U842" s="47" t="n"/>
      <c r="V842" s="47" t="n"/>
      <c r="W842" s="47" t="n"/>
    </row>
    <row r="843" ht="11.25" customHeight="1">
      <c r="A843" s="30" t="inlineStr">
        <is>
          <t>Itaguai</t>
        </is>
      </c>
      <c r="B843" s="30" t="n">
        <v>79559938</v>
      </c>
      <c r="C843" s="30">
        <f>"13106255000185"</f>
        <v/>
      </c>
      <c r="D843" s="30" t="inlineStr">
        <is>
          <t>JULIA TRANSPORTE SERVICOS DE TRANSPORTE DE CARGAS LTDA ME</t>
        </is>
      </c>
      <c r="E843" s="40" t="n">
        <v>0</v>
      </c>
      <c r="F843" s="40" t="n">
        <v>0</v>
      </c>
      <c r="G843" s="40" t="n">
        <v>0</v>
      </c>
      <c r="H843" s="40" t="n">
        <v>0</v>
      </c>
      <c r="I843" s="40" t="n">
        <v>0</v>
      </c>
      <c r="J843" s="40" t="n">
        <v>0</v>
      </c>
      <c r="K843" s="40" t="n">
        <v>0</v>
      </c>
      <c r="L843" s="40" t="n">
        <v>9307.41</v>
      </c>
      <c r="M843" s="40" t="n">
        <v>100</v>
      </c>
      <c r="N843" s="40" t="n">
        <v>0</v>
      </c>
      <c r="O843" s="46" t="n">
        <v>-100</v>
      </c>
      <c r="P843" s="40" t="n">
        <v>0</v>
      </c>
      <c r="Q843" s="40" t="n">
        <v>0</v>
      </c>
      <c r="R843" s="47" t="n"/>
      <c r="S843" s="47" t="n"/>
      <c r="T843" s="47" t="n"/>
      <c r="U843" s="47" t="n"/>
      <c r="V843" s="47" t="n"/>
      <c r="W843" s="47" t="n"/>
    </row>
    <row r="844" ht="11.25" customHeight="1">
      <c r="A844" s="30" t="inlineStr">
        <is>
          <t>Itaguai</t>
        </is>
      </c>
      <c r="B844" s="30" t="n">
        <v>79561126</v>
      </c>
      <c r="C844" s="30">
        <f>"21483615000862"</f>
        <v/>
      </c>
      <c r="D844" s="30" t="inlineStr">
        <is>
          <t>ORLY VEICULOS E PECAS S/A</t>
        </is>
      </c>
      <c r="E844" s="40" t="n">
        <v>968589.65</v>
      </c>
      <c r="F844" s="40" t="n">
        <v>788994.3199999999</v>
      </c>
      <c r="G844" s="46" t="n">
        <v>-18.54</v>
      </c>
      <c r="H844" s="40" t="n">
        <v>328830.28</v>
      </c>
      <c r="I844" s="46" t="n">
        <v>-58.32</v>
      </c>
      <c r="J844" s="40" t="n">
        <v>866281.4300000001</v>
      </c>
      <c r="K844" s="40" t="n">
        <v>163.44</v>
      </c>
      <c r="L844" s="40" t="n">
        <v>1508330.57</v>
      </c>
      <c r="M844" s="40" t="n">
        <v>74.12</v>
      </c>
      <c r="N844" s="40" t="n">
        <v>1878897.33</v>
      </c>
      <c r="O844" s="40" t="n">
        <v>24.57</v>
      </c>
      <c r="P844" s="40" t="n">
        <v>1706857.9</v>
      </c>
      <c r="Q844" s="46" t="n">
        <v>-9.16</v>
      </c>
      <c r="R844" s="47" t="n"/>
      <c r="S844" s="47" t="n"/>
      <c r="T844" s="47" t="n"/>
      <c r="U844" s="47" t="n"/>
      <c r="V844" s="47" t="n"/>
      <c r="W844" s="47" t="n"/>
    </row>
    <row r="845" ht="11.25" customHeight="1">
      <c r="A845" s="30" t="inlineStr">
        <is>
          <t>Itaguai</t>
        </is>
      </c>
      <c r="B845" s="30" t="n">
        <v>79568228</v>
      </c>
      <c r="C845" s="30">
        <f>"14752255000115"</f>
        <v/>
      </c>
      <c r="D845" s="30" t="inlineStr">
        <is>
          <t>TRANZIRAN LOGISTICS PROJECTS LTDA</t>
        </is>
      </c>
      <c r="E845" s="40" t="n">
        <v>0</v>
      </c>
      <c r="F845" s="40" t="n">
        <v>0</v>
      </c>
      <c r="G845" s="40" t="n">
        <v>0</v>
      </c>
      <c r="H845" s="40" t="n">
        <v>7179.36</v>
      </c>
      <c r="I845" s="40" t="n">
        <v>100</v>
      </c>
      <c r="J845" s="40" t="n">
        <v>0</v>
      </c>
      <c r="K845" s="46" t="n">
        <v>-100</v>
      </c>
      <c r="L845" s="40" t="n">
        <v>0</v>
      </c>
      <c r="M845" s="40" t="n">
        <v>0</v>
      </c>
      <c r="N845" s="40" t="n">
        <v>0</v>
      </c>
      <c r="O845" s="40" t="n">
        <v>0</v>
      </c>
      <c r="P845" s="40" t="n">
        <v>0</v>
      </c>
      <c r="Q845" s="40" t="n">
        <v>0</v>
      </c>
      <c r="R845" s="47" t="n"/>
      <c r="S845" s="47" t="n"/>
      <c r="T845" s="47" t="n"/>
      <c r="U845" s="47" t="n"/>
      <c r="V845" s="47" t="n"/>
      <c r="W845" s="47" t="n"/>
    </row>
    <row r="846" ht="11.25" customHeight="1">
      <c r="A846" s="30" t="inlineStr">
        <is>
          <t>Itaguai</t>
        </is>
      </c>
      <c r="B846" s="30" t="n">
        <v>79568287</v>
      </c>
      <c r="C846" s="30">
        <f>"77024644000225"</f>
        <v/>
      </c>
      <c r="D846" s="30" t="inlineStr">
        <is>
          <t>JORGE MANCHUR &amp; CIA LTDA</t>
        </is>
      </c>
      <c r="E846" s="40" t="n">
        <v>0</v>
      </c>
      <c r="F846" s="40" t="n">
        <v>10370.33</v>
      </c>
      <c r="G846" s="40" t="n">
        <v>100</v>
      </c>
      <c r="H846" s="40" t="n">
        <v>807.47</v>
      </c>
      <c r="I846" s="46" t="n">
        <v>-92.20999999999999</v>
      </c>
      <c r="J846" s="40" t="n">
        <v>7672.5</v>
      </c>
      <c r="K846" s="40" t="n">
        <v>850.1900000000001</v>
      </c>
      <c r="L846" s="40" t="n">
        <v>2636.26</v>
      </c>
      <c r="M846" s="46" t="n">
        <v>-65.64</v>
      </c>
      <c r="N846" s="40" t="n">
        <v>11884.79</v>
      </c>
      <c r="O846" s="40" t="n">
        <v>350.82</v>
      </c>
      <c r="P846" s="40" t="n">
        <v>17588.89</v>
      </c>
      <c r="Q846" s="40" t="n">
        <v>47.99</v>
      </c>
      <c r="R846" s="47" t="n"/>
      <c r="S846" s="47" t="n"/>
      <c r="T846" s="47" t="n"/>
      <c r="U846" s="47" t="n"/>
      <c r="V846" s="47" t="n"/>
      <c r="W846" s="47" t="n"/>
    </row>
    <row r="847" ht="11.25" customHeight="1">
      <c r="A847" s="30" t="inlineStr">
        <is>
          <t>Itaguai</t>
        </is>
      </c>
      <c r="B847" s="30" t="n">
        <v>79571806</v>
      </c>
      <c r="C847" s="30">
        <f>"14801701000134"</f>
        <v/>
      </c>
      <c r="D847" s="30" t="inlineStr">
        <is>
          <t>PREDES BAZAR LTDA ME</t>
        </is>
      </c>
      <c r="E847" s="40" t="n">
        <v>0</v>
      </c>
      <c r="F847" s="40" t="n">
        <v>0</v>
      </c>
      <c r="G847" s="40" t="n">
        <v>0</v>
      </c>
      <c r="H847" s="40" t="n">
        <v>0</v>
      </c>
      <c r="I847" s="40" t="n">
        <v>0</v>
      </c>
      <c r="J847" s="40" t="n">
        <v>0</v>
      </c>
      <c r="K847" s="40" t="n">
        <v>0</v>
      </c>
      <c r="L847" s="40" t="n">
        <v>0</v>
      </c>
      <c r="M847" s="40" t="n">
        <v>0</v>
      </c>
      <c r="N847" s="40" t="n">
        <v>0</v>
      </c>
      <c r="O847" s="40" t="n">
        <v>0</v>
      </c>
      <c r="P847" s="40" t="n">
        <v>0</v>
      </c>
      <c r="Q847" s="40" t="n">
        <v>0</v>
      </c>
      <c r="R847" s="47" t="n"/>
      <c r="S847" s="47" t="n"/>
      <c r="T847" s="47" t="n"/>
      <c r="U847" s="47" t="n"/>
      <c r="V847" s="47" t="n"/>
      <c r="W847" s="47" t="n"/>
    </row>
    <row r="848" ht="11.25" customHeight="1">
      <c r="A848" s="30" t="inlineStr">
        <is>
          <t>Itaguai</t>
        </is>
      </c>
      <c r="B848" s="30" t="n">
        <v>79577936</v>
      </c>
      <c r="C848" s="30">
        <f>"08809288000313"</f>
        <v/>
      </c>
      <c r="D848" s="30" t="inlineStr">
        <is>
          <t>LIBRA TERMINAL VALONGO S A</t>
        </is>
      </c>
      <c r="E848" s="40" t="n">
        <v>6859.76</v>
      </c>
      <c r="F848" s="40" t="n">
        <v>0</v>
      </c>
      <c r="G848" s="46" t="n">
        <v>-100</v>
      </c>
      <c r="H848" s="40" t="n">
        <v>0</v>
      </c>
      <c r="I848" s="40" t="n">
        <v>0</v>
      </c>
      <c r="J848" s="40" t="n">
        <v>0</v>
      </c>
      <c r="K848" s="40" t="n">
        <v>0</v>
      </c>
      <c r="L848" s="40" t="n">
        <v>0</v>
      </c>
      <c r="M848" s="40" t="n">
        <v>0</v>
      </c>
      <c r="N848" s="40" t="n">
        <v>0</v>
      </c>
      <c r="O848" s="40" t="n">
        <v>0</v>
      </c>
      <c r="P848" s="40" t="n">
        <v>0</v>
      </c>
      <c r="Q848" s="40" t="n">
        <v>0</v>
      </c>
      <c r="R848" s="47" t="n"/>
      <c r="S848" s="47" t="n"/>
      <c r="T848" s="47" t="n"/>
      <c r="U848" s="47" t="n"/>
      <c r="V848" s="47" t="n"/>
      <c r="W848" s="47" t="n"/>
    </row>
    <row r="849" ht="11.25" customHeight="1">
      <c r="A849" s="30" t="inlineStr">
        <is>
          <t>Itaguai</t>
        </is>
      </c>
      <c r="B849" s="30" t="n">
        <v>79582980</v>
      </c>
      <c r="C849" s="30">
        <f>"78815958001280"</f>
        <v/>
      </c>
      <c r="D849" s="30" t="inlineStr">
        <is>
          <t>JOSE OSVALDO DE OLIVEIRA EIRELI</t>
        </is>
      </c>
      <c r="E849" s="40" t="n">
        <v>1881.18</v>
      </c>
      <c r="F849" s="40" t="n">
        <v>2446.15</v>
      </c>
      <c r="G849" s="40" t="n">
        <v>30.03</v>
      </c>
      <c r="H849" s="40" t="n">
        <v>5231.03</v>
      </c>
      <c r="I849" s="40" t="n">
        <v>113.85</v>
      </c>
      <c r="J849" s="40" t="n">
        <v>3457.68</v>
      </c>
      <c r="K849" s="46" t="n">
        <v>-33.9</v>
      </c>
      <c r="L849" s="40" t="n">
        <v>4605.44</v>
      </c>
      <c r="M849" s="40" t="n">
        <v>33.19</v>
      </c>
      <c r="N849" s="40" t="n">
        <v>5386.46</v>
      </c>
      <c r="O849" s="40" t="n">
        <v>16.96</v>
      </c>
      <c r="P849" s="40" t="n">
        <v>3570.71</v>
      </c>
      <c r="Q849" s="46" t="n">
        <v>-33.71</v>
      </c>
      <c r="R849" s="47" t="n"/>
      <c r="S849" s="47" t="n"/>
      <c r="T849" s="47" t="n"/>
      <c r="U849" s="47" t="n"/>
      <c r="V849" s="47" t="n"/>
      <c r="W849" s="47" t="n"/>
    </row>
    <row r="850" ht="11.25" customHeight="1">
      <c r="A850" s="30" t="inlineStr">
        <is>
          <t>Itaguai</t>
        </is>
      </c>
      <c r="B850" s="30" t="n">
        <v>79594571</v>
      </c>
      <c r="C850" s="30">
        <f>"08628629001750"</f>
        <v/>
      </c>
      <c r="D850" s="30" t="inlineStr">
        <is>
          <t>CONCORDIA LOGISTICA S A</t>
        </is>
      </c>
      <c r="E850" s="40" t="n">
        <v>0</v>
      </c>
      <c r="F850" s="40" t="n">
        <v>0</v>
      </c>
      <c r="G850" s="40" t="n">
        <v>0</v>
      </c>
      <c r="H850" s="40" t="n">
        <v>0</v>
      </c>
      <c r="I850" s="40" t="n">
        <v>0</v>
      </c>
      <c r="J850" s="40" t="n">
        <v>0</v>
      </c>
      <c r="K850" s="40" t="n">
        <v>0</v>
      </c>
      <c r="L850" s="40" t="n">
        <v>0</v>
      </c>
      <c r="M850" s="40" t="n">
        <v>0</v>
      </c>
      <c r="N850" s="40" t="n">
        <v>0</v>
      </c>
      <c r="O850" s="40" t="n">
        <v>0</v>
      </c>
      <c r="P850" s="40" t="n">
        <v>0</v>
      </c>
      <c r="Q850" s="40" t="n">
        <v>0</v>
      </c>
      <c r="R850" s="47" t="n"/>
      <c r="S850" s="47" t="n"/>
      <c r="T850" s="47" t="n"/>
      <c r="U850" s="47" t="n"/>
      <c r="V850" s="47" t="n"/>
      <c r="W850" s="47" t="n"/>
    </row>
    <row r="851" ht="11.25" customHeight="1">
      <c r="A851" s="30" t="inlineStr">
        <is>
          <t>Itaguai</t>
        </is>
      </c>
      <c r="B851" s="30" t="n">
        <v>79602604</v>
      </c>
      <c r="C851" s="30">
        <f>"15025071000116"</f>
        <v/>
      </c>
      <c r="D851" s="30" t="inlineStr">
        <is>
          <t>TRACKER SERVICO DE ARMAZENAGEM EIRELI</t>
        </is>
      </c>
      <c r="E851" s="40" t="n">
        <v>0</v>
      </c>
      <c r="F851" s="40" t="n">
        <v>0</v>
      </c>
      <c r="G851" s="40" t="n">
        <v>0</v>
      </c>
      <c r="H851" s="40" t="n">
        <v>0</v>
      </c>
      <c r="I851" s="40" t="n">
        <v>0</v>
      </c>
      <c r="J851" s="40" t="n">
        <v>0</v>
      </c>
      <c r="K851" s="40" t="n">
        <v>0</v>
      </c>
      <c r="L851" s="40" t="n">
        <v>186343.83</v>
      </c>
      <c r="M851" s="40" t="n">
        <v>100</v>
      </c>
      <c r="N851" s="40" t="n">
        <v>0</v>
      </c>
      <c r="O851" s="46" t="n">
        <v>-100</v>
      </c>
      <c r="P851" s="40" t="n">
        <v>0</v>
      </c>
      <c r="Q851" s="40" t="n">
        <v>0</v>
      </c>
      <c r="R851" s="47" t="n"/>
      <c r="S851" s="47" t="n"/>
      <c r="T851" s="47" t="n"/>
      <c r="U851" s="47" t="n"/>
      <c r="V851" s="47" t="n"/>
      <c r="W851" s="47" t="n"/>
    </row>
    <row r="852" ht="11.25" customHeight="1">
      <c r="A852" s="30" t="inlineStr">
        <is>
          <t>Itaguai</t>
        </is>
      </c>
      <c r="B852" s="30" t="n">
        <v>79602922</v>
      </c>
      <c r="C852" s="30">
        <f>"11069547000240"</f>
        <v/>
      </c>
      <c r="D852" s="30" t="inlineStr">
        <is>
          <t>LOGMAM TRANSPORTES LTDA</t>
        </is>
      </c>
      <c r="E852" s="40" t="n">
        <v>0</v>
      </c>
      <c r="F852" s="40" t="n">
        <v>0</v>
      </c>
      <c r="G852" s="40" t="n">
        <v>0</v>
      </c>
      <c r="H852" s="40" t="n">
        <v>2612.84</v>
      </c>
      <c r="I852" s="40" t="n">
        <v>100</v>
      </c>
      <c r="J852" s="40" t="n">
        <v>432</v>
      </c>
      <c r="K852" s="46" t="n">
        <v>-83.47</v>
      </c>
      <c r="L852" s="40" t="n">
        <v>0</v>
      </c>
      <c r="M852" s="46" t="n">
        <v>-100</v>
      </c>
      <c r="N852" s="40" t="n">
        <v>0</v>
      </c>
      <c r="O852" s="40" t="n">
        <v>0</v>
      </c>
      <c r="P852" s="40" t="n">
        <v>0</v>
      </c>
      <c r="Q852" s="40" t="n">
        <v>0</v>
      </c>
      <c r="R852" s="47" t="n"/>
      <c r="S852" s="47" t="n"/>
      <c r="T852" s="47" t="n"/>
      <c r="U852" s="47" t="n"/>
      <c r="V852" s="47" t="n"/>
      <c r="W852" s="47" t="n"/>
    </row>
    <row r="853" ht="11.25" customHeight="1">
      <c r="A853" s="30" t="inlineStr">
        <is>
          <t>Itaguai</t>
        </is>
      </c>
      <c r="B853" s="30" t="n">
        <v>79607975</v>
      </c>
      <c r="C853" s="30">
        <f>"52548435019783"</f>
        <v/>
      </c>
      <c r="D853" s="30" t="inlineStr">
        <is>
          <t>JSL S/A</t>
        </is>
      </c>
      <c r="E853" s="40" t="n">
        <v>0</v>
      </c>
      <c r="F853" s="40" t="n">
        <v>927.35</v>
      </c>
      <c r="G853" s="40" t="n">
        <v>100</v>
      </c>
      <c r="H853" s="40" t="n">
        <v>0</v>
      </c>
      <c r="I853" s="46" t="n">
        <v>-100</v>
      </c>
      <c r="J853" s="40" t="n">
        <v>2141.91</v>
      </c>
      <c r="K853" s="40" t="n">
        <v>100</v>
      </c>
      <c r="L853" s="40" t="n">
        <v>1755.58</v>
      </c>
      <c r="M853" s="46" t="n">
        <v>-18.04</v>
      </c>
      <c r="N853" s="40" t="n">
        <v>2644.8</v>
      </c>
      <c r="O853" s="40" t="n">
        <v>50.65</v>
      </c>
      <c r="P853" s="40" t="n">
        <v>0</v>
      </c>
      <c r="Q853" s="46" t="n">
        <v>-100</v>
      </c>
      <c r="R853" s="47" t="n"/>
      <c r="S853" s="47" t="n"/>
      <c r="T853" s="47" t="n"/>
      <c r="U853" s="47" t="n"/>
      <c r="V853" s="47" t="n"/>
      <c r="W853" s="47" t="n"/>
    </row>
    <row r="854" ht="11.25" customHeight="1">
      <c r="A854" s="30" t="inlineStr">
        <is>
          <t>Itaguai</t>
        </is>
      </c>
      <c r="B854" s="30" t="n">
        <v>79609323</v>
      </c>
      <c r="C854" s="30">
        <f>"15143710000148"</f>
        <v/>
      </c>
      <c r="D854" s="30" t="inlineStr">
        <is>
          <t>J A CRUZ BAR E LANCHONETE - ME</t>
        </is>
      </c>
      <c r="E854" s="40" t="n">
        <v>0</v>
      </c>
      <c r="F854" s="40" t="n">
        <v>0</v>
      </c>
      <c r="G854" s="40" t="n">
        <v>0</v>
      </c>
      <c r="H854" s="40" t="n">
        <v>0</v>
      </c>
      <c r="I854" s="40" t="n">
        <v>0</v>
      </c>
      <c r="J854" s="40" t="n">
        <v>0</v>
      </c>
      <c r="K854" s="40" t="n">
        <v>0</v>
      </c>
      <c r="L854" s="40" t="n">
        <v>0</v>
      </c>
      <c r="M854" s="40" t="n">
        <v>0</v>
      </c>
      <c r="N854" s="40" t="n">
        <v>0</v>
      </c>
      <c r="O854" s="40" t="n">
        <v>0</v>
      </c>
      <c r="P854" s="40" t="n">
        <v>0</v>
      </c>
      <c r="Q854" s="40" t="n">
        <v>0</v>
      </c>
      <c r="R854" s="47" t="n"/>
      <c r="S854" s="47" t="n"/>
      <c r="T854" s="47" t="n"/>
      <c r="U854" s="47" t="n"/>
      <c r="V854" s="47" t="n"/>
      <c r="W854" s="47" t="n"/>
    </row>
    <row r="855" ht="11.25" customHeight="1">
      <c r="A855" s="30" t="inlineStr">
        <is>
          <t>Itaguai</t>
        </is>
      </c>
      <c r="B855" s="30" t="n">
        <v>79611395</v>
      </c>
      <c r="C855" s="30">
        <f>"13747117000185"</f>
        <v/>
      </c>
      <c r="D855" s="30" t="inlineStr">
        <is>
          <t>CLADTEK DO BRASIL INDUSTRIA E COMERCIO DE TUBOS E REVESTIMENTOS LTDA</t>
        </is>
      </c>
      <c r="E855" s="40" t="n">
        <v>0</v>
      </c>
      <c r="F855" s="40" t="n">
        <v>0</v>
      </c>
      <c r="G855" s="40" t="n">
        <v>0</v>
      </c>
      <c r="H855" s="40" t="n">
        <v>0</v>
      </c>
      <c r="I855" s="40" t="n">
        <v>0</v>
      </c>
      <c r="J855" s="40" t="n">
        <v>0</v>
      </c>
      <c r="K855" s="40" t="n">
        <v>0</v>
      </c>
      <c r="L855" s="40" t="n">
        <v>0</v>
      </c>
      <c r="M855" s="40" t="n">
        <v>0</v>
      </c>
      <c r="N855" s="40" t="n">
        <v>0</v>
      </c>
      <c r="O855" s="40" t="n">
        <v>0</v>
      </c>
      <c r="P855" s="40" t="n">
        <v>0</v>
      </c>
      <c r="Q855" s="40" t="n">
        <v>0</v>
      </c>
      <c r="R855" s="47" t="n"/>
      <c r="S855" s="47" t="n"/>
      <c r="T855" s="47" t="n"/>
      <c r="U855" s="47" t="n"/>
      <c r="V855" s="47" t="n"/>
      <c r="W855" s="47" t="n"/>
    </row>
    <row r="856" ht="11.25" customHeight="1">
      <c r="A856" s="30" t="inlineStr">
        <is>
          <t>Itaguai</t>
        </is>
      </c>
      <c r="B856" s="30" t="n">
        <v>79612391</v>
      </c>
      <c r="C856" s="30">
        <f>"15089282000112"</f>
        <v/>
      </c>
      <c r="D856" s="30" t="inlineStr">
        <is>
          <t>FIBERGIL FABRICACAO COMERCIO E REPAROS DE CARROCERIAS LTDA ME</t>
        </is>
      </c>
      <c r="E856" s="40" t="n">
        <v>0</v>
      </c>
      <c r="F856" s="40" t="n">
        <v>0</v>
      </c>
      <c r="G856" s="40" t="n">
        <v>0</v>
      </c>
      <c r="H856" s="40" t="n">
        <v>0</v>
      </c>
      <c r="I856" s="40" t="n">
        <v>0</v>
      </c>
      <c r="J856" s="40" t="n">
        <v>0</v>
      </c>
      <c r="K856" s="40" t="n">
        <v>0</v>
      </c>
      <c r="L856" s="40" t="n">
        <v>0</v>
      </c>
      <c r="M856" s="40" t="n">
        <v>0</v>
      </c>
      <c r="N856" s="40" t="n">
        <v>0</v>
      </c>
      <c r="O856" s="40" t="n">
        <v>0</v>
      </c>
      <c r="P856" s="40" t="n">
        <v>0</v>
      </c>
      <c r="Q856" s="40" t="n">
        <v>0</v>
      </c>
      <c r="R856" s="47" t="n"/>
      <c r="S856" s="47" t="n"/>
      <c r="T856" s="47" t="n"/>
      <c r="U856" s="47" t="n"/>
      <c r="V856" s="47" t="n"/>
      <c r="W856" s="47" t="n"/>
    </row>
    <row r="857" ht="11.25" customHeight="1">
      <c r="A857" s="30" t="inlineStr">
        <is>
          <t>Itaguai</t>
        </is>
      </c>
      <c r="B857" s="30" t="n">
        <v>79619159</v>
      </c>
      <c r="C857" s="30">
        <f>"11426289001527"</f>
        <v/>
      </c>
      <c r="D857" s="30" t="inlineStr">
        <is>
          <t>ITVA RIO MOTOS LTDA</t>
        </is>
      </c>
      <c r="E857" s="40" t="n">
        <v>0</v>
      </c>
      <c r="F857" s="40" t="n">
        <v>0</v>
      </c>
      <c r="G857" s="40" t="n">
        <v>0</v>
      </c>
      <c r="H857" s="40" t="n">
        <v>0</v>
      </c>
      <c r="I857" s="40" t="n">
        <v>0</v>
      </c>
      <c r="J857" s="40" t="n">
        <v>0</v>
      </c>
      <c r="K857" s="40" t="n">
        <v>0</v>
      </c>
      <c r="L857" s="40" t="n">
        <v>0</v>
      </c>
      <c r="M857" s="40" t="n">
        <v>0</v>
      </c>
      <c r="N857" s="40" t="n">
        <v>0</v>
      </c>
      <c r="O857" s="40" t="n">
        <v>0</v>
      </c>
      <c r="P857" s="40" t="n">
        <v>0</v>
      </c>
      <c r="Q857" s="40" t="n">
        <v>0</v>
      </c>
      <c r="R857" s="47" t="n"/>
      <c r="S857" s="47" t="n"/>
      <c r="T857" s="47" t="n"/>
      <c r="U857" s="47" t="n"/>
      <c r="V857" s="47" t="n"/>
      <c r="W857" s="47" t="n"/>
    </row>
    <row r="858" ht="11.25" customHeight="1">
      <c r="A858" s="30" t="inlineStr">
        <is>
          <t>Itaguai</t>
        </is>
      </c>
      <c r="B858" s="30" t="n">
        <v>79635219</v>
      </c>
      <c r="C858" s="30">
        <f>"52502507001895"</f>
        <v/>
      </c>
      <c r="D858" s="30" t="inlineStr">
        <is>
          <t>MOCOCA S/A PRODUTOS ALIMENTICIOS</t>
        </is>
      </c>
      <c r="E858" s="40" t="n">
        <v>0</v>
      </c>
      <c r="F858" s="40" t="n">
        <v>793595.8</v>
      </c>
      <c r="G858" s="40" t="n">
        <v>100</v>
      </c>
      <c r="H858" s="40" t="n">
        <v>0</v>
      </c>
      <c r="I858" s="46" t="n">
        <v>-100</v>
      </c>
      <c r="J858" s="40" t="n">
        <v>0</v>
      </c>
      <c r="K858" s="40" t="n">
        <v>0</v>
      </c>
      <c r="L858" s="40" t="n">
        <v>0</v>
      </c>
      <c r="M858" s="40" t="n">
        <v>0</v>
      </c>
      <c r="N858" s="40" t="n">
        <v>0</v>
      </c>
      <c r="O858" s="40" t="n">
        <v>0</v>
      </c>
      <c r="P858" s="40" t="n">
        <v>0</v>
      </c>
      <c r="Q858" s="40" t="n">
        <v>0</v>
      </c>
      <c r="R858" s="47" t="n"/>
      <c r="S858" s="47" t="n"/>
      <c r="T858" s="47" t="n"/>
      <c r="U858" s="47" t="n"/>
      <c r="V858" s="47" t="n"/>
      <c r="W858" s="47" t="n"/>
    </row>
    <row r="859" ht="11.25" customHeight="1">
      <c r="A859" s="30" t="inlineStr">
        <is>
          <t>Itaguai</t>
        </is>
      </c>
      <c r="B859" s="30" t="n">
        <v>79639990</v>
      </c>
      <c r="C859" s="30">
        <f>"04605519000235"</f>
        <v/>
      </c>
      <c r="D859" s="30" t="inlineStr">
        <is>
          <t>TRANS TRUCK LOGISTICA E TRANSPORTES LTDA</t>
        </is>
      </c>
      <c r="E859" s="40" t="n">
        <v>67.67</v>
      </c>
      <c r="F859" s="40" t="n">
        <v>0.5600000000000001</v>
      </c>
      <c r="G859" s="46" t="n">
        <v>-99.17</v>
      </c>
      <c r="H859" s="40" t="n">
        <v>42.14</v>
      </c>
      <c r="I859" s="40" t="n">
        <v>7425</v>
      </c>
      <c r="J859" s="40" t="n">
        <v>0</v>
      </c>
      <c r="K859" s="46" t="n">
        <v>-100</v>
      </c>
      <c r="L859" s="40" t="n">
        <v>44.6</v>
      </c>
      <c r="M859" s="40" t="n">
        <v>100</v>
      </c>
      <c r="N859" s="40" t="n">
        <v>0</v>
      </c>
      <c r="O859" s="46" t="n">
        <v>-100</v>
      </c>
      <c r="P859" s="40" t="n">
        <v>0</v>
      </c>
      <c r="Q859" s="40" t="n">
        <v>0</v>
      </c>
      <c r="R859" s="47" t="n"/>
      <c r="S859" s="47" t="n"/>
      <c r="T859" s="47" t="n"/>
      <c r="U859" s="47" t="n"/>
      <c r="V859" s="47" t="n"/>
      <c r="W859" s="47" t="n"/>
    </row>
    <row r="860" ht="11.25" customHeight="1">
      <c r="A860" s="30" t="inlineStr">
        <is>
          <t>Itaguai</t>
        </is>
      </c>
      <c r="B860" s="30" t="n">
        <v>79658910</v>
      </c>
      <c r="C860" s="30">
        <f>"10397711000448"</f>
        <v/>
      </c>
      <c r="D860" s="30" t="inlineStr">
        <is>
          <t>GTX COMERCIO DE TINTAS LTDA</t>
        </is>
      </c>
      <c r="E860" s="40" t="n">
        <v>275148.14</v>
      </c>
      <c r="F860" s="40" t="n">
        <v>0</v>
      </c>
      <c r="G860" s="46" t="n">
        <v>-100</v>
      </c>
      <c r="H860" s="40" t="n">
        <v>0</v>
      </c>
      <c r="I860" s="40" t="n">
        <v>0</v>
      </c>
      <c r="J860" s="40" t="n">
        <v>0</v>
      </c>
      <c r="K860" s="40" t="n">
        <v>0</v>
      </c>
      <c r="L860" s="40" t="n">
        <v>0</v>
      </c>
      <c r="M860" s="40" t="n">
        <v>0</v>
      </c>
      <c r="N860" s="40" t="n">
        <v>0</v>
      </c>
      <c r="O860" s="40" t="n">
        <v>0</v>
      </c>
      <c r="P860" s="40" t="n">
        <v>0</v>
      </c>
      <c r="Q860" s="40" t="n">
        <v>0</v>
      </c>
      <c r="R860" s="47" t="n"/>
      <c r="S860" s="47" t="n"/>
      <c r="T860" s="47" t="n"/>
      <c r="U860" s="47" t="n"/>
      <c r="V860" s="47" t="n"/>
      <c r="W860" s="47" t="n"/>
    </row>
    <row r="861" ht="11.25" customHeight="1">
      <c r="A861" s="30" t="inlineStr">
        <is>
          <t>Itaguai</t>
        </is>
      </c>
      <c r="B861" s="30" t="n">
        <v>79665479</v>
      </c>
      <c r="C861" s="30">
        <f>"09354773000221"</f>
        <v/>
      </c>
      <c r="D861" s="30" t="inlineStr">
        <is>
          <t>PREMAX ENGENHARIA E COMERCIO LTDA</t>
        </is>
      </c>
      <c r="E861" s="40" t="n">
        <v>0</v>
      </c>
      <c r="F861" s="40" t="n">
        <v>0</v>
      </c>
      <c r="G861" s="40" t="n">
        <v>0</v>
      </c>
      <c r="H861" s="40" t="n">
        <v>0</v>
      </c>
      <c r="I861" s="40" t="n">
        <v>0</v>
      </c>
      <c r="J861" s="40" t="n">
        <v>0</v>
      </c>
      <c r="K861" s="40" t="n">
        <v>0</v>
      </c>
      <c r="L861" s="40" t="n">
        <v>8228</v>
      </c>
      <c r="M861" s="40" t="n">
        <v>100</v>
      </c>
      <c r="N861" s="40" t="n">
        <v>0</v>
      </c>
      <c r="O861" s="46" t="n">
        <v>-100</v>
      </c>
      <c r="P861" s="40" t="n">
        <v>5100</v>
      </c>
      <c r="Q861" s="40" t="n">
        <v>100</v>
      </c>
      <c r="R861" s="47" t="n"/>
      <c r="S861" s="47" t="n"/>
      <c r="T861" s="47" t="n"/>
      <c r="U861" s="47" t="n"/>
      <c r="V861" s="47" t="n"/>
      <c r="W861" s="47" t="n"/>
    </row>
    <row r="862" ht="11.25" customHeight="1">
      <c r="A862" s="30" t="inlineStr">
        <is>
          <t>Itaguai</t>
        </is>
      </c>
      <c r="B862" s="30" t="n">
        <v>79667277</v>
      </c>
      <c r="C862" s="30">
        <f>"03176142000445"</f>
        <v/>
      </c>
      <c r="D862" s="30" t="inlineStr">
        <is>
          <t>PLAMONT PLANEJAMENTO MONTAGEM E ENGENHARIA LTDA</t>
        </is>
      </c>
      <c r="E862" s="40" t="n">
        <v>221268.91</v>
      </c>
      <c r="F862" s="40" t="n">
        <v>0</v>
      </c>
      <c r="G862" s="46" t="n">
        <v>-100</v>
      </c>
      <c r="H862" s="40" t="n">
        <v>0</v>
      </c>
      <c r="I862" s="40" t="n">
        <v>0</v>
      </c>
      <c r="J862" s="40" t="n">
        <v>0</v>
      </c>
      <c r="K862" s="40" t="n">
        <v>0</v>
      </c>
      <c r="L862" s="40" t="n">
        <v>0</v>
      </c>
      <c r="M862" s="40" t="n">
        <v>0</v>
      </c>
      <c r="N862" s="40" t="n">
        <v>0</v>
      </c>
      <c r="O862" s="40" t="n">
        <v>0</v>
      </c>
      <c r="P862" s="40" t="n">
        <v>0</v>
      </c>
      <c r="Q862" s="40" t="n">
        <v>0</v>
      </c>
      <c r="R862" s="47" t="n"/>
      <c r="S862" s="47" t="n"/>
      <c r="T862" s="47" t="n"/>
      <c r="U862" s="47" t="n"/>
      <c r="V862" s="47" t="n"/>
      <c r="W862" s="47" t="n"/>
    </row>
    <row r="863" ht="11.25" customHeight="1">
      <c r="A863" s="30" t="inlineStr">
        <is>
          <t>Itaguai</t>
        </is>
      </c>
      <c r="B863" s="30" t="n">
        <v>79668630</v>
      </c>
      <c r="C863" s="30">
        <f>"15401022000130"</f>
        <v/>
      </c>
      <c r="D863" s="30" t="inlineStr">
        <is>
          <t>DLR LOGÍSTICA E TRANSPORTES LTDA</t>
        </is>
      </c>
      <c r="E863" s="40" t="n">
        <v>7530.59</v>
      </c>
      <c r="F863" s="40" t="n">
        <v>0</v>
      </c>
      <c r="G863" s="46" t="n">
        <v>-100</v>
      </c>
      <c r="H863" s="40" t="n">
        <v>0</v>
      </c>
      <c r="I863" s="40" t="n">
        <v>0</v>
      </c>
      <c r="J863" s="40" t="n">
        <v>0</v>
      </c>
      <c r="K863" s="40" t="n">
        <v>0</v>
      </c>
      <c r="L863" s="40" t="n">
        <v>0</v>
      </c>
      <c r="M863" s="40" t="n">
        <v>0</v>
      </c>
      <c r="N863" s="40" t="n">
        <v>0</v>
      </c>
      <c r="O863" s="40" t="n">
        <v>0</v>
      </c>
      <c r="P863" s="40" t="n">
        <v>0</v>
      </c>
      <c r="Q863" s="40" t="n">
        <v>0</v>
      </c>
      <c r="R863" s="47" t="n"/>
      <c r="S863" s="47" t="n"/>
      <c r="T863" s="47" t="n"/>
      <c r="U863" s="47" t="n"/>
      <c r="V863" s="47" t="n"/>
      <c r="W863" s="47" t="n"/>
    </row>
    <row r="864" ht="11.25" customHeight="1">
      <c r="A864" s="30" t="inlineStr">
        <is>
          <t>Itaguai</t>
        </is>
      </c>
      <c r="B864" s="30" t="n">
        <v>79670847</v>
      </c>
      <c r="C864" s="30">
        <f>"27975648000130"</f>
        <v/>
      </c>
      <c r="D864" s="30" t="inlineStr">
        <is>
          <t>FM LOCACAO, COMERCIO E ENTRETENIMENTO EIRELI ME</t>
        </is>
      </c>
      <c r="E864" s="40" t="n">
        <v>0</v>
      </c>
      <c r="F864" s="40" t="n">
        <v>0</v>
      </c>
      <c r="G864" s="40" t="n">
        <v>0</v>
      </c>
      <c r="H864" s="40" t="n">
        <v>0</v>
      </c>
      <c r="I864" s="40" t="n">
        <v>0</v>
      </c>
      <c r="J864" s="40" t="n">
        <v>0</v>
      </c>
      <c r="K864" s="40" t="n">
        <v>0</v>
      </c>
      <c r="L864" s="40" t="n">
        <v>0</v>
      </c>
      <c r="M864" s="40" t="n">
        <v>0</v>
      </c>
      <c r="N864" s="40" t="n">
        <v>0</v>
      </c>
      <c r="O864" s="40" t="n">
        <v>0</v>
      </c>
      <c r="P864" s="40" t="n">
        <v>0</v>
      </c>
      <c r="Q864" s="40" t="n">
        <v>0</v>
      </c>
      <c r="R864" s="47" t="n"/>
      <c r="S864" s="47" t="n"/>
      <c r="T864" s="47" t="n"/>
      <c r="U864" s="47" t="n"/>
      <c r="V864" s="47" t="n"/>
      <c r="W864" s="47" t="n"/>
    </row>
    <row r="865" ht="11.25" customHeight="1">
      <c r="A865" s="30" t="inlineStr">
        <is>
          <t>Itaguai</t>
        </is>
      </c>
      <c r="B865" s="30" t="n">
        <v>79671029</v>
      </c>
      <c r="C865" s="30">
        <f>"13574594005074"</f>
        <v/>
      </c>
      <c r="D865" s="30" t="inlineStr">
        <is>
          <t>BK BRASIL OPERACAO E ASSESSORIA A RESTAURANTES S.A.</t>
        </is>
      </c>
      <c r="E865" s="40" t="n">
        <v>1518810.25</v>
      </c>
      <c r="F865" s="40" t="n">
        <v>1825122.13</v>
      </c>
      <c r="G865" s="40" t="n">
        <v>20.17</v>
      </c>
      <c r="H865" s="40" t="n">
        <v>1920286.88</v>
      </c>
      <c r="I865" s="40" t="n">
        <v>5.21</v>
      </c>
      <c r="J865" s="40" t="n">
        <v>1206701.16</v>
      </c>
      <c r="K865" s="46" t="n">
        <v>-37.16</v>
      </c>
      <c r="L865" s="40" t="n">
        <v>1453680.85</v>
      </c>
      <c r="M865" s="40" t="n">
        <v>20.47</v>
      </c>
      <c r="N865" s="40" t="n">
        <v>2013338.06</v>
      </c>
      <c r="O865" s="40" t="n">
        <v>38.5</v>
      </c>
      <c r="P865" s="40" t="n">
        <v>2375744.19</v>
      </c>
      <c r="Q865" s="40" t="n">
        <v>18</v>
      </c>
      <c r="R865" s="47" t="n"/>
      <c r="S865" s="47" t="n"/>
      <c r="T865" s="47" t="n"/>
      <c r="U865" s="47" t="n"/>
      <c r="V865" s="47" t="n"/>
      <c r="W865" s="47" t="n"/>
    </row>
    <row r="866" ht="11.25" customHeight="1">
      <c r="A866" s="30" t="inlineStr">
        <is>
          <t>Itaguai</t>
        </is>
      </c>
      <c r="B866" s="30" t="n">
        <v>79671100</v>
      </c>
      <c r="C866" s="30">
        <f>"13574594005740"</f>
        <v/>
      </c>
      <c r="D866" s="30" t="inlineStr">
        <is>
          <t>BK BRASIL OPERACAO E ASSESSORIA A RESTAURANTES S.A.</t>
        </is>
      </c>
      <c r="E866" s="40" t="n">
        <v>851587.7</v>
      </c>
      <c r="F866" s="40" t="n">
        <v>245839.37</v>
      </c>
      <c r="G866" s="46" t="n">
        <v>-71.13</v>
      </c>
      <c r="H866" s="40" t="n">
        <v>363802.07</v>
      </c>
      <c r="I866" s="40" t="n">
        <v>47.98</v>
      </c>
      <c r="J866" s="40" t="n">
        <v>243385.06</v>
      </c>
      <c r="K866" s="46" t="n">
        <v>-33.1</v>
      </c>
      <c r="L866" s="40" t="n">
        <v>254328.56</v>
      </c>
      <c r="M866" s="40" t="n">
        <v>4.5</v>
      </c>
      <c r="N866" s="40" t="n">
        <v>445156.57</v>
      </c>
      <c r="O866" s="40" t="n">
        <v>75.03</v>
      </c>
      <c r="P866" s="40" t="n">
        <v>515926.5</v>
      </c>
      <c r="Q866" s="40" t="n">
        <v>15.9</v>
      </c>
      <c r="R866" s="47" t="n"/>
      <c r="S866" s="47" t="n"/>
      <c r="T866" s="47" t="n"/>
      <c r="U866" s="47" t="n"/>
      <c r="V866" s="47" t="n"/>
      <c r="W866" s="47" t="n"/>
    </row>
    <row r="867" ht="11.25" customHeight="1">
      <c r="A867" s="30" t="inlineStr">
        <is>
          <t>Itaguai</t>
        </is>
      </c>
      <c r="B867" s="30" t="n">
        <v>79681059</v>
      </c>
      <c r="C867" s="30">
        <f>"97523000000299"</f>
        <v/>
      </c>
      <c r="D867" s="30" t="inlineStr">
        <is>
          <t>TOP FLA ARTIGOS DO VESTUARIO E ACESSORIOS ESPORTIVOS EIRELI EPP</t>
        </is>
      </c>
      <c r="E867" s="40" t="n">
        <v>0</v>
      </c>
      <c r="F867" s="40" t="n">
        <v>0</v>
      </c>
      <c r="G867" s="40" t="n">
        <v>0</v>
      </c>
      <c r="H867" s="40" t="n">
        <v>0</v>
      </c>
      <c r="I867" s="40" t="n">
        <v>0</v>
      </c>
      <c r="J867" s="40" t="n">
        <v>0</v>
      </c>
      <c r="K867" s="40" t="n">
        <v>0</v>
      </c>
      <c r="L867" s="40" t="n">
        <v>0</v>
      </c>
      <c r="M867" s="40" t="n">
        <v>0</v>
      </c>
      <c r="N867" s="40" t="n">
        <v>0</v>
      </c>
      <c r="O867" s="40" t="n">
        <v>0</v>
      </c>
      <c r="P867" s="40" t="n">
        <v>0</v>
      </c>
      <c r="Q867" s="40" t="n">
        <v>0</v>
      </c>
      <c r="R867" s="47" t="n"/>
      <c r="S867" s="47" t="n"/>
      <c r="T867" s="47" t="n"/>
      <c r="U867" s="47" t="n"/>
      <c r="V867" s="47" t="n"/>
      <c r="W867" s="47" t="n"/>
    </row>
    <row r="868" ht="11.25" customHeight="1">
      <c r="A868" s="30" t="inlineStr">
        <is>
          <t>Itaguai</t>
        </is>
      </c>
      <c r="B868" s="30" t="n">
        <v>79691011</v>
      </c>
      <c r="C868" s="30">
        <f>"15916439000136"</f>
        <v/>
      </c>
      <c r="D868" s="30" t="inlineStr">
        <is>
          <t>O S ARAGÃO CALÇADOS LTDA</t>
        </is>
      </c>
      <c r="E868" s="40" t="n">
        <v>0</v>
      </c>
      <c r="F868" s="40" t="n">
        <v>0</v>
      </c>
      <c r="G868" s="40" t="n">
        <v>0</v>
      </c>
      <c r="H868" s="40" t="n">
        <v>0</v>
      </c>
      <c r="I868" s="40" t="n">
        <v>0</v>
      </c>
      <c r="J868" s="40" t="n">
        <v>0</v>
      </c>
      <c r="K868" s="40" t="n">
        <v>0</v>
      </c>
      <c r="L868" s="40" t="n">
        <v>0</v>
      </c>
      <c r="M868" s="40" t="n">
        <v>0</v>
      </c>
      <c r="N868" s="40" t="n">
        <v>0</v>
      </c>
      <c r="O868" s="40" t="n">
        <v>0</v>
      </c>
      <c r="P868" s="40" t="n">
        <v>0</v>
      </c>
      <c r="Q868" s="40" t="n">
        <v>0</v>
      </c>
      <c r="R868" s="47" t="n"/>
      <c r="S868" s="47" t="n"/>
      <c r="T868" s="47" t="n"/>
      <c r="U868" s="47" t="n"/>
      <c r="V868" s="47" t="n"/>
      <c r="W868" s="47" t="n"/>
    </row>
    <row r="869" ht="11.25" customHeight="1">
      <c r="A869" s="30" t="inlineStr">
        <is>
          <t>Itaguai</t>
        </is>
      </c>
      <c r="B869" s="30" t="n">
        <v>79691631</v>
      </c>
      <c r="C869" s="30">
        <f>"15701591000100"</f>
        <v/>
      </c>
      <c r="D869" s="30" t="inlineStr">
        <is>
          <t>ZANATA DISTRIBUIDORA EIRELI EPP</t>
        </is>
      </c>
      <c r="E869" s="40" t="n">
        <v>0</v>
      </c>
      <c r="F869" s="40" t="n">
        <v>0</v>
      </c>
      <c r="G869" s="40" t="n">
        <v>0</v>
      </c>
      <c r="H869" s="40" t="n">
        <v>0</v>
      </c>
      <c r="I869" s="40" t="n">
        <v>0</v>
      </c>
      <c r="J869" s="40" t="n">
        <v>0</v>
      </c>
      <c r="K869" s="40" t="n">
        <v>0</v>
      </c>
      <c r="L869" s="40" t="n">
        <v>0</v>
      </c>
      <c r="M869" s="40" t="n">
        <v>0</v>
      </c>
      <c r="N869" s="40" t="n">
        <v>0</v>
      </c>
      <c r="O869" s="40" t="n">
        <v>0</v>
      </c>
      <c r="P869" s="40" t="n">
        <v>0</v>
      </c>
      <c r="Q869" s="40" t="n">
        <v>0</v>
      </c>
      <c r="R869" s="47" t="n"/>
      <c r="S869" s="47" t="n"/>
      <c r="T869" s="47" t="n"/>
      <c r="U869" s="47" t="n"/>
      <c r="V869" s="47" t="n"/>
      <c r="W869" s="47" t="n"/>
    </row>
    <row r="870" ht="11.25" customHeight="1">
      <c r="A870" s="30" t="inlineStr">
        <is>
          <t>Itaguai</t>
        </is>
      </c>
      <c r="B870" s="30" t="n">
        <v>79693197</v>
      </c>
      <c r="C870" s="30">
        <f>"00436042016505"</f>
        <v/>
      </c>
      <c r="D870" s="30" t="inlineStr">
        <is>
          <t>POLIMPORT - COMERCIO E EXPORTACAO LTDA</t>
        </is>
      </c>
      <c r="E870" s="40" t="n">
        <v>487851.71</v>
      </c>
      <c r="F870" s="40" t="n">
        <v>562196.79</v>
      </c>
      <c r="G870" s="40" t="n">
        <v>15.24</v>
      </c>
      <c r="H870" s="40" t="n">
        <v>106722.88</v>
      </c>
      <c r="I870" s="46" t="n">
        <v>-81.02</v>
      </c>
      <c r="J870" s="40" t="n">
        <v>0</v>
      </c>
      <c r="K870" s="46" t="n">
        <v>-100</v>
      </c>
      <c r="L870" s="40" t="n">
        <v>0</v>
      </c>
      <c r="M870" s="40" t="n">
        <v>0</v>
      </c>
      <c r="N870" s="40" t="n">
        <v>0</v>
      </c>
      <c r="O870" s="40" t="n">
        <v>0</v>
      </c>
      <c r="P870" s="40" t="n">
        <v>0</v>
      </c>
      <c r="Q870" s="40" t="n">
        <v>0</v>
      </c>
      <c r="R870" s="47" t="n"/>
      <c r="S870" s="47" t="n"/>
      <c r="T870" s="47" t="n"/>
      <c r="U870" s="47" t="n"/>
      <c r="V870" s="47" t="n"/>
      <c r="W870" s="47" t="n"/>
    </row>
    <row r="871" ht="11.25" customHeight="1">
      <c r="A871" s="30" t="inlineStr">
        <is>
          <t>Itaguai</t>
        </is>
      </c>
      <c r="B871" s="30" t="n">
        <v>79698253</v>
      </c>
      <c r="C871" s="30">
        <f>"15803249000102"</f>
        <v/>
      </c>
      <c r="D871" s="30" t="inlineStr">
        <is>
          <t>LEONCIO E CELIA COMERCIO E SERVICOS LTDA ME</t>
        </is>
      </c>
      <c r="E871" s="40" t="n">
        <v>0</v>
      </c>
      <c r="F871" s="40" t="n">
        <v>0</v>
      </c>
      <c r="G871" s="40" t="n">
        <v>0</v>
      </c>
      <c r="H871" s="40" t="n">
        <v>0</v>
      </c>
      <c r="I871" s="40" t="n">
        <v>0</v>
      </c>
      <c r="J871" s="40" t="n">
        <v>0</v>
      </c>
      <c r="K871" s="40" t="n">
        <v>0</v>
      </c>
      <c r="L871" s="40" t="n">
        <v>0</v>
      </c>
      <c r="M871" s="40" t="n">
        <v>0</v>
      </c>
      <c r="N871" s="40" t="n">
        <v>0</v>
      </c>
      <c r="O871" s="40" t="n">
        <v>0</v>
      </c>
      <c r="P871" s="40" t="n">
        <v>0</v>
      </c>
      <c r="Q871" s="40" t="n">
        <v>0</v>
      </c>
      <c r="R871" s="47" t="n"/>
      <c r="S871" s="47" t="n"/>
      <c r="T871" s="47" t="n"/>
      <c r="U871" s="47" t="n"/>
      <c r="V871" s="47" t="n"/>
      <c r="W871" s="47" t="n"/>
    </row>
    <row r="872" ht="11.25" customHeight="1">
      <c r="A872" s="30" t="inlineStr">
        <is>
          <t>Itaguai</t>
        </is>
      </c>
      <c r="B872" s="30" t="n">
        <v>79699039</v>
      </c>
      <c r="C872" s="30">
        <f>"15805459000130"</f>
        <v/>
      </c>
      <c r="D872" s="30" t="inlineStr">
        <is>
          <t>RIO SOFT ICE DO BRASIL TRANSPORTES E COMERCIO DE ALIMENTOS CONGELADOS LTDA</t>
        </is>
      </c>
      <c r="E872" s="40" t="n">
        <v>12975</v>
      </c>
      <c r="F872" s="40" t="n">
        <v>0</v>
      </c>
      <c r="G872" s="46" t="n">
        <v>-100</v>
      </c>
      <c r="H872" s="40" t="n">
        <v>0</v>
      </c>
      <c r="I872" s="40" t="n">
        <v>0</v>
      </c>
      <c r="J872" s="40" t="n">
        <v>0</v>
      </c>
      <c r="K872" s="40" t="n">
        <v>0</v>
      </c>
      <c r="L872" s="40" t="n">
        <v>0</v>
      </c>
      <c r="M872" s="40" t="n">
        <v>0</v>
      </c>
      <c r="N872" s="40" t="n">
        <v>0</v>
      </c>
      <c r="O872" s="40" t="n">
        <v>0</v>
      </c>
      <c r="P872" s="40" t="n">
        <v>0</v>
      </c>
      <c r="Q872" s="40" t="n">
        <v>0</v>
      </c>
      <c r="R872" s="47" t="n"/>
      <c r="S872" s="47" t="n"/>
      <c r="T872" s="47" t="n"/>
      <c r="U872" s="47" t="n"/>
      <c r="V872" s="47" t="n"/>
      <c r="W872" s="47" t="n"/>
    </row>
    <row r="873" ht="11.25" customHeight="1">
      <c r="A873" s="30" t="inlineStr">
        <is>
          <t>Itaguai</t>
        </is>
      </c>
      <c r="B873" s="30" t="n">
        <v>79701777</v>
      </c>
      <c r="C873" s="30">
        <f>"16506823000123"</f>
        <v/>
      </c>
      <c r="D873" s="30" t="inlineStr">
        <is>
          <t>EXPRESSO COMERCIO ATACADISTA DE ROUPAS PROFISSIONAIS E SERVIÇOS DE ENTREGA RÁPIDA EIRELI</t>
        </is>
      </c>
      <c r="E873" s="40" t="n">
        <v>22976.2</v>
      </c>
      <c r="F873" s="40" t="n">
        <v>0</v>
      </c>
      <c r="G873" s="46" t="n">
        <v>-100</v>
      </c>
      <c r="H873" s="40" t="n">
        <v>0</v>
      </c>
      <c r="I873" s="40" t="n">
        <v>0</v>
      </c>
      <c r="J873" s="40" t="n">
        <v>0</v>
      </c>
      <c r="K873" s="40" t="n">
        <v>0</v>
      </c>
      <c r="L873" s="40" t="n">
        <v>0</v>
      </c>
      <c r="M873" s="40" t="n">
        <v>0</v>
      </c>
      <c r="N873" s="40" t="n">
        <v>0</v>
      </c>
      <c r="O873" s="40" t="n">
        <v>0</v>
      </c>
      <c r="P873" s="40" t="n">
        <v>0</v>
      </c>
      <c r="Q873" s="40" t="n">
        <v>0</v>
      </c>
      <c r="R873" s="47" t="n"/>
      <c r="S873" s="47" t="n"/>
      <c r="T873" s="47" t="n"/>
      <c r="U873" s="47" t="n"/>
      <c r="V873" s="47" t="n"/>
      <c r="W873" s="47" t="n"/>
    </row>
    <row r="874" ht="11.25" customHeight="1">
      <c r="A874" s="30" t="inlineStr">
        <is>
          <t>Itaguai</t>
        </is>
      </c>
      <c r="B874" s="30" t="n">
        <v>79702722</v>
      </c>
      <c r="C874" s="30">
        <f>"16101133000194"</f>
        <v/>
      </c>
      <c r="D874" s="30" t="inlineStr">
        <is>
          <t>MERCEARIA SUPERANGRA LTDA</t>
        </is>
      </c>
      <c r="E874" s="40" t="n">
        <v>4199774.62</v>
      </c>
      <c r="F874" s="40" t="n">
        <v>0</v>
      </c>
      <c r="G874" s="46" t="n">
        <v>-100</v>
      </c>
      <c r="H874" s="40" t="n">
        <v>0</v>
      </c>
      <c r="I874" s="40" t="n">
        <v>0</v>
      </c>
      <c r="J874" s="40" t="n">
        <v>0</v>
      </c>
      <c r="K874" s="40" t="n">
        <v>0</v>
      </c>
      <c r="L874" s="40" t="n">
        <v>0</v>
      </c>
      <c r="M874" s="40" t="n">
        <v>0</v>
      </c>
      <c r="N874" s="40" t="n">
        <v>0</v>
      </c>
      <c r="O874" s="40" t="n">
        <v>0</v>
      </c>
      <c r="P874" s="40" t="n">
        <v>0</v>
      </c>
      <c r="Q874" s="40" t="n">
        <v>0</v>
      </c>
      <c r="R874" s="47" t="n"/>
      <c r="S874" s="47" t="n"/>
      <c r="T874" s="47" t="n"/>
      <c r="U874" s="47" t="n"/>
      <c r="V874" s="47" t="n"/>
      <c r="W874" s="47" t="n"/>
    </row>
    <row r="875" ht="11.25" customHeight="1">
      <c r="A875" s="30" t="inlineStr">
        <is>
          <t>Itaguai</t>
        </is>
      </c>
      <c r="B875" s="30" t="n">
        <v>79708798</v>
      </c>
      <c r="C875" s="30">
        <f>"16566597000176"</f>
        <v/>
      </c>
      <c r="D875" s="30" t="inlineStr">
        <is>
          <t>RESTAURANTE ALEVAN LTDA ME</t>
        </is>
      </c>
      <c r="E875" s="40" t="n">
        <v>0</v>
      </c>
      <c r="F875" s="40" t="n">
        <v>0</v>
      </c>
      <c r="G875" s="40" t="n">
        <v>0</v>
      </c>
      <c r="H875" s="40" t="n">
        <v>0</v>
      </c>
      <c r="I875" s="40" t="n">
        <v>0</v>
      </c>
      <c r="J875" s="40" t="n">
        <v>0</v>
      </c>
      <c r="K875" s="40" t="n">
        <v>0</v>
      </c>
      <c r="L875" s="40" t="n">
        <v>0</v>
      </c>
      <c r="M875" s="40" t="n">
        <v>0</v>
      </c>
      <c r="N875" s="40" t="n">
        <v>0</v>
      </c>
      <c r="O875" s="40" t="n">
        <v>0</v>
      </c>
      <c r="P875" s="40" t="n">
        <v>0</v>
      </c>
      <c r="Q875" s="40" t="n">
        <v>0</v>
      </c>
      <c r="R875" s="47" t="n"/>
      <c r="S875" s="47" t="n"/>
      <c r="T875" s="47" t="n"/>
      <c r="U875" s="47" t="n"/>
      <c r="V875" s="47" t="n"/>
      <c r="W875" s="47" t="n"/>
    </row>
    <row r="876" ht="11.25" customHeight="1">
      <c r="A876" s="30" t="inlineStr">
        <is>
          <t>Itaguai</t>
        </is>
      </c>
      <c r="B876" s="30" t="n">
        <v>79710555</v>
      </c>
      <c r="C876" s="30">
        <f>"16457523000100"</f>
        <v/>
      </c>
      <c r="D876" s="30" t="inlineStr">
        <is>
          <t>TRANSPORTADORA HERMINIO DE CARGAS E PRODUTOS PERIGOSOS LTDA - ME</t>
        </is>
      </c>
      <c r="E876" s="40" t="n">
        <v>0</v>
      </c>
      <c r="F876" s="40" t="n">
        <v>0</v>
      </c>
      <c r="G876" s="40" t="n">
        <v>0</v>
      </c>
      <c r="H876" s="40" t="n">
        <v>0</v>
      </c>
      <c r="I876" s="40" t="n">
        <v>0</v>
      </c>
      <c r="J876" s="40" t="n">
        <v>0</v>
      </c>
      <c r="K876" s="40" t="n">
        <v>0</v>
      </c>
      <c r="L876" s="40" t="n">
        <v>0</v>
      </c>
      <c r="M876" s="40" t="n">
        <v>0</v>
      </c>
      <c r="N876" s="40" t="n">
        <v>0</v>
      </c>
      <c r="O876" s="40" t="n">
        <v>0</v>
      </c>
      <c r="P876" s="40" t="n">
        <v>0</v>
      </c>
      <c r="Q876" s="40" t="n">
        <v>0</v>
      </c>
      <c r="R876" s="47" t="n"/>
      <c r="S876" s="47" t="n"/>
      <c r="T876" s="47" t="n"/>
      <c r="U876" s="47" t="n"/>
      <c r="V876" s="47" t="n"/>
      <c r="W876" s="47" t="n"/>
    </row>
    <row r="877" ht="11.25" customHeight="1">
      <c r="A877" s="30" t="inlineStr">
        <is>
          <t>Itaguai</t>
        </is>
      </c>
      <c r="B877" s="30" t="n">
        <v>79714429</v>
      </c>
      <c r="C877" s="30">
        <f>"16559240000160"</f>
        <v/>
      </c>
      <c r="D877" s="30" t="inlineStr">
        <is>
          <t>MC SERVICOS AUTOMOTIVOS LTDA ME</t>
        </is>
      </c>
      <c r="E877" s="40" t="n">
        <v>0</v>
      </c>
      <c r="F877" s="40" t="n">
        <v>0</v>
      </c>
      <c r="G877" s="40" t="n">
        <v>0</v>
      </c>
      <c r="H877" s="40" t="n">
        <v>0</v>
      </c>
      <c r="I877" s="40" t="n">
        <v>0</v>
      </c>
      <c r="J877" s="40" t="n">
        <v>0</v>
      </c>
      <c r="K877" s="40" t="n">
        <v>0</v>
      </c>
      <c r="L877" s="40" t="n">
        <v>0</v>
      </c>
      <c r="M877" s="40" t="n">
        <v>0</v>
      </c>
      <c r="N877" s="40" t="n">
        <v>0</v>
      </c>
      <c r="O877" s="40" t="n">
        <v>0</v>
      </c>
      <c r="P877" s="40" t="n">
        <v>0</v>
      </c>
      <c r="Q877" s="40" t="n">
        <v>0</v>
      </c>
      <c r="R877" s="47" t="n"/>
      <c r="S877" s="47" t="n"/>
      <c r="T877" s="47" t="n"/>
      <c r="U877" s="47" t="n"/>
      <c r="V877" s="47" t="n"/>
      <c r="W877" s="47" t="n"/>
    </row>
    <row r="878" ht="11.25" customHeight="1">
      <c r="A878" s="30" t="inlineStr">
        <is>
          <t>Itaguai</t>
        </is>
      </c>
      <c r="B878" s="30" t="n">
        <v>79720631</v>
      </c>
      <c r="C878" s="30">
        <f>"13172241000160"</f>
        <v/>
      </c>
      <c r="D878" s="30" t="inlineStr">
        <is>
          <t>TULIP ITAGUAI HOTELARIA SPE S A</t>
        </is>
      </c>
      <c r="E878" s="40" t="n">
        <v>0</v>
      </c>
      <c r="F878" s="40" t="n">
        <v>0</v>
      </c>
      <c r="G878" s="40" t="n">
        <v>0</v>
      </c>
      <c r="H878" s="40" t="n">
        <v>46828.81</v>
      </c>
      <c r="I878" s="40" t="n">
        <v>100</v>
      </c>
      <c r="J878" s="40" t="n">
        <v>0</v>
      </c>
      <c r="K878" s="46" t="n">
        <v>-100</v>
      </c>
      <c r="L878" s="40" t="n">
        <v>0</v>
      </c>
      <c r="M878" s="40" t="n">
        <v>0</v>
      </c>
      <c r="N878" s="40" t="n">
        <v>0</v>
      </c>
      <c r="O878" s="40" t="n">
        <v>0</v>
      </c>
      <c r="P878" s="40" t="n">
        <v>0</v>
      </c>
      <c r="Q878" s="40" t="n">
        <v>0</v>
      </c>
      <c r="R878" s="47" t="n"/>
      <c r="S878" s="47" t="n"/>
      <c r="T878" s="47" t="n"/>
      <c r="U878" s="47" t="n"/>
      <c r="V878" s="47" t="n"/>
      <c r="W878" s="47" t="n"/>
    </row>
    <row r="879" ht="11.25" customHeight="1">
      <c r="A879" s="30" t="inlineStr">
        <is>
          <t>Itaguai</t>
        </is>
      </c>
      <c r="B879" s="30" t="n">
        <v>79730980</v>
      </c>
      <c r="C879" s="30">
        <f>"02905424006676"</f>
        <v/>
      </c>
      <c r="D879" s="30" t="inlineStr">
        <is>
          <t>AGV LOGISTICA S A</t>
        </is>
      </c>
      <c r="E879" s="40" t="n">
        <v>0</v>
      </c>
      <c r="F879" s="40" t="n">
        <v>0</v>
      </c>
      <c r="G879" s="40" t="n">
        <v>0</v>
      </c>
      <c r="H879" s="40" t="n">
        <v>0</v>
      </c>
      <c r="I879" s="40" t="n">
        <v>0</v>
      </c>
      <c r="J879" s="40" t="n">
        <v>0</v>
      </c>
      <c r="K879" s="40" t="n">
        <v>0</v>
      </c>
      <c r="L879" s="40" t="n">
        <v>50.4</v>
      </c>
      <c r="M879" s="40" t="n">
        <v>100</v>
      </c>
      <c r="N879" s="40" t="n">
        <v>0</v>
      </c>
      <c r="O879" s="46" t="n">
        <v>-100</v>
      </c>
      <c r="P879" s="40" t="n">
        <v>0</v>
      </c>
      <c r="Q879" s="40" t="n">
        <v>0</v>
      </c>
      <c r="R879" s="47" t="n"/>
      <c r="S879" s="47" t="n"/>
      <c r="T879" s="47" t="n"/>
      <c r="U879" s="47" t="n"/>
      <c r="V879" s="47" t="n"/>
      <c r="W879" s="47" t="n"/>
    </row>
    <row r="880" ht="11.25" customHeight="1">
      <c r="A880" s="30" t="inlineStr">
        <is>
          <t>Itaguai</t>
        </is>
      </c>
      <c r="B880" s="30" t="n">
        <v>79734438</v>
      </c>
      <c r="C880" s="30">
        <f>"09216022000168"</f>
        <v/>
      </c>
      <c r="D880" s="30" t="inlineStr">
        <is>
          <t>AGS LOCACAO DE MAQUINAS E EQUIPAMENTOS EIRELI</t>
        </is>
      </c>
      <c r="E880" s="40" t="n">
        <v>0</v>
      </c>
      <c r="F880" s="40" t="n">
        <v>0</v>
      </c>
      <c r="G880" s="40" t="n">
        <v>0</v>
      </c>
      <c r="H880" s="40" t="n">
        <v>0</v>
      </c>
      <c r="I880" s="40" t="n">
        <v>0</v>
      </c>
      <c r="J880" s="40" t="n">
        <v>0</v>
      </c>
      <c r="K880" s="40" t="n">
        <v>0</v>
      </c>
      <c r="L880" s="40" t="n">
        <v>0</v>
      </c>
      <c r="M880" s="40" t="n">
        <v>0</v>
      </c>
      <c r="N880" s="40" t="n">
        <v>0</v>
      </c>
      <c r="O880" s="40" t="n">
        <v>0</v>
      </c>
      <c r="P880" s="40" t="n">
        <v>0</v>
      </c>
      <c r="Q880" s="40" t="n">
        <v>0</v>
      </c>
      <c r="R880" s="47" t="n"/>
      <c r="S880" s="47" t="n"/>
      <c r="T880" s="47" t="n"/>
      <c r="U880" s="47" t="n"/>
      <c r="V880" s="47" t="n"/>
      <c r="W880" s="47" t="n"/>
    </row>
    <row r="881" ht="11.25" customHeight="1">
      <c r="A881" s="30" t="inlineStr">
        <is>
          <t>Itaguai</t>
        </is>
      </c>
      <c r="B881" s="30" t="n">
        <v>79735230</v>
      </c>
      <c r="C881" s="30">
        <f>"02737654004700"</f>
        <v/>
      </c>
      <c r="D881" s="30" t="inlineStr">
        <is>
          <t>TAC FRANQUIA INDUSTRIA E COMERCIO LTDA</t>
        </is>
      </c>
      <c r="E881" s="40" t="n">
        <v>616851.36</v>
      </c>
      <c r="F881" s="40" t="n">
        <v>163974.91</v>
      </c>
      <c r="G881" s="46" t="n">
        <v>-73.42</v>
      </c>
      <c r="H881" s="40" t="n">
        <v>0</v>
      </c>
      <c r="I881" s="46" t="n">
        <v>-100</v>
      </c>
      <c r="J881" s="40" t="n">
        <v>0</v>
      </c>
      <c r="K881" s="40" t="n">
        <v>0</v>
      </c>
      <c r="L881" s="40" t="n">
        <v>0</v>
      </c>
      <c r="M881" s="40" t="n">
        <v>0</v>
      </c>
      <c r="N881" s="40" t="n">
        <v>0</v>
      </c>
      <c r="O881" s="40" t="n">
        <v>0</v>
      </c>
      <c r="P881" s="40" t="n">
        <v>0</v>
      </c>
      <c r="Q881" s="40" t="n">
        <v>0</v>
      </c>
      <c r="R881" s="47" t="n"/>
      <c r="S881" s="47" t="n"/>
      <c r="T881" s="47" t="n"/>
      <c r="U881" s="47" t="n"/>
      <c r="V881" s="47" t="n"/>
      <c r="W881" s="47" t="n"/>
    </row>
    <row r="882" ht="11.25" customHeight="1">
      <c r="A882" s="30" t="inlineStr">
        <is>
          <t>Itaguai</t>
        </is>
      </c>
      <c r="B882" s="30" t="n">
        <v>79738050</v>
      </c>
      <c r="C882" s="30">
        <f>"15291437000107"</f>
        <v/>
      </c>
      <c r="D882" s="30" t="inlineStr">
        <is>
          <t>IDEAL SOLUCOES E SERVICOS EIRELI ME</t>
        </is>
      </c>
      <c r="E882" s="40" t="n">
        <v>0</v>
      </c>
      <c r="F882" s="40" t="n">
        <v>0</v>
      </c>
      <c r="G882" s="40" t="n">
        <v>0</v>
      </c>
      <c r="H882" s="40" t="n">
        <v>0</v>
      </c>
      <c r="I882" s="40" t="n">
        <v>0</v>
      </c>
      <c r="J882" s="40" t="n">
        <v>0</v>
      </c>
      <c r="K882" s="40" t="n">
        <v>0</v>
      </c>
      <c r="L882" s="40" t="n">
        <v>0</v>
      </c>
      <c r="M882" s="40" t="n">
        <v>0</v>
      </c>
      <c r="N882" s="40" t="n">
        <v>0</v>
      </c>
      <c r="O882" s="40" t="n">
        <v>0</v>
      </c>
      <c r="P882" s="40" t="n">
        <v>0</v>
      </c>
      <c r="Q882" s="40" t="n">
        <v>0</v>
      </c>
      <c r="R882" s="47" t="n"/>
      <c r="S882" s="47" t="n"/>
      <c r="T882" s="47" t="n"/>
      <c r="U882" s="47" t="n"/>
      <c r="V882" s="47" t="n"/>
      <c r="W882" s="47" t="n"/>
    </row>
    <row r="883" ht="11.25" customHeight="1">
      <c r="A883" s="30" t="inlineStr">
        <is>
          <t>Itaguai</t>
        </is>
      </c>
      <c r="B883" s="30" t="n">
        <v>79741582</v>
      </c>
      <c r="C883" s="30">
        <f>"16672790000191"</f>
        <v/>
      </c>
      <c r="D883" s="30" t="inlineStr">
        <is>
          <t>A D AZAMOR EDITORA E COMERCIO DE JORNAIS ME</t>
        </is>
      </c>
      <c r="E883" s="40" t="n">
        <v>0</v>
      </c>
      <c r="F883" s="40" t="n">
        <v>0</v>
      </c>
      <c r="G883" s="40" t="n">
        <v>0</v>
      </c>
      <c r="H883" s="40" t="n">
        <v>280</v>
      </c>
      <c r="I883" s="40" t="n">
        <v>100</v>
      </c>
      <c r="J883" s="40" t="n">
        <v>0</v>
      </c>
      <c r="K883" s="46" t="n">
        <v>-100</v>
      </c>
      <c r="L883" s="40" t="n">
        <v>0</v>
      </c>
      <c r="M883" s="40" t="n">
        <v>0</v>
      </c>
      <c r="N883" s="40" t="n">
        <v>0</v>
      </c>
      <c r="O883" s="40" t="n">
        <v>0</v>
      </c>
      <c r="P883" s="40" t="n">
        <v>0</v>
      </c>
      <c r="Q883" s="40" t="n">
        <v>0</v>
      </c>
      <c r="R883" s="47" t="n"/>
      <c r="S883" s="47" t="n"/>
      <c r="T883" s="47" t="n"/>
      <c r="U883" s="47" t="n"/>
      <c r="V883" s="47" t="n"/>
      <c r="W883" s="47" t="n"/>
    </row>
    <row r="884" ht="11.25" customHeight="1">
      <c r="A884" s="30" t="inlineStr">
        <is>
          <t>Itaguai</t>
        </is>
      </c>
      <c r="B884" s="30" t="n">
        <v>79743828</v>
      </c>
      <c r="C884" s="30">
        <f>"10827182000203"</f>
        <v/>
      </c>
      <c r="D884" s="30" t="inlineStr">
        <is>
          <t>ITAGUAI CONSTRUCOES NAVAIS S/A</t>
        </is>
      </c>
      <c r="E884" s="40" t="n">
        <v>0</v>
      </c>
      <c r="F884" s="40" t="n">
        <v>0</v>
      </c>
      <c r="G884" s="40" t="n">
        <v>0</v>
      </c>
      <c r="H884" s="40" t="n">
        <v>0</v>
      </c>
      <c r="I884" s="40" t="n">
        <v>0</v>
      </c>
      <c r="J884" s="40" t="n">
        <v>0</v>
      </c>
      <c r="K884" s="40" t="n">
        <v>0</v>
      </c>
      <c r="L884" s="40" t="n">
        <v>0</v>
      </c>
      <c r="M884" s="40" t="n">
        <v>0</v>
      </c>
      <c r="N884" s="40" t="n">
        <v>0</v>
      </c>
      <c r="O884" s="40" t="n">
        <v>0</v>
      </c>
      <c r="P884" s="40" t="n">
        <v>0</v>
      </c>
      <c r="Q884" s="40" t="n">
        <v>0</v>
      </c>
      <c r="R884" s="47" t="n"/>
      <c r="S884" s="47" t="n"/>
      <c r="T884" s="47" t="n"/>
      <c r="U884" s="47" t="n"/>
      <c r="V884" s="47" t="n"/>
      <c r="W884" s="47" t="n"/>
    </row>
    <row r="885" ht="11.25" customHeight="1">
      <c r="A885" s="30" t="inlineStr">
        <is>
          <t>Itaguai</t>
        </is>
      </c>
      <c r="B885" s="30" t="n">
        <v>79748277</v>
      </c>
      <c r="C885" s="30">
        <f>"78391612004137"</f>
        <v/>
      </c>
      <c r="D885" s="30" t="inlineStr">
        <is>
          <t>IBQ - INDUSTRIAS QUIMICAS S/A</t>
        </is>
      </c>
      <c r="E885" s="40" t="n">
        <v>2103.51</v>
      </c>
      <c r="F885" s="40" t="n">
        <v>0</v>
      </c>
      <c r="G885" s="46" t="n">
        <v>-100</v>
      </c>
      <c r="H885" s="40" t="n">
        <v>0</v>
      </c>
      <c r="I885" s="40" t="n">
        <v>0</v>
      </c>
      <c r="J885" s="40" t="n">
        <v>0</v>
      </c>
      <c r="K885" s="40" t="n">
        <v>0</v>
      </c>
      <c r="L885" s="40" t="n">
        <v>0</v>
      </c>
      <c r="M885" s="40" t="n">
        <v>0</v>
      </c>
      <c r="N885" s="40" t="n">
        <v>0</v>
      </c>
      <c r="O885" s="40" t="n">
        <v>0</v>
      </c>
      <c r="P885" s="40" t="n">
        <v>0</v>
      </c>
      <c r="Q885" s="40" t="n">
        <v>0</v>
      </c>
      <c r="R885" s="47" t="n"/>
      <c r="S885" s="47" t="n"/>
      <c r="T885" s="47" t="n"/>
      <c r="U885" s="47" t="n"/>
      <c r="V885" s="47" t="n"/>
      <c r="W885" s="47" t="n"/>
    </row>
    <row r="886" ht="11.25" customHeight="1">
      <c r="A886" s="30" t="inlineStr">
        <is>
          <t>Itaguai</t>
        </is>
      </c>
      <c r="B886" s="30" t="n">
        <v>79757055</v>
      </c>
      <c r="C886" s="30">
        <f>"20468310010024"</f>
        <v/>
      </c>
      <c r="D886" s="30" t="inlineStr">
        <is>
          <t>TORA TRANSPORTES INDUSTRIAIS LTDA</t>
        </is>
      </c>
      <c r="E886" s="40" t="n">
        <v>216340.35</v>
      </c>
      <c r="F886" s="40" t="n">
        <v>174517.09</v>
      </c>
      <c r="G886" s="46" t="n">
        <v>-19.33</v>
      </c>
      <c r="H886" s="40" t="n">
        <v>78773.60000000001</v>
      </c>
      <c r="I886" s="46" t="n">
        <v>-54.86</v>
      </c>
      <c r="J886" s="40" t="n">
        <v>132631.06</v>
      </c>
      <c r="K886" s="40" t="n">
        <v>68.37</v>
      </c>
      <c r="L886" s="40" t="n">
        <v>125532.85</v>
      </c>
      <c r="M886" s="46" t="n">
        <v>-5.35</v>
      </c>
      <c r="N886" s="40" t="n">
        <v>27091.12</v>
      </c>
      <c r="O886" s="46" t="n">
        <v>-78.42</v>
      </c>
      <c r="P886" s="40" t="n">
        <v>101641.77</v>
      </c>
      <c r="Q886" s="40" t="n">
        <v>275.18</v>
      </c>
      <c r="R886" s="47" t="n"/>
      <c r="S886" s="47" t="n"/>
      <c r="T886" s="47" t="n"/>
      <c r="U886" s="47" t="n"/>
      <c r="V886" s="47" t="n"/>
      <c r="W886" s="47" t="n"/>
    </row>
    <row r="887" ht="11.25" customHeight="1">
      <c r="A887" s="30" t="inlineStr">
        <is>
          <t>Itaguai</t>
        </is>
      </c>
      <c r="B887" s="30" t="n">
        <v>79757357</v>
      </c>
      <c r="C887" s="30">
        <f>"16865493000162"</f>
        <v/>
      </c>
      <c r="D887" s="30" t="inlineStr">
        <is>
          <t>AGRO VERDE COOPERATIVA DE PRODUTORES RURAIS LTDA</t>
        </is>
      </c>
      <c r="E887" s="40" t="n">
        <v>2004496.98</v>
      </c>
      <c r="F887" s="40" t="n">
        <v>0</v>
      </c>
      <c r="G887" s="46" t="n">
        <v>-100</v>
      </c>
      <c r="H887" s="40" t="n">
        <v>0</v>
      </c>
      <c r="I887" s="40" t="n">
        <v>0</v>
      </c>
      <c r="J887" s="40" t="n">
        <v>0</v>
      </c>
      <c r="K887" s="40" t="n">
        <v>0</v>
      </c>
      <c r="L887" s="40" t="n">
        <v>0</v>
      </c>
      <c r="M887" s="40" t="n">
        <v>0</v>
      </c>
      <c r="N887" s="40" t="n">
        <v>0</v>
      </c>
      <c r="O887" s="40" t="n">
        <v>0</v>
      </c>
      <c r="P887" s="40" t="n">
        <v>0</v>
      </c>
      <c r="Q887" s="40" t="n">
        <v>0</v>
      </c>
      <c r="R887" s="47" t="n"/>
      <c r="S887" s="47" t="n"/>
      <c r="T887" s="47" t="n"/>
      <c r="U887" s="47" t="n"/>
      <c r="V887" s="47" t="n"/>
      <c r="W887" s="47" t="n"/>
    </row>
    <row r="888" ht="11.25" customHeight="1">
      <c r="A888" s="30" t="inlineStr">
        <is>
          <t>Itaguai</t>
        </is>
      </c>
      <c r="B888" s="30" t="n">
        <v>79769029</v>
      </c>
      <c r="C888" s="30">
        <f>"00419947000131"</f>
        <v/>
      </c>
      <c r="D888" s="30" t="inlineStr">
        <is>
          <t>AC NA ROCHA VEICULOS EIRELI</t>
        </is>
      </c>
      <c r="E888" s="40" t="n">
        <v>0</v>
      </c>
      <c r="F888" s="40" t="n">
        <v>0</v>
      </c>
      <c r="G888" s="40" t="n">
        <v>0</v>
      </c>
      <c r="H888" s="40" t="n">
        <v>0</v>
      </c>
      <c r="I888" s="40" t="n">
        <v>0</v>
      </c>
      <c r="J888" s="40" t="n">
        <v>0</v>
      </c>
      <c r="K888" s="40" t="n">
        <v>0</v>
      </c>
      <c r="L888" s="40" t="n">
        <v>0</v>
      </c>
      <c r="M888" s="40" t="n">
        <v>0</v>
      </c>
      <c r="N888" s="40" t="n">
        <v>0</v>
      </c>
      <c r="O888" s="40" t="n">
        <v>0</v>
      </c>
      <c r="P888" s="40" t="n">
        <v>0</v>
      </c>
      <c r="Q888" s="40" t="n">
        <v>0</v>
      </c>
      <c r="R888" s="47" t="n"/>
      <c r="S888" s="47" t="n"/>
      <c r="T888" s="47" t="n"/>
      <c r="U888" s="47" t="n"/>
      <c r="V888" s="47" t="n"/>
      <c r="W888" s="47" t="n"/>
    </row>
    <row r="889" ht="11.25" customHeight="1">
      <c r="A889" s="30" t="inlineStr">
        <is>
          <t>Itaguai</t>
        </is>
      </c>
      <c r="B889" s="30" t="n">
        <v>79774820</v>
      </c>
      <c r="C889" s="30">
        <f>"16971064000170"</f>
        <v/>
      </c>
      <c r="D889" s="30" t="inlineStr">
        <is>
          <t>M C DOS SANTOS MAQUINA E TERRAPLANAGEM EIRELI</t>
        </is>
      </c>
      <c r="E889" s="40" t="n">
        <v>0</v>
      </c>
      <c r="F889" s="40" t="n">
        <v>0</v>
      </c>
      <c r="G889" s="40" t="n">
        <v>0</v>
      </c>
      <c r="H889" s="40" t="n">
        <v>0</v>
      </c>
      <c r="I889" s="40" t="n">
        <v>0</v>
      </c>
      <c r="J889" s="40" t="n">
        <v>0</v>
      </c>
      <c r="K889" s="40" t="n">
        <v>0</v>
      </c>
      <c r="L889" s="40" t="n">
        <v>0</v>
      </c>
      <c r="M889" s="40" t="n">
        <v>0</v>
      </c>
      <c r="N889" s="40" t="n">
        <v>0</v>
      </c>
      <c r="O889" s="40" t="n">
        <v>0</v>
      </c>
      <c r="P889" s="40" t="n">
        <v>0</v>
      </c>
      <c r="Q889" s="40" t="n">
        <v>0</v>
      </c>
      <c r="R889" s="47" t="n"/>
      <c r="S889" s="47" t="n"/>
      <c r="T889" s="47" t="n"/>
      <c r="U889" s="47" t="n"/>
      <c r="V889" s="47" t="n"/>
      <c r="W889" s="47" t="n"/>
    </row>
    <row r="890" ht="11.25" customHeight="1">
      <c r="A890" s="30" t="inlineStr">
        <is>
          <t>Itaguai</t>
        </is>
      </c>
      <c r="B890" s="30" t="n">
        <v>79781754</v>
      </c>
      <c r="C890" s="30">
        <f>"17056562000150"</f>
        <v/>
      </c>
      <c r="D890" s="30" t="inlineStr">
        <is>
          <t>TRANSCOMB TRANSPORTADORA LTDA</t>
        </is>
      </c>
      <c r="E890" s="40" t="n">
        <v>0</v>
      </c>
      <c r="F890" s="40" t="n">
        <v>0</v>
      </c>
      <c r="G890" s="40" t="n">
        <v>0</v>
      </c>
      <c r="H890" s="40" t="n">
        <v>0</v>
      </c>
      <c r="I890" s="40" t="n">
        <v>0</v>
      </c>
      <c r="J890" s="40" t="n">
        <v>0</v>
      </c>
      <c r="K890" s="40" t="n">
        <v>0</v>
      </c>
      <c r="L890" s="40" t="n">
        <v>0</v>
      </c>
      <c r="M890" s="40" t="n">
        <v>0</v>
      </c>
      <c r="N890" s="40" t="n">
        <v>0</v>
      </c>
      <c r="O890" s="40" t="n">
        <v>0</v>
      </c>
      <c r="P890" s="40" t="n">
        <v>0</v>
      </c>
      <c r="Q890" s="40" t="n">
        <v>0</v>
      </c>
      <c r="R890" s="47" t="n"/>
      <c r="S890" s="47" t="n"/>
      <c r="T890" s="47" t="n"/>
      <c r="U890" s="47" t="n"/>
      <c r="V890" s="47" t="n"/>
      <c r="W890" s="47" t="n"/>
    </row>
    <row r="891" ht="11.25" customHeight="1">
      <c r="A891" s="30" t="inlineStr">
        <is>
          <t>Itaguai</t>
        </is>
      </c>
      <c r="B891" s="30" t="n">
        <v>79789240</v>
      </c>
      <c r="C891" s="30">
        <f>"17095502000146"</f>
        <v/>
      </c>
      <c r="D891" s="30" t="inlineStr">
        <is>
          <t>A ALPHA MANUTENCAO E MONTAGEM LTDA ME</t>
        </is>
      </c>
      <c r="E891" s="40" t="n">
        <v>0</v>
      </c>
      <c r="F891" s="40" t="n">
        <v>0</v>
      </c>
      <c r="G891" s="40" t="n">
        <v>0</v>
      </c>
      <c r="H891" s="40" t="n">
        <v>0</v>
      </c>
      <c r="I891" s="40" t="n">
        <v>0</v>
      </c>
      <c r="J891" s="40" t="n">
        <v>0</v>
      </c>
      <c r="K891" s="40" t="n">
        <v>0</v>
      </c>
      <c r="L891" s="40" t="n">
        <v>0</v>
      </c>
      <c r="M891" s="40" t="n">
        <v>0</v>
      </c>
      <c r="N891" s="40" t="n">
        <v>0</v>
      </c>
      <c r="O891" s="40" t="n">
        <v>0</v>
      </c>
      <c r="P891" s="40" t="n">
        <v>0</v>
      </c>
      <c r="Q891" s="40" t="n">
        <v>0</v>
      </c>
      <c r="R891" s="47" t="n"/>
      <c r="S891" s="47" t="n"/>
      <c r="T891" s="47" t="n"/>
      <c r="U891" s="47" t="n"/>
      <c r="V891" s="47" t="n"/>
      <c r="W891" s="47" t="n"/>
    </row>
    <row r="892" ht="11.25" customHeight="1">
      <c r="A892" s="30" t="inlineStr">
        <is>
          <t>Itaguai</t>
        </is>
      </c>
      <c r="B892" s="30" t="n">
        <v>79789410</v>
      </c>
      <c r="C892" s="30">
        <f>"13725103000241"</f>
        <v/>
      </c>
      <c r="D892" s="30" t="inlineStr">
        <is>
          <t>INTALOG LOGISTICA TRANSPORTES LTDA</t>
        </is>
      </c>
      <c r="E892" s="40" t="n">
        <v>0</v>
      </c>
      <c r="F892" s="40" t="n">
        <v>0</v>
      </c>
      <c r="G892" s="40" t="n">
        <v>0</v>
      </c>
      <c r="H892" s="40" t="n">
        <v>0</v>
      </c>
      <c r="I892" s="40" t="n">
        <v>0</v>
      </c>
      <c r="J892" s="40" t="n">
        <v>0</v>
      </c>
      <c r="K892" s="40" t="n">
        <v>0</v>
      </c>
      <c r="L892" s="40" t="n">
        <v>0</v>
      </c>
      <c r="M892" s="40" t="n">
        <v>0</v>
      </c>
      <c r="N892" s="40" t="n">
        <v>0</v>
      </c>
      <c r="O892" s="40" t="n">
        <v>0</v>
      </c>
      <c r="P892" s="40" t="n">
        <v>0</v>
      </c>
      <c r="Q892" s="40" t="n">
        <v>0</v>
      </c>
      <c r="R892" s="47" t="n"/>
      <c r="S892" s="47" t="n"/>
      <c r="T892" s="47" t="n"/>
      <c r="U892" s="47" t="n"/>
      <c r="V892" s="47" t="n"/>
      <c r="W892" s="47" t="n"/>
    </row>
    <row r="893" ht="11.25" customHeight="1">
      <c r="A893" s="30" t="inlineStr">
        <is>
          <t>Itaguai</t>
        </is>
      </c>
      <c r="B893" s="30" t="n">
        <v>79792349</v>
      </c>
      <c r="C893" s="30">
        <f>"11875065000440"</f>
        <v/>
      </c>
      <c r="D893" s="30" t="inlineStr">
        <is>
          <t>COMERCIAL ESTRELA SANTA CRUZ LTDA</t>
        </is>
      </c>
      <c r="E893" s="40" t="n">
        <v>2023910.91</v>
      </c>
      <c r="F893" s="40" t="n">
        <v>1322256.01</v>
      </c>
      <c r="G893" s="46" t="n">
        <v>-34.67</v>
      </c>
      <c r="H893" s="40" t="n">
        <v>1489473.51</v>
      </c>
      <c r="I893" s="40" t="n">
        <v>12.65</v>
      </c>
      <c r="J893" s="40" t="n">
        <v>1186723.45</v>
      </c>
      <c r="K893" s="46" t="n">
        <v>-20.33</v>
      </c>
      <c r="L893" s="40" t="n">
        <v>1431669.7</v>
      </c>
      <c r="M893" s="40" t="n">
        <v>20.64</v>
      </c>
      <c r="N893" s="40" t="n">
        <v>567552.75</v>
      </c>
      <c r="O893" s="46" t="n">
        <v>-60.36</v>
      </c>
      <c r="P893" s="40" t="n">
        <v>0</v>
      </c>
      <c r="Q893" s="46" t="n">
        <v>-100</v>
      </c>
      <c r="R893" s="47" t="n"/>
      <c r="S893" s="47" t="n"/>
      <c r="T893" s="47" t="n"/>
      <c r="U893" s="47" t="n"/>
      <c r="V893" s="47" t="n"/>
      <c r="W893" s="47" t="n"/>
    </row>
    <row r="894" ht="11.25" customHeight="1">
      <c r="A894" s="30" t="inlineStr">
        <is>
          <t>Itaguai</t>
        </is>
      </c>
      <c r="B894" s="30" t="n">
        <v>79798177</v>
      </c>
      <c r="C894" s="30">
        <f>"14474037000166"</f>
        <v/>
      </c>
      <c r="D894" s="30" t="inlineStr">
        <is>
          <t>D R BARBOSA SUPLEMENTOS ME</t>
        </is>
      </c>
      <c r="E894" s="40" t="n">
        <v>0</v>
      </c>
      <c r="F894" s="40" t="n">
        <v>0</v>
      </c>
      <c r="G894" s="40" t="n">
        <v>0</v>
      </c>
      <c r="H894" s="40" t="n">
        <v>0</v>
      </c>
      <c r="I894" s="40" t="n">
        <v>0</v>
      </c>
      <c r="J894" s="40" t="n">
        <v>0</v>
      </c>
      <c r="K894" s="40" t="n">
        <v>0</v>
      </c>
      <c r="L894" s="40" t="n">
        <v>0</v>
      </c>
      <c r="M894" s="40" t="n">
        <v>0</v>
      </c>
      <c r="N894" s="40" t="n">
        <v>0</v>
      </c>
      <c r="O894" s="40" t="n">
        <v>0</v>
      </c>
      <c r="P894" s="40" t="n">
        <v>0</v>
      </c>
      <c r="Q894" s="40" t="n">
        <v>0</v>
      </c>
      <c r="R894" s="47" t="n"/>
      <c r="S894" s="47" t="n"/>
      <c r="T894" s="47" t="n"/>
      <c r="U894" s="47" t="n"/>
      <c r="V894" s="47" t="n"/>
      <c r="W894" s="47" t="n"/>
    </row>
    <row r="895" ht="11.25" customHeight="1">
      <c r="A895" s="30" t="inlineStr">
        <is>
          <t>Itaguai</t>
        </is>
      </c>
      <c r="B895" s="30" t="n">
        <v>79798460</v>
      </c>
      <c r="C895" s="30">
        <f>"05597965000470"</f>
        <v/>
      </c>
      <c r="D895" s="30" t="inlineStr">
        <is>
          <t>KR TRANSPORTES E LOGISTICA LTDA</t>
        </is>
      </c>
      <c r="E895" s="40" t="n">
        <v>0</v>
      </c>
      <c r="F895" s="40" t="n">
        <v>0</v>
      </c>
      <c r="G895" s="40" t="n">
        <v>0</v>
      </c>
      <c r="H895" s="40" t="n">
        <v>0</v>
      </c>
      <c r="I895" s="40" t="n">
        <v>0</v>
      </c>
      <c r="J895" s="40" t="n">
        <v>0</v>
      </c>
      <c r="K895" s="40" t="n">
        <v>0</v>
      </c>
      <c r="L895" s="40" t="n">
        <v>0</v>
      </c>
      <c r="M895" s="40" t="n">
        <v>0</v>
      </c>
      <c r="N895" s="40" t="n">
        <v>90.14</v>
      </c>
      <c r="O895" s="40" t="n">
        <v>100</v>
      </c>
      <c r="P895" s="40" t="n">
        <v>374.37</v>
      </c>
      <c r="Q895" s="40" t="n">
        <v>315.32</v>
      </c>
      <c r="R895" s="47" t="n"/>
      <c r="S895" s="47" t="n"/>
      <c r="T895" s="47" t="n"/>
      <c r="U895" s="47" t="n"/>
      <c r="V895" s="47" t="n"/>
      <c r="W895" s="47" t="n"/>
    </row>
    <row r="896" ht="11.25" customHeight="1">
      <c r="A896" s="30" t="inlineStr">
        <is>
          <t>Itaguai</t>
        </is>
      </c>
      <c r="B896" s="30" t="n">
        <v>79807486</v>
      </c>
      <c r="C896" s="30">
        <f>"16883862000140"</f>
        <v/>
      </c>
      <c r="D896" s="30" t="inlineStr">
        <is>
          <t>L C M ROMANO PERFUMARIA - EIRELI - EPP</t>
        </is>
      </c>
      <c r="E896" s="40" t="n">
        <v>963380.24</v>
      </c>
      <c r="F896" s="40" t="n">
        <v>971374.35</v>
      </c>
      <c r="G896" s="40" t="n">
        <v>0.83</v>
      </c>
      <c r="H896" s="40" t="n">
        <v>1120732.82</v>
      </c>
      <c r="I896" s="40" t="n">
        <v>15.38</v>
      </c>
      <c r="J896" s="40" t="n">
        <v>1484337.66</v>
      </c>
      <c r="K896" s="40" t="n">
        <v>32.44</v>
      </c>
      <c r="L896" s="40" t="n">
        <v>1892174.49</v>
      </c>
      <c r="M896" s="40" t="n">
        <v>27.48</v>
      </c>
      <c r="N896" s="40" t="n">
        <v>2800852.29</v>
      </c>
      <c r="O896" s="40" t="n">
        <v>48.02</v>
      </c>
      <c r="P896" s="40" t="n">
        <v>3698050.54</v>
      </c>
      <c r="Q896" s="40" t="n">
        <v>32.03</v>
      </c>
      <c r="R896" s="47" t="n"/>
      <c r="S896" s="47" t="n"/>
      <c r="T896" s="47" t="n"/>
      <c r="U896" s="47" t="n"/>
      <c r="V896" s="47" t="n"/>
      <c r="W896" s="47" t="n"/>
    </row>
    <row r="897" ht="11.25" customHeight="1">
      <c r="A897" s="30" t="inlineStr">
        <is>
          <t>Itaguai</t>
        </is>
      </c>
      <c r="B897" s="30" t="n">
        <v>79810169</v>
      </c>
      <c r="C897" s="30">
        <f>"01838723041311"</f>
        <v/>
      </c>
      <c r="D897" s="30" t="inlineStr">
        <is>
          <t>BRF S A</t>
        </is>
      </c>
      <c r="E897" s="40" t="n">
        <v>0</v>
      </c>
      <c r="F897" s="40" t="n">
        <v>0</v>
      </c>
      <c r="G897" s="40" t="n">
        <v>0</v>
      </c>
      <c r="H897" s="40" t="n">
        <v>0</v>
      </c>
      <c r="I897" s="40" t="n">
        <v>0</v>
      </c>
      <c r="J897" s="40" t="n">
        <v>0</v>
      </c>
      <c r="K897" s="40" t="n">
        <v>0</v>
      </c>
      <c r="L897" s="40" t="n">
        <v>0</v>
      </c>
      <c r="M897" s="40" t="n">
        <v>0</v>
      </c>
      <c r="N897" s="40" t="n">
        <v>705109.42</v>
      </c>
      <c r="O897" s="40" t="n">
        <v>100</v>
      </c>
      <c r="P897" s="40" t="n">
        <v>1678082.3</v>
      </c>
      <c r="Q897" s="40" t="n">
        <v>137.99</v>
      </c>
      <c r="R897" s="47" t="n"/>
      <c r="S897" s="47" t="n"/>
      <c r="T897" s="47" t="n"/>
      <c r="U897" s="47" t="n"/>
      <c r="V897" s="47" t="n"/>
      <c r="W897" s="47" t="n"/>
    </row>
    <row r="898" ht="11.25" customHeight="1">
      <c r="A898" s="30" t="inlineStr">
        <is>
          <t>Itaguai</t>
        </is>
      </c>
      <c r="B898" s="30" t="n">
        <v>79812927</v>
      </c>
      <c r="C898" s="30">
        <f>"12591548000213"</f>
        <v/>
      </c>
      <c r="D898" s="30" t="inlineStr">
        <is>
          <t>EFX TRANSPORTES E LOGISTICA LTDA</t>
        </is>
      </c>
      <c r="E898" s="40" t="n">
        <v>173.68</v>
      </c>
      <c r="F898" s="40" t="n">
        <v>13678.07</v>
      </c>
      <c r="G898" s="40" t="n">
        <v>7775.44</v>
      </c>
      <c r="H898" s="40" t="n">
        <v>0</v>
      </c>
      <c r="I898" s="46" t="n">
        <v>-100</v>
      </c>
      <c r="J898" s="40" t="n">
        <v>0</v>
      </c>
      <c r="K898" s="40" t="n">
        <v>0</v>
      </c>
      <c r="L898" s="40" t="n">
        <v>988.5700000000001</v>
      </c>
      <c r="M898" s="40" t="n">
        <v>100</v>
      </c>
      <c r="N898" s="40" t="n">
        <v>110.98</v>
      </c>
      <c r="O898" s="46" t="n">
        <v>-88.77</v>
      </c>
      <c r="P898" s="40" t="n">
        <v>0</v>
      </c>
      <c r="Q898" s="46" t="n">
        <v>-100</v>
      </c>
      <c r="R898" s="47" t="n"/>
      <c r="S898" s="47" t="n"/>
      <c r="T898" s="47" t="n"/>
      <c r="U898" s="47" t="n"/>
      <c r="V898" s="47" t="n"/>
      <c r="W898" s="47" t="n"/>
    </row>
    <row r="899" ht="11.25" customHeight="1">
      <c r="A899" s="30" t="inlineStr">
        <is>
          <t>Itaguai</t>
        </is>
      </c>
      <c r="B899" s="30" t="n">
        <v>79813630</v>
      </c>
      <c r="C899" s="30">
        <f>"14475692000139"</f>
        <v/>
      </c>
      <c r="D899" s="30" t="inlineStr">
        <is>
          <t>LX INSTALAÇÕES E MONTAGEM EIRELI</t>
        </is>
      </c>
      <c r="E899" s="40" t="n">
        <v>0</v>
      </c>
      <c r="F899" s="40" t="n">
        <v>0</v>
      </c>
      <c r="G899" s="40" t="n">
        <v>0</v>
      </c>
      <c r="H899" s="40" t="n">
        <v>0</v>
      </c>
      <c r="I899" s="40" t="n">
        <v>0</v>
      </c>
      <c r="J899" s="40" t="n">
        <v>0</v>
      </c>
      <c r="K899" s="40" t="n">
        <v>0</v>
      </c>
      <c r="L899" s="40" t="n">
        <v>0</v>
      </c>
      <c r="M899" s="40" t="n">
        <v>0</v>
      </c>
      <c r="N899" s="40" t="n">
        <v>0</v>
      </c>
      <c r="O899" s="40" t="n">
        <v>0</v>
      </c>
      <c r="P899" s="40" t="n">
        <v>0</v>
      </c>
      <c r="Q899" s="40" t="n">
        <v>0</v>
      </c>
      <c r="R899" s="47" t="n"/>
      <c r="S899" s="47" t="n"/>
      <c r="T899" s="47" t="n"/>
      <c r="U899" s="47" t="n"/>
      <c r="V899" s="47" t="n"/>
      <c r="W899" s="47" t="n"/>
    </row>
    <row r="900" ht="11.25" customHeight="1">
      <c r="A900" s="30" t="inlineStr">
        <is>
          <t>Itaguai</t>
        </is>
      </c>
      <c r="B900" s="30" t="n">
        <v>79813826</v>
      </c>
      <c r="C900" s="30">
        <f>"13872808000100"</f>
        <v/>
      </c>
      <c r="D900" s="30" t="inlineStr">
        <is>
          <t>G R V RESTAURANTES</t>
        </is>
      </c>
      <c r="E900" s="40" t="n">
        <v>0</v>
      </c>
      <c r="F900" s="40" t="n">
        <v>0</v>
      </c>
      <c r="G900" s="40" t="n">
        <v>0</v>
      </c>
      <c r="H900" s="40" t="n">
        <v>0</v>
      </c>
      <c r="I900" s="40" t="n">
        <v>0</v>
      </c>
      <c r="J900" s="40" t="n">
        <v>0</v>
      </c>
      <c r="K900" s="40" t="n">
        <v>0</v>
      </c>
      <c r="L900" s="40" t="n">
        <v>0</v>
      </c>
      <c r="M900" s="40" t="n">
        <v>0</v>
      </c>
      <c r="N900" s="40" t="n">
        <v>0</v>
      </c>
      <c r="O900" s="40" t="n">
        <v>0</v>
      </c>
      <c r="P900" s="40" t="n">
        <v>0</v>
      </c>
      <c r="Q900" s="40" t="n">
        <v>0</v>
      </c>
      <c r="R900" s="47" t="n"/>
      <c r="S900" s="47" t="n"/>
      <c r="T900" s="47" t="n"/>
      <c r="U900" s="47" t="n"/>
      <c r="V900" s="47" t="n"/>
      <c r="W900" s="47" t="n"/>
    </row>
    <row r="901" ht="11.25" customHeight="1">
      <c r="A901" s="30" t="inlineStr">
        <is>
          <t>Itaguai</t>
        </is>
      </c>
      <c r="B901" s="30" t="n">
        <v>79814024</v>
      </c>
      <c r="C901" s="30">
        <f>"12500309000200"</f>
        <v/>
      </c>
      <c r="D901" s="30" t="inlineStr">
        <is>
          <t>FLAVIA DA SILVA ZAMBONI CABELEIREIRA</t>
        </is>
      </c>
      <c r="E901" s="40" t="n">
        <v>0</v>
      </c>
      <c r="F901" s="40" t="n">
        <v>0</v>
      </c>
      <c r="G901" s="40" t="n">
        <v>0</v>
      </c>
      <c r="H901" s="40" t="n">
        <v>0</v>
      </c>
      <c r="I901" s="40" t="n">
        <v>0</v>
      </c>
      <c r="J901" s="40" t="n">
        <v>0</v>
      </c>
      <c r="K901" s="40" t="n">
        <v>0</v>
      </c>
      <c r="L901" s="40" t="n">
        <v>0</v>
      </c>
      <c r="M901" s="40" t="n">
        <v>0</v>
      </c>
      <c r="N901" s="40" t="n">
        <v>0</v>
      </c>
      <c r="O901" s="40" t="n">
        <v>0</v>
      </c>
      <c r="P901" s="40" t="n">
        <v>0</v>
      </c>
      <c r="Q901" s="40" t="n">
        <v>0</v>
      </c>
      <c r="R901" s="47" t="n"/>
      <c r="S901" s="47" t="n"/>
      <c r="T901" s="47" t="n"/>
      <c r="U901" s="47" t="n"/>
      <c r="V901" s="47" t="n"/>
      <c r="W901" s="47" t="n"/>
    </row>
    <row r="902" ht="11.25" customHeight="1">
      <c r="A902" s="30" t="inlineStr">
        <is>
          <t>Itaguai</t>
        </is>
      </c>
      <c r="B902" s="30" t="n">
        <v>79816930</v>
      </c>
      <c r="C902" s="30">
        <f>"05423963013361"</f>
        <v/>
      </c>
      <c r="D902" s="30" t="inlineStr">
        <is>
          <t>OI MOVEL S.A. - EM RECUPERACAO JUDICIAL</t>
        </is>
      </c>
      <c r="E902" s="40" t="n">
        <v>5558106.57</v>
      </c>
      <c r="F902" s="40" t="n">
        <v>5070760.44</v>
      </c>
      <c r="G902" s="46" t="n">
        <v>-8.77</v>
      </c>
      <c r="H902" s="40" t="n">
        <v>4597446.71</v>
      </c>
      <c r="I902" s="46" t="n">
        <v>-9.33</v>
      </c>
      <c r="J902" s="40" t="n">
        <v>4666436.38</v>
      </c>
      <c r="K902" s="40" t="n">
        <v>1.5</v>
      </c>
      <c r="L902" s="40" t="n">
        <v>4872480.4</v>
      </c>
      <c r="M902" s="40" t="n">
        <v>4.42</v>
      </c>
      <c r="N902" s="40" t="n">
        <v>394639.95</v>
      </c>
      <c r="O902" s="46" t="n">
        <v>-91.90000000000001</v>
      </c>
      <c r="P902" s="40" t="n">
        <v>0</v>
      </c>
      <c r="Q902" s="46" t="n">
        <v>-100</v>
      </c>
      <c r="R902" s="47" t="n"/>
      <c r="S902" s="47" t="n"/>
      <c r="T902" s="47" t="n"/>
      <c r="U902" s="47" t="n"/>
      <c r="V902" s="47" t="n"/>
      <c r="W902" s="47" t="n"/>
    </row>
    <row r="903" ht="11.25" customHeight="1">
      <c r="A903" s="30" t="inlineStr">
        <is>
          <t>Itaguai</t>
        </is>
      </c>
      <c r="B903" s="30" t="n">
        <v>79817988</v>
      </c>
      <c r="C903" s="30">
        <f>"11146466007129"</f>
        <v/>
      </c>
      <c r="D903" s="30" t="inlineStr">
        <is>
          <t>FLORIPA INDUSTRIA E COMERCIO DE ROUPAS LTDA</t>
        </is>
      </c>
      <c r="E903" s="40" t="n">
        <v>313550.79</v>
      </c>
      <c r="F903" s="40" t="n">
        <v>0</v>
      </c>
      <c r="G903" s="46" t="n">
        <v>-100</v>
      </c>
      <c r="H903" s="40" t="n">
        <v>0</v>
      </c>
      <c r="I903" s="40" t="n">
        <v>0</v>
      </c>
      <c r="J903" s="40" t="n">
        <v>0</v>
      </c>
      <c r="K903" s="40" t="n">
        <v>0</v>
      </c>
      <c r="L903" s="40" t="n">
        <v>1345713.81</v>
      </c>
      <c r="M903" s="40" t="n">
        <v>100</v>
      </c>
      <c r="N903" s="40" t="n">
        <v>281629.82</v>
      </c>
      <c r="O903" s="46" t="n">
        <v>-79.06999999999999</v>
      </c>
      <c r="P903" s="40" t="n">
        <v>1551091.26</v>
      </c>
      <c r="Q903" s="40" t="n">
        <v>450.76</v>
      </c>
      <c r="R903" s="47" t="n"/>
      <c r="S903" s="47" t="n"/>
      <c r="T903" s="47" t="n"/>
      <c r="U903" s="47" t="n"/>
      <c r="V903" s="47" t="n"/>
      <c r="W903" s="47" t="n"/>
    </row>
    <row r="904" ht="11.25" customHeight="1">
      <c r="A904" s="30" t="inlineStr">
        <is>
          <t>Itaguai</t>
        </is>
      </c>
      <c r="B904" s="30" t="n">
        <v>79822523</v>
      </c>
      <c r="C904" s="30">
        <f>"17134890000127"</f>
        <v/>
      </c>
      <c r="D904" s="30" t="inlineStr">
        <is>
          <t>ACOFERRO COMERCIO DE METAIS LTDA - ME</t>
        </is>
      </c>
      <c r="E904" s="40" t="n">
        <v>0</v>
      </c>
      <c r="F904" s="40" t="n">
        <v>0</v>
      </c>
      <c r="G904" s="40" t="n">
        <v>0</v>
      </c>
      <c r="H904" s="40" t="n">
        <v>0</v>
      </c>
      <c r="I904" s="40" t="n">
        <v>0</v>
      </c>
      <c r="J904" s="40" t="n">
        <v>0</v>
      </c>
      <c r="K904" s="40" t="n">
        <v>0</v>
      </c>
      <c r="L904" s="40" t="n">
        <v>958274.05</v>
      </c>
      <c r="M904" s="40" t="n">
        <v>100</v>
      </c>
      <c r="N904" s="40" t="n">
        <v>1092614.95</v>
      </c>
      <c r="O904" s="40" t="n">
        <v>14.02</v>
      </c>
      <c r="P904" s="40" t="n">
        <v>898447.98</v>
      </c>
      <c r="Q904" s="46" t="n">
        <v>-17.77</v>
      </c>
      <c r="R904" s="47" t="n"/>
      <c r="S904" s="47" t="n"/>
      <c r="T904" s="47" t="n"/>
      <c r="U904" s="47" t="n"/>
      <c r="V904" s="47" t="n"/>
      <c r="W904" s="47" t="n"/>
    </row>
    <row r="905" ht="11.25" customHeight="1">
      <c r="A905" s="30" t="inlineStr">
        <is>
          <t>Itaguai</t>
        </is>
      </c>
      <c r="B905" s="30" t="n">
        <v>79823058</v>
      </c>
      <c r="C905" s="30">
        <f>"17245072000100"</f>
        <v/>
      </c>
      <c r="D905" s="30" t="inlineStr">
        <is>
          <t>J.S TRANSPORTE E SERVIÇO LTDA</t>
        </is>
      </c>
      <c r="E905" s="40" t="n">
        <v>0</v>
      </c>
      <c r="F905" s="40" t="n">
        <v>0</v>
      </c>
      <c r="G905" s="40" t="n">
        <v>0</v>
      </c>
      <c r="H905" s="40" t="n">
        <v>0</v>
      </c>
      <c r="I905" s="40" t="n">
        <v>0</v>
      </c>
      <c r="J905" s="40" t="n">
        <v>0</v>
      </c>
      <c r="K905" s="40" t="n">
        <v>0</v>
      </c>
      <c r="L905" s="40" t="n">
        <v>0</v>
      </c>
      <c r="M905" s="40" t="n">
        <v>0</v>
      </c>
      <c r="N905" s="40" t="n">
        <v>0</v>
      </c>
      <c r="O905" s="40" t="n">
        <v>0</v>
      </c>
      <c r="P905" s="40" t="n">
        <v>5200</v>
      </c>
      <c r="Q905" s="40" t="n">
        <v>100</v>
      </c>
      <c r="R905" s="47" t="n"/>
      <c r="S905" s="47" t="n"/>
      <c r="T905" s="47" t="n"/>
      <c r="U905" s="47" t="n"/>
      <c r="V905" s="47" t="n"/>
      <c r="W905" s="47" t="n"/>
    </row>
    <row r="906" ht="11.25" customHeight="1">
      <c r="A906" s="30" t="inlineStr">
        <is>
          <t>Itaguai</t>
        </is>
      </c>
      <c r="B906" s="30" t="n">
        <v>79825026</v>
      </c>
      <c r="C906" s="30">
        <f>"17317345000176"</f>
        <v/>
      </c>
      <c r="D906" s="30" t="inlineStr">
        <is>
          <t>BRASIL DIGITAL SAT COMERCIO E SERVICOS LTDA ME</t>
        </is>
      </c>
      <c r="E906" s="40" t="n">
        <v>0</v>
      </c>
      <c r="F906" s="40" t="n">
        <v>0</v>
      </c>
      <c r="G906" s="40" t="n">
        <v>0</v>
      </c>
      <c r="H906" s="40" t="n">
        <v>0</v>
      </c>
      <c r="I906" s="40" t="n">
        <v>0</v>
      </c>
      <c r="J906" s="40" t="n">
        <v>0</v>
      </c>
      <c r="K906" s="40" t="n">
        <v>0</v>
      </c>
      <c r="L906" s="40" t="n">
        <v>0</v>
      </c>
      <c r="M906" s="40" t="n">
        <v>0</v>
      </c>
      <c r="N906" s="40" t="n">
        <v>0</v>
      </c>
      <c r="O906" s="40" t="n">
        <v>0</v>
      </c>
      <c r="P906" s="40" t="n">
        <v>0</v>
      </c>
      <c r="Q906" s="40" t="n">
        <v>0</v>
      </c>
      <c r="R906" s="47" t="n"/>
      <c r="S906" s="47" t="n"/>
      <c r="T906" s="47" t="n"/>
      <c r="U906" s="47" t="n"/>
      <c r="V906" s="47" t="n"/>
      <c r="W906" s="47" t="n"/>
    </row>
    <row r="907" ht="11.25" customHeight="1">
      <c r="A907" s="30" t="inlineStr">
        <is>
          <t>Itaguai</t>
        </is>
      </c>
      <c r="B907" s="30" t="n">
        <v>79825719</v>
      </c>
      <c r="C907" s="30">
        <f>"11040609000100"</f>
        <v/>
      </c>
      <c r="D907" s="30" t="inlineStr">
        <is>
          <t>H D LOG TRANSPORTES LTDA ME</t>
        </is>
      </c>
      <c r="E907" s="40" t="n">
        <v>230.99</v>
      </c>
      <c r="F907" s="40" t="n">
        <v>33.14</v>
      </c>
      <c r="G907" s="46" t="n">
        <v>-85.65000000000001</v>
      </c>
      <c r="H907" s="40" t="n">
        <v>0</v>
      </c>
      <c r="I907" s="46" t="n">
        <v>-100</v>
      </c>
      <c r="J907" s="40" t="n">
        <v>0</v>
      </c>
      <c r="K907" s="40" t="n">
        <v>0</v>
      </c>
      <c r="L907" s="40" t="n">
        <v>0</v>
      </c>
      <c r="M907" s="40" t="n">
        <v>0</v>
      </c>
      <c r="N907" s="40" t="n">
        <v>10909.88</v>
      </c>
      <c r="O907" s="40" t="n">
        <v>100</v>
      </c>
      <c r="P907" s="40" t="n">
        <v>12625.95</v>
      </c>
      <c r="Q907" s="40" t="n">
        <v>15.73</v>
      </c>
      <c r="R907" s="47" t="n"/>
      <c r="S907" s="47" t="n"/>
      <c r="T907" s="47" t="n"/>
      <c r="U907" s="47" t="n"/>
      <c r="V907" s="47" t="n"/>
      <c r="W907" s="47" t="n"/>
    </row>
    <row r="908" ht="11.25" customHeight="1">
      <c r="A908" s="30" t="inlineStr">
        <is>
          <t>Itaguai</t>
        </is>
      </c>
      <c r="B908" s="30" t="n">
        <v>79829110</v>
      </c>
      <c r="C908" s="30">
        <f>"17332857000101"</f>
        <v/>
      </c>
      <c r="D908" s="30" t="inlineStr">
        <is>
          <t>ESGO JET AMBIENTAL LTDA EPP</t>
        </is>
      </c>
      <c r="E908" s="40" t="n">
        <v>0</v>
      </c>
      <c r="F908" s="40" t="n">
        <v>100700.9</v>
      </c>
      <c r="G908" s="40" t="n">
        <v>100</v>
      </c>
      <c r="H908" s="40" t="n">
        <v>0</v>
      </c>
      <c r="I908" s="46" t="n">
        <v>-100</v>
      </c>
      <c r="J908" s="40" t="n">
        <v>0</v>
      </c>
      <c r="K908" s="40" t="n">
        <v>0</v>
      </c>
      <c r="L908" s="40" t="n">
        <v>0</v>
      </c>
      <c r="M908" s="40" t="n">
        <v>0</v>
      </c>
      <c r="N908" s="40" t="n">
        <v>0</v>
      </c>
      <c r="O908" s="40" t="n">
        <v>0</v>
      </c>
      <c r="P908" s="40" t="n">
        <v>216888.22</v>
      </c>
      <c r="Q908" s="40" t="n">
        <v>100</v>
      </c>
      <c r="R908" s="47" t="n"/>
      <c r="S908" s="47" t="n"/>
      <c r="T908" s="47" t="n"/>
      <c r="U908" s="47" t="n"/>
      <c r="V908" s="47" t="n"/>
      <c r="W908" s="47" t="n"/>
    </row>
    <row r="909" ht="11.25" customHeight="1">
      <c r="A909" s="30" t="inlineStr">
        <is>
          <t>Itaguai</t>
        </is>
      </c>
      <c r="B909" s="30" t="n">
        <v>79835099</v>
      </c>
      <c r="C909" s="30">
        <f>"33041260080508"</f>
        <v/>
      </c>
      <c r="D909" s="30" t="inlineStr">
        <is>
          <t>VIA VAREJO S/A</t>
        </is>
      </c>
      <c r="E909" s="40" t="n">
        <v>4220308.67</v>
      </c>
      <c r="F909" s="40" t="n">
        <v>4065098.22</v>
      </c>
      <c r="G909" s="46" t="n">
        <v>-3.68</v>
      </c>
      <c r="H909" s="40" t="n">
        <v>4078759.99</v>
      </c>
      <c r="I909" s="40" t="n">
        <v>0.34</v>
      </c>
      <c r="J909" s="40" t="n">
        <v>4492367.12</v>
      </c>
      <c r="K909" s="40" t="n">
        <v>10.14</v>
      </c>
      <c r="L909" s="40" t="n">
        <v>2143462.11</v>
      </c>
      <c r="M909" s="46" t="n">
        <v>-52.29</v>
      </c>
      <c r="N909" s="40" t="n">
        <v>1721695.47</v>
      </c>
      <c r="O909" s="46" t="n">
        <v>-19.68</v>
      </c>
      <c r="P909" s="40" t="n">
        <v>1834609.25</v>
      </c>
      <c r="Q909" s="40" t="n">
        <v>6.56</v>
      </c>
      <c r="R909" s="47" t="n"/>
      <c r="S909" s="47" t="n"/>
      <c r="T909" s="47" t="n"/>
      <c r="U909" s="47" t="n"/>
      <c r="V909" s="47" t="n"/>
      <c r="W909" s="47" t="n"/>
    </row>
    <row r="910" ht="11.25" customHeight="1">
      <c r="A910" s="30" t="inlineStr">
        <is>
          <t>Itaguai</t>
        </is>
      </c>
      <c r="B910" s="30" t="n">
        <v>79835668</v>
      </c>
      <c r="C910" s="30">
        <f>"17364748000176"</f>
        <v/>
      </c>
      <c r="D910" s="30" t="inlineStr">
        <is>
          <t>FRANCISCO DE ASSIS FIDELIS OLIVEIRA ME</t>
        </is>
      </c>
      <c r="E910" s="40" t="n">
        <v>0</v>
      </c>
      <c r="F910" s="40" t="n">
        <v>0</v>
      </c>
      <c r="G910" s="40" t="n">
        <v>0</v>
      </c>
      <c r="H910" s="40" t="n">
        <v>0</v>
      </c>
      <c r="I910" s="40" t="n">
        <v>0</v>
      </c>
      <c r="J910" s="40" t="n">
        <v>0</v>
      </c>
      <c r="K910" s="40" t="n">
        <v>0</v>
      </c>
      <c r="L910" s="40" t="n">
        <v>0</v>
      </c>
      <c r="M910" s="40" t="n">
        <v>0</v>
      </c>
      <c r="N910" s="40" t="n">
        <v>0</v>
      </c>
      <c r="O910" s="40" t="n">
        <v>0</v>
      </c>
      <c r="P910" s="40" t="n">
        <v>0</v>
      </c>
      <c r="Q910" s="40" t="n">
        <v>0</v>
      </c>
      <c r="R910" s="47" t="n"/>
      <c r="S910" s="47" t="n"/>
      <c r="T910" s="47" t="n"/>
      <c r="U910" s="47" t="n"/>
      <c r="V910" s="47" t="n"/>
      <c r="W910" s="47" t="n"/>
    </row>
    <row r="911" ht="11.25" customHeight="1">
      <c r="A911" s="30" t="inlineStr">
        <is>
          <t>Itaguai</t>
        </is>
      </c>
      <c r="B911" s="30" t="n">
        <v>79835862</v>
      </c>
      <c r="C911" s="30">
        <f>"02351144003648"</f>
        <v/>
      </c>
      <c r="D911" s="30" t="inlineStr">
        <is>
          <t>TEGMA GESTAO LOGISTICA S/A</t>
        </is>
      </c>
      <c r="E911" s="40" t="n">
        <v>0</v>
      </c>
      <c r="F911" s="40" t="n">
        <v>0</v>
      </c>
      <c r="G911" s="40" t="n">
        <v>0</v>
      </c>
      <c r="H911" s="40" t="n">
        <v>60348.24</v>
      </c>
      <c r="I911" s="40" t="n">
        <v>100</v>
      </c>
      <c r="J911" s="40" t="n">
        <v>7465.95</v>
      </c>
      <c r="K911" s="46" t="n">
        <v>-87.63</v>
      </c>
      <c r="L911" s="40" t="n">
        <v>0</v>
      </c>
      <c r="M911" s="46" t="n">
        <v>-100</v>
      </c>
      <c r="N911" s="40" t="n">
        <v>0</v>
      </c>
      <c r="O911" s="40" t="n">
        <v>0</v>
      </c>
      <c r="P911" s="40" t="n">
        <v>0</v>
      </c>
      <c r="Q911" s="40" t="n">
        <v>0</v>
      </c>
      <c r="R911" s="47" t="n"/>
      <c r="S911" s="47" t="n"/>
      <c r="T911" s="47" t="n"/>
      <c r="U911" s="47" t="n"/>
      <c r="V911" s="47" t="n"/>
      <c r="W911" s="47" t="n"/>
    </row>
    <row r="912" ht="11.25" customHeight="1">
      <c r="A912" s="30" t="inlineStr">
        <is>
          <t>Itaguai</t>
        </is>
      </c>
      <c r="B912" s="30" t="n">
        <v>79843555</v>
      </c>
      <c r="C912" s="30">
        <f>"17431450000131"</f>
        <v/>
      </c>
      <c r="D912" s="30" t="inlineStr">
        <is>
          <t>MERCADO COSTA DO SOL EIRELI</t>
        </is>
      </c>
      <c r="E912" s="40" t="n">
        <v>78561.14</v>
      </c>
      <c r="F912" s="40" t="n">
        <v>44912.88</v>
      </c>
      <c r="G912" s="46" t="n">
        <v>-42.83</v>
      </c>
      <c r="H912" s="40" t="n">
        <v>125373.64</v>
      </c>
      <c r="I912" s="40" t="n">
        <v>179.15</v>
      </c>
      <c r="J912" s="40" t="n">
        <v>117518.71</v>
      </c>
      <c r="K912" s="46" t="n">
        <v>-6.27</v>
      </c>
      <c r="L912" s="40" t="n">
        <v>33553.72</v>
      </c>
      <c r="M912" s="46" t="n">
        <v>-71.45</v>
      </c>
      <c r="N912" s="40" t="n">
        <v>0</v>
      </c>
      <c r="O912" s="46" t="n">
        <v>-100</v>
      </c>
      <c r="P912" s="40" t="n">
        <v>0</v>
      </c>
      <c r="Q912" s="40" t="n">
        <v>0</v>
      </c>
      <c r="R912" s="47" t="n"/>
      <c r="S912" s="47" t="n"/>
      <c r="T912" s="47" t="n"/>
      <c r="U912" s="47" t="n"/>
      <c r="V912" s="47" t="n"/>
      <c r="W912" s="47" t="n"/>
    </row>
    <row r="913" ht="11.25" customHeight="1">
      <c r="A913" s="30" t="inlineStr">
        <is>
          <t>Itaguai</t>
        </is>
      </c>
      <c r="B913" s="30" t="n">
        <v>79851604</v>
      </c>
      <c r="C913" s="30">
        <f>"17466692000160"</f>
        <v/>
      </c>
      <c r="D913" s="30" t="inlineStr">
        <is>
          <t>SANIBAN - LOCA??O DE SANIT?RIOS QUIMICOS - LTDA</t>
        </is>
      </c>
      <c r="E913" s="40" t="n">
        <v>0</v>
      </c>
      <c r="F913" s="40" t="n">
        <v>0</v>
      </c>
      <c r="G913" s="40" t="n">
        <v>0</v>
      </c>
      <c r="H913" s="40" t="n">
        <v>0</v>
      </c>
      <c r="I913" s="40" t="n">
        <v>0</v>
      </c>
      <c r="J913" s="40" t="n">
        <v>0</v>
      </c>
      <c r="K913" s="40" t="n">
        <v>0</v>
      </c>
      <c r="L913" s="40" t="n">
        <v>8442</v>
      </c>
      <c r="M913" s="40" t="n">
        <v>100</v>
      </c>
      <c r="N913" s="40" t="n">
        <v>0</v>
      </c>
      <c r="O913" s="46" t="n">
        <v>-100</v>
      </c>
      <c r="P913" s="40" t="n">
        <v>0</v>
      </c>
      <c r="Q913" s="40" t="n">
        <v>0</v>
      </c>
      <c r="R913" s="47" t="n"/>
      <c r="S913" s="47" t="n"/>
      <c r="T913" s="47" t="n"/>
      <c r="U913" s="47" t="n"/>
      <c r="V913" s="47" t="n"/>
      <c r="W913" s="47" t="n"/>
    </row>
    <row r="914" ht="11.25" customHeight="1">
      <c r="A914" s="30" t="inlineStr">
        <is>
          <t>Itaguai</t>
        </is>
      </c>
      <c r="B914" s="30" t="n">
        <v>79852120</v>
      </c>
      <c r="C914" s="30">
        <f>"09174577000780"</f>
        <v/>
      </c>
      <c r="D914" s="30" t="inlineStr">
        <is>
          <t>BCUBE LOGISTIC LTDA</t>
        </is>
      </c>
      <c r="E914" s="40" t="n">
        <v>129365.84</v>
      </c>
      <c r="F914" s="40" t="n">
        <v>17290.35</v>
      </c>
      <c r="G914" s="46" t="n">
        <v>-86.63</v>
      </c>
      <c r="H914" s="40" t="n">
        <v>0</v>
      </c>
      <c r="I914" s="46" t="n">
        <v>-100</v>
      </c>
      <c r="J914" s="40" t="n">
        <v>0</v>
      </c>
      <c r="K914" s="40" t="n">
        <v>0</v>
      </c>
      <c r="L914" s="40" t="n">
        <v>0</v>
      </c>
      <c r="M914" s="40" t="n">
        <v>0</v>
      </c>
      <c r="N914" s="40" t="n">
        <v>0</v>
      </c>
      <c r="O914" s="40" t="n">
        <v>0</v>
      </c>
      <c r="P914" s="40" t="n">
        <v>0</v>
      </c>
      <c r="Q914" s="40" t="n">
        <v>0</v>
      </c>
      <c r="R914" s="47" t="n"/>
      <c r="S914" s="47" t="n"/>
      <c r="T914" s="47" t="n"/>
      <c r="U914" s="47" t="n"/>
      <c r="V914" s="47" t="n"/>
      <c r="W914" s="47" t="n"/>
    </row>
    <row r="915" ht="11.25" customHeight="1">
      <c r="A915" s="30" t="inlineStr">
        <is>
          <t>Itaguai</t>
        </is>
      </c>
      <c r="B915" s="30" t="n">
        <v>79855049</v>
      </c>
      <c r="C915" s="30">
        <f>"17483170000177"</f>
        <v/>
      </c>
      <c r="D915" s="30" t="inlineStr">
        <is>
          <t>PROMAR NAUTICA FIBRAS LTDA ME</t>
        </is>
      </c>
      <c r="E915" s="40" t="n">
        <v>0</v>
      </c>
      <c r="F915" s="40" t="n">
        <v>0</v>
      </c>
      <c r="G915" s="40" t="n">
        <v>0</v>
      </c>
      <c r="H915" s="40" t="n">
        <v>0</v>
      </c>
      <c r="I915" s="40" t="n">
        <v>0</v>
      </c>
      <c r="J915" s="40" t="n">
        <v>0</v>
      </c>
      <c r="K915" s="40" t="n">
        <v>0</v>
      </c>
      <c r="L915" s="40" t="n">
        <v>0</v>
      </c>
      <c r="M915" s="40" t="n">
        <v>0</v>
      </c>
      <c r="N915" s="40" t="n">
        <v>0</v>
      </c>
      <c r="O915" s="40" t="n">
        <v>0</v>
      </c>
      <c r="P915" s="40" t="n">
        <v>0</v>
      </c>
      <c r="Q915" s="40" t="n">
        <v>0</v>
      </c>
      <c r="R915" s="47" t="n"/>
      <c r="S915" s="47" t="n"/>
      <c r="T915" s="47" t="n"/>
      <c r="U915" s="47" t="n"/>
      <c r="V915" s="47" t="n"/>
      <c r="W915" s="47" t="n"/>
    </row>
    <row r="916" ht="11.25" customHeight="1">
      <c r="A916" s="30" t="inlineStr">
        <is>
          <t>Itaguai</t>
        </is>
      </c>
      <c r="B916" s="30" t="n">
        <v>79857548</v>
      </c>
      <c r="C916" s="30">
        <f>"17573902000110"</f>
        <v/>
      </c>
      <c r="D916" s="30" t="inlineStr">
        <is>
          <t>TOP 1000 AUTOPECAS LTDA</t>
        </is>
      </c>
      <c r="E916" s="40" t="n">
        <v>888182.16</v>
      </c>
      <c r="F916" s="40" t="n">
        <v>0</v>
      </c>
      <c r="G916" s="46" t="n">
        <v>-100</v>
      </c>
      <c r="H916" s="40" t="n">
        <v>0</v>
      </c>
      <c r="I916" s="40" t="n">
        <v>0</v>
      </c>
      <c r="J916" s="40" t="n">
        <v>0</v>
      </c>
      <c r="K916" s="40" t="n">
        <v>0</v>
      </c>
      <c r="L916" s="40" t="n">
        <v>0</v>
      </c>
      <c r="M916" s="40" t="n">
        <v>0</v>
      </c>
      <c r="N916" s="40" t="n">
        <v>0</v>
      </c>
      <c r="O916" s="40" t="n">
        <v>0</v>
      </c>
      <c r="P916" s="40" t="n">
        <v>0</v>
      </c>
      <c r="Q916" s="40" t="n">
        <v>0</v>
      </c>
      <c r="R916" s="47" t="n"/>
      <c r="S916" s="47" t="n"/>
      <c r="T916" s="47" t="n"/>
      <c r="U916" s="47" t="n"/>
      <c r="V916" s="47" t="n"/>
      <c r="W916" s="47" t="n"/>
    </row>
    <row r="917" ht="11.25" customHeight="1">
      <c r="A917" s="30" t="inlineStr">
        <is>
          <t>Itaguai</t>
        </is>
      </c>
      <c r="B917" s="30" t="n">
        <v>79858161</v>
      </c>
      <c r="C917" s="30">
        <f>"17577262000116"</f>
        <v/>
      </c>
      <c r="D917" s="30" t="inlineStr">
        <is>
          <t>DUARTE - COMERCIO DE PISCINAS LTDA</t>
        </is>
      </c>
      <c r="E917" s="40" t="n">
        <v>0</v>
      </c>
      <c r="F917" s="40" t="n">
        <v>0</v>
      </c>
      <c r="G917" s="40" t="n">
        <v>0</v>
      </c>
      <c r="H917" s="40" t="n">
        <v>0</v>
      </c>
      <c r="I917" s="40" t="n">
        <v>0</v>
      </c>
      <c r="J917" s="40" t="n">
        <v>0</v>
      </c>
      <c r="K917" s="40" t="n">
        <v>0</v>
      </c>
      <c r="L917" s="40" t="n">
        <v>0</v>
      </c>
      <c r="M917" s="40" t="n">
        <v>0</v>
      </c>
      <c r="N917" s="40" t="n">
        <v>0</v>
      </c>
      <c r="O917" s="40" t="n">
        <v>0</v>
      </c>
      <c r="P917" s="40" t="n">
        <v>0</v>
      </c>
      <c r="Q917" s="40" t="n">
        <v>0</v>
      </c>
      <c r="R917" s="47" t="n"/>
      <c r="S917" s="47" t="n"/>
      <c r="T917" s="47" t="n"/>
      <c r="U917" s="47" t="n"/>
      <c r="V917" s="47" t="n"/>
      <c r="W917" s="47" t="n"/>
    </row>
    <row r="918" ht="11.25" customHeight="1">
      <c r="A918" s="30" t="inlineStr">
        <is>
          <t>Itaguai</t>
        </is>
      </c>
      <c r="B918" s="30" t="n">
        <v>79869295</v>
      </c>
      <c r="C918" s="30">
        <f>"14553384000184"</f>
        <v/>
      </c>
      <c r="D918" s="30" t="inlineStr">
        <is>
          <t>CLOCK SHOW BRASIL LTDA ME</t>
        </is>
      </c>
      <c r="E918" s="40" t="n">
        <v>0</v>
      </c>
      <c r="F918" s="40" t="n">
        <v>0</v>
      </c>
      <c r="G918" s="40" t="n">
        <v>0</v>
      </c>
      <c r="H918" s="40" t="n">
        <v>0</v>
      </c>
      <c r="I918" s="40" t="n">
        <v>0</v>
      </c>
      <c r="J918" s="40" t="n">
        <v>0</v>
      </c>
      <c r="K918" s="40" t="n">
        <v>0</v>
      </c>
      <c r="L918" s="40" t="n">
        <v>0</v>
      </c>
      <c r="M918" s="40" t="n">
        <v>0</v>
      </c>
      <c r="N918" s="40" t="n">
        <v>0</v>
      </c>
      <c r="O918" s="40" t="n">
        <v>0</v>
      </c>
      <c r="P918" s="40" t="n">
        <v>0</v>
      </c>
      <c r="Q918" s="40" t="n">
        <v>0</v>
      </c>
      <c r="R918" s="47" t="n"/>
      <c r="S918" s="47" t="n"/>
      <c r="T918" s="47" t="n"/>
      <c r="U918" s="47" t="n"/>
      <c r="V918" s="47" t="n"/>
      <c r="W918" s="47" t="n"/>
    </row>
    <row r="919" ht="11.25" customHeight="1">
      <c r="A919" s="30" t="inlineStr">
        <is>
          <t>Itaguai</t>
        </is>
      </c>
      <c r="B919" s="30" t="n">
        <v>79869988</v>
      </c>
      <c r="C919" s="30">
        <f>"60541240000710"</f>
        <v/>
      </c>
      <c r="D919" s="30" t="inlineStr">
        <is>
          <t>TECNOLOG TRANSPORTES RODO AEREO E LOGISTICA LTDA</t>
        </is>
      </c>
      <c r="E919" s="40" t="n">
        <v>0</v>
      </c>
      <c r="F919" s="40" t="n">
        <v>0</v>
      </c>
      <c r="G919" s="40" t="n">
        <v>0</v>
      </c>
      <c r="H919" s="40" t="n">
        <v>5449.55</v>
      </c>
      <c r="I919" s="40" t="n">
        <v>100</v>
      </c>
      <c r="J919" s="40" t="n">
        <v>93583.92</v>
      </c>
      <c r="K919" s="40" t="n">
        <v>1617.28</v>
      </c>
      <c r="L919" s="40" t="n">
        <v>71311.92</v>
      </c>
      <c r="M919" s="46" t="n">
        <v>-23.8</v>
      </c>
      <c r="N919" s="40" t="n">
        <v>78678.2</v>
      </c>
      <c r="O919" s="40" t="n">
        <v>10.33</v>
      </c>
      <c r="P919" s="40" t="n">
        <v>18773.91</v>
      </c>
      <c r="Q919" s="46" t="n">
        <v>-76.14</v>
      </c>
      <c r="R919" s="47" t="n"/>
      <c r="S919" s="47" t="n"/>
      <c r="T919" s="47" t="n"/>
      <c r="U919" s="47" t="n"/>
      <c r="V919" s="47" t="n"/>
      <c r="W919" s="47" t="n"/>
    </row>
    <row r="920" ht="11.25" customHeight="1">
      <c r="A920" s="30" t="inlineStr">
        <is>
          <t>Itaguai</t>
        </is>
      </c>
      <c r="B920" s="30" t="n">
        <v>79874000</v>
      </c>
      <c r="C920" s="30">
        <f>"17712960000187"</f>
        <v/>
      </c>
      <c r="D920" s="30" t="inlineStr">
        <is>
          <t>JULIANO MADEIRAS E TELHAS COMERCIO LTDA EPP</t>
        </is>
      </c>
      <c r="E920" s="40" t="n">
        <v>0</v>
      </c>
      <c r="F920" s="40" t="n">
        <v>0</v>
      </c>
      <c r="G920" s="40" t="n">
        <v>0</v>
      </c>
      <c r="H920" s="40" t="n">
        <v>0</v>
      </c>
      <c r="I920" s="40" t="n">
        <v>0</v>
      </c>
      <c r="J920" s="40" t="n">
        <v>0</v>
      </c>
      <c r="K920" s="40" t="n">
        <v>0</v>
      </c>
      <c r="L920" s="40" t="n">
        <v>403922.64</v>
      </c>
      <c r="M920" s="40" t="n">
        <v>100</v>
      </c>
      <c r="N920" s="40" t="n">
        <v>8040055</v>
      </c>
      <c r="O920" s="40" t="n">
        <v>1890.49</v>
      </c>
      <c r="P920" s="40" t="n">
        <v>9788701.68</v>
      </c>
      <c r="Q920" s="40" t="n">
        <v>21.75</v>
      </c>
      <c r="R920" s="47" t="n"/>
      <c r="S920" s="47" t="n"/>
      <c r="T920" s="47" t="n"/>
      <c r="U920" s="47" t="n"/>
      <c r="V920" s="47" t="n"/>
      <c r="W920" s="47" t="n"/>
    </row>
    <row r="921" ht="11.25" customHeight="1">
      <c r="A921" s="30" t="inlineStr">
        <is>
          <t>Itaguai</t>
        </is>
      </c>
      <c r="B921" s="30" t="n">
        <v>79886602</v>
      </c>
      <c r="C921" s="30">
        <f>"16734288000168"</f>
        <v/>
      </c>
      <c r="D921" s="30" t="inlineStr">
        <is>
          <t>RT MULTI SERVICE LTDA ME</t>
        </is>
      </c>
      <c r="E921" s="40" t="n">
        <v>0</v>
      </c>
      <c r="F921" s="40" t="n">
        <v>0</v>
      </c>
      <c r="G921" s="40" t="n">
        <v>0</v>
      </c>
      <c r="H921" s="40" t="n">
        <v>0</v>
      </c>
      <c r="I921" s="40" t="n">
        <v>0</v>
      </c>
      <c r="J921" s="40" t="n">
        <v>0</v>
      </c>
      <c r="K921" s="40" t="n">
        <v>0</v>
      </c>
      <c r="L921" s="40" t="n">
        <v>0</v>
      </c>
      <c r="M921" s="40" t="n">
        <v>0</v>
      </c>
      <c r="N921" s="40" t="n">
        <v>0</v>
      </c>
      <c r="O921" s="40" t="n">
        <v>0</v>
      </c>
      <c r="P921" s="40" t="n">
        <v>11291.28</v>
      </c>
      <c r="Q921" s="40" t="n">
        <v>100</v>
      </c>
      <c r="R921" s="47" t="n"/>
      <c r="S921" s="47" t="n"/>
      <c r="T921" s="47" t="n"/>
      <c r="U921" s="47" t="n"/>
      <c r="V921" s="47" t="n"/>
      <c r="W921" s="47" t="n"/>
    </row>
    <row r="922" ht="11.25" customHeight="1">
      <c r="A922" s="30" t="inlineStr">
        <is>
          <t>Itaguai</t>
        </is>
      </c>
      <c r="B922" s="30" t="n">
        <v>79889180</v>
      </c>
      <c r="C922" s="30">
        <f>"33355207001614"</f>
        <v/>
      </c>
      <c r="D922" s="30" t="inlineStr">
        <is>
          <t>DROGARIA SANTO AGOSTINHO LTDA</t>
        </is>
      </c>
      <c r="E922" s="40" t="n">
        <v>869546.5</v>
      </c>
      <c r="F922" s="40" t="n">
        <v>816276.84</v>
      </c>
      <c r="G922" s="46" t="n">
        <v>-6.13</v>
      </c>
      <c r="H922" s="40" t="n">
        <v>1034397.3</v>
      </c>
      <c r="I922" s="40" t="n">
        <v>26.72</v>
      </c>
      <c r="J922" s="40" t="n">
        <v>1941775.61</v>
      </c>
      <c r="K922" s="40" t="n">
        <v>87.72</v>
      </c>
      <c r="L922" s="40" t="n">
        <v>2275820.01</v>
      </c>
      <c r="M922" s="40" t="n">
        <v>17.2</v>
      </c>
      <c r="N922" s="40" t="n">
        <v>1809665.91</v>
      </c>
      <c r="O922" s="46" t="n">
        <v>-20.48</v>
      </c>
      <c r="P922" s="40" t="n">
        <v>1868253.3</v>
      </c>
      <c r="Q922" s="40" t="n">
        <v>3.24</v>
      </c>
      <c r="R922" s="47" t="n"/>
      <c r="S922" s="47" t="n"/>
      <c r="T922" s="47" t="n"/>
      <c r="U922" s="47" t="n"/>
      <c r="V922" s="47" t="n"/>
      <c r="W922" s="47" t="n"/>
    </row>
    <row r="923" ht="11.25" customHeight="1">
      <c r="A923" s="30" t="inlineStr">
        <is>
          <t>Itaguai</t>
        </is>
      </c>
      <c r="B923" s="30" t="n">
        <v>79897876</v>
      </c>
      <c r="C923" s="30">
        <f>"17913685000160"</f>
        <v/>
      </c>
      <c r="D923" s="30" t="inlineStr">
        <is>
          <t>JOVINTER RIO TRANSPORTE DE CARGAS LTDA</t>
        </is>
      </c>
      <c r="E923" s="40" t="n">
        <v>1567134.41</v>
      </c>
      <c r="F923" s="40" t="n">
        <v>0</v>
      </c>
      <c r="G923" s="46" t="n">
        <v>-100</v>
      </c>
      <c r="H923" s="40" t="n">
        <v>0</v>
      </c>
      <c r="I923" s="40" t="n">
        <v>0</v>
      </c>
      <c r="J923" s="40" t="n">
        <v>0</v>
      </c>
      <c r="K923" s="40" t="n">
        <v>0</v>
      </c>
      <c r="L923" s="40" t="n">
        <v>0</v>
      </c>
      <c r="M923" s="40" t="n">
        <v>0</v>
      </c>
      <c r="N923" s="40" t="n">
        <v>0</v>
      </c>
      <c r="O923" s="40" t="n">
        <v>0</v>
      </c>
      <c r="P923" s="40" t="n">
        <v>0</v>
      </c>
      <c r="Q923" s="40" t="n">
        <v>0</v>
      </c>
      <c r="R923" s="47" t="n"/>
      <c r="S923" s="47" t="n"/>
      <c r="T923" s="47" t="n"/>
      <c r="U923" s="47" t="n"/>
      <c r="V923" s="47" t="n"/>
      <c r="W923" s="47" t="n"/>
    </row>
    <row r="924" ht="11.25" customHeight="1">
      <c r="A924" s="30" t="inlineStr">
        <is>
          <t>Itaguai</t>
        </is>
      </c>
      <c r="B924" s="30" t="n">
        <v>79897957</v>
      </c>
      <c r="C924" s="30">
        <f>"32466732001210"</f>
        <v/>
      </c>
      <c r="D924" s="30" t="inlineStr">
        <is>
          <t>TRANSUICA LOCACAO E PRESTACAO DE SERVICOS LTDA</t>
        </is>
      </c>
      <c r="E924" s="40" t="n">
        <v>60894.48</v>
      </c>
      <c r="F924" s="40" t="n">
        <v>0</v>
      </c>
      <c r="G924" s="46" t="n">
        <v>-100</v>
      </c>
      <c r="H924" s="40" t="n">
        <v>0</v>
      </c>
      <c r="I924" s="40" t="n">
        <v>0</v>
      </c>
      <c r="J924" s="40" t="n">
        <v>0</v>
      </c>
      <c r="K924" s="40" t="n">
        <v>0</v>
      </c>
      <c r="L924" s="40" t="n">
        <v>0</v>
      </c>
      <c r="M924" s="40" t="n">
        <v>0</v>
      </c>
      <c r="N924" s="40" t="n">
        <v>0</v>
      </c>
      <c r="O924" s="40" t="n">
        <v>0</v>
      </c>
      <c r="P924" s="40" t="n">
        <v>0</v>
      </c>
      <c r="Q924" s="40" t="n">
        <v>0</v>
      </c>
      <c r="R924" s="47" t="n"/>
      <c r="S924" s="47" t="n"/>
      <c r="T924" s="47" t="n"/>
      <c r="U924" s="47" t="n"/>
      <c r="V924" s="47" t="n"/>
      <c r="W924" s="47" t="n"/>
    </row>
    <row r="925" ht="11.25" customHeight="1">
      <c r="A925" s="30" t="inlineStr">
        <is>
          <t>Itaguai</t>
        </is>
      </c>
      <c r="B925" s="30" t="n">
        <v>79900168</v>
      </c>
      <c r="C925" s="30">
        <f>"08286565000270"</f>
        <v/>
      </c>
      <c r="D925" s="30" t="inlineStr">
        <is>
          <t>MOV CARGO LOCACAO DE EQUIPAMENTOS  LTDA</t>
        </is>
      </c>
      <c r="E925" s="40" t="n">
        <v>0</v>
      </c>
      <c r="F925" s="40" t="n">
        <v>0</v>
      </c>
      <c r="G925" s="40" t="n">
        <v>0</v>
      </c>
      <c r="H925" s="40" t="n">
        <v>0</v>
      </c>
      <c r="I925" s="40" t="n">
        <v>0</v>
      </c>
      <c r="J925" s="40" t="n">
        <v>0</v>
      </c>
      <c r="K925" s="40" t="n">
        <v>0</v>
      </c>
      <c r="L925" s="40" t="n">
        <v>0</v>
      </c>
      <c r="M925" s="40" t="n">
        <v>0</v>
      </c>
      <c r="N925" s="40" t="n">
        <v>0</v>
      </c>
      <c r="O925" s="40" t="n">
        <v>0</v>
      </c>
      <c r="P925" s="40" t="n">
        <v>0</v>
      </c>
      <c r="Q925" s="40" t="n">
        <v>0</v>
      </c>
      <c r="R925" s="47" t="n"/>
      <c r="S925" s="47" t="n"/>
      <c r="T925" s="47" t="n"/>
      <c r="U925" s="47" t="n"/>
      <c r="V925" s="47" t="n"/>
      <c r="W925" s="47" t="n"/>
    </row>
    <row r="926" ht="11.25" customHeight="1">
      <c r="A926" s="30" t="inlineStr">
        <is>
          <t>Itaguai</t>
        </is>
      </c>
      <c r="B926" s="30" t="n">
        <v>79900575</v>
      </c>
      <c r="C926" s="30">
        <f>"31954621000138"</f>
        <v/>
      </c>
      <c r="D926" s="30" t="inlineStr">
        <is>
          <t>LOCTECH LOCACAO DE MAQUINAS E EQUIPAMENTOS LTDA - EPP</t>
        </is>
      </c>
      <c r="E926" s="40" t="n">
        <v>0</v>
      </c>
      <c r="F926" s="40" t="n">
        <v>0</v>
      </c>
      <c r="G926" s="40" t="n">
        <v>0</v>
      </c>
      <c r="H926" s="40" t="n">
        <v>0</v>
      </c>
      <c r="I926" s="40" t="n">
        <v>0</v>
      </c>
      <c r="J926" s="40" t="n">
        <v>0</v>
      </c>
      <c r="K926" s="40" t="n">
        <v>0</v>
      </c>
      <c r="L926" s="40" t="n">
        <v>0</v>
      </c>
      <c r="M926" s="40" t="n">
        <v>0</v>
      </c>
      <c r="N926" s="40" t="n">
        <v>0</v>
      </c>
      <c r="O926" s="40" t="n">
        <v>0</v>
      </c>
      <c r="P926" s="40" t="n">
        <v>0</v>
      </c>
      <c r="Q926" s="40" t="n">
        <v>0</v>
      </c>
      <c r="R926" s="47" t="n"/>
      <c r="S926" s="47" t="n"/>
      <c r="T926" s="47" t="n"/>
      <c r="U926" s="47" t="n"/>
      <c r="V926" s="47" t="n"/>
      <c r="W926" s="47" t="n"/>
    </row>
    <row r="927" ht="11.25" customHeight="1">
      <c r="A927" s="30" t="inlineStr">
        <is>
          <t>Itaguai</t>
        </is>
      </c>
      <c r="B927" s="30" t="n">
        <v>79907758</v>
      </c>
      <c r="C927" s="30">
        <f>"68814532000104"</f>
        <v/>
      </c>
      <c r="D927" s="30" t="inlineStr">
        <is>
          <t>CONCORDE EXPRESS DO BRASIL TRANSPORTE E LOGISTICA LTDA-ME</t>
        </is>
      </c>
      <c r="E927" s="40" t="n">
        <v>0</v>
      </c>
      <c r="F927" s="40" t="n">
        <v>306527.62</v>
      </c>
      <c r="G927" s="40" t="n">
        <v>100</v>
      </c>
      <c r="H927" s="40" t="n">
        <v>0</v>
      </c>
      <c r="I927" s="46" t="n">
        <v>-100</v>
      </c>
      <c r="J927" s="40" t="n">
        <v>0</v>
      </c>
      <c r="K927" s="40" t="n">
        <v>0</v>
      </c>
      <c r="L927" s="40" t="n">
        <v>0</v>
      </c>
      <c r="M927" s="40" t="n">
        <v>0</v>
      </c>
      <c r="N927" s="40" t="n">
        <v>0</v>
      </c>
      <c r="O927" s="40" t="n">
        <v>0</v>
      </c>
      <c r="P927" s="40" t="n">
        <v>0</v>
      </c>
      <c r="Q927" s="40" t="n">
        <v>0</v>
      </c>
      <c r="R927" s="47" t="n"/>
      <c r="S927" s="47" t="n"/>
      <c r="T927" s="47" t="n"/>
      <c r="U927" s="47" t="n"/>
      <c r="V927" s="47" t="n"/>
      <c r="W927" s="47" t="n"/>
    </row>
    <row r="928" ht="11.25" customHeight="1">
      <c r="A928" s="30" t="inlineStr">
        <is>
          <t>Itaguai</t>
        </is>
      </c>
      <c r="B928" s="30" t="n">
        <v>79910520</v>
      </c>
      <c r="C928" s="30">
        <f>"11676676000116"</f>
        <v/>
      </c>
      <c r="D928" s="30" t="inlineStr">
        <is>
          <t>ENGE SERVICE ENGENHARIA E SERVICOS LTDA EPP</t>
        </is>
      </c>
      <c r="E928" s="40" t="n">
        <v>0</v>
      </c>
      <c r="F928" s="40" t="n">
        <v>0</v>
      </c>
      <c r="G928" s="40" t="n">
        <v>0</v>
      </c>
      <c r="H928" s="40" t="n">
        <v>0</v>
      </c>
      <c r="I928" s="40" t="n">
        <v>0</v>
      </c>
      <c r="J928" s="40" t="n">
        <v>0</v>
      </c>
      <c r="K928" s="40" t="n">
        <v>0</v>
      </c>
      <c r="L928" s="40" t="n">
        <v>0</v>
      </c>
      <c r="M928" s="40" t="n">
        <v>0</v>
      </c>
      <c r="N928" s="40" t="n">
        <v>0</v>
      </c>
      <c r="O928" s="40" t="n">
        <v>0</v>
      </c>
      <c r="P928" s="40" t="n">
        <v>873.12</v>
      </c>
      <c r="Q928" s="40" t="n">
        <v>100</v>
      </c>
      <c r="R928" s="47" t="n"/>
      <c r="S928" s="47" t="n"/>
      <c r="T928" s="47" t="n"/>
      <c r="U928" s="47" t="n"/>
      <c r="V928" s="47" t="n"/>
      <c r="W928" s="47" t="n"/>
    </row>
    <row r="929" ht="11.25" customHeight="1">
      <c r="A929" s="30" t="inlineStr">
        <is>
          <t>Itaguai</t>
        </is>
      </c>
      <c r="B929" s="30" t="n">
        <v>79914231</v>
      </c>
      <c r="C929" s="30">
        <f>"17488619000190"</f>
        <v/>
      </c>
      <c r="D929" s="30" t="inlineStr">
        <is>
          <t>ALDA CRISTINE DE ARAUJO DROGARIA EIRELI ME</t>
        </is>
      </c>
      <c r="E929" s="40" t="n">
        <v>0</v>
      </c>
      <c r="F929" s="40" t="n">
        <v>0</v>
      </c>
      <c r="G929" s="40" t="n">
        <v>0</v>
      </c>
      <c r="H929" s="40" t="n">
        <v>0</v>
      </c>
      <c r="I929" s="40" t="n">
        <v>0</v>
      </c>
      <c r="J929" s="40" t="n">
        <v>0</v>
      </c>
      <c r="K929" s="40" t="n">
        <v>0</v>
      </c>
      <c r="L929" s="40" t="n">
        <v>0</v>
      </c>
      <c r="M929" s="40" t="n">
        <v>0</v>
      </c>
      <c r="N929" s="40" t="n">
        <v>0</v>
      </c>
      <c r="O929" s="40" t="n">
        <v>0</v>
      </c>
      <c r="P929" s="40" t="n">
        <v>0</v>
      </c>
      <c r="Q929" s="40" t="n">
        <v>0</v>
      </c>
      <c r="R929" s="47" t="n"/>
      <c r="S929" s="47" t="n"/>
      <c r="T929" s="47" t="n"/>
      <c r="U929" s="47" t="n"/>
      <c r="V929" s="47" t="n"/>
      <c r="W929" s="47" t="n"/>
    </row>
    <row r="930" ht="11.25" customHeight="1">
      <c r="A930" s="30" t="inlineStr">
        <is>
          <t>Itaguai</t>
        </is>
      </c>
      <c r="B930" s="30" t="n">
        <v>79916447</v>
      </c>
      <c r="C930" s="30">
        <f>"10675555000863"</f>
        <v/>
      </c>
      <c r="D930" s="30" t="inlineStr">
        <is>
          <t>TECNOMONT MONTAGENS INDUSTRIAIS LTDA</t>
        </is>
      </c>
      <c r="E930" s="40" t="n">
        <v>0</v>
      </c>
      <c r="F930" s="40" t="n">
        <v>0</v>
      </c>
      <c r="G930" s="40" t="n">
        <v>0</v>
      </c>
      <c r="H930" s="40" t="n">
        <v>0</v>
      </c>
      <c r="I930" s="40" t="n">
        <v>0</v>
      </c>
      <c r="J930" s="40" t="n">
        <v>0</v>
      </c>
      <c r="K930" s="40" t="n">
        <v>0</v>
      </c>
      <c r="L930" s="40" t="n">
        <v>0</v>
      </c>
      <c r="M930" s="40" t="n">
        <v>0</v>
      </c>
      <c r="N930" s="40" t="n">
        <v>0</v>
      </c>
      <c r="O930" s="40" t="n">
        <v>0</v>
      </c>
      <c r="P930" s="40" t="n">
        <v>0</v>
      </c>
      <c r="Q930" s="40" t="n">
        <v>0</v>
      </c>
      <c r="R930" s="47" t="n"/>
      <c r="S930" s="47" t="n"/>
      <c r="T930" s="47" t="n"/>
      <c r="U930" s="47" t="n"/>
      <c r="V930" s="47" t="n"/>
      <c r="W930" s="47" t="n"/>
    </row>
    <row r="931" ht="11.25" customHeight="1">
      <c r="A931" s="30" t="inlineStr">
        <is>
          <t>Itaguai</t>
        </is>
      </c>
      <c r="B931" s="30" t="n">
        <v>79918768</v>
      </c>
      <c r="C931" s="30">
        <f>"17636490000110"</f>
        <v/>
      </c>
      <c r="D931" s="30" t="inlineStr">
        <is>
          <t>TMA TRANSPORTE LOTACAO E LOGISTICA LTDA</t>
        </is>
      </c>
      <c r="E931" s="40" t="n">
        <v>0</v>
      </c>
      <c r="F931" s="40" t="n">
        <v>1619.26</v>
      </c>
      <c r="G931" s="40" t="n">
        <v>100</v>
      </c>
      <c r="H931" s="40" t="n">
        <v>4567.56</v>
      </c>
      <c r="I931" s="40" t="n">
        <v>182.08</v>
      </c>
      <c r="J931" s="40" t="n">
        <v>1596.96</v>
      </c>
      <c r="K931" s="46" t="n">
        <v>-65.04000000000001</v>
      </c>
      <c r="L931" s="40" t="n">
        <v>128.4</v>
      </c>
      <c r="M931" s="46" t="n">
        <v>-91.95999999999999</v>
      </c>
      <c r="N931" s="40" t="n">
        <v>0</v>
      </c>
      <c r="O931" s="46" t="n">
        <v>-100</v>
      </c>
      <c r="P931" s="40" t="n">
        <v>0</v>
      </c>
      <c r="Q931" s="40" t="n">
        <v>0</v>
      </c>
      <c r="R931" s="47" t="n"/>
      <c r="S931" s="47" t="n"/>
      <c r="T931" s="47" t="n"/>
      <c r="U931" s="47" t="n"/>
      <c r="V931" s="47" t="n"/>
      <c r="W931" s="47" t="n"/>
    </row>
    <row r="932" ht="11.25" customHeight="1">
      <c r="A932" s="30" t="inlineStr">
        <is>
          <t>Itaguai</t>
        </is>
      </c>
      <c r="B932" s="30" t="n">
        <v>79923532</v>
      </c>
      <c r="C932" s="30">
        <f>"08147623000101"</f>
        <v/>
      </c>
      <c r="D932" s="30" t="inlineStr">
        <is>
          <t>S R DE ITAGUAI SERVICOS DE LOCACAO LTDA</t>
        </is>
      </c>
      <c r="E932" s="40" t="n">
        <v>3000</v>
      </c>
      <c r="F932" s="40" t="n">
        <v>0</v>
      </c>
      <c r="G932" s="46" t="n">
        <v>-100</v>
      </c>
      <c r="H932" s="40" t="n">
        <v>1400</v>
      </c>
      <c r="I932" s="40" t="n">
        <v>100</v>
      </c>
      <c r="J932" s="40" t="n">
        <v>0</v>
      </c>
      <c r="K932" s="46" t="n">
        <v>-100</v>
      </c>
      <c r="L932" s="40" t="n">
        <v>0</v>
      </c>
      <c r="M932" s="40" t="n">
        <v>0</v>
      </c>
      <c r="N932" s="40" t="n">
        <v>0</v>
      </c>
      <c r="O932" s="40" t="n">
        <v>0</v>
      </c>
      <c r="P932" s="40" t="n">
        <v>0</v>
      </c>
      <c r="Q932" s="40" t="n">
        <v>0</v>
      </c>
      <c r="R932" s="47" t="n"/>
      <c r="S932" s="47" t="n"/>
      <c r="T932" s="47" t="n"/>
      <c r="U932" s="47" t="n"/>
      <c r="V932" s="47" t="n"/>
      <c r="W932" s="47" t="n"/>
    </row>
    <row r="933" ht="11.25" customHeight="1">
      <c r="A933" s="30" t="inlineStr">
        <is>
          <t>Itaguai</t>
        </is>
      </c>
      <c r="B933" s="30" t="n">
        <v>79926477</v>
      </c>
      <c r="C933" s="30">
        <f>"07792269000288"</f>
        <v/>
      </c>
      <c r="D933" s="30" t="inlineStr">
        <is>
          <t>CONSTRUTORA LYTORANEA S A</t>
        </is>
      </c>
      <c r="E933" s="40" t="n">
        <v>0</v>
      </c>
      <c r="F933" s="40" t="n">
        <v>0</v>
      </c>
      <c r="G933" s="40" t="n">
        <v>0</v>
      </c>
      <c r="H933" s="40" t="n">
        <v>0</v>
      </c>
      <c r="I933" s="40" t="n">
        <v>0</v>
      </c>
      <c r="J933" s="40" t="n">
        <v>0</v>
      </c>
      <c r="K933" s="40" t="n">
        <v>0</v>
      </c>
      <c r="L933" s="40" t="n">
        <v>0</v>
      </c>
      <c r="M933" s="40" t="n">
        <v>0</v>
      </c>
      <c r="N933" s="40" t="n">
        <v>0</v>
      </c>
      <c r="O933" s="40" t="n">
        <v>0</v>
      </c>
      <c r="P933" s="40" t="n">
        <v>0</v>
      </c>
      <c r="Q933" s="40" t="n">
        <v>0</v>
      </c>
      <c r="R933" s="47" t="n"/>
      <c r="S933" s="47" t="n"/>
      <c r="T933" s="47" t="n"/>
      <c r="U933" s="47" t="n"/>
      <c r="V933" s="47" t="n"/>
      <c r="W933" s="47" t="n"/>
    </row>
    <row r="934" ht="11.25" customHeight="1">
      <c r="A934" s="30" t="inlineStr">
        <is>
          <t>Itaguai</t>
        </is>
      </c>
      <c r="B934" s="30" t="n">
        <v>79935964</v>
      </c>
      <c r="C934" s="30">
        <f>"18189900000194"</f>
        <v/>
      </c>
      <c r="D934" s="30" t="inlineStr">
        <is>
          <t>DEPP MODA ITAGUAI LTDA EPP</t>
        </is>
      </c>
      <c r="E934" s="40" t="n">
        <v>0</v>
      </c>
      <c r="F934" s="40" t="n">
        <v>0</v>
      </c>
      <c r="G934" s="40" t="n">
        <v>0</v>
      </c>
      <c r="H934" s="40" t="n">
        <v>0</v>
      </c>
      <c r="I934" s="40" t="n">
        <v>0</v>
      </c>
      <c r="J934" s="40" t="n">
        <v>0</v>
      </c>
      <c r="K934" s="40" t="n">
        <v>0</v>
      </c>
      <c r="L934" s="40" t="n">
        <v>0</v>
      </c>
      <c r="M934" s="40" t="n">
        <v>0</v>
      </c>
      <c r="N934" s="40" t="n">
        <v>0</v>
      </c>
      <c r="O934" s="40" t="n">
        <v>0</v>
      </c>
      <c r="P934" s="40" t="n">
        <v>0</v>
      </c>
      <c r="Q934" s="40" t="n">
        <v>0</v>
      </c>
      <c r="R934" s="47" t="n"/>
      <c r="S934" s="47" t="n"/>
      <c r="T934" s="47" t="n"/>
      <c r="U934" s="47" t="n"/>
      <c r="V934" s="47" t="n"/>
      <c r="W934" s="47" t="n"/>
    </row>
    <row r="935" ht="11.25" customHeight="1">
      <c r="A935" s="30" t="inlineStr">
        <is>
          <t>Itaguai</t>
        </is>
      </c>
      <c r="B935" s="30" t="n">
        <v>79940020</v>
      </c>
      <c r="C935" s="30">
        <f>"18316740000105"</f>
        <v/>
      </c>
      <c r="D935" s="30" t="inlineStr">
        <is>
          <t>SS FIGUEIREDO ALIMENTOS EIRELI</t>
        </is>
      </c>
      <c r="E935" s="40" t="n">
        <v>0</v>
      </c>
      <c r="F935" s="40" t="n">
        <v>0</v>
      </c>
      <c r="G935" s="40" t="n">
        <v>0</v>
      </c>
      <c r="H935" s="40" t="n">
        <v>0</v>
      </c>
      <c r="I935" s="40" t="n">
        <v>0</v>
      </c>
      <c r="J935" s="40" t="n">
        <v>0</v>
      </c>
      <c r="K935" s="40" t="n">
        <v>0</v>
      </c>
      <c r="L935" s="40" t="n">
        <v>0</v>
      </c>
      <c r="M935" s="40" t="n">
        <v>0</v>
      </c>
      <c r="N935" s="40" t="n">
        <v>0</v>
      </c>
      <c r="O935" s="40" t="n">
        <v>0</v>
      </c>
      <c r="P935" s="40" t="n">
        <v>0</v>
      </c>
      <c r="Q935" s="40" t="n">
        <v>0</v>
      </c>
      <c r="R935" s="47" t="n"/>
      <c r="S935" s="47" t="n"/>
      <c r="T935" s="47" t="n"/>
      <c r="U935" s="47" t="n"/>
      <c r="V935" s="47" t="n"/>
      <c r="W935" s="47" t="n"/>
    </row>
    <row r="936" ht="11.25" customHeight="1">
      <c r="A936" s="30" t="inlineStr">
        <is>
          <t>Itaguai</t>
        </is>
      </c>
      <c r="B936" s="30" t="n">
        <v>79942642</v>
      </c>
      <c r="C936" s="30">
        <f>"18210737000102"</f>
        <v/>
      </c>
      <c r="D936" s="30" t="inlineStr">
        <is>
          <t>ST SANTOS LOCACOES E EQUIPAMENTOS EIRELI</t>
        </is>
      </c>
      <c r="E936" s="40" t="n">
        <v>0</v>
      </c>
      <c r="F936" s="40" t="n">
        <v>0</v>
      </c>
      <c r="G936" s="40" t="n">
        <v>0</v>
      </c>
      <c r="H936" s="40" t="n">
        <v>0</v>
      </c>
      <c r="I936" s="40" t="n">
        <v>0</v>
      </c>
      <c r="J936" s="40" t="n">
        <v>0</v>
      </c>
      <c r="K936" s="40" t="n">
        <v>0</v>
      </c>
      <c r="L936" s="40" t="n">
        <v>0</v>
      </c>
      <c r="M936" s="40" t="n">
        <v>0</v>
      </c>
      <c r="N936" s="40" t="n">
        <v>0</v>
      </c>
      <c r="O936" s="40" t="n">
        <v>0</v>
      </c>
      <c r="P936" s="40" t="n">
        <v>0</v>
      </c>
      <c r="Q936" s="40" t="n">
        <v>0</v>
      </c>
      <c r="R936" s="47" t="n"/>
      <c r="S936" s="47" t="n"/>
      <c r="T936" s="47" t="n"/>
      <c r="U936" s="47" t="n"/>
      <c r="V936" s="47" t="n"/>
      <c r="W936" s="47" t="n"/>
    </row>
    <row r="937" ht="11.25" customHeight="1">
      <c r="A937" s="30" t="inlineStr">
        <is>
          <t>Itaguai</t>
        </is>
      </c>
      <c r="B937" s="30" t="n">
        <v>79952737</v>
      </c>
      <c r="C937" s="30">
        <f>"18413598000106"</f>
        <v/>
      </c>
      <c r="D937" s="30" t="inlineStr">
        <is>
          <t>M &amp; C CONSTRU??ES IMOBILI?RIAS LTDA</t>
        </is>
      </c>
      <c r="E937" s="40" t="n">
        <v>0</v>
      </c>
      <c r="F937" s="40" t="n">
        <v>0</v>
      </c>
      <c r="G937" s="40" t="n">
        <v>0</v>
      </c>
      <c r="H937" s="40" t="n">
        <v>0</v>
      </c>
      <c r="I937" s="40" t="n">
        <v>0</v>
      </c>
      <c r="J937" s="40" t="n">
        <v>0</v>
      </c>
      <c r="K937" s="40" t="n">
        <v>0</v>
      </c>
      <c r="L937" s="40" t="n">
        <v>0</v>
      </c>
      <c r="M937" s="40" t="n">
        <v>0</v>
      </c>
      <c r="N937" s="40" t="n">
        <v>0</v>
      </c>
      <c r="O937" s="40" t="n">
        <v>0</v>
      </c>
      <c r="P937" s="40" t="n">
        <v>0</v>
      </c>
      <c r="Q937" s="40" t="n">
        <v>0</v>
      </c>
      <c r="R937" s="47" t="n"/>
      <c r="S937" s="47" t="n"/>
      <c r="T937" s="47" t="n"/>
      <c r="U937" s="47" t="n"/>
      <c r="V937" s="47" t="n"/>
      <c r="W937" s="47" t="n"/>
    </row>
    <row r="938" ht="11.25" customHeight="1">
      <c r="A938" s="30" t="inlineStr">
        <is>
          <t>Itaguai</t>
        </is>
      </c>
      <c r="B938" s="30" t="n">
        <v>79953911</v>
      </c>
      <c r="C938" s="30">
        <f>"18410271000180"</f>
        <v/>
      </c>
      <c r="D938" s="30" t="inlineStr">
        <is>
          <t>EXPRESSO GIBB TRANSPORTES EIRELI</t>
        </is>
      </c>
      <c r="E938" s="40" t="n">
        <v>0</v>
      </c>
      <c r="F938" s="40" t="n">
        <v>1211.4</v>
      </c>
      <c r="G938" s="40" t="n">
        <v>100</v>
      </c>
      <c r="H938" s="40" t="n">
        <v>0</v>
      </c>
      <c r="I938" s="46" t="n">
        <v>-100</v>
      </c>
      <c r="J938" s="40" t="n">
        <v>0</v>
      </c>
      <c r="K938" s="40" t="n">
        <v>0</v>
      </c>
      <c r="L938" s="40" t="n">
        <v>0</v>
      </c>
      <c r="M938" s="40" t="n">
        <v>0</v>
      </c>
      <c r="N938" s="40" t="n">
        <v>0</v>
      </c>
      <c r="O938" s="40" t="n">
        <v>0</v>
      </c>
      <c r="P938" s="40" t="n">
        <v>0</v>
      </c>
      <c r="Q938" s="40" t="n">
        <v>0</v>
      </c>
      <c r="R938" s="47" t="n"/>
      <c r="S938" s="47" t="n"/>
      <c r="T938" s="47" t="n"/>
      <c r="U938" s="47" t="n"/>
      <c r="V938" s="47" t="n"/>
      <c r="W938" s="47" t="n"/>
    </row>
    <row r="939" ht="11.25" customHeight="1">
      <c r="A939" s="30" t="inlineStr">
        <is>
          <t>Itaguai</t>
        </is>
      </c>
      <c r="B939" s="30" t="n">
        <v>79967688</v>
      </c>
      <c r="C939" s="30">
        <f>"18517849000100"</f>
        <v/>
      </c>
      <c r="D939" s="30" t="inlineStr">
        <is>
          <t>N L C CORREA</t>
        </is>
      </c>
      <c r="E939" s="40" t="n">
        <v>0</v>
      </c>
      <c r="F939" s="40" t="n">
        <v>0</v>
      </c>
      <c r="G939" s="40" t="n">
        <v>0</v>
      </c>
      <c r="H939" s="40" t="n">
        <v>0</v>
      </c>
      <c r="I939" s="40" t="n">
        <v>0</v>
      </c>
      <c r="J939" s="40" t="n">
        <v>0</v>
      </c>
      <c r="K939" s="40" t="n">
        <v>0</v>
      </c>
      <c r="L939" s="40" t="n">
        <v>0</v>
      </c>
      <c r="M939" s="40" t="n">
        <v>0</v>
      </c>
      <c r="N939" s="40" t="n">
        <v>0</v>
      </c>
      <c r="O939" s="40" t="n">
        <v>0</v>
      </c>
      <c r="P939" s="40" t="n">
        <v>0</v>
      </c>
      <c r="Q939" s="40" t="n">
        <v>0</v>
      </c>
      <c r="R939" s="47" t="n"/>
      <c r="S939" s="47" t="n"/>
      <c r="T939" s="47" t="n"/>
      <c r="U939" s="47" t="n"/>
      <c r="V939" s="47" t="n"/>
      <c r="W939" s="47" t="n"/>
    </row>
    <row r="940" ht="11.25" customHeight="1">
      <c r="A940" s="30" t="inlineStr">
        <is>
          <t>Itaguai</t>
        </is>
      </c>
      <c r="B940" s="30" t="n">
        <v>79972436</v>
      </c>
      <c r="C940" s="30">
        <f>"12621274000934"</f>
        <v/>
      </c>
      <c r="D940" s="30" t="inlineStr">
        <is>
          <t>PACER TRANSPORTE E LOGISTICA LTDA</t>
        </is>
      </c>
      <c r="E940" s="40" t="n">
        <v>0</v>
      </c>
      <c r="F940" s="40" t="n">
        <v>0</v>
      </c>
      <c r="G940" s="40" t="n">
        <v>0</v>
      </c>
      <c r="H940" s="40" t="n">
        <v>0</v>
      </c>
      <c r="I940" s="40" t="n">
        <v>0</v>
      </c>
      <c r="J940" s="40" t="n">
        <v>0</v>
      </c>
      <c r="K940" s="40" t="n">
        <v>0</v>
      </c>
      <c r="L940" s="40" t="n">
        <v>177.91</v>
      </c>
      <c r="M940" s="40" t="n">
        <v>100</v>
      </c>
      <c r="N940" s="40" t="n">
        <v>1869.09</v>
      </c>
      <c r="O940" s="40" t="n">
        <v>950.58</v>
      </c>
      <c r="P940" s="40" t="n">
        <v>0</v>
      </c>
      <c r="Q940" s="46" t="n">
        <v>-100</v>
      </c>
      <c r="R940" s="47" t="n"/>
      <c r="S940" s="47" t="n"/>
      <c r="T940" s="47" t="n"/>
      <c r="U940" s="47" t="n"/>
      <c r="V940" s="47" t="n"/>
      <c r="W940" s="47" t="n"/>
    </row>
    <row r="941" ht="11.25" customHeight="1">
      <c r="A941" s="30" t="inlineStr">
        <is>
          <t>Itaguai</t>
        </is>
      </c>
      <c r="B941" s="30" t="n">
        <v>79973661</v>
      </c>
      <c r="C941" s="30">
        <f>"17771646001490"</f>
        <v/>
      </c>
      <c r="D941" s="30" t="inlineStr">
        <is>
          <t>QUEBRA VENTO INDUSTRIA E COMERCIO DE ROUPAS LTDA</t>
        </is>
      </c>
      <c r="E941" s="40" t="n">
        <v>43415.72</v>
      </c>
      <c r="F941" s="40" t="n">
        <v>0</v>
      </c>
      <c r="G941" s="46" t="n">
        <v>-100</v>
      </c>
      <c r="H941" s="40" t="n">
        <v>0</v>
      </c>
      <c r="I941" s="40" t="n">
        <v>0</v>
      </c>
      <c r="J941" s="40" t="n">
        <v>0</v>
      </c>
      <c r="K941" s="40" t="n">
        <v>0</v>
      </c>
      <c r="L941" s="40" t="n">
        <v>0</v>
      </c>
      <c r="M941" s="40" t="n">
        <v>0</v>
      </c>
      <c r="N941" s="40" t="n">
        <v>0</v>
      </c>
      <c r="O941" s="40" t="n">
        <v>0</v>
      </c>
      <c r="P941" s="40" t="n">
        <v>0</v>
      </c>
      <c r="Q941" s="40" t="n">
        <v>0</v>
      </c>
      <c r="R941" s="47" t="n"/>
      <c r="S941" s="47" t="n"/>
      <c r="T941" s="47" t="n"/>
      <c r="U941" s="47" t="n"/>
      <c r="V941" s="47" t="n"/>
      <c r="W941" s="47" t="n"/>
    </row>
    <row r="942" ht="11.25" customHeight="1">
      <c r="A942" s="30" t="inlineStr">
        <is>
          <t>Itaguai</t>
        </is>
      </c>
      <c r="B942" s="30" t="n">
        <v>79980447</v>
      </c>
      <c r="C942" s="30">
        <f>"09637385000258"</f>
        <v/>
      </c>
      <c r="D942" s="30" t="inlineStr">
        <is>
          <t>MULTIMARCAS PECAS DIESEL LTDA</t>
        </is>
      </c>
      <c r="E942" s="40" t="n">
        <v>0</v>
      </c>
      <c r="F942" s="40" t="n">
        <v>0</v>
      </c>
      <c r="G942" s="40" t="n">
        <v>0</v>
      </c>
      <c r="H942" s="40" t="n">
        <v>0</v>
      </c>
      <c r="I942" s="40" t="n">
        <v>0</v>
      </c>
      <c r="J942" s="40" t="n">
        <v>0</v>
      </c>
      <c r="K942" s="40" t="n">
        <v>0</v>
      </c>
      <c r="L942" s="40" t="n">
        <v>0</v>
      </c>
      <c r="M942" s="40" t="n">
        <v>0</v>
      </c>
      <c r="N942" s="40" t="n">
        <v>0</v>
      </c>
      <c r="O942" s="40" t="n">
        <v>0</v>
      </c>
      <c r="P942" s="40" t="n">
        <v>0</v>
      </c>
      <c r="Q942" s="40" t="n">
        <v>0</v>
      </c>
      <c r="R942" s="47" t="n"/>
      <c r="S942" s="47" t="n"/>
      <c r="T942" s="47" t="n"/>
      <c r="U942" s="47" t="n"/>
      <c r="V942" s="47" t="n"/>
      <c r="W942" s="47" t="n"/>
    </row>
    <row r="943" ht="11.25" customHeight="1">
      <c r="A943" s="30" t="inlineStr">
        <is>
          <t>Itaguai</t>
        </is>
      </c>
      <c r="B943" s="30" t="n">
        <v>79985279</v>
      </c>
      <c r="C943" s="30">
        <f>"35899111000166"</f>
        <v/>
      </c>
      <c r="D943" s="30" t="inlineStr">
        <is>
          <t>LANCHONETE EXPRESSO ITAGUAI LTDA ME</t>
        </is>
      </c>
      <c r="E943" s="40" t="n">
        <v>0</v>
      </c>
      <c r="F943" s="40" t="n">
        <v>0</v>
      </c>
      <c r="G943" s="40" t="n">
        <v>0</v>
      </c>
      <c r="H943" s="40" t="n">
        <v>0</v>
      </c>
      <c r="I943" s="40" t="n">
        <v>0</v>
      </c>
      <c r="J943" s="40" t="n">
        <v>0</v>
      </c>
      <c r="K943" s="40" t="n">
        <v>0</v>
      </c>
      <c r="L943" s="40" t="n">
        <v>0</v>
      </c>
      <c r="M943" s="40" t="n">
        <v>0</v>
      </c>
      <c r="N943" s="40" t="n">
        <v>0</v>
      </c>
      <c r="O943" s="40" t="n">
        <v>0</v>
      </c>
      <c r="P943" s="40" t="n">
        <v>0</v>
      </c>
      <c r="Q943" s="40" t="n">
        <v>0</v>
      </c>
      <c r="R943" s="47" t="n"/>
      <c r="S943" s="47" t="n"/>
      <c r="T943" s="47" t="n"/>
      <c r="U943" s="47" t="n"/>
      <c r="V943" s="47" t="n"/>
      <c r="W943" s="47" t="n"/>
    </row>
    <row r="944" ht="11.25" customHeight="1">
      <c r="A944" s="30" t="inlineStr">
        <is>
          <t>Itaguai</t>
        </is>
      </c>
      <c r="B944" s="30" t="n">
        <v>79987921</v>
      </c>
      <c r="C944" s="30">
        <f>"00474075000104"</f>
        <v/>
      </c>
      <c r="D944" s="30" t="inlineStr">
        <is>
          <t>RHAVIJU FIXAÇÃO SERVIÇOS DE COSTURA E FACÇÃO LTDA</t>
        </is>
      </c>
      <c r="E944" s="40" t="n">
        <v>0</v>
      </c>
      <c r="F944" s="40" t="n">
        <v>0</v>
      </c>
      <c r="G944" s="40" t="n">
        <v>0</v>
      </c>
      <c r="H944" s="40" t="n">
        <v>0</v>
      </c>
      <c r="I944" s="40" t="n">
        <v>0</v>
      </c>
      <c r="J944" s="40" t="n">
        <v>0</v>
      </c>
      <c r="K944" s="40" t="n">
        <v>0</v>
      </c>
      <c r="L944" s="40" t="n">
        <v>0</v>
      </c>
      <c r="M944" s="40" t="n">
        <v>0</v>
      </c>
      <c r="N944" s="40" t="n">
        <v>0</v>
      </c>
      <c r="O944" s="40" t="n">
        <v>0</v>
      </c>
      <c r="P944" s="40" t="n">
        <v>0</v>
      </c>
      <c r="Q944" s="40" t="n">
        <v>0</v>
      </c>
      <c r="R944" s="47" t="n"/>
      <c r="S944" s="47" t="n"/>
      <c r="T944" s="47" t="n"/>
      <c r="U944" s="47" t="n"/>
      <c r="V944" s="47" t="n"/>
      <c r="W944" s="47" t="n"/>
    </row>
    <row r="945" ht="11.25" customHeight="1">
      <c r="A945" s="30" t="inlineStr">
        <is>
          <t>Itaguai</t>
        </is>
      </c>
      <c r="B945" s="30" t="n">
        <v>79990159</v>
      </c>
      <c r="C945" s="30">
        <f>"18465808000100"</f>
        <v/>
      </c>
      <c r="D945" s="30" t="inlineStr">
        <is>
          <t>OLIVEIRAS SSDR MATERIAL DE CONSTRUCAO LTDA - ME</t>
        </is>
      </c>
      <c r="E945" s="40" t="n">
        <v>0</v>
      </c>
      <c r="F945" s="40" t="n">
        <v>0</v>
      </c>
      <c r="G945" s="40" t="n">
        <v>0</v>
      </c>
      <c r="H945" s="40" t="n">
        <v>0</v>
      </c>
      <c r="I945" s="40" t="n">
        <v>0</v>
      </c>
      <c r="J945" s="40" t="n">
        <v>0</v>
      </c>
      <c r="K945" s="40" t="n">
        <v>0</v>
      </c>
      <c r="L945" s="40" t="n">
        <v>0</v>
      </c>
      <c r="M945" s="40" t="n">
        <v>0</v>
      </c>
      <c r="N945" s="40" t="n">
        <v>0</v>
      </c>
      <c r="O945" s="40" t="n">
        <v>0</v>
      </c>
      <c r="P945" s="40" t="n">
        <v>0</v>
      </c>
      <c r="Q945" s="40" t="n">
        <v>0</v>
      </c>
      <c r="R945" s="47" t="n"/>
      <c r="S945" s="47" t="n"/>
      <c r="T945" s="47" t="n"/>
      <c r="U945" s="47" t="n"/>
      <c r="V945" s="47" t="n"/>
      <c r="W945" s="47" t="n"/>
    </row>
    <row r="946" ht="11.25" customHeight="1">
      <c r="A946" s="30" t="inlineStr">
        <is>
          <t>Itaguai</t>
        </is>
      </c>
      <c r="B946" s="30" t="n">
        <v>79994650</v>
      </c>
      <c r="C946" s="30">
        <f>"51718724000459"</f>
        <v/>
      </c>
      <c r="D946" s="30" t="inlineStr">
        <is>
          <t>GUINDASTEC GUINDASTES E SERVICOS TECNICOS LTDA</t>
        </is>
      </c>
      <c r="E946" s="40" t="n">
        <v>0</v>
      </c>
      <c r="F946" s="40" t="n">
        <v>0</v>
      </c>
      <c r="G946" s="40" t="n">
        <v>0</v>
      </c>
      <c r="H946" s="40" t="n">
        <v>0</v>
      </c>
      <c r="I946" s="40" t="n">
        <v>0</v>
      </c>
      <c r="J946" s="40" t="n">
        <v>0</v>
      </c>
      <c r="K946" s="40" t="n">
        <v>0</v>
      </c>
      <c r="L946" s="40" t="n">
        <v>0</v>
      </c>
      <c r="M946" s="40" t="n">
        <v>0</v>
      </c>
      <c r="N946" s="40" t="n">
        <v>0</v>
      </c>
      <c r="O946" s="40" t="n">
        <v>0</v>
      </c>
      <c r="P946" s="40" t="n">
        <v>0</v>
      </c>
      <c r="Q946" s="40" t="n">
        <v>0</v>
      </c>
      <c r="R946" s="47" t="n"/>
      <c r="S946" s="47" t="n"/>
      <c r="T946" s="47" t="n"/>
      <c r="U946" s="47" t="n"/>
      <c r="V946" s="47" t="n"/>
      <c r="W946" s="47" t="n"/>
    </row>
    <row r="947" ht="11.25" customHeight="1">
      <c r="A947" s="30" t="inlineStr">
        <is>
          <t>Itaguai</t>
        </is>
      </c>
      <c r="B947" s="30" t="n">
        <v>79999989</v>
      </c>
      <c r="C947" s="30">
        <f>"05296590001480"</f>
        <v/>
      </c>
      <c r="D947" s="30" t="inlineStr">
        <is>
          <t>UNILOG UNIVERSO LOGISTICA LTDA</t>
        </is>
      </c>
      <c r="E947" s="40" t="n">
        <v>0</v>
      </c>
      <c r="F947" s="40" t="n">
        <v>0</v>
      </c>
      <c r="G947" s="40" t="n">
        <v>0</v>
      </c>
      <c r="H947" s="40" t="n">
        <v>24.23</v>
      </c>
      <c r="I947" s="40" t="n">
        <v>100</v>
      </c>
      <c r="J947" s="40" t="n">
        <v>129.4</v>
      </c>
      <c r="K947" s="40" t="n">
        <v>434.05</v>
      </c>
      <c r="L947" s="40" t="n">
        <v>0</v>
      </c>
      <c r="M947" s="46" t="n">
        <v>-100</v>
      </c>
      <c r="N947" s="40" t="n">
        <v>0</v>
      </c>
      <c r="O947" s="40" t="n">
        <v>0</v>
      </c>
      <c r="P947" s="40" t="n">
        <v>0</v>
      </c>
      <c r="Q947" s="40" t="n">
        <v>0</v>
      </c>
      <c r="R947" s="47" t="n"/>
      <c r="S947" s="47" t="n"/>
      <c r="T947" s="47" t="n"/>
      <c r="U947" s="47" t="n"/>
      <c r="V947" s="47" t="n"/>
      <c r="W947" s="47" t="n"/>
    </row>
    <row r="948" ht="11.25" customHeight="1">
      <c r="A948" s="30" t="inlineStr">
        <is>
          <t>Itaguai</t>
        </is>
      </c>
      <c r="B948" s="30" t="n">
        <v>80048068</v>
      </c>
      <c r="C948" s="30">
        <f>"30069314000101"</f>
        <v/>
      </c>
      <c r="D948" s="30" t="inlineStr">
        <is>
          <t>AUTO VIACAO 1001 LTDA</t>
        </is>
      </c>
      <c r="E948" s="40" t="n">
        <v>0</v>
      </c>
      <c r="F948" s="40" t="n">
        <v>0</v>
      </c>
      <c r="G948" s="40" t="n">
        <v>0</v>
      </c>
      <c r="H948" s="40" t="n">
        <v>5450</v>
      </c>
      <c r="I948" s="40" t="n">
        <v>100</v>
      </c>
      <c r="J948" s="40" t="n">
        <v>0</v>
      </c>
      <c r="K948" s="46" t="n">
        <v>-100</v>
      </c>
      <c r="L948" s="40" t="n">
        <v>0</v>
      </c>
      <c r="M948" s="40" t="n">
        <v>0</v>
      </c>
      <c r="N948" s="40" t="n">
        <v>13200</v>
      </c>
      <c r="O948" s="40" t="n">
        <v>100</v>
      </c>
      <c r="P948" s="40" t="n">
        <v>2240</v>
      </c>
      <c r="Q948" s="46" t="n">
        <v>-83.03</v>
      </c>
      <c r="R948" s="47" t="n"/>
      <c r="S948" s="47" t="n"/>
      <c r="T948" s="47" t="n"/>
      <c r="U948" s="47" t="n"/>
      <c r="V948" s="47" t="n"/>
      <c r="W948" s="47" t="n"/>
    </row>
    <row r="949" ht="11.25" customHeight="1">
      <c r="A949" s="30" t="inlineStr">
        <is>
          <t>Itaguai</t>
        </is>
      </c>
      <c r="B949" s="30" t="n">
        <v>80150636</v>
      </c>
      <c r="C949" s="30">
        <f>"29853942000102"</f>
        <v/>
      </c>
      <c r="D949" s="30" t="inlineStr">
        <is>
          <t>RIO ITA LTDA</t>
        </is>
      </c>
      <c r="E949" s="40" t="n">
        <v>5295</v>
      </c>
      <c r="F949" s="40" t="n">
        <v>0</v>
      </c>
      <c r="G949" s="46" t="n">
        <v>-100</v>
      </c>
      <c r="H949" s="40" t="n">
        <v>1260</v>
      </c>
      <c r="I949" s="40" t="n">
        <v>100</v>
      </c>
      <c r="J949" s="40" t="n">
        <v>0</v>
      </c>
      <c r="K949" s="46" t="n">
        <v>-100</v>
      </c>
      <c r="L949" s="40" t="n">
        <v>3490</v>
      </c>
      <c r="M949" s="40" t="n">
        <v>100</v>
      </c>
      <c r="N949" s="40" t="n">
        <v>6650</v>
      </c>
      <c r="O949" s="40" t="n">
        <v>90.54000000000001</v>
      </c>
      <c r="P949" s="40" t="n">
        <v>2880</v>
      </c>
      <c r="Q949" s="46" t="n">
        <v>-56.69</v>
      </c>
      <c r="R949" s="47" t="n"/>
      <c r="S949" s="47" t="n"/>
      <c r="T949" s="47" t="n"/>
      <c r="U949" s="47" t="n"/>
      <c r="V949" s="47" t="n"/>
      <c r="W949" s="47" t="n"/>
    </row>
    <row r="950" ht="11.25" customHeight="1">
      <c r="A950" s="30" t="inlineStr">
        <is>
          <t>Itaguai</t>
        </is>
      </c>
      <c r="B950" s="30" t="n">
        <v>80219431</v>
      </c>
      <c r="C950" s="30">
        <f>"29336278000116"</f>
        <v/>
      </c>
      <c r="D950" s="30" t="inlineStr">
        <is>
          <t>AUTO VIACAO REGINAS LTDA</t>
        </is>
      </c>
      <c r="E950" s="40" t="n">
        <v>0</v>
      </c>
      <c r="F950" s="40" t="n">
        <v>2532349.69</v>
      </c>
      <c r="G950" s="40" t="n">
        <v>100</v>
      </c>
      <c r="H950" s="40" t="n">
        <v>3497201.49</v>
      </c>
      <c r="I950" s="40" t="n">
        <v>38.1</v>
      </c>
      <c r="J950" s="40" t="n">
        <v>3798376.9</v>
      </c>
      <c r="K950" s="40" t="n">
        <v>8.609999999999999</v>
      </c>
      <c r="L950" s="40" t="n">
        <v>6975937.31</v>
      </c>
      <c r="M950" s="40" t="n">
        <v>83.66</v>
      </c>
      <c r="N950" s="40" t="n">
        <v>8782701.77</v>
      </c>
      <c r="O950" s="40" t="n">
        <v>25.9</v>
      </c>
      <c r="P950" s="40" t="n">
        <v>9071563.699999999</v>
      </c>
      <c r="Q950" s="40" t="n">
        <v>3.29</v>
      </c>
      <c r="R950" s="47" t="n"/>
      <c r="S950" s="47" t="n"/>
      <c r="T950" s="47" t="n"/>
      <c r="U950" s="47" t="n"/>
      <c r="V950" s="47" t="n"/>
      <c r="W950" s="47" t="n"/>
    </row>
    <row r="951" ht="11.25" customHeight="1">
      <c r="A951" s="30" t="inlineStr">
        <is>
          <t>Itaguai</t>
        </is>
      </c>
      <c r="B951" s="30" t="n">
        <v>80284446</v>
      </c>
      <c r="C951" s="30">
        <f>"31918535000170"</f>
        <v/>
      </c>
      <c r="D951" s="30" t="inlineStr">
        <is>
          <t>TRANSTURISMO TRANSPORTADORA ORIENTAL LTDA</t>
        </is>
      </c>
      <c r="E951" s="40" t="n">
        <v>3187973.26</v>
      </c>
      <c r="F951" s="40" t="n">
        <v>3466507.18</v>
      </c>
      <c r="G951" s="40" t="n">
        <v>8.74</v>
      </c>
      <c r="H951" s="40" t="n">
        <v>0</v>
      </c>
      <c r="I951" s="46" t="n">
        <v>-100</v>
      </c>
      <c r="J951" s="40" t="n">
        <v>0</v>
      </c>
      <c r="K951" s="40" t="n">
        <v>0</v>
      </c>
      <c r="L951" s="40" t="n">
        <v>0</v>
      </c>
      <c r="M951" s="40" t="n">
        <v>0</v>
      </c>
      <c r="N951" s="40" t="n">
        <v>0</v>
      </c>
      <c r="O951" s="40" t="n">
        <v>0</v>
      </c>
      <c r="P951" s="40" t="n">
        <v>0</v>
      </c>
      <c r="Q951" s="40" t="n">
        <v>0</v>
      </c>
      <c r="R951" s="47" t="n"/>
      <c r="S951" s="47" t="n"/>
      <c r="T951" s="47" t="n"/>
      <c r="U951" s="47" t="n"/>
      <c r="V951" s="47" t="n"/>
      <c r="W951" s="47" t="n"/>
    </row>
    <row r="952" ht="11.25" customHeight="1">
      <c r="A952" s="30" t="inlineStr">
        <is>
          <t>Itaguai</t>
        </is>
      </c>
      <c r="B952" s="30" t="n">
        <v>80394012</v>
      </c>
      <c r="C952" s="30">
        <f>"29663762000150"</f>
        <v/>
      </c>
      <c r="D952" s="30" t="inlineStr">
        <is>
          <t>LANCHONETE E RESTAURANTE COSTA VERDE LTDA</t>
        </is>
      </c>
      <c r="E952" s="40" t="n">
        <v>0</v>
      </c>
      <c r="F952" s="40" t="n">
        <v>0</v>
      </c>
      <c r="G952" s="40" t="n">
        <v>0</v>
      </c>
      <c r="H952" s="40" t="n">
        <v>0</v>
      </c>
      <c r="I952" s="40" t="n">
        <v>0</v>
      </c>
      <c r="J952" s="40" t="n">
        <v>0</v>
      </c>
      <c r="K952" s="40" t="n">
        <v>0</v>
      </c>
      <c r="L952" s="40" t="n">
        <v>1961478.63</v>
      </c>
      <c r="M952" s="40" t="n">
        <v>100</v>
      </c>
      <c r="N952" s="40" t="n">
        <v>816078.47</v>
      </c>
      <c r="O952" s="46" t="n">
        <v>-58.39</v>
      </c>
      <c r="P952" s="40" t="n">
        <v>0</v>
      </c>
      <c r="Q952" s="46" t="n">
        <v>-100</v>
      </c>
      <c r="R952" s="47" t="n"/>
      <c r="S952" s="47" t="n"/>
      <c r="T952" s="47" t="n"/>
      <c r="U952" s="47" t="n"/>
      <c r="V952" s="47" t="n"/>
      <c r="W952" s="47" t="n"/>
    </row>
    <row r="953" ht="11.25" customHeight="1">
      <c r="A953" s="30" t="inlineStr">
        <is>
          <t>Itaguai</t>
        </is>
      </c>
      <c r="B953" s="30" t="n">
        <v>80394780</v>
      </c>
      <c r="C953" s="30">
        <f>"29085206000143"</f>
        <v/>
      </c>
      <c r="D953" s="30" t="inlineStr">
        <is>
          <t>CANNES MOTEL LTDA ME</t>
        </is>
      </c>
      <c r="E953" s="40" t="n">
        <v>0</v>
      </c>
      <c r="F953" s="40" t="n">
        <v>0</v>
      </c>
      <c r="G953" s="40" t="n">
        <v>0</v>
      </c>
      <c r="H953" s="40" t="n">
        <v>0</v>
      </c>
      <c r="I953" s="40" t="n">
        <v>0</v>
      </c>
      <c r="J953" s="40" t="n">
        <v>0</v>
      </c>
      <c r="K953" s="40" t="n">
        <v>0</v>
      </c>
      <c r="L953" s="40" t="n">
        <v>0</v>
      </c>
      <c r="M953" s="40" t="n">
        <v>0</v>
      </c>
      <c r="N953" s="40" t="n">
        <v>0</v>
      </c>
      <c r="O953" s="40" t="n">
        <v>0</v>
      </c>
      <c r="P953" s="40" t="n">
        <v>0</v>
      </c>
      <c r="Q953" s="40" t="n">
        <v>0</v>
      </c>
      <c r="R953" s="47" t="n"/>
      <c r="S953" s="47" t="n"/>
      <c r="T953" s="47" t="n"/>
      <c r="U953" s="47" t="n"/>
      <c r="V953" s="47" t="n"/>
      <c r="W953" s="47" t="n"/>
    </row>
    <row r="954" ht="11.25" customHeight="1">
      <c r="A954" s="30" t="inlineStr">
        <is>
          <t>Itaguai</t>
        </is>
      </c>
      <c r="B954" s="30" t="n">
        <v>80398239</v>
      </c>
      <c r="C954" s="30">
        <f>"30225668000106"</f>
        <v/>
      </c>
      <c r="D954" s="30" t="inlineStr">
        <is>
          <t>N A DA SILVA DROGARIAS LTDA EPP</t>
        </is>
      </c>
      <c r="E954" s="40" t="n">
        <v>0</v>
      </c>
      <c r="F954" s="40" t="n">
        <v>3709815.25</v>
      </c>
      <c r="G954" s="40" t="n">
        <v>100</v>
      </c>
      <c r="H954" s="40" t="n">
        <v>880575.03</v>
      </c>
      <c r="I954" s="46" t="n">
        <v>-76.26000000000001</v>
      </c>
      <c r="J954" s="40" t="n">
        <v>246921.08</v>
      </c>
      <c r="K954" s="46" t="n">
        <v>-71.95999999999999</v>
      </c>
      <c r="L954" s="40" t="n">
        <v>1071570.68</v>
      </c>
      <c r="M954" s="40" t="n">
        <v>333.97</v>
      </c>
      <c r="N954" s="40" t="n">
        <v>1596885.9</v>
      </c>
      <c r="O954" s="40" t="n">
        <v>49.02</v>
      </c>
      <c r="P954" s="40" t="n">
        <v>0</v>
      </c>
      <c r="Q954" s="46" t="n">
        <v>-100</v>
      </c>
      <c r="R954" s="47" t="n"/>
      <c r="S954" s="47" t="n"/>
      <c r="T954" s="47" t="n"/>
      <c r="U954" s="47" t="n"/>
      <c r="V954" s="47" t="n"/>
      <c r="W954" s="47" t="n"/>
    </row>
    <row r="955" ht="11.25" customHeight="1">
      <c r="A955" s="30" t="inlineStr">
        <is>
          <t>Itaguai</t>
        </is>
      </c>
      <c r="B955" s="30" t="n">
        <v>80400462</v>
      </c>
      <c r="C955" s="30">
        <f>"42515882000330"</f>
        <v/>
      </c>
      <c r="D955" s="30" t="inlineStr">
        <is>
          <t>NUCLEBRAS EQUIPAMENTOS PESADOS S/A NUCLEP</t>
        </is>
      </c>
      <c r="E955" s="40" t="n">
        <v>340429.43</v>
      </c>
      <c r="F955" s="40" t="n">
        <v>49359170.44</v>
      </c>
      <c r="G955" s="40" t="n">
        <v>14399.09</v>
      </c>
      <c r="H955" s="40" t="n">
        <v>115320249.12</v>
      </c>
      <c r="I955" s="40" t="n">
        <v>133.63</v>
      </c>
      <c r="J955" s="40" t="n">
        <v>65012276.03</v>
      </c>
      <c r="K955" s="46" t="n">
        <v>-43.62</v>
      </c>
      <c r="L955" s="40" t="n">
        <v>85434.92999999999</v>
      </c>
      <c r="M955" s="46" t="n">
        <v>-99.87</v>
      </c>
      <c r="N955" s="40" t="n">
        <v>0</v>
      </c>
      <c r="O955" s="46" t="n">
        <v>-100</v>
      </c>
      <c r="P955" s="40" t="n">
        <v>662251.1</v>
      </c>
      <c r="Q955" s="40" t="n">
        <v>100</v>
      </c>
      <c r="R955" s="47" t="n"/>
      <c r="S955" s="47" t="n"/>
      <c r="T955" s="47" t="n"/>
      <c r="U955" s="47" t="n"/>
      <c r="V955" s="47" t="n"/>
      <c r="W955" s="47" t="n"/>
    </row>
    <row r="956" ht="11.25" customHeight="1">
      <c r="A956" s="30" t="inlineStr">
        <is>
          <t>Itaguai</t>
        </is>
      </c>
      <c r="B956" s="30" t="n">
        <v>80400489</v>
      </c>
      <c r="C956" s="30">
        <f>"30245542000195"</f>
        <v/>
      </c>
      <c r="D956" s="30" t="inlineStr">
        <is>
          <t>FRIGORIFICO BEIJA FLOR COM ATAC E VAR DE PROD ALIM LTDA EPP</t>
        </is>
      </c>
      <c r="E956" s="40" t="n">
        <v>511976.77</v>
      </c>
      <c r="F956" s="40" t="n">
        <v>1276879.77</v>
      </c>
      <c r="G956" s="40" t="n">
        <v>149.4</v>
      </c>
      <c r="H956" s="40" t="n">
        <v>1097104.87</v>
      </c>
      <c r="I956" s="46" t="n">
        <v>-14.08</v>
      </c>
      <c r="J956" s="40" t="n">
        <v>0</v>
      </c>
      <c r="K956" s="46" t="n">
        <v>-100</v>
      </c>
      <c r="L956" s="40" t="n">
        <v>550679.92</v>
      </c>
      <c r="M956" s="40" t="n">
        <v>100</v>
      </c>
      <c r="N956" s="40" t="n">
        <v>1045528.37</v>
      </c>
      <c r="O956" s="40" t="n">
        <v>89.86</v>
      </c>
      <c r="P956" s="40" t="n">
        <v>326347.82</v>
      </c>
      <c r="Q956" s="46" t="n">
        <v>-68.79000000000001</v>
      </c>
      <c r="R956" s="47" t="n"/>
      <c r="S956" s="47" t="n"/>
      <c r="T956" s="47" t="n"/>
      <c r="U956" s="47" t="n"/>
      <c r="V956" s="47" t="n"/>
      <c r="W956" s="47" t="n"/>
    </row>
    <row r="957" ht="11.25" customHeight="1">
      <c r="A957" s="30" t="inlineStr">
        <is>
          <t>Itaguai</t>
        </is>
      </c>
      <c r="B957" s="30" t="n">
        <v>80404336</v>
      </c>
      <c r="C957" s="30">
        <f>"30612030000110"</f>
        <v/>
      </c>
      <c r="D957" s="30" t="inlineStr">
        <is>
          <t>COMPASSOS BAZAR E DISTRIBUIDORA LTDA</t>
        </is>
      </c>
      <c r="E957" s="40" t="n">
        <v>619155.66</v>
      </c>
      <c r="F957" s="40" t="n">
        <v>1536990.53</v>
      </c>
      <c r="G957" s="40" t="n">
        <v>148.24</v>
      </c>
      <c r="H957" s="40" t="n">
        <v>1418807.51</v>
      </c>
      <c r="I957" s="46" t="n">
        <v>-7.69</v>
      </c>
      <c r="J957" s="40" t="n">
        <v>560012.62</v>
      </c>
      <c r="K957" s="46" t="n">
        <v>-60.53</v>
      </c>
      <c r="L957" s="40" t="n">
        <v>1819537.43</v>
      </c>
      <c r="M957" s="40" t="n">
        <v>224.91</v>
      </c>
      <c r="N957" s="40" t="n">
        <v>1964905</v>
      </c>
      <c r="O957" s="40" t="n">
        <v>7.99</v>
      </c>
      <c r="P957" s="40" t="n">
        <v>2718223.72</v>
      </c>
      <c r="Q957" s="40" t="n">
        <v>38.34</v>
      </c>
      <c r="R957" s="47" t="n"/>
      <c r="S957" s="47" t="n"/>
      <c r="T957" s="47" t="n"/>
      <c r="U957" s="47" t="n"/>
      <c r="V957" s="47" t="n"/>
      <c r="W957" s="47" t="n"/>
    </row>
    <row r="958" ht="11.25" customHeight="1">
      <c r="A958" s="30" t="inlineStr">
        <is>
          <t>Itaguai</t>
        </is>
      </c>
      <c r="B958" s="30" t="n">
        <v>80404565</v>
      </c>
      <c r="C958" s="30">
        <f>"30933311000174"</f>
        <v/>
      </c>
      <c r="D958" s="30" t="inlineStr">
        <is>
          <t>COMERCIO DE DERIVADOS DE PETROLEO VANILDA LTDA</t>
        </is>
      </c>
      <c r="E958" s="40" t="n">
        <v>4941241.12</v>
      </c>
      <c r="F958" s="40" t="n">
        <v>4676877.42</v>
      </c>
      <c r="G958" s="46" t="n">
        <v>-5.35</v>
      </c>
      <c r="H958" s="40" t="n">
        <v>6233339.11</v>
      </c>
      <c r="I958" s="40" t="n">
        <v>33.28</v>
      </c>
      <c r="J958" s="40" t="n">
        <v>5205963.62</v>
      </c>
      <c r="K958" s="46" t="n">
        <v>-16.48</v>
      </c>
      <c r="L958" s="40" t="n">
        <v>6489193.95</v>
      </c>
      <c r="M958" s="40" t="n">
        <v>24.65</v>
      </c>
      <c r="N958" s="40" t="n">
        <v>7333982.59</v>
      </c>
      <c r="O958" s="40" t="n">
        <v>13.02</v>
      </c>
      <c r="P958" s="40" t="n">
        <v>5444754.18</v>
      </c>
      <c r="Q958" s="46" t="n">
        <v>-25.76</v>
      </c>
      <c r="R958" s="47" t="n"/>
      <c r="S958" s="47" t="n"/>
      <c r="T958" s="47" t="n"/>
      <c r="U958" s="47" t="n"/>
      <c r="V958" s="47" t="n"/>
      <c r="W958" s="47" t="n"/>
    </row>
    <row r="959" ht="11.25" customHeight="1">
      <c r="A959" s="30" t="inlineStr">
        <is>
          <t>Itaguai</t>
        </is>
      </c>
      <c r="B959" s="30" t="n">
        <v>80404646</v>
      </c>
      <c r="C959" s="30">
        <f>"27802222000184"</f>
        <v/>
      </c>
      <c r="D959" s="30" t="inlineStr">
        <is>
          <t>SAKURA PRESENTES EIRELI</t>
        </is>
      </c>
      <c r="E959" s="40" t="n">
        <v>6955955.62</v>
      </c>
      <c r="F959" s="40" t="n">
        <v>6426641.22</v>
      </c>
      <c r="G959" s="46" t="n">
        <v>-7.61</v>
      </c>
      <c r="H959" s="40" t="n">
        <v>7533283.29</v>
      </c>
      <c r="I959" s="40" t="n">
        <v>17.22</v>
      </c>
      <c r="J959" s="40" t="n">
        <v>6982822.45</v>
      </c>
      <c r="K959" s="46" t="n">
        <v>-7.31</v>
      </c>
      <c r="L959" s="40" t="n">
        <v>4320190.63</v>
      </c>
      <c r="M959" s="46" t="n">
        <v>-38.13</v>
      </c>
      <c r="N959" s="40" t="n">
        <v>7292566.66</v>
      </c>
      <c r="O959" s="40" t="n">
        <v>68.8</v>
      </c>
      <c r="P959" s="40" t="n">
        <v>9653029.130000001</v>
      </c>
      <c r="Q959" s="40" t="n">
        <v>32.37</v>
      </c>
      <c r="R959" s="47" t="n"/>
      <c r="S959" s="47" t="n"/>
      <c r="T959" s="47" t="n"/>
      <c r="U959" s="47" t="n"/>
      <c r="V959" s="47" t="n"/>
      <c r="W959" s="47" t="n"/>
    </row>
    <row r="960" ht="11.25" customHeight="1">
      <c r="A960" s="30" t="inlineStr">
        <is>
          <t>Itaguai</t>
        </is>
      </c>
      <c r="B960" s="30" t="n">
        <v>80405189</v>
      </c>
      <c r="C960" s="30">
        <f>"27195650000196"</f>
        <v/>
      </c>
      <c r="D960" s="30" t="inlineStr">
        <is>
          <t>CEFL COMERCIO ELETRO GAS FUKAMATI LTDA</t>
        </is>
      </c>
      <c r="E960" s="40" t="n">
        <v>0</v>
      </c>
      <c r="F960" s="40" t="n">
        <v>0</v>
      </c>
      <c r="G960" s="40" t="n">
        <v>0</v>
      </c>
      <c r="H960" s="40" t="n">
        <v>0</v>
      </c>
      <c r="I960" s="40" t="n">
        <v>0</v>
      </c>
      <c r="J960" s="40" t="n">
        <v>5026905.1</v>
      </c>
      <c r="K960" s="40" t="n">
        <v>100</v>
      </c>
      <c r="L960" s="40" t="n">
        <v>4363907.44</v>
      </c>
      <c r="M960" s="46" t="n">
        <v>-13.19</v>
      </c>
      <c r="N960" s="40" t="n">
        <v>4301161.81</v>
      </c>
      <c r="O960" s="46" t="n">
        <v>-1.44</v>
      </c>
      <c r="P960" s="40" t="n">
        <v>5551095.89</v>
      </c>
      <c r="Q960" s="40" t="n">
        <v>29.06</v>
      </c>
      <c r="R960" s="47" t="n"/>
      <c r="S960" s="47" t="n"/>
      <c r="T960" s="47" t="n"/>
      <c r="U960" s="47" t="n"/>
      <c r="V960" s="47" t="n"/>
      <c r="W960" s="47" t="n"/>
    </row>
    <row r="961" ht="11.25" customHeight="1">
      <c r="A961" s="30" t="inlineStr">
        <is>
          <t>Itaguai</t>
        </is>
      </c>
      <c r="B961" s="30" t="n">
        <v>80462751</v>
      </c>
      <c r="C961" s="30">
        <f>"32350746000111"</f>
        <v/>
      </c>
      <c r="D961" s="30" t="inlineStr">
        <is>
          <t>COOPERATIVA MISTA DE VALENCA DE RESPONSABILIDADE LTDA</t>
        </is>
      </c>
      <c r="E961" s="40" t="n">
        <v>727112.17</v>
      </c>
      <c r="F961" s="40" t="n">
        <v>357700.46</v>
      </c>
      <c r="G961" s="46" t="n">
        <v>-50.81</v>
      </c>
      <c r="H961" s="40" t="n">
        <v>81954.5</v>
      </c>
      <c r="I961" s="46" t="n">
        <v>-77.09</v>
      </c>
      <c r="J961" s="40" t="n">
        <v>49593.65</v>
      </c>
      <c r="K961" s="46" t="n">
        <v>-39.49</v>
      </c>
      <c r="L961" s="40" t="n">
        <v>0</v>
      </c>
      <c r="M961" s="46" t="n">
        <v>-100</v>
      </c>
      <c r="N961" s="40" t="n">
        <v>0</v>
      </c>
      <c r="O961" s="40" t="n">
        <v>0</v>
      </c>
      <c r="P961" s="40" t="n">
        <v>0</v>
      </c>
      <c r="Q961" s="40" t="n">
        <v>0</v>
      </c>
      <c r="R961" s="47" t="n"/>
      <c r="S961" s="47" t="n"/>
      <c r="T961" s="47" t="n"/>
      <c r="U961" s="47" t="n"/>
      <c r="V961" s="47" t="n"/>
      <c r="W961" s="47" t="n"/>
    </row>
    <row r="962" ht="11.25" customHeight="1">
      <c r="A962" s="30" t="inlineStr">
        <is>
          <t>Itaguai</t>
        </is>
      </c>
      <c r="B962" s="30" t="n">
        <v>80525745</v>
      </c>
      <c r="C962" s="30">
        <f>"29453826000198"</f>
        <v/>
      </c>
      <c r="D962" s="30" t="inlineStr">
        <is>
          <t>TRANSPORTE GENEROSO LTDA</t>
        </is>
      </c>
      <c r="E962" s="40" t="n">
        <v>0</v>
      </c>
      <c r="F962" s="40" t="n">
        <v>0</v>
      </c>
      <c r="G962" s="40" t="n">
        <v>0</v>
      </c>
      <c r="H962" s="40" t="n">
        <v>0</v>
      </c>
      <c r="I962" s="40" t="n">
        <v>0</v>
      </c>
      <c r="J962" s="40" t="n">
        <v>0</v>
      </c>
      <c r="K962" s="40" t="n">
        <v>0</v>
      </c>
      <c r="L962" s="40" t="n">
        <v>289.72</v>
      </c>
      <c r="M962" s="40" t="n">
        <v>100</v>
      </c>
      <c r="N962" s="40" t="n">
        <v>0</v>
      </c>
      <c r="O962" s="46" t="n">
        <v>-100</v>
      </c>
      <c r="P962" s="40" t="n">
        <v>0</v>
      </c>
      <c r="Q962" s="40" t="n">
        <v>0</v>
      </c>
      <c r="R962" s="47" t="n"/>
      <c r="S962" s="47" t="n"/>
      <c r="T962" s="47" t="n"/>
      <c r="U962" s="47" t="n"/>
      <c r="V962" s="47" t="n"/>
      <c r="W962" s="47" t="n"/>
    </row>
    <row r="963" ht="11.25" customHeight="1">
      <c r="A963" s="30" t="inlineStr">
        <is>
          <t>Itaguai</t>
        </is>
      </c>
      <c r="B963" s="30" t="n">
        <v>80615132</v>
      </c>
      <c r="C963" s="30">
        <f>"29832318000110"</f>
        <v/>
      </c>
      <c r="D963" s="30" t="inlineStr">
        <is>
          <t>HOTEP - HOTEIS E EMPREENDIMENTOS TURISTICOS PEREQUE LTDA</t>
        </is>
      </c>
      <c r="E963" s="40" t="n">
        <v>0</v>
      </c>
      <c r="F963" s="40" t="n">
        <v>2963.02</v>
      </c>
      <c r="G963" s="40" t="n">
        <v>100</v>
      </c>
      <c r="H963" s="40" t="n">
        <v>0</v>
      </c>
      <c r="I963" s="46" t="n">
        <v>-100</v>
      </c>
      <c r="J963" s="40" t="n">
        <v>0</v>
      </c>
      <c r="K963" s="40" t="n">
        <v>0</v>
      </c>
      <c r="L963" s="40" t="n">
        <v>0</v>
      </c>
      <c r="M963" s="40" t="n">
        <v>0</v>
      </c>
      <c r="N963" s="40" t="n">
        <v>0</v>
      </c>
      <c r="O963" s="40" t="n">
        <v>0</v>
      </c>
      <c r="P963" s="40" t="n">
        <v>0</v>
      </c>
      <c r="Q963" s="40" t="n">
        <v>0</v>
      </c>
      <c r="R963" s="47" t="n"/>
      <c r="S963" s="47" t="n"/>
      <c r="T963" s="47" t="n"/>
      <c r="U963" s="47" t="n"/>
      <c r="V963" s="47" t="n"/>
      <c r="W963" s="47" t="n"/>
    </row>
    <row r="964" ht="11.25" customHeight="1">
      <c r="A964" s="30" t="inlineStr">
        <is>
          <t>Itaguai</t>
        </is>
      </c>
      <c r="B964" s="30" t="n">
        <v>80735936</v>
      </c>
      <c r="C964" s="30">
        <f>"49930514002693"</f>
        <v/>
      </c>
      <c r="D964" s="30" t="inlineStr">
        <is>
          <t>SODEXO DO BRASIL COMERCIAL S A</t>
        </is>
      </c>
      <c r="E964" s="40" t="n">
        <v>0</v>
      </c>
      <c r="F964" s="40" t="n">
        <v>0</v>
      </c>
      <c r="G964" s="40" t="n">
        <v>0</v>
      </c>
      <c r="H964" s="40" t="n">
        <v>0</v>
      </c>
      <c r="I964" s="40" t="n">
        <v>0</v>
      </c>
      <c r="J964" s="40" t="n">
        <v>284600.26</v>
      </c>
      <c r="K964" s="40" t="n">
        <v>100</v>
      </c>
      <c r="L964" s="40" t="n">
        <v>2468037.27</v>
      </c>
      <c r="M964" s="40" t="n">
        <v>767.1900000000001</v>
      </c>
      <c r="N964" s="40" t="n">
        <v>1189100.12</v>
      </c>
      <c r="O964" s="46" t="n">
        <v>-51.82</v>
      </c>
      <c r="P964" s="40" t="n">
        <v>1537265.67</v>
      </c>
      <c r="Q964" s="40" t="n">
        <v>29.28</v>
      </c>
      <c r="R964" s="47" t="n"/>
      <c r="S964" s="47" t="n"/>
      <c r="T964" s="47" t="n"/>
      <c r="U964" s="47" t="n"/>
      <c r="V964" s="47" t="n"/>
      <c r="W964" s="47" t="n"/>
    </row>
    <row r="965" ht="11.25" customHeight="1">
      <c r="A965" s="30" t="inlineStr">
        <is>
          <t>Itaguai</t>
        </is>
      </c>
      <c r="B965" s="30" t="n">
        <v>80752903</v>
      </c>
      <c r="C965" s="30">
        <f>"29347887000170"</f>
        <v/>
      </c>
      <c r="D965" s="30" t="inlineStr">
        <is>
          <t>TRANS TURISMO RIO MINHO LTDA</t>
        </is>
      </c>
      <c r="E965" s="40" t="n">
        <v>15325</v>
      </c>
      <c r="F965" s="40" t="n">
        <v>0</v>
      </c>
      <c r="G965" s="46" t="n">
        <v>-100</v>
      </c>
      <c r="H965" s="40" t="n">
        <v>4885.04</v>
      </c>
      <c r="I965" s="40" t="n">
        <v>100</v>
      </c>
      <c r="J965" s="40" t="n">
        <v>4890</v>
      </c>
      <c r="K965" s="40" t="n">
        <v>0.1</v>
      </c>
      <c r="L965" s="40" t="n">
        <v>2520</v>
      </c>
      <c r="M965" s="46" t="n">
        <v>-48.47</v>
      </c>
      <c r="N965" s="40" t="n">
        <v>1250</v>
      </c>
      <c r="O965" s="46" t="n">
        <v>-50.4</v>
      </c>
      <c r="P965" s="40" t="n">
        <v>0</v>
      </c>
      <c r="Q965" s="46" t="n">
        <v>-100</v>
      </c>
      <c r="R965" s="47" t="n"/>
      <c r="S965" s="47" t="n"/>
      <c r="T965" s="47" t="n"/>
      <c r="U965" s="47" t="n"/>
      <c r="V965" s="47" t="n"/>
      <c r="W965" s="47" t="n"/>
    </row>
    <row r="966" ht="11.25" customHeight="1">
      <c r="A966" s="30" t="inlineStr">
        <is>
          <t>Itaguai</t>
        </is>
      </c>
      <c r="B966" s="30" t="n">
        <v>80781431</v>
      </c>
      <c r="C966" s="30">
        <f>"32285454000142"</f>
        <v/>
      </c>
      <c r="D966" s="30" t="inlineStr">
        <is>
          <t>VIACAO SALUTARIS E TURISMO SA</t>
        </is>
      </c>
      <c r="E966" s="40" t="n">
        <v>0</v>
      </c>
      <c r="F966" s="40" t="n">
        <v>0</v>
      </c>
      <c r="G966" s="40" t="n">
        <v>0</v>
      </c>
      <c r="H966" s="40" t="n">
        <v>0</v>
      </c>
      <c r="I966" s="40" t="n">
        <v>0</v>
      </c>
      <c r="J966" s="40" t="n">
        <v>0</v>
      </c>
      <c r="K966" s="40" t="n">
        <v>0</v>
      </c>
      <c r="L966" s="40" t="n">
        <v>0</v>
      </c>
      <c r="M966" s="40" t="n">
        <v>0</v>
      </c>
      <c r="N966" s="40" t="n">
        <v>4934.72</v>
      </c>
      <c r="O966" s="40" t="n">
        <v>100</v>
      </c>
      <c r="P966" s="40" t="n">
        <v>0</v>
      </c>
      <c r="Q966" s="46" t="n">
        <v>-100</v>
      </c>
      <c r="R966" s="47" t="n"/>
      <c r="S966" s="47" t="n"/>
      <c r="T966" s="47" t="n"/>
      <c r="U966" s="47" t="n"/>
      <c r="V966" s="47" t="n"/>
      <c r="W966" s="47" t="n"/>
    </row>
    <row r="967" ht="11.25" customHeight="1">
      <c r="A967" s="30" t="inlineStr">
        <is>
          <t>Itaguai</t>
        </is>
      </c>
      <c r="B967" s="30" t="n">
        <v>80829795</v>
      </c>
      <c r="C967" s="30">
        <f>"32404063000108"</f>
        <v/>
      </c>
      <c r="D967" s="30" t="inlineStr">
        <is>
          <t>VIACAO PROGRESSO E TURISMO S/A</t>
        </is>
      </c>
      <c r="E967" s="40" t="n">
        <v>2601.27</v>
      </c>
      <c r="F967" s="40" t="n">
        <v>1787.55</v>
      </c>
      <c r="G967" s="46" t="n">
        <v>-31.28</v>
      </c>
      <c r="H967" s="40" t="n">
        <v>3366.29</v>
      </c>
      <c r="I967" s="40" t="n">
        <v>88.31999999999999</v>
      </c>
      <c r="J967" s="40" t="n">
        <v>1140.92</v>
      </c>
      <c r="K967" s="46" t="n">
        <v>-66.11</v>
      </c>
      <c r="L967" s="40" t="n">
        <v>333.14</v>
      </c>
      <c r="M967" s="46" t="n">
        <v>-70.8</v>
      </c>
      <c r="N967" s="40" t="n">
        <v>0</v>
      </c>
      <c r="O967" s="46" t="n">
        <v>-100</v>
      </c>
      <c r="P967" s="40" t="n">
        <v>0</v>
      </c>
      <c r="Q967" s="40" t="n">
        <v>0</v>
      </c>
      <c r="R967" s="47" t="n"/>
      <c r="S967" s="47" t="n"/>
      <c r="T967" s="47" t="n"/>
      <c r="U967" s="47" t="n"/>
      <c r="V967" s="47" t="n"/>
      <c r="W967" s="47" t="n"/>
    </row>
    <row r="968" ht="11.25" customHeight="1">
      <c r="A968" s="30" t="inlineStr">
        <is>
          <t>Itaguai</t>
        </is>
      </c>
      <c r="B968" s="30" t="n">
        <v>80978006</v>
      </c>
      <c r="C968" s="30">
        <f>"02224206000120"</f>
        <v/>
      </c>
      <c r="D968" s="30" t="inlineStr">
        <is>
          <t>TRANSPORTADORA MACABU LTDA</t>
        </is>
      </c>
      <c r="E968" s="40" t="n">
        <v>14667.25</v>
      </c>
      <c r="F968" s="40" t="n">
        <v>0</v>
      </c>
      <c r="G968" s="46" t="n">
        <v>-100</v>
      </c>
      <c r="H968" s="40" t="n">
        <v>0</v>
      </c>
      <c r="I968" s="40" t="n">
        <v>0</v>
      </c>
      <c r="J968" s="40" t="n">
        <v>0</v>
      </c>
      <c r="K968" s="40" t="n">
        <v>0</v>
      </c>
      <c r="L968" s="40" t="n">
        <v>0</v>
      </c>
      <c r="M968" s="40" t="n">
        <v>0</v>
      </c>
      <c r="N968" s="40" t="n">
        <v>0</v>
      </c>
      <c r="O968" s="40" t="n">
        <v>0</v>
      </c>
      <c r="P968" s="40" t="n">
        <v>0</v>
      </c>
      <c r="Q968" s="40" t="n">
        <v>0</v>
      </c>
      <c r="R968" s="47" t="n"/>
      <c r="S968" s="47" t="n"/>
      <c r="T968" s="47" t="n"/>
      <c r="U968" s="47" t="n"/>
      <c r="V968" s="47" t="n"/>
      <c r="W968" s="47" t="n"/>
    </row>
    <row r="969" ht="11.25" customHeight="1">
      <c r="A969" s="30" t="inlineStr">
        <is>
          <t>Itaguai</t>
        </is>
      </c>
      <c r="B969" s="30" t="n">
        <v>81146853</v>
      </c>
      <c r="C969" s="30">
        <f>"19632116005807"</f>
        <v/>
      </c>
      <c r="D969" s="30" t="inlineStr">
        <is>
          <t>VIACAO RIODOCE LTDA</t>
        </is>
      </c>
      <c r="E969" s="40" t="n">
        <v>148639.22</v>
      </c>
      <c r="F969" s="40" t="n">
        <v>159795.92</v>
      </c>
      <c r="G969" s="40" t="n">
        <v>7.51</v>
      </c>
      <c r="H969" s="40" t="n">
        <v>155304.39</v>
      </c>
      <c r="I969" s="46" t="n">
        <v>-2.81</v>
      </c>
      <c r="J969" s="40" t="n">
        <v>65271.39</v>
      </c>
      <c r="K969" s="46" t="n">
        <v>-57.97</v>
      </c>
      <c r="L969" s="40" t="n">
        <v>122866.64</v>
      </c>
      <c r="M969" s="40" t="n">
        <v>88.23999999999999</v>
      </c>
      <c r="N969" s="40" t="n">
        <v>137330.11</v>
      </c>
      <c r="O969" s="40" t="n">
        <v>11.77</v>
      </c>
      <c r="P969" s="40" t="n">
        <v>143117.74</v>
      </c>
      <c r="Q969" s="40" t="n">
        <v>4.21</v>
      </c>
      <c r="R969" s="47" t="n"/>
      <c r="S969" s="47" t="n"/>
      <c r="T969" s="47" t="n"/>
      <c r="U969" s="47" t="n"/>
      <c r="V969" s="47" t="n"/>
      <c r="W969" s="47" t="n"/>
    </row>
    <row r="970" ht="11.25" customHeight="1">
      <c r="A970" s="30" t="inlineStr">
        <is>
          <t>Itaguai</t>
        </is>
      </c>
      <c r="B970" s="30" t="n">
        <v>81215006</v>
      </c>
      <c r="C970" s="30">
        <f>"42182949000108"</f>
        <v/>
      </c>
      <c r="D970" s="30" t="inlineStr">
        <is>
          <t>TRANSPORTES SANTA PAULA LTDA</t>
        </is>
      </c>
      <c r="E970" s="40" t="n">
        <v>88430.32000000001</v>
      </c>
      <c r="F970" s="40" t="n">
        <v>414397.05</v>
      </c>
      <c r="G970" s="40" t="n">
        <v>368.61</v>
      </c>
      <c r="H970" s="40" t="n">
        <v>0</v>
      </c>
      <c r="I970" s="46" t="n">
        <v>-100</v>
      </c>
      <c r="J970" s="40" t="n">
        <v>0</v>
      </c>
      <c r="K970" s="40" t="n">
        <v>0</v>
      </c>
      <c r="L970" s="40" t="n">
        <v>0</v>
      </c>
      <c r="M970" s="40" t="n">
        <v>0</v>
      </c>
      <c r="N970" s="40" t="n">
        <v>0</v>
      </c>
      <c r="O970" s="40" t="n">
        <v>0</v>
      </c>
      <c r="P970" s="40" t="n">
        <v>0</v>
      </c>
      <c r="Q970" s="40" t="n">
        <v>0</v>
      </c>
      <c r="R970" s="47" t="n"/>
      <c r="S970" s="47" t="n"/>
      <c r="T970" s="47" t="n"/>
      <c r="U970" s="47" t="n"/>
      <c r="V970" s="47" t="n"/>
      <c r="W970" s="47" t="n"/>
    </row>
    <row r="971" ht="11.25" customHeight="1">
      <c r="A971" s="30" t="inlineStr">
        <is>
          <t>Itaguai</t>
        </is>
      </c>
      <c r="B971" s="30" t="n">
        <v>81239592</v>
      </c>
      <c r="C971" s="30">
        <f>"58890252000202"</f>
        <v/>
      </c>
      <c r="D971" s="30" t="inlineStr">
        <is>
          <t>DHL EXPRESS BRASIL LTDA</t>
        </is>
      </c>
      <c r="E971" s="40" t="n">
        <v>13255.38</v>
      </c>
      <c r="F971" s="40" t="n">
        <v>50415.32</v>
      </c>
      <c r="G971" s="40" t="n">
        <v>280.34</v>
      </c>
      <c r="H971" s="40" t="n">
        <v>25396.03</v>
      </c>
      <c r="I971" s="46" t="n">
        <v>-49.63</v>
      </c>
      <c r="J971" s="40" t="n">
        <v>14106.92</v>
      </c>
      <c r="K971" s="46" t="n">
        <v>-44.45</v>
      </c>
      <c r="L971" s="40" t="n">
        <v>22586.58</v>
      </c>
      <c r="M971" s="40" t="n">
        <v>60.11</v>
      </c>
      <c r="N971" s="40" t="n">
        <v>26989.63</v>
      </c>
      <c r="O971" s="40" t="n">
        <v>19.49</v>
      </c>
      <c r="P971" s="40" t="n">
        <v>28129.44</v>
      </c>
      <c r="Q971" s="40" t="n">
        <v>4.22</v>
      </c>
      <c r="R971" s="47" t="n"/>
      <c r="S971" s="47" t="n"/>
      <c r="T971" s="47" t="n"/>
      <c r="U971" s="47" t="n"/>
      <c r="V971" s="47" t="n"/>
      <c r="W971" s="47" t="n"/>
    </row>
    <row r="972" ht="11.25" customHeight="1">
      <c r="A972" s="30" t="inlineStr">
        <is>
          <t>Itaguai</t>
        </is>
      </c>
      <c r="B972" s="30" t="n">
        <v>81258872</v>
      </c>
      <c r="C972" s="30">
        <f>"87183570000738"</f>
        <v/>
      </c>
      <c r="D972" s="30" t="inlineStr">
        <is>
          <t>TRANSPORTADORA MINUANO LTDA</t>
        </is>
      </c>
      <c r="E972" s="40" t="n">
        <v>3062.88</v>
      </c>
      <c r="F972" s="40" t="n">
        <v>4792.76</v>
      </c>
      <c r="G972" s="40" t="n">
        <v>56.48</v>
      </c>
      <c r="H972" s="40" t="n">
        <v>3853.09</v>
      </c>
      <c r="I972" s="46" t="n">
        <v>-19.61</v>
      </c>
      <c r="J972" s="40" t="n">
        <v>1428.46</v>
      </c>
      <c r="K972" s="46" t="n">
        <v>-62.93</v>
      </c>
      <c r="L972" s="40" t="n">
        <v>2444.27</v>
      </c>
      <c r="M972" s="40" t="n">
        <v>71.11</v>
      </c>
      <c r="N972" s="40" t="n">
        <v>4501.59</v>
      </c>
      <c r="O972" s="40" t="n">
        <v>84.17</v>
      </c>
      <c r="P972" s="40" t="n">
        <v>4440.95</v>
      </c>
      <c r="Q972" s="46" t="n">
        <v>-1.35</v>
      </c>
      <c r="R972" s="47" t="n"/>
      <c r="S972" s="47" t="n"/>
      <c r="T972" s="47" t="n"/>
      <c r="U972" s="47" t="n"/>
      <c r="V972" s="47" t="n"/>
      <c r="W972" s="47" t="n"/>
    </row>
    <row r="973" ht="11.25" customHeight="1">
      <c r="A973" s="30" t="inlineStr">
        <is>
          <t>Itaguai</t>
        </is>
      </c>
      <c r="B973" s="30" t="n">
        <v>81330174</v>
      </c>
      <c r="C973" s="30">
        <f>"02905110001957"</f>
        <v/>
      </c>
      <c r="D973" s="30" t="inlineStr">
        <is>
          <t>GR SERVICOS E ALIMENTACAO LTDA</t>
        </is>
      </c>
      <c r="E973" s="40" t="n">
        <v>3590263.71</v>
      </c>
      <c r="F973" s="40" t="n">
        <v>3545196.11</v>
      </c>
      <c r="G973" s="46" t="n">
        <v>-1.26</v>
      </c>
      <c r="H973" s="40" t="n">
        <v>3861792.64</v>
      </c>
      <c r="I973" s="40" t="n">
        <v>8.93</v>
      </c>
      <c r="J973" s="40" t="n">
        <v>3463525.63</v>
      </c>
      <c r="K973" s="46" t="n">
        <v>-10.31</v>
      </c>
      <c r="L973" s="40" t="n">
        <v>0</v>
      </c>
      <c r="M973" s="46" t="n">
        <v>-100</v>
      </c>
      <c r="N973" s="40" t="n">
        <v>0</v>
      </c>
      <c r="O973" s="40" t="n">
        <v>0</v>
      </c>
      <c r="P973" s="40" t="n">
        <v>0</v>
      </c>
      <c r="Q973" s="40" t="n">
        <v>0</v>
      </c>
      <c r="R973" s="47" t="n"/>
      <c r="S973" s="47" t="n"/>
      <c r="T973" s="47" t="n"/>
      <c r="U973" s="47" t="n"/>
      <c r="V973" s="47" t="n"/>
      <c r="W973" s="47" t="n"/>
    </row>
    <row r="974" ht="11.25" customHeight="1">
      <c r="A974" s="30" t="inlineStr">
        <is>
          <t>Itaguai</t>
        </is>
      </c>
      <c r="B974" s="30" t="n">
        <v>81380023</v>
      </c>
      <c r="C974" s="30">
        <f>"60444437000146"</f>
        <v/>
      </c>
      <c r="D974" s="30" t="inlineStr">
        <is>
          <t>LIGHT SERVICOS DE ELETRICIDADE S A</t>
        </is>
      </c>
      <c r="E974" s="40" t="n">
        <v>162547270.68</v>
      </c>
      <c r="F974" s="40" t="n">
        <v>185690305.16</v>
      </c>
      <c r="G974" s="40" t="n">
        <v>14.24</v>
      </c>
      <c r="H974" s="40" t="n">
        <v>217425131.02</v>
      </c>
      <c r="I974" s="40" t="n">
        <v>17.09</v>
      </c>
      <c r="J974" s="40" t="n">
        <v>202761202.82</v>
      </c>
      <c r="K974" s="46" t="n">
        <v>-6.74</v>
      </c>
      <c r="L974" s="40" t="n">
        <v>251530304.51</v>
      </c>
      <c r="M974" s="40" t="n">
        <v>24.05</v>
      </c>
      <c r="N974" s="40" t="n">
        <v>252406486.05</v>
      </c>
      <c r="O974" s="40" t="n">
        <v>0.35</v>
      </c>
      <c r="P974" s="40" t="n">
        <v>249495459.85</v>
      </c>
      <c r="Q974" s="46" t="n">
        <v>-1.15</v>
      </c>
      <c r="R974" s="47" t="n"/>
      <c r="S974" s="47" t="n"/>
      <c r="T974" s="47" t="n"/>
      <c r="U974" s="47" t="n"/>
      <c r="V974" s="47" t="n"/>
      <c r="W974" s="47" t="n"/>
    </row>
    <row r="975" ht="11.25" customHeight="1">
      <c r="A975" s="30" t="inlineStr">
        <is>
          <t>Itaguai</t>
        </is>
      </c>
      <c r="B975" s="30" t="n">
        <v>81425906</v>
      </c>
      <c r="C975" s="30">
        <f>"42278291000124"</f>
        <v/>
      </c>
      <c r="D975" s="30" t="inlineStr">
        <is>
          <t>LOG IN LOGISTICA INTERMODAL S/A</t>
        </is>
      </c>
      <c r="E975" s="40" t="n">
        <v>0</v>
      </c>
      <c r="F975" s="40" t="n">
        <v>0</v>
      </c>
      <c r="G975" s="40" t="n">
        <v>0</v>
      </c>
      <c r="H975" s="40" t="n">
        <v>0</v>
      </c>
      <c r="I975" s="40" t="n">
        <v>0</v>
      </c>
      <c r="J975" s="40" t="n">
        <v>13084.28</v>
      </c>
      <c r="K975" s="40" t="n">
        <v>100</v>
      </c>
      <c r="L975" s="40" t="n">
        <v>1514100.8</v>
      </c>
      <c r="M975" s="40" t="n">
        <v>11471.91</v>
      </c>
      <c r="N975" s="40" t="n">
        <v>0</v>
      </c>
      <c r="O975" s="46" t="n">
        <v>-100</v>
      </c>
      <c r="P975" s="40" t="n">
        <v>911422.35</v>
      </c>
      <c r="Q975" s="40" t="n">
        <v>100</v>
      </c>
      <c r="R975" s="47" t="n"/>
      <c r="S975" s="47" t="n"/>
      <c r="T975" s="47" t="n"/>
      <c r="U975" s="47" t="n"/>
      <c r="V975" s="47" t="n"/>
      <c r="W975" s="47" t="n"/>
    </row>
    <row r="976" ht="11.25" customHeight="1">
      <c r="A976" s="30" t="inlineStr">
        <is>
          <t>Itaguai</t>
        </is>
      </c>
      <c r="B976" s="30" t="n">
        <v>81432279</v>
      </c>
      <c r="C976" s="30">
        <f>"33130543003955"</f>
        <v/>
      </c>
      <c r="D976" s="30" t="inlineStr">
        <is>
          <t>CASAS GUANABARA COMESTIVEIS LTDA</t>
        </is>
      </c>
      <c r="E976" s="40" t="n">
        <v>45874062.63</v>
      </c>
      <c r="F976" s="40" t="n">
        <v>43627108.95</v>
      </c>
      <c r="G976" s="46" t="n">
        <v>-4.9</v>
      </c>
      <c r="H976" s="40" t="n">
        <v>45416564.19</v>
      </c>
      <c r="I976" s="40" t="n">
        <v>4.1</v>
      </c>
      <c r="J976" s="40" t="n">
        <v>51483748.86</v>
      </c>
      <c r="K976" s="40" t="n">
        <v>13.36</v>
      </c>
      <c r="L976" s="40" t="n">
        <v>48010630.21</v>
      </c>
      <c r="M976" s="46" t="n">
        <v>-6.75</v>
      </c>
      <c r="N976" s="40" t="n">
        <v>48584171.93</v>
      </c>
      <c r="O976" s="40" t="n">
        <v>1.19</v>
      </c>
      <c r="P976" s="40" t="n">
        <v>50825737.34</v>
      </c>
      <c r="Q976" s="40" t="n">
        <v>4.61</v>
      </c>
      <c r="R976" s="47" t="n"/>
      <c r="S976" s="47" t="n"/>
      <c r="T976" s="47" t="n"/>
      <c r="U976" s="47" t="n"/>
      <c r="V976" s="47" t="n"/>
      <c r="W976" s="47" t="n"/>
    </row>
    <row r="977" ht="11.25" customHeight="1">
      <c r="A977" s="30" t="inlineStr">
        <is>
          <t>Itaguai</t>
        </is>
      </c>
      <c r="B977" s="30" t="n">
        <v>81432430</v>
      </c>
      <c r="C977" s="30">
        <f>"24314862000157"</f>
        <v/>
      </c>
      <c r="D977" s="30" t="inlineStr">
        <is>
          <t>AUTO POSTO DO TRABALHO ITAGUAI I LTDA</t>
        </is>
      </c>
      <c r="E977" s="40" t="n">
        <v>1447932.58</v>
      </c>
      <c r="F977" s="40" t="n">
        <v>2209646.43</v>
      </c>
      <c r="G977" s="40" t="n">
        <v>52.61</v>
      </c>
      <c r="H977" s="40" t="n">
        <v>1637233.4</v>
      </c>
      <c r="I977" s="46" t="n">
        <v>-25.91</v>
      </c>
      <c r="J977" s="40" t="n">
        <v>915540.35</v>
      </c>
      <c r="K977" s="46" t="n">
        <v>-44.08</v>
      </c>
      <c r="L977" s="40" t="n">
        <v>1080166.63</v>
      </c>
      <c r="M977" s="40" t="n">
        <v>17.98</v>
      </c>
      <c r="N977" s="40" t="n">
        <v>3967948.79</v>
      </c>
      <c r="O977" s="40" t="n">
        <v>267.35</v>
      </c>
      <c r="P977" s="40" t="n">
        <v>2005925.45</v>
      </c>
      <c r="Q977" s="46" t="n">
        <v>-49.45</v>
      </c>
      <c r="R977" s="47" t="n"/>
      <c r="S977" s="47" t="n"/>
      <c r="T977" s="47" t="n"/>
      <c r="U977" s="47" t="n"/>
      <c r="V977" s="47" t="n"/>
      <c r="W977" s="47" t="n"/>
    </row>
    <row r="978" ht="11.25" customHeight="1">
      <c r="A978" s="30" t="inlineStr">
        <is>
          <t>Itaguai</t>
        </is>
      </c>
      <c r="B978" s="30" t="n">
        <v>81433763</v>
      </c>
      <c r="C978" s="30">
        <f>"28027340000125"</f>
        <v/>
      </c>
      <c r="D978" s="30" t="inlineStr">
        <is>
          <t>INDUSTRIA E COMERCIO CASTRO EIRELI</t>
        </is>
      </c>
      <c r="E978" s="40" t="n">
        <v>11146.5</v>
      </c>
      <c r="F978" s="40" t="n">
        <v>0</v>
      </c>
      <c r="G978" s="46" t="n">
        <v>-100</v>
      </c>
      <c r="H978" s="40" t="n">
        <v>0</v>
      </c>
      <c r="I978" s="40" t="n">
        <v>0</v>
      </c>
      <c r="J978" s="40" t="n">
        <v>0</v>
      </c>
      <c r="K978" s="40" t="n">
        <v>0</v>
      </c>
      <c r="L978" s="40" t="n">
        <v>0</v>
      </c>
      <c r="M978" s="40" t="n">
        <v>0</v>
      </c>
      <c r="N978" s="40" t="n">
        <v>0</v>
      </c>
      <c r="O978" s="40" t="n">
        <v>0</v>
      </c>
      <c r="P978" s="40" t="n">
        <v>0</v>
      </c>
      <c r="Q978" s="40" t="n">
        <v>0</v>
      </c>
      <c r="R978" s="47" t="n"/>
      <c r="S978" s="47" t="n"/>
      <c r="T978" s="47" t="n"/>
      <c r="U978" s="47" t="n"/>
      <c r="V978" s="47" t="n"/>
      <c r="W978" s="47" t="n"/>
    </row>
    <row r="979" ht="11.25" customHeight="1">
      <c r="A979" s="30" t="inlineStr">
        <is>
          <t>Itaguai</t>
        </is>
      </c>
      <c r="B979" s="30" t="n">
        <v>81439397</v>
      </c>
      <c r="C979" s="30">
        <f>"30069314003127"</f>
        <v/>
      </c>
      <c r="D979" s="30" t="inlineStr">
        <is>
          <t>AUTO VIACAO 1001 LTDA</t>
        </is>
      </c>
      <c r="E979" s="40" t="n">
        <v>0</v>
      </c>
      <c r="F979" s="40" t="n">
        <v>0</v>
      </c>
      <c r="G979" s="40" t="n">
        <v>0</v>
      </c>
      <c r="H979" s="40" t="n">
        <v>0</v>
      </c>
      <c r="I979" s="40" t="n">
        <v>0</v>
      </c>
      <c r="J979" s="40" t="n">
        <v>1047</v>
      </c>
      <c r="K979" s="40" t="n">
        <v>100</v>
      </c>
      <c r="L979" s="40" t="n">
        <v>0</v>
      </c>
      <c r="M979" s="46" t="n">
        <v>-100</v>
      </c>
      <c r="N979" s="40" t="n">
        <v>0</v>
      </c>
      <c r="O979" s="40" t="n">
        <v>0</v>
      </c>
      <c r="P979" s="40" t="n">
        <v>0</v>
      </c>
      <c r="Q979" s="40" t="n">
        <v>0</v>
      </c>
      <c r="R979" s="47" t="n"/>
      <c r="S979" s="47" t="n"/>
      <c r="T979" s="47" t="n"/>
      <c r="U979" s="47" t="n"/>
      <c r="V979" s="47" t="n"/>
      <c r="W979" s="47" t="n"/>
    </row>
    <row r="980" ht="11.25" customHeight="1">
      <c r="A980" s="30" t="inlineStr">
        <is>
          <t>Itaguai</t>
        </is>
      </c>
      <c r="B980" s="30" t="n">
        <v>81613419</v>
      </c>
      <c r="C980" s="30">
        <f>"33841370000100"</f>
        <v/>
      </c>
      <c r="D980" s="30" t="inlineStr">
        <is>
          <t>TRANSPORTADORA PEDRO ERNESTO LTDA EPP</t>
        </is>
      </c>
      <c r="E980" s="40" t="n">
        <v>127650.31</v>
      </c>
      <c r="F980" s="40" t="n">
        <v>0</v>
      </c>
      <c r="G980" s="46" t="n">
        <v>-100</v>
      </c>
      <c r="H980" s="40" t="n">
        <v>0</v>
      </c>
      <c r="I980" s="40" t="n">
        <v>0</v>
      </c>
      <c r="J980" s="40" t="n">
        <v>0</v>
      </c>
      <c r="K980" s="40" t="n">
        <v>0</v>
      </c>
      <c r="L980" s="40" t="n">
        <v>0</v>
      </c>
      <c r="M980" s="40" t="n">
        <v>0</v>
      </c>
      <c r="N980" s="40" t="n">
        <v>41110.2</v>
      </c>
      <c r="O980" s="40" t="n">
        <v>100</v>
      </c>
      <c r="P980" s="40" t="n">
        <v>0</v>
      </c>
      <c r="Q980" s="46" t="n">
        <v>-100</v>
      </c>
      <c r="R980" s="47" t="n"/>
      <c r="S980" s="47" t="n"/>
      <c r="T980" s="47" t="n"/>
      <c r="U980" s="47" t="n"/>
      <c r="V980" s="47" t="n"/>
      <c r="W980" s="47" t="n"/>
    </row>
    <row r="981" ht="11.25" customHeight="1">
      <c r="A981" s="30" t="inlineStr">
        <is>
          <t>Itaguai</t>
        </is>
      </c>
      <c r="B981" s="30" t="n">
        <v>81613524</v>
      </c>
      <c r="C981" s="30">
        <f>"34028316000294"</f>
        <v/>
      </c>
      <c r="D981" s="30" t="inlineStr">
        <is>
          <t>EMPRESA BRASILEIRA DE CORREIOS E TELEGRAFOS</t>
        </is>
      </c>
      <c r="E981" s="40" t="n">
        <v>12882.54</v>
      </c>
      <c r="F981" s="40" t="n">
        <v>12231.96</v>
      </c>
      <c r="G981" s="46" t="n">
        <v>-5.05</v>
      </c>
      <c r="H981" s="40" t="n">
        <v>43124.97</v>
      </c>
      <c r="I981" s="40" t="n">
        <v>252.56</v>
      </c>
      <c r="J981" s="40" t="n">
        <v>44430.84</v>
      </c>
      <c r="K981" s="40" t="n">
        <v>3.03</v>
      </c>
      <c r="L981" s="40" t="n">
        <v>49541.08</v>
      </c>
      <c r="M981" s="40" t="n">
        <v>11.5</v>
      </c>
      <c r="N981" s="40" t="n">
        <v>71842.94</v>
      </c>
      <c r="O981" s="40" t="n">
        <v>45.02</v>
      </c>
      <c r="P981" s="40" t="n">
        <v>51282.32</v>
      </c>
      <c r="Q981" s="46" t="n">
        <v>-28.62</v>
      </c>
      <c r="R981" s="47" t="n"/>
      <c r="S981" s="47" t="n"/>
      <c r="T981" s="47" t="n"/>
      <c r="U981" s="47" t="n"/>
      <c r="V981" s="47" t="n"/>
      <c r="W981" s="47" t="n"/>
    </row>
    <row r="982" ht="11.25" customHeight="1">
      <c r="A982" s="30" t="inlineStr">
        <is>
          <t>Itaguai</t>
        </is>
      </c>
      <c r="B982" s="30" t="n">
        <v>81614466</v>
      </c>
      <c r="C982" s="30">
        <f>"33400219000137"</f>
        <v/>
      </c>
      <c r="D982" s="30" t="inlineStr">
        <is>
          <t>EMPRESA DE TRANSPORTES SAO JORGE LTDA</t>
        </is>
      </c>
      <c r="E982" s="40" t="n">
        <v>0</v>
      </c>
      <c r="F982" s="40" t="n">
        <v>0</v>
      </c>
      <c r="G982" s="40" t="n">
        <v>0</v>
      </c>
      <c r="H982" s="40" t="n">
        <v>3620.4</v>
      </c>
      <c r="I982" s="40" t="n">
        <v>100</v>
      </c>
      <c r="J982" s="40" t="n">
        <v>0</v>
      </c>
      <c r="K982" s="46" t="n">
        <v>-100</v>
      </c>
      <c r="L982" s="40" t="n">
        <v>3435.67</v>
      </c>
      <c r="M982" s="40" t="n">
        <v>100</v>
      </c>
      <c r="N982" s="40" t="n">
        <v>22380.03</v>
      </c>
      <c r="O982" s="40" t="n">
        <v>551.4</v>
      </c>
      <c r="P982" s="40" t="n">
        <v>0</v>
      </c>
      <c r="Q982" s="46" t="n">
        <v>-100</v>
      </c>
      <c r="R982" s="47" t="n"/>
      <c r="S982" s="47" t="n"/>
      <c r="T982" s="47" t="n"/>
      <c r="U982" s="47" t="n"/>
      <c r="V982" s="47" t="n"/>
      <c r="W982" s="47" t="n"/>
    </row>
    <row r="983" ht="11.25" customHeight="1">
      <c r="A983" s="30" t="inlineStr">
        <is>
          <t>Itaguai</t>
        </is>
      </c>
      <c r="B983" s="30" t="n">
        <v>81615470</v>
      </c>
      <c r="C983" s="30">
        <f>"28141158000281"</f>
        <v/>
      </c>
      <c r="D983" s="30" t="inlineStr">
        <is>
          <t>TRANSPORTADORA CONTINENTAL LTDA</t>
        </is>
      </c>
      <c r="E983" s="40" t="n">
        <v>64.52</v>
      </c>
      <c r="F983" s="40" t="n">
        <v>69.89</v>
      </c>
      <c r="G983" s="40" t="n">
        <v>8.32</v>
      </c>
      <c r="H983" s="40" t="n">
        <v>183.58</v>
      </c>
      <c r="I983" s="40" t="n">
        <v>162.67</v>
      </c>
      <c r="J983" s="40" t="n">
        <v>0</v>
      </c>
      <c r="K983" s="46" t="n">
        <v>-100</v>
      </c>
      <c r="L983" s="40" t="n">
        <v>16.14</v>
      </c>
      <c r="M983" s="40" t="n">
        <v>100</v>
      </c>
      <c r="N983" s="40" t="n">
        <v>0</v>
      </c>
      <c r="O983" s="46" t="n">
        <v>-100</v>
      </c>
      <c r="P983" s="40" t="n">
        <v>243.56</v>
      </c>
      <c r="Q983" s="40" t="n">
        <v>100</v>
      </c>
      <c r="R983" s="47" t="n"/>
      <c r="S983" s="47" t="n"/>
      <c r="T983" s="47" t="n"/>
      <c r="U983" s="47" t="n"/>
      <c r="V983" s="47" t="n"/>
      <c r="W983" s="47" t="n"/>
    </row>
    <row r="984" ht="11.25" customHeight="1">
      <c r="A984" s="30" t="inlineStr">
        <is>
          <t>Itaguai</t>
        </is>
      </c>
      <c r="B984" s="30" t="n">
        <v>81621233</v>
      </c>
      <c r="C984" s="30">
        <f>"46435293003580"</f>
        <v/>
      </c>
      <c r="D984" s="30" t="inlineStr">
        <is>
          <t>ANDORINHA TRANSPORTADORA LTDA</t>
        </is>
      </c>
      <c r="E984" s="40" t="n">
        <v>0</v>
      </c>
      <c r="F984" s="40" t="n">
        <v>0</v>
      </c>
      <c r="G984" s="40" t="n">
        <v>0</v>
      </c>
      <c r="H984" s="40" t="n">
        <v>0</v>
      </c>
      <c r="I984" s="40" t="n">
        <v>0</v>
      </c>
      <c r="J984" s="40" t="n">
        <v>0</v>
      </c>
      <c r="K984" s="40" t="n">
        <v>0</v>
      </c>
      <c r="L984" s="40" t="n">
        <v>0</v>
      </c>
      <c r="M984" s="40" t="n">
        <v>0</v>
      </c>
      <c r="N984" s="40" t="n">
        <v>1260</v>
      </c>
      <c r="O984" s="40" t="n">
        <v>100</v>
      </c>
      <c r="P984" s="40" t="n">
        <v>0</v>
      </c>
      <c r="Q984" s="46" t="n">
        <v>-100</v>
      </c>
      <c r="R984" s="47" t="n"/>
      <c r="S984" s="47" t="n"/>
      <c r="T984" s="47" t="n"/>
      <c r="U984" s="47" t="n"/>
      <c r="V984" s="47" t="n"/>
      <c r="W984" s="47" t="n"/>
    </row>
    <row r="985" ht="11.25" customHeight="1">
      <c r="A985" s="30" t="inlineStr">
        <is>
          <t>Itaguai</t>
        </is>
      </c>
      <c r="B985" s="30" t="n">
        <v>81680469</v>
      </c>
      <c r="C985" s="30">
        <f>"33000118000179"</f>
        <v/>
      </c>
      <c r="D985" s="30" t="inlineStr">
        <is>
          <t>TELEMAR NORTE LESTE S/A EM RECUPERACAO JUDICIAL</t>
        </is>
      </c>
      <c r="E985" s="40" t="n">
        <v>11799719</v>
      </c>
      <c r="F985" s="40" t="n">
        <v>9373506.35</v>
      </c>
      <c r="G985" s="46" t="n">
        <v>-20.56</v>
      </c>
      <c r="H985" s="40" t="n">
        <v>7677417.05</v>
      </c>
      <c r="I985" s="46" t="n">
        <v>-18.09</v>
      </c>
      <c r="J985" s="40" t="n">
        <v>6410182.06</v>
      </c>
      <c r="K985" s="46" t="n">
        <v>-16.51</v>
      </c>
      <c r="L985" s="40" t="n">
        <v>1789324.82</v>
      </c>
      <c r="M985" s="46" t="n">
        <v>-72.09</v>
      </c>
      <c r="N985" s="40" t="n">
        <v>0</v>
      </c>
      <c r="O985" s="46" t="n">
        <v>-100</v>
      </c>
      <c r="P985" s="40" t="n">
        <v>0</v>
      </c>
      <c r="Q985" s="40" t="n">
        <v>0</v>
      </c>
      <c r="R985" s="47" t="n"/>
      <c r="S985" s="47" t="n"/>
      <c r="T985" s="47" t="n"/>
      <c r="U985" s="47" t="n"/>
      <c r="V985" s="47" t="n"/>
      <c r="W985" s="47" t="n"/>
    </row>
    <row r="986" ht="11.25" customHeight="1">
      <c r="A986" s="30" t="inlineStr">
        <is>
          <t>Itaguai</t>
        </is>
      </c>
      <c r="B986" s="30" t="n">
        <v>81754403</v>
      </c>
      <c r="C986" s="30">
        <f>"33106642000129"</f>
        <v/>
      </c>
      <c r="D986" s="30" t="inlineStr">
        <is>
          <t>MATERIAIS DE CONSTRUCAO SANTA LUZIA LTDA</t>
        </is>
      </c>
      <c r="E986" s="40" t="n">
        <v>0</v>
      </c>
      <c r="F986" s="40" t="n">
        <v>0</v>
      </c>
      <c r="G986" s="40" t="n">
        <v>0</v>
      </c>
      <c r="H986" s="40" t="n">
        <v>0</v>
      </c>
      <c r="I986" s="40" t="n">
        <v>0</v>
      </c>
      <c r="J986" s="40" t="n">
        <v>0</v>
      </c>
      <c r="K986" s="40" t="n">
        <v>0</v>
      </c>
      <c r="L986" s="40" t="n">
        <v>0</v>
      </c>
      <c r="M986" s="40" t="n">
        <v>0</v>
      </c>
      <c r="N986" s="40" t="n">
        <v>0</v>
      </c>
      <c r="O986" s="40" t="n">
        <v>0</v>
      </c>
      <c r="P986" s="40" t="n">
        <v>0</v>
      </c>
      <c r="Q986" s="40" t="n">
        <v>0</v>
      </c>
      <c r="R986" s="47" t="n"/>
      <c r="S986" s="47" t="n"/>
      <c r="T986" s="47" t="n"/>
      <c r="U986" s="47" t="n"/>
      <c r="V986" s="47" t="n"/>
      <c r="W986" s="47" t="n"/>
    </row>
    <row r="987" ht="11.25" customHeight="1">
      <c r="A987" s="30" t="inlineStr">
        <is>
          <t>Itaguai</t>
        </is>
      </c>
      <c r="B987" s="30" t="n">
        <v>81760179</v>
      </c>
      <c r="C987" s="30">
        <f>"61084018005253"</f>
        <v/>
      </c>
      <c r="D987" s="30" t="inlineStr">
        <is>
          <t>VIACAO COMETA S/A</t>
        </is>
      </c>
      <c r="E987" s="40" t="n">
        <v>5000</v>
      </c>
      <c r="F987" s="40" t="n">
        <v>0</v>
      </c>
      <c r="G987" s="46" t="n">
        <v>-100</v>
      </c>
      <c r="H987" s="40" t="n">
        <v>0</v>
      </c>
      <c r="I987" s="40" t="n">
        <v>0</v>
      </c>
      <c r="J987" s="40" t="n">
        <v>0</v>
      </c>
      <c r="K987" s="40" t="n">
        <v>0</v>
      </c>
      <c r="L987" s="40" t="n">
        <v>0</v>
      </c>
      <c r="M987" s="40" t="n">
        <v>0</v>
      </c>
      <c r="N987" s="40" t="n">
        <v>0</v>
      </c>
      <c r="O987" s="40" t="n">
        <v>0</v>
      </c>
      <c r="P987" s="40" t="n">
        <v>0</v>
      </c>
      <c r="Q987" s="40" t="n">
        <v>0</v>
      </c>
      <c r="R987" s="47" t="n"/>
      <c r="S987" s="47" t="n"/>
      <c r="T987" s="47" t="n"/>
      <c r="U987" s="47" t="n"/>
      <c r="V987" s="47" t="n"/>
      <c r="W987" s="47" t="n"/>
    </row>
    <row r="988" ht="11.25" customHeight="1">
      <c r="A988" s="30" t="inlineStr">
        <is>
          <t>Itaguai</t>
        </is>
      </c>
      <c r="B988" s="30" t="n">
        <v>81797013</v>
      </c>
      <c r="C988" s="30">
        <f>"33570797000111"</f>
        <v/>
      </c>
      <c r="D988" s="30" t="inlineStr">
        <is>
          <t>TRANSPORTES CARVALHO LTDA</t>
        </is>
      </c>
      <c r="E988" s="40" t="n">
        <v>3844.87</v>
      </c>
      <c r="F988" s="40" t="n">
        <v>1126051.43</v>
      </c>
      <c r="G988" s="40" t="n">
        <v>29187.11</v>
      </c>
      <c r="H988" s="40" t="n">
        <v>1470252.76</v>
      </c>
      <c r="I988" s="40" t="n">
        <v>30.57</v>
      </c>
      <c r="J988" s="40" t="n">
        <v>3004598.11</v>
      </c>
      <c r="K988" s="40" t="n">
        <v>104.36</v>
      </c>
      <c r="L988" s="40" t="n">
        <v>2455229.21</v>
      </c>
      <c r="M988" s="46" t="n">
        <v>-18.28</v>
      </c>
      <c r="N988" s="40" t="n">
        <v>1273643.61</v>
      </c>
      <c r="O988" s="46" t="n">
        <v>-48.13</v>
      </c>
      <c r="P988" s="40" t="n">
        <v>843491.6800000001</v>
      </c>
      <c r="Q988" s="46" t="n">
        <v>-33.77</v>
      </c>
      <c r="R988" s="47" t="n"/>
      <c r="S988" s="47" t="n"/>
      <c r="T988" s="47" t="n"/>
      <c r="U988" s="47" t="n"/>
      <c r="V988" s="47" t="n"/>
      <c r="W988" s="47" t="n"/>
    </row>
    <row r="989" ht="11.25" customHeight="1">
      <c r="A989" s="30" t="inlineStr">
        <is>
          <t>Itaguai</t>
        </is>
      </c>
      <c r="B989" s="30" t="n">
        <v>81825017</v>
      </c>
      <c r="C989" s="30">
        <f>"33337007000152"</f>
        <v/>
      </c>
      <c r="D989" s="30" t="inlineStr">
        <is>
          <t>UTIL - UNIAO TRANSPORTE INTERESTADUAL DE LUXO LTDA</t>
        </is>
      </c>
      <c r="E989" s="40" t="n">
        <v>35838.18</v>
      </c>
      <c r="F989" s="40" t="n">
        <v>244229.76</v>
      </c>
      <c r="G989" s="40" t="n">
        <v>581.48</v>
      </c>
      <c r="H989" s="40" t="n">
        <v>162265.41</v>
      </c>
      <c r="I989" s="46" t="n">
        <v>-33.56</v>
      </c>
      <c r="J989" s="40" t="n">
        <v>76614.99000000001</v>
      </c>
      <c r="K989" s="46" t="n">
        <v>-52.78</v>
      </c>
      <c r="L989" s="40" t="n">
        <v>102727.97</v>
      </c>
      <c r="M989" s="40" t="n">
        <v>34.08</v>
      </c>
      <c r="N989" s="40" t="n">
        <v>58776.44</v>
      </c>
      <c r="O989" s="46" t="n">
        <v>-42.78</v>
      </c>
      <c r="P989" s="40" t="n">
        <v>194944.91</v>
      </c>
      <c r="Q989" s="40" t="n">
        <v>231.67</v>
      </c>
      <c r="R989" s="47" t="n"/>
      <c r="S989" s="47" t="n"/>
      <c r="T989" s="47" t="n"/>
      <c r="U989" s="47" t="n"/>
      <c r="V989" s="47" t="n"/>
      <c r="W989" s="47" t="n"/>
    </row>
    <row r="990" ht="11.25" customHeight="1">
      <c r="A990" s="30" t="inlineStr">
        <is>
          <t>Itaguai</t>
        </is>
      </c>
      <c r="B990" s="30" t="n">
        <v>81826528</v>
      </c>
      <c r="C990" s="30">
        <f>"60510583005604"</f>
        <v/>
      </c>
      <c r="D990" s="30" t="inlineStr">
        <is>
          <t>RAPIDO 900 DE TRANSPORTES RODOVIARIOS LTDA</t>
        </is>
      </c>
      <c r="E990" s="40" t="n">
        <v>831.62</v>
      </c>
      <c r="F990" s="40" t="n">
        <v>243.89</v>
      </c>
      <c r="G990" s="46" t="n">
        <v>-70.67</v>
      </c>
      <c r="H990" s="40" t="n">
        <v>0</v>
      </c>
      <c r="I990" s="46" t="n">
        <v>-100</v>
      </c>
      <c r="J990" s="40" t="n">
        <v>0</v>
      </c>
      <c r="K990" s="40" t="n">
        <v>0</v>
      </c>
      <c r="L990" s="40" t="n">
        <v>0</v>
      </c>
      <c r="M990" s="40" t="n">
        <v>0</v>
      </c>
      <c r="N990" s="40" t="n">
        <v>0</v>
      </c>
      <c r="O990" s="40" t="n">
        <v>0</v>
      </c>
      <c r="P990" s="40" t="n">
        <v>0</v>
      </c>
      <c r="Q990" s="40" t="n">
        <v>0</v>
      </c>
      <c r="R990" s="47" t="n"/>
      <c r="S990" s="47" t="n"/>
      <c r="T990" s="47" t="n"/>
      <c r="U990" s="47" t="n"/>
      <c r="V990" s="47" t="n"/>
      <c r="W990" s="47" t="n"/>
    </row>
    <row r="991" ht="11.25" customHeight="1">
      <c r="A991" s="30" t="inlineStr">
        <is>
          <t>Itaguai</t>
        </is>
      </c>
      <c r="B991" s="30" t="n">
        <v>81827028</v>
      </c>
      <c r="C991" s="30">
        <f>"21570775000172"</f>
        <v/>
      </c>
      <c r="D991" s="30" t="inlineStr">
        <is>
          <t>PICORELLI S/A TRANSPORTES</t>
        </is>
      </c>
      <c r="E991" s="40" t="n">
        <v>0</v>
      </c>
      <c r="F991" s="40" t="n">
        <v>7042.33</v>
      </c>
      <c r="G991" s="40" t="n">
        <v>100</v>
      </c>
      <c r="H991" s="40" t="n">
        <v>1406.68</v>
      </c>
      <c r="I991" s="46" t="n">
        <v>-80.03</v>
      </c>
      <c r="J991" s="40" t="n">
        <v>0</v>
      </c>
      <c r="K991" s="46" t="n">
        <v>-100</v>
      </c>
      <c r="L991" s="40" t="n">
        <v>157.03</v>
      </c>
      <c r="M991" s="40" t="n">
        <v>100</v>
      </c>
      <c r="N991" s="40" t="n">
        <v>0</v>
      </c>
      <c r="O991" s="46" t="n">
        <v>-100</v>
      </c>
      <c r="P991" s="40" t="n">
        <v>2341.13</v>
      </c>
      <c r="Q991" s="40" t="n">
        <v>100</v>
      </c>
      <c r="R991" s="47" t="n"/>
      <c r="S991" s="47" t="n"/>
      <c r="T991" s="47" t="n"/>
      <c r="U991" s="47" t="n"/>
      <c r="V991" s="47" t="n"/>
      <c r="W991" s="47" t="n"/>
    </row>
    <row r="992" ht="11.25" customHeight="1">
      <c r="A992" s="30" t="inlineStr">
        <is>
          <t>Itaguai</t>
        </is>
      </c>
      <c r="B992" s="30" t="n">
        <v>81830010</v>
      </c>
      <c r="C992" s="30">
        <f>"29516838000114"</f>
        <v/>
      </c>
      <c r="D992" s="30" t="inlineStr">
        <is>
          <t>RIO LOPES TRANSPORTES LTDA</t>
        </is>
      </c>
      <c r="E992" s="40" t="n">
        <v>2525.96</v>
      </c>
      <c r="F992" s="40" t="n">
        <v>6279.6</v>
      </c>
      <c r="G992" s="40" t="n">
        <v>148.6</v>
      </c>
      <c r="H992" s="40" t="n">
        <v>7071.61</v>
      </c>
      <c r="I992" s="40" t="n">
        <v>12.61</v>
      </c>
      <c r="J992" s="40" t="n">
        <v>2583.3</v>
      </c>
      <c r="K992" s="46" t="n">
        <v>-63.47</v>
      </c>
      <c r="L992" s="40" t="n">
        <v>72085.53999999999</v>
      </c>
      <c r="M992" s="40" t="n">
        <v>2690.44</v>
      </c>
      <c r="N992" s="40" t="n">
        <v>64644.14</v>
      </c>
      <c r="O992" s="46" t="n">
        <v>-10.32</v>
      </c>
      <c r="P992" s="40" t="n">
        <v>0</v>
      </c>
      <c r="Q992" s="46" t="n">
        <v>-100</v>
      </c>
      <c r="R992" s="47" t="n"/>
      <c r="S992" s="47" t="n"/>
      <c r="T992" s="47" t="n"/>
      <c r="U992" s="47" t="n"/>
      <c r="V992" s="47" t="n"/>
      <c r="W992" s="47" t="n"/>
    </row>
    <row r="993" ht="11.25" customHeight="1">
      <c r="A993" s="30" t="inlineStr">
        <is>
          <t>Itaguai</t>
        </is>
      </c>
      <c r="B993" s="30" t="n">
        <v>81832331</v>
      </c>
      <c r="C993" s="30">
        <f>"43025774000503"</f>
        <v/>
      </c>
      <c r="D993" s="30" t="inlineStr">
        <is>
          <t>RODOVIARIO BEDIN LTDA</t>
        </is>
      </c>
      <c r="E993" s="40" t="n">
        <v>255.48</v>
      </c>
      <c r="F993" s="40" t="n">
        <v>3897.49</v>
      </c>
      <c r="G993" s="40" t="n">
        <v>1425.56</v>
      </c>
      <c r="H993" s="40" t="n">
        <v>25100.87</v>
      </c>
      <c r="I993" s="40" t="n">
        <v>544.03</v>
      </c>
      <c r="J993" s="40" t="n">
        <v>28586</v>
      </c>
      <c r="K993" s="40" t="n">
        <v>13.88</v>
      </c>
      <c r="L993" s="40" t="n">
        <v>4887.87</v>
      </c>
      <c r="M993" s="46" t="n">
        <v>-82.90000000000001</v>
      </c>
      <c r="N993" s="40" t="n">
        <v>19571.32</v>
      </c>
      <c r="O993" s="40" t="n">
        <v>300.41</v>
      </c>
      <c r="P993" s="40" t="n">
        <v>4982.94</v>
      </c>
      <c r="Q993" s="46" t="n">
        <v>-74.54000000000001</v>
      </c>
      <c r="R993" s="47" t="n"/>
      <c r="S993" s="47" t="n"/>
      <c r="T993" s="47" t="n"/>
      <c r="U993" s="47" t="n"/>
      <c r="V993" s="47" t="n"/>
      <c r="W993" s="47" t="n"/>
    </row>
    <row r="994" ht="11.25" customHeight="1">
      <c r="A994" s="30" t="inlineStr">
        <is>
          <t>Itaguai</t>
        </is>
      </c>
      <c r="B994" s="30" t="n">
        <v>81834148</v>
      </c>
      <c r="C994" s="30">
        <f>"16848731000474"</f>
        <v/>
      </c>
      <c r="D994" s="30" t="inlineStr">
        <is>
          <t>TRANSPORTES NIQUINI LTDA</t>
        </is>
      </c>
      <c r="E994" s="40" t="n">
        <v>2397.49</v>
      </c>
      <c r="F994" s="40" t="n">
        <v>18177.67</v>
      </c>
      <c r="G994" s="40" t="n">
        <v>658.2</v>
      </c>
      <c r="H994" s="40" t="n">
        <v>0</v>
      </c>
      <c r="I994" s="46" t="n">
        <v>-100</v>
      </c>
      <c r="J994" s="40" t="n">
        <v>0</v>
      </c>
      <c r="K994" s="40" t="n">
        <v>0</v>
      </c>
      <c r="L994" s="40" t="n">
        <v>0</v>
      </c>
      <c r="M994" s="40" t="n">
        <v>0</v>
      </c>
      <c r="N994" s="40" t="n">
        <v>0</v>
      </c>
      <c r="O994" s="40" t="n">
        <v>0</v>
      </c>
      <c r="P994" s="40" t="n">
        <v>0</v>
      </c>
      <c r="Q994" s="40" t="n">
        <v>0</v>
      </c>
      <c r="R994" s="47" t="n"/>
      <c r="S994" s="47" t="n"/>
      <c r="T994" s="47" t="n"/>
      <c r="U994" s="47" t="n"/>
      <c r="V994" s="47" t="n"/>
      <c r="W994" s="47" t="n"/>
    </row>
    <row r="995" ht="11.25" customHeight="1">
      <c r="A995" s="30" t="inlineStr">
        <is>
          <t>Itaguai</t>
        </is>
      </c>
      <c r="B995" s="30" t="n">
        <v>81834393</v>
      </c>
      <c r="C995" s="30">
        <f>"34004978000143"</f>
        <v/>
      </c>
      <c r="D995" s="30" t="inlineStr">
        <is>
          <t>EMPRESA DE TRANSPORTES IRMAOS SILVA LTDA - EPP</t>
        </is>
      </c>
      <c r="E995" s="40" t="n">
        <v>0</v>
      </c>
      <c r="F995" s="40" t="n">
        <v>0</v>
      </c>
      <c r="G995" s="40" t="n">
        <v>0</v>
      </c>
      <c r="H995" s="40" t="n">
        <v>0</v>
      </c>
      <c r="I995" s="40" t="n">
        <v>0</v>
      </c>
      <c r="J995" s="40" t="n">
        <v>0</v>
      </c>
      <c r="K995" s="40" t="n">
        <v>0</v>
      </c>
      <c r="L995" s="40" t="n">
        <v>0</v>
      </c>
      <c r="M995" s="40" t="n">
        <v>0</v>
      </c>
      <c r="N995" s="40" t="n">
        <v>0</v>
      </c>
      <c r="O995" s="40" t="n">
        <v>0</v>
      </c>
      <c r="P995" s="40" t="n">
        <v>5500</v>
      </c>
      <c r="Q995" s="40" t="n">
        <v>100</v>
      </c>
      <c r="R995" s="47" t="n"/>
      <c r="S995" s="47" t="n"/>
      <c r="T995" s="47" t="n"/>
      <c r="U995" s="47" t="n"/>
      <c r="V995" s="47" t="n"/>
      <c r="W995" s="47" t="n"/>
    </row>
    <row r="996" ht="11.25" customHeight="1">
      <c r="A996" s="30" t="inlineStr">
        <is>
          <t>Itaguai</t>
        </is>
      </c>
      <c r="B996" s="30" t="n">
        <v>81853053</v>
      </c>
      <c r="C996" s="30">
        <f>"17463456000271"</f>
        <v/>
      </c>
      <c r="D996" s="30" t="inlineStr">
        <is>
          <t>PATRUS TRANSPORTES LTDA</t>
        </is>
      </c>
      <c r="E996" s="40" t="n">
        <v>9517.559999999999</v>
      </c>
      <c r="F996" s="40" t="n">
        <v>6687.76</v>
      </c>
      <c r="G996" s="46" t="n">
        <v>-29.73</v>
      </c>
      <c r="H996" s="40" t="n">
        <v>7823.4</v>
      </c>
      <c r="I996" s="40" t="n">
        <v>16.98</v>
      </c>
      <c r="J996" s="40" t="n">
        <v>13966.72</v>
      </c>
      <c r="K996" s="40" t="n">
        <v>78.52</v>
      </c>
      <c r="L996" s="40" t="n">
        <v>7982.27</v>
      </c>
      <c r="M996" s="46" t="n">
        <v>-42.85</v>
      </c>
      <c r="N996" s="40" t="n">
        <v>11301.29</v>
      </c>
      <c r="O996" s="40" t="n">
        <v>41.58</v>
      </c>
      <c r="P996" s="40" t="n">
        <v>5783.21</v>
      </c>
      <c r="Q996" s="46" t="n">
        <v>-48.83</v>
      </c>
      <c r="R996" s="47" t="n"/>
      <c r="S996" s="47" t="n"/>
      <c r="T996" s="47" t="n"/>
      <c r="U996" s="47" t="n"/>
      <c r="V996" s="47" t="n"/>
      <c r="W996" s="47" t="n"/>
    </row>
    <row r="997" ht="11.25" customHeight="1">
      <c r="A997" s="30" t="inlineStr">
        <is>
          <t>Itaguai</t>
        </is>
      </c>
      <c r="B997" s="30" t="n">
        <v>81874948</v>
      </c>
      <c r="C997" s="30">
        <f>"33489352000101"</f>
        <v/>
      </c>
      <c r="D997" s="30" t="inlineStr">
        <is>
          <t>G SILVA TRANSPORTES E LOGISTICA LTDA</t>
        </is>
      </c>
      <c r="E997" s="40" t="n">
        <v>0</v>
      </c>
      <c r="F997" s="40" t="n">
        <v>0</v>
      </c>
      <c r="G997" s="40" t="n">
        <v>0</v>
      </c>
      <c r="H997" s="40" t="n">
        <v>4595004.01</v>
      </c>
      <c r="I997" s="40" t="n">
        <v>100</v>
      </c>
      <c r="J997" s="40" t="n">
        <v>0</v>
      </c>
      <c r="K997" s="46" t="n">
        <v>-100</v>
      </c>
      <c r="L997" s="40" t="n">
        <v>5861785.77</v>
      </c>
      <c r="M997" s="40" t="n">
        <v>100</v>
      </c>
      <c r="N997" s="40" t="n">
        <v>4603927</v>
      </c>
      <c r="O997" s="46" t="n">
        <v>-21.46</v>
      </c>
      <c r="P997" s="40" t="n">
        <v>3107796.13</v>
      </c>
      <c r="Q997" s="46" t="n">
        <v>-32.5</v>
      </c>
      <c r="R997" s="47" t="n"/>
      <c r="S997" s="47" t="n"/>
      <c r="T997" s="47" t="n"/>
      <c r="U997" s="47" t="n"/>
      <c r="V997" s="47" t="n"/>
      <c r="W997" s="47" t="n"/>
    </row>
    <row r="998" ht="11.25" customHeight="1">
      <c r="A998" s="30" t="inlineStr">
        <is>
          <t>Itaguai</t>
        </is>
      </c>
      <c r="B998" s="30" t="n">
        <v>81909032</v>
      </c>
      <c r="C998" s="30">
        <f>"95591723001190"</f>
        <v/>
      </c>
      <c r="D998" s="30" t="inlineStr">
        <is>
          <t>TNT MERCURIO CARGAS E ENCOMENDAS EXPRESSAS LTDA</t>
        </is>
      </c>
      <c r="E998" s="40" t="n">
        <v>15505.8</v>
      </c>
      <c r="F998" s="40" t="n">
        <v>29855.76</v>
      </c>
      <c r="G998" s="40" t="n">
        <v>92.55</v>
      </c>
      <c r="H998" s="40" t="n">
        <v>67481.7</v>
      </c>
      <c r="I998" s="40" t="n">
        <v>126.03</v>
      </c>
      <c r="J998" s="40" t="n">
        <v>53427.07</v>
      </c>
      <c r="K998" s="46" t="n">
        <v>-20.83</v>
      </c>
      <c r="L998" s="40" t="n">
        <v>8014.84</v>
      </c>
      <c r="M998" s="46" t="n">
        <v>-85</v>
      </c>
      <c r="N998" s="40" t="n">
        <v>15966.76</v>
      </c>
      <c r="O998" s="40" t="n">
        <v>99.20999999999999</v>
      </c>
      <c r="P998" s="40" t="n">
        <v>9480.959999999999</v>
      </c>
      <c r="Q998" s="46" t="n">
        <v>-40.62</v>
      </c>
      <c r="R998" s="47" t="n"/>
      <c r="S998" s="47" t="n"/>
      <c r="T998" s="47" t="n"/>
      <c r="U998" s="47" t="n"/>
      <c r="V998" s="47" t="n"/>
      <c r="W998" s="47" t="n"/>
    </row>
    <row r="999" ht="11.25" customHeight="1">
      <c r="A999" s="30" t="inlineStr">
        <is>
          <t>Itaguai</t>
        </is>
      </c>
      <c r="B999" s="30" t="n">
        <v>81910685</v>
      </c>
      <c r="C999" s="30">
        <f>"61737391000205"</f>
        <v/>
      </c>
      <c r="D999" s="30" t="inlineStr">
        <is>
          <t>TRANSITA TRANSPORTES LTDA</t>
        </is>
      </c>
      <c r="E999" s="40" t="n">
        <v>0</v>
      </c>
      <c r="F999" s="40" t="n">
        <v>0</v>
      </c>
      <c r="G999" s="40" t="n">
        <v>0</v>
      </c>
      <c r="H999" s="40" t="n">
        <v>0</v>
      </c>
      <c r="I999" s="40" t="n">
        <v>0</v>
      </c>
      <c r="J999" s="40" t="n">
        <v>0</v>
      </c>
      <c r="K999" s="40" t="n">
        <v>0</v>
      </c>
      <c r="L999" s="40" t="n">
        <v>0</v>
      </c>
      <c r="M999" s="40" t="n">
        <v>0</v>
      </c>
      <c r="N999" s="40" t="n">
        <v>0</v>
      </c>
      <c r="O999" s="40" t="n">
        <v>0</v>
      </c>
      <c r="P999" s="40" t="n">
        <v>133.18</v>
      </c>
      <c r="Q999" s="40" t="n">
        <v>100</v>
      </c>
      <c r="R999" s="47" t="n"/>
      <c r="S999" s="47" t="n"/>
      <c r="T999" s="47" t="n"/>
      <c r="U999" s="47" t="n"/>
      <c r="V999" s="47" t="n"/>
      <c r="W999" s="47" t="n"/>
    </row>
    <row r="1000" ht="11.25" customHeight="1">
      <c r="A1000" s="30" t="inlineStr">
        <is>
          <t>Itaguai</t>
        </is>
      </c>
      <c r="B1000" s="30" t="n">
        <v>81918813</v>
      </c>
      <c r="C1000" s="30">
        <f>"33059684000156"</f>
        <v/>
      </c>
      <c r="D1000" s="30" t="inlineStr">
        <is>
          <t>BREDA TRANSPORTES E TURISMO RIO EIRELI</t>
        </is>
      </c>
      <c r="E1000" s="40" t="n">
        <v>11505</v>
      </c>
      <c r="F1000" s="40" t="n">
        <v>0</v>
      </c>
      <c r="G1000" s="46" t="n">
        <v>-100</v>
      </c>
      <c r="H1000" s="40" t="n">
        <v>0</v>
      </c>
      <c r="I1000" s="40" t="n">
        <v>0</v>
      </c>
      <c r="J1000" s="40" t="n">
        <v>0</v>
      </c>
      <c r="K1000" s="40" t="n">
        <v>0</v>
      </c>
      <c r="L1000" s="40" t="n">
        <v>0</v>
      </c>
      <c r="M1000" s="40" t="n">
        <v>0</v>
      </c>
      <c r="N1000" s="40" t="n">
        <v>0</v>
      </c>
      <c r="O1000" s="40" t="n">
        <v>0</v>
      </c>
      <c r="P1000" s="40" t="n">
        <v>0</v>
      </c>
      <c r="Q1000" s="40" t="n">
        <v>0</v>
      </c>
      <c r="R1000" s="47" t="n"/>
      <c r="S1000" s="47" t="n"/>
      <c r="T1000" s="47" t="n"/>
      <c r="U1000" s="47" t="n"/>
      <c r="V1000" s="47" t="n"/>
      <c r="W1000" s="47" t="n"/>
    </row>
    <row r="1001" ht="11.25" customHeight="1">
      <c r="A1001" s="30" t="inlineStr">
        <is>
          <t>Itaguai</t>
        </is>
      </c>
      <c r="B1001" s="30" t="n">
        <v>81919852</v>
      </c>
      <c r="C1001" s="30">
        <f>"76728385000412"</f>
        <v/>
      </c>
      <c r="D1001" s="30" t="inlineStr">
        <is>
          <t>TRANSPORTES DIAMANTE LTDA</t>
        </is>
      </c>
      <c r="E1001" s="40" t="n">
        <v>0</v>
      </c>
      <c r="F1001" s="40" t="n">
        <v>0</v>
      </c>
      <c r="G1001" s="40" t="n">
        <v>0</v>
      </c>
      <c r="H1001" s="40" t="n">
        <v>0</v>
      </c>
      <c r="I1001" s="40" t="n">
        <v>0</v>
      </c>
      <c r="J1001" s="40" t="n">
        <v>0</v>
      </c>
      <c r="K1001" s="40" t="n">
        <v>0</v>
      </c>
      <c r="L1001" s="40" t="n">
        <v>11395.98</v>
      </c>
      <c r="M1001" s="40" t="n">
        <v>100</v>
      </c>
      <c r="N1001" s="40" t="n">
        <v>0</v>
      </c>
      <c r="O1001" s="46" t="n">
        <v>-100</v>
      </c>
      <c r="P1001" s="40" t="n">
        <v>0</v>
      </c>
      <c r="Q1001" s="40" t="n">
        <v>0</v>
      </c>
      <c r="R1001" s="47" t="n"/>
      <c r="S1001" s="47" t="n"/>
      <c r="T1001" s="47" t="n"/>
      <c r="U1001" s="47" t="n"/>
      <c r="V1001" s="47" t="n"/>
      <c r="W1001" s="47" t="n"/>
    </row>
    <row r="1002" ht="11.25" customHeight="1">
      <c r="A1002" s="30" t="inlineStr">
        <is>
          <t>Itaguai</t>
        </is>
      </c>
      <c r="B1002" s="30" t="n">
        <v>81920184</v>
      </c>
      <c r="C1002" s="30">
        <f>"29291184000259"</f>
        <v/>
      </c>
      <c r="D1002" s="30" t="inlineStr">
        <is>
          <t>TRANSPORTES TONIATO LTDA</t>
        </is>
      </c>
      <c r="E1002" s="40" t="n">
        <v>51440.98</v>
      </c>
      <c r="F1002" s="40" t="n">
        <v>169278.59</v>
      </c>
      <c r="G1002" s="40" t="n">
        <v>229.07</v>
      </c>
      <c r="H1002" s="40" t="n">
        <v>401816.17</v>
      </c>
      <c r="I1002" s="40" t="n">
        <v>137.37</v>
      </c>
      <c r="J1002" s="40" t="n">
        <v>220599.79</v>
      </c>
      <c r="K1002" s="46" t="n">
        <v>-45.1</v>
      </c>
      <c r="L1002" s="40" t="n">
        <v>219148.69</v>
      </c>
      <c r="M1002" s="46" t="n">
        <v>-0.66</v>
      </c>
      <c r="N1002" s="40" t="n">
        <v>21264</v>
      </c>
      <c r="O1002" s="46" t="n">
        <v>-90.3</v>
      </c>
      <c r="P1002" s="40" t="n">
        <v>2596.74</v>
      </c>
      <c r="Q1002" s="46" t="n">
        <v>-87.79000000000001</v>
      </c>
      <c r="R1002" s="47" t="n"/>
      <c r="S1002" s="47" t="n"/>
      <c r="T1002" s="47" t="n"/>
      <c r="U1002" s="47" t="n"/>
      <c r="V1002" s="47" t="n"/>
      <c r="W1002" s="47" t="n"/>
    </row>
    <row r="1003" ht="11.25" customHeight="1">
      <c r="A1003" s="30" t="inlineStr">
        <is>
          <t>Itaguai</t>
        </is>
      </c>
      <c r="B1003" s="30" t="n">
        <v>81921490</v>
      </c>
      <c r="C1003" s="30">
        <f>"10970887000870"</f>
        <v/>
      </c>
      <c r="D1003" s="30" t="inlineStr">
        <is>
          <t>FEDEX BRASIL LOGISTICA E TRANSPORTE LTDA</t>
        </is>
      </c>
      <c r="E1003" s="40" t="n">
        <v>16764.53</v>
      </c>
      <c r="F1003" s="40" t="n">
        <v>18045.88</v>
      </c>
      <c r="G1003" s="40" t="n">
        <v>7.64</v>
      </c>
      <c r="H1003" s="40" t="n">
        <v>0</v>
      </c>
      <c r="I1003" s="46" t="n">
        <v>-100</v>
      </c>
      <c r="J1003" s="40" t="n">
        <v>0</v>
      </c>
      <c r="K1003" s="40" t="n">
        <v>0</v>
      </c>
      <c r="L1003" s="40" t="n">
        <v>0</v>
      </c>
      <c r="M1003" s="40" t="n">
        <v>0</v>
      </c>
      <c r="N1003" s="40" t="n">
        <v>0</v>
      </c>
      <c r="O1003" s="40" t="n">
        <v>0</v>
      </c>
      <c r="P1003" s="40" t="n">
        <v>0</v>
      </c>
      <c r="Q1003" s="40" t="n">
        <v>0</v>
      </c>
      <c r="R1003" s="47" t="n"/>
      <c r="S1003" s="47" t="n"/>
      <c r="T1003" s="47" t="n"/>
      <c r="U1003" s="47" t="n"/>
      <c r="V1003" s="47" t="n"/>
      <c r="W1003" s="47" t="n"/>
    </row>
    <row r="1004" ht="11.25" customHeight="1">
      <c r="A1004" s="30" t="inlineStr">
        <is>
          <t>Itaguai</t>
        </is>
      </c>
      <c r="B1004" s="30" t="n">
        <v>81923930</v>
      </c>
      <c r="C1004" s="30">
        <f>"29863420000426"</f>
        <v/>
      </c>
      <c r="D1004" s="30" t="inlineStr">
        <is>
          <t>EXPRESSO PREDILETO, TRANSPORTES, LOGISTICA E ARMAZENAGEM LTDA EPP</t>
        </is>
      </c>
      <c r="E1004" s="40" t="n">
        <v>11879.79</v>
      </c>
      <c r="F1004" s="40" t="n">
        <v>1796.13</v>
      </c>
      <c r="G1004" s="46" t="n">
        <v>-84.88</v>
      </c>
      <c r="H1004" s="40" t="n">
        <v>283.15</v>
      </c>
      <c r="I1004" s="46" t="n">
        <v>-84.23999999999999</v>
      </c>
      <c r="J1004" s="40" t="n">
        <v>19151.63</v>
      </c>
      <c r="K1004" s="40" t="n">
        <v>6663.78</v>
      </c>
      <c r="L1004" s="40" t="n">
        <v>18822.41</v>
      </c>
      <c r="M1004" s="46" t="n">
        <v>-1.72</v>
      </c>
      <c r="N1004" s="40" t="n">
        <v>11343.08</v>
      </c>
      <c r="O1004" s="46" t="n">
        <v>-39.74</v>
      </c>
      <c r="P1004" s="40" t="n">
        <v>33360.45</v>
      </c>
      <c r="Q1004" s="40" t="n">
        <v>194.1</v>
      </c>
      <c r="R1004" s="47" t="n"/>
      <c r="S1004" s="47" t="n"/>
      <c r="T1004" s="47" t="n"/>
      <c r="U1004" s="47" t="n"/>
      <c r="V1004" s="47" t="n"/>
      <c r="W1004" s="47" t="n"/>
    </row>
    <row r="1005" ht="11.25" customHeight="1">
      <c r="A1005" s="30" t="inlineStr">
        <is>
          <t>Itaguai</t>
        </is>
      </c>
      <c r="B1005" s="30" t="n">
        <v>81925372</v>
      </c>
      <c r="C1005" s="30">
        <f>"27175975008000"</f>
        <v/>
      </c>
      <c r="D1005" s="30" t="inlineStr">
        <is>
          <t>VIACAO ITAPEMIRIM LTDA - EM RECUPERACAO JUDICIAL EM RECUPERACAO</t>
        </is>
      </c>
      <c r="E1005" s="40" t="n">
        <v>23017.96</v>
      </c>
      <c r="F1005" s="40" t="n">
        <v>98101.08</v>
      </c>
      <c r="G1005" s="40" t="n">
        <v>326.19</v>
      </c>
      <c r="H1005" s="40" t="n">
        <v>62858.41</v>
      </c>
      <c r="I1005" s="46" t="n">
        <v>-35.92</v>
      </c>
      <c r="J1005" s="40" t="n">
        <v>59095.47</v>
      </c>
      <c r="K1005" s="46" t="n">
        <v>-5.99</v>
      </c>
      <c r="L1005" s="40" t="n">
        <v>0</v>
      </c>
      <c r="M1005" s="46" t="n">
        <v>-100</v>
      </c>
      <c r="N1005" s="40" t="n">
        <v>0</v>
      </c>
      <c r="O1005" s="40" t="n">
        <v>0</v>
      </c>
      <c r="P1005" s="40" t="n">
        <v>0</v>
      </c>
      <c r="Q1005" s="40" t="n">
        <v>0</v>
      </c>
      <c r="R1005" s="47" t="n"/>
      <c r="S1005" s="47" t="n"/>
      <c r="T1005" s="47" t="n"/>
      <c r="U1005" s="47" t="n"/>
      <c r="V1005" s="47" t="n"/>
      <c r="W1005" s="47" t="n"/>
    </row>
    <row r="1006" ht="11.25" customHeight="1">
      <c r="A1006" s="30" t="inlineStr">
        <is>
          <t>Itaguai</t>
        </is>
      </c>
      <c r="B1006" s="30" t="n">
        <v>81926743</v>
      </c>
      <c r="C1006" s="30">
        <f>"20147617001113"</f>
        <v/>
      </c>
      <c r="D1006" s="30" t="inlineStr">
        <is>
          <t>JAMEF TRANSPORTES EIRELI</t>
        </is>
      </c>
      <c r="E1006" s="40" t="n">
        <v>14738.76</v>
      </c>
      <c r="F1006" s="40" t="n">
        <v>19670.06</v>
      </c>
      <c r="G1006" s="40" t="n">
        <v>33.46</v>
      </c>
      <c r="H1006" s="40" t="n">
        <v>11848.1</v>
      </c>
      <c r="I1006" s="46" t="n">
        <v>-39.77</v>
      </c>
      <c r="J1006" s="40" t="n">
        <v>19757.82</v>
      </c>
      <c r="K1006" s="40" t="n">
        <v>66.76000000000001</v>
      </c>
      <c r="L1006" s="40" t="n">
        <v>14445.17</v>
      </c>
      <c r="M1006" s="46" t="n">
        <v>-26.89</v>
      </c>
      <c r="N1006" s="40" t="n">
        <v>15934.16</v>
      </c>
      <c r="O1006" s="40" t="n">
        <v>10.31</v>
      </c>
      <c r="P1006" s="40" t="n">
        <v>15685.99</v>
      </c>
      <c r="Q1006" s="46" t="n">
        <v>-1.56</v>
      </c>
      <c r="R1006" s="47" t="n"/>
      <c r="S1006" s="47" t="n"/>
      <c r="T1006" s="47" t="n"/>
      <c r="U1006" s="47" t="n"/>
      <c r="V1006" s="47" t="n"/>
      <c r="W1006" s="47" t="n"/>
    </row>
    <row r="1007" ht="11.25" customHeight="1">
      <c r="A1007" s="30" t="inlineStr">
        <is>
          <t>Itaguai</t>
        </is>
      </c>
      <c r="B1007" s="30" t="n">
        <v>81955018</v>
      </c>
      <c r="C1007" s="30">
        <f>"29370103000125"</f>
        <v/>
      </c>
      <c r="D1007" s="30" t="inlineStr">
        <is>
          <t>SILTRAN RODOVIARIO EIRELI</t>
        </is>
      </c>
      <c r="E1007" s="40" t="n">
        <v>305.83</v>
      </c>
      <c r="F1007" s="40" t="n">
        <v>0</v>
      </c>
      <c r="G1007" s="46" t="n">
        <v>-100</v>
      </c>
      <c r="H1007" s="40" t="n">
        <v>0</v>
      </c>
      <c r="I1007" s="40" t="n">
        <v>0</v>
      </c>
      <c r="J1007" s="40" t="n">
        <v>0</v>
      </c>
      <c r="K1007" s="40" t="n">
        <v>0</v>
      </c>
      <c r="L1007" s="40" t="n">
        <v>0</v>
      </c>
      <c r="M1007" s="40" t="n">
        <v>0</v>
      </c>
      <c r="N1007" s="40" t="n">
        <v>0</v>
      </c>
      <c r="O1007" s="40" t="n">
        <v>0</v>
      </c>
      <c r="P1007" s="40" t="n">
        <v>0</v>
      </c>
      <c r="Q1007" s="40" t="n">
        <v>0</v>
      </c>
      <c r="R1007" s="47" t="n"/>
      <c r="S1007" s="47" t="n"/>
      <c r="T1007" s="47" t="n"/>
      <c r="U1007" s="47" t="n"/>
      <c r="V1007" s="47" t="n"/>
      <c r="W1007" s="47" t="n"/>
    </row>
    <row r="1008" ht="11.25" customHeight="1">
      <c r="A1008" s="30" t="inlineStr">
        <is>
          <t>Itaguai</t>
        </is>
      </c>
      <c r="B1008" s="30" t="n">
        <v>82050663</v>
      </c>
      <c r="C1008" s="30">
        <f>"33669888000109"</f>
        <v/>
      </c>
      <c r="D1008" s="30" t="inlineStr">
        <is>
          <t>BARANO COMERCIO DE ALIMENTOS LTDA</t>
        </is>
      </c>
      <c r="E1008" s="40" t="n">
        <v>0</v>
      </c>
      <c r="F1008" s="40" t="n">
        <v>1790</v>
      </c>
      <c r="G1008" s="40" t="n">
        <v>100</v>
      </c>
      <c r="H1008" s="40" t="n">
        <v>1760</v>
      </c>
      <c r="I1008" s="46" t="n">
        <v>-1.68</v>
      </c>
      <c r="J1008" s="40" t="n">
        <v>0</v>
      </c>
      <c r="K1008" s="46" t="n">
        <v>-100</v>
      </c>
      <c r="L1008" s="40" t="n">
        <v>0</v>
      </c>
      <c r="M1008" s="40" t="n">
        <v>0</v>
      </c>
      <c r="N1008" s="40" t="n">
        <v>0</v>
      </c>
      <c r="O1008" s="40" t="n">
        <v>0</v>
      </c>
      <c r="P1008" s="40" t="n">
        <v>0</v>
      </c>
      <c r="Q1008" s="40" t="n">
        <v>0</v>
      </c>
      <c r="R1008" s="47" t="n"/>
      <c r="S1008" s="47" t="n"/>
      <c r="T1008" s="47" t="n"/>
      <c r="U1008" s="47" t="n"/>
      <c r="V1008" s="47" t="n"/>
      <c r="W1008" s="47" t="n"/>
    </row>
    <row r="1009" ht="11.25" customHeight="1">
      <c r="A1009" s="30" t="inlineStr">
        <is>
          <t>Itaguai</t>
        </is>
      </c>
      <c r="B1009" s="30" t="n">
        <v>82346864</v>
      </c>
      <c r="C1009" s="30">
        <f>"27134535000101"</f>
        <v/>
      </c>
      <c r="D1009" s="30" t="inlineStr">
        <is>
          <t>MEGA CONCRETO PREMOLDADO LTDA ME</t>
        </is>
      </c>
      <c r="E1009" s="40" t="n">
        <v>0</v>
      </c>
      <c r="F1009" s="40" t="n">
        <v>0</v>
      </c>
      <c r="G1009" s="40" t="n">
        <v>0</v>
      </c>
      <c r="H1009" s="40" t="n">
        <v>0</v>
      </c>
      <c r="I1009" s="40" t="n">
        <v>0</v>
      </c>
      <c r="J1009" s="40" t="n">
        <v>0</v>
      </c>
      <c r="K1009" s="40" t="n">
        <v>0</v>
      </c>
      <c r="L1009" s="40" t="n">
        <v>0</v>
      </c>
      <c r="M1009" s="40" t="n">
        <v>0</v>
      </c>
      <c r="N1009" s="40" t="n">
        <v>0</v>
      </c>
      <c r="O1009" s="40" t="n">
        <v>0</v>
      </c>
      <c r="P1009" s="40" t="n">
        <v>0</v>
      </c>
      <c r="Q1009" s="40" t="n">
        <v>0</v>
      </c>
      <c r="R1009" s="47" t="n"/>
      <c r="S1009" s="47" t="n"/>
      <c r="T1009" s="47" t="n"/>
      <c r="U1009" s="47" t="n"/>
      <c r="V1009" s="47" t="n"/>
      <c r="W1009" s="47" t="n"/>
    </row>
    <row r="1010" ht="11.25" customHeight="1">
      <c r="A1010" s="30" t="inlineStr">
        <is>
          <t>Itaguai</t>
        </is>
      </c>
      <c r="B1010" s="30" t="n">
        <v>82407197</v>
      </c>
      <c r="C1010" s="30">
        <f>"30621890000110"</f>
        <v/>
      </c>
      <c r="D1010" s="30" t="inlineStr">
        <is>
          <t>TRANSPORTE FABIO'S LTDA</t>
        </is>
      </c>
      <c r="E1010" s="40" t="n">
        <v>0</v>
      </c>
      <c r="F1010" s="40" t="n">
        <v>1877.2</v>
      </c>
      <c r="G1010" s="40" t="n">
        <v>100</v>
      </c>
      <c r="H1010" s="40" t="n">
        <v>0</v>
      </c>
      <c r="I1010" s="46" t="n">
        <v>-100</v>
      </c>
      <c r="J1010" s="40" t="n">
        <v>0</v>
      </c>
      <c r="K1010" s="40" t="n">
        <v>0</v>
      </c>
      <c r="L1010" s="40" t="n">
        <v>0</v>
      </c>
      <c r="M1010" s="40" t="n">
        <v>0</v>
      </c>
      <c r="N1010" s="40" t="n">
        <v>0</v>
      </c>
      <c r="O1010" s="40" t="n">
        <v>0</v>
      </c>
      <c r="P1010" s="40" t="n">
        <v>0</v>
      </c>
      <c r="Q1010" s="40" t="n">
        <v>0</v>
      </c>
      <c r="R1010" s="47" t="n"/>
      <c r="S1010" s="47" t="n"/>
      <c r="T1010" s="47" t="n"/>
      <c r="U1010" s="47" t="n"/>
      <c r="V1010" s="47" t="n"/>
      <c r="W1010" s="47" t="n"/>
    </row>
    <row r="1011" ht="11.25" customHeight="1">
      <c r="A1011" s="30" t="inlineStr">
        <is>
          <t>Itaguai</t>
        </is>
      </c>
      <c r="B1011" s="30" t="n">
        <v>82604138</v>
      </c>
      <c r="C1011" s="30">
        <f>"29863420000507"</f>
        <v/>
      </c>
      <c r="D1011" s="30" t="inlineStr">
        <is>
          <t>EXPRESSO PREDILETO, TRANSPORTES, LOGISTICA E ARMAZENAGEM LTDA EPP</t>
        </is>
      </c>
      <c r="E1011" s="40" t="n">
        <v>137.63</v>
      </c>
      <c r="F1011" s="40" t="n">
        <v>0</v>
      </c>
      <c r="G1011" s="46" t="n">
        <v>-100</v>
      </c>
      <c r="H1011" s="40" t="n">
        <v>0</v>
      </c>
      <c r="I1011" s="40" t="n">
        <v>0</v>
      </c>
      <c r="J1011" s="40" t="n">
        <v>0</v>
      </c>
      <c r="K1011" s="40" t="n">
        <v>0</v>
      </c>
      <c r="L1011" s="40" t="n">
        <v>0</v>
      </c>
      <c r="M1011" s="40" t="n">
        <v>0</v>
      </c>
      <c r="N1011" s="40" t="n">
        <v>0</v>
      </c>
      <c r="O1011" s="40" t="n">
        <v>0</v>
      </c>
      <c r="P1011" s="40" t="n">
        <v>0</v>
      </c>
      <c r="Q1011" s="40" t="n">
        <v>0</v>
      </c>
      <c r="R1011" s="47" t="n"/>
      <c r="S1011" s="47" t="n"/>
      <c r="T1011" s="47" t="n"/>
      <c r="U1011" s="47" t="n"/>
      <c r="V1011" s="47" t="n"/>
      <c r="W1011" s="47" t="n"/>
    </row>
    <row r="1012" ht="11.25" customHeight="1">
      <c r="A1012" s="30" t="inlineStr">
        <is>
          <t>Itaguai</t>
        </is>
      </c>
      <c r="B1012" s="30" t="n">
        <v>82628878</v>
      </c>
      <c r="C1012" s="30">
        <f>"28670958000109"</f>
        <v/>
      </c>
      <c r="D1012" s="30" t="inlineStr">
        <is>
          <t>VIACAO CIDADE DO ACO LTDA</t>
        </is>
      </c>
      <c r="E1012" s="40" t="n">
        <v>467421.3</v>
      </c>
      <c r="F1012" s="40" t="n">
        <v>557460.16</v>
      </c>
      <c r="G1012" s="40" t="n">
        <v>19.26</v>
      </c>
      <c r="H1012" s="40" t="n">
        <v>705856.4300000001</v>
      </c>
      <c r="I1012" s="40" t="n">
        <v>26.62</v>
      </c>
      <c r="J1012" s="40" t="n">
        <v>242757</v>
      </c>
      <c r="K1012" s="46" t="n">
        <v>-65.61</v>
      </c>
      <c r="L1012" s="40" t="n">
        <v>343951.17</v>
      </c>
      <c r="M1012" s="40" t="n">
        <v>41.69</v>
      </c>
      <c r="N1012" s="40" t="n">
        <v>463732.6</v>
      </c>
      <c r="O1012" s="40" t="n">
        <v>34.83</v>
      </c>
      <c r="P1012" s="40" t="n">
        <v>617586.73</v>
      </c>
      <c r="Q1012" s="40" t="n">
        <v>33.18</v>
      </c>
      <c r="R1012" s="47" t="n"/>
      <c r="S1012" s="47" t="n"/>
      <c r="T1012" s="47" t="n"/>
      <c r="U1012" s="47" t="n"/>
      <c r="V1012" s="47" t="n"/>
      <c r="W1012" s="47" t="n"/>
    </row>
    <row r="1013" ht="11.25" customHeight="1">
      <c r="A1013" s="30" t="inlineStr">
        <is>
          <t>Itaguai</t>
        </is>
      </c>
      <c r="B1013" s="30" t="n">
        <v>82692398</v>
      </c>
      <c r="C1013" s="30">
        <f>"28299386000101"</f>
        <v/>
      </c>
      <c r="D1013" s="30" t="inlineStr">
        <is>
          <t>TRANSMAGNO TRANSPORTES RODOVIARIOS LTDA</t>
        </is>
      </c>
      <c r="E1013" s="40" t="n">
        <v>2785.84</v>
      </c>
      <c r="F1013" s="40" t="n">
        <v>0</v>
      </c>
      <c r="G1013" s="46" t="n">
        <v>-100</v>
      </c>
      <c r="H1013" s="40" t="n">
        <v>0</v>
      </c>
      <c r="I1013" s="40" t="n">
        <v>0</v>
      </c>
      <c r="J1013" s="40" t="n">
        <v>0</v>
      </c>
      <c r="K1013" s="40" t="n">
        <v>0</v>
      </c>
      <c r="L1013" s="40" t="n">
        <v>0</v>
      </c>
      <c r="M1013" s="40" t="n">
        <v>0</v>
      </c>
      <c r="N1013" s="40" t="n">
        <v>0</v>
      </c>
      <c r="O1013" s="40" t="n">
        <v>0</v>
      </c>
      <c r="P1013" s="40" t="n">
        <v>0</v>
      </c>
      <c r="Q1013" s="40" t="n">
        <v>0</v>
      </c>
      <c r="R1013" s="47" t="n"/>
      <c r="S1013" s="47" t="n"/>
      <c r="T1013" s="47" t="n"/>
      <c r="U1013" s="47" t="n"/>
      <c r="V1013" s="47" t="n"/>
      <c r="W1013" s="47" t="n"/>
    </row>
    <row r="1014" ht="11.25" customHeight="1">
      <c r="A1014" s="30" t="inlineStr">
        <is>
          <t>Itaguai</t>
        </is>
      </c>
      <c r="B1014" s="30" t="n">
        <v>82849831</v>
      </c>
      <c r="C1014" s="30">
        <f>"31238678000130"</f>
        <v/>
      </c>
      <c r="D1014" s="30" t="inlineStr">
        <is>
          <t>MERCEARIA MARVI DE ITAGUAI LTDA</t>
        </is>
      </c>
      <c r="E1014" s="40" t="n">
        <v>645828.9300000001</v>
      </c>
      <c r="F1014" s="40" t="n">
        <v>0</v>
      </c>
      <c r="G1014" s="46" t="n">
        <v>-100</v>
      </c>
      <c r="H1014" s="40" t="n">
        <v>0</v>
      </c>
      <c r="I1014" s="40" t="n">
        <v>0</v>
      </c>
      <c r="J1014" s="40" t="n">
        <v>0</v>
      </c>
      <c r="K1014" s="40" t="n">
        <v>0</v>
      </c>
      <c r="L1014" s="40" t="n">
        <v>0</v>
      </c>
      <c r="M1014" s="40" t="n">
        <v>0</v>
      </c>
      <c r="N1014" s="40" t="n">
        <v>0</v>
      </c>
      <c r="O1014" s="40" t="n">
        <v>0</v>
      </c>
      <c r="P1014" s="40" t="n">
        <v>0</v>
      </c>
      <c r="Q1014" s="40" t="n">
        <v>0</v>
      </c>
      <c r="R1014" s="47" t="n"/>
      <c r="S1014" s="47" t="n"/>
      <c r="T1014" s="47" t="n"/>
      <c r="U1014" s="47" t="n"/>
      <c r="V1014" s="47" t="n"/>
      <c r="W1014" s="47" t="n"/>
    </row>
    <row r="1015" ht="11.25" customHeight="1">
      <c r="A1015" s="30" t="inlineStr">
        <is>
          <t>Itaguai</t>
        </is>
      </c>
      <c r="B1015" s="30" t="n">
        <v>82850120</v>
      </c>
      <c r="C1015" s="30">
        <f>"29931417000150"</f>
        <v/>
      </c>
      <c r="D1015" s="30" t="inlineStr">
        <is>
          <t>G L J HOTEIS LTDA ME</t>
        </is>
      </c>
      <c r="E1015" s="40" t="n">
        <v>0</v>
      </c>
      <c r="F1015" s="40" t="n">
        <v>0</v>
      </c>
      <c r="G1015" s="40" t="n">
        <v>0</v>
      </c>
      <c r="H1015" s="40" t="n">
        <v>0</v>
      </c>
      <c r="I1015" s="40" t="n">
        <v>0</v>
      </c>
      <c r="J1015" s="40" t="n">
        <v>0</v>
      </c>
      <c r="K1015" s="40" t="n">
        <v>0</v>
      </c>
      <c r="L1015" s="40" t="n">
        <v>0</v>
      </c>
      <c r="M1015" s="40" t="n">
        <v>0</v>
      </c>
      <c r="N1015" s="40" t="n">
        <v>0</v>
      </c>
      <c r="O1015" s="40" t="n">
        <v>0</v>
      </c>
      <c r="P1015" s="40" t="n">
        <v>0</v>
      </c>
      <c r="Q1015" s="40" t="n">
        <v>0</v>
      </c>
      <c r="R1015" s="47" t="n"/>
      <c r="S1015" s="47" t="n"/>
      <c r="T1015" s="47" t="n"/>
      <c r="U1015" s="47" t="n"/>
      <c r="V1015" s="47" t="n"/>
      <c r="W1015" s="47" t="n"/>
    </row>
    <row r="1016" ht="11.25" customHeight="1">
      <c r="A1016" s="30" t="inlineStr">
        <is>
          <t>Itaguai</t>
        </is>
      </c>
      <c r="B1016" s="30" t="n">
        <v>82854657</v>
      </c>
      <c r="C1016" s="30">
        <f>"20628152003328"</f>
        <v/>
      </c>
      <c r="D1016" s="30" t="inlineStr">
        <is>
          <t>VALADARES TECIDOS LTDA</t>
        </is>
      </c>
      <c r="E1016" s="40" t="n">
        <v>830196.61</v>
      </c>
      <c r="F1016" s="40" t="n">
        <v>67004.66</v>
      </c>
      <c r="G1016" s="46" t="n">
        <v>-91.93000000000001</v>
      </c>
      <c r="H1016" s="40" t="n">
        <v>0</v>
      </c>
      <c r="I1016" s="46" t="n">
        <v>-100</v>
      </c>
      <c r="J1016" s="40" t="n">
        <v>0</v>
      </c>
      <c r="K1016" s="40" t="n">
        <v>0</v>
      </c>
      <c r="L1016" s="40" t="n">
        <v>0</v>
      </c>
      <c r="M1016" s="40" t="n">
        <v>0</v>
      </c>
      <c r="N1016" s="40" t="n">
        <v>0</v>
      </c>
      <c r="O1016" s="40" t="n">
        <v>0</v>
      </c>
      <c r="P1016" s="40" t="n">
        <v>0</v>
      </c>
      <c r="Q1016" s="40" t="n">
        <v>0</v>
      </c>
      <c r="R1016" s="47" t="n"/>
      <c r="S1016" s="47" t="n"/>
      <c r="T1016" s="47" t="n"/>
      <c r="U1016" s="47" t="n"/>
      <c r="V1016" s="47" t="n"/>
      <c r="W1016" s="47" t="n"/>
    </row>
    <row r="1017" ht="11.25" customHeight="1">
      <c r="A1017" s="30" t="inlineStr">
        <is>
          <t>Itaguai</t>
        </is>
      </c>
      <c r="B1017" s="30" t="n">
        <v>82854924</v>
      </c>
      <c r="C1017" s="30">
        <f>"31060726000143"</f>
        <v/>
      </c>
      <c r="D1017" s="30" t="inlineStr">
        <is>
          <t>L P DOS SANTOS LANCHONETE</t>
        </is>
      </c>
      <c r="E1017" s="40" t="n">
        <v>0</v>
      </c>
      <c r="F1017" s="40" t="n">
        <v>0</v>
      </c>
      <c r="G1017" s="40" t="n">
        <v>0</v>
      </c>
      <c r="H1017" s="40" t="n">
        <v>0</v>
      </c>
      <c r="I1017" s="40" t="n">
        <v>0</v>
      </c>
      <c r="J1017" s="40" t="n">
        <v>0</v>
      </c>
      <c r="K1017" s="40" t="n">
        <v>0</v>
      </c>
      <c r="L1017" s="40" t="n">
        <v>0</v>
      </c>
      <c r="M1017" s="40" t="n">
        <v>0</v>
      </c>
      <c r="N1017" s="40" t="n">
        <v>0</v>
      </c>
      <c r="O1017" s="40" t="n">
        <v>0</v>
      </c>
      <c r="P1017" s="40" t="n">
        <v>0</v>
      </c>
      <c r="Q1017" s="40" t="n">
        <v>0</v>
      </c>
      <c r="R1017" s="47" t="n"/>
      <c r="S1017" s="47" t="n"/>
      <c r="T1017" s="47" t="n"/>
      <c r="U1017" s="47" t="n"/>
      <c r="V1017" s="47" t="n"/>
      <c r="W1017" s="47" t="n"/>
    </row>
    <row r="1018" ht="11.25" customHeight="1">
      <c r="A1018" s="30" t="inlineStr">
        <is>
          <t>Itaguai</t>
        </is>
      </c>
      <c r="B1018" s="30" t="n">
        <v>83031891</v>
      </c>
      <c r="C1018" s="30">
        <f>"28170322000106"</f>
        <v/>
      </c>
      <c r="D1018" s="30" t="inlineStr">
        <is>
          <t>ENSEG SERVICOS DE ENGENHARIA E SEGURANCA LTDA</t>
        </is>
      </c>
      <c r="E1018" s="40" t="n">
        <v>0</v>
      </c>
      <c r="F1018" s="40" t="n">
        <v>5686</v>
      </c>
      <c r="G1018" s="40" t="n">
        <v>100</v>
      </c>
      <c r="H1018" s="40" t="n">
        <v>253995.02</v>
      </c>
      <c r="I1018" s="40" t="n">
        <v>4367.02</v>
      </c>
      <c r="J1018" s="40" t="n">
        <v>0</v>
      </c>
      <c r="K1018" s="46" t="n">
        <v>-100</v>
      </c>
      <c r="L1018" s="40" t="n">
        <v>217864.77</v>
      </c>
      <c r="M1018" s="40" t="n">
        <v>100</v>
      </c>
      <c r="N1018" s="40" t="n">
        <v>0</v>
      </c>
      <c r="O1018" s="46" t="n">
        <v>-100</v>
      </c>
      <c r="P1018" s="40" t="n">
        <v>0</v>
      </c>
      <c r="Q1018" s="40" t="n">
        <v>0</v>
      </c>
      <c r="R1018" s="47" t="n"/>
      <c r="S1018" s="47" t="n"/>
      <c r="T1018" s="47" t="n"/>
      <c r="U1018" s="47" t="n"/>
      <c r="V1018" s="47" t="n"/>
      <c r="W1018" s="47" t="n"/>
    </row>
    <row r="1019" ht="11.25" customHeight="1">
      <c r="A1019" s="30" t="inlineStr">
        <is>
          <t>Itaguai</t>
        </is>
      </c>
      <c r="B1019" s="30" t="n">
        <v>83119470</v>
      </c>
      <c r="C1019" s="30">
        <f>"44191880000287"</f>
        <v/>
      </c>
      <c r="D1019" s="30" t="inlineStr">
        <is>
          <t>TRANSPORTADORA AJOFER LTDA</t>
        </is>
      </c>
      <c r="E1019" s="40" t="n">
        <v>0</v>
      </c>
      <c r="F1019" s="40" t="n">
        <v>62.5</v>
      </c>
      <c r="G1019" s="40" t="n">
        <v>100</v>
      </c>
      <c r="H1019" s="40" t="n">
        <v>0</v>
      </c>
      <c r="I1019" s="46" t="n">
        <v>-100</v>
      </c>
      <c r="J1019" s="40" t="n">
        <v>0</v>
      </c>
      <c r="K1019" s="40" t="n">
        <v>0</v>
      </c>
      <c r="L1019" s="40" t="n">
        <v>0</v>
      </c>
      <c r="M1019" s="40" t="n">
        <v>0</v>
      </c>
      <c r="N1019" s="40" t="n">
        <v>125.1</v>
      </c>
      <c r="O1019" s="40" t="n">
        <v>100</v>
      </c>
      <c r="P1019" s="40" t="n">
        <v>0</v>
      </c>
      <c r="Q1019" s="46" t="n">
        <v>-100</v>
      </c>
      <c r="R1019" s="47" t="n"/>
      <c r="S1019" s="47" t="n"/>
      <c r="T1019" s="47" t="n"/>
      <c r="U1019" s="47" t="n"/>
      <c r="V1019" s="47" t="n"/>
      <c r="W1019" s="47" t="n"/>
    </row>
    <row r="1020" ht="11.25" customHeight="1">
      <c r="A1020" s="30" t="inlineStr">
        <is>
          <t>Itaguai</t>
        </is>
      </c>
      <c r="B1020" s="30" t="n">
        <v>83178612</v>
      </c>
      <c r="C1020" s="30">
        <f>"31548241000101"</f>
        <v/>
      </c>
      <c r="D1020" s="30" t="inlineStr">
        <is>
          <t>MARICA TAXI AEREO LTDA</t>
        </is>
      </c>
      <c r="E1020" s="40" t="n">
        <v>3000</v>
      </c>
      <c r="F1020" s="40" t="n">
        <v>3750</v>
      </c>
      <c r="G1020" s="40" t="n">
        <v>25</v>
      </c>
      <c r="H1020" s="40" t="n">
        <v>0</v>
      </c>
      <c r="I1020" s="46" t="n">
        <v>-100</v>
      </c>
      <c r="J1020" s="40" t="n">
        <v>0</v>
      </c>
      <c r="K1020" s="40" t="n">
        <v>0</v>
      </c>
      <c r="L1020" s="40" t="n">
        <v>0</v>
      </c>
      <c r="M1020" s="40" t="n">
        <v>0</v>
      </c>
      <c r="N1020" s="40" t="n">
        <v>0</v>
      </c>
      <c r="O1020" s="40" t="n">
        <v>0</v>
      </c>
      <c r="P1020" s="40" t="n">
        <v>0</v>
      </c>
      <c r="Q1020" s="40" t="n">
        <v>0</v>
      </c>
      <c r="R1020" s="47" t="n"/>
      <c r="S1020" s="47" t="n"/>
      <c r="T1020" s="47" t="n"/>
      <c r="U1020" s="47" t="n"/>
      <c r="V1020" s="47" t="n"/>
      <c r="W1020" s="47" t="n"/>
    </row>
    <row r="1021" ht="11.25" customHeight="1">
      <c r="A1021" s="30" t="inlineStr">
        <is>
          <t>Itaguai</t>
        </is>
      </c>
      <c r="B1021" s="30" t="n">
        <v>83388285</v>
      </c>
      <c r="C1021" s="30">
        <f>"31943954000161"</f>
        <v/>
      </c>
      <c r="D1021" s="30" t="inlineStr">
        <is>
          <t>ITAGEL INDUSTRIA E COMERCIO DE PRODUTOS ALIMENTICIOS LTDA</t>
        </is>
      </c>
      <c r="E1021" s="40" t="n">
        <v>0</v>
      </c>
      <c r="F1021" s="40" t="n">
        <v>0</v>
      </c>
      <c r="G1021" s="40" t="n">
        <v>0</v>
      </c>
      <c r="H1021" s="40" t="n">
        <v>0</v>
      </c>
      <c r="I1021" s="40" t="n">
        <v>0</v>
      </c>
      <c r="J1021" s="40" t="n">
        <v>0</v>
      </c>
      <c r="K1021" s="40" t="n">
        <v>0</v>
      </c>
      <c r="L1021" s="40" t="n">
        <v>0</v>
      </c>
      <c r="M1021" s="40" t="n">
        <v>0</v>
      </c>
      <c r="N1021" s="40" t="n">
        <v>0</v>
      </c>
      <c r="O1021" s="40" t="n">
        <v>0</v>
      </c>
      <c r="P1021" s="40" t="n">
        <v>0</v>
      </c>
      <c r="Q1021" s="40" t="n">
        <v>0</v>
      </c>
      <c r="R1021" s="47" t="n"/>
      <c r="S1021" s="47" t="n"/>
      <c r="T1021" s="47" t="n"/>
      <c r="U1021" s="47" t="n"/>
      <c r="V1021" s="47" t="n"/>
      <c r="W1021" s="47" t="n"/>
    </row>
    <row r="1022" ht="11.25" customHeight="1">
      <c r="A1022" s="30" t="inlineStr">
        <is>
          <t>Itaguai</t>
        </is>
      </c>
      <c r="B1022" s="30" t="n">
        <v>83409738</v>
      </c>
      <c r="C1022" s="30">
        <f>"33938119000240"</f>
        <v/>
      </c>
      <c r="D1022" s="30" t="inlineStr">
        <is>
          <t>COMPANHIA DISTRIBUIDORA DE GAS DO RIO DE JANEIRO - CEG</t>
        </is>
      </c>
      <c r="E1022" s="40" t="n">
        <v>2570498.25</v>
      </c>
      <c r="F1022" s="40" t="n">
        <v>2384227.9</v>
      </c>
      <c r="G1022" s="46" t="n">
        <v>-7.25</v>
      </c>
      <c r="H1022" s="40" t="n">
        <v>3446133.17</v>
      </c>
      <c r="I1022" s="40" t="n">
        <v>44.54</v>
      </c>
      <c r="J1022" s="40" t="n">
        <v>3097896.19</v>
      </c>
      <c r="K1022" s="46" t="n">
        <v>-10.11</v>
      </c>
      <c r="L1022" s="40" t="n">
        <v>3626930.31</v>
      </c>
      <c r="M1022" s="40" t="n">
        <v>17.08</v>
      </c>
      <c r="N1022" s="40" t="n">
        <v>1676966.27</v>
      </c>
      <c r="O1022" s="46" t="n">
        <v>-53.76</v>
      </c>
      <c r="P1022" s="40" t="n">
        <v>1047871.42</v>
      </c>
      <c r="Q1022" s="46" t="n">
        <v>-37.51</v>
      </c>
      <c r="R1022" s="47" t="n"/>
      <c r="S1022" s="47" t="n"/>
      <c r="T1022" s="47" t="n"/>
      <c r="U1022" s="47" t="n"/>
      <c r="V1022" s="47" t="n"/>
      <c r="W1022" s="47" t="n"/>
    </row>
    <row r="1023" ht="11.25" customHeight="1">
      <c r="A1023" s="30" t="inlineStr">
        <is>
          <t>Itaguai</t>
        </is>
      </c>
      <c r="B1023" s="30" t="n">
        <v>83485191</v>
      </c>
      <c r="C1023" s="30">
        <f>"31667298000111"</f>
        <v/>
      </c>
      <c r="D1023" s="30" t="inlineStr">
        <is>
          <t>TRANSHIP TRANSPORTES MARITIMOS LTDA</t>
        </is>
      </c>
      <c r="E1023" s="40" t="n">
        <v>0</v>
      </c>
      <c r="F1023" s="40" t="n">
        <v>0</v>
      </c>
      <c r="G1023" s="40" t="n">
        <v>0</v>
      </c>
      <c r="H1023" s="40" t="n">
        <v>0</v>
      </c>
      <c r="I1023" s="40" t="n">
        <v>0</v>
      </c>
      <c r="J1023" s="40" t="n">
        <v>210000</v>
      </c>
      <c r="K1023" s="40" t="n">
        <v>100</v>
      </c>
      <c r="L1023" s="40" t="n">
        <v>0</v>
      </c>
      <c r="M1023" s="46" t="n">
        <v>-100</v>
      </c>
      <c r="N1023" s="40" t="n">
        <v>0</v>
      </c>
      <c r="O1023" s="40" t="n">
        <v>0</v>
      </c>
      <c r="P1023" s="40" t="n">
        <v>0</v>
      </c>
      <c r="Q1023" s="40" t="n">
        <v>0</v>
      </c>
      <c r="R1023" s="47" t="n"/>
      <c r="S1023" s="47" t="n"/>
      <c r="T1023" s="47" t="n"/>
      <c r="U1023" s="47" t="n"/>
      <c r="V1023" s="47" t="n"/>
      <c r="W1023" s="47" t="n"/>
    </row>
    <row r="1024" ht="11.25" customHeight="1">
      <c r="A1024" s="30" t="inlineStr">
        <is>
          <t>Itaguai</t>
        </is>
      </c>
      <c r="B1024" s="30" t="n">
        <v>83573376</v>
      </c>
      <c r="C1024" s="30">
        <f>"31442759000158"</f>
        <v/>
      </c>
      <c r="D1024" s="30" t="inlineStr">
        <is>
          <t>P G P ENGENHARIA LTDA</t>
        </is>
      </c>
      <c r="E1024" s="40" t="n">
        <v>0</v>
      </c>
      <c r="F1024" s="40" t="n">
        <v>0</v>
      </c>
      <c r="G1024" s="40" t="n">
        <v>0</v>
      </c>
      <c r="H1024" s="40" t="n">
        <v>0</v>
      </c>
      <c r="I1024" s="40" t="n">
        <v>0</v>
      </c>
      <c r="J1024" s="40" t="n">
        <v>0</v>
      </c>
      <c r="K1024" s="40" t="n">
        <v>0</v>
      </c>
      <c r="L1024" s="40" t="n">
        <v>0</v>
      </c>
      <c r="M1024" s="40" t="n">
        <v>0</v>
      </c>
      <c r="N1024" s="40" t="n">
        <v>0</v>
      </c>
      <c r="O1024" s="40" t="n">
        <v>0</v>
      </c>
      <c r="P1024" s="40" t="n">
        <v>0</v>
      </c>
      <c r="Q1024" s="40" t="n">
        <v>0</v>
      </c>
      <c r="R1024" s="47" t="n"/>
      <c r="S1024" s="47" t="n"/>
      <c r="T1024" s="47" t="n"/>
      <c r="U1024" s="47" t="n"/>
      <c r="V1024" s="47" t="n"/>
      <c r="W1024" s="47" t="n"/>
    </row>
    <row r="1025" ht="11.25" customHeight="1">
      <c r="A1025" s="30" t="inlineStr">
        <is>
          <t>Itaguai</t>
        </is>
      </c>
      <c r="B1025" s="30" t="n">
        <v>83620412</v>
      </c>
      <c r="C1025" s="30">
        <f>"32125858000179"</f>
        <v/>
      </c>
      <c r="D1025" s="30" t="inlineStr">
        <is>
          <t>JB GAZZONI RESTAURANTE INDUSTRIAL LTDA -EPP</t>
        </is>
      </c>
      <c r="E1025" s="40" t="n">
        <v>0</v>
      </c>
      <c r="F1025" s="40" t="n">
        <v>0</v>
      </c>
      <c r="G1025" s="40" t="n">
        <v>0</v>
      </c>
      <c r="H1025" s="40" t="n">
        <v>0</v>
      </c>
      <c r="I1025" s="40" t="n">
        <v>0</v>
      </c>
      <c r="J1025" s="40" t="n">
        <v>0</v>
      </c>
      <c r="K1025" s="40" t="n">
        <v>0</v>
      </c>
      <c r="L1025" s="40" t="n">
        <v>0</v>
      </c>
      <c r="M1025" s="40" t="n">
        <v>0</v>
      </c>
      <c r="N1025" s="40" t="n">
        <v>0</v>
      </c>
      <c r="O1025" s="40" t="n">
        <v>0</v>
      </c>
      <c r="P1025" s="40" t="n">
        <v>0</v>
      </c>
      <c r="Q1025" s="40" t="n">
        <v>0</v>
      </c>
      <c r="R1025" s="47" t="n"/>
      <c r="S1025" s="47" t="n"/>
      <c r="T1025" s="47" t="n"/>
      <c r="U1025" s="47" t="n"/>
      <c r="V1025" s="47" t="n"/>
      <c r="W1025" s="47" t="n"/>
    </row>
    <row r="1026" ht="11.25" customHeight="1">
      <c r="A1026" s="30" t="inlineStr">
        <is>
          <t>Itaguai</t>
        </is>
      </c>
      <c r="B1026" s="30" t="n">
        <v>83620935</v>
      </c>
      <c r="C1026" s="30">
        <f>"32121469000175"</f>
        <v/>
      </c>
      <c r="D1026" s="30" t="inlineStr">
        <is>
          <t>COMESE COMERCIO DE EQUIPAMENTOS DE SEGURANCA LTDA</t>
        </is>
      </c>
      <c r="E1026" s="40" t="n">
        <v>0</v>
      </c>
      <c r="F1026" s="40" t="n">
        <v>0</v>
      </c>
      <c r="G1026" s="40" t="n">
        <v>0</v>
      </c>
      <c r="H1026" s="40" t="n">
        <v>0</v>
      </c>
      <c r="I1026" s="40" t="n">
        <v>0</v>
      </c>
      <c r="J1026" s="40" t="n">
        <v>0</v>
      </c>
      <c r="K1026" s="40" t="n">
        <v>0</v>
      </c>
      <c r="L1026" s="40" t="n">
        <v>1756860.07</v>
      </c>
      <c r="M1026" s="40" t="n">
        <v>100</v>
      </c>
      <c r="N1026" s="40" t="n">
        <v>0</v>
      </c>
      <c r="O1026" s="46" t="n">
        <v>-100</v>
      </c>
      <c r="P1026" s="40" t="n">
        <v>0</v>
      </c>
      <c r="Q1026" s="40" t="n">
        <v>0</v>
      </c>
      <c r="R1026" s="47" t="n"/>
      <c r="S1026" s="47" t="n"/>
      <c r="T1026" s="47" t="n"/>
      <c r="U1026" s="47" t="n"/>
      <c r="V1026" s="47" t="n"/>
      <c r="W1026" s="47" t="n"/>
    </row>
    <row r="1027" ht="11.25" customHeight="1">
      <c r="A1027" s="30" t="inlineStr">
        <is>
          <t>Itaguai</t>
        </is>
      </c>
      <c r="B1027" s="30" t="n">
        <v>83621575</v>
      </c>
      <c r="C1027" s="30">
        <f>"32148793000187"</f>
        <v/>
      </c>
      <c r="D1027" s="30" t="inlineStr">
        <is>
          <t>AREAL FERNANDES E LIMA LTDA</t>
        </is>
      </c>
      <c r="E1027" s="40" t="n">
        <v>0</v>
      </c>
      <c r="F1027" s="40" t="n">
        <v>0</v>
      </c>
      <c r="G1027" s="40" t="n">
        <v>0</v>
      </c>
      <c r="H1027" s="40" t="n">
        <v>0</v>
      </c>
      <c r="I1027" s="40" t="n">
        <v>0</v>
      </c>
      <c r="J1027" s="40" t="n">
        <v>0</v>
      </c>
      <c r="K1027" s="40" t="n">
        <v>0</v>
      </c>
      <c r="L1027" s="40" t="n">
        <v>970592.92</v>
      </c>
      <c r="M1027" s="40" t="n">
        <v>100</v>
      </c>
      <c r="N1027" s="40" t="n">
        <v>0</v>
      </c>
      <c r="O1027" s="46" t="n">
        <v>-100</v>
      </c>
      <c r="P1027" s="40" t="n">
        <v>0</v>
      </c>
      <c r="Q1027" s="40" t="n">
        <v>0</v>
      </c>
      <c r="R1027" s="47" t="n"/>
      <c r="S1027" s="47" t="n"/>
      <c r="T1027" s="47" t="n"/>
      <c r="U1027" s="47" t="n"/>
      <c r="V1027" s="47" t="n"/>
      <c r="W1027" s="47" t="n"/>
    </row>
    <row r="1028" ht="11.25" customHeight="1">
      <c r="A1028" s="30" t="inlineStr">
        <is>
          <t>Itaguai</t>
        </is>
      </c>
      <c r="B1028" s="30" t="n">
        <v>83622547</v>
      </c>
      <c r="C1028" s="30">
        <f>"32239493000103"</f>
        <v/>
      </c>
      <c r="D1028" s="30" t="inlineStr">
        <is>
          <t>AREAL SANTA HELENA DE Itaguai EIRELI</t>
        </is>
      </c>
      <c r="E1028" s="40" t="n">
        <v>0</v>
      </c>
      <c r="F1028" s="40" t="n">
        <v>0</v>
      </c>
      <c r="G1028" s="40" t="n">
        <v>0</v>
      </c>
      <c r="H1028" s="40" t="n">
        <v>0</v>
      </c>
      <c r="I1028" s="40" t="n">
        <v>0</v>
      </c>
      <c r="J1028" s="40" t="n">
        <v>0</v>
      </c>
      <c r="K1028" s="40" t="n">
        <v>0</v>
      </c>
      <c r="L1028" s="40" t="n">
        <v>0</v>
      </c>
      <c r="M1028" s="40" t="n">
        <v>0</v>
      </c>
      <c r="N1028" s="40" t="n">
        <v>0</v>
      </c>
      <c r="O1028" s="40" t="n">
        <v>0</v>
      </c>
      <c r="P1028" s="40" t="n">
        <v>0</v>
      </c>
      <c r="Q1028" s="40" t="n">
        <v>0</v>
      </c>
      <c r="R1028" s="47" t="n"/>
      <c r="S1028" s="47" t="n"/>
      <c r="T1028" s="47" t="n"/>
      <c r="U1028" s="47" t="n"/>
      <c r="V1028" s="47" t="n"/>
      <c r="W1028" s="47" t="n"/>
    </row>
    <row r="1029" ht="11.25" customHeight="1">
      <c r="A1029" s="30" t="inlineStr">
        <is>
          <t>Itaguai</t>
        </is>
      </c>
      <c r="B1029" s="30" t="n">
        <v>83622946</v>
      </c>
      <c r="C1029" s="30">
        <f>"35774611000171"</f>
        <v/>
      </c>
      <c r="D1029" s="30" t="inlineStr">
        <is>
          <t>PECITA PECAS ITAGUAI LTDA</t>
        </is>
      </c>
      <c r="E1029" s="40" t="n">
        <v>1713538.17</v>
      </c>
      <c r="F1029" s="40" t="n">
        <v>0</v>
      </c>
      <c r="G1029" s="46" t="n">
        <v>-100</v>
      </c>
      <c r="H1029" s="40" t="n">
        <v>0</v>
      </c>
      <c r="I1029" s="40" t="n">
        <v>0</v>
      </c>
      <c r="J1029" s="40" t="n">
        <v>3519905.85</v>
      </c>
      <c r="K1029" s="40" t="n">
        <v>100</v>
      </c>
      <c r="L1029" s="40" t="n">
        <v>0</v>
      </c>
      <c r="M1029" s="46" t="n">
        <v>-100</v>
      </c>
      <c r="N1029" s="40" t="n">
        <v>7351943.32</v>
      </c>
      <c r="O1029" s="40" t="n">
        <v>100</v>
      </c>
      <c r="P1029" s="40" t="n">
        <v>4979294.74</v>
      </c>
      <c r="Q1029" s="46" t="n">
        <v>-32.27</v>
      </c>
      <c r="R1029" s="47" t="n"/>
      <c r="S1029" s="47" t="n"/>
      <c r="T1029" s="47" t="n"/>
      <c r="U1029" s="47" t="n"/>
      <c r="V1029" s="47" t="n"/>
      <c r="W1029" s="47" t="n"/>
    </row>
    <row r="1030" ht="11.25" customHeight="1">
      <c r="A1030" s="30" t="inlineStr">
        <is>
          <t>Itaguai</t>
        </is>
      </c>
      <c r="B1030" s="30" t="n">
        <v>83623470</v>
      </c>
      <c r="C1030" s="30">
        <f>"31334691000193"</f>
        <v/>
      </c>
      <c r="D1030" s="30" t="inlineStr">
        <is>
          <t>EXPRESSO REAL RIO LTDA</t>
        </is>
      </c>
      <c r="E1030" s="40" t="n">
        <v>17868526.6</v>
      </c>
      <c r="F1030" s="40" t="n">
        <v>17717335.35</v>
      </c>
      <c r="G1030" s="46" t="n">
        <v>-0.85</v>
      </c>
      <c r="H1030" s="40" t="n">
        <v>17857638.9</v>
      </c>
      <c r="I1030" s="40" t="n">
        <v>0.79</v>
      </c>
      <c r="J1030" s="40" t="n">
        <v>9496055.15</v>
      </c>
      <c r="K1030" s="46" t="n">
        <v>-46.82</v>
      </c>
      <c r="L1030" s="40" t="n">
        <v>11062513.95</v>
      </c>
      <c r="M1030" s="40" t="n">
        <v>16.5</v>
      </c>
      <c r="N1030" s="40" t="n">
        <v>14693088.35</v>
      </c>
      <c r="O1030" s="40" t="n">
        <v>32.82</v>
      </c>
      <c r="P1030" s="40" t="n">
        <v>14244370.6</v>
      </c>
      <c r="Q1030" s="46" t="n">
        <v>-3.05</v>
      </c>
      <c r="R1030" s="47" t="n"/>
      <c r="S1030" s="47" t="n"/>
      <c r="T1030" s="47" t="n"/>
      <c r="U1030" s="47" t="n"/>
      <c r="V1030" s="47" t="n"/>
      <c r="W1030" s="47" t="n"/>
    </row>
    <row r="1031" ht="11.25" customHeight="1">
      <c r="A1031" s="30" t="inlineStr">
        <is>
          <t>Itaguai</t>
        </is>
      </c>
      <c r="B1031" s="30" t="n">
        <v>83649569</v>
      </c>
      <c r="C1031" s="30">
        <f>"21562418000324"</f>
        <v/>
      </c>
      <c r="D1031" s="30" t="inlineStr">
        <is>
          <t>COOPERATIVA TRANSPORTADORA DE PETROLEO E DERIVADOS LTDA</t>
        </is>
      </c>
      <c r="E1031" s="40" t="n">
        <v>0</v>
      </c>
      <c r="F1031" s="40" t="n">
        <v>0</v>
      </c>
      <c r="G1031" s="40" t="n">
        <v>0</v>
      </c>
      <c r="H1031" s="40" t="n">
        <v>0</v>
      </c>
      <c r="I1031" s="40" t="n">
        <v>0</v>
      </c>
      <c r="J1031" s="40" t="n">
        <v>0</v>
      </c>
      <c r="K1031" s="40" t="n">
        <v>0</v>
      </c>
      <c r="L1031" s="40" t="n">
        <v>18673.44</v>
      </c>
      <c r="M1031" s="40" t="n">
        <v>100</v>
      </c>
      <c r="N1031" s="40" t="n">
        <v>93454.07000000001</v>
      </c>
      <c r="O1031" s="40" t="n">
        <v>400.47</v>
      </c>
      <c r="P1031" s="40" t="n">
        <v>15711.5</v>
      </c>
      <c r="Q1031" s="46" t="n">
        <v>-83.19</v>
      </c>
      <c r="R1031" s="47" t="n"/>
      <c r="S1031" s="47" t="n"/>
      <c r="T1031" s="47" t="n"/>
      <c r="U1031" s="47" t="n"/>
      <c r="V1031" s="47" t="n"/>
      <c r="W1031" s="47" t="n"/>
    </row>
    <row r="1032" ht="11.25" customHeight="1">
      <c r="A1032" s="30" t="inlineStr">
        <is>
          <t>Itaguai</t>
        </is>
      </c>
      <c r="B1032" s="30" t="n">
        <v>83664401</v>
      </c>
      <c r="C1032" s="30">
        <f>"43035146001157"</f>
        <v/>
      </c>
      <c r="D1032" s="30" t="inlineStr">
        <is>
          <t>PROTEGE SOCIEDADE ANONIMA PROTECAO E TRANSPORTE DE VALORES</t>
        </is>
      </c>
      <c r="E1032" s="40" t="n">
        <v>437178</v>
      </c>
      <c r="F1032" s="40" t="n">
        <v>469354.8</v>
      </c>
      <c r="G1032" s="40" t="n">
        <v>7.36</v>
      </c>
      <c r="H1032" s="40" t="n">
        <v>526839.3</v>
      </c>
      <c r="I1032" s="40" t="n">
        <v>12.25</v>
      </c>
      <c r="J1032" s="40" t="n">
        <v>380971.35</v>
      </c>
      <c r="K1032" s="46" t="n">
        <v>-27.69</v>
      </c>
      <c r="L1032" s="40" t="n">
        <v>528473.8</v>
      </c>
      <c r="M1032" s="40" t="n">
        <v>38.72</v>
      </c>
      <c r="N1032" s="40" t="n">
        <v>551792.29</v>
      </c>
      <c r="O1032" s="40" t="n">
        <v>4.41</v>
      </c>
      <c r="P1032" s="40" t="n">
        <v>545803.3</v>
      </c>
      <c r="Q1032" s="46" t="n">
        <v>-1.09</v>
      </c>
      <c r="R1032" s="47" t="n"/>
      <c r="S1032" s="47" t="n"/>
      <c r="T1032" s="47" t="n"/>
      <c r="U1032" s="47" t="n"/>
      <c r="V1032" s="47" t="n"/>
      <c r="W1032" s="47" t="n"/>
    </row>
    <row r="1033" ht="11.25" customHeight="1">
      <c r="A1033" s="30" t="inlineStr">
        <is>
          <t>Itaguai</t>
        </is>
      </c>
      <c r="B1033" s="30" t="n">
        <v>83680342</v>
      </c>
      <c r="C1033" s="30">
        <f>"07358761026206"</f>
        <v/>
      </c>
      <c r="D1033" s="30" t="inlineStr">
        <is>
          <t>GERDAU ACOS LONGOS S/A</t>
        </is>
      </c>
      <c r="E1033" s="40" t="n">
        <v>0</v>
      </c>
      <c r="F1033" s="40" t="n">
        <v>0</v>
      </c>
      <c r="G1033" s="40" t="n">
        <v>0</v>
      </c>
      <c r="H1033" s="40" t="n">
        <v>0</v>
      </c>
      <c r="I1033" s="40" t="n">
        <v>0</v>
      </c>
      <c r="J1033" s="40" t="n">
        <v>0</v>
      </c>
      <c r="K1033" s="40" t="n">
        <v>0</v>
      </c>
      <c r="L1033" s="40" t="n">
        <v>0</v>
      </c>
      <c r="M1033" s="40" t="n">
        <v>0</v>
      </c>
      <c r="N1033" s="40" t="n">
        <v>0</v>
      </c>
      <c r="O1033" s="40" t="n">
        <v>0</v>
      </c>
      <c r="P1033" s="40" t="n">
        <v>11664.46</v>
      </c>
      <c r="Q1033" s="40" t="n">
        <v>100</v>
      </c>
      <c r="R1033" s="47" t="n"/>
      <c r="S1033" s="47" t="n"/>
      <c r="T1033" s="47" t="n"/>
      <c r="U1033" s="47" t="n"/>
      <c r="V1033" s="47" t="n"/>
      <c r="W1033" s="47" t="n"/>
    </row>
    <row r="1034" ht="11.25" customHeight="1">
      <c r="A1034" s="30" t="inlineStr">
        <is>
          <t>Itaguai</t>
        </is>
      </c>
      <c r="B1034" s="30" t="n">
        <v>83694912</v>
      </c>
      <c r="C1034" s="30">
        <f>"91302331000808"</f>
        <v/>
      </c>
      <c r="D1034" s="30" t="inlineStr">
        <is>
          <t>TRANSPORTES BEBBER LTDA</t>
        </is>
      </c>
      <c r="E1034" s="40" t="n">
        <v>500</v>
      </c>
      <c r="F1034" s="40" t="n">
        <v>0</v>
      </c>
      <c r="G1034" s="46" t="n">
        <v>-100</v>
      </c>
      <c r="H1034" s="40" t="n">
        <v>0</v>
      </c>
      <c r="I1034" s="40" t="n">
        <v>0</v>
      </c>
      <c r="J1034" s="40" t="n">
        <v>0</v>
      </c>
      <c r="K1034" s="40" t="n">
        <v>0</v>
      </c>
      <c r="L1034" s="40" t="n">
        <v>0</v>
      </c>
      <c r="M1034" s="40" t="n">
        <v>0</v>
      </c>
      <c r="N1034" s="40" t="n">
        <v>0</v>
      </c>
      <c r="O1034" s="40" t="n">
        <v>0</v>
      </c>
      <c r="P1034" s="40" t="n">
        <v>0</v>
      </c>
      <c r="Q1034" s="40" t="n">
        <v>0</v>
      </c>
      <c r="R1034" s="47" t="n"/>
      <c r="S1034" s="47" t="n"/>
      <c r="T1034" s="47" t="n"/>
      <c r="U1034" s="47" t="n"/>
      <c r="V1034" s="47" t="n"/>
      <c r="W1034" s="47" t="n"/>
    </row>
    <row r="1035" ht="11.25" customHeight="1">
      <c r="A1035" s="30" t="inlineStr">
        <is>
          <t>Itaguai</t>
        </is>
      </c>
      <c r="B1035" s="30" t="n">
        <v>83695943</v>
      </c>
      <c r="C1035" s="30">
        <f>"56764822000446"</f>
        <v/>
      </c>
      <c r="D1035" s="30" t="inlineStr">
        <is>
          <t>T H V TRANSPORTES LTDA</t>
        </is>
      </c>
      <c r="E1035" s="40" t="n">
        <v>0</v>
      </c>
      <c r="F1035" s="40" t="n">
        <v>187940.57</v>
      </c>
      <c r="G1035" s="40" t="n">
        <v>100</v>
      </c>
      <c r="H1035" s="40" t="n">
        <v>239159.78</v>
      </c>
      <c r="I1035" s="40" t="n">
        <v>27.25</v>
      </c>
      <c r="J1035" s="40" t="n">
        <v>512242.32</v>
      </c>
      <c r="K1035" s="40" t="n">
        <v>114.18</v>
      </c>
      <c r="L1035" s="40" t="n">
        <v>7229.36</v>
      </c>
      <c r="M1035" s="46" t="n">
        <v>-98.59</v>
      </c>
      <c r="N1035" s="40" t="n">
        <v>0</v>
      </c>
      <c r="O1035" s="46" t="n">
        <v>-100</v>
      </c>
      <c r="P1035" s="40" t="n">
        <v>0</v>
      </c>
      <c r="Q1035" s="40" t="n">
        <v>0</v>
      </c>
      <c r="R1035" s="47" t="n"/>
      <c r="S1035" s="47" t="n"/>
      <c r="T1035" s="47" t="n"/>
      <c r="U1035" s="47" t="n"/>
      <c r="V1035" s="47" t="n"/>
      <c r="W1035" s="47" t="n"/>
    </row>
    <row r="1036" ht="11.25" customHeight="1">
      <c r="A1036" s="30" t="inlineStr">
        <is>
          <t>Itaguai</t>
        </is>
      </c>
      <c r="B1036" s="30" t="n">
        <v>83698942</v>
      </c>
      <c r="C1036" s="30">
        <f>"32169484000193"</f>
        <v/>
      </c>
      <c r="D1036" s="30" t="inlineStr">
        <is>
          <t>RODOPALAS TRANSPORTES RODOVIARIOS LTDA</t>
        </is>
      </c>
      <c r="E1036" s="40" t="n">
        <v>0</v>
      </c>
      <c r="F1036" s="40" t="n">
        <v>0</v>
      </c>
      <c r="G1036" s="40" t="n">
        <v>0</v>
      </c>
      <c r="H1036" s="40" t="n">
        <v>0</v>
      </c>
      <c r="I1036" s="40" t="n">
        <v>0</v>
      </c>
      <c r="J1036" s="40" t="n">
        <v>0</v>
      </c>
      <c r="K1036" s="40" t="n">
        <v>0</v>
      </c>
      <c r="L1036" s="40" t="n">
        <v>0</v>
      </c>
      <c r="M1036" s="40" t="n">
        <v>0</v>
      </c>
      <c r="N1036" s="40" t="n">
        <v>722.99</v>
      </c>
      <c r="O1036" s="40" t="n">
        <v>100</v>
      </c>
      <c r="P1036" s="40" t="n">
        <v>0</v>
      </c>
      <c r="Q1036" s="46" t="n">
        <v>-100</v>
      </c>
      <c r="R1036" s="47" t="n"/>
      <c r="S1036" s="47" t="n"/>
      <c r="T1036" s="47" t="n"/>
      <c r="U1036" s="47" t="n"/>
      <c r="V1036" s="47" t="n"/>
      <c r="W1036" s="47" t="n"/>
    </row>
    <row r="1037" ht="11.25" customHeight="1">
      <c r="A1037" s="30" t="inlineStr">
        <is>
          <t>Itaguai</t>
        </is>
      </c>
      <c r="B1037" s="30" t="n">
        <v>83699205</v>
      </c>
      <c r="C1037" s="30">
        <f>"61139432000253"</f>
        <v/>
      </c>
      <c r="D1037" s="30" t="inlineStr">
        <is>
          <t>TRANSPORTES DELLA VOLPE S A COMERCIO E INDUSTRIA</t>
        </is>
      </c>
      <c r="E1037" s="40" t="n">
        <v>191478.26</v>
      </c>
      <c r="F1037" s="40" t="n">
        <v>240776</v>
      </c>
      <c r="G1037" s="40" t="n">
        <v>25.75</v>
      </c>
      <c r="H1037" s="40" t="n">
        <v>776101.14</v>
      </c>
      <c r="I1037" s="40" t="n">
        <v>222.33</v>
      </c>
      <c r="J1037" s="40" t="n">
        <v>267023.96</v>
      </c>
      <c r="K1037" s="46" t="n">
        <v>-65.59</v>
      </c>
      <c r="L1037" s="40" t="n">
        <v>50000</v>
      </c>
      <c r="M1037" s="46" t="n">
        <v>-81.28</v>
      </c>
      <c r="N1037" s="40" t="n">
        <v>687387.36</v>
      </c>
      <c r="O1037" s="40" t="n">
        <v>1274.77</v>
      </c>
      <c r="P1037" s="40" t="n">
        <v>402636.06</v>
      </c>
      <c r="Q1037" s="46" t="n">
        <v>-41.43</v>
      </c>
      <c r="R1037" s="47" t="n"/>
      <c r="S1037" s="47" t="n"/>
      <c r="T1037" s="47" t="n"/>
      <c r="U1037" s="47" t="n"/>
      <c r="V1037" s="47" t="n"/>
      <c r="W1037" s="47" t="n"/>
    </row>
    <row r="1038" ht="11.25" customHeight="1">
      <c r="A1038" s="30" t="inlineStr">
        <is>
          <t>Itaguai</t>
        </is>
      </c>
      <c r="B1038" s="30" t="n">
        <v>83788658</v>
      </c>
      <c r="C1038" s="30">
        <f>"29453826000279"</f>
        <v/>
      </c>
      <c r="D1038" s="30" t="inlineStr">
        <is>
          <t>TRANSPORTE GENEROSO LTDA</t>
        </is>
      </c>
      <c r="E1038" s="40" t="n">
        <v>0</v>
      </c>
      <c r="F1038" s="40" t="n">
        <v>0</v>
      </c>
      <c r="G1038" s="40" t="n">
        <v>0</v>
      </c>
      <c r="H1038" s="40" t="n">
        <v>3039</v>
      </c>
      <c r="I1038" s="40" t="n">
        <v>100</v>
      </c>
      <c r="J1038" s="40" t="n">
        <v>10791.21</v>
      </c>
      <c r="K1038" s="40" t="n">
        <v>255.09</v>
      </c>
      <c r="L1038" s="40" t="n">
        <v>6323.02</v>
      </c>
      <c r="M1038" s="46" t="n">
        <v>-41.41</v>
      </c>
      <c r="N1038" s="40" t="n">
        <v>2324.39</v>
      </c>
      <c r="O1038" s="46" t="n">
        <v>-63.24</v>
      </c>
      <c r="P1038" s="40" t="n">
        <v>8319.27</v>
      </c>
      <c r="Q1038" s="40" t="n">
        <v>257.91</v>
      </c>
      <c r="R1038" s="47" t="n"/>
      <c r="S1038" s="47" t="n"/>
      <c r="T1038" s="47" t="n"/>
      <c r="U1038" s="47" t="n"/>
      <c r="V1038" s="47" t="n"/>
      <c r="W1038" s="47" t="n"/>
    </row>
    <row r="1039" ht="11.25" customHeight="1">
      <c r="A1039" s="30" t="inlineStr">
        <is>
          <t>Itaguai</t>
        </is>
      </c>
      <c r="B1039" s="30" t="n">
        <v>83798726</v>
      </c>
      <c r="C1039" s="30">
        <f>"19199348001311"</f>
        <v/>
      </c>
      <c r="D1039" s="30" t="inlineStr">
        <is>
          <t>SADA TRANSPORTES E ARMAZENAGENS S/A</t>
        </is>
      </c>
      <c r="E1039" s="40" t="n">
        <v>505.5</v>
      </c>
      <c r="F1039" s="40" t="n">
        <v>0</v>
      </c>
      <c r="G1039" s="46" t="n">
        <v>-100</v>
      </c>
      <c r="H1039" s="40" t="n">
        <v>0</v>
      </c>
      <c r="I1039" s="40" t="n">
        <v>0</v>
      </c>
      <c r="J1039" s="40" t="n">
        <v>0</v>
      </c>
      <c r="K1039" s="40" t="n">
        <v>0</v>
      </c>
      <c r="L1039" s="40" t="n">
        <v>0</v>
      </c>
      <c r="M1039" s="40" t="n">
        <v>0</v>
      </c>
      <c r="N1039" s="40" t="n">
        <v>0</v>
      </c>
      <c r="O1039" s="40" t="n">
        <v>0</v>
      </c>
      <c r="P1039" s="40" t="n">
        <v>1081449.85</v>
      </c>
      <c r="Q1039" s="40" t="n">
        <v>100</v>
      </c>
      <c r="R1039" s="47" t="n"/>
      <c r="S1039" s="47" t="n"/>
      <c r="T1039" s="47" t="n"/>
      <c r="U1039" s="47" t="n"/>
      <c r="V1039" s="47" t="n"/>
      <c r="W1039" s="47" t="n"/>
    </row>
    <row r="1040" ht="11.25" customHeight="1">
      <c r="A1040" s="30" t="inlineStr">
        <is>
          <t>Itaguai</t>
        </is>
      </c>
      <c r="B1040" s="30" t="n">
        <v>83799277</v>
      </c>
      <c r="C1040" s="30">
        <f>"24725764000455"</f>
        <v/>
      </c>
      <c r="D1040" s="30" t="inlineStr">
        <is>
          <t>EXPRESSO VERA CRUZ LTDA</t>
        </is>
      </c>
      <c r="E1040" s="40" t="n">
        <v>0</v>
      </c>
      <c r="F1040" s="40" t="n">
        <v>0</v>
      </c>
      <c r="G1040" s="40" t="n">
        <v>0</v>
      </c>
      <c r="H1040" s="40" t="n">
        <v>90.84</v>
      </c>
      <c r="I1040" s="40" t="n">
        <v>100</v>
      </c>
      <c r="J1040" s="40" t="n">
        <v>0</v>
      </c>
      <c r="K1040" s="46" t="n">
        <v>-100</v>
      </c>
      <c r="L1040" s="40" t="n">
        <v>0</v>
      </c>
      <c r="M1040" s="40" t="n">
        <v>0</v>
      </c>
      <c r="N1040" s="40" t="n">
        <v>0</v>
      </c>
      <c r="O1040" s="40" t="n">
        <v>0</v>
      </c>
      <c r="P1040" s="40" t="n">
        <v>0</v>
      </c>
      <c r="Q1040" s="40" t="n">
        <v>0</v>
      </c>
      <c r="R1040" s="47" t="n"/>
      <c r="S1040" s="47" t="n"/>
      <c r="T1040" s="47" t="n"/>
      <c r="U1040" s="47" t="n"/>
      <c r="V1040" s="47" t="n"/>
      <c r="W1040" s="47" t="n"/>
    </row>
    <row r="1041" ht="11.25" customHeight="1">
      <c r="A1041" s="30" t="inlineStr">
        <is>
          <t>Itaguai</t>
        </is>
      </c>
      <c r="B1041" s="30" t="n">
        <v>83799366</v>
      </c>
      <c r="C1041" s="30">
        <f>"60860087000360"</f>
        <v/>
      </c>
      <c r="D1041" s="30" t="inlineStr">
        <is>
          <t>BRINK"S SEGURANCA E TRANSPORTE DE VALORES LTDA</t>
        </is>
      </c>
      <c r="E1041" s="40" t="n">
        <v>209221.94</v>
      </c>
      <c r="F1041" s="40" t="n">
        <v>280707.13</v>
      </c>
      <c r="G1041" s="40" t="n">
        <v>34.17</v>
      </c>
      <c r="H1041" s="40" t="n">
        <v>257500.58</v>
      </c>
      <c r="I1041" s="46" t="n">
        <v>-8.27</v>
      </c>
      <c r="J1041" s="40" t="n">
        <v>194151.41</v>
      </c>
      <c r="K1041" s="46" t="n">
        <v>-24.6</v>
      </c>
      <c r="L1041" s="40" t="n">
        <v>241015.82</v>
      </c>
      <c r="M1041" s="40" t="n">
        <v>24.14</v>
      </c>
      <c r="N1041" s="40" t="n">
        <v>252795.8</v>
      </c>
      <c r="O1041" s="40" t="n">
        <v>4.89</v>
      </c>
      <c r="P1041" s="40" t="n">
        <v>141184.56</v>
      </c>
      <c r="Q1041" s="46" t="n">
        <v>-44.15</v>
      </c>
      <c r="R1041" s="47" t="n"/>
      <c r="S1041" s="47" t="n"/>
      <c r="T1041" s="47" t="n"/>
      <c r="U1041" s="47" t="n"/>
      <c r="V1041" s="47" t="n"/>
      <c r="W1041" s="47" t="n"/>
    </row>
    <row r="1042" ht="11.25" customHeight="1">
      <c r="A1042" s="30" t="inlineStr">
        <is>
          <t>Itaguai</t>
        </is>
      </c>
      <c r="B1042" s="30" t="n">
        <v>83800364</v>
      </c>
      <c r="C1042" s="30">
        <f>"44993632007009"</f>
        <v/>
      </c>
      <c r="D1042" s="30" t="inlineStr">
        <is>
          <t>EMPRESAS REUNIDAS PAULISTA DE TRANSPORTES LTDA</t>
        </is>
      </c>
      <c r="E1042" s="40" t="n">
        <v>73531.73</v>
      </c>
      <c r="F1042" s="40" t="n">
        <v>89997.75999999999</v>
      </c>
      <c r="G1042" s="40" t="n">
        <v>22.39</v>
      </c>
      <c r="H1042" s="40" t="n">
        <v>90285.94</v>
      </c>
      <c r="I1042" s="40" t="n">
        <v>0.32</v>
      </c>
      <c r="J1042" s="40" t="n">
        <v>56364.86</v>
      </c>
      <c r="K1042" s="46" t="n">
        <v>-37.57</v>
      </c>
      <c r="L1042" s="40" t="n">
        <v>174546.33</v>
      </c>
      <c r="M1042" s="40" t="n">
        <v>209.67</v>
      </c>
      <c r="N1042" s="40" t="n">
        <v>0</v>
      </c>
      <c r="O1042" s="46" t="n">
        <v>-100</v>
      </c>
      <c r="P1042" s="40" t="n">
        <v>83659.39</v>
      </c>
      <c r="Q1042" s="40" t="n">
        <v>100</v>
      </c>
      <c r="R1042" s="47" t="n"/>
      <c r="S1042" s="47" t="n"/>
      <c r="T1042" s="47" t="n"/>
      <c r="U1042" s="47" t="n"/>
      <c r="V1042" s="47" t="n"/>
      <c r="W1042" s="47" t="n"/>
    </row>
    <row r="1043" ht="11.25" customHeight="1">
      <c r="A1043" s="30" t="inlineStr">
        <is>
          <t>Itaguai</t>
        </is>
      </c>
      <c r="B1043" s="30" t="n">
        <v>83824735</v>
      </c>
      <c r="C1043" s="30">
        <f>"34146175000123"</f>
        <v/>
      </c>
      <c r="D1043" s="30" t="inlineStr">
        <is>
          <t>EMPRESA DE TRANSPORTE ANGELA LTDA ME</t>
        </is>
      </c>
      <c r="E1043" s="40" t="n">
        <v>1300</v>
      </c>
      <c r="F1043" s="40" t="n">
        <v>0</v>
      </c>
      <c r="G1043" s="46" t="n">
        <v>-100</v>
      </c>
      <c r="H1043" s="40" t="n">
        <v>0</v>
      </c>
      <c r="I1043" s="40" t="n">
        <v>0</v>
      </c>
      <c r="J1043" s="40" t="n">
        <v>0</v>
      </c>
      <c r="K1043" s="40" t="n">
        <v>0</v>
      </c>
      <c r="L1043" s="40" t="n">
        <v>0</v>
      </c>
      <c r="M1043" s="40" t="n">
        <v>0</v>
      </c>
      <c r="N1043" s="40" t="n">
        <v>8000</v>
      </c>
      <c r="O1043" s="40" t="n">
        <v>100</v>
      </c>
      <c r="P1043" s="40" t="n">
        <v>0</v>
      </c>
      <c r="Q1043" s="46" t="n">
        <v>-100</v>
      </c>
      <c r="R1043" s="47" t="n"/>
      <c r="S1043" s="47" t="n"/>
      <c r="T1043" s="47" t="n"/>
      <c r="U1043" s="47" t="n"/>
      <c r="V1043" s="47" t="n"/>
      <c r="W1043" s="47" t="n"/>
    </row>
    <row r="1044" ht="11.25" customHeight="1">
      <c r="A1044" s="30" t="inlineStr">
        <is>
          <t>Itaguai</t>
        </is>
      </c>
      <c r="B1044" s="30" t="n">
        <v>83827327</v>
      </c>
      <c r="C1044" s="30">
        <f>"33498551000186"</f>
        <v/>
      </c>
      <c r="D1044" s="30" t="inlineStr">
        <is>
          <t>TURISMO TRES AMIGOS LTDA</t>
        </is>
      </c>
      <c r="E1044" s="40" t="n">
        <v>0</v>
      </c>
      <c r="F1044" s="40" t="n">
        <v>0</v>
      </c>
      <c r="G1044" s="40" t="n">
        <v>0</v>
      </c>
      <c r="H1044" s="40" t="n">
        <v>2289</v>
      </c>
      <c r="I1044" s="40" t="n">
        <v>100</v>
      </c>
      <c r="J1044" s="40" t="n">
        <v>0</v>
      </c>
      <c r="K1044" s="46" t="n">
        <v>-100</v>
      </c>
      <c r="L1044" s="40" t="n">
        <v>0</v>
      </c>
      <c r="M1044" s="40" t="n">
        <v>0</v>
      </c>
      <c r="N1044" s="40" t="n">
        <v>0</v>
      </c>
      <c r="O1044" s="40" t="n">
        <v>0</v>
      </c>
      <c r="P1044" s="40" t="n">
        <v>3800</v>
      </c>
      <c r="Q1044" s="40" t="n">
        <v>100</v>
      </c>
      <c r="R1044" s="47" t="n"/>
      <c r="S1044" s="47" t="n"/>
      <c r="T1044" s="47" t="n"/>
      <c r="U1044" s="47" t="n"/>
      <c r="V1044" s="47" t="n"/>
      <c r="W1044" s="47" t="n"/>
    </row>
    <row r="1045" ht="11.25" customHeight="1">
      <c r="A1045" s="30" t="inlineStr">
        <is>
          <t>Itaguai</t>
        </is>
      </c>
      <c r="B1045" s="30" t="n">
        <v>83834218</v>
      </c>
      <c r="C1045" s="30">
        <f>"33087859000139"</f>
        <v/>
      </c>
      <c r="D1045" s="30" t="inlineStr">
        <is>
          <t>BEL TOUR TURISMO E TRANSPORTES LTDA</t>
        </is>
      </c>
      <c r="E1045" s="40" t="n">
        <v>0</v>
      </c>
      <c r="F1045" s="40" t="n">
        <v>0</v>
      </c>
      <c r="G1045" s="40" t="n">
        <v>0</v>
      </c>
      <c r="H1045" s="40" t="n">
        <v>0</v>
      </c>
      <c r="I1045" s="40" t="n">
        <v>0</v>
      </c>
      <c r="J1045" s="40" t="n">
        <v>0</v>
      </c>
      <c r="K1045" s="40" t="n">
        <v>0</v>
      </c>
      <c r="L1045" s="40" t="n">
        <v>4707479.11</v>
      </c>
      <c r="M1045" s="40" t="n">
        <v>100</v>
      </c>
      <c r="N1045" s="40" t="n">
        <v>3670545.48</v>
      </c>
      <c r="O1045" s="46" t="n">
        <v>-22.03</v>
      </c>
      <c r="P1045" s="40" t="n">
        <v>839272.4</v>
      </c>
      <c r="Q1045" s="46" t="n">
        <v>-77.13</v>
      </c>
      <c r="R1045" s="47" t="n"/>
      <c r="S1045" s="47" t="n"/>
      <c r="T1045" s="47" t="n"/>
      <c r="U1045" s="47" t="n"/>
      <c r="V1045" s="47" t="n"/>
      <c r="W1045" s="47" t="n"/>
    </row>
    <row r="1046" ht="11.25" customHeight="1">
      <c r="A1046" s="30" t="inlineStr">
        <is>
          <t>Itaguai</t>
        </is>
      </c>
      <c r="B1046" s="30" t="n">
        <v>83858664</v>
      </c>
      <c r="C1046" s="30">
        <f>"29108107000130"</f>
        <v/>
      </c>
      <c r="D1046" s="30" t="inlineStr">
        <is>
          <t>SOLAZER TRANSPORTES E TURISMO LTDA</t>
        </is>
      </c>
      <c r="E1046" s="40" t="n">
        <v>2946527.2</v>
      </c>
      <c r="F1046" s="40" t="n">
        <v>8680</v>
      </c>
      <c r="G1046" s="46" t="n">
        <v>-99.70999999999999</v>
      </c>
      <c r="H1046" s="40" t="n">
        <v>97473</v>
      </c>
      <c r="I1046" s="40" t="n">
        <v>1022.96</v>
      </c>
      <c r="J1046" s="40" t="n">
        <v>375249.05</v>
      </c>
      <c r="K1046" s="40" t="n">
        <v>284.98</v>
      </c>
      <c r="L1046" s="40" t="n">
        <v>1633243.44</v>
      </c>
      <c r="M1046" s="40" t="n">
        <v>335.24</v>
      </c>
      <c r="N1046" s="40" t="n">
        <v>1540184.52</v>
      </c>
      <c r="O1046" s="46" t="n">
        <v>-5.7</v>
      </c>
      <c r="P1046" s="40" t="n">
        <v>1563193.06</v>
      </c>
      <c r="Q1046" s="40" t="n">
        <v>1.49</v>
      </c>
      <c r="R1046" s="47" t="n"/>
      <c r="S1046" s="47" t="n"/>
      <c r="T1046" s="47" t="n"/>
      <c r="U1046" s="47" t="n"/>
      <c r="V1046" s="47" t="n"/>
      <c r="W1046" s="47" t="n"/>
    </row>
    <row r="1047" ht="11.25" customHeight="1">
      <c r="A1047" s="30" t="inlineStr">
        <is>
          <t>Itaguai</t>
        </is>
      </c>
      <c r="B1047" s="30" t="n">
        <v>83868244</v>
      </c>
      <c r="C1047" s="30">
        <f>"07358761028500"</f>
        <v/>
      </c>
      <c r="D1047" s="30" t="inlineStr">
        <is>
          <t>GERDAU ACOS LONGOS S/A</t>
        </is>
      </c>
      <c r="E1047" s="40" t="n">
        <v>0</v>
      </c>
      <c r="F1047" s="40" t="n">
        <v>0</v>
      </c>
      <c r="G1047" s="40" t="n">
        <v>0</v>
      </c>
      <c r="H1047" s="40" t="n">
        <v>0</v>
      </c>
      <c r="I1047" s="40" t="n">
        <v>0</v>
      </c>
      <c r="J1047" s="40" t="n">
        <v>0</v>
      </c>
      <c r="K1047" s="40" t="n">
        <v>0</v>
      </c>
      <c r="L1047" s="40" t="n">
        <v>0</v>
      </c>
      <c r="M1047" s="40" t="n">
        <v>0</v>
      </c>
      <c r="N1047" s="40" t="n">
        <v>0</v>
      </c>
      <c r="O1047" s="40" t="n">
        <v>0</v>
      </c>
      <c r="P1047" s="40" t="n">
        <v>506.09</v>
      </c>
      <c r="Q1047" s="40" t="n">
        <v>100</v>
      </c>
      <c r="R1047" s="47" t="n"/>
      <c r="S1047" s="47" t="n"/>
      <c r="T1047" s="47" t="n"/>
      <c r="U1047" s="47" t="n"/>
      <c r="V1047" s="47" t="n"/>
      <c r="W1047" s="47" t="n"/>
    </row>
    <row r="1048" ht="11.25" customHeight="1">
      <c r="A1048" s="30" t="inlineStr">
        <is>
          <t>Itaguai</t>
        </is>
      </c>
      <c r="B1048" s="30" t="n">
        <v>83918748</v>
      </c>
      <c r="C1048" s="30">
        <f>"31096068000301"</f>
        <v/>
      </c>
      <c r="D1048" s="30" t="inlineStr">
        <is>
          <t>MULTITERMINAIS ALFANDEGADOS DO BRASIL S A</t>
        </is>
      </c>
      <c r="E1048" s="40" t="n">
        <v>120914.85</v>
      </c>
      <c r="F1048" s="40" t="n">
        <v>0</v>
      </c>
      <c r="G1048" s="46" t="n">
        <v>-100</v>
      </c>
      <c r="H1048" s="40" t="n">
        <v>0</v>
      </c>
      <c r="I1048" s="40" t="n">
        <v>0</v>
      </c>
      <c r="J1048" s="40" t="n">
        <v>481684.61</v>
      </c>
      <c r="K1048" s="40" t="n">
        <v>100</v>
      </c>
      <c r="L1048" s="40" t="n">
        <v>371996.84</v>
      </c>
      <c r="M1048" s="46" t="n">
        <v>-22.77</v>
      </c>
      <c r="N1048" s="40" t="n">
        <v>536022.86</v>
      </c>
      <c r="O1048" s="40" t="n">
        <v>44.09</v>
      </c>
      <c r="P1048" s="40" t="n">
        <v>238477.06</v>
      </c>
      <c r="Q1048" s="46" t="n">
        <v>-55.51</v>
      </c>
      <c r="R1048" s="47" t="n"/>
      <c r="S1048" s="47" t="n"/>
      <c r="T1048" s="47" t="n"/>
      <c r="U1048" s="47" t="n"/>
      <c r="V1048" s="47" t="n"/>
      <c r="W1048" s="47" t="n"/>
    </row>
    <row r="1049" ht="11.25" customHeight="1">
      <c r="A1049" s="30" t="inlineStr">
        <is>
          <t>Itaguai</t>
        </is>
      </c>
      <c r="B1049" s="30" t="n">
        <v>83951257</v>
      </c>
      <c r="C1049" s="30">
        <f>"35826361000176"</f>
        <v/>
      </c>
      <c r="D1049" s="30" t="inlineStr">
        <is>
          <t>J D SANTOS CARVOARIA EPP</t>
        </is>
      </c>
      <c r="E1049" s="40" t="n">
        <v>822861.24</v>
      </c>
      <c r="F1049" s="40" t="n">
        <v>0</v>
      </c>
      <c r="G1049" s="46" t="n">
        <v>-100</v>
      </c>
      <c r="H1049" s="40" t="n">
        <v>0</v>
      </c>
      <c r="I1049" s="40" t="n">
        <v>0</v>
      </c>
      <c r="J1049" s="40" t="n">
        <v>0</v>
      </c>
      <c r="K1049" s="40" t="n">
        <v>0</v>
      </c>
      <c r="L1049" s="40" t="n">
        <v>0</v>
      </c>
      <c r="M1049" s="40" t="n">
        <v>0</v>
      </c>
      <c r="N1049" s="40" t="n">
        <v>0</v>
      </c>
      <c r="O1049" s="40" t="n">
        <v>0</v>
      </c>
      <c r="P1049" s="40" t="n">
        <v>1032651.2</v>
      </c>
      <c r="Q1049" s="40" t="n">
        <v>100</v>
      </c>
      <c r="R1049" s="47" t="n"/>
      <c r="S1049" s="47" t="n"/>
      <c r="T1049" s="47" t="n"/>
      <c r="U1049" s="47" t="n"/>
      <c r="V1049" s="47" t="n"/>
      <c r="W1049" s="47" t="n"/>
    </row>
    <row r="1050" ht="11.25" customHeight="1">
      <c r="A1050" s="30" t="inlineStr">
        <is>
          <t>Itaguai</t>
        </is>
      </c>
      <c r="B1050" s="30" t="n">
        <v>83953276</v>
      </c>
      <c r="C1050" s="30">
        <f>"36061604000195"</f>
        <v/>
      </c>
      <c r="D1050" s="30" t="inlineStr">
        <is>
          <t>PRISMA DE ITAGUAI COMERCIO E INDUSTRIA EIRELI ME</t>
        </is>
      </c>
      <c r="E1050" s="40" t="n">
        <v>0</v>
      </c>
      <c r="F1050" s="40" t="n">
        <v>0</v>
      </c>
      <c r="G1050" s="40" t="n">
        <v>0</v>
      </c>
      <c r="H1050" s="40" t="n">
        <v>0</v>
      </c>
      <c r="I1050" s="40" t="n">
        <v>0</v>
      </c>
      <c r="J1050" s="40" t="n">
        <v>0</v>
      </c>
      <c r="K1050" s="40" t="n">
        <v>0</v>
      </c>
      <c r="L1050" s="40" t="n">
        <v>0</v>
      </c>
      <c r="M1050" s="40" t="n">
        <v>0</v>
      </c>
      <c r="N1050" s="40" t="n">
        <v>0</v>
      </c>
      <c r="O1050" s="40" t="n">
        <v>0</v>
      </c>
      <c r="P1050" s="40" t="n">
        <v>0</v>
      </c>
      <c r="Q1050" s="40" t="n">
        <v>0</v>
      </c>
      <c r="R1050" s="47" t="n"/>
      <c r="S1050" s="47" t="n"/>
      <c r="T1050" s="47" t="n"/>
      <c r="U1050" s="47" t="n"/>
      <c r="V1050" s="47" t="n"/>
      <c r="W1050" s="47" t="n"/>
    </row>
    <row r="1051" ht="11.25" customHeight="1">
      <c r="A1051" s="30" t="inlineStr">
        <is>
          <t>Itaguai</t>
        </is>
      </c>
      <c r="B1051" s="30" t="n">
        <v>83953314</v>
      </c>
      <c r="C1051" s="30">
        <f>"39114822000139"</f>
        <v/>
      </c>
      <c r="D1051" s="30" t="inlineStr">
        <is>
          <t>RETIFICA DE MOTORES BRISAMAR LTDA</t>
        </is>
      </c>
      <c r="E1051" s="40" t="n">
        <v>0</v>
      </c>
      <c r="F1051" s="40" t="n">
        <v>0</v>
      </c>
      <c r="G1051" s="40" t="n">
        <v>0</v>
      </c>
      <c r="H1051" s="40" t="n">
        <v>0</v>
      </c>
      <c r="I1051" s="40" t="n">
        <v>0</v>
      </c>
      <c r="J1051" s="40" t="n">
        <v>0</v>
      </c>
      <c r="K1051" s="40" t="n">
        <v>0</v>
      </c>
      <c r="L1051" s="40" t="n">
        <v>0</v>
      </c>
      <c r="M1051" s="40" t="n">
        <v>0</v>
      </c>
      <c r="N1051" s="40" t="n">
        <v>0</v>
      </c>
      <c r="O1051" s="40" t="n">
        <v>0</v>
      </c>
      <c r="P1051" s="40" t="n">
        <v>0</v>
      </c>
      <c r="Q1051" s="40" t="n">
        <v>0</v>
      </c>
      <c r="R1051" s="47" t="n"/>
      <c r="S1051" s="47" t="n"/>
      <c r="T1051" s="47" t="n"/>
      <c r="U1051" s="47" t="n"/>
      <c r="V1051" s="47" t="n"/>
      <c r="W1051" s="47" t="n"/>
    </row>
    <row r="1052" ht="11.25" customHeight="1">
      <c r="A1052" s="30" t="inlineStr">
        <is>
          <t>Itaguai</t>
        </is>
      </c>
      <c r="B1052" s="30" t="n">
        <v>83953829</v>
      </c>
      <c r="C1052" s="30">
        <f>"36061620000188"</f>
        <v/>
      </c>
      <c r="D1052" s="30" t="inlineStr">
        <is>
          <t>V VEICULOS LTDA</t>
        </is>
      </c>
      <c r="E1052" s="40" t="n">
        <v>224639.59</v>
      </c>
      <c r="F1052" s="40" t="n">
        <v>186837.77</v>
      </c>
      <c r="G1052" s="46" t="n">
        <v>-16.83</v>
      </c>
      <c r="H1052" s="40" t="n">
        <v>775061.3100000001</v>
      </c>
      <c r="I1052" s="40" t="n">
        <v>314.83</v>
      </c>
      <c r="J1052" s="40" t="n">
        <v>74508.41</v>
      </c>
      <c r="K1052" s="46" t="n">
        <v>-90.39</v>
      </c>
      <c r="L1052" s="40" t="n">
        <v>206266.47</v>
      </c>
      <c r="M1052" s="40" t="n">
        <v>176.84</v>
      </c>
      <c r="N1052" s="40" t="n">
        <v>68819.84</v>
      </c>
      <c r="O1052" s="46" t="n">
        <v>-66.64</v>
      </c>
      <c r="P1052" s="40" t="n">
        <v>0</v>
      </c>
      <c r="Q1052" s="46" t="n">
        <v>-100</v>
      </c>
      <c r="R1052" s="47" t="n"/>
      <c r="S1052" s="47" t="n"/>
      <c r="T1052" s="47" t="n"/>
      <c r="U1052" s="47" t="n"/>
      <c r="V1052" s="47" t="n"/>
      <c r="W1052" s="47" t="n"/>
    </row>
    <row r="1053" ht="11.25" customHeight="1">
      <c r="A1053" s="30" t="inlineStr">
        <is>
          <t>Itaguai</t>
        </is>
      </c>
      <c r="B1053" s="30" t="n">
        <v>83953993</v>
      </c>
      <c r="C1053" s="30">
        <f>"36062321000168"</f>
        <v/>
      </c>
      <c r="D1053" s="30" t="inlineStr">
        <is>
          <t>VALMIR S GOMES BAZAR ME</t>
        </is>
      </c>
      <c r="E1053" s="40" t="n">
        <v>0</v>
      </c>
      <c r="F1053" s="40" t="n">
        <v>0</v>
      </c>
      <c r="G1053" s="40" t="n">
        <v>0</v>
      </c>
      <c r="H1053" s="40" t="n">
        <v>0</v>
      </c>
      <c r="I1053" s="40" t="n">
        <v>0</v>
      </c>
      <c r="J1053" s="40" t="n">
        <v>0</v>
      </c>
      <c r="K1053" s="40" t="n">
        <v>0</v>
      </c>
      <c r="L1053" s="40" t="n">
        <v>0</v>
      </c>
      <c r="M1053" s="40" t="n">
        <v>0</v>
      </c>
      <c r="N1053" s="40" t="n">
        <v>0</v>
      </c>
      <c r="O1053" s="40" t="n">
        <v>0</v>
      </c>
      <c r="P1053" s="40" t="n">
        <v>0</v>
      </c>
      <c r="Q1053" s="40" t="n">
        <v>0</v>
      </c>
      <c r="R1053" s="47" t="n"/>
      <c r="S1053" s="47" t="n"/>
      <c r="T1053" s="47" t="n"/>
      <c r="U1053" s="47" t="n"/>
      <c r="V1053" s="47" t="n"/>
      <c r="W1053" s="47" t="n"/>
    </row>
    <row r="1054" ht="11.25" customHeight="1">
      <c r="A1054" s="30" t="inlineStr">
        <is>
          <t>Itaguai</t>
        </is>
      </c>
      <c r="B1054" s="30" t="n">
        <v>83954388</v>
      </c>
      <c r="C1054" s="30">
        <f>"36437093000163"</f>
        <v/>
      </c>
      <c r="D1054" s="30" t="inlineStr">
        <is>
          <t>R A CORREA DISTRIBUIDORA DE PECAS AUTOMOTIVAS LTDA ME</t>
        </is>
      </c>
      <c r="E1054" s="40" t="n">
        <v>0</v>
      </c>
      <c r="F1054" s="40" t="n">
        <v>0</v>
      </c>
      <c r="G1054" s="40" t="n">
        <v>0</v>
      </c>
      <c r="H1054" s="40" t="n">
        <v>0</v>
      </c>
      <c r="I1054" s="40" t="n">
        <v>0</v>
      </c>
      <c r="J1054" s="40" t="n">
        <v>0</v>
      </c>
      <c r="K1054" s="40" t="n">
        <v>0</v>
      </c>
      <c r="L1054" s="40" t="n">
        <v>0</v>
      </c>
      <c r="M1054" s="40" t="n">
        <v>0</v>
      </c>
      <c r="N1054" s="40" t="n">
        <v>1491150.93</v>
      </c>
      <c r="O1054" s="40" t="n">
        <v>100</v>
      </c>
      <c r="P1054" s="40" t="n">
        <v>0</v>
      </c>
      <c r="Q1054" s="46" t="n">
        <v>-100</v>
      </c>
      <c r="R1054" s="47" t="n"/>
      <c r="S1054" s="47" t="n"/>
      <c r="T1054" s="47" t="n"/>
      <c r="U1054" s="47" t="n"/>
      <c r="V1054" s="47" t="n"/>
      <c r="W1054" s="47" t="n"/>
    </row>
    <row r="1055" ht="11.25" customHeight="1">
      <c r="A1055" s="30" t="inlineStr">
        <is>
          <t>Itaguai</t>
        </is>
      </c>
      <c r="B1055" s="30" t="n">
        <v>84088544</v>
      </c>
      <c r="C1055" s="30">
        <f>"28361483000179"</f>
        <v/>
      </c>
      <c r="D1055" s="30" t="inlineStr">
        <is>
          <t>DOM BOSCO TURISMO E TRANSPORTES LTDA</t>
        </is>
      </c>
      <c r="E1055" s="40" t="n">
        <v>14050</v>
      </c>
      <c r="F1055" s="40" t="n">
        <v>14975</v>
      </c>
      <c r="G1055" s="40" t="n">
        <v>6.58</v>
      </c>
      <c r="H1055" s="40" t="n">
        <v>73021.95</v>
      </c>
      <c r="I1055" s="40" t="n">
        <v>387.63</v>
      </c>
      <c r="J1055" s="40" t="n">
        <v>1200</v>
      </c>
      <c r="K1055" s="46" t="n">
        <v>-98.36</v>
      </c>
      <c r="L1055" s="40" t="n">
        <v>75950</v>
      </c>
      <c r="M1055" s="40" t="n">
        <v>6229.17</v>
      </c>
      <c r="N1055" s="40" t="n">
        <v>21900</v>
      </c>
      <c r="O1055" s="46" t="n">
        <v>-71.17</v>
      </c>
      <c r="P1055" s="40" t="n">
        <v>39300</v>
      </c>
      <c r="Q1055" s="40" t="n">
        <v>79.45</v>
      </c>
      <c r="R1055" s="47" t="n"/>
      <c r="S1055" s="47" t="n"/>
      <c r="T1055" s="47" t="n"/>
      <c r="U1055" s="47" t="n"/>
      <c r="V1055" s="47" t="n"/>
      <c r="W1055" s="47" t="n"/>
    </row>
    <row r="1056" ht="11.25" customHeight="1">
      <c r="A1056" s="30" t="inlineStr">
        <is>
          <t>Itaguai</t>
        </is>
      </c>
      <c r="B1056" s="30" t="n">
        <v>84089109</v>
      </c>
      <c r="C1056" s="30">
        <f>"17191172000516"</f>
        <v/>
      </c>
      <c r="D1056" s="30" t="inlineStr">
        <is>
          <t>EMPRESA DE TRANSPORTES MARTINS LTDA</t>
        </is>
      </c>
      <c r="E1056" s="40" t="n">
        <v>21051.32</v>
      </c>
      <c r="F1056" s="40" t="n">
        <v>67392.19</v>
      </c>
      <c r="G1056" s="40" t="n">
        <v>220.13</v>
      </c>
      <c r="H1056" s="40" t="n">
        <v>15350.76</v>
      </c>
      <c r="I1056" s="46" t="n">
        <v>-77.22</v>
      </c>
      <c r="J1056" s="40" t="n">
        <v>14491.12</v>
      </c>
      <c r="K1056" s="46" t="n">
        <v>-5.6</v>
      </c>
      <c r="L1056" s="40" t="n">
        <v>31661.25</v>
      </c>
      <c r="M1056" s="40" t="n">
        <v>118.49</v>
      </c>
      <c r="N1056" s="40" t="n">
        <v>29416.25</v>
      </c>
      <c r="O1056" s="46" t="n">
        <v>-7.09</v>
      </c>
      <c r="P1056" s="40" t="n">
        <v>33153.45</v>
      </c>
      <c r="Q1056" s="40" t="n">
        <v>12.7</v>
      </c>
      <c r="R1056" s="47" t="n"/>
      <c r="S1056" s="47" t="n"/>
      <c r="T1056" s="47" t="n"/>
      <c r="U1056" s="47" t="n"/>
      <c r="V1056" s="47" t="n"/>
      <c r="W1056" s="47" t="n"/>
    </row>
    <row r="1057" ht="11.25" customHeight="1">
      <c r="A1057" s="30" t="inlineStr">
        <is>
          <t>Itaguai</t>
        </is>
      </c>
      <c r="B1057" s="30" t="n">
        <v>84200395</v>
      </c>
      <c r="C1057" s="30">
        <f>"17676693000130"</f>
        <v/>
      </c>
      <c r="D1057" s="30" t="inlineStr">
        <is>
          <t>M W TRANSPORTES LTDA</t>
        </is>
      </c>
      <c r="E1057" s="40" t="n">
        <v>0</v>
      </c>
      <c r="F1057" s="40" t="n">
        <v>1459.02</v>
      </c>
      <c r="G1057" s="40" t="n">
        <v>100</v>
      </c>
      <c r="H1057" s="40" t="n">
        <v>4870.21</v>
      </c>
      <c r="I1057" s="40" t="n">
        <v>233.8</v>
      </c>
      <c r="J1057" s="40" t="n">
        <v>1569.83</v>
      </c>
      <c r="K1057" s="46" t="n">
        <v>-67.77</v>
      </c>
      <c r="L1057" s="40" t="n">
        <v>924.9299999999999</v>
      </c>
      <c r="M1057" s="46" t="n">
        <v>-41.08</v>
      </c>
      <c r="N1057" s="40" t="n">
        <v>1073.42</v>
      </c>
      <c r="O1057" s="40" t="n">
        <v>16.05</v>
      </c>
      <c r="P1057" s="40" t="n">
        <v>1232.77</v>
      </c>
      <c r="Q1057" s="40" t="n">
        <v>14.85</v>
      </c>
      <c r="R1057" s="47" t="n"/>
      <c r="S1057" s="47" t="n"/>
      <c r="T1057" s="47" t="n"/>
      <c r="U1057" s="47" t="n"/>
      <c r="V1057" s="47" t="n"/>
      <c r="W1057" s="47" t="n"/>
    </row>
    <row r="1058" ht="11.25" customHeight="1">
      <c r="A1058" s="30" t="inlineStr">
        <is>
          <t>Itaguai</t>
        </is>
      </c>
      <c r="B1058" s="30" t="n">
        <v>84321869</v>
      </c>
      <c r="C1058" s="30">
        <f>"33041260014700"</f>
        <v/>
      </c>
      <c r="D1058" s="30" t="inlineStr">
        <is>
          <t>VIA VAREJO S/A</t>
        </is>
      </c>
      <c r="E1058" s="40" t="n">
        <v>2885524.22</v>
      </c>
      <c r="F1058" s="40" t="n">
        <v>2500385.05</v>
      </c>
      <c r="G1058" s="46" t="n">
        <v>-13.35</v>
      </c>
      <c r="H1058" s="40" t="n">
        <v>2279757.9</v>
      </c>
      <c r="I1058" s="46" t="n">
        <v>-8.82</v>
      </c>
      <c r="J1058" s="40" t="n">
        <v>2677768.23</v>
      </c>
      <c r="K1058" s="40" t="n">
        <v>17.46</v>
      </c>
      <c r="L1058" s="40" t="n">
        <v>940621.37</v>
      </c>
      <c r="M1058" s="46" t="n">
        <v>-64.87</v>
      </c>
      <c r="N1058" s="40" t="n">
        <v>652411.86</v>
      </c>
      <c r="O1058" s="46" t="n">
        <v>-30.64</v>
      </c>
      <c r="P1058" s="40" t="n">
        <v>937901.63</v>
      </c>
      <c r="Q1058" s="40" t="n">
        <v>43.76</v>
      </c>
      <c r="R1058" s="47" t="n"/>
      <c r="S1058" s="47" t="n"/>
      <c r="T1058" s="47" t="n"/>
      <c r="U1058" s="47" t="n"/>
      <c r="V1058" s="47" t="n"/>
      <c r="W1058" s="47" t="n"/>
    </row>
    <row r="1059" ht="11.25" customHeight="1">
      <c r="A1059" s="30" t="inlineStr">
        <is>
          <t>Itaguai</t>
        </is>
      </c>
      <c r="B1059" s="30" t="n">
        <v>84321982</v>
      </c>
      <c r="C1059" s="30">
        <f>"40388480000124"</f>
        <v/>
      </c>
      <c r="D1059" s="30" t="inlineStr">
        <is>
          <t>OTICA EL SHADAY LTDA</t>
        </is>
      </c>
      <c r="E1059" s="40" t="n">
        <v>0</v>
      </c>
      <c r="F1059" s="40" t="n">
        <v>0</v>
      </c>
      <c r="G1059" s="40" t="n">
        <v>0</v>
      </c>
      <c r="H1059" s="40" t="n">
        <v>0</v>
      </c>
      <c r="I1059" s="40" t="n">
        <v>0</v>
      </c>
      <c r="J1059" s="40" t="n">
        <v>0</v>
      </c>
      <c r="K1059" s="40" t="n">
        <v>0</v>
      </c>
      <c r="L1059" s="40" t="n">
        <v>0</v>
      </c>
      <c r="M1059" s="40" t="n">
        <v>0</v>
      </c>
      <c r="N1059" s="40" t="n">
        <v>0</v>
      </c>
      <c r="O1059" s="40" t="n">
        <v>0</v>
      </c>
      <c r="P1059" s="40" t="n">
        <v>0</v>
      </c>
      <c r="Q1059" s="40" t="n">
        <v>0</v>
      </c>
      <c r="R1059" s="47" t="n"/>
      <c r="S1059" s="47" t="n"/>
      <c r="T1059" s="47" t="n"/>
      <c r="U1059" s="47" t="n"/>
      <c r="V1059" s="47" t="n"/>
      <c r="W1059" s="47" t="n"/>
    </row>
    <row r="1060" ht="11.25" customHeight="1">
      <c r="A1060" s="30" t="inlineStr">
        <is>
          <t>Itaguai</t>
        </is>
      </c>
      <c r="B1060" s="30" t="n">
        <v>84322350</v>
      </c>
      <c r="C1060" s="30">
        <f>"31094667000124"</f>
        <v/>
      </c>
      <c r="D1060" s="30" t="inlineStr">
        <is>
          <t>O M C COMERCIO DE FERRAMENTAS E MAQUINAS LTDA ME</t>
        </is>
      </c>
      <c r="E1060" s="40" t="n">
        <v>0</v>
      </c>
      <c r="F1060" s="40" t="n">
        <v>0</v>
      </c>
      <c r="G1060" s="40" t="n">
        <v>0</v>
      </c>
      <c r="H1060" s="40" t="n">
        <v>0</v>
      </c>
      <c r="I1060" s="40" t="n">
        <v>0</v>
      </c>
      <c r="J1060" s="40" t="n">
        <v>0</v>
      </c>
      <c r="K1060" s="40" t="n">
        <v>0</v>
      </c>
      <c r="L1060" s="40" t="n">
        <v>1081543.16</v>
      </c>
      <c r="M1060" s="40" t="n">
        <v>100</v>
      </c>
      <c r="N1060" s="40" t="n">
        <v>0</v>
      </c>
      <c r="O1060" s="46" t="n">
        <v>-100</v>
      </c>
      <c r="P1060" s="40" t="n">
        <v>939398.98</v>
      </c>
      <c r="Q1060" s="40" t="n">
        <v>100</v>
      </c>
      <c r="R1060" s="47" t="n"/>
      <c r="S1060" s="47" t="n"/>
      <c r="T1060" s="47" t="n"/>
      <c r="U1060" s="47" t="n"/>
      <c r="V1060" s="47" t="n"/>
      <c r="W1060" s="47" t="n"/>
    </row>
    <row r="1061" ht="11.25" customHeight="1">
      <c r="A1061" s="30" t="inlineStr">
        <is>
          <t>Itaguai</t>
        </is>
      </c>
      <c r="B1061" s="30" t="n">
        <v>84325767</v>
      </c>
      <c r="C1061" s="30">
        <f>"40160558000159"</f>
        <v/>
      </c>
      <c r="D1061" s="30" t="inlineStr">
        <is>
          <t>TRANSPORTE E TURISMO REAL BRASIL LTDA</t>
        </is>
      </c>
      <c r="E1061" s="40" t="n">
        <v>24700</v>
      </c>
      <c r="F1061" s="40" t="n">
        <v>43100</v>
      </c>
      <c r="G1061" s="40" t="n">
        <v>74.48999999999999</v>
      </c>
      <c r="H1061" s="40" t="n">
        <v>17850</v>
      </c>
      <c r="I1061" s="46" t="n">
        <v>-58.58</v>
      </c>
      <c r="J1061" s="40" t="n">
        <v>139950</v>
      </c>
      <c r="K1061" s="40" t="n">
        <v>684.03</v>
      </c>
      <c r="L1061" s="40" t="n">
        <v>331200</v>
      </c>
      <c r="M1061" s="40" t="n">
        <v>136.66</v>
      </c>
      <c r="N1061" s="40" t="n">
        <v>4586626.54</v>
      </c>
      <c r="O1061" s="40" t="n">
        <v>1284.85</v>
      </c>
      <c r="P1061" s="40" t="n">
        <v>7563935.01</v>
      </c>
      <c r="Q1061" s="40" t="n">
        <v>64.91</v>
      </c>
      <c r="R1061" s="47" t="n"/>
      <c r="S1061" s="47" t="n"/>
      <c r="T1061" s="47" t="n"/>
      <c r="U1061" s="47" t="n"/>
      <c r="V1061" s="47" t="n"/>
      <c r="W1061" s="47" t="n"/>
    </row>
    <row r="1062" ht="11.25" customHeight="1">
      <c r="A1062" s="30" t="inlineStr">
        <is>
          <t>Itaguai</t>
        </is>
      </c>
      <c r="B1062" s="30" t="n">
        <v>84326992</v>
      </c>
      <c r="C1062" s="30">
        <f>"32314247000179"</f>
        <v/>
      </c>
      <c r="D1062" s="30" t="inlineStr">
        <is>
          <t>MTD TRANSPORTES LTDA</t>
        </is>
      </c>
      <c r="E1062" s="40" t="n">
        <v>149.6</v>
      </c>
      <c r="F1062" s="40" t="n">
        <v>56.69</v>
      </c>
      <c r="G1062" s="46" t="n">
        <v>-62.11</v>
      </c>
      <c r="H1062" s="40" t="n">
        <v>0</v>
      </c>
      <c r="I1062" s="46" t="n">
        <v>-100</v>
      </c>
      <c r="J1062" s="40" t="n">
        <v>0</v>
      </c>
      <c r="K1062" s="40" t="n">
        <v>0</v>
      </c>
      <c r="L1062" s="40" t="n">
        <v>0</v>
      </c>
      <c r="M1062" s="40" t="n">
        <v>0</v>
      </c>
      <c r="N1062" s="40" t="n">
        <v>228.84</v>
      </c>
      <c r="O1062" s="40" t="n">
        <v>100</v>
      </c>
      <c r="P1062" s="40" t="n">
        <v>99.16</v>
      </c>
      <c r="Q1062" s="46" t="n">
        <v>-56.67</v>
      </c>
      <c r="R1062" s="47" t="n"/>
      <c r="S1062" s="47" t="n"/>
      <c r="T1062" s="47" t="n"/>
      <c r="U1062" s="47" t="n"/>
      <c r="V1062" s="47" t="n"/>
      <c r="W1062" s="47" t="n"/>
    </row>
    <row r="1063" ht="11.25" customHeight="1">
      <c r="A1063" s="30" t="inlineStr">
        <is>
          <t>Itaguai</t>
        </is>
      </c>
      <c r="B1063" s="30" t="n">
        <v>84327093</v>
      </c>
      <c r="C1063" s="30">
        <f>"66199068000311"</f>
        <v/>
      </c>
      <c r="D1063" s="30" t="inlineStr">
        <is>
          <t>RAPIDO ALEM PARAIBA LTDA</t>
        </is>
      </c>
      <c r="E1063" s="40" t="n">
        <v>365</v>
      </c>
      <c r="F1063" s="40" t="n">
        <v>989</v>
      </c>
      <c r="G1063" s="40" t="n">
        <v>170.96</v>
      </c>
      <c r="H1063" s="40" t="n">
        <v>737</v>
      </c>
      <c r="I1063" s="46" t="n">
        <v>-25.48</v>
      </c>
      <c r="J1063" s="40" t="n">
        <v>1140</v>
      </c>
      <c r="K1063" s="40" t="n">
        <v>54.68</v>
      </c>
      <c r="L1063" s="40" t="n">
        <v>420</v>
      </c>
      <c r="M1063" s="46" t="n">
        <v>-63.16</v>
      </c>
      <c r="N1063" s="40" t="n">
        <v>123</v>
      </c>
      <c r="O1063" s="46" t="n">
        <v>-70.70999999999999</v>
      </c>
      <c r="P1063" s="40" t="n">
        <v>1611.01</v>
      </c>
      <c r="Q1063" s="40" t="n">
        <v>1209.76</v>
      </c>
      <c r="R1063" s="47" t="n"/>
      <c r="S1063" s="47" t="n"/>
      <c r="T1063" s="47" t="n"/>
      <c r="U1063" s="47" t="n"/>
      <c r="V1063" s="47" t="n"/>
      <c r="W1063" s="47" t="n"/>
    </row>
    <row r="1064" ht="11.25" customHeight="1">
      <c r="A1064" s="30" t="inlineStr">
        <is>
          <t>Itaguai</t>
        </is>
      </c>
      <c r="B1064" s="30" t="n">
        <v>84327239</v>
      </c>
      <c r="C1064" s="30">
        <f>"43399567000276"</f>
        <v/>
      </c>
      <c r="D1064" s="30" t="inlineStr">
        <is>
          <t>TRANSPORTADORA PORTO FERREIRA LTDA</t>
        </is>
      </c>
      <c r="E1064" s="40" t="n">
        <v>1470471.3</v>
      </c>
      <c r="F1064" s="40" t="n">
        <v>655875.89</v>
      </c>
      <c r="G1064" s="46" t="n">
        <v>-55.4</v>
      </c>
      <c r="H1064" s="40" t="n">
        <v>1243287.57</v>
      </c>
      <c r="I1064" s="40" t="n">
        <v>89.56</v>
      </c>
      <c r="J1064" s="40" t="n">
        <v>964681.62</v>
      </c>
      <c r="K1064" s="46" t="n">
        <v>-22.41</v>
      </c>
      <c r="L1064" s="40" t="n">
        <v>1158143.89</v>
      </c>
      <c r="M1064" s="40" t="n">
        <v>20.05</v>
      </c>
      <c r="N1064" s="40" t="n">
        <v>3103568.61</v>
      </c>
      <c r="O1064" s="40" t="n">
        <v>167.98</v>
      </c>
      <c r="P1064" s="40" t="n">
        <v>2990300.9</v>
      </c>
      <c r="Q1064" s="46" t="n">
        <v>-3.65</v>
      </c>
      <c r="R1064" s="47" t="n"/>
      <c r="S1064" s="47" t="n"/>
      <c r="T1064" s="47" t="n"/>
      <c r="U1064" s="47" t="n"/>
      <c r="V1064" s="47" t="n"/>
      <c r="W1064" s="47" t="n"/>
    </row>
    <row r="1065" ht="11.25" customHeight="1">
      <c r="A1065" s="30" t="inlineStr">
        <is>
          <t>Itaguai</t>
        </is>
      </c>
      <c r="B1065" s="30" t="n">
        <v>84327565</v>
      </c>
      <c r="C1065" s="30">
        <f>"19451038000370"</f>
        <v/>
      </c>
      <c r="D1065" s="30" t="inlineStr">
        <is>
          <t>RODOVIARIO CAMILO DOS SANTOS FILHO LTDA</t>
        </is>
      </c>
      <c r="E1065" s="40" t="n">
        <v>0</v>
      </c>
      <c r="F1065" s="40" t="n">
        <v>1155.64</v>
      </c>
      <c r="G1065" s="40" t="n">
        <v>100</v>
      </c>
      <c r="H1065" s="40" t="n">
        <v>0</v>
      </c>
      <c r="I1065" s="46" t="n">
        <v>-100</v>
      </c>
      <c r="J1065" s="40" t="n">
        <v>827.48</v>
      </c>
      <c r="K1065" s="40" t="n">
        <v>100</v>
      </c>
      <c r="L1065" s="40" t="n">
        <v>1686.35</v>
      </c>
      <c r="M1065" s="40" t="n">
        <v>103.79</v>
      </c>
      <c r="N1065" s="40" t="n">
        <v>8308.34</v>
      </c>
      <c r="O1065" s="40" t="n">
        <v>392.68</v>
      </c>
      <c r="P1065" s="40" t="n">
        <v>4347.27</v>
      </c>
      <c r="Q1065" s="46" t="n">
        <v>-47.68</v>
      </c>
      <c r="R1065" s="47" t="n"/>
      <c r="S1065" s="47" t="n"/>
      <c r="T1065" s="47" t="n"/>
      <c r="U1065" s="47" t="n"/>
      <c r="V1065" s="47" t="n"/>
      <c r="W1065" s="47" t="n"/>
    </row>
    <row r="1066" ht="11.25" customHeight="1">
      <c r="A1066" s="30" t="inlineStr">
        <is>
          <t>Itaguai</t>
        </is>
      </c>
      <c r="B1066" s="30" t="n">
        <v>84327603</v>
      </c>
      <c r="C1066" s="30">
        <f>"31334691000274"</f>
        <v/>
      </c>
      <c r="D1066" s="30" t="inlineStr">
        <is>
          <t>EXPRESSO REAL RIO LTDA</t>
        </is>
      </c>
      <c r="E1066" s="40" t="n">
        <v>0</v>
      </c>
      <c r="F1066" s="40" t="n">
        <v>0</v>
      </c>
      <c r="G1066" s="40" t="n">
        <v>0</v>
      </c>
      <c r="H1066" s="40" t="n">
        <v>0</v>
      </c>
      <c r="I1066" s="40" t="n">
        <v>0</v>
      </c>
      <c r="J1066" s="40" t="n">
        <v>0</v>
      </c>
      <c r="K1066" s="40" t="n">
        <v>0</v>
      </c>
      <c r="L1066" s="40" t="n">
        <v>0</v>
      </c>
      <c r="M1066" s="40" t="n">
        <v>0</v>
      </c>
      <c r="N1066" s="40" t="n">
        <v>0</v>
      </c>
      <c r="O1066" s="40" t="n">
        <v>0</v>
      </c>
      <c r="P1066" s="40" t="n">
        <v>0</v>
      </c>
      <c r="Q1066" s="40" t="n">
        <v>0</v>
      </c>
      <c r="R1066" s="47" t="n"/>
      <c r="S1066" s="47" t="n"/>
      <c r="T1066" s="47" t="n"/>
      <c r="U1066" s="47" t="n"/>
      <c r="V1066" s="47" t="n"/>
      <c r="W1066" s="47" t="n"/>
    </row>
    <row r="1067" ht="11.25" customHeight="1">
      <c r="A1067" s="30" t="inlineStr">
        <is>
          <t>Itaguai</t>
        </is>
      </c>
      <c r="B1067" s="30" t="n">
        <v>84510874</v>
      </c>
      <c r="C1067" s="30">
        <f>"40442949000166"</f>
        <v/>
      </c>
      <c r="D1067" s="30" t="inlineStr">
        <is>
          <t>TRANSPORTADORA XARA RIO EIRELI</t>
        </is>
      </c>
      <c r="E1067" s="40" t="n">
        <v>50</v>
      </c>
      <c r="F1067" s="40" t="n">
        <v>0</v>
      </c>
      <c r="G1067" s="46" t="n">
        <v>-100</v>
      </c>
      <c r="H1067" s="40" t="n">
        <v>0</v>
      </c>
      <c r="I1067" s="40" t="n">
        <v>0</v>
      </c>
      <c r="J1067" s="40" t="n">
        <v>0</v>
      </c>
      <c r="K1067" s="40" t="n">
        <v>0</v>
      </c>
      <c r="L1067" s="40" t="n">
        <v>1081.6</v>
      </c>
      <c r="M1067" s="40" t="n">
        <v>100</v>
      </c>
      <c r="N1067" s="40" t="n">
        <v>0</v>
      </c>
      <c r="O1067" s="46" t="n">
        <v>-100</v>
      </c>
      <c r="P1067" s="40" t="n">
        <v>0</v>
      </c>
      <c r="Q1067" s="40" t="n">
        <v>0</v>
      </c>
      <c r="R1067" s="47" t="n"/>
      <c r="S1067" s="47" t="n"/>
      <c r="T1067" s="47" t="n"/>
      <c r="U1067" s="47" t="n"/>
      <c r="V1067" s="47" t="n"/>
      <c r="W1067" s="47" t="n"/>
    </row>
    <row r="1068" ht="11.25" customHeight="1">
      <c r="A1068" s="30" t="inlineStr">
        <is>
          <t>Itaguai</t>
        </is>
      </c>
      <c r="B1068" s="30" t="n">
        <v>84511161</v>
      </c>
      <c r="C1068" s="30">
        <f>"28816270000194"</f>
        <v/>
      </c>
      <c r="D1068" s="30" t="inlineStr">
        <is>
          <t>DOCE RIO FRETAMENTO E TURISMO LTDA</t>
        </is>
      </c>
      <c r="E1068" s="40" t="n">
        <v>10600</v>
      </c>
      <c r="F1068" s="40" t="n">
        <v>5200</v>
      </c>
      <c r="G1068" s="46" t="n">
        <v>-50.94</v>
      </c>
      <c r="H1068" s="40" t="n">
        <v>21350</v>
      </c>
      <c r="I1068" s="40" t="n">
        <v>310.58</v>
      </c>
      <c r="J1068" s="40" t="n">
        <v>4200</v>
      </c>
      <c r="K1068" s="46" t="n">
        <v>-80.33</v>
      </c>
      <c r="L1068" s="40" t="n">
        <v>3300</v>
      </c>
      <c r="M1068" s="46" t="n">
        <v>-21.43</v>
      </c>
      <c r="N1068" s="40" t="n">
        <v>12350</v>
      </c>
      <c r="O1068" s="40" t="n">
        <v>274.24</v>
      </c>
      <c r="P1068" s="40" t="n">
        <v>21600</v>
      </c>
      <c r="Q1068" s="40" t="n">
        <v>74.90000000000001</v>
      </c>
      <c r="R1068" s="47" t="n"/>
      <c r="S1068" s="47" t="n"/>
      <c r="T1068" s="47" t="n"/>
      <c r="U1068" s="47" t="n"/>
      <c r="V1068" s="47" t="n"/>
      <c r="W1068" s="47" t="n"/>
    </row>
    <row r="1069" ht="11.25" customHeight="1">
      <c r="A1069" s="30" t="inlineStr">
        <is>
          <t>Itaguai</t>
        </is>
      </c>
      <c r="B1069" s="30" t="n">
        <v>84511277</v>
      </c>
      <c r="C1069" s="30">
        <f>"40433401000150"</f>
        <v/>
      </c>
      <c r="D1069" s="30" t="inlineStr">
        <is>
          <t>BWA TRANSPORTES ESPECIALIZADOS LTDA</t>
        </is>
      </c>
      <c r="E1069" s="40" t="n">
        <v>2322.17</v>
      </c>
      <c r="F1069" s="40" t="n">
        <v>0</v>
      </c>
      <c r="G1069" s="46" t="n">
        <v>-100</v>
      </c>
      <c r="H1069" s="40" t="n">
        <v>0</v>
      </c>
      <c r="I1069" s="40" t="n">
        <v>0</v>
      </c>
      <c r="J1069" s="40" t="n">
        <v>0</v>
      </c>
      <c r="K1069" s="40" t="n">
        <v>0</v>
      </c>
      <c r="L1069" s="40" t="n">
        <v>0</v>
      </c>
      <c r="M1069" s="40" t="n">
        <v>0</v>
      </c>
      <c r="N1069" s="40" t="n">
        <v>0</v>
      </c>
      <c r="O1069" s="40" t="n">
        <v>0</v>
      </c>
      <c r="P1069" s="40" t="n">
        <v>0</v>
      </c>
      <c r="Q1069" s="40" t="n">
        <v>0</v>
      </c>
      <c r="R1069" s="47" t="n"/>
      <c r="S1069" s="47" t="n"/>
      <c r="T1069" s="47" t="n"/>
      <c r="U1069" s="47" t="n"/>
      <c r="V1069" s="47" t="n"/>
      <c r="W1069" s="47" t="n"/>
    </row>
    <row r="1070" ht="11.25" customHeight="1">
      <c r="A1070" s="30" t="inlineStr">
        <is>
          <t>Itaguai</t>
        </is>
      </c>
      <c r="B1070" s="30" t="n">
        <v>84511684</v>
      </c>
      <c r="C1070" s="30">
        <f>"36578458000170"</f>
        <v/>
      </c>
      <c r="D1070" s="30" t="inlineStr">
        <is>
          <t>RODOMAC DE MACAE RODOVIARIO LTDA</t>
        </is>
      </c>
      <c r="E1070" s="40" t="n">
        <v>0</v>
      </c>
      <c r="F1070" s="40" t="n">
        <v>0</v>
      </c>
      <c r="G1070" s="40" t="n">
        <v>0</v>
      </c>
      <c r="H1070" s="40" t="n">
        <v>0</v>
      </c>
      <c r="I1070" s="40" t="n">
        <v>0</v>
      </c>
      <c r="J1070" s="40" t="n">
        <v>0</v>
      </c>
      <c r="K1070" s="40" t="n">
        <v>0</v>
      </c>
      <c r="L1070" s="40" t="n">
        <v>0</v>
      </c>
      <c r="M1070" s="40" t="n">
        <v>0</v>
      </c>
      <c r="N1070" s="40" t="n">
        <v>0</v>
      </c>
      <c r="O1070" s="40" t="n">
        <v>0</v>
      </c>
      <c r="P1070" s="40" t="n">
        <v>6025.7</v>
      </c>
      <c r="Q1070" s="40" t="n">
        <v>100</v>
      </c>
      <c r="R1070" s="47" t="n"/>
      <c r="S1070" s="47" t="n"/>
      <c r="T1070" s="47" t="n"/>
      <c r="U1070" s="47" t="n"/>
      <c r="V1070" s="47" t="n"/>
      <c r="W1070" s="47" t="n"/>
    </row>
    <row r="1071" ht="11.25" customHeight="1">
      <c r="A1071" s="30" t="inlineStr">
        <is>
          <t>Itaguai</t>
        </is>
      </c>
      <c r="B1071" s="30" t="n">
        <v>84634395</v>
      </c>
      <c r="C1071" s="30">
        <f>"36541373000117"</f>
        <v/>
      </c>
      <c r="D1071" s="30" t="inlineStr">
        <is>
          <t>ESTANCIA TURISTICA JONOSAKE EIRELI ME</t>
        </is>
      </c>
      <c r="E1071" s="40" t="n">
        <v>0</v>
      </c>
      <c r="F1071" s="40" t="n">
        <v>0</v>
      </c>
      <c r="G1071" s="40" t="n">
        <v>0</v>
      </c>
      <c r="H1071" s="40" t="n">
        <v>0</v>
      </c>
      <c r="I1071" s="40" t="n">
        <v>0</v>
      </c>
      <c r="J1071" s="40" t="n">
        <v>0</v>
      </c>
      <c r="K1071" s="40" t="n">
        <v>0</v>
      </c>
      <c r="L1071" s="40" t="n">
        <v>11568.61</v>
      </c>
      <c r="M1071" s="40" t="n">
        <v>100</v>
      </c>
      <c r="N1071" s="40" t="n">
        <v>762937.67</v>
      </c>
      <c r="O1071" s="40" t="n">
        <v>6494.89</v>
      </c>
      <c r="P1071" s="40" t="n">
        <v>969923.64</v>
      </c>
      <c r="Q1071" s="40" t="n">
        <v>27.13</v>
      </c>
      <c r="R1071" s="47" t="n"/>
      <c r="S1071" s="47" t="n"/>
      <c r="T1071" s="47" t="n"/>
      <c r="U1071" s="47" t="n"/>
      <c r="V1071" s="47" t="n"/>
      <c r="W1071" s="47" t="n"/>
    </row>
    <row r="1072" ht="11.25" customHeight="1">
      <c r="A1072" s="30" t="inlineStr">
        <is>
          <t>Itaguai</t>
        </is>
      </c>
      <c r="B1072" s="30" t="n">
        <v>84634557</v>
      </c>
      <c r="C1072" s="30">
        <f>"27195650001087"</f>
        <v/>
      </c>
      <c r="D1072" s="30" t="inlineStr">
        <is>
          <t>CEFL COMERCIO ELETRO GAS FUKAMATI LTDA</t>
        </is>
      </c>
      <c r="E1072" s="40" t="n">
        <v>352658.67</v>
      </c>
      <c r="F1072" s="40" t="n">
        <v>593004.12</v>
      </c>
      <c r="G1072" s="40" t="n">
        <v>68.15000000000001</v>
      </c>
      <c r="H1072" s="40" t="n">
        <v>658622.45</v>
      </c>
      <c r="I1072" s="40" t="n">
        <v>11.07</v>
      </c>
      <c r="J1072" s="40" t="n">
        <v>672813.22</v>
      </c>
      <c r="K1072" s="40" t="n">
        <v>2.15</v>
      </c>
      <c r="L1072" s="40" t="n">
        <v>704649.36</v>
      </c>
      <c r="M1072" s="40" t="n">
        <v>4.73</v>
      </c>
      <c r="N1072" s="40" t="n">
        <v>0</v>
      </c>
      <c r="O1072" s="46" t="n">
        <v>-100</v>
      </c>
      <c r="P1072" s="40" t="n">
        <v>1231739.29</v>
      </c>
      <c r="Q1072" s="40" t="n">
        <v>100</v>
      </c>
      <c r="R1072" s="47" t="n"/>
      <c r="S1072" s="47" t="n"/>
      <c r="T1072" s="47" t="n"/>
      <c r="U1072" s="47" t="n"/>
      <c r="V1072" s="47" t="n"/>
      <c r="W1072" s="47" t="n"/>
    </row>
    <row r="1073" ht="11.25" customHeight="1">
      <c r="A1073" s="30" t="inlineStr">
        <is>
          <t>Itaguai</t>
        </is>
      </c>
      <c r="B1073" s="30" t="n">
        <v>84634611</v>
      </c>
      <c r="C1073" s="30">
        <f>"36086783000115"</f>
        <v/>
      </c>
      <c r="D1073" s="30" t="inlineStr">
        <is>
          <t>AREAL BARROSO EIRELI</t>
        </is>
      </c>
      <c r="E1073" s="40" t="n">
        <v>0</v>
      </c>
      <c r="F1073" s="40" t="n">
        <v>29689</v>
      </c>
      <c r="G1073" s="40" t="n">
        <v>100</v>
      </c>
      <c r="H1073" s="40" t="n">
        <v>43272.32</v>
      </c>
      <c r="I1073" s="40" t="n">
        <v>45.75</v>
      </c>
      <c r="J1073" s="40" t="n">
        <v>48063.57</v>
      </c>
      <c r="K1073" s="40" t="n">
        <v>11.07</v>
      </c>
      <c r="L1073" s="40" t="n">
        <v>0</v>
      </c>
      <c r="M1073" s="46" t="n">
        <v>-100</v>
      </c>
      <c r="N1073" s="40" t="n">
        <v>0</v>
      </c>
      <c r="O1073" s="40" t="n">
        <v>0</v>
      </c>
      <c r="P1073" s="40" t="n">
        <v>0</v>
      </c>
      <c r="Q1073" s="40" t="n">
        <v>0</v>
      </c>
      <c r="R1073" s="47" t="n"/>
      <c r="S1073" s="47" t="n"/>
      <c r="T1073" s="47" t="n"/>
      <c r="U1073" s="47" t="n"/>
      <c r="V1073" s="47" t="n"/>
      <c r="W1073" s="47" t="n"/>
    </row>
    <row r="1074" ht="11.25" customHeight="1">
      <c r="A1074" s="30" t="inlineStr">
        <is>
          <t>Itaguai</t>
        </is>
      </c>
      <c r="B1074" s="30" t="n">
        <v>84635146</v>
      </c>
      <c r="C1074" s="30">
        <f>"68691237000108"</f>
        <v/>
      </c>
      <c r="D1074" s="30" t="inlineStr">
        <is>
          <t>RPIL RENOVADORA DE PNEUS ITAGUAI LTDA</t>
        </is>
      </c>
      <c r="E1074" s="40" t="n">
        <v>1790057.78</v>
      </c>
      <c r="F1074" s="40" t="n">
        <v>1225455.63</v>
      </c>
      <c r="G1074" s="46" t="n">
        <v>-31.54</v>
      </c>
      <c r="H1074" s="40" t="n">
        <v>2132864.37</v>
      </c>
      <c r="I1074" s="40" t="n">
        <v>74.05</v>
      </c>
      <c r="J1074" s="40" t="n">
        <v>2884011.18</v>
      </c>
      <c r="K1074" s="40" t="n">
        <v>35.22</v>
      </c>
      <c r="L1074" s="40" t="n">
        <v>3698235.41</v>
      </c>
      <c r="M1074" s="40" t="n">
        <v>28.23</v>
      </c>
      <c r="N1074" s="40" t="n">
        <v>1023104.07</v>
      </c>
      <c r="O1074" s="46" t="n">
        <v>-72.34</v>
      </c>
      <c r="P1074" s="40" t="n">
        <v>2335855.67</v>
      </c>
      <c r="Q1074" s="40" t="n">
        <v>128.31</v>
      </c>
      <c r="R1074" s="47" t="n"/>
      <c r="S1074" s="47" t="n"/>
      <c r="T1074" s="47" t="n"/>
      <c r="U1074" s="47" t="n"/>
      <c r="V1074" s="47" t="n"/>
      <c r="W1074" s="47" t="n"/>
    </row>
    <row r="1075" ht="11.25" customHeight="1">
      <c r="A1075" s="30" t="inlineStr">
        <is>
          <t>Itaguai</t>
        </is>
      </c>
      <c r="B1075" s="30" t="n">
        <v>84635685</v>
      </c>
      <c r="C1075" s="30">
        <f>"72037641000121"</f>
        <v/>
      </c>
      <c r="D1075" s="30" t="inlineStr">
        <is>
          <t>R MARTINS DA SILVA RESTAURANTE - ME</t>
        </is>
      </c>
      <c r="E1075" s="40" t="n">
        <v>0</v>
      </c>
      <c r="F1075" s="40" t="n">
        <v>0</v>
      </c>
      <c r="G1075" s="40" t="n">
        <v>0</v>
      </c>
      <c r="H1075" s="40" t="n">
        <v>0</v>
      </c>
      <c r="I1075" s="40" t="n">
        <v>0</v>
      </c>
      <c r="J1075" s="40" t="n">
        <v>0</v>
      </c>
      <c r="K1075" s="40" t="n">
        <v>0</v>
      </c>
      <c r="L1075" s="40" t="n">
        <v>0</v>
      </c>
      <c r="M1075" s="40" t="n">
        <v>0</v>
      </c>
      <c r="N1075" s="40" t="n">
        <v>0</v>
      </c>
      <c r="O1075" s="40" t="n">
        <v>0</v>
      </c>
      <c r="P1075" s="40" t="n">
        <v>0</v>
      </c>
      <c r="Q1075" s="40" t="n">
        <v>0</v>
      </c>
      <c r="R1075" s="47" t="n"/>
      <c r="S1075" s="47" t="n"/>
      <c r="T1075" s="47" t="n"/>
      <c r="U1075" s="47" t="n"/>
      <c r="V1075" s="47" t="n"/>
      <c r="W1075" s="47" t="n"/>
    </row>
    <row r="1076" ht="11.25" customHeight="1">
      <c r="A1076" s="30" t="inlineStr">
        <is>
          <t>Itaguai</t>
        </is>
      </c>
      <c r="B1076" s="30" t="n">
        <v>84636568</v>
      </c>
      <c r="C1076" s="30">
        <f>"36438687000199"</f>
        <v/>
      </c>
      <c r="D1076" s="30" t="inlineStr">
        <is>
          <t>AREAL SANTA ROSA DE ITAGUAI LTDA</t>
        </is>
      </c>
      <c r="E1076" s="40" t="n">
        <v>0</v>
      </c>
      <c r="F1076" s="40" t="n">
        <v>0</v>
      </c>
      <c r="G1076" s="40" t="n">
        <v>0</v>
      </c>
      <c r="H1076" s="40" t="n">
        <v>0</v>
      </c>
      <c r="I1076" s="40" t="n">
        <v>0</v>
      </c>
      <c r="J1076" s="40" t="n">
        <v>0</v>
      </c>
      <c r="K1076" s="40" t="n">
        <v>0</v>
      </c>
      <c r="L1076" s="40" t="n">
        <v>0</v>
      </c>
      <c r="M1076" s="40" t="n">
        <v>0</v>
      </c>
      <c r="N1076" s="40" t="n">
        <v>0</v>
      </c>
      <c r="O1076" s="40" t="n">
        <v>0</v>
      </c>
      <c r="P1076" s="40" t="n">
        <v>1187878.72</v>
      </c>
      <c r="Q1076" s="40" t="n">
        <v>100</v>
      </c>
      <c r="R1076" s="47" t="n"/>
      <c r="S1076" s="47" t="n"/>
      <c r="T1076" s="47" t="n"/>
      <c r="U1076" s="47" t="n"/>
      <c r="V1076" s="47" t="n"/>
      <c r="W1076" s="47" t="n"/>
    </row>
    <row r="1077" ht="11.25" customHeight="1">
      <c r="A1077" s="30" t="inlineStr">
        <is>
          <t>Itaguai</t>
        </is>
      </c>
      <c r="B1077" s="30" t="n">
        <v>84636754</v>
      </c>
      <c r="C1077" s="30">
        <f>"36542934000100"</f>
        <v/>
      </c>
      <c r="D1077" s="30" t="inlineStr">
        <is>
          <t>ELETRO MAQUINAS E FERRAGENS LTDA ME</t>
        </is>
      </c>
      <c r="E1077" s="40" t="n">
        <v>0</v>
      </c>
      <c r="F1077" s="40" t="n">
        <v>0</v>
      </c>
      <c r="G1077" s="40" t="n">
        <v>0</v>
      </c>
      <c r="H1077" s="40" t="n">
        <v>987806.64</v>
      </c>
      <c r="I1077" s="40" t="n">
        <v>100</v>
      </c>
      <c r="J1077" s="40" t="n">
        <v>1390320.29</v>
      </c>
      <c r="K1077" s="40" t="n">
        <v>40.75</v>
      </c>
      <c r="L1077" s="40" t="n">
        <v>1367138.19</v>
      </c>
      <c r="M1077" s="46" t="n">
        <v>-1.67</v>
      </c>
      <c r="N1077" s="40" t="n">
        <v>0</v>
      </c>
      <c r="O1077" s="46" t="n">
        <v>-100</v>
      </c>
      <c r="P1077" s="40" t="n">
        <v>68559.53</v>
      </c>
      <c r="Q1077" s="40" t="n">
        <v>100</v>
      </c>
      <c r="R1077" s="47" t="n"/>
      <c r="S1077" s="47" t="n"/>
      <c r="T1077" s="47" t="n"/>
      <c r="U1077" s="47" t="n"/>
      <c r="V1077" s="47" t="n"/>
      <c r="W1077" s="47" t="n"/>
    </row>
    <row r="1078" ht="11.25" customHeight="1">
      <c r="A1078" s="30" t="inlineStr">
        <is>
          <t>Itaguai</t>
        </is>
      </c>
      <c r="B1078" s="30" t="n">
        <v>84637114</v>
      </c>
      <c r="C1078" s="30">
        <f>"33042730011572"</f>
        <v/>
      </c>
      <c r="D1078" s="30" t="inlineStr">
        <is>
          <t>COMPANHIA SIDERURGICA NACIONAL</t>
        </is>
      </c>
      <c r="E1078" s="40" t="n">
        <v>0</v>
      </c>
      <c r="F1078" s="40" t="n">
        <v>0</v>
      </c>
      <c r="G1078" s="40" t="n">
        <v>0</v>
      </c>
      <c r="H1078" s="40" t="n">
        <v>0</v>
      </c>
      <c r="I1078" s="40" t="n">
        <v>0</v>
      </c>
      <c r="J1078" s="40" t="n">
        <v>0</v>
      </c>
      <c r="K1078" s="40" t="n">
        <v>0</v>
      </c>
      <c r="L1078" s="40" t="n">
        <v>0</v>
      </c>
      <c r="M1078" s="40" t="n">
        <v>0</v>
      </c>
      <c r="N1078" s="40" t="n">
        <v>0</v>
      </c>
      <c r="O1078" s="40" t="n">
        <v>0</v>
      </c>
      <c r="P1078" s="40" t="n">
        <v>0</v>
      </c>
      <c r="Q1078" s="40" t="n">
        <v>0</v>
      </c>
      <c r="R1078" s="47" t="n"/>
      <c r="S1078" s="47" t="n"/>
      <c r="T1078" s="47" t="n"/>
      <c r="U1078" s="47" t="n"/>
      <c r="V1078" s="47" t="n"/>
      <c r="W1078" s="47" t="n"/>
    </row>
    <row r="1079" ht="11.25" customHeight="1">
      <c r="A1079" s="30" t="inlineStr">
        <is>
          <t>Itaguai</t>
        </is>
      </c>
      <c r="B1079" s="30" t="n">
        <v>84701254</v>
      </c>
      <c r="C1079" s="30">
        <f>"17689837000273"</f>
        <v/>
      </c>
      <c r="D1079" s="30" t="inlineStr">
        <is>
          <t>IBOR TRANSPORTE RODOVIARIO LTDA</t>
        </is>
      </c>
      <c r="E1079" s="40" t="n">
        <v>0</v>
      </c>
      <c r="F1079" s="40" t="n">
        <v>0</v>
      </c>
      <c r="G1079" s="40" t="n">
        <v>0</v>
      </c>
      <c r="H1079" s="40" t="n">
        <v>0</v>
      </c>
      <c r="I1079" s="40" t="n">
        <v>0</v>
      </c>
      <c r="J1079" s="40" t="n">
        <v>7669.75</v>
      </c>
      <c r="K1079" s="40" t="n">
        <v>100</v>
      </c>
      <c r="L1079" s="40" t="n">
        <v>0</v>
      </c>
      <c r="M1079" s="46" t="n">
        <v>-100</v>
      </c>
      <c r="N1079" s="40" t="n">
        <v>11360</v>
      </c>
      <c r="O1079" s="40" t="n">
        <v>100</v>
      </c>
      <c r="P1079" s="40" t="n">
        <v>3270</v>
      </c>
      <c r="Q1079" s="46" t="n">
        <v>-71.20999999999999</v>
      </c>
      <c r="R1079" s="47" t="n"/>
      <c r="S1079" s="47" t="n"/>
      <c r="T1079" s="47" t="n"/>
      <c r="U1079" s="47" t="n"/>
      <c r="V1079" s="47" t="n"/>
      <c r="W1079" s="47" t="n"/>
    </row>
    <row r="1080" ht="11.25" customHeight="1">
      <c r="A1080" s="30" t="inlineStr">
        <is>
          <t>Itaguai</t>
        </is>
      </c>
      <c r="B1080" s="30" t="n">
        <v>84718092</v>
      </c>
      <c r="C1080" s="30">
        <f>"39162235000115"</f>
        <v/>
      </c>
      <c r="D1080" s="30" t="inlineStr">
        <is>
          <t>SUPERIMAGEM TECNOLOGIA EM ELETRONICA LTDA</t>
        </is>
      </c>
      <c r="E1080" s="40" t="n">
        <v>6080.87</v>
      </c>
      <c r="F1080" s="40" t="n">
        <v>13961.57</v>
      </c>
      <c r="G1080" s="40" t="n">
        <v>129.6</v>
      </c>
      <c r="H1080" s="40" t="n">
        <v>81536.72</v>
      </c>
      <c r="I1080" s="40" t="n">
        <v>484.01</v>
      </c>
      <c r="J1080" s="40" t="n">
        <v>136002.15</v>
      </c>
      <c r="K1080" s="40" t="n">
        <v>66.8</v>
      </c>
      <c r="L1080" s="40" t="n">
        <v>149540.53</v>
      </c>
      <c r="M1080" s="40" t="n">
        <v>9.949999999999999</v>
      </c>
      <c r="N1080" s="40" t="n">
        <v>143063.36</v>
      </c>
      <c r="O1080" s="46" t="n">
        <v>-4.33</v>
      </c>
      <c r="P1080" s="40" t="n">
        <v>229123.8</v>
      </c>
      <c r="Q1080" s="40" t="n">
        <v>60.16</v>
      </c>
      <c r="R1080" s="47" t="n"/>
      <c r="S1080" s="47" t="n"/>
      <c r="T1080" s="47" t="n"/>
      <c r="U1080" s="47" t="n"/>
      <c r="V1080" s="47" t="n"/>
      <c r="W1080" s="47" t="n"/>
    </row>
    <row r="1081" ht="11.25" customHeight="1">
      <c r="A1081" s="30" t="inlineStr">
        <is>
          <t>Itaguai</t>
        </is>
      </c>
      <c r="B1081" s="30" t="n">
        <v>84780707</v>
      </c>
      <c r="C1081" s="30">
        <f>"33352394000104"</f>
        <v/>
      </c>
      <c r="D1081" s="30" t="inlineStr">
        <is>
          <t>COMPANHIA ESTADUAL DE AGUAS E ESGOTOS CEDAE</t>
        </is>
      </c>
      <c r="E1081" s="40" t="n">
        <v>29708931.31</v>
      </c>
      <c r="F1081" s="40" t="n">
        <v>34477035.84</v>
      </c>
      <c r="G1081" s="40" t="n">
        <v>16.05</v>
      </c>
      <c r="H1081" s="40" t="n">
        <v>37008975.74</v>
      </c>
      <c r="I1081" s="40" t="n">
        <v>7.34</v>
      </c>
      <c r="J1081" s="40" t="n">
        <v>0</v>
      </c>
      <c r="K1081" s="46" t="n">
        <v>-100</v>
      </c>
      <c r="L1081" s="40" t="n">
        <v>0</v>
      </c>
      <c r="M1081" s="40" t="n">
        <v>0</v>
      </c>
      <c r="N1081" s="40" t="n">
        <v>0</v>
      </c>
      <c r="O1081" s="40" t="n">
        <v>0</v>
      </c>
      <c r="P1081" s="40" t="n">
        <v>0</v>
      </c>
      <c r="Q1081" s="40" t="n">
        <v>0</v>
      </c>
      <c r="R1081" s="47" t="n"/>
      <c r="S1081" s="47" t="n"/>
      <c r="T1081" s="47" t="n"/>
      <c r="U1081" s="47" t="n"/>
      <c r="V1081" s="47" t="n"/>
      <c r="W1081" s="47" t="n"/>
    </row>
    <row r="1082" ht="11.25" customHeight="1">
      <c r="A1082" s="30" t="inlineStr">
        <is>
          <t>Itaguai</t>
        </is>
      </c>
      <c r="B1082" s="30" t="n">
        <v>85094122</v>
      </c>
      <c r="C1082" s="30">
        <f>"39459839000128"</f>
        <v/>
      </c>
      <c r="D1082" s="30" t="inlineStr">
        <is>
          <t>TITAL ALUMINIO E FERRO EIRELI</t>
        </is>
      </c>
      <c r="E1082" s="40" t="n">
        <v>0</v>
      </c>
      <c r="F1082" s="40" t="n">
        <v>183793.8</v>
      </c>
      <c r="G1082" s="40" t="n">
        <v>100</v>
      </c>
      <c r="H1082" s="40" t="n">
        <v>481726.99</v>
      </c>
      <c r="I1082" s="40" t="n">
        <v>162.1</v>
      </c>
      <c r="J1082" s="40" t="n">
        <v>0</v>
      </c>
      <c r="K1082" s="46" t="n">
        <v>-100</v>
      </c>
      <c r="L1082" s="40" t="n">
        <v>0</v>
      </c>
      <c r="M1082" s="40" t="n">
        <v>0</v>
      </c>
      <c r="N1082" s="40" t="n">
        <v>0</v>
      </c>
      <c r="O1082" s="40" t="n">
        <v>0</v>
      </c>
      <c r="P1082" s="40" t="n">
        <v>0</v>
      </c>
      <c r="Q1082" s="40" t="n">
        <v>0</v>
      </c>
      <c r="R1082" s="47" t="n"/>
      <c r="S1082" s="47" t="n"/>
      <c r="T1082" s="47" t="n"/>
      <c r="U1082" s="47" t="n"/>
      <c r="V1082" s="47" t="n"/>
      <c r="W1082" s="47" t="n"/>
    </row>
    <row r="1083" ht="11.25" customHeight="1">
      <c r="A1083" s="30" t="inlineStr">
        <is>
          <t>Itaguai</t>
        </is>
      </c>
      <c r="B1083" s="30" t="n">
        <v>85102729</v>
      </c>
      <c r="C1083" s="30">
        <f>"87858361000402"</f>
        <v/>
      </c>
      <c r="D1083" s="30" t="inlineStr">
        <is>
          <t>RAPIDO GARIBALDI DE TRANSPORTES LTDA</t>
        </is>
      </c>
      <c r="E1083" s="40" t="n">
        <v>0</v>
      </c>
      <c r="F1083" s="40" t="n">
        <v>163.78</v>
      </c>
      <c r="G1083" s="40" t="n">
        <v>100</v>
      </c>
      <c r="H1083" s="40" t="n">
        <v>495.73</v>
      </c>
      <c r="I1083" s="40" t="n">
        <v>202.68</v>
      </c>
      <c r="J1083" s="40" t="n">
        <v>0</v>
      </c>
      <c r="K1083" s="46" t="n">
        <v>-100</v>
      </c>
      <c r="L1083" s="40" t="n">
        <v>0</v>
      </c>
      <c r="M1083" s="40" t="n">
        <v>0</v>
      </c>
      <c r="N1083" s="40" t="n">
        <v>0</v>
      </c>
      <c r="O1083" s="40" t="n">
        <v>0</v>
      </c>
      <c r="P1083" s="40" t="n">
        <v>0</v>
      </c>
      <c r="Q1083" s="40" t="n">
        <v>0</v>
      </c>
      <c r="R1083" s="47" t="n"/>
      <c r="S1083" s="47" t="n"/>
      <c r="T1083" s="47" t="n"/>
      <c r="U1083" s="47" t="n"/>
      <c r="V1083" s="47" t="n"/>
      <c r="W1083" s="47" t="n"/>
    </row>
    <row r="1084" ht="11.25" customHeight="1">
      <c r="A1084" s="30" t="inlineStr">
        <is>
          <t>Itaguai</t>
        </is>
      </c>
      <c r="B1084" s="30" t="n">
        <v>85102923</v>
      </c>
      <c r="C1084" s="30">
        <f>"39041579000419"</f>
        <v/>
      </c>
      <c r="D1084" s="30" t="inlineStr">
        <is>
          <t>BRASPORT BRASIL TRANSPORTES LTDA</t>
        </is>
      </c>
      <c r="E1084" s="40" t="n">
        <v>0</v>
      </c>
      <c r="F1084" s="40" t="n">
        <v>18913.55</v>
      </c>
      <c r="G1084" s="40" t="n">
        <v>100</v>
      </c>
      <c r="H1084" s="40" t="n">
        <v>4915.26</v>
      </c>
      <c r="I1084" s="46" t="n">
        <v>-74.01000000000001</v>
      </c>
      <c r="J1084" s="40" t="n">
        <v>14524.98</v>
      </c>
      <c r="K1084" s="40" t="n">
        <v>195.51</v>
      </c>
      <c r="L1084" s="40" t="n">
        <v>0</v>
      </c>
      <c r="M1084" s="46" t="n">
        <v>-100</v>
      </c>
      <c r="N1084" s="40" t="n">
        <v>0</v>
      </c>
      <c r="O1084" s="40" t="n">
        <v>0</v>
      </c>
      <c r="P1084" s="40" t="n">
        <v>0</v>
      </c>
      <c r="Q1084" s="40" t="n">
        <v>0</v>
      </c>
      <c r="R1084" s="47" t="n"/>
      <c r="S1084" s="47" t="n"/>
      <c r="T1084" s="47" t="n"/>
      <c r="U1084" s="47" t="n"/>
      <c r="V1084" s="47" t="n"/>
      <c r="W1084" s="47" t="n"/>
    </row>
    <row r="1085" ht="11.25" customHeight="1">
      <c r="A1085" s="30" t="inlineStr">
        <is>
          <t>Itaguai</t>
        </is>
      </c>
      <c r="B1085" s="30" t="n">
        <v>85105507</v>
      </c>
      <c r="C1085" s="30">
        <f>"66199068000400"</f>
        <v/>
      </c>
      <c r="D1085" s="30" t="inlineStr">
        <is>
          <t>RAPIDO ALEM PARAIBA LTDA</t>
        </is>
      </c>
      <c r="E1085" s="40" t="n">
        <v>0</v>
      </c>
      <c r="F1085" s="40" t="n">
        <v>79</v>
      </c>
      <c r="G1085" s="40" t="n">
        <v>100</v>
      </c>
      <c r="H1085" s="40" t="n">
        <v>71</v>
      </c>
      <c r="I1085" s="46" t="n">
        <v>-10.13</v>
      </c>
      <c r="J1085" s="40" t="n">
        <v>0</v>
      </c>
      <c r="K1085" s="46" t="n">
        <v>-100</v>
      </c>
      <c r="L1085" s="40" t="n">
        <v>0</v>
      </c>
      <c r="M1085" s="40" t="n">
        <v>0</v>
      </c>
      <c r="N1085" s="40" t="n">
        <v>0</v>
      </c>
      <c r="O1085" s="40" t="n">
        <v>0</v>
      </c>
      <c r="P1085" s="40" t="n">
        <v>0</v>
      </c>
      <c r="Q1085" s="40" t="n">
        <v>0</v>
      </c>
      <c r="R1085" s="47" t="n"/>
      <c r="S1085" s="47" t="n"/>
      <c r="T1085" s="47" t="n"/>
      <c r="U1085" s="47" t="n"/>
      <c r="V1085" s="47" t="n"/>
      <c r="W1085" s="47" t="n"/>
    </row>
    <row r="1086" ht="11.25" customHeight="1">
      <c r="A1086" s="30" t="inlineStr">
        <is>
          <t>Itaguai</t>
        </is>
      </c>
      <c r="B1086" s="30" t="n">
        <v>85187732</v>
      </c>
      <c r="C1086" s="30">
        <f>"97091000125"</f>
        <v/>
      </c>
      <c r="D1086" s="30" t="inlineStr">
        <is>
          <t>AUTO POSTO CAPIXABA LTDA</t>
        </is>
      </c>
      <c r="E1086" s="40" t="n">
        <v>1361685.34</v>
      </c>
      <c r="F1086" s="40" t="n">
        <v>868623.87</v>
      </c>
      <c r="G1086" s="46" t="n">
        <v>-36.21</v>
      </c>
      <c r="H1086" s="40" t="n">
        <v>1103987.06</v>
      </c>
      <c r="I1086" s="40" t="n">
        <v>27.1</v>
      </c>
      <c r="J1086" s="40" t="n">
        <v>1197123.81</v>
      </c>
      <c r="K1086" s="40" t="n">
        <v>8.44</v>
      </c>
      <c r="L1086" s="40" t="n">
        <v>523459.2</v>
      </c>
      <c r="M1086" s="46" t="n">
        <v>-56.27</v>
      </c>
      <c r="N1086" s="40" t="n">
        <v>1227396.9</v>
      </c>
      <c r="O1086" s="40" t="n">
        <v>134.48</v>
      </c>
      <c r="P1086" s="40" t="n">
        <v>1971875.09</v>
      </c>
      <c r="Q1086" s="40" t="n">
        <v>60.66</v>
      </c>
      <c r="R1086" s="47" t="n"/>
      <c r="S1086" s="47" t="n"/>
      <c r="T1086" s="47" t="n"/>
      <c r="U1086" s="47" t="n"/>
      <c r="V1086" s="47" t="n"/>
      <c r="W1086" s="47" t="n"/>
    </row>
    <row r="1087" ht="11.25" customHeight="1">
      <c r="A1087" s="30" t="inlineStr">
        <is>
          <t>Itaguai</t>
        </is>
      </c>
      <c r="B1087" s="30" t="n">
        <v>85206672</v>
      </c>
      <c r="C1087" s="30">
        <f>"88009030000452"</f>
        <v/>
      </c>
      <c r="D1087" s="30" t="inlineStr">
        <is>
          <t>MODULAR TRANSPORTES LTDA</t>
        </is>
      </c>
      <c r="E1087" s="40" t="n">
        <v>2788.73</v>
      </c>
      <c r="F1087" s="40" t="n">
        <v>653.21</v>
      </c>
      <c r="G1087" s="46" t="n">
        <v>-76.58</v>
      </c>
      <c r="H1087" s="40" t="n">
        <v>515.21</v>
      </c>
      <c r="I1087" s="46" t="n">
        <v>-21.13</v>
      </c>
      <c r="J1087" s="40" t="n">
        <v>1880.63</v>
      </c>
      <c r="K1087" s="40" t="n">
        <v>265.02</v>
      </c>
      <c r="L1087" s="40" t="n">
        <v>3034.99</v>
      </c>
      <c r="M1087" s="40" t="n">
        <v>61.38</v>
      </c>
      <c r="N1087" s="40" t="n">
        <v>5603.42</v>
      </c>
      <c r="O1087" s="40" t="n">
        <v>84.63</v>
      </c>
      <c r="P1087" s="40" t="n">
        <v>4239.26</v>
      </c>
      <c r="Q1087" s="46" t="n">
        <v>-24.35</v>
      </c>
      <c r="R1087" s="47" t="n"/>
      <c r="S1087" s="47" t="n"/>
      <c r="T1087" s="47" t="n"/>
      <c r="U1087" s="47" t="n"/>
      <c r="V1087" s="47" t="n"/>
      <c r="W1087" s="47" t="n"/>
    </row>
    <row r="1088" ht="11.25" customHeight="1">
      <c r="A1088" s="30" t="inlineStr">
        <is>
          <t>Itaguai</t>
        </is>
      </c>
      <c r="B1088" s="30" t="n">
        <v>85206729</v>
      </c>
      <c r="C1088" s="30">
        <f>"29553609000170"</f>
        <v/>
      </c>
      <c r="D1088" s="30" t="inlineStr">
        <is>
          <t>AUTO ONIBUS FAGUNDES LTDA</t>
        </is>
      </c>
      <c r="E1088" s="40" t="n">
        <v>1850</v>
      </c>
      <c r="F1088" s="40" t="n">
        <v>0</v>
      </c>
      <c r="G1088" s="46" t="n">
        <v>-100</v>
      </c>
      <c r="H1088" s="40" t="n">
        <v>4780</v>
      </c>
      <c r="I1088" s="40" t="n">
        <v>100</v>
      </c>
      <c r="J1088" s="40" t="n">
        <v>0</v>
      </c>
      <c r="K1088" s="46" t="n">
        <v>-100</v>
      </c>
      <c r="L1088" s="40" t="n">
        <v>3880</v>
      </c>
      <c r="M1088" s="40" t="n">
        <v>100</v>
      </c>
      <c r="N1088" s="40" t="n">
        <v>16310</v>
      </c>
      <c r="O1088" s="40" t="n">
        <v>320.36</v>
      </c>
      <c r="P1088" s="40" t="n">
        <v>6942</v>
      </c>
      <c r="Q1088" s="46" t="n">
        <v>-57.44</v>
      </c>
      <c r="R1088" s="47" t="n"/>
      <c r="S1088" s="47" t="n"/>
      <c r="T1088" s="47" t="n"/>
      <c r="U1088" s="47" t="n"/>
      <c r="V1088" s="47" t="n"/>
      <c r="W1088" s="47" t="n"/>
    </row>
    <row r="1089" ht="11.25" customHeight="1">
      <c r="A1089" s="30" t="inlineStr">
        <is>
          <t>Itaguai</t>
        </is>
      </c>
      <c r="B1089" s="30" t="n">
        <v>85206842</v>
      </c>
      <c r="C1089" s="30">
        <f>"36578458000250"</f>
        <v/>
      </c>
      <c r="D1089" s="30" t="inlineStr">
        <is>
          <t>RODOMAC DE MACAE RODOVIARIO LTDA</t>
        </is>
      </c>
      <c r="E1089" s="40" t="n">
        <v>3368.63</v>
      </c>
      <c r="F1089" s="40" t="n">
        <v>4362.42</v>
      </c>
      <c r="G1089" s="40" t="n">
        <v>29.5</v>
      </c>
      <c r="H1089" s="40" t="n">
        <v>6586.22</v>
      </c>
      <c r="I1089" s="40" t="n">
        <v>50.98</v>
      </c>
      <c r="J1089" s="40" t="n">
        <v>17039.74</v>
      </c>
      <c r="K1089" s="40" t="n">
        <v>158.72</v>
      </c>
      <c r="L1089" s="40" t="n">
        <v>11443.27</v>
      </c>
      <c r="M1089" s="46" t="n">
        <v>-32.84</v>
      </c>
      <c r="N1089" s="40" t="n">
        <v>16429.88</v>
      </c>
      <c r="O1089" s="40" t="n">
        <v>43.58</v>
      </c>
      <c r="P1089" s="40" t="n">
        <v>17548.25</v>
      </c>
      <c r="Q1089" s="40" t="n">
        <v>6.81</v>
      </c>
      <c r="R1089" s="47" t="n"/>
      <c r="S1089" s="47" t="n"/>
      <c r="T1089" s="47" t="n"/>
      <c r="U1089" s="47" t="n"/>
      <c r="V1089" s="47" t="n"/>
      <c r="W1089" s="47" t="n"/>
    </row>
    <row r="1090" ht="11.25" customHeight="1">
      <c r="A1090" s="30" t="inlineStr">
        <is>
          <t>Itaguai</t>
        </is>
      </c>
      <c r="B1090" s="30" t="n">
        <v>85208527</v>
      </c>
      <c r="C1090" s="30">
        <f>"23864838000633"</f>
        <v/>
      </c>
      <c r="D1090" s="30" t="inlineStr">
        <is>
          <t>MOVVI LOGISTICA LTDA</t>
        </is>
      </c>
      <c r="E1090" s="40" t="n">
        <v>5654.38</v>
      </c>
      <c r="F1090" s="40" t="n">
        <v>4736.07</v>
      </c>
      <c r="G1090" s="46" t="n">
        <v>-16.24</v>
      </c>
      <c r="H1090" s="40" t="n">
        <v>5369.74</v>
      </c>
      <c r="I1090" s="40" t="n">
        <v>13.38</v>
      </c>
      <c r="J1090" s="40" t="n">
        <v>4349.28</v>
      </c>
      <c r="K1090" s="46" t="n">
        <v>-19</v>
      </c>
      <c r="L1090" s="40" t="n">
        <v>2605.24</v>
      </c>
      <c r="M1090" s="46" t="n">
        <v>-40.1</v>
      </c>
      <c r="N1090" s="40" t="n">
        <v>3816.26</v>
      </c>
      <c r="O1090" s="40" t="n">
        <v>46.48</v>
      </c>
      <c r="P1090" s="40" t="n">
        <v>5207.68</v>
      </c>
      <c r="Q1090" s="40" t="n">
        <v>36.46</v>
      </c>
      <c r="R1090" s="47" t="n"/>
      <c r="S1090" s="47" t="n"/>
      <c r="T1090" s="47" t="n"/>
      <c r="U1090" s="47" t="n"/>
      <c r="V1090" s="47" t="n"/>
      <c r="W1090" s="47" t="n"/>
    </row>
    <row r="1091" ht="11.25" customHeight="1">
      <c r="A1091" s="30" t="inlineStr">
        <is>
          <t>Itaguai</t>
        </is>
      </c>
      <c r="B1091" s="30" t="n">
        <v>85297635</v>
      </c>
      <c r="C1091" s="30">
        <f>"02041460000355"</f>
        <v/>
      </c>
      <c r="D1091" s="30" t="inlineStr">
        <is>
          <t>BRASIL TELECOM COMUNICACAO MULTIMIDIA LTDA</t>
        </is>
      </c>
      <c r="E1091" s="40" t="n">
        <v>0</v>
      </c>
      <c r="F1091" s="40" t="n">
        <v>4241.95</v>
      </c>
      <c r="G1091" s="40" t="n">
        <v>100</v>
      </c>
      <c r="H1091" s="40" t="n">
        <v>0</v>
      </c>
      <c r="I1091" s="46" t="n">
        <v>-100</v>
      </c>
      <c r="J1091" s="40" t="n">
        <v>0</v>
      </c>
      <c r="K1091" s="40" t="n">
        <v>0</v>
      </c>
      <c r="L1091" s="40" t="n">
        <v>0</v>
      </c>
      <c r="M1091" s="40" t="n">
        <v>0</v>
      </c>
      <c r="N1091" s="40" t="n">
        <v>0</v>
      </c>
      <c r="O1091" s="40" t="n">
        <v>0</v>
      </c>
      <c r="P1091" s="40" t="n">
        <v>0</v>
      </c>
      <c r="Q1091" s="40" t="n">
        <v>0</v>
      </c>
      <c r="R1091" s="47" t="n"/>
      <c r="S1091" s="47" t="n"/>
      <c r="T1091" s="47" t="n"/>
      <c r="U1091" s="47" t="n"/>
      <c r="V1091" s="47" t="n"/>
      <c r="W1091" s="47" t="n"/>
    </row>
    <row r="1092" ht="11.25" customHeight="1">
      <c r="A1092" s="30" t="inlineStr">
        <is>
          <t>Itaguai</t>
        </is>
      </c>
      <c r="B1092" s="30" t="n">
        <v>85317687</v>
      </c>
      <c r="C1092" s="30">
        <f>"00482487000196"</f>
        <v/>
      </c>
      <c r="D1092" s="30" t="inlineStr">
        <is>
          <t>COSTA VERDE DIESEL LTDA</t>
        </is>
      </c>
      <c r="E1092" s="40" t="n">
        <v>4470</v>
      </c>
      <c r="F1092" s="40" t="n">
        <v>600</v>
      </c>
      <c r="G1092" s="46" t="n">
        <v>-86.58</v>
      </c>
      <c r="H1092" s="40" t="n">
        <v>0</v>
      </c>
      <c r="I1092" s="46" t="n">
        <v>-100</v>
      </c>
      <c r="J1092" s="40" t="n">
        <v>0</v>
      </c>
      <c r="K1092" s="40" t="n">
        <v>0</v>
      </c>
      <c r="L1092" s="40" t="n">
        <v>0</v>
      </c>
      <c r="M1092" s="40" t="n">
        <v>0</v>
      </c>
      <c r="N1092" s="40" t="n">
        <v>0</v>
      </c>
      <c r="O1092" s="40" t="n">
        <v>0</v>
      </c>
      <c r="P1092" s="40" t="n">
        <v>0</v>
      </c>
      <c r="Q1092" s="40" t="n">
        <v>0</v>
      </c>
      <c r="R1092" s="47" t="n"/>
      <c r="S1092" s="47" t="n"/>
      <c r="T1092" s="47" t="n"/>
      <c r="U1092" s="47" t="n"/>
      <c r="V1092" s="47" t="n"/>
      <c r="W1092" s="47" t="n"/>
    </row>
    <row r="1093" ht="11.25" customHeight="1">
      <c r="A1093" s="30" t="inlineStr">
        <is>
          <t>Itaguai</t>
        </is>
      </c>
      <c r="B1093" s="30" t="n">
        <v>85317806</v>
      </c>
      <c r="C1093" s="30">
        <f>"00415856000128"</f>
        <v/>
      </c>
      <c r="D1093" s="30" t="inlineStr">
        <is>
          <t>J C CASTRILON COMERCIO DE PLANTAS E JARDINAGEM ME</t>
        </is>
      </c>
      <c r="E1093" s="40" t="n">
        <v>0</v>
      </c>
      <c r="F1093" s="40" t="n">
        <v>0</v>
      </c>
      <c r="G1093" s="40" t="n">
        <v>0</v>
      </c>
      <c r="H1093" s="40" t="n">
        <v>3760</v>
      </c>
      <c r="I1093" s="40" t="n">
        <v>100</v>
      </c>
      <c r="J1093" s="40" t="n">
        <v>0</v>
      </c>
      <c r="K1093" s="46" t="n">
        <v>-100</v>
      </c>
      <c r="L1093" s="40" t="n">
        <v>0</v>
      </c>
      <c r="M1093" s="40" t="n">
        <v>0</v>
      </c>
      <c r="N1093" s="40" t="n">
        <v>0</v>
      </c>
      <c r="O1093" s="40" t="n">
        <v>0</v>
      </c>
      <c r="P1093" s="40" t="n">
        <v>0</v>
      </c>
      <c r="Q1093" s="40" t="n">
        <v>0</v>
      </c>
      <c r="R1093" s="47" t="n"/>
      <c r="S1093" s="47" t="n"/>
      <c r="T1093" s="47" t="n"/>
      <c r="U1093" s="47" t="n"/>
      <c r="V1093" s="47" t="n"/>
      <c r="W1093" s="47" t="n"/>
    </row>
    <row r="1094" ht="11.25" customHeight="1">
      <c r="A1094" s="30" t="inlineStr">
        <is>
          <t>Itaguai</t>
        </is>
      </c>
      <c r="B1094" s="30" t="n">
        <v>85317873</v>
      </c>
      <c r="C1094" s="30">
        <f>"00505285000112"</f>
        <v/>
      </c>
      <c r="D1094" s="30" t="inlineStr">
        <is>
          <t>C &amp; F DE ITAGUAI LOCACOES LTDA EPP</t>
        </is>
      </c>
      <c r="E1094" s="40" t="n">
        <v>0</v>
      </c>
      <c r="F1094" s="40" t="n">
        <v>0</v>
      </c>
      <c r="G1094" s="40" t="n">
        <v>0</v>
      </c>
      <c r="H1094" s="40" t="n">
        <v>0</v>
      </c>
      <c r="I1094" s="40" t="n">
        <v>0</v>
      </c>
      <c r="J1094" s="40" t="n">
        <v>0</v>
      </c>
      <c r="K1094" s="40" t="n">
        <v>0</v>
      </c>
      <c r="L1094" s="40" t="n">
        <v>0</v>
      </c>
      <c r="M1094" s="40" t="n">
        <v>0</v>
      </c>
      <c r="N1094" s="40" t="n">
        <v>0</v>
      </c>
      <c r="O1094" s="40" t="n">
        <v>0</v>
      </c>
      <c r="P1094" s="40" t="n">
        <v>0</v>
      </c>
      <c r="Q1094" s="40" t="n">
        <v>0</v>
      </c>
      <c r="R1094" s="47" t="n"/>
      <c r="S1094" s="47" t="n"/>
      <c r="T1094" s="47" t="n"/>
      <c r="U1094" s="47" t="n"/>
      <c r="V1094" s="47" t="n"/>
      <c r="W1094" s="47" t="n"/>
    </row>
    <row r="1095" ht="11.25" customHeight="1">
      <c r="A1095" s="30" t="inlineStr">
        <is>
          <t>Itaguai</t>
        </is>
      </c>
      <c r="B1095" s="30" t="n">
        <v>85390449</v>
      </c>
      <c r="C1095" s="30">
        <f>"17428731005447"</f>
        <v/>
      </c>
      <c r="D1095" s="30" t="inlineStr">
        <is>
          <t>PROSEGUR BRASIL S/A</t>
        </is>
      </c>
      <c r="E1095" s="40" t="n">
        <v>292050.99</v>
      </c>
      <c r="F1095" s="40" t="n">
        <v>351378.01</v>
      </c>
      <c r="G1095" s="40" t="n">
        <v>20.31</v>
      </c>
      <c r="H1095" s="40" t="n">
        <v>366603.58</v>
      </c>
      <c r="I1095" s="40" t="n">
        <v>4.33</v>
      </c>
      <c r="J1095" s="40" t="n">
        <v>375901.3</v>
      </c>
      <c r="K1095" s="40" t="n">
        <v>2.54</v>
      </c>
      <c r="L1095" s="40" t="n">
        <v>237988.83</v>
      </c>
      <c r="M1095" s="46" t="n">
        <v>-36.69</v>
      </c>
      <c r="N1095" s="40" t="n">
        <v>12655.21</v>
      </c>
      <c r="O1095" s="46" t="n">
        <v>-94.68000000000001</v>
      </c>
      <c r="P1095" s="40" t="n">
        <v>198635.64</v>
      </c>
      <c r="Q1095" s="40" t="n">
        <v>1469.6</v>
      </c>
      <c r="R1095" s="47" t="n"/>
      <c r="S1095" s="47" t="n"/>
      <c r="T1095" s="47" t="n"/>
      <c r="U1095" s="47" t="n"/>
      <c r="V1095" s="47" t="n"/>
      <c r="W1095" s="47" t="n"/>
    </row>
    <row r="1096" ht="11.25" customHeight="1">
      <c r="A1096" s="30" t="inlineStr">
        <is>
          <t>Itaguai</t>
        </is>
      </c>
      <c r="B1096" s="30" t="n">
        <v>85440357</v>
      </c>
      <c r="C1096" s="30">
        <f>"55184691000201"</f>
        <v/>
      </c>
      <c r="D1096" s="30" t="inlineStr">
        <is>
          <t>TRANSPORTADORA JULE LTDA</t>
        </is>
      </c>
      <c r="E1096" s="40" t="n">
        <v>567312.11</v>
      </c>
      <c r="F1096" s="40" t="n">
        <v>245095.26</v>
      </c>
      <c r="G1096" s="46" t="n">
        <v>-56.8</v>
      </c>
      <c r="H1096" s="40" t="n">
        <v>124420.62</v>
      </c>
      <c r="I1096" s="46" t="n">
        <v>-49.24</v>
      </c>
      <c r="J1096" s="40" t="n">
        <v>41615.32</v>
      </c>
      <c r="K1096" s="46" t="n">
        <v>-66.55</v>
      </c>
      <c r="L1096" s="40" t="n">
        <v>0</v>
      </c>
      <c r="M1096" s="46" t="n">
        <v>-100</v>
      </c>
      <c r="N1096" s="40" t="n">
        <v>0</v>
      </c>
      <c r="O1096" s="40" t="n">
        <v>0</v>
      </c>
      <c r="P1096" s="40" t="n">
        <v>0</v>
      </c>
      <c r="Q1096" s="40" t="n">
        <v>0</v>
      </c>
      <c r="R1096" s="47" t="n"/>
      <c r="S1096" s="47" t="n"/>
      <c r="T1096" s="47" t="n"/>
      <c r="U1096" s="47" t="n"/>
      <c r="V1096" s="47" t="n"/>
      <c r="W1096" s="47" t="n"/>
    </row>
    <row r="1097" ht="11.25" customHeight="1">
      <c r="A1097" s="30" t="inlineStr">
        <is>
          <t>Itaguai</t>
        </is>
      </c>
      <c r="B1097" s="30" t="n">
        <v>85454455</v>
      </c>
      <c r="C1097" s="30">
        <f>"00468285000190"</f>
        <v/>
      </c>
      <c r="D1097" s="30" t="inlineStr">
        <is>
          <t>TRANZIRAN TRANSPORTES EIRELI</t>
        </is>
      </c>
      <c r="E1097" s="40" t="n">
        <v>1133635.98</v>
      </c>
      <c r="F1097" s="40" t="n">
        <v>0</v>
      </c>
      <c r="G1097" s="46" t="n">
        <v>-100</v>
      </c>
      <c r="H1097" s="40" t="n">
        <v>2420250.06</v>
      </c>
      <c r="I1097" s="40" t="n">
        <v>100</v>
      </c>
      <c r="J1097" s="40" t="n">
        <v>1588092.03</v>
      </c>
      <c r="K1097" s="46" t="n">
        <v>-34.38</v>
      </c>
      <c r="L1097" s="40" t="n">
        <v>1111583.2</v>
      </c>
      <c r="M1097" s="46" t="n">
        <v>-30.01</v>
      </c>
      <c r="N1097" s="40" t="n">
        <v>573108.26</v>
      </c>
      <c r="O1097" s="46" t="n">
        <v>-48.44</v>
      </c>
      <c r="P1097" s="40" t="n">
        <v>1680395.91</v>
      </c>
      <c r="Q1097" s="40" t="n">
        <v>193.21</v>
      </c>
      <c r="R1097" s="47" t="n"/>
      <c r="S1097" s="47" t="n"/>
      <c r="T1097" s="47" t="n"/>
      <c r="U1097" s="47" t="n"/>
      <c r="V1097" s="47" t="n"/>
      <c r="W1097" s="47" t="n"/>
    </row>
    <row r="1098" ht="11.25" customHeight="1">
      <c r="A1098" s="30" t="inlineStr">
        <is>
          <t>Itaguai</t>
        </is>
      </c>
      <c r="B1098" s="30" t="n">
        <v>85454684</v>
      </c>
      <c r="C1098" s="30">
        <f>"81800849001032"</f>
        <v/>
      </c>
      <c r="D1098" s="30" t="inlineStr">
        <is>
          <t>COTRESC COOPERATIVA DE TRANSPORTE DE CARGAS DO ESTADO DE SC LTDA</t>
        </is>
      </c>
      <c r="E1098" s="40" t="n">
        <v>0</v>
      </c>
      <c r="F1098" s="40" t="n">
        <v>2579037.11</v>
      </c>
      <c r="G1098" s="40" t="n">
        <v>100</v>
      </c>
      <c r="H1098" s="40" t="n">
        <v>597546.41</v>
      </c>
      <c r="I1098" s="46" t="n">
        <v>-76.83</v>
      </c>
      <c r="J1098" s="40" t="n">
        <v>2155760.48</v>
      </c>
      <c r="K1098" s="40" t="n">
        <v>260.77</v>
      </c>
      <c r="L1098" s="40" t="n">
        <v>3931227.29</v>
      </c>
      <c r="M1098" s="40" t="n">
        <v>82.36</v>
      </c>
      <c r="N1098" s="40" t="n">
        <v>8283115.04</v>
      </c>
      <c r="O1098" s="40" t="n">
        <v>110.7</v>
      </c>
      <c r="P1098" s="40" t="n">
        <v>6180902.89</v>
      </c>
      <c r="Q1098" s="46" t="n">
        <v>-25.38</v>
      </c>
      <c r="R1098" s="47" t="n"/>
      <c r="S1098" s="47" t="n"/>
      <c r="T1098" s="47" t="n"/>
      <c r="U1098" s="47" t="n"/>
      <c r="V1098" s="47" t="n"/>
      <c r="W1098" s="47" t="n"/>
    </row>
    <row r="1099" ht="11.25" customHeight="1">
      <c r="A1099" s="30" t="inlineStr">
        <is>
          <t>Itaguai</t>
        </is>
      </c>
      <c r="B1099" s="30" t="n">
        <v>85455109</v>
      </c>
      <c r="C1099" s="30">
        <f>"28299386000446"</f>
        <v/>
      </c>
      <c r="D1099" s="30" t="inlineStr">
        <is>
          <t>TRANSMAGNO TRANSPORTES RODOVIARIOS LTDA</t>
        </is>
      </c>
      <c r="E1099" s="40" t="n">
        <v>47542.15</v>
      </c>
      <c r="F1099" s="40" t="n">
        <v>63972.08</v>
      </c>
      <c r="G1099" s="40" t="n">
        <v>34.56</v>
      </c>
      <c r="H1099" s="40" t="n">
        <v>0</v>
      </c>
      <c r="I1099" s="46" t="n">
        <v>-100</v>
      </c>
      <c r="J1099" s="40" t="n">
        <v>0</v>
      </c>
      <c r="K1099" s="40" t="n">
        <v>0</v>
      </c>
      <c r="L1099" s="40" t="n">
        <v>0</v>
      </c>
      <c r="M1099" s="40" t="n">
        <v>0</v>
      </c>
      <c r="N1099" s="40" t="n">
        <v>0</v>
      </c>
      <c r="O1099" s="40" t="n">
        <v>0</v>
      </c>
      <c r="P1099" s="40" t="n">
        <v>0</v>
      </c>
      <c r="Q1099" s="40" t="n">
        <v>0</v>
      </c>
      <c r="R1099" s="47" t="n"/>
      <c r="S1099" s="47" t="n"/>
      <c r="T1099" s="47" t="n"/>
      <c r="U1099" s="47" t="n"/>
      <c r="V1099" s="47" t="n"/>
      <c r="W1099" s="47" t="n"/>
    </row>
    <row r="1100" ht="11.25" customHeight="1">
      <c r="A1100" s="30" t="inlineStr">
        <is>
          <t>Itaguai</t>
        </is>
      </c>
      <c r="B1100" s="30" t="n">
        <v>85455613</v>
      </c>
      <c r="C1100" s="30">
        <f>"00546164000119"</f>
        <v/>
      </c>
      <c r="D1100" s="30" t="inlineStr">
        <is>
          <t>TLM - TRANSPORTES E LOGISTICA MODERNA LTDA</t>
        </is>
      </c>
      <c r="E1100" s="40" t="n">
        <v>0</v>
      </c>
      <c r="F1100" s="40" t="n">
        <v>241.35</v>
      </c>
      <c r="G1100" s="40" t="n">
        <v>100</v>
      </c>
      <c r="H1100" s="40" t="n">
        <v>1255.19</v>
      </c>
      <c r="I1100" s="40" t="n">
        <v>420.07</v>
      </c>
      <c r="J1100" s="40" t="n">
        <v>376.98</v>
      </c>
      <c r="K1100" s="46" t="n">
        <v>-69.97</v>
      </c>
      <c r="L1100" s="40" t="n">
        <v>78.83</v>
      </c>
      <c r="M1100" s="46" t="n">
        <v>-79.09</v>
      </c>
      <c r="N1100" s="40" t="n">
        <v>0</v>
      </c>
      <c r="O1100" s="46" t="n">
        <v>-100</v>
      </c>
      <c r="P1100" s="40" t="n">
        <v>0</v>
      </c>
      <c r="Q1100" s="40" t="n">
        <v>0</v>
      </c>
      <c r="R1100" s="47" t="n"/>
      <c r="S1100" s="47" t="n"/>
      <c r="T1100" s="47" t="n"/>
      <c r="U1100" s="47" t="n"/>
      <c r="V1100" s="47" t="n"/>
      <c r="W1100" s="47" t="n"/>
    </row>
    <row r="1101" ht="11.25" customHeight="1">
      <c r="A1101" s="30" t="inlineStr">
        <is>
          <t>Itaguai</t>
        </is>
      </c>
      <c r="B1101" s="30" t="n">
        <v>85498053</v>
      </c>
      <c r="C1101" s="30">
        <f>"01341776000219"</f>
        <v/>
      </c>
      <c r="D1101" s="30" t="inlineStr">
        <is>
          <t>MERCOSUL LINE NAVEGACAO E LOGISTICA LTDA</t>
        </is>
      </c>
      <c r="E1101" s="40" t="n">
        <v>2501756.36</v>
      </c>
      <c r="F1101" s="40" t="n">
        <v>51844.22</v>
      </c>
      <c r="G1101" s="46" t="n">
        <v>-97.93000000000001</v>
      </c>
      <c r="H1101" s="40" t="n">
        <v>23570419.79</v>
      </c>
      <c r="I1101" s="40" t="n">
        <v>45363.93</v>
      </c>
      <c r="J1101" s="40" t="n">
        <v>0</v>
      </c>
      <c r="K1101" s="46" t="n">
        <v>-100</v>
      </c>
      <c r="L1101" s="40" t="n">
        <v>33092060.3</v>
      </c>
      <c r="M1101" s="40" t="n">
        <v>100</v>
      </c>
      <c r="N1101" s="40" t="n">
        <v>11842106.91</v>
      </c>
      <c r="O1101" s="46" t="n">
        <v>-64.20999999999999</v>
      </c>
      <c r="P1101" s="40" t="n">
        <v>0</v>
      </c>
      <c r="Q1101" s="46" t="n">
        <v>-100</v>
      </c>
      <c r="R1101" s="47" t="n"/>
      <c r="S1101" s="47" t="n"/>
      <c r="T1101" s="47" t="n"/>
      <c r="U1101" s="47" t="n"/>
      <c r="V1101" s="47" t="n"/>
      <c r="W1101" s="47" t="n"/>
    </row>
    <row r="1102" ht="11.25" customHeight="1">
      <c r="A1102" s="30" t="inlineStr">
        <is>
          <t>Itaguai</t>
        </is>
      </c>
      <c r="B1102" s="30" t="n">
        <v>85528211</v>
      </c>
      <c r="C1102" s="30">
        <f>"00185997000100"</f>
        <v/>
      </c>
      <c r="D1102" s="30" t="inlineStr">
        <is>
          <t>NOVO HORIZONTE JACAREPAGUA IMPORTA??O E EXPORTA??O S.A</t>
        </is>
      </c>
      <c r="E1102" s="40" t="n">
        <v>600</v>
      </c>
      <c r="F1102" s="40" t="n">
        <v>0</v>
      </c>
      <c r="G1102" s="46" t="n">
        <v>-100</v>
      </c>
      <c r="H1102" s="40" t="n">
        <v>0</v>
      </c>
      <c r="I1102" s="40" t="n">
        <v>0</v>
      </c>
      <c r="J1102" s="40" t="n">
        <v>1530</v>
      </c>
      <c r="K1102" s="40" t="n">
        <v>100</v>
      </c>
      <c r="L1102" s="40" t="n">
        <v>792</v>
      </c>
      <c r="M1102" s="46" t="n">
        <v>-48.24</v>
      </c>
      <c r="N1102" s="40" t="n">
        <v>3920</v>
      </c>
      <c r="O1102" s="40" t="n">
        <v>394.95</v>
      </c>
      <c r="P1102" s="40" t="n">
        <v>14720</v>
      </c>
      <c r="Q1102" s="40" t="n">
        <v>275.51</v>
      </c>
      <c r="R1102" s="47" t="n"/>
      <c r="S1102" s="47" t="n"/>
      <c r="T1102" s="47" t="n"/>
      <c r="U1102" s="47" t="n"/>
      <c r="V1102" s="47" t="n"/>
      <c r="W1102" s="47" t="n"/>
    </row>
    <row r="1103" ht="11.25" customHeight="1">
      <c r="A1103" s="30" t="inlineStr">
        <is>
          <t>Itaguai</t>
        </is>
      </c>
      <c r="B1103" s="30" t="n">
        <v>85645722</v>
      </c>
      <c r="C1103" s="30">
        <f>"00747098000145"</f>
        <v/>
      </c>
      <c r="D1103" s="30" t="inlineStr">
        <is>
          <t>CLE O CAR TUR TRANSPORTES LTDA</t>
        </is>
      </c>
      <c r="E1103" s="40" t="n">
        <v>0</v>
      </c>
      <c r="F1103" s="40" t="n">
        <v>0</v>
      </c>
      <c r="G1103" s="40" t="n">
        <v>0</v>
      </c>
      <c r="H1103" s="40" t="n">
        <v>0</v>
      </c>
      <c r="I1103" s="40" t="n">
        <v>0</v>
      </c>
      <c r="J1103" s="40" t="n">
        <v>0</v>
      </c>
      <c r="K1103" s="40" t="n">
        <v>0</v>
      </c>
      <c r="L1103" s="40" t="n">
        <v>0</v>
      </c>
      <c r="M1103" s="40" t="n">
        <v>0</v>
      </c>
      <c r="N1103" s="40" t="n">
        <v>0</v>
      </c>
      <c r="O1103" s="40" t="n">
        <v>0</v>
      </c>
      <c r="P1103" s="40" t="n">
        <v>0</v>
      </c>
      <c r="Q1103" s="40" t="n">
        <v>0</v>
      </c>
      <c r="R1103" s="47" t="n"/>
      <c r="S1103" s="47" t="n"/>
      <c r="T1103" s="47" t="n"/>
      <c r="U1103" s="47" t="n"/>
      <c r="V1103" s="47" t="n"/>
      <c r="W1103" s="47" t="n"/>
    </row>
    <row r="1104" ht="11.25" customHeight="1">
      <c r="A1104" s="30" t="inlineStr">
        <is>
          <t>Itaguai</t>
        </is>
      </c>
      <c r="B1104" s="30" t="n">
        <v>85646052</v>
      </c>
      <c r="C1104" s="30">
        <f>"73475303001025"</f>
        <v/>
      </c>
      <c r="D1104" s="30" t="inlineStr">
        <is>
          <t>TNT EXPRESS BRASIL LTDA</t>
        </is>
      </c>
      <c r="E1104" s="40" t="n">
        <v>1551.46</v>
      </c>
      <c r="F1104" s="40" t="n">
        <v>0</v>
      </c>
      <c r="G1104" s="46" t="n">
        <v>-100</v>
      </c>
      <c r="H1104" s="40" t="n">
        <v>0</v>
      </c>
      <c r="I1104" s="40" t="n">
        <v>0</v>
      </c>
      <c r="J1104" s="40" t="n">
        <v>0</v>
      </c>
      <c r="K1104" s="40" t="n">
        <v>0</v>
      </c>
      <c r="L1104" s="40" t="n">
        <v>0</v>
      </c>
      <c r="M1104" s="40" t="n">
        <v>0</v>
      </c>
      <c r="N1104" s="40" t="n">
        <v>0</v>
      </c>
      <c r="O1104" s="40" t="n">
        <v>0</v>
      </c>
      <c r="P1104" s="40" t="n">
        <v>0</v>
      </c>
      <c r="Q1104" s="40" t="n">
        <v>0</v>
      </c>
      <c r="R1104" s="47" t="n"/>
      <c r="S1104" s="47" t="n"/>
      <c r="T1104" s="47" t="n"/>
      <c r="U1104" s="47" t="n"/>
      <c r="V1104" s="47" t="n"/>
      <c r="W1104" s="47" t="n"/>
    </row>
    <row r="1105" ht="11.25" customHeight="1">
      <c r="A1105" s="30" t="inlineStr">
        <is>
          <t>Itaguai</t>
        </is>
      </c>
      <c r="B1105" s="30" t="n">
        <v>85646842</v>
      </c>
      <c r="C1105" s="30">
        <f>"00904848000145"</f>
        <v/>
      </c>
      <c r="D1105" s="30" t="inlineStr">
        <is>
          <t>TRANSCARAPIA TRANSPORTES LTDA</t>
        </is>
      </c>
      <c r="E1105" s="40" t="n">
        <v>0</v>
      </c>
      <c r="F1105" s="40" t="n">
        <v>0</v>
      </c>
      <c r="G1105" s="40" t="n">
        <v>0</v>
      </c>
      <c r="H1105" s="40" t="n">
        <v>0</v>
      </c>
      <c r="I1105" s="40" t="n">
        <v>0</v>
      </c>
      <c r="J1105" s="40" t="n">
        <v>0</v>
      </c>
      <c r="K1105" s="40" t="n">
        <v>0</v>
      </c>
      <c r="L1105" s="40" t="n">
        <v>2876.41</v>
      </c>
      <c r="M1105" s="40" t="n">
        <v>100</v>
      </c>
      <c r="N1105" s="40" t="n">
        <v>0</v>
      </c>
      <c r="O1105" s="46" t="n">
        <v>-100</v>
      </c>
      <c r="P1105" s="40" t="n">
        <v>0</v>
      </c>
      <c r="Q1105" s="40" t="n">
        <v>0</v>
      </c>
      <c r="R1105" s="47" t="n"/>
      <c r="S1105" s="47" t="n"/>
      <c r="T1105" s="47" t="n"/>
      <c r="U1105" s="47" t="n"/>
      <c r="V1105" s="47" t="n"/>
      <c r="W1105" s="47" t="n"/>
    </row>
    <row r="1106" ht="11.25" customHeight="1">
      <c r="A1106" s="30" t="inlineStr">
        <is>
          <t>Itaguai</t>
        </is>
      </c>
      <c r="B1106" s="30" t="n">
        <v>85647148</v>
      </c>
      <c r="C1106" s="30">
        <f>"09411448000504"</f>
        <v/>
      </c>
      <c r="D1106" s="30" t="inlineStr">
        <is>
          <t>LDB TRANSPORTES DE CARGAS LTDA</t>
        </is>
      </c>
      <c r="E1106" s="40" t="n">
        <v>0</v>
      </c>
      <c r="F1106" s="40" t="n">
        <v>0</v>
      </c>
      <c r="G1106" s="40" t="n">
        <v>0</v>
      </c>
      <c r="H1106" s="40" t="n">
        <v>0</v>
      </c>
      <c r="I1106" s="40" t="n">
        <v>0</v>
      </c>
      <c r="J1106" s="40" t="n">
        <v>227.26</v>
      </c>
      <c r="K1106" s="40" t="n">
        <v>100</v>
      </c>
      <c r="L1106" s="40" t="n">
        <v>0</v>
      </c>
      <c r="M1106" s="46" t="n">
        <v>-100</v>
      </c>
      <c r="N1106" s="40" t="n">
        <v>0</v>
      </c>
      <c r="O1106" s="40" t="n">
        <v>0</v>
      </c>
      <c r="P1106" s="40" t="n">
        <v>26594.35</v>
      </c>
      <c r="Q1106" s="40" t="n">
        <v>100</v>
      </c>
      <c r="R1106" s="47" t="n"/>
      <c r="S1106" s="47" t="n"/>
      <c r="T1106" s="47" t="n"/>
      <c r="U1106" s="47" t="n"/>
      <c r="V1106" s="47" t="n"/>
      <c r="W1106" s="47" t="n"/>
    </row>
    <row r="1107" ht="11.25" customHeight="1">
      <c r="A1107" s="30" t="inlineStr">
        <is>
          <t>Itaguai</t>
        </is>
      </c>
      <c r="B1107" s="30" t="n">
        <v>85669818</v>
      </c>
      <c r="C1107" s="30">
        <f>"86908795000156"</f>
        <v/>
      </c>
      <c r="D1107" s="30" t="inlineStr">
        <is>
          <t>MINERADORA IGUATU LTDA EPP</t>
        </is>
      </c>
      <c r="E1107" s="40" t="n">
        <v>0</v>
      </c>
      <c r="F1107" s="40" t="n">
        <v>0</v>
      </c>
      <c r="G1107" s="40" t="n">
        <v>0</v>
      </c>
      <c r="H1107" s="40" t="n">
        <v>0</v>
      </c>
      <c r="I1107" s="40" t="n">
        <v>0</v>
      </c>
      <c r="J1107" s="40" t="n">
        <v>0</v>
      </c>
      <c r="K1107" s="40" t="n">
        <v>0</v>
      </c>
      <c r="L1107" s="40" t="n">
        <v>0</v>
      </c>
      <c r="M1107" s="40" t="n">
        <v>0</v>
      </c>
      <c r="N1107" s="40" t="n">
        <v>1973395.44</v>
      </c>
      <c r="O1107" s="40" t="n">
        <v>100</v>
      </c>
      <c r="P1107" s="40" t="n">
        <v>0</v>
      </c>
      <c r="Q1107" s="46" t="n">
        <v>-100</v>
      </c>
      <c r="R1107" s="47" t="n"/>
      <c r="S1107" s="47" t="n"/>
      <c r="T1107" s="47" t="n"/>
      <c r="U1107" s="47" t="n"/>
      <c r="V1107" s="47" t="n"/>
      <c r="W1107" s="47" t="n"/>
    </row>
    <row r="1108" ht="11.25" customHeight="1">
      <c r="A1108" s="30" t="inlineStr">
        <is>
          <t>Itaguai</t>
        </is>
      </c>
      <c r="B1108" s="30" t="n">
        <v>85670069</v>
      </c>
      <c r="C1108" s="30">
        <f>"00747102000175"</f>
        <v/>
      </c>
      <c r="D1108" s="30" t="inlineStr">
        <is>
          <t>AREAL DO FUTURO EXTRACAO DE AREIA LTDA EPP</t>
        </is>
      </c>
      <c r="E1108" s="40" t="n">
        <v>0</v>
      </c>
      <c r="F1108" s="40" t="n">
        <v>364262.72</v>
      </c>
      <c r="G1108" s="40" t="n">
        <v>100</v>
      </c>
      <c r="H1108" s="40" t="n">
        <v>0</v>
      </c>
      <c r="I1108" s="46" t="n">
        <v>-100</v>
      </c>
      <c r="J1108" s="40" t="n">
        <v>346878.33</v>
      </c>
      <c r="K1108" s="40" t="n">
        <v>100</v>
      </c>
      <c r="L1108" s="40" t="n">
        <v>0</v>
      </c>
      <c r="M1108" s="46" t="n">
        <v>-100</v>
      </c>
      <c r="N1108" s="40" t="n">
        <v>0</v>
      </c>
      <c r="O1108" s="40" t="n">
        <v>0</v>
      </c>
      <c r="P1108" s="40" t="n">
        <v>0</v>
      </c>
      <c r="Q1108" s="40" t="n">
        <v>0</v>
      </c>
      <c r="R1108" s="47" t="n"/>
      <c r="S1108" s="47" t="n"/>
      <c r="T1108" s="47" t="n"/>
      <c r="U1108" s="47" t="n"/>
      <c r="V1108" s="47" t="n"/>
      <c r="W1108" s="47" t="n"/>
    </row>
    <row r="1109" ht="11.25" customHeight="1">
      <c r="A1109" s="30" t="inlineStr">
        <is>
          <t>Itaguai</t>
        </is>
      </c>
      <c r="B1109" s="30" t="n">
        <v>85670239</v>
      </c>
      <c r="C1109" s="30">
        <f>"00947483000136"</f>
        <v/>
      </c>
      <c r="D1109" s="30" t="inlineStr">
        <is>
          <t>ACOUGUE SOMAR DE ITAGUAI LTDA ME</t>
        </is>
      </c>
      <c r="E1109" s="40" t="n">
        <v>0</v>
      </c>
      <c r="F1109" s="40" t="n">
        <v>0</v>
      </c>
      <c r="G1109" s="40" t="n">
        <v>0</v>
      </c>
      <c r="H1109" s="40" t="n">
        <v>0</v>
      </c>
      <c r="I1109" s="40" t="n">
        <v>0</v>
      </c>
      <c r="J1109" s="40" t="n">
        <v>0</v>
      </c>
      <c r="K1109" s="40" t="n">
        <v>0</v>
      </c>
      <c r="L1109" s="40" t="n">
        <v>0</v>
      </c>
      <c r="M1109" s="40" t="n">
        <v>0</v>
      </c>
      <c r="N1109" s="40" t="n">
        <v>0</v>
      </c>
      <c r="O1109" s="40" t="n">
        <v>0</v>
      </c>
      <c r="P1109" s="40" t="n">
        <v>0</v>
      </c>
      <c r="Q1109" s="40" t="n">
        <v>0</v>
      </c>
      <c r="R1109" s="47" t="n"/>
      <c r="S1109" s="47" t="n"/>
      <c r="T1109" s="47" t="n"/>
      <c r="U1109" s="47" t="n"/>
      <c r="V1109" s="47" t="n"/>
      <c r="W1109" s="47" t="n"/>
    </row>
    <row r="1110" ht="11.25" customHeight="1">
      <c r="A1110" s="30" t="inlineStr">
        <is>
          <t>Itaguai</t>
        </is>
      </c>
      <c r="B1110" s="30" t="n">
        <v>85670409</v>
      </c>
      <c r="C1110" s="30">
        <f>"01042788000161"</f>
        <v/>
      </c>
      <c r="D1110" s="30" t="inlineStr">
        <is>
          <t>JOAO CAVALCANTE DE ARAUJO</t>
        </is>
      </c>
      <c r="E1110" s="40" t="n">
        <v>0</v>
      </c>
      <c r="F1110" s="40" t="n">
        <v>105591</v>
      </c>
      <c r="G1110" s="40" t="n">
        <v>100</v>
      </c>
      <c r="H1110" s="40" t="n">
        <v>0</v>
      </c>
      <c r="I1110" s="46" t="n">
        <v>-100</v>
      </c>
      <c r="J1110" s="40" t="n">
        <v>0</v>
      </c>
      <c r="K1110" s="40" t="n">
        <v>0</v>
      </c>
      <c r="L1110" s="40" t="n">
        <v>0</v>
      </c>
      <c r="M1110" s="40" t="n">
        <v>0</v>
      </c>
      <c r="N1110" s="40" t="n">
        <v>0</v>
      </c>
      <c r="O1110" s="40" t="n">
        <v>0</v>
      </c>
      <c r="P1110" s="40" t="n">
        <v>0</v>
      </c>
      <c r="Q1110" s="40" t="n">
        <v>0</v>
      </c>
      <c r="R1110" s="47" t="n"/>
      <c r="S1110" s="47" t="n"/>
      <c r="T1110" s="47" t="n"/>
      <c r="U1110" s="47" t="n"/>
      <c r="V1110" s="47" t="n"/>
      <c r="W1110" s="47" t="n"/>
    </row>
    <row r="1111" ht="11.25" customHeight="1">
      <c r="A1111" s="30" t="inlineStr">
        <is>
          <t>Itaguai</t>
        </is>
      </c>
      <c r="B1111" s="30" t="n">
        <v>85670476</v>
      </c>
      <c r="C1111" s="30">
        <f>"24314824000102"</f>
        <v/>
      </c>
      <c r="D1111" s="30" t="inlineStr">
        <is>
          <t>AUTO POSTO DO TRABALHO ITAGUAI III LTDA</t>
        </is>
      </c>
      <c r="E1111" s="40" t="n">
        <v>0</v>
      </c>
      <c r="F1111" s="40" t="n">
        <v>0</v>
      </c>
      <c r="G1111" s="40" t="n">
        <v>0</v>
      </c>
      <c r="H1111" s="40" t="n">
        <v>500257.52</v>
      </c>
      <c r="I1111" s="40" t="n">
        <v>100</v>
      </c>
      <c r="J1111" s="40" t="n">
        <v>763160.74</v>
      </c>
      <c r="K1111" s="40" t="n">
        <v>52.55</v>
      </c>
      <c r="L1111" s="40" t="n">
        <v>5019154.17</v>
      </c>
      <c r="M1111" s="40" t="n">
        <v>557.6799999999999</v>
      </c>
      <c r="N1111" s="40" t="n">
        <v>6771992.78</v>
      </c>
      <c r="O1111" s="40" t="n">
        <v>34.92</v>
      </c>
      <c r="P1111" s="40" t="n">
        <v>10567238.83</v>
      </c>
      <c r="Q1111" s="40" t="n">
        <v>56.04</v>
      </c>
      <c r="R1111" s="47" t="n"/>
      <c r="S1111" s="47" t="n"/>
      <c r="T1111" s="47" t="n"/>
      <c r="U1111" s="47" t="n"/>
      <c r="V1111" s="47" t="n"/>
      <c r="W1111" s="47" t="n"/>
    </row>
    <row r="1112" ht="11.25" customHeight="1">
      <c r="A1112" s="30" t="inlineStr">
        <is>
          <t>Itaguai</t>
        </is>
      </c>
      <c r="B1112" s="30" t="n">
        <v>85727028</v>
      </c>
      <c r="C1112" s="30">
        <f>"66970229001139"</f>
        <v/>
      </c>
      <c r="D1112" s="30" t="inlineStr">
        <is>
          <t>NEXTEL TELECOMUNICACOES LTDA.</t>
        </is>
      </c>
      <c r="E1112" s="40" t="n">
        <v>11695826.11</v>
      </c>
      <c r="F1112" s="40" t="n">
        <v>11067709.16</v>
      </c>
      <c r="G1112" s="46" t="n">
        <v>-5.37</v>
      </c>
      <c r="H1112" s="40" t="n">
        <v>9495949.699999999</v>
      </c>
      <c r="I1112" s="46" t="n">
        <v>-14.2</v>
      </c>
      <c r="J1112" s="40" t="n">
        <v>8004881.08</v>
      </c>
      <c r="K1112" s="46" t="n">
        <v>-15.7</v>
      </c>
      <c r="L1112" s="40" t="n">
        <v>10856224.81</v>
      </c>
      <c r="M1112" s="40" t="n">
        <v>35.62</v>
      </c>
      <c r="N1112" s="40" t="n">
        <v>18988242.14</v>
      </c>
      <c r="O1112" s="40" t="n">
        <v>74.91</v>
      </c>
      <c r="P1112" s="40" t="n">
        <v>18052340.03</v>
      </c>
      <c r="Q1112" s="46" t="n">
        <v>-4.93</v>
      </c>
      <c r="R1112" s="47" t="n"/>
      <c r="S1112" s="47" t="n"/>
      <c r="T1112" s="47" t="n"/>
      <c r="U1112" s="47" t="n"/>
      <c r="V1112" s="47" t="n"/>
      <c r="W1112" s="47" t="n"/>
    </row>
    <row r="1113" ht="11.25" customHeight="1">
      <c r="A1113" s="30" t="inlineStr">
        <is>
          <t>Itaguai</t>
        </is>
      </c>
      <c r="B1113" s="30" t="n">
        <v>85729829</v>
      </c>
      <c r="C1113" s="30">
        <f>"86613403000806"</f>
        <v/>
      </c>
      <c r="D1113" s="30" t="inlineStr">
        <is>
          <t>USIFAST LOGISTICA INDUSTRIAL SA</t>
        </is>
      </c>
      <c r="E1113" s="40" t="n">
        <v>0</v>
      </c>
      <c r="F1113" s="40" t="n">
        <v>0</v>
      </c>
      <c r="G1113" s="40" t="n">
        <v>0</v>
      </c>
      <c r="H1113" s="40" t="n">
        <v>33001.86</v>
      </c>
      <c r="I1113" s="40" t="n">
        <v>100</v>
      </c>
      <c r="J1113" s="40" t="n">
        <v>24211.34</v>
      </c>
      <c r="K1113" s="46" t="n">
        <v>-26.64</v>
      </c>
      <c r="L1113" s="40" t="n">
        <v>0</v>
      </c>
      <c r="M1113" s="46" t="n">
        <v>-100</v>
      </c>
      <c r="N1113" s="40" t="n">
        <v>0</v>
      </c>
      <c r="O1113" s="40" t="n">
        <v>0</v>
      </c>
      <c r="P1113" s="40" t="n">
        <v>0</v>
      </c>
      <c r="Q1113" s="40" t="n">
        <v>0</v>
      </c>
      <c r="R1113" s="47" t="n"/>
      <c r="S1113" s="47" t="n"/>
      <c r="T1113" s="47" t="n"/>
      <c r="U1113" s="47" t="n"/>
      <c r="V1113" s="47" t="n"/>
      <c r="W1113" s="47" t="n"/>
    </row>
    <row r="1114" ht="11.25" customHeight="1">
      <c r="A1114" s="30" t="inlineStr">
        <is>
          <t>Itaguai</t>
        </is>
      </c>
      <c r="B1114" s="30" t="n">
        <v>85730169</v>
      </c>
      <c r="C1114" s="30">
        <f>"01114430000105"</f>
        <v/>
      </c>
      <c r="D1114" s="30" t="inlineStr">
        <is>
          <t>TRANSFUTURO TRANSPORTES LTDA</t>
        </is>
      </c>
      <c r="E1114" s="40" t="n">
        <v>328434.65</v>
      </c>
      <c r="F1114" s="40" t="n">
        <v>425849.57</v>
      </c>
      <c r="G1114" s="40" t="n">
        <v>29.66</v>
      </c>
      <c r="H1114" s="40" t="n">
        <v>756281.6</v>
      </c>
      <c r="I1114" s="40" t="n">
        <v>77.59</v>
      </c>
      <c r="J1114" s="40" t="n">
        <v>409331.96</v>
      </c>
      <c r="K1114" s="46" t="n">
        <v>-45.88</v>
      </c>
      <c r="L1114" s="40" t="n">
        <v>346958.5</v>
      </c>
      <c r="M1114" s="46" t="n">
        <v>-15.24</v>
      </c>
      <c r="N1114" s="40" t="n">
        <v>79958.55</v>
      </c>
      <c r="O1114" s="46" t="n">
        <v>-76.95</v>
      </c>
      <c r="P1114" s="40" t="n">
        <v>463454.79</v>
      </c>
      <c r="Q1114" s="40" t="n">
        <v>479.62</v>
      </c>
      <c r="R1114" s="47" t="n"/>
      <c r="S1114" s="47" t="n"/>
      <c r="T1114" s="47" t="n"/>
      <c r="U1114" s="47" t="n"/>
      <c r="V1114" s="47" t="n"/>
      <c r="W1114" s="47" t="n"/>
    </row>
    <row r="1115" ht="11.25" customHeight="1">
      <c r="A1115" s="30" t="inlineStr">
        <is>
          <t>Itaguai</t>
        </is>
      </c>
      <c r="B1115" s="30" t="n">
        <v>85730924</v>
      </c>
      <c r="C1115" s="30">
        <f>"25436130000283"</f>
        <v/>
      </c>
      <c r="D1115" s="30" t="inlineStr">
        <is>
          <t>AUTOSERVICE LOGISTICA LTDA</t>
        </is>
      </c>
      <c r="E1115" s="40" t="n">
        <v>330.18</v>
      </c>
      <c r="F1115" s="40" t="n">
        <v>1915</v>
      </c>
      <c r="G1115" s="40" t="n">
        <v>479.99</v>
      </c>
      <c r="H1115" s="40" t="n">
        <v>2829.55</v>
      </c>
      <c r="I1115" s="40" t="n">
        <v>47.76</v>
      </c>
      <c r="J1115" s="40" t="n">
        <v>1980</v>
      </c>
      <c r="K1115" s="46" t="n">
        <v>-30.02</v>
      </c>
      <c r="L1115" s="40" t="n">
        <v>19566.55</v>
      </c>
      <c r="M1115" s="40" t="n">
        <v>888.21</v>
      </c>
      <c r="N1115" s="40" t="n">
        <v>9974.98</v>
      </c>
      <c r="O1115" s="46" t="n">
        <v>-49.02</v>
      </c>
      <c r="P1115" s="40" t="n">
        <v>4304.22</v>
      </c>
      <c r="Q1115" s="46" t="n">
        <v>-56.85</v>
      </c>
      <c r="R1115" s="47" t="n"/>
      <c r="S1115" s="47" t="n"/>
      <c r="T1115" s="47" t="n"/>
      <c r="U1115" s="47" t="n"/>
      <c r="V1115" s="47" t="n"/>
      <c r="W1115" s="47" t="n"/>
    </row>
    <row r="1116" ht="11.25" customHeight="1">
      <c r="A1116" s="30" t="inlineStr">
        <is>
          <t>Itaguai</t>
        </is>
      </c>
      <c r="B1116" s="30" t="n">
        <v>85763482</v>
      </c>
      <c r="C1116" s="30">
        <f>"01355383000183"</f>
        <v/>
      </c>
      <c r="D1116" s="30" t="inlineStr">
        <is>
          <t>PROMO 3 IMPORTACAO E EXPORTACAO LTDA</t>
        </is>
      </c>
      <c r="E1116" s="40" t="n">
        <v>0</v>
      </c>
      <c r="F1116" s="40" t="n">
        <v>0</v>
      </c>
      <c r="G1116" s="40" t="n">
        <v>0</v>
      </c>
      <c r="H1116" s="40" t="n">
        <v>0</v>
      </c>
      <c r="I1116" s="40" t="n">
        <v>0</v>
      </c>
      <c r="J1116" s="40" t="n">
        <v>0</v>
      </c>
      <c r="K1116" s="40" t="n">
        <v>0</v>
      </c>
      <c r="L1116" s="40" t="n">
        <v>0</v>
      </c>
      <c r="M1116" s="40" t="n">
        <v>0</v>
      </c>
      <c r="N1116" s="40" t="n">
        <v>0</v>
      </c>
      <c r="O1116" s="40" t="n">
        <v>0</v>
      </c>
      <c r="P1116" s="40" t="n">
        <v>0</v>
      </c>
      <c r="Q1116" s="40" t="n">
        <v>0</v>
      </c>
      <c r="R1116" s="47" t="n"/>
      <c r="S1116" s="47" t="n"/>
      <c r="T1116" s="47" t="n"/>
      <c r="U1116" s="47" t="n"/>
      <c r="V1116" s="47" t="n"/>
      <c r="W1116" s="47" t="n"/>
    </row>
    <row r="1117" ht="11.25" customHeight="1">
      <c r="A1117" s="30" t="inlineStr">
        <is>
          <t>Itaguai</t>
        </is>
      </c>
      <c r="B1117" s="30" t="n">
        <v>85763776</v>
      </c>
      <c r="C1117" s="30">
        <f>"01629814000152"</f>
        <v/>
      </c>
      <c r="D1117" s="30" t="inlineStr">
        <is>
          <t>AUTOCOL ITAGUAI AUTOMOVEIS COMERCIO LTDA</t>
        </is>
      </c>
      <c r="E1117" s="40" t="n">
        <v>0</v>
      </c>
      <c r="F1117" s="40" t="n">
        <v>0</v>
      </c>
      <c r="G1117" s="40" t="n">
        <v>0</v>
      </c>
      <c r="H1117" s="40" t="n">
        <v>0</v>
      </c>
      <c r="I1117" s="40" t="n">
        <v>0</v>
      </c>
      <c r="J1117" s="40" t="n">
        <v>0</v>
      </c>
      <c r="K1117" s="40" t="n">
        <v>0</v>
      </c>
      <c r="L1117" s="40" t="n">
        <v>0</v>
      </c>
      <c r="M1117" s="40" t="n">
        <v>0</v>
      </c>
      <c r="N1117" s="40" t="n">
        <v>0</v>
      </c>
      <c r="O1117" s="40" t="n">
        <v>0</v>
      </c>
      <c r="P1117" s="40" t="n">
        <v>0</v>
      </c>
      <c r="Q1117" s="40" t="n">
        <v>0</v>
      </c>
      <c r="R1117" s="47" t="n"/>
      <c r="S1117" s="47" t="n"/>
      <c r="T1117" s="47" t="n"/>
      <c r="U1117" s="47" t="n"/>
      <c r="V1117" s="47" t="n"/>
      <c r="W1117" s="47" t="n"/>
    </row>
    <row r="1118" ht="11.25" customHeight="1">
      <c r="A1118" s="30" t="inlineStr">
        <is>
          <t>Itaguai</t>
        </is>
      </c>
      <c r="B1118" s="30" t="n">
        <v>85764411</v>
      </c>
      <c r="C1118" s="30">
        <f>"00473885000146"</f>
        <v/>
      </c>
      <c r="D1118" s="30" t="inlineStr">
        <is>
          <t>PADARIA CALIFORNIA DE ITAGUAI LTDA</t>
        </is>
      </c>
      <c r="E1118" s="40" t="n">
        <v>407472.41</v>
      </c>
      <c r="F1118" s="40" t="n">
        <v>668818.1899999999</v>
      </c>
      <c r="G1118" s="40" t="n">
        <v>64.14</v>
      </c>
      <c r="H1118" s="40" t="n">
        <v>0</v>
      </c>
      <c r="I1118" s="46" t="n">
        <v>-100</v>
      </c>
      <c r="J1118" s="40" t="n">
        <v>0</v>
      </c>
      <c r="K1118" s="40" t="n">
        <v>0</v>
      </c>
      <c r="L1118" s="40" t="n">
        <v>311544.94</v>
      </c>
      <c r="M1118" s="40" t="n">
        <v>100</v>
      </c>
      <c r="N1118" s="40" t="n">
        <v>0</v>
      </c>
      <c r="O1118" s="46" t="n">
        <v>-100</v>
      </c>
      <c r="P1118" s="40" t="n">
        <v>814814.86</v>
      </c>
      <c r="Q1118" s="40" t="n">
        <v>100</v>
      </c>
      <c r="R1118" s="47" t="n"/>
      <c r="S1118" s="47" t="n"/>
      <c r="T1118" s="47" t="n"/>
      <c r="U1118" s="47" t="n"/>
      <c r="V1118" s="47" t="n"/>
      <c r="W1118" s="47" t="n"/>
    </row>
    <row r="1119" ht="11.25" customHeight="1">
      <c r="A1119" s="30" t="inlineStr">
        <is>
          <t>Itaguai</t>
        </is>
      </c>
      <c r="B1119" s="30" t="n">
        <v>85764721</v>
      </c>
      <c r="C1119" s="30">
        <f>"36437143000102"</f>
        <v/>
      </c>
      <c r="D1119" s="30" t="inlineStr">
        <is>
          <t>J MATSUNAGA INSTALA??O E MANUTEN??O EL?TRICA</t>
        </is>
      </c>
      <c r="E1119" s="40" t="n">
        <v>0</v>
      </c>
      <c r="F1119" s="40" t="n">
        <v>0</v>
      </c>
      <c r="G1119" s="40" t="n">
        <v>0</v>
      </c>
      <c r="H1119" s="40" t="n">
        <v>0</v>
      </c>
      <c r="I1119" s="40" t="n">
        <v>0</v>
      </c>
      <c r="J1119" s="40" t="n">
        <v>0</v>
      </c>
      <c r="K1119" s="40" t="n">
        <v>0</v>
      </c>
      <c r="L1119" s="40" t="n">
        <v>0</v>
      </c>
      <c r="M1119" s="40" t="n">
        <v>0</v>
      </c>
      <c r="N1119" s="40" t="n">
        <v>0</v>
      </c>
      <c r="O1119" s="40" t="n">
        <v>0</v>
      </c>
      <c r="P1119" s="40" t="n">
        <v>0</v>
      </c>
      <c r="Q1119" s="40" t="n">
        <v>0</v>
      </c>
      <c r="R1119" s="47" t="n"/>
      <c r="S1119" s="47" t="n"/>
      <c r="T1119" s="47" t="n"/>
      <c r="U1119" s="47" t="n"/>
      <c r="V1119" s="47" t="n"/>
      <c r="W1119" s="47" t="n"/>
    </row>
    <row r="1120" ht="11.25" customHeight="1">
      <c r="A1120" s="30" t="inlineStr">
        <is>
          <t>Itaguai</t>
        </is>
      </c>
      <c r="B1120" s="30" t="n">
        <v>85764888</v>
      </c>
      <c r="C1120" s="30">
        <f>"33881301012994"</f>
        <v/>
      </c>
      <c r="D1120" s="30" t="inlineStr">
        <is>
          <t>LOJAS CITYCOL S/A</t>
        </is>
      </c>
      <c r="E1120" s="40" t="n">
        <v>788424.53</v>
      </c>
      <c r="F1120" s="40" t="n">
        <v>874281.0699999999</v>
      </c>
      <c r="G1120" s="40" t="n">
        <v>10.89</v>
      </c>
      <c r="H1120" s="40" t="n">
        <v>717426.16</v>
      </c>
      <c r="I1120" s="46" t="n">
        <v>-17.94</v>
      </c>
      <c r="J1120" s="40" t="n">
        <v>611345.01</v>
      </c>
      <c r="K1120" s="46" t="n">
        <v>-14.79</v>
      </c>
      <c r="L1120" s="40" t="n">
        <v>494214.33</v>
      </c>
      <c r="M1120" s="46" t="n">
        <v>-19.16</v>
      </c>
      <c r="N1120" s="40" t="n">
        <v>622304.8</v>
      </c>
      <c r="O1120" s="40" t="n">
        <v>25.92</v>
      </c>
      <c r="P1120" s="40" t="n">
        <v>632528.42</v>
      </c>
      <c r="Q1120" s="40" t="n">
        <v>1.64</v>
      </c>
      <c r="R1120" s="47" t="n"/>
      <c r="S1120" s="47" t="n"/>
      <c r="T1120" s="47" t="n"/>
      <c r="U1120" s="47" t="n"/>
      <c r="V1120" s="47" t="n"/>
      <c r="W1120" s="47" t="n"/>
    </row>
    <row r="1121" ht="11.25" customHeight="1">
      <c r="A1121" s="30" t="inlineStr">
        <is>
          <t>Itaguai</t>
        </is>
      </c>
      <c r="B1121" s="30" t="n">
        <v>85765051</v>
      </c>
      <c r="C1121" s="30">
        <f>"02198937000149"</f>
        <v/>
      </c>
      <c r="D1121" s="30" t="inlineStr">
        <is>
          <t>F J R COMERCIO DE CEREAIS LTDA ME</t>
        </is>
      </c>
      <c r="E1121" s="40" t="n">
        <v>2974721.04</v>
      </c>
      <c r="F1121" s="40" t="n">
        <v>3171212.14</v>
      </c>
      <c r="G1121" s="40" t="n">
        <v>6.61</v>
      </c>
      <c r="H1121" s="40" t="n">
        <v>2833383.99</v>
      </c>
      <c r="I1121" s="46" t="n">
        <v>-10.65</v>
      </c>
      <c r="J1121" s="40" t="n">
        <v>2352574.32</v>
      </c>
      <c r="K1121" s="46" t="n">
        <v>-16.97</v>
      </c>
      <c r="L1121" s="40" t="n">
        <v>2904226.55</v>
      </c>
      <c r="M1121" s="40" t="n">
        <v>23.45</v>
      </c>
      <c r="N1121" s="40" t="n">
        <v>1608554.46</v>
      </c>
      <c r="O1121" s="46" t="n">
        <v>-44.61</v>
      </c>
      <c r="P1121" s="40" t="n">
        <v>3136524.7</v>
      </c>
      <c r="Q1121" s="40" t="n">
        <v>94.98999999999999</v>
      </c>
      <c r="R1121" s="47" t="n"/>
      <c r="S1121" s="47" t="n"/>
      <c r="T1121" s="47" t="n"/>
      <c r="U1121" s="47" t="n"/>
      <c r="V1121" s="47" t="n"/>
      <c r="W1121" s="47" t="n"/>
    </row>
    <row r="1122" ht="11.25" customHeight="1">
      <c r="A1122" s="30" t="inlineStr">
        <is>
          <t>Itaguai</t>
        </is>
      </c>
      <c r="B1122" s="30" t="n">
        <v>85765388</v>
      </c>
      <c r="C1122" s="30">
        <f>"02313305000189"</f>
        <v/>
      </c>
      <c r="D1122" s="30" t="inlineStr">
        <is>
          <t>DROGARIA AVENIDA DE ITAGUAI LTDA</t>
        </is>
      </c>
      <c r="E1122" s="40" t="n">
        <v>0</v>
      </c>
      <c r="F1122" s="40" t="n">
        <v>0</v>
      </c>
      <c r="G1122" s="40" t="n">
        <v>0</v>
      </c>
      <c r="H1122" s="40" t="n">
        <v>0</v>
      </c>
      <c r="I1122" s="40" t="n">
        <v>0</v>
      </c>
      <c r="J1122" s="40" t="n">
        <v>0</v>
      </c>
      <c r="K1122" s="40" t="n">
        <v>0</v>
      </c>
      <c r="L1122" s="40" t="n">
        <v>0</v>
      </c>
      <c r="M1122" s="40" t="n">
        <v>0</v>
      </c>
      <c r="N1122" s="40" t="n">
        <v>0</v>
      </c>
      <c r="O1122" s="40" t="n">
        <v>0</v>
      </c>
      <c r="P1122" s="40" t="n">
        <v>119052.65</v>
      </c>
      <c r="Q1122" s="40" t="n">
        <v>100</v>
      </c>
      <c r="R1122" s="47" t="n"/>
      <c r="S1122" s="47" t="n"/>
      <c r="T1122" s="47" t="n"/>
      <c r="U1122" s="47" t="n"/>
      <c r="V1122" s="47" t="n"/>
      <c r="W1122" s="47" t="n"/>
    </row>
    <row r="1123" ht="11.25" customHeight="1">
      <c r="A1123" s="30" t="inlineStr">
        <is>
          <t>Itaguai</t>
        </is>
      </c>
      <c r="B1123" s="30" t="n">
        <v>85787500</v>
      </c>
      <c r="C1123" s="30">
        <f>"00988053000162"</f>
        <v/>
      </c>
      <c r="D1123" s="30" t="inlineStr">
        <is>
          <t>L F SILVA INEZ SERVIÇOS DE LOGÍSTICA E EQUIPAMENTO EIRELI ME</t>
        </is>
      </c>
      <c r="E1123" s="40" t="n">
        <v>0</v>
      </c>
      <c r="F1123" s="40" t="n">
        <v>0</v>
      </c>
      <c r="G1123" s="40" t="n">
        <v>0</v>
      </c>
      <c r="H1123" s="40" t="n">
        <v>0</v>
      </c>
      <c r="I1123" s="40" t="n">
        <v>0</v>
      </c>
      <c r="J1123" s="40" t="n">
        <v>0</v>
      </c>
      <c r="K1123" s="40" t="n">
        <v>0</v>
      </c>
      <c r="L1123" s="40" t="n">
        <v>0</v>
      </c>
      <c r="M1123" s="40" t="n">
        <v>0</v>
      </c>
      <c r="N1123" s="40" t="n">
        <v>0</v>
      </c>
      <c r="O1123" s="40" t="n">
        <v>0</v>
      </c>
      <c r="P1123" s="40" t="n">
        <v>0</v>
      </c>
      <c r="Q1123" s="40" t="n">
        <v>0</v>
      </c>
      <c r="R1123" s="47" t="n"/>
      <c r="S1123" s="47" t="n"/>
      <c r="T1123" s="47" t="n"/>
      <c r="U1123" s="47" t="n"/>
      <c r="V1123" s="47" t="n"/>
      <c r="W1123" s="47" t="n"/>
    </row>
    <row r="1124" ht="11.25" customHeight="1">
      <c r="A1124" s="30" t="inlineStr">
        <is>
          <t>Itaguai</t>
        </is>
      </c>
      <c r="B1124" s="30" t="n">
        <v>85804774</v>
      </c>
      <c r="C1124" s="30">
        <f>"67945071001029"</f>
        <v/>
      </c>
      <c r="D1124" s="30" t="inlineStr">
        <is>
          <t>SAPORE S.A</t>
        </is>
      </c>
      <c r="E1124" s="40" t="n">
        <v>0</v>
      </c>
      <c r="F1124" s="40" t="n">
        <v>2332040.68</v>
      </c>
      <c r="G1124" s="40" t="n">
        <v>100</v>
      </c>
      <c r="H1124" s="40" t="n">
        <v>1177820.04</v>
      </c>
      <c r="I1124" s="46" t="n">
        <v>-49.49</v>
      </c>
      <c r="J1124" s="40" t="n">
        <v>1535334.22</v>
      </c>
      <c r="K1124" s="40" t="n">
        <v>30.35</v>
      </c>
      <c r="L1124" s="40" t="n">
        <v>2349921.22</v>
      </c>
      <c r="M1124" s="40" t="n">
        <v>53.06</v>
      </c>
      <c r="N1124" s="40" t="n">
        <v>0</v>
      </c>
      <c r="O1124" s="46" t="n">
        <v>-100</v>
      </c>
      <c r="P1124" s="40" t="n">
        <v>1642021.4</v>
      </c>
      <c r="Q1124" s="40" t="n">
        <v>100</v>
      </c>
      <c r="R1124" s="47" t="n"/>
      <c r="S1124" s="47" t="n"/>
      <c r="T1124" s="47" t="n"/>
      <c r="U1124" s="47" t="n"/>
      <c r="V1124" s="47" t="n"/>
      <c r="W1124" s="47" t="n"/>
    </row>
    <row r="1125" ht="11.25" customHeight="1">
      <c r="A1125" s="30" t="inlineStr">
        <is>
          <t>Itaguai</t>
        </is>
      </c>
      <c r="B1125" s="30" t="n">
        <v>85865447</v>
      </c>
      <c r="C1125" s="30">
        <f>"01518170000125"</f>
        <v/>
      </c>
      <c r="D1125" s="30" t="inlineStr">
        <is>
          <t>SEROPAREAL EXTRACAO DE AREIA LTDA EPP</t>
        </is>
      </c>
      <c r="E1125" s="40" t="n">
        <v>0</v>
      </c>
      <c r="F1125" s="40" t="n">
        <v>0</v>
      </c>
      <c r="G1125" s="40" t="n">
        <v>0</v>
      </c>
      <c r="H1125" s="40" t="n">
        <v>1500</v>
      </c>
      <c r="I1125" s="40" t="n">
        <v>100</v>
      </c>
      <c r="J1125" s="40" t="n">
        <v>197008.66</v>
      </c>
      <c r="K1125" s="40" t="n">
        <v>13033.91</v>
      </c>
      <c r="L1125" s="40" t="n">
        <v>0</v>
      </c>
      <c r="M1125" s="46" t="n">
        <v>-100</v>
      </c>
      <c r="N1125" s="40" t="n">
        <v>253915.4</v>
      </c>
      <c r="O1125" s="40" t="n">
        <v>100</v>
      </c>
      <c r="P1125" s="40" t="n">
        <v>0</v>
      </c>
      <c r="Q1125" s="46" t="n">
        <v>-100</v>
      </c>
      <c r="R1125" s="47" t="n"/>
      <c r="S1125" s="47" t="n"/>
      <c r="T1125" s="47" t="n"/>
      <c r="U1125" s="47" t="n"/>
      <c r="V1125" s="47" t="n"/>
      <c r="W1125" s="47" t="n"/>
    </row>
    <row r="1126" ht="11.25" customHeight="1">
      <c r="A1126" s="30" t="inlineStr">
        <is>
          <t>Itaguai</t>
        </is>
      </c>
      <c r="B1126" s="30" t="n">
        <v>85874314</v>
      </c>
      <c r="C1126" s="30">
        <f>"03094658000440"</f>
        <v/>
      </c>
      <c r="D1126" s="30" t="inlineStr">
        <is>
          <t>GEFCO LOGISTICA DO BRASIL LTDA</t>
        </is>
      </c>
      <c r="E1126" s="40" t="n">
        <v>0</v>
      </c>
      <c r="F1126" s="40" t="n">
        <v>0</v>
      </c>
      <c r="G1126" s="40" t="n">
        <v>0</v>
      </c>
      <c r="H1126" s="40" t="n">
        <v>0</v>
      </c>
      <c r="I1126" s="40" t="n">
        <v>0</v>
      </c>
      <c r="J1126" s="40" t="n">
        <v>12318.58</v>
      </c>
      <c r="K1126" s="40" t="n">
        <v>100</v>
      </c>
      <c r="L1126" s="40" t="n">
        <v>15028.94</v>
      </c>
      <c r="M1126" s="40" t="n">
        <v>22</v>
      </c>
      <c r="N1126" s="40" t="n">
        <v>10832.87</v>
      </c>
      <c r="O1126" s="46" t="n">
        <v>-27.92</v>
      </c>
      <c r="P1126" s="40" t="n">
        <v>12331.08</v>
      </c>
      <c r="Q1126" s="40" t="n">
        <v>13.83</v>
      </c>
      <c r="R1126" s="47" t="n"/>
      <c r="S1126" s="47" t="n"/>
      <c r="T1126" s="47" t="n"/>
      <c r="U1126" s="47" t="n"/>
      <c r="V1126" s="47" t="n"/>
      <c r="W1126" s="47" t="n"/>
    </row>
    <row r="1127" ht="11.25" customHeight="1">
      <c r="A1127" s="30" t="inlineStr">
        <is>
          <t>Itaguai</t>
        </is>
      </c>
      <c r="B1127" s="30" t="n">
        <v>85874500</v>
      </c>
      <c r="C1127" s="30">
        <f>"60395589000287"</f>
        <v/>
      </c>
      <c r="D1127" s="30" t="inlineStr">
        <is>
          <t>BRAZUL TRANSPORTE DE VEICULOS LTDA</t>
        </is>
      </c>
      <c r="E1127" s="40" t="n">
        <v>0</v>
      </c>
      <c r="F1127" s="40" t="n">
        <v>0</v>
      </c>
      <c r="G1127" s="40" t="n">
        <v>0</v>
      </c>
      <c r="H1127" s="40" t="n">
        <v>0</v>
      </c>
      <c r="I1127" s="40" t="n">
        <v>0</v>
      </c>
      <c r="J1127" s="40" t="n">
        <v>0</v>
      </c>
      <c r="K1127" s="40" t="n">
        <v>0</v>
      </c>
      <c r="L1127" s="40" t="n">
        <v>0</v>
      </c>
      <c r="M1127" s="40" t="n">
        <v>0</v>
      </c>
      <c r="N1127" s="40" t="n">
        <v>0</v>
      </c>
      <c r="O1127" s="40" t="n">
        <v>0</v>
      </c>
      <c r="P1127" s="40" t="n">
        <v>11192.69</v>
      </c>
      <c r="Q1127" s="40" t="n">
        <v>100</v>
      </c>
      <c r="R1127" s="47" t="n"/>
      <c r="S1127" s="47" t="n"/>
      <c r="T1127" s="47" t="n"/>
      <c r="U1127" s="47" t="n"/>
      <c r="V1127" s="47" t="n"/>
      <c r="W1127" s="47" t="n"/>
    </row>
    <row r="1128" ht="11.25" customHeight="1">
      <c r="A1128" s="30" t="inlineStr">
        <is>
          <t>Itaguai</t>
        </is>
      </c>
      <c r="B1128" s="30" t="n">
        <v>85994964</v>
      </c>
      <c r="C1128" s="30">
        <f>"01417222000509"</f>
        <v/>
      </c>
      <c r="D1128" s="30" t="inlineStr">
        <is>
          <t>MRS LOGISTICA S/A</t>
        </is>
      </c>
      <c r="E1128" s="40" t="n">
        <v>108232029.67</v>
      </c>
      <c r="F1128" s="40" t="n">
        <v>118834690.29</v>
      </c>
      <c r="G1128" s="40" t="n">
        <v>9.800000000000001</v>
      </c>
      <c r="H1128" s="40" t="n">
        <v>117517202.88</v>
      </c>
      <c r="I1128" s="46" t="n">
        <v>-1.11</v>
      </c>
      <c r="J1128" s="40" t="n">
        <v>154969650.23</v>
      </c>
      <c r="K1128" s="40" t="n">
        <v>31.87</v>
      </c>
      <c r="L1128" s="40" t="n">
        <v>172034211.57</v>
      </c>
      <c r="M1128" s="40" t="n">
        <v>11.01</v>
      </c>
      <c r="N1128" s="40" t="n">
        <v>189182373.3</v>
      </c>
      <c r="O1128" s="40" t="n">
        <v>9.970000000000001</v>
      </c>
      <c r="P1128" s="40" t="n">
        <v>194306423.54</v>
      </c>
      <c r="Q1128" s="40" t="n">
        <v>2.71</v>
      </c>
      <c r="R1128" s="47" t="n"/>
      <c r="S1128" s="47" t="n"/>
      <c r="T1128" s="47" t="n"/>
      <c r="U1128" s="47" t="n"/>
      <c r="V1128" s="47" t="n"/>
      <c r="W1128" s="47" t="n"/>
    </row>
    <row r="1129" ht="11.25" customHeight="1">
      <c r="A1129" s="30" t="inlineStr">
        <is>
          <t>Itaguai</t>
        </is>
      </c>
      <c r="B1129" s="30" t="n">
        <v>85995146</v>
      </c>
      <c r="C1129" s="30">
        <f>"56764822001094"</f>
        <v/>
      </c>
      <c r="D1129" s="30" t="inlineStr">
        <is>
          <t>T H V TRANSPORTES LTDA</t>
        </is>
      </c>
      <c r="E1129" s="40" t="n">
        <v>0</v>
      </c>
      <c r="F1129" s="40" t="n">
        <v>0</v>
      </c>
      <c r="G1129" s="40" t="n">
        <v>0</v>
      </c>
      <c r="H1129" s="40" t="n">
        <v>0</v>
      </c>
      <c r="I1129" s="40" t="n">
        <v>0</v>
      </c>
      <c r="J1129" s="40" t="n">
        <v>0</v>
      </c>
      <c r="K1129" s="40" t="n">
        <v>0</v>
      </c>
      <c r="L1129" s="40" t="n">
        <v>0</v>
      </c>
      <c r="M1129" s="40" t="n">
        <v>0</v>
      </c>
      <c r="N1129" s="40" t="n">
        <v>0</v>
      </c>
      <c r="O1129" s="40" t="n">
        <v>0</v>
      </c>
      <c r="P1129" s="40" t="n">
        <v>0</v>
      </c>
      <c r="Q1129" s="40" t="n">
        <v>0</v>
      </c>
      <c r="R1129" s="47" t="n"/>
      <c r="S1129" s="47" t="n"/>
      <c r="T1129" s="47" t="n"/>
      <c r="U1129" s="47" t="n"/>
      <c r="V1129" s="47" t="n"/>
      <c r="W1129" s="47" t="n"/>
    </row>
    <row r="1130" ht="11.25" customHeight="1">
      <c r="A1130" s="30" t="inlineStr">
        <is>
          <t>Itaguai</t>
        </is>
      </c>
      <c r="B1130" s="30" t="n">
        <v>85995634</v>
      </c>
      <c r="C1130" s="30">
        <f>"01486029000198"</f>
        <v/>
      </c>
      <c r="D1130" s="30" t="inlineStr">
        <is>
          <t>AVB 2004 TRANSPORTES LTDA</t>
        </is>
      </c>
      <c r="E1130" s="40" t="n">
        <v>13413.26</v>
      </c>
      <c r="F1130" s="40" t="n">
        <v>4097.3</v>
      </c>
      <c r="G1130" s="46" t="n">
        <v>-69.45</v>
      </c>
      <c r="H1130" s="40" t="n">
        <v>0</v>
      </c>
      <c r="I1130" s="46" t="n">
        <v>-100</v>
      </c>
      <c r="J1130" s="40" t="n">
        <v>0</v>
      </c>
      <c r="K1130" s="40" t="n">
        <v>0</v>
      </c>
      <c r="L1130" s="40" t="n">
        <v>0</v>
      </c>
      <c r="M1130" s="40" t="n">
        <v>0</v>
      </c>
      <c r="N1130" s="40" t="n">
        <v>0</v>
      </c>
      <c r="O1130" s="40" t="n">
        <v>0</v>
      </c>
      <c r="P1130" s="40" t="n">
        <v>0</v>
      </c>
      <c r="Q1130" s="40" t="n">
        <v>0</v>
      </c>
      <c r="R1130" s="47" t="n"/>
      <c r="S1130" s="47" t="n"/>
      <c r="T1130" s="47" t="n"/>
      <c r="U1130" s="47" t="n"/>
      <c r="V1130" s="47" t="n"/>
      <c r="W1130" s="47" t="n"/>
    </row>
    <row r="1131" ht="11.25" customHeight="1">
      <c r="A1131" s="30" t="inlineStr">
        <is>
          <t>Itaguai</t>
        </is>
      </c>
      <c r="B1131" s="30" t="n">
        <v>86035057</v>
      </c>
      <c r="C1131" s="30">
        <f>"01716129000163"</f>
        <v/>
      </c>
      <c r="D1131" s="30" t="inlineStr">
        <is>
          <t>TRES M COMERCIO &amp; SERVICOS LTDA</t>
        </is>
      </c>
      <c r="E1131" s="40" t="n">
        <v>0</v>
      </c>
      <c r="F1131" s="40" t="n">
        <v>0</v>
      </c>
      <c r="G1131" s="40" t="n">
        <v>0</v>
      </c>
      <c r="H1131" s="40" t="n">
        <v>0</v>
      </c>
      <c r="I1131" s="40" t="n">
        <v>0</v>
      </c>
      <c r="J1131" s="40" t="n">
        <v>0</v>
      </c>
      <c r="K1131" s="40" t="n">
        <v>0</v>
      </c>
      <c r="L1131" s="40" t="n">
        <v>0</v>
      </c>
      <c r="M1131" s="40" t="n">
        <v>0</v>
      </c>
      <c r="N1131" s="40" t="n">
        <v>0</v>
      </c>
      <c r="O1131" s="40" t="n">
        <v>0</v>
      </c>
      <c r="P1131" s="40" t="n">
        <v>0</v>
      </c>
      <c r="Q1131" s="40" t="n">
        <v>0</v>
      </c>
      <c r="R1131" s="47" t="n"/>
      <c r="S1131" s="47" t="n"/>
      <c r="T1131" s="47" t="n"/>
      <c r="U1131" s="47" t="n"/>
      <c r="V1131" s="47" t="n"/>
      <c r="W1131" s="47" t="n"/>
    </row>
    <row r="1132" ht="11.25" customHeight="1">
      <c r="A1132" s="30" t="inlineStr">
        <is>
          <t>Itaguai</t>
        </is>
      </c>
      <c r="B1132" s="30" t="n">
        <v>86038870</v>
      </c>
      <c r="C1132" s="30">
        <f>"01562471000156"</f>
        <v/>
      </c>
      <c r="D1132" s="30" t="inlineStr">
        <is>
          <t>LUCAS E JUNIOR TRANSPORTADORA LTDA</t>
        </is>
      </c>
      <c r="E1132" s="40" t="n">
        <v>0</v>
      </c>
      <c r="F1132" s="40" t="n">
        <v>0</v>
      </c>
      <c r="G1132" s="40" t="n">
        <v>0</v>
      </c>
      <c r="H1132" s="40" t="n">
        <v>0</v>
      </c>
      <c r="I1132" s="40" t="n">
        <v>0</v>
      </c>
      <c r="J1132" s="40" t="n">
        <v>0</v>
      </c>
      <c r="K1132" s="40" t="n">
        <v>0</v>
      </c>
      <c r="L1132" s="40" t="n">
        <v>4584.04</v>
      </c>
      <c r="M1132" s="40" t="n">
        <v>100</v>
      </c>
      <c r="N1132" s="40" t="n">
        <v>0</v>
      </c>
      <c r="O1132" s="46" t="n">
        <v>-100</v>
      </c>
      <c r="P1132" s="40" t="n">
        <v>0</v>
      </c>
      <c r="Q1132" s="40" t="n">
        <v>0</v>
      </c>
      <c r="R1132" s="47" t="n"/>
      <c r="S1132" s="47" t="n"/>
      <c r="T1132" s="47" t="n"/>
      <c r="U1132" s="47" t="n"/>
      <c r="V1132" s="47" t="n"/>
      <c r="W1132" s="47" t="n"/>
    </row>
    <row r="1133" ht="11.25" customHeight="1">
      <c r="A1133" s="30" t="inlineStr">
        <is>
          <t>Itaguai</t>
        </is>
      </c>
      <c r="B1133" s="30" t="n">
        <v>86039397</v>
      </c>
      <c r="C1133" s="30">
        <f>"57012098000467"</f>
        <v/>
      </c>
      <c r="D1133" s="30" t="inlineStr">
        <is>
          <t>TRANSLUTE TRANSPORTES RODOVIARIO LTDA</t>
        </is>
      </c>
      <c r="E1133" s="40" t="n">
        <v>0</v>
      </c>
      <c r="F1133" s="40" t="n">
        <v>2.69</v>
      </c>
      <c r="G1133" s="40" t="n">
        <v>100</v>
      </c>
      <c r="H1133" s="40" t="n">
        <v>0</v>
      </c>
      <c r="I1133" s="46" t="n">
        <v>-100</v>
      </c>
      <c r="J1133" s="40" t="n">
        <v>0</v>
      </c>
      <c r="K1133" s="40" t="n">
        <v>0</v>
      </c>
      <c r="L1133" s="40" t="n">
        <v>196.86</v>
      </c>
      <c r="M1133" s="40" t="n">
        <v>100</v>
      </c>
      <c r="N1133" s="40" t="n">
        <v>0</v>
      </c>
      <c r="O1133" s="46" t="n">
        <v>-100</v>
      </c>
      <c r="P1133" s="40" t="n">
        <v>0</v>
      </c>
      <c r="Q1133" s="40" t="n">
        <v>0</v>
      </c>
      <c r="R1133" s="47" t="n"/>
      <c r="S1133" s="47" t="n"/>
      <c r="T1133" s="47" t="n"/>
      <c r="U1133" s="47" t="n"/>
      <c r="V1133" s="47" t="n"/>
      <c r="W1133" s="47" t="n"/>
    </row>
    <row r="1134" ht="11.25" customHeight="1">
      <c r="A1134" s="30" t="inlineStr">
        <is>
          <t>Itaguai</t>
        </is>
      </c>
      <c r="B1134" s="30" t="n">
        <v>86039494</v>
      </c>
      <c r="C1134" s="30">
        <f>"01695336000189"</f>
        <v/>
      </c>
      <c r="D1134" s="30" t="inlineStr">
        <is>
          <t>25 DE JULHO TRANSPORTES LTDA EPP</t>
        </is>
      </c>
      <c r="E1134" s="40" t="n">
        <v>0</v>
      </c>
      <c r="F1134" s="40" t="n">
        <v>0</v>
      </c>
      <c r="G1134" s="40" t="n">
        <v>0</v>
      </c>
      <c r="H1134" s="40" t="n">
        <v>0</v>
      </c>
      <c r="I1134" s="40" t="n">
        <v>0</v>
      </c>
      <c r="J1134" s="40" t="n">
        <v>17930.17</v>
      </c>
      <c r="K1134" s="40" t="n">
        <v>100</v>
      </c>
      <c r="L1134" s="40" t="n">
        <v>24832.44</v>
      </c>
      <c r="M1134" s="40" t="n">
        <v>38.5</v>
      </c>
      <c r="N1134" s="40" t="n">
        <v>14292.42</v>
      </c>
      <c r="O1134" s="46" t="n">
        <v>-42.44</v>
      </c>
      <c r="P1134" s="40" t="n">
        <v>150280.42</v>
      </c>
      <c r="Q1134" s="40" t="n">
        <v>951.47</v>
      </c>
      <c r="R1134" s="47" t="n"/>
      <c r="S1134" s="47" t="n"/>
      <c r="T1134" s="47" t="n"/>
      <c r="U1134" s="47" t="n"/>
      <c r="V1134" s="47" t="n"/>
      <c r="W1134" s="47" t="n"/>
    </row>
    <row r="1135" ht="11.25" customHeight="1">
      <c r="A1135" s="30" t="inlineStr">
        <is>
          <t>Itaguai</t>
        </is>
      </c>
      <c r="B1135" s="30" t="n">
        <v>86040034</v>
      </c>
      <c r="C1135" s="30">
        <f>"68577659000572"</f>
        <v/>
      </c>
      <c r="D1135" s="30" t="inlineStr">
        <is>
          <t>RODOREI TRANSPORTES LTDA</t>
        </is>
      </c>
      <c r="E1135" s="40" t="n">
        <v>51390.23</v>
      </c>
      <c r="F1135" s="40" t="n">
        <v>0</v>
      </c>
      <c r="G1135" s="46" t="n">
        <v>-100</v>
      </c>
      <c r="H1135" s="40" t="n">
        <v>1192114.58</v>
      </c>
      <c r="I1135" s="40" t="n">
        <v>100</v>
      </c>
      <c r="J1135" s="40" t="n">
        <v>80867.42999999999</v>
      </c>
      <c r="K1135" s="46" t="n">
        <v>-93.22</v>
      </c>
      <c r="L1135" s="40" t="n">
        <v>0</v>
      </c>
      <c r="M1135" s="46" t="n">
        <v>-100</v>
      </c>
      <c r="N1135" s="40" t="n">
        <v>0</v>
      </c>
      <c r="O1135" s="40" t="n">
        <v>0</v>
      </c>
      <c r="P1135" s="40" t="n">
        <v>0</v>
      </c>
      <c r="Q1135" s="40" t="n">
        <v>0</v>
      </c>
      <c r="R1135" s="47" t="n"/>
      <c r="S1135" s="47" t="n"/>
      <c r="T1135" s="47" t="n"/>
      <c r="U1135" s="47" t="n"/>
      <c r="V1135" s="47" t="n"/>
      <c r="W1135" s="47" t="n"/>
    </row>
    <row r="1136" ht="11.25" customHeight="1">
      <c r="A1136" s="30" t="inlineStr">
        <is>
          <t>Itaguai</t>
        </is>
      </c>
      <c r="B1136" s="30" t="n">
        <v>86062895</v>
      </c>
      <c r="C1136" s="30">
        <f>"72843212000222"</f>
        <v/>
      </c>
      <c r="D1136" s="30" t="inlineStr">
        <is>
          <t>CENTURYLINK COMUNICAÇÕES DO BRASIL LTDA</t>
        </is>
      </c>
      <c r="E1136" s="40" t="n">
        <v>77375.8</v>
      </c>
      <c r="F1136" s="40" t="n">
        <v>4335</v>
      </c>
      <c r="G1136" s="46" t="n">
        <v>-94.40000000000001</v>
      </c>
      <c r="H1136" s="40" t="n">
        <v>0</v>
      </c>
      <c r="I1136" s="46" t="n">
        <v>-100</v>
      </c>
      <c r="J1136" s="40" t="n">
        <v>42301.88</v>
      </c>
      <c r="K1136" s="40" t="n">
        <v>100</v>
      </c>
      <c r="L1136" s="40" t="n">
        <v>71091.27</v>
      </c>
      <c r="M1136" s="40" t="n">
        <v>68.06</v>
      </c>
      <c r="N1136" s="40" t="n">
        <v>97505.64</v>
      </c>
      <c r="O1136" s="40" t="n">
        <v>37.16</v>
      </c>
      <c r="P1136" s="40" t="n">
        <v>230006.13</v>
      </c>
      <c r="Q1136" s="40" t="n">
        <v>135.89</v>
      </c>
      <c r="R1136" s="47" t="n"/>
      <c r="S1136" s="47" t="n"/>
      <c r="T1136" s="47" t="n"/>
      <c r="U1136" s="47" t="n"/>
      <c r="V1136" s="47" t="n"/>
      <c r="W1136" s="47" t="n"/>
    </row>
    <row r="1137" ht="11.25" customHeight="1">
      <c r="A1137" s="30" t="inlineStr">
        <is>
          <t>Itaguai</t>
        </is>
      </c>
      <c r="B1137" s="30" t="n">
        <v>86092085</v>
      </c>
      <c r="C1137" s="30">
        <f>"02421421000111"</f>
        <v/>
      </c>
      <c r="D1137" s="30" t="inlineStr">
        <is>
          <t>TIM S.A.</t>
        </is>
      </c>
      <c r="E1137" s="40" t="n">
        <v>1004193.12</v>
      </c>
      <c r="F1137" s="40" t="n">
        <v>2034000.67</v>
      </c>
      <c r="G1137" s="40" t="n">
        <v>102.55</v>
      </c>
      <c r="H1137" s="40" t="n">
        <v>7275001.41</v>
      </c>
      <c r="I1137" s="40" t="n">
        <v>257.67</v>
      </c>
      <c r="J1137" s="40" t="n">
        <v>7080809.52</v>
      </c>
      <c r="K1137" s="46" t="n">
        <v>-2.67</v>
      </c>
      <c r="L1137" s="40" t="n">
        <v>9321369.9</v>
      </c>
      <c r="M1137" s="40" t="n">
        <v>31.64</v>
      </c>
      <c r="N1137" s="40" t="n">
        <v>8582003.720000001</v>
      </c>
      <c r="O1137" s="46" t="n">
        <v>-7.93</v>
      </c>
      <c r="P1137" s="40" t="n">
        <v>13160615.27</v>
      </c>
      <c r="Q1137" s="40" t="n">
        <v>53.35</v>
      </c>
      <c r="R1137" s="47" t="n"/>
      <c r="S1137" s="47" t="n"/>
      <c r="T1137" s="47" t="n"/>
      <c r="U1137" s="47" t="n"/>
      <c r="V1137" s="47" t="n"/>
      <c r="W1137" s="47" t="n"/>
    </row>
    <row r="1138" ht="11.25" customHeight="1">
      <c r="A1138" s="30" t="inlineStr">
        <is>
          <t>Itaguai</t>
        </is>
      </c>
      <c r="B1138" s="30" t="n">
        <v>86115220</v>
      </c>
      <c r="C1138" s="30">
        <f>"02231030000134"</f>
        <v/>
      </c>
      <c r="D1138" s="30" t="inlineStr">
        <is>
          <t>GLOBALSTAR DO BRASIL LTDA</t>
        </is>
      </c>
      <c r="E1138" s="40" t="n">
        <v>574</v>
      </c>
      <c r="F1138" s="40" t="n">
        <v>599</v>
      </c>
      <c r="G1138" s="40" t="n">
        <v>4.36</v>
      </c>
      <c r="H1138" s="40" t="n">
        <v>599</v>
      </c>
      <c r="I1138" s="40" t="n">
        <v>0</v>
      </c>
      <c r="J1138" s="40" t="n">
        <v>621.5</v>
      </c>
      <c r="K1138" s="40" t="n">
        <v>3.76</v>
      </c>
      <c r="L1138" s="40" t="n">
        <v>1683.5</v>
      </c>
      <c r="M1138" s="40" t="n">
        <v>170.88</v>
      </c>
      <c r="N1138" s="40" t="n">
        <v>0</v>
      </c>
      <c r="O1138" s="46" t="n">
        <v>-100</v>
      </c>
      <c r="P1138" s="40" t="n">
        <v>0</v>
      </c>
      <c r="Q1138" s="40" t="n">
        <v>0</v>
      </c>
      <c r="R1138" s="47" t="n"/>
      <c r="S1138" s="47" t="n"/>
      <c r="T1138" s="47" t="n"/>
      <c r="U1138" s="47" t="n"/>
      <c r="V1138" s="47" t="n"/>
      <c r="W1138" s="47" t="n"/>
    </row>
    <row r="1139" ht="11.25" customHeight="1">
      <c r="A1139" s="30" t="inlineStr">
        <is>
          <t>Itaguai</t>
        </is>
      </c>
      <c r="B1139" s="30" t="n">
        <v>86129817</v>
      </c>
      <c r="C1139" s="30">
        <f>"02012751000153"</f>
        <v/>
      </c>
      <c r="D1139" s="30" t="inlineStr">
        <is>
          <t>PESCARIMARCAR DISTRIBUIDORA DE PESCADOS LTDA</t>
        </is>
      </c>
      <c r="E1139" s="40" t="n">
        <v>0</v>
      </c>
      <c r="F1139" s="40" t="n">
        <v>0</v>
      </c>
      <c r="G1139" s="40" t="n">
        <v>0</v>
      </c>
      <c r="H1139" s="40" t="n">
        <v>0</v>
      </c>
      <c r="I1139" s="40" t="n">
        <v>0</v>
      </c>
      <c r="J1139" s="40" t="n">
        <v>0</v>
      </c>
      <c r="K1139" s="40" t="n">
        <v>0</v>
      </c>
      <c r="L1139" s="40" t="n">
        <v>0</v>
      </c>
      <c r="M1139" s="40" t="n">
        <v>0</v>
      </c>
      <c r="N1139" s="40" t="n">
        <v>721700</v>
      </c>
      <c r="O1139" s="40" t="n">
        <v>100</v>
      </c>
      <c r="P1139" s="40" t="n">
        <v>0</v>
      </c>
      <c r="Q1139" s="46" t="n">
        <v>-100</v>
      </c>
      <c r="R1139" s="47" t="n"/>
      <c r="S1139" s="47" t="n"/>
      <c r="T1139" s="47" t="n"/>
      <c r="U1139" s="47" t="n"/>
      <c r="V1139" s="47" t="n"/>
      <c r="W1139" s="47" t="n"/>
    </row>
    <row r="1140" ht="11.25" customHeight="1">
      <c r="A1140" s="30" t="inlineStr">
        <is>
          <t>Itaguai</t>
        </is>
      </c>
      <c r="B1140" s="30" t="n">
        <v>86143739</v>
      </c>
      <c r="C1140" s="30">
        <f>"02394276000208"</f>
        <v/>
      </c>
      <c r="D1140" s="30" t="inlineStr">
        <is>
          <t>SEPETIBA TECON S/A</t>
        </is>
      </c>
      <c r="E1140" s="40" t="n">
        <v>0</v>
      </c>
      <c r="F1140" s="40" t="n">
        <v>0.1</v>
      </c>
      <c r="G1140" s="40" t="n">
        <v>100</v>
      </c>
      <c r="H1140" s="40" t="n">
        <v>0</v>
      </c>
      <c r="I1140" s="46" t="n">
        <v>-100</v>
      </c>
      <c r="J1140" s="40" t="n">
        <v>3327174.87</v>
      </c>
      <c r="K1140" s="40" t="n">
        <v>100</v>
      </c>
      <c r="L1140" s="40" t="n">
        <v>2225620.62</v>
      </c>
      <c r="M1140" s="46" t="n">
        <v>-33.11</v>
      </c>
      <c r="N1140" s="40" t="n">
        <v>1024717.69</v>
      </c>
      <c r="O1140" s="46" t="n">
        <v>-53.96</v>
      </c>
      <c r="P1140" s="40" t="n">
        <v>698366.0699999999</v>
      </c>
      <c r="Q1140" s="46" t="n">
        <v>-31.85</v>
      </c>
      <c r="R1140" s="47" t="n"/>
      <c r="S1140" s="47" t="n"/>
      <c r="T1140" s="47" t="n"/>
      <c r="U1140" s="47" t="n"/>
      <c r="V1140" s="47" t="n"/>
      <c r="W1140" s="47" t="n"/>
    </row>
    <row r="1141" ht="11.25" customHeight="1">
      <c r="A1141" s="30" t="inlineStr">
        <is>
          <t>Itaguai</t>
        </is>
      </c>
      <c r="B1141" s="30" t="n">
        <v>86144018</v>
      </c>
      <c r="C1141" s="30">
        <f>"03180152000101"</f>
        <v/>
      </c>
      <c r="D1141" s="30" t="inlineStr">
        <is>
          <t>EVAM TRANSPORTES SERVICOS E REPRESENTACOES LTDA</t>
        </is>
      </c>
      <c r="E1141" s="40" t="n">
        <v>0</v>
      </c>
      <c r="F1141" s="40" t="n">
        <v>0</v>
      </c>
      <c r="G1141" s="40" t="n">
        <v>0</v>
      </c>
      <c r="H1141" s="40" t="n">
        <v>0</v>
      </c>
      <c r="I1141" s="40" t="n">
        <v>0</v>
      </c>
      <c r="J1141" s="40" t="n">
        <v>0</v>
      </c>
      <c r="K1141" s="40" t="n">
        <v>0</v>
      </c>
      <c r="L1141" s="40" t="n">
        <v>0</v>
      </c>
      <c r="M1141" s="40" t="n">
        <v>0</v>
      </c>
      <c r="N1141" s="40" t="n">
        <v>0</v>
      </c>
      <c r="O1141" s="40" t="n">
        <v>0</v>
      </c>
      <c r="P1141" s="40" t="n">
        <v>0</v>
      </c>
      <c r="Q1141" s="40" t="n">
        <v>0</v>
      </c>
      <c r="R1141" s="47" t="n"/>
      <c r="S1141" s="47" t="n"/>
      <c r="T1141" s="47" t="n"/>
      <c r="U1141" s="47" t="n"/>
      <c r="V1141" s="47" t="n"/>
      <c r="W1141" s="47" t="n"/>
    </row>
    <row r="1142" ht="11.25" customHeight="1">
      <c r="A1142" s="30" t="inlineStr">
        <is>
          <t>Itaguai</t>
        </is>
      </c>
      <c r="B1142" s="30" t="n">
        <v>86144859</v>
      </c>
      <c r="C1142" s="30">
        <f>"02444304000254"</f>
        <v/>
      </c>
      <c r="D1142" s="30" t="inlineStr">
        <is>
          <t>OTICA COR DOS OLHOS LTDA</t>
        </is>
      </c>
      <c r="E1142" s="40" t="n">
        <v>0</v>
      </c>
      <c r="F1142" s="40" t="n">
        <v>182933.91</v>
      </c>
      <c r="G1142" s="40" t="n">
        <v>100</v>
      </c>
      <c r="H1142" s="40" t="n">
        <v>273099.63</v>
      </c>
      <c r="I1142" s="40" t="n">
        <v>49.29</v>
      </c>
      <c r="J1142" s="40" t="n">
        <v>0</v>
      </c>
      <c r="K1142" s="46" t="n">
        <v>-100</v>
      </c>
      <c r="L1142" s="40" t="n">
        <v>0</v>
      </c>
      <c r="M1142" s="40" t="n">
        <v>0</v>
      </c>
      <c r="N1142" s="40" t="n">
        <v>0</v>
      </c>
      <c r="O1142" s="40" t="n">
        <v>0</v>
      </c>
      <c r="P1142" s="40" t="n">
        <v>0</v>
      </c>
      <c r="Q1142" s="40" t="n">
        <v>0</v>
      </c>
      <c r="R1142" s="47" t="n"/>
      <c r="S1142" s="47" t="n"/>
      <c r="T1142" s="47" t="n"/>
      <c r="U1142" s="47" t="n"/>
      <c r="V1142" s="47" t="n"/>
      <c r="W1142" s="47" t="n"/>
    </row>
    <row r="1143" ht="11.25" customHeight="1">
      <c r="A1143" s="30" t="inlineStr">
        <is>
          <t>Itaguai</t>
        </is>
      </c>
      <c r="B1143" s="30" t="n">
        <v>86144891</v>
      </c>
      <c r="C1143" s="30">
        <f>"02352264000130"</f>
        <v/>
      </c>
      <c r="D1143" s="30" t="inlineStr">
        <is>
          <t>RAPIDO TRIUNFO TRANSPORTES &amp; TURISMO LTDA</t>
        </is>
      </c>
      <c r="E1143" s="40" t="n">
        <v>0</v>
      </c>
      <c r="F1143" s="40" t="n">
        <v>0</v>
      </c>
      <c r="G1143" s="40" t="n">
        <v>0</v>
      </c>
      <c r="H1143" s="40" t="n">
        <v>0</v>
      </c>
      <c r="I1143" s="40" t="n">
        <v>0</v>
      </c>
      <c r="J1143" s="40" t="n">
        <v>0</v>
      </c>
      <c r="K1143" s="40" t="n">
        <v>0</v>
      </c>
      <c r="L1143" s="40" t="n">
        <v>0</v>
      </c>
      <c r="M1143" s="40" t="n">
        <v>0</v>
      </c>
      <c r="N1143" s="40" t="n">
        <v>0</v>
      </c>
      <c r="O1143" s="40" t="n">
        <v>0</v>
      </c>
      <c r="P1143" s="40" t="n">
        <v>0</v>
      </c>
      <c r="Q1143" s="40" t="n">
        <v>0</v>
      </c>
      <c r="R1143" s="47" t="n"/>
      <c r="S1143" s="47" t="n"/>
      <c r="T1143" s="47" t="n"/>
      <c r="U1143" s="47" t="n"/>
      <c r="V1143" s="47" t="n"/>
      <c r="W1143" s="47" t="n"/>
    </row>
    <row r="1144" ht="11.25" customHeight="1">
      <c r="A1144" s="30" t="inlineStr">
        <is>
          <t>Itaguai</t>
        </is>
      </c>
      <c r="B1144" s="30" t="n">
        <v>86145057</v>
      </c>
      <c r="C1144" s="30">
        <f>"03526694000193"</f>
        <v/>
      </c>
      <c r="D1144" s="30" t="inlineStr">
        <is>
          <t>ITALIMP BAZAR EIRELI ME</t>
        </is>
      </c>
      <c r="E1144" s="40" t="n">
        <v>1473401.36</v>
      </c>
      <c r="F1144" s="40" t="n">
        <v>1312037.64</v>
      </c>
      <c r="G1144" s="46" t="n">
        <v>-10.95</v>
      </c>
      <c r="H1144" s="40" t="n">
        <v>1873361.67</v>
      </c>
      <c r="I1144" s="40" t="n">
        <v>42.78</v>
      </c>
      <c r="J1144" s="40" t="n">
        <v>1184302.86</v>
      </c>
      <c r="K1144" s="46" t="n">
        <v>-36.78</v>
      </c>
      <c r="L1144" s="40" t="n">
        <v>2016526.51</v>
      </c>
      <c r="M1144" s="40" t="n">
        <v>70.27</v>
      </c>
      <c r="N1144" s="40" t="n">
        <v>1046143.61</v>
      </c>
      <c r="O1144" s="46" t="n">
        <v>-48.12</v>
      </c>
      <c r="P1144" s="40" t="n">
        <v>2181912.83</v>
      </c>
      <c r="Q1144" s="40" t="n">
        <v>108.57</v>
      </c>
      <c r="R1144" s="47" t="n"/>
      <c r="S1144" s="47" t="n"/>
      <c r="T1144" s="47" t="n"/>
      <c r="U1144" s="47" t="n"/>
      <c r="V1144" s="47" t="n"/>
      <c r="W1144" s="47" t="n"/>
    </row>
    <row r="1145" ht="11.25" customHeight="1">
      <c r="A1145" s="30" t="inlineStr">
        <is>
          <t>Itaguai</t>
        </is>
      </c>
      <c r="B1145" s="30" t="n">
        <v>86145227</v>
      </c>
      <c r="C1145" s="30">
        <f>"03546620000119"</f>
        <v/>
      </c>
      <c r="D1145" s="30" t="inlineStr">
        <is>
          <t>BRASIL 2000 COMBUSTIVEIS LTDA</t>
        </is>
      </c>
      <c r="E1145" s="40" t="n">
        <v>1260489.02</v>
      </c>
      <c r="F1145" s="40" t="n">
        <v>2993288.41</v>
      </c>
      <c r="G1145" s="40" t="n">
        <v>137.47</v>
      </c>
      <c r="H1145" s="40" t="n">
        <v>1511019.23</v>
      </c>
      <c r="I1145" s="46" t="n">
        <v>-49.52</v>
      </c>
      <c r="J1145" s="40" t="n">
        <v>1592555.43</v>
      </c>
      <c r="K1145" s="40" t="n">
        <v>5.4</v>
      </c>
      <c r="L1145" s="40" t="n">
        <v>2492074.48</v>
      </c>
      <c r="M1145" s="40" t="n">
        <v>56.48</v>
      </c>
      <c r="N1145" s="40" t="n">
        <v>2304498.23</v>
      </c>
      <c r="O1145" s="46" t="n">
        <v>-7.53</v>
      </c>
      <c r="P1145" s="40" t="n">
        <v>1955492.59</v>
      </c>
      <c r="Q1145" s="46" t="n">
        <v>-15.14</v>
      </c>
      <c r="R1145" s="47" t="n"/>
      <c r="S1145" s="47" t="n"/>
      <c r="T1145" s="47" t="n"/>
      <c r="U1145" s="47" t="n"/>
      <c r="V1145" s="47" t="n"/>
      <c r="W1145" s="47" t="n"/>
    </row>
    <row r="1146" ht="11.25" customHeight="1">
      <c r="A1146" s="30" t="inlineStr">
        <is>
          <t>Itaguai</t>
        </is>
      </c>
      <c r="B1146" s="30" t="n">
        <v>86160919</v>
      </c>
      <c r="C1146" s="30">
        <f>"01682917000186"</f>
        <v/>
      </c>
      <c r="D1146" s="30" t="inlineStr">
        <is>
          <t>COUTRANS TRANSPORTES E SERVICOS LTDA</t>
        </is>
      </c>
      <c r="E1146" s="40" t="n">
        <v>0</v>
      </c>
      <c r="F1146" s="40" t="n">
        <v>0</v>
      </c>
      <c r="G1146" s="40" t="n">
        <v>0</v>
      </c>
      <c r="H1146" s="40" t="n">
        <v>4859.58</v>
      </c>
      <c r="I1146" s="40" t="n">
        <v>100</v>
      </c>
      <c r="J1146" s="40" t="n">
        <v>0</v>
      </c>
      <c r="K1146" s="46" t="n">
        <v>-100</v>
      </c>
      <c r="L1146" s="40" t="n">
        <v>982.02</v>
      </c>
      <c r="M1146" s="40" t="n">
        <v>100</v>
      </c>
      <c r="N1146" s="40" t="n">
        <v>0</v>
      </c>
      <c r="O1146" s="46" t="n">
        <v>-100</v>
      </c>
      <c r="P1146" s="40" t="n">
        <v>0</v>
      </c>
      <c r="Q1146" s="40" t="n">
        <v>0</v>
      </c>
      <c r="R1146" s="47" t="n"/>
      <c r="S1146" s="47" t="n"/>
      <c r="T1146" s="47" t="n"/>
      <c r="U1146" s="47" t="n"/>
      <c r="V1146" s="47" t="n"/>
      <c r="W1146" s="47" t="n"/>
    </row>
    <row r="1147" ht="11.25" customHeight="1">
      <c r="A1147" s="30" t="inlineStr">
        <is>
          <t>Itaguai</t>
        </is>
      </c>
      <c r="B1147" s="30" t="n">
        <v>86161591</v>
      </c>
      <c r="C1147" s="30">
        <f>"02027952000124"</f>
        <v/>
      </c>
      <c r="D1147" s="30" t="inlineStr">
        <is>
          <t>COSTA VERDE TRANSPORTES LTDA</t>
        </is>
      </c>
      <c r="E1147" s="40" t="n">
        <v>5606912.27</v>
      </c>
      <c r="F1147" s="40" t="n">
        <v>4358391.14</v>
      </c>
      <c r="G1147" s="46" t="n">
        <v>-22.27</v>
      </c>
      <c r="H1147" s="40" t="n">
        <v>4302390.65</v>
      </c>
      <c r="I1147" s="46" t="n">
        <v>-1.28</v>
      </c>
      <c r="J1147" s="40" t="n">
        <v>1690075.81</v>
      </c>
      <c r="K1147" s="46" t="n">
        <v>-60.72</v>
      </c>
      <c r="L1147" s="40" t="n">
        <v>1939835.44</v>
      </c>
      <c r="M1147" s="40" t="n">
        <v>14.78</v>
      </c>
      <c r="N1147" s="40" t="n">
        <v>312837.35</v>
      </c>
      <c r="O1147" s="46" t="n">
        <v>-83.87</v>
      </c>
      <c r="P1147" s="40" t="n">
        <v>427772.44</v>
      </c>
      <c r="Q1147" s="40" t="n">
        <v>36.74</v>
      </c>
      <c r="R1147" s="47" t="n"/>
      <c r="S1147" s="47" t="n"/>
      <c r="T1147" s="47" t="n"/>
      <c r="U1147" s="47" t="n"/>
      <c r="V1147" s="47" t="n"/>
      <c r="W1147" s="47" t="n"/>
    </row>
    <row r="1148" ht="11.25" customHeight="1">
      <c r="A1148" s="30" t="inlineStr">
        <is>
          <t>Itaguai</t>
        </is>
      </c>
      <c r="B1148" s="30" t="n">
        <v>86163233</v>
      </c>
      <c r="C1148" s="30">
        <f>"32579302000152"</f>
        <v/>
      </c>
      <c r="D1148" s="30" t="inlineStr">
        <is>
          <t>PEDREIRA SEPETIBA LTDA</t>
        </is>
      </c>
      <c r="E1148" s="40" t="n">
        <v>2902.16</v>
      </c>
      <c r="F1148" s="40" t="n">
        <v>99.17</v>
      </c>
      <c r="G1148" s="46" t="n">
        <v>-96.58</v>
      </c>
      <c r="H1148" s="40" t="n">
        <v>3982.52</v>
      </c>
      <c r="I1148" s="40" t="n">
        <v>3915.85</v>
      </c>
      <c r="J1148" s="40" t="n">
        <v>0</v>
      </c>
      <c r="K1148" s="46" t="n">
        <v>-100</v>
      </c>
      <c r="L1148" s="40" t="n">
        <v>0</v>
      </c>
      <c r="M1148" s="40" t="n">
        <v>0</v>
      </c>
      <c r="N1148" s="40" t="n">
        <v>0</v>
      </c>
      <c r="O1148" s="40" t="n">
        <v>0</v>
      </c>
      <c r="P1148" s="40" t="n">
        <v>0</v>
      </c>
      <c r="Q1148" s="40" t="n">
        <v>0</v>
      </c>
      <c r="R1148" s="47" t="n"/>
      <c r="S1148" s="47" t="n"/>
      <c r="T1148" s="47" t="n"/>
      <c r="U1148" s="47" t="n"/>
      <c r="V1148" s="47" t="n"/>
      <c r="W1148" s="47" t="n"/>
    </row>
    <row r="1149" ht="11.25" customHeight="1">
      <c r="A1149" s="30" t="inlineStr">
        <is>
          <t>Itaguai</t>
        </is>
      </c>
      <c r="B1149" s="30" t="n">
        <v>86168677</v>
      </c>
      <c r="C1149" s="30">
        <f>"01868396000156"</f>
        <v/>
      </c>
      <c r="D1149" s="30" t="inlineStr">
        <is>
          <t>SANTA LUZIA ENGENHARIA E CONSTRUCOES LTDA</t>
        </is>
      </c>
      <c r="E1149" s="40" t="n">
        <v>0</v>
      </c>
      <c r="F1149" s="40" t="n">
        <v>0</v>
      </c>
      <c r="G1149" s="40" t="n">
        <v>0</v>
      </c>
      <c r="H1149" s="40" t="n">
        <v>0</v>
      </c>
      <c r="I1149" s="40" t="n">
        <v>0</v>
      </c>
      <c r="J1149" s="40" t="n">
        <v>0</v>
      </c>
      <c r="K1149" s="40" t="n">
        <v>0</v>
      </c>
      <c r="L1149" s="40" t="n">
        <v>0</v>
      </c>
      <c r="M1149" s="40" t="n">
        <v>0</v>
      </c>
      <c r="N1149" s="40" t="n">
        <v>0</v>
      </c>
      <c r="O1149" s="40" t="n">
        <v>0</v>
      </c>
      <c r="P1149" s="40" t="n">
        <v>0</v>
      </c>
      <c r="Q1149" s="40" t="n">
        <v>0</v>
      </c>
      <c r="R1149" s="47" t="n"/>
      <c r="S1149" s="47" t="n"/>
      <c r="T1149" s="47" t="n"/>
      <c r="U1149" s="47" t="n"/>
      <c r="V1149" s="47" t="n"/>
      <c r="W1149" s="47" t="n"/>
    </row>
    <row r="1150" ht="11.25" customHeight="1">
      <c r="A1150" s="30" t="inlineStr">
        <is>
          <t>Itaguai</t>
        </is>
      </c>
      <c r="B1150" s="30" t="n">
        <v>86233703</v>
      </c>
      <c r="C1150" s="30">
        <f>"02357033000119"</f>
        <v/>
      </c>
      <c r="D1150" s="30" t="inlineStr">
        <is>
          <t>QUICKNET TELECOM LTDA EPP</t>
        </is>
      </c>
      <c r="E1150" s="40" t="n">
        <v>0</v>
      </c>
      <c r="F1150" s="40" t="n">
        <v>0</v>
      </c>
      <c r="G1150" s="40" t="n">
        <v>0</v>
      </c>
      <c r="H1150" s="40" t="n">
        <v>0</v>
      </c>
      <c r="I1150" s="40" t="n">
        <v>0</v>
      </c>
      <c r="J1150" s="40" t="n">
        <v>0</v>
      </c>
      <c r="K1150" s="40" t="n">
        <v>0</v>
      </c>
      <c r="L1150" s="40" t="n">
        <v>0</v>
      </c>
      <c r="M1150" s="40" t="n">
        <v>0</v>
      </c>
      <c r="N1150" s="40" t="n">
        <v>0</v>
      </c>
      <c r="O1150" s="40" t="n">
        <v>0</v>
      </c>
      <c r="P1150" s="40" t="n">
        <v>3118.8</v>
      </c>
      <c r="Q1150" s="40" t="n">
        <v>100</v>
      </c>
      <c r="R1150" s="47" t="n"/>
      <c r="S1150" s="47" t="n"/>
      <c r="T1150" s="47" t="n"/>
      <c r="U1150" s="47" t="n"/>
      <c r="V1150" s="47" t="n"/>
      <c r="W1150" s="47" t="n"/>
    </row>
    <row r="1151" ht="11.25" customHeight="1">
      <c r="A1151" s="30" t="inlineStr">
        <is>
          <t>Itaguai</t>
        </is>
      </c>
      <c r="B1151" s="30" t="n">
        <v>86273004</v>
      </c>
      <c r="C1151" s="30">
        <f>"03113442000132"</f>
        <v/>
      </c>
      <c r="D1151" s="30" t="inlineStr">
        <is>
          <t>AGMSBS TRANSPORTES LTDA</t>
        </is>
      </c>
      <c r="E1151" s="40" t="n">
        <v>0</v>
      </c>
      <c r="F1151" s="40" t="n">
        <v>0</v>
      </c>
      <c r="G1151" s="40" t="n">
        <v>0</v>
      </c>
      <c r="H1151" s="40" t="n">
        <v>82.65000000000001</v>
      </c>
      <c r="I1151" s="40" t="n">
        <v>100</v>
      </c>
      <c r="J1151" s="40" t="n">
        <v>0</v>
      </c>
      <c r="K1151" s="46" t="n">
        <v>-100</v>
      </c>
      <c r="L1151" s="40" t="n">
        <v>0</v>
      </c>
      <c r="M1151" s="40" t="n">
        <v>0</v>
      </c>
      <c r="N1151" s="40" t="n">
        <v>0</v>
      </c>
      <c r="O1151" s="40" t="n">
        <v>0</v>
      </c>
      <c r="P1151" s="40" t="n">
        <v>0</v>
      </c>
      <c r="Q1151" s="40" t="n">
        <v>0</v>
      </c>
      <c r="R1151" s="47" t="n"/>
      <c r="S1151" s="47" t="n"/>
      <c r="T1151" s="47" t="n"/>
      <c r="U1151" s="47" t="n"/>
      <c r="V1151" s="47" t="n"/>
      <c r="W1151" s="47" t="n"/>
    </row>
    <row r="1152" ht="11.25" customHeight="1">
      <c r="A1152" s="30" t="inlineStr">
        <is>
          <t>Itaguai</t>
        </is>
      </c>
      <c r="B1152" s="30" t="n">
        <v>86288311</v>
      </c>
      <c r="C1152" s="30">
        <f>"00685759000155"</f>
        <v/>
      </c>
      <c r="D1152" s="30" t="inlineStr">
        <is>
          <t>GUIFI SERVIÇOS DE TRANSPORTES EIRELI</t>
        </is>
      </c>
      <c r="E1152" s="40" t="n">
        <v>0</v>
      </c>
      <c r="F1152" s="40" t="n">
        <v>0</v>
      </c>
      <c r="G1152" s="40" t="n">
        <v>0</v>
      </c>
      <c r="H1152" s="40" t="n">
        <v>313250.32</v>
      </c>
      <c r="I1152" s="40" t="n">
        <v>100</v>
      </c>
      <c r="J1152" s="40" t="n">
        <v>0</v>
      </c>
      <c r="K1152" s="46" t="n">
        <v>-100</v>
      </c>
      <c r="L1152" s="40" t="n">
        <v>0</v>
      </c>
      <c r="M1152" s="40" t="n">
        <v>0</v>
      </c>
      <c r="N1152" s="40" t="n">
        <v>0</v>
      </c>
      <c r="O1152" s="40" t="n">
        <v>0</v>
      </c>
      <c r="P1152" s="40" t="n">
        <v>0</v>
      </c>
      <c r="Q1152" s="40" t="n">
        <v>0</v>
      </c>
      <c r="R1152" s="47" t="n"/>
      <c r="S1152" s="47" t="n"/>
      <c r="T1152" s="47" t="n"/>
      <c r="U1152" s="47" t="n"/>
      <c r="V1152" s="47" t="n"/>
      <c r="W1152" s="47" t="n"/>
    </row>
    <row r="1153" ht="11.25" customHeight="1">
      <c r="A1153" s="30" t="inlineStr">
        <is>
          <t>Itaguai</t>
        </is>
      </c>
      <c r="B1153" s="30" t="n">
        <v>86288796</v>
      </c>
      <c r="C1153" s="30">
        <f>"01679681000200"</f>
        <v/>
      </c>
      <c r="D1153" s="30" t="inlineStr">
        <is>
          <t>HAMBURGO CARGAS LTDA</t>
        </is>
      </c>
      <c r="E1153" s="40" t="n">
        <v>4089.11</v>
      </c>
      <c r="F1153" s="40" t="n">
        <v>414.85</v>
      </c>
      <c r="G1153" s="46" t="n">
        <v>-89.84999999999999</v>
      </c>
      <c r="H1153" s="40" t="n">
        <v>339.25</v>
      </c>
      <c r="I1153" s="46" t="n">
        <v>-18.22</v>
      </c>
      <c r="J1153" s="40" t="n">
        <v>1078.57</v>
      </c>
      <c r="K1153" s="40" t="n">
        <v>217.93</v>
      </c>
      <c r="L1153" s="40" t="n">
        <v>3253.05</v>
      </c>
      <c r="M1153" s="40" t="n">
        <v>201.61</v>
      </c>
      <c r="N1153" s="40" t="n">
        <v>5582.67</v>
      </c>
      <c r="O1153" s="40" t="n">
        <v>71.61</v>
      </c>
      <c r="P1153" s="40" t="n">
        <v>5382.06</v>
      </c>
      <c r="Q1153" s="46" t="n">
        <v>-3.59</v>
      </c>
      <c r="R1153" s="47" t="n"/>
      <c r="S1153" s="47" t="n"/>
      <c r="T1153" s="47" t="n"/>
      <c r="U1153" s="47" t="n"/>
      <c r="V1153" s="47" t="n"/>
      <c r="W1153" s="47" t="n"/>
    </row>
    <row r="1154" ht="11.25" customHeight="1">
      <c r="A1154" s="30" t="inlineStr">
        <is>
          <t>Itaguai</t>
        </is>
      </c>
      <c r="B1154" s="30" t="n">
        <v>86319500</v>
      </c>
      <c r="C1154" s="30">
        <f>"60395589001330"</f>
        <v/>
      </c>
      <c r="D1154" s="30" t="inlineStr">
        <is>
          <t>BRAZUL TRANSPORTE DE VEICULOS LTDA</t>
        </is>
      </c>
      <c r="E1154" s="40" t="n">
        <v>2433.58</v>
      </c>
      <c r="F1154" s="40" t="n">
        <v>0</v>
      </c>
      <c r="G1154" s="46" t="n">
        <v>-100</v>
      </c>
      <c r="H1154" s="40" t="n">
        <v>72904.14999999999</v>
      </c>
      <c r="I1154" s="40" t="n">
        <v>100</v>
      </c>
      <c r="J1154" s="40" t="n">
        <v>0</v>
      </c>
      <c r="K1154" s="46" t="n">
        <v>-100</v>
      </c>
      <c r="L1154" s="40" t="n">
        <v>0</v>
      </c>
      <c r="M1154" s="40" t="n">
        <v>0</v>
      </c>
      <c r="N1154" s="40" t="n">
        <v>0</v>
      </c>
      <c r="O1154" s="40" t="n">
        <v>0</v>
      </c>
      <c r="P1154" s="40" t="n">
        <v>0</v>
      </c>
      <c r="Q1154" s="40" t="n">
        <v>0</v>
      </c>
      <c r="R1154" s="47" t="n"/>
      <c r="S1154" s="47" t="n"/>
      <c r="T1154" s="47" t="n"/>
      <c r="U1154" s="47" t="n"/>
      <c r="V1154" s="47" t="n"/>
      <c r="W1154" s="47" t="n"/>
    </row>
    <row r="1155" ht="11.25" customHeight="1">
      <c r="A1155" s="30" t="inlineStr">
        <is>
          <t>Itaguai</t>
        </is>
      </c>
      <c r="B1155" s="30" t="n">
        <v>86320053</v>
      </c>
      <c r="C1155" s="30">
        <f>"02445414000583"</f>
        <v/>
      </c>
      <c r="D1155" s="30" t="inlineStr">
        <is>
          <t>TRANSVIP TRANSPORTE DE VALORES E VIGILANCIA PATRIMONIAL LTDA</t>
        </is>
      </c>
      <c r="E1155" s="40" t="n">
        <v>0</v>
      </c>
      <c r="F1155" s="40" t="n">
        <v>172714.24</v>
      </c>
      <c r="G1155" s="40" t="n">
        <v>100</v>
      </c>
      <c r="H1155" s="40" t="n">
        <v>754525.11</v>
      </c>
      <c r="I1155" s="40" t="n">
        <v>336.86</v>
      </c>
      <c r="J1155" s="40" t="n">
        <v>0</v>
      </c>
      <c r="K1155" s="46" t="n">
        <v>-100</v>
      </c>
      <c r="L1155" s="40" t="n">
        <v>0</v>
      </c>
      <c r="M1155" s="40" t="n">
        <v>0</v>
      </c>
      <c r="N1155" s="40" t="n">
        <v>0</v>
      </c>
      <c r="O1155" s="40" t="n">
        <v>0</v>
      </c>
      <c r="P1155" s="40" t="n">
        <v>0</v>
      </c>
      <c r="Q1155" s="40" t="n">
        <v>0</v>
      </c>
      <c r="R1155" s="47" t="n"/>
      <c r="S1155" s="47" t="n"/>
      <c r="T1155" s="47" t="n"/>
      <c r="U1155" s="47" t="n"/>
      <c r="V1155" s="47" t="n"/>
      <c r="W1155" s="47" t="n"/>
    </row>
    <row r="1156" ht="11.25" customHeight="1">
      <c r="A1156" s="30" t="inlineStr">
        <is>
          <t>Itaguai</t>
        </is>
      </c>
      <c r="B1156" s="30" t="n">
        <v>86344335</v>
      </c>
      <c r="C1156" s="30">
        <f>"02412371000106"</f>
        <v/>
      </c>
      <c r="D1156" s="30" t="inlineStr">
        <is>
          <t>TREVO LOCAR TRANSPORTES LTDA EPP</t>
        </is>
      </c>
      <c r="E1156" s="40" t="n">
        <v>0</v>
      </c>
      <c r="F1156" s="40" t="n">
        <v>0</v>
      </c>
      <c r="G1156" s="40" t="n">
        <v>0</v>
      </c>
      <c r="H1156" s="40" t="n">
        <v>3675</v>
      </c>
      <c r="I1156" s="40" t="n">
        <v>100</v>
      </c>
      <c r="J1156" s="40" t="n">
        <v>14700</v>
      </c>
      <c r="K1156" s="40" t="n">
        <v>300</v>
      </c>
      <c r="L1156" s="40" t="n">
        <v>12862.5</v>
      </c>
      <c r="M1156" s="46" t="n">
        <v>-12.5</v>
      </c>
      <c r="N1156" s="40" t="n">
        <v>0</v>
      </c>
      <c r="O1156" s="46" t="n">
        <v>-100</v>
      </c>
      <c r="P1156" s="40" t="n">
        <v>0</v>
      </c>
      <c r="Q1156" s="40" t="n">
        <v>0</v>
      </c>
      <c r="R1156" s="47" t="n"/>
      <c r="S1156" s="47" t="n"/>
      <c r="T1156" s="47" t="n"/>
      <c r="U1156" s="47" t="n"/>
      <c r="V1156" s="47" t="n"/>
      <c r="W1156" s="47" t="n"/>
    </row>
    <row r="1157" ht="11.25" customHeight="1">
      <c r="A1157" s="30" t="inlineStr">
        <is>
          <t>Itaguai</t>
        </is>
      </c>
      <c r="B1157" s="30" t="n">
        <v>86356953</v>
      </c>
      <c r="C1157" s="30">
        <f>"02191152000144"</f>
        <v/>
      </c>
      <c r="D1157" s="30" t="inlineStr">
        <is>
          <t>BELLA ROMA SECURITY DIGITAL LTDA ME</t>
        </is>
      </c>
      <c r="E1157" s="40" t="n">
        <v>0</v>
      </c>
      <c r="F1157" s="40" t="n">
        <v>0</v>
      </c>
      <c r="G1157" s="40" t="n">
        <v>0</v>
      </c>
      <c r="H1157" s="40" t="n">
        <v>0</v>
      </c>
      <c r="I1157" s="40" t="n">
        <v>0</v>
      </c>
      <c r="J1157" s="40" t="n">
        <v>0</v>
      </c>
      <c r="K1157" s="40" t="n">
        <v>0</v>
      </c>
      <c r="L1157" s="40" t="n">
        <v>0</v>
      </c>
      <c r="M1157" s="40" t="n">
        <v>0</v>
      </c>
      <c r="N1157" s="40" t="n">
        <v>0</v>
      </c>
      <c r="O1157" s="40" t="n">
        <v>0</v>
      </c>
      <c r="P1157" s="40" t="n">
        <v>0</v>
      </c>
      <c r="Q1157" s="40" t="n">
        <v>0</v>
      </c>
      <c r="R1157" s="47" t="n"/>
      <c r="S1157" s="47" t="n"/>
      <c r="T1157" s="47" t="n"/>
      <c r="U1157" s="47" t="n"/>
      <c r="V1157" s="47" t="n"/>
      <c r="W1157" s="47" t="n"/>
    </row>
    <row r="1158" ht="11.25" customHeight="1">
      <c r="A1158" s="30" t="inlineStr">
        <is>
          <t>Itaguai</t>
        </is>
      </c>
      <c r="B1158" s="30" t="n">
        <v>86374005</v>
      </c>
      <c r="C1158" s="30">
        <f>"02277810000115"</f>
        <v/>
      </c>
      <c r="D1158" s="30" t="inlineStr">
        <is>
          <t>A L MONCAO PINTO ME</t>
        </is>
      </c>
      <c r="E1158" s="40" t="n">
        <v>0</v>
      </c>
      <c r="F1158" s="40" t="n">
        <v>0</v>
      </c>
      <c r="G1158" s="40" t="n">
        <v>0</v>
      </c>
      <c r="H1158" s="40" t="n">
        <v>0</v>
      </c>
      <c r="I1158" s="40" t="n">
        <v>0</v>
      </c>
      <c r="J1158" s="40" t="n">
        <v>0</v>
      </c>
      <c r="K1158" s="40" t="n">
        <v>0</v>
      </c>
      <c r="L1158" s="40" t="n">
        <v>1800</v>
      </c>
      <c r="M1158" s="40" t="n">
        <v>100</v>
      </c>
      <c r="N1158" s="40" t="n">
        <v>0</v>
      </c>
      <c r="O1158" s="46" t="n">
        <v>-100</v>
      </c>
      <c r="P1158" s="40" t="n">
        <v>0</v>
      </c>
      <c r="Q1158" s="40" t="n">
        <v>0</v>
      </c>
      <c r="R1158" s="47" t="n"/>
      <c r="S1158" s="47" t="n"/>
      <c r="T1158" s="47" t="n"/>
      <c r="U1158" s="47" t="n"/>
      <c r="V1158" s="47" t="n"/>
      <c r="W1158" s="47" t="n"/>
    </row>
    <row r="1159" ht="11.25" customHeight="1">
      <c r="A1159" s="30" t="inlineStr">
        <is>
          <t>Itaguai</t>
        </is>
      </c>
      <c r="B1159" s="30" t="n">
        <v>86381397</v>
      </c>
      <c r="C1159" s="30">
        <f>"03415979000157"</f>
        <v/>
      </c>
      <c r="D1159" s="30" t="inlineStr">
        <is>
          <t>RESTAURANTE RECANTO DOS PESCADORES DE TERESOPOLIS EIRELI</t>
        </is>
      </c>
      <c r="E1159" s="40" t="n">
        <v>0</v>
      </c>
      <c r="F1159" s="40" t="n">
        <v>0</v>
      </c>
      <c r="G1159" s="40" t="n">
        <v>0</v>
      </c>
      <c r="H1159" s="40" t="n">
        <v>64780</v>
      </c>
      <c r="I1159" s="40" t="n">
        <v>100</v>
      </c>
      <c r="J1159" s="40" t="n">
        <v>10892</v>
      </c>
      <c r="K1159" s="46" t="n">
        <v>-83.19</v>
      </c>
      <c r="L1159" s="40" t="n">
        <v>0</v>
      </c>
      <c r="M1159" s="46" t="n">
        <v>-100</v>
      </c>
      <c r="N1159" s="40" t="n">
        <v>0</v>
      </c>
      <c r="O1159" s="40" t="n">
        <v>0</v>
      </c>
      <c r="P1159" s="40" t="n">
        <v>0</v>
      </c>
      <c r="Q1159" s="40" t="n">
        <v>0</v>
      </c>
      <c r="R1159" s="47" t="n"/>
      <c r="S1159" s="47" t="n"/>
      <c r="T1159" s="47" t="n"/>
      <c r="U1159" s="47" t="n"/>
      <c r="V1159" s="47" t="n"/>
      <c r="W1159" s="47" t="n"/>
    </row>
    <row r="1160" ht="11.25" customHeight="1">
      <c r="A1160" s="30" t="inlineStr">
        <is>
          <t>Itaguai</t>
        </is>
      </c>
      <c r="B1160" s="30" t="n">
        <v>86399393</v>
      </c>
      <c r="C1160" s="30">
        <f>"01489122000156"</f>
        <v/>
      </c>
      <c r="D1160" s="30" t="inlineStr">
        <is>
          <t>TJ4 TRANSPORTES EIRELI</t>
        </is>
      </c>
      <c r="E1160" s="40" t="n">
        <v>0</v>
      </c>
      <c r="F1160" s="40" t="n">
        <v>97.63</v>
      </c>
      <c r="G1160" s="40" t="n">
        <v>100</v>
      </c>
      <c r="H1160" s="40" t="n">
        <v>105.52</v>
      </c>
      <c r="I1160" s="40" t="n">
        <v>8.08</v>
      </c>
      <c r="J1160" s="40" t="n">
        <v>0</v>
      </c>
      <c r="K1160" s="46" t="n">
        <v>-100</v>
      </c>
      <c r="L1160" s="40" t="n">
        <v>0</v>
      </c>
      <c r="M1160" s="40" t="n">
        <v>0</v>
      </c>
      <c r="N1160" s="40" t="n">
        <v>0</v>
      </c>
      <c r="O1160" s="40" t="n">
        <v>0</v>
      </c>
      <c r="P1160" s="40" t="n">
        <v>0</v>
      </c>
      <c r="Q1160" s="40" t="n">
        <v>0</v>
      </c>
      <c r="R1160" s="47" t="n"/>
      <c r="S1160" s="47" t="n"/>
      <c r="T1160" s="47" t="n"/>
      <c r="U1160" s="47" t="n"/>
      <c r="V1160" s="47" t="n"/>
      <c r="W1160" s="47" t="n"/>
    </row>
    <row r="1161" ht="11.25" customHeight="1">
      <c r="A1161" s="30" t="inlineStr">
        <is>
          <t>Itaguai</t>
        </is>
      </c>
      <c r="B1161" s="30" t="n">
        <v>86441071</v>
      </c>
      <c r="C1161" s="30">
        <f>"32492373002086"</f>
        <v/>
      </c>
      <c r="D1161" s="30" t="inlineStr">
        <is>
          <t>TRANSPORTE EXCELSIOR LTDA</t>
        </is>
      </c>
      <c r="E1161" s="40" t="n">
        <v>1266</v>
      </c>
      <c r="F1161" s="40" t="n">
        <v>0</v>
      </c>
      <c r="G1161" s="46" t="n">
        <v>-100</v>
      </c>
      <c r="H1161" s="40" t="n">
        <v>3032.15</v>
      </c>
      <c r="I1161" s="40" t="n">
        <v>100</v>
      </c>
      <c r="J1161" s="40" t="n">
        <v>0</v>
      </c>
      <c r="K1161" s="46" t="n">
        <v>-100</v>
      </c>
      <c r="L1161" s="40" t="n">
        <v>10934.4</v>
      </c>
      <c r="M1161" s="40" t="n">
        <v>100</v>
      </c>
      <c r="N1161" s="40" t="n">
        <v>2153.41</v>
      </c>
      <c r="O1161" s="46" t="n">
        <v>-80.31</v>
      </c>
      <c r="P1161" s="40" t="n">
        <v>0</v>
      </c>
      <c r="Q1161" s="46" t="n">
        <v>-100</v>
      </c>
      <c r="R1161" s="47" t="n"/>
      <c r="S1161" s="47" t="n"/>
      <c r="T1161" s="47" t="n"/>
      <c r="U1161" s="47" t="n"/>
      <c r="V1161" s="47" t="n"/>
      <c r="W1161" s="47" t="n"/>
    </row>
    <row r="1162" ht="11.25" customHeight="1">
      <c r="A1162" s="30" t="inlineStr">
        <is>
          <t>Itaguai</t>
        </is>
      </c>
      <c r="B1162" s="30" t="n">
        <v>86507129</v>
      </c>
      <c r="C1162" s="30">
        <f>"17349724000148"</f>
        <v/>
      </c>
      <c r="D1162" s="30" t="inlineStr">
        <is>
          <t>ARGAMASSAS SANTA LUZIA LTDA</t>
        </is>
      </c>
      <c r="E1162" s="40" t="n">
        <v>0</v>
      </c>
      <c r="F1162" s="40" t="n">
        <v>0</v>
      </c>
      <c r="G1162" s="40" t="n">
        <v>0</v>
      </c>
      <c r="H1162" s="40" t="n">
        <v>635659.41</v>
      </c>
      <c r="I1162" s="40" t="n">
        <v>100</v>
      </c>
      <c r="J1162" s="40" t="n">
        <v>2022298.83</v>
      </c>
      <c r="K1162" s="40" t="n">
        <v>218.14</v>
      </c>
      <c r="L1162" s="40" t="n">
        <v>3402467.54</v>
      </c>
      <c r="M1162" s="40" t="n">
        <v>68.25</v>
      </c>
      <c r="N1162" s="40" t="n">
        <v>4164602.13</v>
      </c>
      <c r="O1162" s="40" t="n">
        <v>22.4</v>
      </c>
      <c r="P1162" s="40" t="n">
        <v>5862993.07</v>
      </c>
      <c r="Q1162" s="40" t="n">
        <v>40.78</v>
      </c>
      <c r="R1162" s="47" t="n"/>
      <c r="S1162" s="47" t="n"/>
      <c r="T1162" s="47" t="n"/>
      <c r="U1162" s="47" t="n"/>
      <c r="V1162" s="47" t="n"/>
      <c r="W1162" s="47" t="n"/>
    </row>
    <row r="1163" ht="11.25" customHeight="1">
      <c r="A1163" s="30" t="inlineStr">
        <is>
          <t>Itaguai</t>
        </is>
      </c>
      <c r="B1163" s="30" t="n">
        <v>86515636</v>
      </c>
      <c r="C1163" s="30">
        <f>"18866553000197"</f>
        <v/>
      </c>
      <c r="D1163" s="30" t="inlineStr">
        <is>
          <t>SVF COMERCIO DE BEBIDAS E DESCARTAVEIS EIRELI</t>
        </is>
      </c>
      <c r="E1163" s="40" t="n">
        <v>0</v>
      </c>
      <c r="F1163" s="40" t="n">
        <v>0</v>
      </c>
      <c r="G1163" s="40" t="n">
        <v>0</v>
      </c>
      <c r="H1163" s="40" t="n">
        <v>0</v>
      </c>
      <c r="I1163" s="40" t="n">
        <v>0</v>
      </c>
      <c r="J1163" s="40" t="n">
        <v>0</v>
      </c>
      <c r="K1163" s="40" t="n">
        <v>0</v>
      </c>
      <c r="L1163" s="40" t="n">
        <v>0</v>
      </c>
      <c r="M1163" s="40" t="n">
        <v>0</v>
      </c>
      <c r="N1163" s="40" t="n">
        <v>0</v>
      </c>
      <c r="O1163" s="40" t="n">
        <v>0</v>
      </c>
      <c r="P1163" s="40" t="n">
        <v>0</v>
      </c>
      <c r="Q1163" s="40" t="n">
        <v>0</v>
      </c>
      <c r="R1163" s="47" t="n"/>
      <c r="S1163" s="47" t="n"/>
      <c r="T1163" s="47" t="n"/>
      <c r="U1163" s="47" t="n"/>
      <c r="V1163" s="47" t="n"/>
      <c r="W1163" s="47" t="n"/>
    </row>
    <row r="1164" ht="11.25" customHeight="1">
      <c r="A1164" s="30" t="inlineStr">
        <is>
          <t>Itaguai</t>
        </is>
      </c>
      <c r="B1164" s="30" t="n">
        <v>86518627</v>
      </c>
      <c r="C1164" s="30">
        <f>"09625212000210"</f>
        <v/>
      </c>
      <c r="D1164" s="30" t="inlineStr">
        <is>
          <t>PH MAR CONSULTORIA AMBIENTAL LTDA</t>
        </is>
      </c>
      <c r="E1164" s="40" t="n">
        <v>0</v>
      </c>
      <c r="F1164" s="40" t="n">
        <v>0</v>
      </c>
      <c r="G1164" s="40" t="n">
        <v>0</v>
      </c>
      <c r="H1164" s="40" t="n">
        <v>0</v>
      </c>
      <c r="I1164" s="40" t="n">
        <v>0</v>
      </c>
      <c r="J1164" s="40" t="n">
        <v>0</v>
      </c>
      <c r="K1164" s="40" t="n">
        <v>0</v>
      </c>
      <c r="L1164" s="40" t="n">
        <v>0</v>
      </c>
      <c r="M1164" s="40" t="n">
        <v>0</v>
      </c>
      <c r="N1164" s="40" t="n">
        <v>0</v>
      </c>
      <c r="O1164" s="40" t="n">
        <v>0</v>
      </c>
      <c r="P1164" s="40" t="n">
        <v>0</v>
      </c>
      <c r="Q1164" s="40" t="n">
        <v>0</v>
      </c>
      <c r="R1164" s="47" t="n"/>
      <c r="S1164" s="47" t="n"/>
      <c r="T1164" s="47" t="n"/>
      <c r="U1164" s="47" t="n"/>
      <c r="V1164" s="47" t="n"/>
      <c r="W1164" s="47" t="n"/>
    </row>
    <row r="1165" ht="11.25" customHeight="1">
      <c r="A1165" s="30" t="inlineStr">
        <is>
          <t>Itaguai</t>
        </is>
      </c>
      <c r="B1165" s="30" t="n">
        <v>86521555</v>
      </c>
      <c r="C1165" s="30">
        <f>"18769316000108"</f>
        <v/>
      </c>
      <c r="D1165" s="30" t="inlineStr">
        <is>
          <t>COMERCIO VAREJISTA DE OLEOS LUBRIFICANTES ITAGUAI 1 EIRELI</t>
        </is>
      </c>
      <c r="E1165" s="40" t="n">
        <v>0</v>
      </c>
      <c r="F1165" s="40" t="n">
        <v>0</v>
      </c>
      <c r="G1165" s="40" t="n">
        <v>0</v>
      </c>
      <c r="H1165" s="40" t="n">
        <v>150</v>
      </c>
      <c r="I1165" s="40" t="n">
        <v>100</v>
      </c>
      <c r="J1165" s="40" t="n">
        <v>0</v>
      </c>
      <c r="K1165" s="46" t="n">
        <v>-100</v>
      </c>
      <c r="L1165" s="40" t="n">
        <v>0</v>
      </c>
      <c r="M1165" s="40" t="n">
        <v>0</v>
      </c>
      <c r="N1165" s="40" t="n">
        <v>0</v>
      </c>
      <c r="O1165" s="40" t="n">
        <v>0</v>
      </c>
      <c r="P1165" s="40" t="n">
        <v>0</v>
      </c>
      <c r="Q1165" s="40" t="n">
        <v>0</v>
      </c>
      <c r="R1165" s="47" t="n"/>
      <c r="S1165" s="47" t="n"/>
      <c r="T1165" s="47" t="n"/>
      <c r="U1165" s="47" t="n"/>
      <c r="V1165" s="47" t="n"/>
      <c r="W1165" s="47" t="n"/>
    </row>
    <row r="1166" ht="11.25" customHeight="1">
      <c r="A1166" s="30" t="inlineStr">
        <is>
          <t>Itaguai</t>
        </is>
      </c>
      <c r="B1166" s="30" t="n">
        <v>86525712</v>
      </c>
      <c r="C1166" s="30">
        <f>"18872079000106"</f>
        <v/>
      </c>
      <c r="D1166" s="30" t="inlineStr">
        <is>
          <t>MERCADO DOS ANJOS LTDA</t>
        </is>
      </c>
      <c r="E1166" s="40" t="n">
        <v>5480687.1</v>
      </c>
      <c r="F1166" s="40" t="n">
        <v>5345873</v>
      </c>
      <c r="G1166" s="46" t="n">
        <v>-2.46</v>
      </c>
      <c r="H1166" s="40" t="n">
        <v>5413024.42</v>
      </c>
      <c r="I1166" s="40" t="n">
        <v>1.26</v>
      </c>
      <c r="J1166" s="40" t="n">
        <v>6489233.24</v>
      </c>
      <c r="K1166" s="40" t="n">
        <v>19.88</v>
      </c>
      <c r="L1166" s="40" t="n">
        <v>4964110.11</v>
      </c>
      <c r="M1166" s="46" t="n">
        <v>-23.5</v>
      </c>
      <c r="N1166" s="40" t="n">
        <v>4947008.76</v>
      </c>
      <c r="O1166" s="46" t="n">
        <v>-0.34</v>
      </c>
      <c r="P1166" s="40" t="n">
        <v>0</v>
      </c>
      <c r="Q1166" s="46" t="n">
        <v>-100</v>
      </c>
      <c r="R1166" s="47" t="n"/>
      <c r="S1166" s="47" t="n"/>
      <c r="T1166" s="47" t="n"/>
      <c r="U1166" s="47" t="n"/>
      <c r="V1166" s="47" t="n"/>
      <c r="W1166" s="47" t="n"/>
    </row>
    <row r="1167" ht="11.25" customHeight="1">
      <c r="A1167" s="30" t="inlineStr">
        <is>
          <t>Itaguai</t>
        </is>
      </c>
      <c r="B1167" s="30" t="n">
        <v>86532522</v>
      </c>
      <c r="C1167" s="30">
        <f>"11304945000385"</f>
        <v/>
      </c>
      <c r="D1167" s="30" t="inlineStr">
        <is>
          <t>MERCADO SAO FERNANDO 10 LTDA ME</t>
        </is>
      </c>
      <c r="E1167" s="40" t="n">
        <v>3974550.01</v>
      </c>
      <c r="F1167" s="40" t="n">
        <v>64513.87</v>
      </c>
      <c r="G1167" s="46" t="n">
        <v>-98.38</v>
      </c>
      <c r="H1167" s="40" t="n">
        <v>4210092.82</v>
      </c>
      <c r="I1167" s="40" t="n">
        <v>6425.87</v>
      </c>
      <c r="J1167" s="40" t="n">
        <v>5976843.46</v>
      </c>
      <c r="K1167" s="40" t="n">
        <v>41.96</v>
      </c>
      <c r="L1167" s="40" t="n">
        <v>6774365.22</v>
      </c>
      <c r="M1167" s="40" t="n">
        <v>13.34</v>
      </c>
      <c r="N1167" s="40" t="n">
        <v>7019364.02</v>
      </c>
      <c r="O1167" s="40" t="n">
        <v>3.62</v>
      </c>
      <c r="P1167" s="40" t="n">
        <v>8808096.57</v>
      </c>
      <c r="Q1167" s="40" t="n">
        <v>25.48</v>
      </c>
      <c r="R1167" s="47" t="n"/>
      <c r="S1167" s="47" t="n"/>
      <c r="T1167" s="47" t="n"/>
      <c r="U1167" s="47" t="n"/>
      <c r="V1167" s="47" t="n"/>
      <c r="W1167" s="47" t="n"/>
    </row>
    <row r="1168" ht="11.25" customHeight="1">
      <c r="A1168" s="30" t="inlineStr">
        <is>
          <t>Itaguai</t>
        </is>
      </c>
      <c r="B1168" s="30" t="n">
        <v>86535122</v>
      </c>
      <c r="C1168" s="30">
        <f>"38488987000299"</f>
        <v/>
      </c>
      <c r="D1168" s="30" t="inlineStr">
        <is>
          <t>MG - MINAS GERAIS LOCAÇOES  E SERVIÇOS LTDA</t>
        </is>
      </c>
      <c r="E1168" s="40" t="n">
        <v>0</v>
      </c>
      <c r="F1168" s="40" t="n">
        <v>0</v>
      </c>
      <c r="G1168" s="40" t="n">
        <v>0</v>
      </c>
      <c r="H1168" s="40" t="n">
        <v>0</v>
      </c>
      <c r="I1168" s="40" t="n">
        <v>0</v>
      </c>
      <c r="J1168" s="40" t="n">
        <v>0</v>
      </c>
      <c r="K1168" s="40" t="n">
        <v>0</v>
      </c>
      <c r="L1168" s="40" t="n">
        <v>0</v>
      </c>
      <c r="M1168" s="40" t="n">
        <v>0</v>
      </c>
      <c r="N1168" s="40" t="n">
        <v>0</v>
      </c>
      <c r="O1168" s="40" t="n">
        <v>0</v>
      </c>
      <c r="P1168" s="40" t="n">
        <v>0</v>
      </c>
      <c r="Q1168" s="40" t="n">
        <v>0</v>
      </c>
      <c r="R1168" s="47" t="n"/>
      <c r="S1168" s="47" t="n"/>
      <c r="T1168" s="47" t="n"/>
      <c r="U1168" s="47" t="n"/>
      <c r="V1168" s="47" t="n"/>
      <c r="W1168" s="47" t="n"/>
    </row>
    <row r="1169" ht="11.25" customHeight="1">
      <c r="A1169" s="30" t="inlineStr">
        <is>
          <t>Itaguai</t>
        </is>
      </c>
      <c r="B1169" s="30" t="n">
        <v>86535351</v>
      </c>
      <c r="C1169" s="30">
        <f>"18903804000166"</f>
        <v/>
      </c>
      <c r="D1169" s="30" t="inlineStr">
        <is>
          <t>JAVA APOIO ADMINISTRATIVO EIRELI</t>
        </is>
      </c>
      <c r="E1169" s="40" t="n">
        <v>0</v>
      </c>
      <c r="F1169" s="40" t="n">
        <v>0</v>
      </c>
      <c r="G1169" s="40" t="n">
        <v>0</v>
      </c>
      <c r="H1169" s="40" t="n">
        <v>0</v>
      </c>
      <c r="I1169" s="40" t="n">
        <v>0</v>
      </c>
      <c r="J1169" s="40" t="n">
        <v>0</v>
      </c>
      <c r="K1169" s="40" t="n">
        <v>0</v>
      </c>
      <c r="L1169" s="40" t="n">
        <v>0</v>
      </c>
      <c r="M1169" s="40" t="n">
        <v>0</v>
      </c>
      <c r="N1169" s="40" t="n">
        <v>0</v>
      </c>
      <c r="O1169" s="40" t="n">
        <v>0</v>
      </c>
      <c r="P1169" s="40" t="n">
        <v>0</v>
      </c>
      <c r="Q1169" s="40" t="n">
        <v>0</v>
      </c>
      <c r="R1169" s="47" t="n"/>
      <c r="S1169" s="47" t="n"/>
      <c r="T1169" s="47" t="n"/>
      <c r="U1169" s="47" t="n"/>
      <c r="V1169" s="47" t="n"/>
      <c r="W1169" s="47" t="n"/>
    </row>
    <row r="1170" ht="11.25" customHeight="1">
      <c r="A1170" s="30" t="inlineStr">
        <is>
          <t>Itaguai</t>
        </is>
      </c>
      <c r="B1170" s="30" t="n">
        <v>86541777</v>
      </c>
      <c r="C1170" s="30">
        <f>"13247991000234"</f>
        <v/>
      </c>
      <c r="D1170" s="30" t="inlineStr">
        <is>
          <t>KETLOG TRANSPORTE DE CARGAS LTDA</t>
        </is>
      </c>
      <c r="E1170" s="40" t="n">
        <v>15503921.9</v>
      </c>
      <c r="F1170" s="40" t="n">
        <v>4659842.9</v>
      </c>
      <c r="G1170" s="46" t="n">
        <v>-69.94</v>
      </c>
      <c r="H1170" s="40" t="n">
        <v>3348023.91</v>
      </c>
      <c r="I1170" s="46" t="n">
        <v>-28.15</v>
      </c>
      <c r="J1170" s="40" t="n">
        <v>2132141.08</v>
      </c>
      <c r="K1170" s="46" t="n">
        <v>-36.32</v>
      </c>
      <c r="L1170" s="40" t="n">
        <v>2597175.52</v>
      </c>
      <c r="M1170" s="40" t="n">
        <v>21.81</v>
      </c>
      <c r="N1170" s="40" t="n">
        <v>1745679.24</v>
      </c>
      <c r="O1170" s="46" t="n">
        <v>-32.79</v>
      </c>
      <c r="P1170" s="40" t="n">
        <v>1685056.89</v>
      </c>
      <c r="Q1170" s="46" t="n">
        <v>-3.47</v>
      </c>
      <c r="R1170" s="47" t="n"/>
      <c r="S1170" s="47" t="n"/>
      <c r="T1170" s="47" t="n"/>
      <c r="U1170" s="47" t="n"/>
      <c r="V1170" s="47" t="n"/>
      <c r="W1170" s="47" t="n"/>
    </row>
    <row r="1171" ht="11.25" customHeight="1">
      <c r="A1171" s="30" t="inlineStr">
        <is>
          <t>Itaguai</t>
        </is>
      </c>
      <c r="B1171" s="30" t="n">
        <v>86542072</v>
      </c>
      <c r="C1171" s="30">
        <f>"08062253000444"</f>
        <v/>
      </c>
      <c r="D1171" s="30" t="inlineStr">
        <is>
          <t>CAMBRIDGE TELECOMUNICACOES LTDA</t>
        </is>
      </c>
      <c r="E1171" s="40" t="n">
        <v>74704.39</v>
      </c>
      <c r="F1171" s="40" t="n">
        <v>4952.66</v>
      </c>
      <c r="G1171" s="46" t="n">
        <v>-93.37</v>
      </c>
      <c r="H1171" s="40" t="n">
        <v>2456.31</v>
      </c>
      <c r="I1171" s="46" t="n">
        <v>-50.4</v>
      </c>
      <c r="J1171" s="40" t="n">
        <v>0</v>
      </c>
      <c r="K1171" s="46" t="n">
        <v>-100</v>
      </c>
      <c r="L1171" s="40" t="n">
        <v>0</v>
      </c>
      <c r="M1171" s="40" t="n">
        <v>0</v>
      </c>
      <c r="N1171" s="40" t="n">
        <v>0</v>
      </c>
      <c r="O1171" s="40" t="n">
        <v>0</v>
      </c>
      <c r="P1171" s="40" t="n">
        <v>0</v>
      </c>
      <c r="Q1171" s="40" t="n">
        <v>0</v>
      </c>
      <c r="R1171" s="47" t="n"/>
      <c r="S1171" s="47" t="n"/>
      <c r="T1171" s="47" t="n"/>
      <c r="U1171" s="47" t="n"/>
      <c r="V1171" s="47" t="n"/>
      <c r="W1171" s="47" t="n"/>
    </row>
    <row r="1172" ht="11.25" customHeight="1">
      <c r="A1172" s="30" t="inlineStr">
        <is>
          <t>Itaguai</t>
        </is>
      </c>
      <c r="B1172" s="30" t="n">
        <v>86566877</v>
      </c>
      <c r="C1172" s="30">
        <f>"19223780000167"</f>
        <v/>
      </c>
      <c r="D1172" s="30" t="inlineStr">
        <is>
          <t>LLF MATHIAS VIAS DE TRANSPORTES RODOVI?RIOS EIRELI</t>
        </is>
      </c>
      <c r="E1172" s="40" t="n">
        <v>650.03</v>
      </c>
      <c r="F1172" s="40" t="n">
        <v>222.24</v>
      </c>
      <c r="G1172" s="46" t="n">
        <v>-65.81</v>
      </c>
      <c r="H1172" s="40" t="n">
        <v>507.67</v>
      </c>
      <c r="I1172" s="40" t="n">
        <v>128.43</v>
      </c>
      <c r="J1172" s="40" t="n">
        <v>0</v>
      </c>
      <c r="K1172" s="46" t="n">
        <v>-100</v>
      </c>
      <c r="L1172" s="40" t="n">
        <v>0</v>
      </c>
      <c r="M1172" s="40" t="n">
        <v>0</v>
      </c>
      <c r="N1172" s="40" t="n">
        <v>0</v>
      </c>
      <c r="O1172" s="40" t="n">
        <v>0</v>
      </c>
      <c r="P1172" s="40" t="n">
        <v>0</v>
      </c>
      <c r="Q1172" s="40" t="n">
        <v>0</v>
      </c>
      <c r="R1172" s="47" t="n"/>
      <c r="S1172" s="47" t="n"/>
      <c r="T1172" s="47" t="n"/>
      <c r="U1172" s="47" t="n"/>
      <c r="V1172" s="47" t="n"/>
      <c r="W1172" s="47" t="n"/>
    </row>
    <row r="1173" ht="11.25" customHeight="1">
      <c r="A1173" s="30" t="inlineStr">
        <is>
          <t>Itaguai</t>
        </is>
      </c>
      <c r="B1173" s="30" t="n">
        <v>86570734</v>
      </c>
      <c r="C1173" s="30">
        <f>"96178405000860"</f>
        <v/>
      </c>
      <c r="D1173" s="30" t="inlineStr">
        <is>
          <t>SANKYU LOGISTICS DESPACHOS ADUANEIROS LTDA</t>
        </is>
      </c>
      <c r="E1173" s="40" t="n">
        <v>1176637.42</v>
      </c>
      <c r="F1173" s="40" t="n">
        <v>1131215.66</v>
      </c>
      <c r="G1173" s="46" t="n">
        <v>-3.86</v>
      </c>
      <c r="H1173" s="40" t="n">
        <v>922672.86</v>
      </c>
      <c r="I1173" s="46" t="n">
        <v>-18.44</v>
      </c>
      <c r="J1173" s="40" t="n">
        <v>460000.7</v>
      </c>
      <c r="K1173" s="46" t="n">
        <v>-50.14</v>
      </c>
      <c r="L1173" s="40" t="n">
        <v>0</v>
      </c>
      <c r="M1173" s="46" t="n">
        <v>-100</v>
      </c>
      <c r="N1173" s="40" t="n">
        <v>0</v>
      </c>
      <c r="O1173" s="40" t="n">
        <v>0</v>
      </c>
      <c r="P1173" s="40" t="n">
        <v>0</v>
      </c>
      <c r="Q1173" s="40" t="n">
        <v>0</v>
      </c>
      <c r="R1173" s="47" t="n"/>
      <c r="S1173" s="47" t="n"/>
      <c r="T1173" s="47" t="n"/>
      <c r="U1173" s="47" t="n"/>
      <c r="V1173" s="47" t="n"/>
      <c r="W1173" s="47" t="n"/>
    </row>
    <row r="1174" ht="11.25" customHeight="1">
      <c r="A1174" s="30" t="inlineStr">
        <is>
          <t>Itaguai</t>
        </is>
      </c>
      <c r="B1174" s="30" t="n">
        <v>86572761</v>
      </c>
      <c r="C1174" s="30">
        <f>"18828620000189"</f>
        <v/>
      </c>
      <c r="D1174" s="30" t="inlineStr">
        <is>
          <t>DRI CAR COMERCIO DE AUTOMOVEIS EIRELI</t>
        </is>
      </c>
      <c r="E1174" s="40" t="n">
        <v>0</v>
      </c>
      <c r="F1174" s="40" t="n">
        <v>0</v>
      </c>
      <c r="G1174" s="40" t="n">
        <v>0</v>
      </c>
      <c r="H1174" s="40" t="n">
        <v>0</v>
      </c>
      <c r="I1174" s="40" t="n">
        <v>0</v>
      </c>
      <c r="J1174" s="40" t="n">
        <v>0</v>
      </c>
      <c r="K1174" s="40" t="n">
        <v>0</v>
      </c>
      <c r="L1174" s="40" t="n">
        <v>0</v>
      </c>
      <c r="M1174" s="40" t="n">
        <v>0</v>
      </c>
      <c r="N1174" s="40" t="n">
        <v>0</v>
      </c>
      <c r="O1174" s="40" t="n">
        <v>0</v>
      </c>
      <c r="P1174" s="40" t="n">
        <v>0</v>
      </c>
      <c r="Q1174" s="40" t="n">
        <v>0</v>
      </c>
      <c r="R1174" s="47" t="n"/>
      <c r="S1174" s="47" t="n"/>
      <c r="T1174" s="47" t="n"/>
      <c r="U1174" s="47" t="n"/>
      <c r="V1174" s="47" t="n"/>
      <c r="W1174" s="47" t="n"/>
    </row>
    <row r="1175" ht="11.25" customHeight="1">
      <c r="A1175" s="30" t="inlineStr">
        <is>
          <t>Itaguai</t>
        </is>
      </c>
      <c r="B1175" s="30" t="n">
        <v>86581531</v>
      </c>
      <c r="C1175" s="30">
        <f>"33438250046825"</f>
        <v/>
      </c>
      <c r="D1175" s="30" t="inlineStr">
        <is>
          <t>DROGARIAS PACHECO S/A</t>
        </is>
      </c>
      <c r="E1175" s="40" t="n">
        <v>1853534.6</v>
      </c>
      <c r="F1175" s="40" t="n">
        <v>1794060.09</v>
      </c>
      <c r="G1175" s="46" t="n">
        <v>-3.21</v>
      </c>
      <c r="H1175" s="40" t="n">
        <v>2191251.21</v>
      </c>
      <c r="I1175" s="40" t="n">
        <v>22.14</v>
      </c>
      <c r="J1175" s="40" t="n">
        <v>3018213.38</v>
      </c>
      <c r="K1175" s="40" t="n">
        <v>37.74</v>
      </c>
      <c r="L1175" s="40" t="n">
        <v>1872595.35</v>
      </c>
      <c r="M1175" s="46" t="n">
        <v>-37.96</v>
      </c>
      <c r="N1175" s="40" t="n">
        <v>4329816.1</v>
      </c>
      <c r="O1175" s="40" t="n">
        <v>131.22</v>
      </c>
      <c r="P1175" s="40" t="n">
        <v>2534791.63</v>
      </c>
      <c r="Q1175" s="46" t="n">
        <v>-41.46</v>
      </c>
      <c r="R1175" s="47" t="n"/>
      <c r="S1175" s="47" t="n"/>
      <c r="T1175" s="47" t="n"/>
      <c r="U1175" s="47" t="n"/>
      <c r="V1175" s="47" t="n"/>
      <c r="W1175" s="47" t="n"/>
    </row>
    <row r="1176" ht="11.25" customHeight="1">
      <c r="A1176" s="30" t="inlineStr">
        <is>
          <t>Itaguai</t>
        </is>
      </c>
      <c r="B1176" s="30" t="n">
        <v>86595125</v>
      </c>
      <c r="C1176" s="30">
        <f>"19321657000189"</f>
        <v/>
      </c>
      <c r="D1176" s="30" t="inlineStr">
        <is>
          <t>BETUN CONSTRUÇÕES E MANUTENÇÃO INDUSTRIAL LTDA</t>
        </is>
      </c>
      <c r="E1176" s="40" t="n">
        <v>0</v>
      </c>
      <c r="F1176" s="40" t="n">
        <v>0</v>
      </c>
      <c r="G1176" s="40" t="n">
        <v>0</v>
      </c>
      <c r="H1176" s="40" t="n">
        <v>0</v>
      </c>
      <c r="I1176" s="40" t="n">
        <v>0</v>
      </c>
      <c r="J1176" s="40" t="n">
        <v>0</v>
      </c>
      <c r="K1176" s="40" t="n">
        <v>0</v>
      </c>
      <c r="L1176" s="40" t="n">
        <v>0</v>
      </c>
      <c r="M1176" s="40" t="n">
        <v>0</v>
      </c>
      <c r="N1176" s="40" t="n">
        <v>0</v>
      </c>
      <c r="O1176" s="40" t="n">
        <v>0</v>
      </c>
      <c r="P1176" s="40" t="n">
        <v>0</v>
      </c>
      <c r="Q1176" s="40" t="n">
        <v>0</v>
      </c>
      <c r="R1176" s="47" t="n"/>
      <c r="S1176" s="47" t="n"/>
      <c r="T1176" s="47" t="n"/>
      <c r="U1176" s="47" t="n"/>
      <c r="V1176" s="47" t="n"/>
      <c r="W1176" s="47" t="n"/>
    </row>
    <row r="1177" ht="11.25" customHeight="1">
      <c r="A1177" s="30" t="inlineStr">
        <is>
          <t>Itaguai</t>
        </is>
      </c>
      <c r="B1177" s="30" t="n">
        <v>86614707</v>
      </c>
      <c r="C1177" s="30">
        <f>"17814074000407"</f>
        <v/>
      </c>
      <c r="D1177" s="30" t="inlineStr">
        <is>
          <t>NORTES TRANSPORTE E COMERCIO E SERVICOS LTDA</t>
        </is>
      </c>
      <c r="E1177" s="40" t="n">
        <v>91.84</v>
      </c>
      <c r="F1177" s="40" t="n">
        <v>0</v>
      </c>
      <c r="G1177" s="46" t="n">
        <v>-100</v>
      </c>
      <c r="H1177" s="40" t="n">
        <v>0</v>
      </c>
      <c r="I1177" s="40" t="n">
        <v>0</v>
      </c>
      <c r="J1177" s="40" t="n">
        <v>0</v>
      </c>
      <c r="K1177" s="40" t="n">
        <v>0</v>
      </c>
      <c r="L1177" s="40" t="n">
        <v>0</v>
      </c>
      <c r="M1177" s="40" t="n">
        <v>0</v>
      </c>
      <c r="N1177" s="40" t="n">
        <v>0</v>
      </c>
      <c r="O1177" s="40" t="n">
        <v>0</v>
      </c>
      <c r="P1177" s="40" t="n">
        <v>0</v>
      </c>
      <c r="Q1177" s="40" t="n">
        <v>0</v>
      </c>
      <c r="R1177" s="47" t="n"/>
      <c r="S1177" s="47" t="n"/>
      <c r="T1177" s="47" t="n"/>
      <c r="U1177" s="47" t="n"/>
      <c r="V1177" s="47" t="n"/>
      <c r="W1177" s="47" t="n"/>
    </row>
    <row r="1178" ht="11.25" customHeight="1">
      <c r="A1178" s="30" t="inlineStr">
        <is>
          <t>Itaguai</t>
        </is>
      </c>
      <c r="B1178" s="30" t="n">
        <v>86617536</v>
      </c>
      <c r="C1178" s="30">
        <f>"03831403001142"</f>
        <v/>
      </c>
      <c r="D1178" s="30" t="inlineStr">
        <is>
          <t>TRANSMARONI TRANSPORTES BRASIL RODOVIARIOS LTDA</t>
        </is>
      </c>
      <c r="E1178" s="40" t="n">
        <v>170.96</v>
      </c>
      <c r="F1178" s="40" t="n">
        <v>0</v>
      </c>
      <c r="G1178" s="46" t="n">
        <v>-100</v>
      </c>
      <c r="H1178" s="40" t="n">
        <v>0</v>
      </c>
      <c r="I1178" s="40" t="n">
        <v>0</v>
      </c>
      <c r="J1178" s="40" t="n">
        <v>0</v>
      </c>
      <c r="K1178" s="40" t="n">
        <v>0</v>
      </c>
      <c r="L1178" s="40" t="n">
        <v>0</v>
      </c>
      <c r="M1178" s="40" t="n">
        <v>0</v>
      </c>
      <c r="N1178" s="40" t="n">
        <v>0</v>
      </c>
      <c r="O1178" s="40" t="n">
        <v>0</v>
      </c>
      <c r="P1178" s="40" t="n">
        <v>0</v>
      </c>
      <c r="Q1178" s="40" t="n">
        <v>0</v>
      </c>
      <c r="R1178" s="47" t="n"/>
      <c r="S1178" s="47" t="n"/>
      <c r="T1178" s="47" t="n"/>
      <c r="U1178" s="47" t="n"/>
      <c r="V1178" s="47" t="n"/>
      <c r="W1178" s="47" t="n"/>
    </row>
    <row r="1179" ht="11.25" customHeight="1">
      <c r="A1179" s="30" t="inlineStr">
        <is>
          <t>Itaguai</t>
        </is>
      </c>
      <c r="B1179" s="30" t="n">
        <v>86624206</v>
      </c>
      <c r="C1179" s="30">
        <f>"19576725000150"</f>
        <v/>
      </c>
      <c r="D1179" s="30" t="inlineStr">
        <is>
          <t>J L INSTITUTO DE LINGUAS LTDA - ME</t>
        </is>
      </c>
      <c r="E1179" s="40" t="n">
        <v>0</v>
      </c>
      <c r="F1179" s="40" t="n">
        <v>0</v>
      </c>
      <c r="G1179" s="40" t="n">
        <v>0</v>
      </c>
      <c r="H1179" s="40" t="n">
        <v>0</v>
      </c>
      <c r="I1179" s="40" t="n">
        <v>0</v>
      </c>
      <c r="J1179" s="40" t="n">
        <v>0</v>
      </c>
      <c r="K1179" s="40" t="n">
        <v>0</v>
      </c>
      <c r="L1179" s="40" t="n">
        <v>0</v>
      </c>
      <c r="M1179" s="40" t="n">
        <v>0</v>
      </c>
      <c r="N1179" s="40" t="n">
        <v>0</v>
      </c>
      <c r="O1179" s="40" t="n">
        <v>0</v>
      </c>
      <c r="P1179" s="40" t="n">
        <v>0</v>
      </c>
      <c r="Q1179" s="40" t="n">
        <v>0</v>
      </c>
      <c r="R1179" s="47" t="n"/>
      <c r="S1179" s="47" t="n"/>
      <c r="T1179" s="47" t="n"/>
      <c r="U1179" s="47" t="n"/>
      <c r="V1179" s="47" t="n"/>
      <c r="W1179" s="47" t="n"/>
    </row>
    <row r="1180" ht="11.25" customHeight="1">
      <c r="A1180" s="30" t="inlineStr">
        <is>
          <t>Itaguai</t>
        </is>
      </c>
      <c r="B1180" s="30" t="n">
        <v>86625520</v>
      </c>
      <c r="C1180" s="30">
        <f>"19422577000110"</f>
        <v/>
      </c>
      <c r="D1180" s="30" t="inlineStr">
        <is>
          <t>MB ROVERE TRANSPORTES, COMERCIO E SERVIÇOS LTDA</t>
        </is>
      </c>
      <c r="E1180" s="40" t="n">
        <v>0</v>
      </c>
      <c r="F1180" s="40" t="n">
        <v>0</v>
      </c>
      <c r="G1180" s="40" t="n">
        <v>0</v>
      </c>
      <c r="H1180" s="40" t="n">
        <v>0</v>
      </c>
      <c r="I1180" s="40" t="n">
        <v>0</v>
      </c>
      <c r="J1180" s="40" t="n">
        <v>0</v>
      </c>
      <c r="K1180" s="40" t="n">
        <v>0</v>
      </c>
      <c r="L1180" s="40" t="n">
        <v>0</v>
      </c>
      <c r="M1180" s="40" t="n">
        <v>0</v>
      </c>
      <c r="N1180" s="40" t="n">
        <v>0</v>
      </c>
      <c r="O1180" s="40" t="n">
        <v>0</v>
      </c>
      <c r="P1180" s="40" t="n">
        <v>0</v>
      </c>
      <c r="Q1180" s="40" t="n">
        <v>0</v>
      </c>
      <c r="R1180" s="47" t="n"/>
      <c r="S1180" s="47" t="n"/>
      <c r="T1180" s="47" t="n"/>
      <c r="U1180" s="47" t="n"/>
      <c r="V1180" s="47" t="n"/>
      <c r="W1180" s="47" t="n"/>
    </row>
    <row r="1181" ht="11.25" customHeight="1">
      <c r="A1181" s="30" t="inlineStr">
        <is>
          <t>Itaguai</t>
        </is>
      </c>
      <c r="B1181" s="30" t="n">
        <v>86628422</v>
      </c>
      <c r="C1181" s="30">
        <f>"11302511000265"</f>
        <v/>
      </c>
      <c r="D1181" s="30" t="inlineStr">
        <is>
          <t>BRASIL - TRANSPORTADORA E SERVICOS DE CONSTRUCAO LTDA ME</t>
        </is>
      </c>
      <c r="E1181" s="40" t="n">
        <v>0</v>
      </c>
      <c r="F1181" s="40" t="n">
        <v>0</v>
      </c>
      <c r="G1181" s="40" t="n">
        <v>0</v>
      </c>
      <c r="H1181" s="40" t="n">
        <v>0</v>
      </c>
      <c r="I1181" s="40" t="n">
        <v>0</v>
      </c>
      <c r="J1181" s="40" t="n">
        <v>0</v>
      </c>
      <c r="K1181" s="40" t="n">
        <v>0</v>
      </c>
      <c r="L1181" s="40" t="n">
        <v>0</v>
      </c>
      <c r="M1181" s="40" t="n">
        <v>0</v>
      </c>
      <c r="N1181" s="40" t="n">
        <v>0</v>
      </c>
      <c r="O1181" s="40" t="n">
        <v>0</v>
      </c>
      <c r="P1181" s="40" t="n">
        <v>0</v>
      </c>
      <c r="Q1181" s="40" t="n">
        <v>0</v>
      </c>
      <c r="R1181" s="47" t="n"/>
      <c r="S1181" s="47" t="n"/>
      <c r="T1181" s="47" t="n"/>
      <c r="U1181" s="47" t="n"/>
      <c r="V1181" s="47" t="n"/>
      <c r="W1181" s="47" t="n"/>
    </row>
    <row r="1182" ht="11.25" customHeight="1">
      <c r="A1182" s="30" t="inlineStr">
        <is>
          <t>Itaguai</t>
        </is>
      </c>
      <c r="B1182" s="30" t="n">
        <v>86641488</v>
      </c>
      <c r="C1182" s="30">
        <f>"19788547000121"</f>
        <v/>
      </c>
      <c r="D1182" s="30" t="inlineStr">
        <is>
          <t>VIANA FIRE INSTALACOES COMERCIO E SERVICOS EIRELI</t>
        </is>
      </c>
      <c r="E1182" s="40" t="n">
        <v>0</v>
      </c>
      <c r="F1182" s="40" t="n">
        <v>0</v>
      </c>
      <c r="G1182" s="40" t="n">
        <v>0</v>
      </c>
      <c r="H1182" s="40" t="n">
        <v>0</v>
      </c>
      <c r="I1182" s="40" t="n">
        <v>0</v>
      </c>
      <c r="J1182" s="40" t="n">
        <v>0</v>
      </c>
      <c r="K1182" s="40" t="n">
        <v>0</v>
      </c>
      <c r="L1182" s="40" t="n">
        <v>0</v>
      </c>
      <c r="M1182" s="40" t="n">
        <v>0</v>
      </c>
      <c r="N1182" s="40" t="n">
        <v>0</v>
      </c>
      <c r="O1182" s="40" t="n">
        <v>0</v>
      </c>
      <c r="P1182" s="40" t="n">
        <v>0</v>
      </c>
      <c r="Q1182" s="40" t="n">
        <v>0</v>
      </c>
      <c r="R1182" s="47" t="n"/>
      <c r="S1182" s="47" t="n"/>
      <c r="T1182" s="47" t="n"/>
      <c r="U1182" s="47" t="n"/>
      <c r="V1182" s="47" t="n"/>
      <c r="W1182" s="47" t="n"/>
    </row>
    <row r="1183" ht="11.25" customHeight="1">
      <c r="A1183" s="30" t="inlineStr">
        <is>
          <t>Itaguai</t>
        </is>
      </c>
      <c r="B1183" s="30" t="n">
        <v>86659069</v>
      </c>
      <c r="C1183" s="30">
        <f>"06235812000607"</f>
        <v/>
      </c>
      <c r="D1183" s="30" t="inlineStr">
        <is>
          <t>CESLOG - CESARI LOGISTICA LTDA</t>
        </is>
      </c>
      <c r="E1183" s="40" t="n">
        <v>45277.87</v>
      </c>
      <c r="F1183" s="40" t="n">
        <v>62763.38</v>
      </c>
      <c r="G1183" s="40" t="n">
        <v>38.62</v>
      </c>
      <c r="H1183" s="40" t="n">
        <v>56880.4</v>
      </c>
      <c r="I1183" s="46" t="n">
        <v>-9.369999999999999</v>
      </c>
      <c r="J1183" s="40" t="n">
        <v>21359.29</v>
      </c>
      <c r="K1183" s="46" t="n">
        <v>-62.45</v>
      </c>
      <c r="L1183" s="40" t="n">
        <v>3719.49</v>
      </c>
      <c r="M1183" s="46" t="n">
        <v>-82.59</v>
      </c>
      <c r="N1183" s="40" t="n">
        <v>0</v>
      </c>
      <c r="O1183" s="46" t="n">
        <v>-100</v>
      </c>
      <c r="P1183" s="40" t="n">
        <v>0</v>
      </c>
      <c r="Q1183" s="40" t="n">
        <v>0</v>
      </c>
      <c r="R1183" s="47" t="n"/>
      <c r="S1183" s="47" t="n"/>
      <c r="T1183" s="47" t="n"/>
      <c r="U1183" s="47" t="n"/>
      <c r="V1183" s="47" t="n"/>
      <c r="W1183" s="47" t="n"/>
    </row>
    <row r="1184" ht="11.25" customHeight="1">
      <c r="A1184" s="30" t="inlineStr">
        <is>
          <t>Itaguai</t>
        </is>
      </c>
      <c r="B1184" s="30" t="n">
        <v>86660121</v>
      </c>
      <c r="C1184" s="30">
        <f>"19964194000173"</f>
        <v/>
      </c>
      <c r="D1184" s="30" t="inlineStr">
        <is>
          <t>COMERCIO DE CARNES E DERIVADOS JCA EIRELI</t>
        </is>
      </c>
      <c r="E1184" s="40" t="n">
        <v>1948243.99</v>
      </c>
      <c r="F1184" s="40" t="n">
        <v>0</v>
      </c>
      <c r="G1184" s="46" t="n">
        <v>-100</v>
      </c>
      <c r="H1184" s="40" t="n">
        <v>0</v>
      </c>
      <c r="I1184" s="40" t="n">
        <v>0</v>
      </c>
      <c r="J1184" s="40" t="n">
        <v>0</v>
      </c>
      <c r="K1184" s="40" t="n">
        <v>0</v>
      </c>
      <c r="L1184" s="40" t="n">
        <v>0</v>
      </c>
      <c r="M1184" s="40" t="n">
        <v>0</v>
      </c>
      <c r="N1184" s="40" t="n">
        <v>0</v>
      </c>
      <c r="O1184" s="40" t="n">
        <v>0</v>
      </c>
      <c r="P1184" s="40" t="n">
        <v>0</v>
      </c>
      <c r="Q1184" s="40" t="n">
        <v>0</v>
      </c>
      <c r="R1184" s="47" t="n"/>
      <c r="S1184" s="47" t="n"/>
      <c r="T1184" s="47" t="n"/>
      <c r="U1184" s="47" t="n"/>
      <c r="V1184" s="47" t="n"/>
      <c r="W1184" s="47" t="n"/>
    </row>
    <row r="1185" ht="11.25" customHeight="1">
      <c r="A1185" s="30" t="inlineStr">
        <is>
          <t>Itaguai</t>
        </is>
      </c>
      <c r="B1185" s="30" t="n">
        <v>86665913</v>
      </c>
      <c r="C1185" s="30">
        <f>"19727878000313"</f>
        <v/>
      </c>
      <c r="D1185" s="30" t="inlineStr">
        <is>
          <t>TOPCARGAS LOGISTICA E TRANSPORTE RODOVIARIO LTDA</t>
        </is>
      </c>
      <c r="E1185" s="40" t="n">
        <v>0</v>
      </c>
      <c r="F1185" s="40" t="n">
        <v>0</v>
      </c>
      <c r="G1185" s="40" t="n">
        <v>0</v>
      </c>
      <c r="H1185" s="40" t="n">
        <v>312.1</v>
      </c>
      <c r="I1185" s="40" t="n">
        <v>100</v>
      </c>
      <c r="J1185" s="40" t="n">
        <v>0</v>
      </c>
      <c r="K1185" s="46" t="n">
        <v>-100</v>
      </c>
      <c r="L1185" s="40" t="n">
        <v>0</v>
      </c>
      <c r="M1185" s="40" t="n">
        <v>0</v>
      </c>
      <c r="N1185" s="40" t="n">
        <v>0</v>
      </c>
      <c r="O1185" s="40" t="n">
        <v>0</v>
      </c>
      <c r="P1185" s="40" t="n">
        <v>0</v>
      </c>
      <c r="Q1185" s="40" t="n">
        <v>0</v>
      </c>
      <c r="R1185" s="47" t="n"/>
      <c r="S1185" s="47" t="n"/>
      <c r="T1185" s="47" t="n"/>
      <c r="U1185" s="47" t="n"/>
      <c r="V1185" s="47" t="n"/>
      <c r="W1185" s="47" t="n"/>
    </row>
    <row r="1186" ht="11.25" customHeight="1">
      <c r="A1186" s="30" t="inlineStr">
        <is>
          <t>Itaguai</t>
        </is>
      </c>
      <c r="B1186" s="30" t="n">
        <v>86670038</v>
      </c>
      <c r="C1186" s="30">
        <f>"20063065000193"</f>
        <v/>
      </c>
      <c r="D1186" s="30" t="inlineStr">
        <is>
          <t>D &amp; J PRADO SERVICOS DE TRANSPORTES LTDA ME</t>
        </is>
      </c>
      <c r="E1186" s="40" t="n">
        <v>0</v>
      </c>
      <c r="F1186" s="40" t="n">
        <v>0</v>
      </c>
      <c r="G1186" s="40" t="n">
        <v>0</v>
      </c>
      <c r="H1186" s="40" t="n">
        <v>3180</v>
      </c>
      <c r="I1186" s="40" t="n">
        <v>100</v>
      </c>
      <c r="J1186" s="40" t="n">
        <v>0</v>
      </c>
      <c r="K1186" s="46" t="n">
        <v>-100</v>
      </c>
      <c r="L1186" s="40" t="n">
        <v>0</v>
      </c>
      <c r="M1186" s="40" t="n">
        <v>0</v>
      </c>
      <c r="N1186" s="40" t="n">
        <v>0</v>
      </c>
      <c r="O1186" s="40" t="n">
        <v>0</v>
      </c>
      <c r="P1186" s="40" t="n">
        <v>0</v>
      </c>
      <c r="Q1186" s="40" t="n">
        <v>0</v>
      </c>
      <c r="R1186" s="47" t="n"/>
      <c r="S1186" s="47" t="n"/>
      <c r="T1186" s="47" t="n"/>
      <c r="U1186" s="47" t="n"/>
      <c r="V1186" s="47" t="n"/>
      <c r="W1186" s="47" t="n"/>
    </row>
    <row r="1187" ht="11.25" customHeight="1">
      <c r="A1187" s="30" t="inlineStr">
        <is>
          <t>Itaguai</t>
        </is>
      </c>
      <c r="B1187" s="30" t="n">
        <v>86678020</v>
      </c>
      <c r="C1187" s="30">
        <f>"02743895000694"</f>
        <v/>
      </c>
      <c r="D1187" s="30" t="inlineStr">
        <is>
          <t>WEST AIR CARGO LTDA</t>
        </is>
      </c>
      <c r="E1187" s="40" t="n">
        <v>0</v>
      </c>
      <c r="F1187" s="40" t="n">
        <v>0</v>
      </c>
      <c r="G1187" s="40" t="n">
        <v>0</v>
      </c>
      <c r="H1187" s="40" t="n">
        <v>0</v>
      </c>
      <c r="I1187" s="40" t="n">
        <v>0</v>
      </c>
      <c r="J1187" s="40" t="n">
        <v>0</v>
      </c>
      <c r="K1187" s="40" t="n">
        <v>0</v>
      </c>
      <c r="L1187" s="40" t="n">
        <v>0</v>
      </c>
      <c r="M1187" s="40" t="n">
        <v>0</v>
      </c>
      <c r="N1187" s="40" t="n">
        <v>10758.03</v>
      </c>
      <c r="O1187" s="40" t="n">
        <v>100</v>
      </c>
      <c r="P1187" s="40" t="n">
        <v>0</v>
      </c>
      <c r="Q1187" s="46" t="n">
        <v>-100</v>
      </c>
      <c r="R1187" s="47" t="n"/>
      <c r="S1187" s="47" t="n"/>
      <c r="T1187" s="47" t="n"/>
      <c r="U1187" s="47" t="n"/>
      <c r="V1187" s="47" t="n"/>
      <c r="W1187" s="47" t="n"/>
    </row>
    <row r="1188" ht="11.25" customHeight="1">
      <c r="A1188" s="30" t="inlineStr">
        <is>
          <t>Itaguai</t>
        </is>
      </c>
      <c r="B1188" s="30" t="n">
        <v>86679787</v>
      </c>
      <c r="C1188" s="30">
        <f>"20164910000117"</f>
        <v/>
      </c>
      <c r="D1188" s="30" t="inlineStr">
        <is>
          <t>VISTA ALEGRE COMERCIO DE GAS LTDA ME</t>
        </is>
      </c>
      <c r="E1188" s="40" t="n">
        <v>271411.67</v>
      </c>
      <c r="F1188" s="40" t="n">
        <v>0</v>
      </c>
      <c r="G1188" s="46" t="n">
        <v>-100</v>
      </c>
      <c r="H1188" s="40" t="n">
        <v>0</v>
      </c>
      <c r="I1188" s="40" t="n">
        <v>0</v>
      </c>
      <c r="J1188" s="40" t="n">
        <v>0</v>
      </c>
      <c r="K1188" s="40" t="n">
        <v>0</v>
      </c>
      <c r="L1188" s="40" t="n">
        <v>20</v>
      </c>
      <c r="M1188" s="40" t="n">
        <v>100</v>
      </c>
      <c r="N1188" s="40" t="n">
        <v>0</v>
      </c>
      <c r="O1188" s="46" t="n">
        <v>-100</v>
      </c>
      <c r="P1188" s="40" t="n">
        <v>0</v>
      </c>
      <c r="Q1188" s="40" t="n">
        <v>0</v>
      </c>
      <c r="R1188" s="47" t="n"/>
      <c r="S1188" s="47" t="n"/>
      <c r="T1188" s="47" t="n"/>
      <c r="U1188" s="47" t="n"/>
      <c r="V1188" s="47" t="n"/>
      <c r="W1188" s="47" t="n"/>
    </row>
    <row r="1189" ht="11.25" customHeight="1">
      <c r="A1189" s="30" t="inlineStr">
        <is>
          <t>Itaguai</t>
        </is>
      </c>
      <c r="B1189" s="30" t="n">
        <v>86680270</v>
      </c>
      <c r="C1189" s="30">
        <f>"15334893000260"</f>
        <v/>
      </c>
      <c r="D1189" s="30" t="inlineStr">
        <is>
          <t>SERRA BRASIL TRANSPORTES LTDA</t>
        </is>
      </c>
      <c r="E1189" s="40" t="n">
        <v>0</v>
      </c>
      <c r="F1189" s="40" t="n">
        <v>0</v>
      </c>
      <c r="G1189" s="40" t="n">
        <v>0</v>
      </c>
      <c r="H1189" s="40" t="n">
        <v>0</v>
      </c>
      <c r="I1189" s="40" t="n">
        <v>0</v>
      </c>
      <c r="J1189" s="40" t="n">
        <v>2077.31</v>
      </c>
      <c r="K1189" s="40" t="n">
        <v>100</v>
      </c>
      <c r="L1189" s="40" t="n">
        <v>2458.66</v>
      </c>
      <c r="M1189" s="40" t="n">
        <v>18.36</v>
      </c>
      <c r="N1189" s="40" t="n">
        <v>754.6</v>
      </c>
      <c r="O1189" s="46" t="n">
        <v>-69.31</v>
      </c>
      <c r="P1189" s="40" t="n">
        <v>0</v>
      </c>
      <c r="Q1189" s="46" t="n">
        <v>-100</v>
      </c>
      <c r="R1189" s="47" t="n"/>
      <c r="S1189" s="47" t="n"/>
      <c r="T1189" s="47" t="n"/>
      <c r="U1189" s="47" t="n"/>
      <c r="V1189" s="47" t="n"/>
      <c r="W1189" s="47" t="n"/>
    </row>
    <row r="1190" ht="11.25" customHeight="1">
      <c r="A1190" s="30" t="inlineStr">
        <is>
          <t>Itaguai</t>
        </is>
      </c>
      <c r="B1190" s="30" t="n">
        <v>86682060</v>
      </c>
      <c r="C1190" s="30">
        <f>"07956015000339"</f>
        <v/>
      </c>
      <c r="D1190" s="30" t="inlineStr">
        <is>
          <t>MARLOG BRASIL LOGISTICA E ARMAZENAGEM LTDA</t>
        </is>
      </c>
      <c r="E1190" s="40" t="n">
        <v>0</v>
      </c>
      <c r="F1190" s="40" t="n">
        <v>0</v>
      </c>
      <c r="G1190" s="40" t="n">
        <v>0</v>
      </c>
      <c r="H1190" s="40" t="n">
        <v>0</v>
      </c>
      <c r="I1190" s="40" t="n">
        <v>0</v>
      </c>
      <c r="J1190" s="40" t="n">
        <v>0</v>
      </c>
      <c r="K1190" s="40" t="n">
        <v>0</v>
      </c>
      <c r="L1190" s="40" t="n">
        <v>96067.36</v>
      </c>
      <c r="M1190" s="40" t="n">
        <v>100</v>
      </c>
      <c r="N1190" s="40" t="n">
        <v>159835.26</v>
      </c>
      <c r="O1190" s="40" t="n">
        <v>66.38</v>
      </c>
      <c r="P1190" s="40" t="n">
        <v>0</v>
      </c>
      <c r="Q1190" s="46" t="n">
        <v>-100</v>
      </c>
      <c r="R1190" s="47" t="n"/>
      <c r="S1190" s="47" t="n"/>
      <c r="T1190" s="47" t="n"/>
      <c r="U1190" s="47" t="n"/>
      <c r="V1190" s="47" t="n"/>
      <c r="W1190" s="47" t="n"/>
    </row>
    <row r="1191" ht="11.25" customHeight="1">
      <c r="A1191" s="30" t="inlineStr">
        <is>
          <t>Itaguai</t>
        </is>
      </c>
      <c r="B1191" s="30" t="n">
        <v>86682320</v>
      </c>
      <c r="C1191" s="30">
        <f>"20165373000120"</f>
        <v/>
      </c>
      <c r="D1191" s="30" t="inlineStr">
        <is>
          <t>COSTA MATA ENTREPOSTO DE PESCADOS LTDA EPP</t>
        </is>
      </c>
      <c r="E1191" s="40" t="n">
        <v>0</v>
      </c>
      <c r="F1191" s="40" t="n">
        <v>0</v>
      </c>
      <c r="G1191" s="40" t="n">
        <v>0</v>
      </c>
      <c r="H1191" s="40" t="n">
        <v>128877.7</v>
      </c>
      <c r="I1191" s="40" t="n">
        <v>100</v>
      </c>
      <c r="J1191" s="40" t="n">
        <v>0</v>
      </c>
      <c r="K1191" s="46" t="n">
        <v>-100</v>
      </c>
      <c r="L1191" s="40" t="n">
        <v>0</v>
      </c>
      <c r="M1191" s="40" t="n">
        <v>0</v>
      </c>
      <c r="N1191" s="40" t="n">
        <v>0</v>
      </c>
      <c r="O1191" s="40" t="n">
        <v>0</v>
      </c>
      <c r="P1191" s="40" t="n">
        <v>0</v>
      </c>
      <c r="Q1191" s="40" t="n">
        <v>0</v>
      </c>
      <c r="R1191" s="47" t="n"/>
      <c r="S1191" s="47" t="n"/>
      <c r="T1191" s="47" t="n"/>
      <c r="U1191" s="47" t="n"/>
      <c r="V1191" s="47" t="n"/>
      <c r="W1191" s="47" t="n"/>
    </row>
    <row r="1192" ht="11.25" customHeight="1">
      <c r="A1192" s="30" t="inlineStr">
        <is>
          <t>Itaguai</t>
        </is>
      </c>
      <c r="B1192" s="30" t="n">
        <v>86686783</v>
      </c>
      <c r="C1192" s="30">
        <f>"19275618000516"</f>
        <v/>
      </c>
      <c r="D1192" s="30" t="inlineStr">
        <is>
          <t>INOVA LOGISTICA INTEGRADA LTDA</t>
        </is>
      </c>
      <c r="E1192" s="40" t="n">
        <v>0</v>
      </c>
      <c r="F1192" s="40" t="n">
        <v>0</v>
      </c>
      <c r="G1192" s="40" t="n">
        <v>0</v>
      </c>
      <c r="H1192" s="40" t="n">
        <v>0</v>
      </c>
      <c r="I1192" s="40" t="n">
        <v>0</v>
      </c>
      <c r="J1192" s="40" t="n">
        <v>0</v>
      </c>
      <c r="K1192" s="40" t="n">
        <v>0</v>
      </c>
      <c r="L1192" s="40" t="n">
        <v>2.17</v>
      </c>
      <c r="M1192" s="40" t="n">
        <v>100</v>
      </c>
      <c r="N1192" s="40" t="n">
        <v>2.49</v>
      </c>
      <c r="O1192" s="40" t="n">
        <v>14.75</v>
      </c>
      <c r="P1192" s="40" t="n">
        <v>0</v>
      </c>
      <c r="Q1192" s="46" t="n">
        <v>-100</v>
      </c>
      <c r="R1192" s="47" t="n"/>
      <c r="S1192" s="47" t="n"/>
      <c r="T1192" s="47" t="n"/>
      <c r="U1192" s="47" t="n"/>
      <c r="V1192" s="47" t="n"/>
      <c r="W1192" s="47" t="n"/>
    </row>
    <row r="1193" ht="11.25" customHeight="1">
      <c r="A1193" s="30" t="inlineStr">
        <is>
          <t>Itaguai</t>
        </is>
      </c>
      <c r="B1193" s="30" t="n">
        <v>86690900</v>
      </c>
      <c r="C1193" s="30">
        <f>"19972414000100"</f>
        <v/>
      </c>
      <c r="D1193" s="30" t="inlineStr">
        <is>
          <t>M O CORREA LOPES RECICLAGEM E SERVICOS ME</t>
        </is>
      </c>
      <c r="E1193" s="40" t="n">
        <v>0</v>
      </c>
      <c r="F1193" s="40" t="n">
        <v>0</v>
      </c>
      <c r="G1193" s="40" t="n">
        <v>0</v>
      </c>
      <c r="H1193" s="40" t="n">
        <v>0</v>
      </c>
      <c r="I1193" s="40" t="n">
        <v>0</v>
      </c>
      <c r="J1193" s="40" t="n">
        <v>0</v>
      </c>
      <c r="K1193" s="40" t="n">
        <v>0</v>
      </c>
      <c r="L1193" s="40" t="n">
        <v>0</v>
      </c>
      <c r="M1193" s="40" t="n">
        <v>0</v>
      </c>
      <c r="N1193" s="40" t="n">
        <v>0</v>
      </c>
      <c r="O1193" s="40" t="n">
        <v>0</v>
      </c>
      <c r="P1193" s="40" t="n">
        <v>2216476.98</v>
      </c>
      <c r="Q1193" s="40" t="n">
        <v>100</v>
      </c>
      <c r="R1193" s="47" t="n"/>
      <c r="S1193" s="47" t="n"/>
      <c r="T1193" s="47" t="n"/>
      <c r="U1193" s="47" t="n"/>
      <c r="V1193" s="47" t="n"/>
      <c r="W1193" s="47" t="n"/>
    </row>
    <row r="1194" ht="11.25" customHeight="1">
      <c r="A1194" s="30" t="inlineStr">
        <is>
          <t>Itaguai</t>
        </is>
      </c>
      <c r="B1194" s="30" t="n">
        <v>86691280</v>
      </c>
      <c r="C1194" s="30">
        <f>"04822971000178"</f>
        <v/>
      </c>
      <c r="D1194" s="30" t="inlineStr">
        <is>
          <t>RIO MAR LTDA EPP</t>
        </is>
      </c>
      <c r="E1194" s="40" t="n">
        <v>0</v>
      </c>
      <c r="F1194" s="40" t="n">
        <v>0</v>
      </c>
      <c r="G1194" s="40" t="n">
        <v>0</v>
      </c>
      <c r="H1194" s="40" t="n">
        <v>0</v>
      </c>
      <c r="I1194" s="40" t="n">
        <v>0</v>
      </c>
      <c r="J1194" s="40" t="n">
        <v>0</v>
      </c>
      <c r="K1194" s="40" t="n">
        <v>0</v>
      </c>
      <c r="L1194" s="40" t="n">
        <v>0</v>
      </c>
      <c r="M1194" s="40" t="n">
        <v>0</v>
      </c>
      <c r="N1194" s="40" t="n">
        <v>0</v>
      </c>
      <c r="O1194" s="40" t="n">
        <v>0</v>
      </c>
      <c r="P1194" s="40" t="n">
        <v>236422.4</v>
      </c>
      <c r="Q1194" s="40" t="n">
        <v>100</v>
      </c>
      <c r="R1194" s="47" t="n"/>
      <c r="S1194" s="47" t="n"/>
      <c r="T1194" s="47" t="n"/>
      <c r="U1194" s="47" t="n"/>
      <c r="V1194" s="47" t="n"/>
      <c r="W1194" s="47" t="n"/>
    </row>
    <row r="1195" ht="11.25" customHeight="1">
      <c r="A1195" s="30" t="inlineStr">
        <is>
          <t>Itaguai</t>
        </is>
      </c>
      <c r="B1195" s="30" t="n">
        <v>86700174</v>
      </c>
      <c r="C1195" s="30">
        <f>"20251370000109"</f>
        <v/>
      </c>
      <c r="D1195" s="30" t="inlineStr">
        <is>
          <t>VIEIRA E MORAES TURISMO E TRANSPORTE LTDA</t>
        </is>
      </c>
      <c r="E1195" s="40" t="n">
        <v>250</v>
      </c>
      <c r="F1195" s="40" t="n">
        <v>0</v>
      </c>
      <c r="G1195" s="46" t="n">
        <v>-100</v>
      </c>
      <c r="H1195" s="40" t="n">
        <v>0</v>
      </c>
      <c r="I1195" s="40" t="n">
        <v>0</v>
      </c>
      <c r="J1195" s="40" t="n">
        <v>0</v>
      </c>
      <c r="K1195" s="40" t="n">
        <v>0</v>
      </c>
      <c r="L1195" s="40" t="n">
        <v>0</v>
      </c>
      <c r="M1195" s="40" t="n">
        <v>0</v>
      </c>
      <c r="N1195" s="40" t="n">
        <v>0</v>
      </c>
      <c r="O1195" s="40" t="n">
        <v>0</v>
      </c>
      <c r="P1195" s="40" t="n">
        <v>0</v>
      </c>
      <c r="Q1195" s="40" t="n">
        <v>0</v>
      </c>
      <c r="R1195" s="47" t="n"/>
      <c r="S1195" s="47" t="n"/>
      <c r="T1195" s="47" t="n"/>
      <c r="U1195" s="47" t="n"/>
      <c r="V1195" s="47" t="n"/>
      <c r="W1195" s="47" t="n"/>
    </row>
    <row r="1196" ht="11.25" customHeight="1">
      <c r="A1196" s="30" t="inlineStr">
        <is>
          <t>Itaguai</t>
        </is>
      </c>
      <c r="B1196" s="30" t="n">
        <v>86718774</v>
      </c>
      <c r="C1196" s="30">
        <f>"30689889000550"</f>
        <v/>
      </c>
      <c r="D1196" s="30" t="inlineStr">
        <is>
          <t>TRANSPORTES POLONI LTDA</t>
        </is>
      </c>
      <c r="E1196" s="40" t="n">
        <v>0</v>
      </c>
      <c r="F1196" s="40" t="n">
        <v>0</v>
      </c>
      <c r="G1196" s="40" t="n">
        <v>0</v>
      </c>
      <c r="H1196" s="40" t="n">
        <v>0</v>
      </c>
      <c r="I1196" s="40" t="n">
        <v>0</v>
      </c>
      <c r="J1196" s="40" t="n">
        <v>1700</v>
      </c>
      <c r="K1196" s="40" t="n">
        <v>100</v>
      </c>
      <c r="L1196" s="40" t="n">
        <v>0</v>
      </c>
      <c r="M1196" s="46" t="n">
        <v>-100</v>
      </c>
      <c r="N1196" s="40" t="n">
        <v>0</v>
      </c>
      <c r="O1196" s="40" t="n">
        <v>0</v>
      </c>
      <c r="P1196" s="40" t="n">
        <v>0</v>
      </c>
      <c r="Q1196" s="40" t="n">
        <v>0</v>
      </c>
      <c r="R1196" s="47" t="n"/>
      <c r="S1196" s="47" t="n"/>
      <c r="T1196" s="47" t="n"/>
      <c r="U1196" s="47" t="n"/>
      <c r="V1196" s="47" t="n"/>
      <c r="W1196" s="47" t="n"/>
    </row>
    <row r="1197" ht="11.25" customHeight="1">
      <c r="A1197" s="30" t="inlineStr">
        <is>
          <t>Itaguai</t>
        </is>
      </c>
      <c r="B1197" s="30" t="n">
        <v>86721031</v>
      </c>
      <c r="C1197" s="30">
        <f>"07017993000153"</f>
        <v/>
      </c>
      <c r="D1197" s="30" t="inlineStr">
        <is>
          <t>L C ANTONIO COMERCIO DE PNEUS E PECAS</t>
        </is>
      </c>
      <c r="E1197" s="40" t="n">
        <v>0</v>
      </c>
      <c r="F1197" s="40" t="n">
        <v>0</v>
      </c>
      <c r="G1197" s="40" t="n">
        <v>0</v>
      </c>
      <c r="H1197" s="40" t="n">
        <v>0</v>
      </c>
      <c r="I1197" s="40" t="n">
        <v>0</v>
      </c>
      <c r="J1197" s="40" t="n">
        <v>0</v>
      </c>
      <c r="K1197" s="40" t="n">
        <v>0</v>
      </c>
      <c r="L1197" s="40" t="n">
        <v>0</v>
      </c>
      <c r="M1197" s="40" t="n">
        <v>0</v>
      </c>
      <c r="N1197" s="40" t="n">
        <v>0</v>
      </c>
      <c r="O1197" s="40" t="n">
        <v>0</v>
      </c>
      <c r="P1197" s="40" t="n">
        <v>0</v>
      </c>
      <c r="Q1197" s="40" t="n">
        <v>0</v>
      </c>
      <c r="R1197" s="47" t="n"/>
      <c r="S1197" s="47" t="n"/>
      <c r="T1197" s="47" t="n"/>
      <c r="U1197" s="47" t="n"/>
      <c r="V1197" s="47" t="n"/>
      <c r="W1197" s="47" t="n"/>
    </row>
    <row r="1198" ht="11.25" customHeight="1">
      <c r="A1198" s="30" t="inlineStr">
        <is>
          <t>Itaguai</t>
        </is>
      </c>
      <c r="B1198" s="30" t="n">
        <v>86721112</v>
      </c>
      <c r="C1198" s="30">
        <f>"20542207000103"</f>
        <v/>
      </c>
      <c r="D1198" s="30" t="inlineStr">
        <is>
          <t>MS SERVICOS DE APOIO MARITIMO E TURISMO EIRELI EPP</t>
        </is>
      </c>
      <c r="E1198" s="40" t="n">
        <v>0</v>
      </c>
      <c r="F1198" s="40" t="n">
        <v>0</v>
      </c>
      <c r="G1198" s="40" t="n">
        <v>0</v>
      </c>
      <c r="H1198" s="40" t="n">
        <v>0</v>
      </c>
      <c r="I1198" s="40" t="n">
        <v>0</v>
      </c>
      <c r="J1198" s="40" t="n">
        <v>0</v>
      </c>
      <c r="K1198" s="40" t="n">
        <v>0</v>
      </c>
      <c r="L1198" s="40" t="n">
        <v>0</v>
      </c>
      <c r="M1198" s="40" t="n">
        <v>0</v>
      </c>
      <c r="N1198" s="40" t="n">
        <v>0</v>
      </c>
      <c r="O1198" s="40" t="n">
        <v>0</v>
      </c>
      <c r="P1198" s="40" t="n">
        <v>0</v>
      </c>
      <c r="Q1198" s="40" t="n">
        <v>0</v>
      </c>
      <c r="R1198" s="47" t="n"/>
      <c r="S1198" s="47" t="n"/>
      <c r="T1198" s="47" t="n"/>
      <c r="U1198" s="47" t="n"/>
      <c r="V1198" s="47" t="n"/>
      <c r="W1198" s="47" t="n"/>
    </row>
    <row r="1199" ht="11.25" customHeight="1">
      <c r="A1199" s="30" t="inlineStr">
        <is>
          <t>Itaguai</t>
        </is>
      </c>
      <c r="B1199" s="30" t="n">
        <v>86722887</v>
      </c>
      <c r="C1199" s="30">
        <f>"20511491000142"</f>
        <v/>
      </c>
      <c r="D1199" s="30" t="inlineStr">
        <is>
          <t>REMIL - RETIFICA DE MOTORES ITAGUAI LTDA</t>
        </is>
      </c>
      <c r="E1199" s="40" t="n">
        <v>0</v>
      </c>
      <c r="F1199" s="40" t="n">
        <v>0</v>
      </c>
      <c r="G1199" s="40" t="n">
        <v>0</v>
      </c>
      <c r="H1199" s="40" t="n">
        <v>0</v>
      </c>
      <c r="I1199" s="40" t="n">
        <v>0</v>
      </c>
      <c r="J1199" s="40" t="n">
        <v>0</v>
      </c>
      <c r="K1199" s="40" t="n">
        <v>0</v>
      </c>
      <c r="L1199" s="40" t="n">
        <v>0</v>
      </c>
      <c r="M1199" s="40" t="n">
        <v>0</v>
      </c>
      <c r="N1199" s="40" t="n">
        <v>0</v>
      </c>
      <c r="O1199" s="40" t="n">
        <v>0</v>
      </c>
      <c r="P1199" s="40" t="n">
        <v>0</v>
      </c>
      <c r="Q1199" s="40" t="n">
        <v>0</v>
      </c>
      <c r="R1199" s="47" t="n"/>
      <c r="S1199" s="47" t="n"/>
      <c r="T1199" s="47" t="n"/>
      <c r="U1199" s="47" t="n"/>
      <c r="V1199" s="47" t="n"/>
      <c r="W1199" s="47" t="n"/>
    </row>
    <row r="1200" ht="11.25" customHeight="1">
      <c r="A1200" s="30" t="inlineStr">
        <is>
          <t>Itaguai</t>
        </is>
      </c>
      <c r="B1200" s="30" t="n">
        <v>86724081</v>
      </c>
      <c r="C1200" s="30">
        <f>"20412721000116"</f>
        <v/>
      </c>
      <c r="D1200" s="30" t="inlineStr">
        <is>
          <t>HTM LOCAÇÃO TRANSPORTE E LOGÍSTICA EIRELI</t>
        </is>
      </c>
      <c r="E1200" s="40" t="n">
        <v>0</v>
      </c>
      <c r="F1200" s="40" t="n">
        <v>0</v>
      </c>
      <c r="G1200" s="40" t="n">
        <v>0</v>
      </c>
      <c r="H1200" s="40" t="n">
        <v>0</v>
      </c>
      <c r="I1200" s="40" t="n">
        <v>0</v>
      </c>
      <c r="J1200" s="40" t="n">
        <v>0</v>
      </c>
      <c r="K1200" s="40" t="n">
        <v>0</v>
      </c>
      <c r="L1200" s="40" t="n">
        <v>0</v>
      </c>
      <c r="M1200" s="40" t="n">
        <v>0</v>
      </c>
      <c r="N1200" s="40" t="n">
        <v>1188.44</v>
      </c>
      <c r="O1200" s="40" t="n">
        <v>100</v>
      </c>
      <c r="P1200" s="40" t="n">
        <v>0</v>
      </c>
      <c r="Q1200" s="46" t="n">
        <v>-100</v>
      </c>
      <c r="R1200" s="47" t="n"/>
      <c r="S1200" s="47" t="n"/>
      <c r="T1200" s="47" t="n"/>
      <c r="U1200" s="47" t="n"/>
      <c r="V1200" s="47" t="n"/>
      <c r="W1200" s="47" t="n"/>
    </row>
    <row r="1201" ht="11.25" customHeight="1">
      <c r="A1201" s="30" t="inlineStr">
        <is>
          <t>Itaguai</t>
        </is>
      </c>
      <c r="B1201" s="30" t="n">
        <v>86725223</v>
      </c>
      <c r="C1201" s="30">
        <f>"09554862000130"</f>
        <v/>
      </c>
      <c r="D1201" s="30" t="inlineStr">
        <is>
          <t>ITAGUAI DESMONTE DE ROCHA LTDA</t>
        </is>
      </c>
      <c r="E1201" s="40" t="n">
        <v>0</v>
      </c>
      <c r="F1201" s="40" t="n">
        <v>0</v>
      </c>
      <c r="G1201" s="40" t="n">
        <v>0</v>
      </c>
      <c r="H1201" s="40" t="n">
        <v>0</v>
      </c>
      <c r="I1201" s="40" t="n">
        <v>0</v>
      </c>
      <c r="J1201" s="40" t="n">
        <v>0</v>
      </c>
      <c r="K1201" s="40" t="n">
        <v>0</v>
      </c>
      <c r="L1201" s="40" t="n">
        <v>0</v>
      </c>
      <c r="M1201" s="40" t="n">
        <v>0</v>
      </c>
      <c r="N1201" s="40" t="n">
        <v>0</v>
      </c>
      <c r="O1201" s="40" t="n">
        <v>0</v>
      </c>
      <c r="P1201" s="40" t="n">
        <v>0</v>
      </c>
      <c r="Q1201" s="40" t="n">
        <v>0</v>
      </c>
      <c r="R1201" s="47" t="n"/>
      <c r="S1201" s="47" t="n"/>
      <c r="T1201" s="47" t="n"/>
      <c r="U1201" s="47" t="n"/>
      <c r="V1201" s="47" t="n"/>
      <c r="W1201" s="47" t="n"/>
    </row>
    <row r="1202" ht="11.25" customHeight="1">
      <c r="A1202" s="30" t="inlineStr">
        <is>
          <t>Itaguai</t>
        </is>
      </c>
      <c r="B1202" s="30" t="n">
        <v>86728915</v>
      </c>
      <c r="C1202" s="30">
        <f>"20632141000134"</f>
        <v/>
      </c>
      <c r="D1202" s="30" t="inlineStr">
        <is>
          <t>TRANSPORTADORA EXPRESSO ELOIM EIRELI ME</t>
        </is>
      </c>
      <c r="E1202" s="40" t="n">
        <v>0</v>
      </c>
      <c r="F1202" s="40" t="n">
        <v>0</v>
      </c>
      <c r="G1202" s="40" t="n">
        <v>0</v>
      </c>
      <c r="H1202" s="40" t="n">
        <v>0</v>
      </c>
      <c r="I1202" s="40" t="n">
        <v>0</v>
      </c>
      <c r="J1202" s="40" t="n">
        <v>0</v>
      </c>
      <c r="K1202" s="40" t="n">
        <v>0</v>
      </c>
      <c r="L1202" s="40" t="n">
        <v>0</v>
      </c>
      <c r="M1202" s="40" t="n">
        <v>0</v>
      </c>
      <c r="N1202" s="40" t="n">
        <v>0</v>
      </c>
      <c r="O1202" s="40" t="n">
        <v>0</v>
      </c>
      <c r="P1202" s="40" t="n">
        <v>350</v>
      </c>
      <c r="Q1202" s="40" t="n">
        <v>100</v>
      </c>
      <c r="R1202" s="47" t="n"/>
      <c r="S1202" s="47" t="n"/>
      <c r="T1202" s="47" t="n"/>
      <c r="U1202" s="47" t="n"/>
      <c r="V1202" s="47" t="n"/>
      <c r="W1202" s="47" t="n"/>
    </row>
    <row r="1203" ht="11.25" customHeight="1">
      <c r="A1203" s="30" t="inlineStr">
        <is>
          <t>Itaguai</t>
        </is>
      </c>
      <c r="B1203" s="30" t="n">
        <v>86736314</v>
      </c>
      <c r="C1203" s="30">
        <f>"12200343000189"</f>
        <v/>
      </c>
      <c r="D1203" s="30" t="inlineStr">
        <is>
          <t>PC DE SOUSA RESTAURANTE - ME</t>
        </is>
      </c>
      <c r="E1203" s="40" t="n">
        <v>92835.3</v>
      </c>
      <c r="F1203" s="40" t="n">
        <v>0</v>
      </c>
      <c r="G1203" s="46" t="n">
        <v>-100</v>
      </c>
      <c r="H1203" s="40" t="n">
        <v>0</v>
      </c>
      <c r="I1203" s="40" t="n">
        <v>0</v>
      </c>
      <c r="J1203" s="40" t="n">
        <v>0</v>
      </c>
      <c r="K1203" s="40" t="n">
        <v>0</v>
      </c>
      <c r="L1203" s="40" t="n">
        <v>0</v>
      </c>
      <c r="M1203" s="40" t="n">
        <v>0</v>
      </c>
      <c r="N1203" s="40" t="n">
        <v>0</v>
      </c>
      <c r="O1203" s="40" t="n">
        <v>0</v>
      </c>
      <c r="P1203" s="40" t="n">
        <v>0</v>
      </c>
      <c r="Q1203" s="40" t="n">
        <v>0</v>
      </c>
      <c r="R1203" s="47" t="n"/>
      <c r="S1203" s="47" t="n"/>
      <c r="T1203" s="47" t="n"/>
      <c r="U1203" s="47" t="n"/>
      <c r="V1203" s="47" t="n"/>
      <c r="W1203" s="47" t="n"/>
    </row>
    <row r="1204" ht="11.25" customHeight="1">
      <c r="A1204" s="30" t="inlineStr">
        <is>
          <t>Itaguai</t>
        </is>
      </c>
      <c r="B1204" s="30" t="n">
        <v>86741407</v>
      </c>
      <c r="C1204" s="30">
        <f>"05053441005053"</f>
        <v/>
      </c>
      <c r="D1204" s="30" t="inlineStr">
        <is>
          <t>RASTRECALL REPRESENTACOES COMERCIAIS DE TELECOMUNICACOES LTDA</t>
        </is>
      </c>
      <c r="E1204" s="40" t="n">
        <v>648482.1</v>
      </c>
      <c r="F1204" s="40" t="n">
        <v>322426.73</v>
      </c>
      <c r="G1204" s="46" t="n">
        <v>-50.28</v>
      </c>
      <c r="H1204" s="40" t="n">
        <v>423935.74</v>
      </c>
      <c r="I1204" s="40" t="n">
        <v>31.48</v>
      </c>
      <c r="J1204" s="40" t="n">
        <v>528527.38</v>
      </c>
      <c r="K1204" s="40" t="n">
        <v>24.67</v>
      </c>
      <c r="L1204" s="40" t="n">
        <v>159364.94</v>
      </c>
      <c r="M1204" s="46" t="n">
        <v>-69.84999999999999</v>
      </c>
      <c r="N1204" s="40" t="n">
        <v>116690.36</v>
      </c>
      <c r="O1204" s="46" t="n">
        <v>-26.78</v>
      </c>
      <c r="P1204" s="40" t="n">
        <v>0</v>
      </c>
      <c r="Q1204" s="46" t="n">
        <v>-100</v>
      </c>
      <c r="R1204" s="47" t="n"/>
      <c r="S1204" s="47" t="n"/>
      <c r="T1204" s="47" t="n"/>
      <c r="U1204" s="47" t="n"/>
      <c r="V1204" s="47" t="n"/>
      <c r="W1204" s="47" t="n"/>
    </row>
    <row r="1205" ht="11.25" customHeight="1">
      <c r="A1205" s="30" t="inlineStr">
        <is>
          <t>Itaguai</t>
        </is>
      </c>
      <c r="B1205" s="30" t="n">
        <v>86753375</v>
      </c>
      <c r="C1205" s="30">
        <f>"04933986000103"</f>
        <v/>
      </c>
      <c r="D1205" s="30" t="inlineStr">
        <is>
          <t>FREE ENERGY SERVICOS EIRELI</t>
        </is>
      </c>
      <c r="E1205" s="40" t="n">
        <v>0</v>
      </c>
      <c r="F1205" s="40" t="n">
        <v>0</v>
      </c>
      <c r="G1205" s="40" t="n">
        <v>0</v>
      </c>
      <c r="H1205" s="40" t="n">
        <v>0</v>
      </c>
      <c r="I1205" s="40" t="n">
        <v>0</v>
      </c>
      <c r="J1205" s="40" t="n">
        <v>0</v>
      </c>
      <c r="K1205" s="40" t="n">
        <v>0</v>
      </c>
      <c r="L1205" s="40" t="n">
        <v>0</v>
      </c>
      <c r="M1205" s="40" t="n">
        <v>0</v>
      </c>
      <c r="N1205" s="40" t="n">
        <v>0</v>
      </c>
      <c r="O1205" s="40" t="n">
        <v>0</v>
      </c>
      <c r="P1205" s="40" t="n">
        <v>0</v>
      </c>
      <c r="Q1205" s="40" t="n">
        <v>0</v>
      </c>
      <c r="R1205" s="47" t="n"/>
      <c r="S1205" s="47" t="n"/>
      <c r="T1205" s="47" t="n"/>
      <c r="U1205" s="47" t="n"/>
      <c r="V1205" s="47" t="n"/>
      <c r="W1205" s="47" t="n"/>
    </row>
    <row r="1206" ht="11.25" customHeight="1">
      <c r="A1206" s="30" t="inlineStr">
        <is>
          <t>Itaguai</t>
        </is>
      </c>
      <c r="B1206" s="30" t="n">
        <v>86755823</v>
      </c>
      <c r="C1206" s="30">
        <f>"00193687000803"</f>
        <v/>
      </c>
      <c r="D1206" s="30" t="inlineStr">
        <is>
          <t>TROCA TRANSPORTES EIRELI</t>
        </is>
      </c>
      <c r="E1206" s="40" t="n">
        <v>536.8200000000001</v>
      </c>
      <c r="F1206" s="40" t="n">
        <v>265.6</v>
      </c>
      <c r="G1206" s="46" t="n">
        <v>-50.52</v>
      </c>
      <c r="H1206" s="40" t="n">
        <v>944.2</v>
      </c>
      <c r="I1206" s="40" t="n">
        <v>255.5</v>
      </c>
      <c r="J1206" s="40" t="n">
        <v>0</v>
      </c>
      <c r="K1206" s="46" t="n">
        <v>-100</v>
      </c>
      <c r="L1206" s="40" t="n">
        <v>0</v>
      </c>
      <c r="M1206" s="40" t="n">
        <v>0</v>
      </c>
      <c r="N1206" s="40" t="n">
        <v>1441.6</v>
      </c>
      <c r="O1206" s="40" t="n">
        <v>100</v>
      </c>
      <c r="P1206" s="40" t="n">
        <v>339.32</v>
      </c>
      <c r="Q1206" s="46" t="n">
        <v>-76.45999999999999</v>
      </c>
      <c r="R1206" s="47" t="n"/>
      <c r="S1206" s="47" t="n"/>
      <c r="T1206" s="47" t="n"/>
      <c r="U1206" s="47" t="n"/>
      <c r="V1206" s="47" t="n"/>
      <c r="W1206" s="47" t="n"/>
    </row>
    <row r="1207" ht="11.25" customHeight="1">
      <c r="A1207" s="30" t="inlineStr">
        <is>
          <t>Itaguai</t>
        </is>
      </c>
      <c r="B1207" s="30" t="n">
        <v>86777401</v>
      </c>
      <c r="C1207" s="30">
        <f>"04763393000227"</f>
        <v/>
      </c>
      <c r="D1207" s="30" t="inlineStr">
        <is>
          <t>ALLI LOGISTICA INTEGRADA LTDA</t>
        </is>
      </c>
      <c r="E1207" s="40" t="n">
        <v>0</v>
      </c>
      <c r="F1207" s="40" t="n">
        <v>0</v>
      </c>
      <c r="G1207" s="40" t="n">
        <v>0</v>
      </c>
      <c r="H1207" s="40" t="n">
        <v>0</v>
      </c>
      <c r="I1207" s="40" t="n">
        <v>0</v>
      </c>
      <c r="J1207" s="40" t="n">
        <v>0</v>
      </c>
      <c r="K1207" s="40" t="n">
        <v>0</v>
      </c>
      <c r="L1207" s="40" t="n">
        <v>0</v>
      </c>
      <c r="M1207" s="40" t="n">
        <v>0</v>
      </c>
      <c r="N1207" s="40" t="n">
        <v>0</v>
      </c>
      <c r="O1207" s="40" t="n">
        <v>0</v>
      </c>
      <c r="P1207" s="40" t="n">
        <v>0</v>
      </c>
      <c r="Q1207" s="40" t="n">
        <v>0</v>
      </c>
      <c r="R1207" s="47" t="n"/>
      <c r="S1207" s="47" t="n"/>
      <c r="T1207" s="47" t="n"/>
      <c r="U1207" s="47" t="n"/>
      <c r="V1207" s="47" t="n"/>
      <c r="W1207" s="47" t="n"/>
    </row>
    <row r="1208" ht="11.25" customHeight="1">
      <c r="A1208" s="30" t="inlineStr">
        <is>
          <t>Itaguai</t>
        </is>
      </c>
      <c r="B1208" s="30" t="n">
        <v>86778238</v>
      </c>
      <c r="C1208" s="30">
        <f>"07452156001043"</f>
        <v/>
      </c>
      <c r="D1208" s="30" t="inlineStr">
        <is>
          <t>SALVADOR LOGISTICA E TRANSPORTES LTDA</t>
        </is>
      </c>
      <c r="E1208" s="40" t="n">
        <v>917594.7</v>
      </c>
      <c r="F1208" s="40" t="n">
        <v>709167.45</v>
      </c>
      <c r="G1208" s="46" t="n">
        <v>-22.71</v>
      </c>
      <c r="H1208" s="40" t="n">
        <v>0</v>
      </c>
      <c r="I1208" s="46" t="n">
        <v>-100</v>
      </c>
      <c r="J1208" s="40" t="n">
        <v>0</v>
      </c>
      <c r="K1208" s="40" t="n">
        <v>0</v>
      </c>
      <c r="L1208" s="40" t="n">
        <v>0</v>
      </c>
      <c r="M1208" s="40" t="n">
        <v>0</v>
      </c>
      <c r="N1208" s="40" t="n">
        <v>0</v>
      </c>
      <c r="O1208" s="40" t="n">
        <v>0</v>
      </c>
      <c r="P1208" s="40" t="n">
        <v>0</v>
      </c>
      <c r="Q1208" s="40" t="n">
        <v>0</v>
      </c>
      <c r="R1208" s="47" t="n"/>
      <c r="S1208" s="47" t="n"/>
      <c r="T1208" s="47" t="n"/>
      <c r="U1208" s="47" t="n"/>
      <c r="V1208" s="47" t="n"/>
      <c r="W1208" s="47" t="n"/>
    </row>
    <row r="1209" ht="11.25" customHeight="1">
      <c r="A1209" s="30" t="inlineStr">
        <is>
          <t>Itaguai</t>
        </is>
      </c>
      <c r="B1209" s="30" t="n">
        <v>86779625</v>
      </c>
      <c r="C1209" s="30">
        <f>"21004121000181"</f>
        <v/>
      </c>
      <c r="D1209" s="30" t="inlineStr">
        <is>
          <t>A C R ALVES JUNIOR ARMARINHO E BAZAR-ME</t>
        </is>
      </c>
      <c r="E1209" s="40" t="n">
        <v>0</v>
      </c>
      <c r="F1209" s="40" t="n">
        <v>0</v>
      </c>
      <c r="G1209" s="40" t="n">
        <v>0</v>
      </c>
      <c r="H1209" s="40" t="n">
        <v>0</v>
      </c>
      <c r="I1209" s="40" t="n">
        <v>0</v>
      </c>
      <c r="J1209" s="40" t="n">
        <v>0</v>
      </c>
      <c r="K1209" s="40" t="n">
        <v>0</v>
      </c>
      <c r="L1209" s="40" t="n">
        <v>0</v>
      </c>
      <c r="M1209" s="40" t="n">
        <v>0</v>
      </c>
      <c r="N1209" s="40" t="n">
        <v>0</v>
      </c>
      <c r="O1209" s="40" t="n">
        <v>0</v>
      </c>
      <c r="P1209" s="40" t="n">
        <v>0</v>
      </c>
      <c r="Q1209" s="40" t="n">
        <v>0</v>
      </c>
      <c r="R1209" s="47" t="n"/>
      <c r="S1209" s="47" t="n"/>
      <c r="T1209" s="47" t="n"/>
      <c r="U1209" s="47" t="n"/>
      <c r="V1209" s="47" t="n"/>
      <c r="W1209" s="47" t="n"/>
    </row>
    <row r="1210" ht="11.25" customHeight="1">
      <c r="A1210" s="30" t="inlineStr">
        <is>
          <t>Itaguai</t>
        </is>
      </c>
      <c r="B1210" s="30" t="n">
        <v>86780330</v>
      </c>
      <c r="C1210" s="30">
        <f>"21080792000121"</f>
        <v/>
      </c>
      <c r="D1210" s="30" t="inlineStr">
        <is>
          <t>W S JOANINI COMERCIO E SERVICOS NAUTICOS ME</t>
        </is>
      </c>
      <c r="E1210" s="40" t="n">
        <v>0</v>
      </c>
      <c r="F1210" s="40" t="n">
        <v>0</v>
      </c>
      <c r="G1210" s="40" t="n">
        <v>0</v>
      </c>
      <c r="H1210" s="40" t="n">
        <v>0</v>
      </c>
      <c r="I1210" s="40" t="n">
        <v>0</v>
      </c>
      <c r="J1210" s="40" t="n">
        <v>130200.54</v>
      </c>
      <c r="K1210" s="40" t="n">
        <v>100</v>
      </c>
      <c r="L1210" s="40" t="n">
        <v>0</v>
      </c>
      <c r="M1210" s="46" t="n">
        <v>-100</v>
      </c>
      <c r="N1210" s="40" t="n">
        <v>0</v>
      </c>
      <c r="O1210" s="40" t="n">
        <v>0</v>
      </c>
      <c r="P1210" s="40" t="n">
        <v>0</v>
      </c>
      <c r="Q1210" s="40" t="n">
        <v>0</v>
      </c>
      <c r="R1210" s="47" t="n"/>
      <c r="S1210" s="47" t="n"/>
      <c r="T1210" s="47" t="n"/>
      <c r="U1210" s="47" t="n"/>
      <c r="V1210" s="47" t="n"/>
      <c r="W1210" s="47" t="n"/>
    </row>
    <row r="1211" ht="11.25" customHeight="1">
      <c r="A1211" s="30" t="inlineStr">
        <is>
          <t>Itaguai</t>
        </is>
      </c>
      <c r="B1211" s="30" t="n">
        <v>86781930</v>
      </c>
      <c r="C1211" s="30">
        <f>"18476854000457"</f>
        <v/>
      </c>
      <c r="D1211" s="30" t="inlineStr">
        <is>
          <t>C S VIDAL - REFEICOES COLETIVAS - EIRELI ME</t>
        </is>
      </c>
      <c r="E1211" s="40" t="n">
        <v>0</v>
      </c>
      <c r="F1211" s="40" t="n">
        <v>0</v>
      </c>
      <c r="G1211" s="40" t="n">
        <v>0</v>
      </c>
      <c r="H1211" s="40" t="n">
        <v>0</v>
      </c>
      <c r="I1211" s="40" t="n">
        <v>0</v>
      </c>
      <c r="J1211" s="40" t="n">
        <v>0</v>
      </c>
      <c r="K1211" s="40" t="n">
        <v>0</v>
      </c>
      <c r="L1211" s="40" t="n">
        <v>0</v>
      </c>
      <c r="M1211" s="40" t="n">
        <v>0</v>
      </c>
      <c r="N1211" s="40" t="n">
        <v>0</v>
      </c>
      <c r="O1211" s="40" t="n">
        <v>0</v>
      </c>
      <c r="P1211" s="40" t="n">
        <v>0</v>
      </c>
      <c r="Q1211" s="40" t="n">
        <v>0</v>
      </c>
      <c r="R1211" s="47" t="n"/>
      <c r="S1211" s="47" t="n"/>
      <c r="T1211" s="47" t="n"/>
      <c r="U1211" s="47" t="n"/>
      <c r="V1211" s="47" t="n"/>
      <c r="W1211" s="47" t="n"/>
    </row>
    <row r="1212" ht="11.25" customHeight="1">
      <c r="A1212" s="30" t="inlineStr">
        <is>
          <t>Itaguai</t>
        </is>
      </c>
      <c r="B1212" s="30" t="n">
        <v>86783398</v>
      </c>
      <c r="C1212" s="30">
        <f>"07347626000207"</f>
        <v/>
      </c>
      <c r="D1212" s="30" t="inlineStr">
        <is>
          <t>FUTURA TRANSPORTES LTDA</t>
        </is>
      </c>
      <c r="E1212" s="40" t="n">
        <v>0</v>
      </c>
      <c r="F1212" s="40" t="n">
        <v>0</v>
      </c>
      <c r="G1212" s="40" t="n">
        <v>0</v>
      </c>
      <c r="H1212" s="40" t="n">
        <v>0</v>
      </c>
      <c r="I1212" s="40" t="n">
        <v>0</v>
      </c>
      <c r="J1212" s="40" t="n">
        <v>0</v>
      </c>
      <c r="K1212" s="40" t="n">
        <v>0</v>
      </c>
      <c r="L1212" s="40" t="n">
        <v>0</v>
      </c>
      <c r="M1212" s="40" t="n">
        <v>0</v>
      </c>
      <c r="N1212" s="40" t="n">
        <v>0</v>
      </c>
      <c r="O1212" s="40" t="n">
        <v>0</v>
      </c>
      <c r="P1212" s="40" t="n">
        <v>0</v>
      </c>
      <c r="Q1212" s="40" t="n">
        <v>0</v>
      </c>
      <c r="R1212" s="47" t="n"/>
      <c r="S1212" s="47" t="n"/>
      <c r="T1212" s="47" t="n"/>
      <c r="U1212" s="47" t="n"/>
      <c r="V1212" s="47" t="n"/>
      <c r="W1212" s="47" t="n"/>
    </row>
    <row r="1213" ht="11.25" customHeight="1">
      <c r="A1213" s="30" t="inlineStr">
        <is>
          <t>Itaguai</t>
        </is>
      </c>
      <c r="B1213" s="30" t="n">
        <v>86793229</v>
      </c>
      <c r="C1213" s="30">
        <f>"21185633000191"</f>
        <v/>
      </c>
      <c r="D1213" s="30" t="inlineStr">
        <is>
          <t>TRANSPORTES SOUZA ARAUJO LOGISTICA E PROJETOS LTDA</t>
        </is>
      </c>
      <c r="E1213" s="40" t="n">
        <v>0</v>
      </c>
      <c r="F1213" s="40" t="n">
        <v>0</v>
      </c>
      <c r="G1213" s="40" t="n">
        <v>0</v>
      </c>
      <c r="H1213" s="40" t="n">
        <v>0</v>
      </c>
      <c r="I1213" s="40" t="n">
        <v>0</v>
      </c>
      <c r="J1213" s="40" t="n">
        <v>0</v>
      </c>
      <c r="K1213" s="40" t="n">
        <v>0</v>
      </c>
      <c r="L1213" s="40" t="n">
        <v>0</v>
      </c>
      <c r="M1213" s="40" t="n">
        <v>0</v>
      </c>
      <c r="N1213" s="40" t="n">
        <v>9603.92</v>
      </c>
      <c r="O1213" s="40" t="n">
        <v>100</v>
      </c>
      <c r="P1213" s="40" t="n">
        <v>0</v>
      </c>
      <c r="Q1213" s="46" t="n">
        <v>-100</v>
      </c>
      <c r="R1213" s="47" t="n"/>
      <c r="S1213" s="47" t="n"/>
      <c r="T1213" s="47" t="n"/>
      <c r="U1213" s="47" t="n"/>
      <c r="V1213" s="47" t="n"/>
      <c r="W1213" s="47" t="n"/>
    </row>
    <row r="1214" ht="11.25" customHeight="1">
      <c r="A1214" s="30" t="inlineStr">
        <is>
          <t>Itaguai</t>
        </is>
      </c>
      <c r="B1214" s="30" t="n">
        <v>86803810</v>
      </c>
      <c r="C1214" s="30">
        <f>"21188698000190"</f>
        <v/>
      </c>
      <c r="D1214" s="30" t="inlineStr">
        <is>
          <t>EDSON A DOS SANTOS PEIXARIA ME</t>
        </is>
      </c>
      <c r="E1214" s="40" t="n">
        <v>0</v>
      </c>
      <c r="F1214" s="40" t="n">
        <v>0</v>
      </c>
      <c r="G1214" s="40" t="n">
        <v>0</v>
      </c>
      <c r="H1214" s="40" t="n">
        <v>0</v>
      </c>
      <c r="I1214" s="40" t="n">
        <v>0</v>
      </c>
      <c r="J1214" s="40" t="n">
        <v>0</v>
      </c>
      <c r="K1214" s="40" t="n">
        <v>0</v>
      </c>
      <c r="L1214" s="40" t="n">
        <v>0</v>
      </c>
      <c r="M1214" s="40" t="n">
        <v>0</v>
      </c>
      <c r="N1214" s="40" t="n">
        <v>0</v>
      </c>
      <c r="O1214" s="40" t="n">
        <v>0</v>
      </c>
      <c r="P1214" s="40" t="n">
        <v>0</v>
      </c>
      <c r="Q1214" s="40" t="n">
        <v>0</v>
      </c>
      <c r="R1214" s="47" t="n"/>
      <c r="S1214" s="47" t="n"/>
      <c r="T1214" s="47" t="n"/>
      <c r="U1214" s="47" t="n"/>
      <c r="V1214" s="47" t="n"/>
      <c r="W1214" s="47" t="n"/>
    </row>
    <row r="1215" ht="11.25" customHeight="1">
      <c r="A1215" s="30" t="inlineStr">
        <is>
          <t>Itaguai</t>
        </is>
      </c>
      <c r="B1215" s="30" t="n">
        <v>86806070</v>
      </c>
      <c r="C1215" s="30">
        <f>"27811892000400"</f>
        <v/>
      </c>
      <c r="D1215" s="30" t="inlineStr">
        <is>
          <t>EDURIC COMERCIO E INDUSTRIA DE ARTEFATOS DE CIMENTOS LTDA</t>
        </is>
      </c>
      <c r="E1215" s="40" t="n">
        <v>0</v>
      </c>
      <c r="F1215" s="40" t="n">
        <v>0</v>
      </c>
      <c r="G1215" s="40" t="n">
        <v>0</v>
      </c>
      <c r="H1215" s="40" t="n">
        <v>0</v>
      </c>
      <c r="I1215" s="40" t="n">
        <v>0</v>
      </c>
      <c r="J1215" s="40" t="n">
        <v>0</v>
      </c>
      <c r="K1215" s="40" t="n">
        <v>0</v>
      </c>
      <c r="L1215" s="40" t="n">
        <v>0</v>
      </c>
      <c r="M1215" s="40" t="n">
        <v>0</v>
      </c>
      <c r="N1215" s="40" t="n">
        <v>0</v>
      </c>
      <c r="O1215" s="40" t="n">
        <v>0</v>
      </c>
      <c r="P1215" s="40" t="n">
        <v>0</v>
      </c>
      <c r="Q1215" s="40" t="n">
        <v>0</v>
      </c>
      <c r="R1215" s="47" t="n"/>
      <c r="S1215" s="47" t="n"/>
      <c r="T1215" s="47" t="n"/>
      <c r="U1215" s="47" t="n"/>
      <c r="V1215" s="47" t="n"/>
      <c r="W1215" s="47" t="n"/>
    </row>
    <row r="1216" ht="11.25" customHeight="1">
      <c r="A1216" s="30" t="inlineStr">
        <is>
          <t>Itaguai</t>
        </is>
      </c>
      <c r="B1216" s="30" t="n">
        <v>86810999</v>
      </c>
      <c r="C1216" s="30">
        <f>"03867580005095"</f>
        <v/>
      </c>
      <c r="D1216" s="30" t="inlineStr">
        <is>
          <t>PRONTO EXPRESS LOGISTICA SA</t>
        </is>
      </c>
      <c r="E1216" s="40" t="n">
        <v>474.76</v>
      </c>
      <c r="F1216" s="40" t="n">
        <v>0</v>
      </c>
      <c r="G1216" s="46" t="n">
        <v>-100</v>
      </c>
      <c r="H1216" s="40" t="n">
        <v>0</v>
      </c>
      <c r="I1216" s="40" t="n">
        <v>0</v>
      </c>
      <c r="J1216" s="40" t="n">
        <v>0</v>
      </c>
      <c r="K1216" s="40" t="n">
        <v>0</v>
      </c>
      <c r="L1216" s="40" t="n">
        <v>0</v>
      </c>
      <c r="M1216" s="40" t="n">
        <v>0</v>
      </c>
      <c r="N1216" s="40" t="n">
        <v>0</v>
      </c>
      <c r="O1216" s="40" t="n">
        <v>0</v>
      </c>
      <c r="P1216" s="40" t="n">
        <v>0</v>
      </c>
      <c r="Q1216" s="40" t="n">
        <v>0</v>
      </c>
      <c r="R1216" s="47" t="n"/>
      <c r="S1216" s="47" t="n"/>
      <c r="T1216" s="47" t="n"/>
      <c r="U1216" s="47" t="n"/>
      <c r="V1216" s="47" t="n"/>
      <c r="W1216" s="47" t="n"/>
    </row>
    <row r="1217" ht="11.25" customHeight="1">
      <c r="A1217" s="30" t="inlineStr">
        <is>
          <t>Itaguai</t>
        </is>
      </c>
      <c r="B1217" s="30" t="n">
        <v>86813327</v>
      </c>
      <c r="C1217" s="30">
        <f>"31238678000211"</f>
        <v/>
      </c>
      <c r="D1217" s="30" t="inlineStr">
        <is>
          <t>MERCEARIA MARVI DE ITAGUAI LTDA</t>
        </is>
      </c>
      <c r="E1217" s="40" t="n">
        <v>712586.73</v>
      </c>
      <c r="F1217" s="40" t="n">
        <v>0</v>
      </c>
      <c r="G1217" s="46" t="n">
        <v>-100</v>
      </c>
      <c r="H1217" s="40" t="n">
        <v>0</v>
      </c>
      <c r="I1217" s="40" t="n">
        <v>0</v>
      </c>
      <c r="J1217" s="40" t="n">
        <v>0</v>
      </c>
      <c r="K1217" s="40" t="n">
        <v>0</v>
      </c>
      <c r="L1217" s="40" t="n">
        <v>0</v>
      </c>
      <c r="M1217" s="40" t="n">
        <v>0</v>
      </c>
      <c r="N1217" s="40" t="n">
        <v>0</v>
      </c>
      <c r="O1217" s="40" t="n">
        <v>0</v>
      </c>
      <c r="P1217" s="40" t="n">
        <v>0</v>
      </c>
      <c r="Q1217" s="40" t="n">
        <v>0</v>
      </c>
      <c r="R1217" s="47" t="n"/>
      <c r="S1217" s="47" t="n"/>
      <c r="T1217" s="47" t="n"/>
      <c r="U1217" s="47" t="n"/>
      <c r="V1217" s="47" t="n"/>
      <c r="W1217" s="47" t="n"/>
    </row>
    <row r="1218" ht="11.25" customHeight="1">
      <c r="A1218" s="30" t="inlineStr">
        <is>
          <t>Itaguai</t>
        </is>
      </c>
      <c r="B1218" s="30" t="n">
        <v>86822229</v>
      </c>
      <c r="C1218" s="30">
        <f>"08259544000850"</f>
        <v/>
      </c>
      <c r="D1218" s="30" t="inlineStr">
        <is>
          <t>TOPICO LOCACOES DE GALPOES E EQUIPAMENTOS PARA INDUSTRIAS S A</t>
        </is>
      </c>
      <c r="E1218" s="40" t="n">
        <v>0</v>
      </c>
      <c r="F1218" s="40" t="n">
        <v>0</v>
      </c>
      <c r="G1218" s="40" t="n">
        <v>0</v>
      </c>
      <c r="H1218" s="40" t="n">
        <v>0</v>
      </c>
      <c r="I1218" s="40" t="n">
        <v>0</v>
      </c>
      <c r="J1218" s="40" t="n">
        <v>24239.2</v>
      </c>
      <c r="K1218" s="40" t="n">
        <v>100</v>
      </c>
      <c r="L1218" s="40" t="n">
        <v>0</v>
      </c>
      <c r="M1218" s="46" t="n">
        <v>-100</v>
      </c>
      <c r="N1218" s="40" t="n">
        <v>0</v>
      </c>
      <c r="O1218" s="40" t="n">
        <v>0</v>
      </c>
      <c r="P1218" s="40" t="n">
        <v>0</v>
      </c>
      <c r="Q1218" s="40" t="n">
        <v>0</v>
      </c>
      <c r="R1218" s="47" t="n"/>
      <c r="S1218" s="47" t="n"/>
      <c r="T1218" s="47" t="n"/>
      <c r="U1218" s="47" t="n"/>
      <c r="V1218" s="47" t="n"/>
      <c r="W1218" s="47" t="n"/>
    </row>
    <row r="1219" ht="11.25" customHeight="1">
      <c r="A1219" s="30" t="inlineStr">
        <is>
          <t>Itaguai</t>
        </is>
      </c>
      <c r="B1219" s="30" t="n">
        <v>86828383</v>
      </c>
      <c r="C1219" s="30">
        <f>"00497373002082"</f>
        <v/>
      </c>
      <c r="D1219" s="30" t="inlineStr">
        <is>
          <t>SKY SERVICOS DE BANDA LARGA LTDA.</t>
        </is>
      </c>
      <c r="E1219" s="40" t="n">
        <v>570.37</v>
      </c>
      <c r="F1219" s="40" t="n">
        <v>1477.47</v>
      </c>
      <c r="G1219" s="40" t="n">
        <v>159.04</v>
      </c>
      <c r="H1219" s="40" t="n">
        <v>1016.7</v>
      </c>
      <c r="I1219" s="46" t="n">
        <v>-31.19</v>
      </c>
      <c r="J1219" s="40" t="n">
        <v>314.98</v>
      </c>
      <c r="K1219" s="46" t="n">
        <v>-69.02</v>
      </c>
      <c r="L1219" s="40" t="n">
        <v>842.61</v>
      </c>
      <c r="M1219" s="40" t="n">
        <v>167.51</v>
      </c>
      <c r="N1219" s="40" t="n">
        <v>6882.55</v>
      </c>
      <c r="O1219" s="40" t="n">
        <v>716.8099999999999</v>
      </c>
      <c r="P1219" s="40" t="n">
        <v>569.2</v>
      </c>
      <c r="Q1219" s="46" t="n">
        <v>-91.73</v>
      </c>
      <c r="R1219" s="47" t="n"/>
      <c r="S1219" s="47" t="n"/>
      <c r="T1219" s="47" t="n"/>
      <c r="U1219" s="47" t="n"/>
      <c r="V1219" s="47" t="n"/>
      <c r="W1219" s="47" t="n"/>
    </row>
    <row r="1220" ht="11.25" customHeight="1">
      <c r="A1220" s="30" t="inlineStr">
        <is>
          <t>Itaguai</t>
        </is>
      </c>
      <c r="B1220" s="30" t="n">
        <v>86831295</v>
      </c>
      <c r="C1220" s="30">
        <f>"03509101000180"</f>
        <v/>
      </c>
      <c r="D1220" s="30" t="inlineStr">
        <is>
          <t>BRASIPAN SERVIÇOS E LOGÍSTICA EIRELI</t>
        </is>
      </c>
      <c r="E1220" s="40" t="n">
        <v>0</v>
      </c>
      <c r="F1220" s="40" t="n">
        <v>0</v>
      </c>
      <c r="G1220" s="40" t="n">
        <v>0</v>
      </c>
      <c r="H1220" s="40" t="n">
        <v>0</v>
      </c>
      <c r="I1220" s="40" t="n">
        <v>0</v>
      </c>
      <c r="J1220" s="40" t="n">
        <v>0</v>
      </c>
      <c r="K1220" s="40" t="n">
        <v>0</v>
      </c>
      <c r="L1220" s="40" t="n">
        <v>0</v>
      </c>
      <c r="M1220" s="40" t="n">
        <v>0</v>
      </c>
      <c r="N1220" s="40" t="n">
        <v>22369.7</v>
      </c>
      <c r="O1220" s="40" t="n">
        <v>100</v>
      </c>
      <c r="P1220" s="40" t="n">
        <v>0</v>
      </c>
      <c r="Q1220" s="46" t="n">
        <v>-100</v>
      </c>
      <c r="R1220" s="47" t="n"/>
      <c r="S1220" s="47" t="n"/>
      <c r="T1220" s="47" t="n"/>
      <c r="U1220" s="47" t="n"/>
      <c r="V1220" s="47" t="n"/>
      <c r="W1220" s="47" t="n"/>
    </row>
    <row r="1221" ht="11.25" customHeight="1">
      <c r="A1221" s="30" t="inlineStr">
        <is>
          <t>Itaguai</t>
        </is>
      </c>
      <c r="B1221" s="30" t="n">
        <v>86832194</v>
      </c>
      <c r="C1221" s="30">
        <f>"16884492000599"</f>
        <v/>
      </c>
      <c r="D1221" s="30" t="inlineStr">
        <is>
          <t>TDM TRANSPORTES LTDA</t>
        </is>
      </c>
      <c r="E1221" s="40" t="n">
        <v>0</v>
      </c>
      <c r="F1221" s="40" t="n">
        <v>0</v>
      </c>
      <c r="G1221" s="40" t="n">
        <v>0</v>
      </c>
      <c r="H1221" s="40" t="n">
        <v>0</v>
      </c>
      <c r="I1221" s="40" t="n">
        <v>0</v>
      </c>
      <c r="J1221" s="40" t="n">
        <v>8006642.2</v>
      </c>
      <c r="K1221" s="40" t="n">
        <v>100</v>
      </c>
      <c r="L1221" s="40" t="n">
        <v>0</v>
      </c>
      <c r="M1221" s="46" t="n">
        <v>-100</v>
      </c>
      <c r="N1221" s="40" t="n">
        <v>0</v>
      </c>
      <c r="O1221" s="40" t="n">
        <v>0</v>
      </c>
      <c r="P1221" s="40" t="n">
        <v>3696.85</v>
      </c>
      <c r="Q1221" s="40" t="n">
        <v>100</v>
      </c>
      <c r="R1221" s="47" t="n"/>
      <c r="S1221" s="47" t="n"/>
      <c r="T1221" s="47" t="n"/>
      <c r="U1221" s="47" t="n"/>
      <c r="V1221" s="47" t="n"/>
      <c r="W1221" s="47" t="n"/>
    </row>
    <row r="1222" ht="11.25" customHeight="1">
      <c r="A1222" s="30" t="inlineStr">
        <is>
          <t>Itaguai</t>
        </is>
      </c>
      <c r="B1222" s="30" t="n">
        <v>86832461</v>
      </c>
      <c r="C1222" s="30">
        <f>"73860777000361"</f>
        <v/>
      </c>
      <c r="D1222" s="30" t="inlineStr">
        <is>
          <t>ALBERTONI TRANSPORTES DE CARGAS LTDA</t>
        </is>
      </c>
      <c r="E1222" s="40" t="n">
        <v>10981540.14</v>
      </c>
      <c r="F1222" s="40" t="n">
        <v>0</v>
      </c>
      <c r="G1222" s="46" t="n">
        <v>-100</v>
      </c>
      <c r="H1222" s="40" t="n">
        <v>0</v>
      </c>
      <c r="I1222" s="40" t="n">
        <v>0</v>
      </c>
      <c r="J1222" s="40" t="n">
        <v>0</v>
      </c>
      <c r="K1222" s="40" t="n">
        <v>0</v>
      </c>
      <c r="L1222" s="40" t="n">
        <v>0</v>
      </c>
      <c r="M1222" s="40" t="n">
        <v>0</v>
      </c>
      <c r="N1222" s="40" t="n">
        <v>0</v>
      </c>
      <c r="O1222" s="40" t="n">
        <v>0</v>
      </c>
      <c r="P1222" s="40" t="n">
        <v>0</v>
      </c>
      <c r="Q1222" s="40" t="n">
        <v>0</v>
      </c>
      <c r="R1222" s="47" t="n"/>
      <c r="S1222" s="47" t="n"/>
      <c r="T1222" s="47" t="n"/>
      <c r="U1222" s="47" t="n"/>
      <c r="V1222" s="47" t="n"/>
      <c r="W1222" s="47" t="n"/>
    </row>
    <row r="1223" ht="11.25" customHeight="1">
      <c r="A1223" s="30" t="inlineStr">
        <is>
          <t>Itaguai</t>
        </is>
      </c>
      <c r="B1223" s="30" t="n">
        <v>86834480</v>
      </c>
      <c r="C1223" s="30">
        <f>"20967779000207"</f>
        <v/>
      </c>
      <c r="D1223" s="30" t="inlineStr">
        <is>
          <t>BRILHANTE DO ACO COMERCIO VAREJISTA LTDA</t>
        </is>
      </c>
      <c r="E1223" s="40" t="n">
        <v>0</v>
      </c>
      <c r="F1223" s="40" t="n">
        <v>0</v>
      </c>
      <c r="G1223" s="40" t="n">
        <v>0</v>
      </c>
      <c r="H1223" s="40" t="n">
        <v>0</v>
      </c>
      <c r="I1223" s="40" t="n">
        <v>0</v>
      </c>
      <c r="J1223" s="40" t="n">
        <v>0</v>
      </c>
      <c r="K1223" s="40" t="n">
        <v>0</v>
      </c>
      <c r="L1223" s="40" t="n">
        <v>0</v>
      </c>
      <c r="M1223" s="40" t="n">
        <v>0</v>
      </c>
      <c r="N1223" s="40" t="n">
        <v>0</v>
      </c>
      <c r="O1223" s="40" t="n">
        <v>0</v>
      </c>
      <c r="P1223" s="40" t="n">
        <v>0</v>
      </c>
      <c r="Q1223" s="40" t="n">
        <v>0</v>
      </c>
      <c r="R1223" s="47" t="n"/>
      <c r="S1223" s="47" t="n"/>
      <c r="T1223" s="47" t="n"/>
      <c r="U1223" s="47" t="n"/>
      <c r="V1223" s="47" t="n"/>
      <c r="W1223" s="47" t="n"/>
    </row>
    <row r="1224" ht="11.25" customHeight="1">
      <c r="A1224" s="30" t="inlineStr">
        <is>
          <t>Itaguai</t>
        </is>
      </c>
      <c r="B1224" s="30" t="n">
        <v>86837552</v>
      </c>
      <c r="C1224" s="30">
        <f>"20948262000190"</f>
        <v/>
      </c>
      <c r="D1224" s="30" t="inlineStr">
        <is>
          <t>M S TOLEDO COMERCIO E REPRESENTACOES EIRELI ME</t>
        </is>
      </c>
      <c r="E1224" s="40" t="n">
        <v>0</v>
      </c>
      <c r="F1224" s="40" t="n">
        <v>0</v>
      </c>
      <c r="G1224" s="40" t="n">
        <v>0</v>
      </c>
      <c r="H1224" s="40" t="n">
        <v>0</v>
      </c>
      <c r="I1224" s="40" t="n">
        <v>0</v>
      </c>
      <c r="J1224" s="40" t="n">
        <v>0</v>
      </c>
      <c r="K1224" s="40" t="n">
        <v>0</v>
      </c>
      <c r="L1224" s="40" t="n">
        <v>0</v>
      </c>
      <c r="M1224" s="40" t="n">
        <v>0</v>
      </c>
      <c r="N1224" s="40" t="n">
        <v>0</v>
      </c>
      <c r="O1224" s="40" t="n">
        <v>0</v>
      </c>
      <c r="P1224" s="40" t="n">
        <v>0</v>
      </c>
      <c r="Q1224" s="40" t="n">
        <v>0</v>
      </c>
      <c r="R1224" s="47" t="n"/>
      <c r="S1224" s="47" t="n"/>
      <c r="T1224" s="47" t="n"/>
      <c r="U1224" s="47" t="n"/>
      <c r="V1224" s="47" t="n"/>
      <c r="W1224" s="47" t="n"/>
    </row>
    <row r="1225" ht="11.25" customHeight="1">
      <c r="A1225" s="30" t="inlineStr">
        <is>
          <t>Itaguai</t>
        </is>
      </c>
      <c r="B1225" s="30" t="n">
        <v>86848449</v>
      </c>
      <c r="C1225" s="30">
        <f>"18384930000232"</f>
        <v/>
      </c>
      <c r="D1225" s="30" t="inlineStr">
        <is>
          <t>DATORA MOBILE TELECOMUNICACOES S A</t>
        </is>
      </c>
      <c r="E1225" s="40" t="n">
        <v>0</v>
      </c>
      <c r="F1225" s="40" t="n">
        <v>0</v>
      </c>
      <c r="G1225" s="40" t="n">
        <v>0</v>
      </c>
      <c r="H1225" s="40" t="n">
        <v>0</v>
      </c>
      <c r="I1225" s="40" t="n">
        <v>0</v>
      </c>
      <c r="J1225" s="40" t="n">
        <v>0</v>
      </c>
      <c r="K1225" s="40" t="n">
        <v>0</v>
      </c>
      <c r="L1225" s="40" t="n">
        <v>0</v>
      </c>
      <c r="M1225" s="40" t="n">
        <v>0</v>
      </c>
      <c r="N1225" s="40" t="n">
        <v>0</v>
      </c>
      <c r="O1225" s="40" t="n">
        <v>0</v>
      </c>
      <c r="P1225" s="40" t="n">
        <v>30.48</v>
      </c>
      <c r="Q1225" s="40" t="n">
        <v>100</v>
      </c>
      <c r="R1225" s="47" t="n"/>
      <c r="S1225" s="47" t="n"/>
      <c r="T1225" s="47" t="n"/>
      <c r="U1225" s="47" t="n"/>
      <c r="V1225" s="47" t="n"/>
      <c r="W1225" s="47" t="n"/>
    </row>
    <row r="1226" ht="11.25" customHeight="1">
      <c r="A1226" s="30" t="inlineStr">
        <is>
          <t>Itaguai</t>
        </is>
      </c>
      <c r="B1226" s="30" t="n">
        <v>86861801</v>
      </c>
      <c r="C1226" s="30">
        <f>"20692890000157"</f>
        <v/>
      </c>
      <c r="D1226" s="30" t="inlineStr">
        <is>
          <t>ENZO ITAGUAI LTDA</t>
        </is>
      </c>
      <c r="E1226" s="40" t="n">
        <v>344644.78</v>
      </c>
      <c r="F1226" s="40" t="n">
        <v>881546.6800000001</v>
      </c>
      <c r="G1226" s="40" t="n">
        <v>155.78</v>
      </c>
      <c r="H1226" s="40" t="n">
        <v>1084036.69</v>
      </c>
      <c r="I1226" s="40" t="n">
        <v>22.97</v>
      </c>
      <c r="J1226" s="40" t="n">
        <v>2653164.56</v>
      </c>
      <c r="K1226" s="40" t="n">
        <v>144.75</v>
      </c>
      <c r="L1226" s="40" t="n">
        <v>0</v>
      </c>
      <c r="M1226" s="46" t="n">
        <v>-100</v>
      </c>
      <c r="N1226" s="40" t="n">
        <v>0</v>
      </c>
      <c r="O1226" s="40" t="n">
        <v>0</v>
      </c>
      <c r="P1226" s="40" t="n">
        <v>0</v>
      </c>
      <c r="Q1226" s="40" t="n">
        <v>0</v>
      </c>
      <c r="R1226" s="47" t="n"/>
      <c r="S1226" s="47" t="n"/>
      <c r="T1226" s="47" t="n"/>
      <c r="U1226" s="47" t="n"/>
      <c r="V1226" s="47" t="n"/>
      <c r="W1226" s="47" t="n"/>
    </row>
    <row r="1227" ht="11.25" customHeight="1">
      <c r="A1227" s="30" t="inlineStr">
        <is>
          <t>Itaguai</t>
        </is>
      </c>
      <c r="B1227" s="30" t="n">
        <v>86866803</v>
      </c>
      <c r="C1227" s="30">
        <f>"09469384000403"</f>
        <v/>
      </c>
      <c r="D1227" s="30" t="inlineStr">
        <is>
          <t>DTL EXPRESSO E LOGISTICA EIRELI</t>
        </is>
      </c>
      <c r="E1227" s="40" t="n">
        <v>0</v>
      </c>
      <c r="F1227" s="40" t="n">
        <v>0</v>
      </c>
      <c r="G1227" s="40" t="n">
        <v>0</v>
      </c>
      <c r="H1227" s="40" t="n">
        <v>0</v>
      </c>
      <c r="I1227" s="40" t="n">
        <v>0</v>
      </c>
      <c r="J1227" s="40" t="n">
        <v>0</v>
      </c>
      <c r="K1227" s="40" t="n">
        <v>0</v>
      </c>
      <c r="L1227" s="40" t="n">
        <v>0</v>
      </c>
      <c r="M1227" s="40" t="n">
        <v>0</v>
      </c>
      <c r="N1227" s="40" t="n">
        <v>0</v>
      </c>
      <c r="O1227" s="40" t="n">
        <v>0</v>
      </c>
      <c r="P1227" s="40" t="n">
        <v>0</v>
      </c>
      <c r="Q1227" s="40" t="n">
        <v>0</v>
      </c>
      <c r="R1227" s="47" t="n"/>
      <c r="S1227" s="47" t="n"/>
      <c r="T1227" s="47" t="n"/>
      <c r="U1227" s="47" t="n"/>
      <c r="V1227" s="47" t="n"/>
      <c r="W1227" s="47" t="n"/>
    </row>
    <row r="1228" ht="11.25" customHeight="1">
      <c r="A1228" s="30" t="inlineStr">
        <is>
          <t>Itaguai</t>
        </is>
      </c>
      <c r="B1228" s="30" t="n">
        <v>86873079</v>
      </c>
      <c r="C1228" s="30">
        <f>"20694572000125"</f>
        <v/>
      </c>
      <c r="D1228" s="30" t="inlineStr">
        <is>
          <t>PORTO SUDESTE EXPORTAÇÃO E COMÉRCIO S.A.</t>
        </is>
      </c>
      <c r="E1228" s="40" t="n">
        <v>0</v>
      </c>
      <c r="F1228" s="40" t="n">
        <v>0</v>
      </c>
      <c r="G1228" s="40" t="n">
        <v>0</v>
      </c>
      <c r="H1228" s="40" t="n">
        <v>74187683.92</v>
      </c>
      <c r="I1228" s="40" t="n">
        <v>100</v>
      </c>
      <c r="J1228" s="40" t="n">
        <v>342565730.09</v>
      </c>
      <c r="K1228" s="40" t="n">
        <v>361.76</v>
      </c>
      <c r="L1228" s="40" t="n">
        <v>670738093.12</v>
      </c>
      <c r="M1228" s="40" t="n">
        <v>95.8</v>
      </c>
      <c r="N1228" s="40" t="n">
        <v>167049850.05</v>
      </c>
      <c r="O1228" s="46" t="n">
        <v>-75.09</v>
      </c>
      <c r="P1228" s="40" t="n">
        <v>247872528.41</v>
      </c>
      <c r="Q1228" s="40" t="n">
        <v>48.38</v>
      </c>
      <c r="R1228" s="47" t="n"/>
      <c r="S1228" s="47" t="n"/>
      <c r="T1228" s="47" t="n"/>
      <c r="U1228" s="47" t="n"/>
      <c r="V1228" s="47" t="n"/>
      <c r="W1228" s="47" t="n"/>
    </row>
    <row r="1229" ht="11.25" customHeight="1">
      <c r="A1229" s="30" t="inlineStr">
        <is>
          <t>Itaguai</t>
        </is>
      </c>
      <c r="B1229" s="30" t="n">
        <v>86874334</v>
      </c>
      <c r="C1229" s="30">
        <f>"21896625000153"</f>
        <v/>
      </c>
      <c r="D1229" s="30" t="inlineStr">
        <is>
          <t>WGAT TRANSPORTE DE CARGAS - EIRELI</t>
        </is>
      </c>
      <c r="E1229" s="40" t="n">
        <v>0</v>
      </c>
      <c r="F1229" s="40" t="n">
        <v>0</v>
      </c>
      <c r="G1229" s="40" t="n">
        <v>0</v>
      </c>
      <c r="H1229" s="40" t="n">
        <v>360933.35</v>
      </c>
      <c r="I1229" s="40" t="n">
        <v>100</v>
      </c>
      <c r="J1229" s="40" t="n">
        <v>0</v>
      </c>
      <c r="K1229" s="46" t="n">
        <v>-100</v>
      </c>
      <c r="L1229" s="40" t="n">
        <v>0</v>
      </c>
      <c r="M1229" s="40" t="n">
        <v>0</v>
      </c>
      <c r="N1229" s="40" t="n">
        <v>41357.87</v>
      </c>
      <c r="O1229" s="40" t="n">
        <v>100</v>
      </c>
      <c r="P1229" s="40" t="n">
        <v>0</v>
      </c>
      <c r="Q1229" s="46" t="n">
        <v>-100</v>
      </c>
      <c r="R1229" s="47" t="n"/>
      <c r="S1229" s="47" t="n"/>
      <c r="T1229" s="47" t="n"/>
      <c r="U1229" s="47" t="n"/>
      <c r="V1229" s="47" t="n"/>
      <c r="W1229" s="47" t="n"/>
    </row>
    <row r="1230" ht="11.25" customHeight="1">
      <c r="A1230" s="30" t="inlineStr">
        <is>
          <t>Itaguai</t>
        </is>
      </c>
      <c r="B1230" s="30" t="n">
        <v>86876906</v>
      </c>
      <c r="C1230" s="30">
        <f>"33200056039789"</f>
        <v/>
      </c>
      <c r="D1230" s="30" t="inlineStr">
        <is>
          <t>LOJAS RIACHUELO SA</t>
        </is>
      </c>
      <c r="E1230" s="40" t="n">
        <v>4622877.4</v>
      </c>
      <c r="F1230" s="40" t="n">
        <v>4318433.91</v>
      </c>
      <c r="G1230" s="46" t="n">
        <v>-6.59</v>
      </c>
      <c r="H1230" s="40" t="n">
        <v>3829353.92</v>
      </c>
      <c r="I1230" s="46" t="n">
        <v>-11.33</v>
      </c>
      <c r="J1230" s="40" t="n">
        <v>3415495.91</v>
      </c>
      <c r="K1230" s="46" t="n">
        <v>-10.81</v>
      </c>
      <c r="L1230" s="40" t="n">
        <v>4497060.47</v>
      </c>
      <c r="M1230" s="40" t="n">
        <v>31.67</v>
      </c>
      <c r="N1230" s="40" t="n">
        <v>4595394.71</v>
      </c>
      <c r="O1230" s="40" t="n">
        <v>2.19</v>
      </c>
      <c r="P1230" s="40" t="n">
        <v>4927284.64</v>
      </c>
      <c r="Q1230" s="40" t="n">
        <v>7.22</v>
      </c>
      <c r="R1230" s="47" t="n"/>
      <c r="S1230" s="47" t="n"/>
      <c r="T1230" s="47" t="n"/>
      <c r="U1230" s="47" t="n"/>
      <c r="V1230" s="47" t="n"/>
      <c r="W1230" s="47" t="n"/>
    </row>
    <row r="1231" ht="11.25" customHeight="1">
      <c r="A1231" s="30" t="inlineStr">
        <is>
          <t>Itaguai</t>
        </is>
      </c>
      <c r="B1231" s="30" t="n">
        <v>86877600</v>
      </c>
      <c r="C1231" s="30">
        <f>"03887324000858"</f>
        <v/>
      </c>
      <c r="D1231" s="30" t="inlineStr">
        <is>
          <t>ADIMAX - INDUSTRIA E COMERCIO DE ALIMENTOS LTDA</t>
        </is>
      </c>
      <c r="E1231" s="40" t="n">
        <v>3469902.14</v>
      </c>
      <c r="F1231" s="40" t="n">
        <v>0</v>
      </c>
      <c r="G1231" s="46" t="n">
        <v>-100</v>
      </c>
      <c r="H1231" s="40" t="n">
        <v>0</v>
      </c>
      <c r="I1231" s="40" t="n">
        <v>0</v>
      </c>
      <c r="J1231" s="40" t="n">
        <v>0</v>
      </c>
      <c r="K1231" s="40" t="n">
        <v>0</v>
      </c>
      <c r="L1231" s="40" t="n">
        <v>0</v>
      </c>
      <c r="M1231" s="40" t="n">
        <v>0</v>
      </c>
      <c r="N1231" s="40" t="n">
        <v>0</v>
      </c>
      <c r="O1231" s="40" t="n">
        <v>0</v>
      </c>
      <c r="P1231" s="40" t="n">
        <v>0</v>
      </c>
      <c r="Q1231" s="40" t="n">
        <v>0</v>
      </c>
      <c r="R1231" s="47" t="n"/>
      <c r="S1231" s="47" t="n"/>
      <c r="T1231" s="47" t="n"/>
      <c r="U1231" s="47" t="n"/>
      <c r="V1231" s="47" t="n"/>
      <c r="W1231" s="47" t="n"/>
    </row>
    <row r="1232" ht="11.25" customHeight="1">
      <c r="A1232" s="30" t="inlineStr">
        <is>
          <t>Itaguai</t>
        </is>
      </c>
      <c r="B1232" s="30" t="n">
        <v>86877732</v>
      </c>
      <c r="C1232" s="30">
        <f>"21899800000166"</f>
        <v/>
      </c>
      <c r="D1232" s="30" t="inlineStr">
        <is>
          <t>LOPES E SILVA COMERCIO DE VEICULOS LTDA ME</t>
        </is>
      </c>
      <c r="E1232" s="40" t="n">
        <v>0</v>
      </c>
      <c r="F1232" s="40" t="n">
        <v>0</v>
      </c>
      <c r="G1232" s="40" t="n">
        <v>0</v>
      </c>
      <c r="H1232" s="40" t="n">
        <v>0</v>
      </c>
      <c r="I1232" s="40" t="n">
        <v>0</v>
      </c>
      <c r="J1232" s="40" t="n">
        <v>0</v>
      </c>
      <c r="K1232" s="40" t="n">
        <v>0</v>
      </c>
      <c r="L1232" s="40" t="n">
        <v>0</v>
      </c>
      <c r="M1232" s="40" t="n">
        <v>0</v>
      </c>
      <c r="N1232" s="40" t="n">
        <v>0</v>
      </c>
      <c r="O1232" s="40" t="n">
        <v>0</v>
      </c>
      <c r="P1232" s="40" t="n">
        <v>0</v>
      </c>
      <c r="Q1232" s="40" t="n">
        <v>0</v>
      </c>
      <c r="R1232" s="47" t="n"/>
      <c r="S1232" s="47" t="n"/>
      <c r="T1232" s="47" t="n"/>
      <c r="U1232" s="47" t="n"/>
      <c r="V1232" s="47" t="n"/>
      <c r="W1232" s="47" t="n"/>
    </row>
    <row r="1233" ht="11.25" customHeight="1">
      <c r="A1233" s="30" t="inlineStr">
        <is>
          <t>Itaguai</t>
        </is>
      </c>
      <c r="B1233" s="30" t="n">
        <v>86877759</v>
      </c>
      <c r="C1233" s="30">
        <f>"21892618000183"</f>
        <v/>
      </c>
      <c r="D1233" s="30" t="inlineStr">
        <is>
          <t>C O RIBEIRO ROMANELI RESTAURANTE</t>
        </is>
      </c>
      <c r="E1233" s="40" t="n">
        <v>0</v>
      </c>
      <c r="F1233" s="40" t="n">
        <v>0</v>
      </c>
      <c r="G1233" s="40" t="n">
        <v>0</v>
      </c>
      <c r="H1233" s="40" t="n">
        <v>0</v>
      </c>
      <c r="I1233" s="40" t="n">
        <v>0</v>
      </c>
      <c r="J1233" s="40" t="n">
        <v>0</v>
      </c>
      <c r="K1233" s="40" t="n">
        <v>0</v>
      </c>
      <c r="L1233" s="40" t="n">
        <v>0</v>
      </c>
      <c r="M1233" s="40" t="n">
        <v>0</v>
      </c>
      <c r="N1233" s="40" t="n">
        <v>0</v>
      </c>
      <c r="O1233" s="40" t="n">
        <v>0</v>
      </c>
      <c r="P1233" s="40" t="n">
        <v>0</v>
      </c>
      <c r="Q1233" s="40" t="n">
        <v>0</v>
      </c>
      <c r="R1233" s="47" t="n"/>
      <c r="S1233" s="47" t="n"/>
      <c r="T1233" s="47" t="n"/>
      <c r="U1233" s="47" t="n"/>
      <c r="V1233" s="47" t="n"/>
      <c r="W1233" s="47" t="n"/>
    </row>
    <row r="1234" ht="11.25" customHeight="1">
      <c r="A1234" s="30" t="inlineStr">
        <is>
          <t>Itaguai</t>
        </is>
      </c>
      <c r="B1234" s="30" t="n">
        <v>86879344</v>
      </c>
      <c r="C1234" s="30">
        <f>"05886614003666"</f>
        <v/>
      </c>
      <c r="D1234" s="30" t="inlineStr">
        <is>
          <t>DIRECT EXPRESS LOGISTICA INTEGRADA S/A</t>
        </is>
      </c>
      <c r="E1234" s="40" t="n">
        <v>923.71</v>
      </c>
      <c r="F1234" s="40" t="n">
        <v>0</v>
      </c>
      <c r="G1234" s="46" t="n">
        <v>-100</v>
      </c>
      <c r="H1234" s="40" t="n">
        <v>0</v>
      </c>
      <c r="I1234" s="40" t="n">
        <v>0</v>
      </c>
      <c r="J1234" s="40" t="n">
        <v>0</v>
      </c>
      <c r="K1234" s="40" t="n">
        <v>0</v>
      </c>
      <c r="L1234" s="40" t="n">
        <v>0</v>
      </c>
      <c r="M1234" s="40" t="n">
        <v>0</v>
      </c>
      <c r="N1234" s="40" t="n">
        <v>0</v>
      </c>
      <c r="O1234" s="40" t="n">
        <v>0</v>
      </c>
      <c r="P1234" s="40" t="n">
        <v>0</v>
      </c>
      <c r="Q1234" s="40" t="n">
        <v>0</v>
      </c>
      <c r="R1234" s="47" t="n"/>
      <c r="S1234" s="47" t="n"/>
      <c r="T1234" s="47" t="n"/>
      <c r="U1234" s="47" t="n"/>
      <c r="V1234" s="47" t="n"/>
      <c r="W1234" s="47" t="n"/>
    </row>
    <row r="1235" ht="11.25" customHeight="1">
      <c r="A1235" s="30" t="inlineStr">
        <is>
          <t>Itaguai</t>
        </is>
      </c>
      <c r="B1235" s="30" t="n">
        <v>86882566</v>
      </c>
      <c r="C1235" s="30">
        <f>"08680888001134"</f>
        <v/>
      </c>
      <c r="D1235" s="30" t="inlineStr">
        <is>
          <t>MSC MEDITERRANEAN LOGISTICA LTDA</t>
        </is>
      </c>
      <c r="E1235" s="40" t="n">
        <v>0</v>
      </c>
      <c r="F1235" s="40" t="n">
        <v>3043.32</v>
      </c>
      <c r="G1235" s="40" t="n">
        <v>100</v>
      </c>
      <c r="H1235" s="40" t="n">
        <v>0</v>
      </c>
      <c r="I1235" s="46" t="n">
        <v>-100</v>
      </c>
      <c r="J1235" s="40" t="n">
        <v>650</v>
      </c>
      <c r="K1235" s="40" t="n">
        <v>100</v>
      </c>
      <c r="L1235" s="40" t="n">
        <v>0</v>
      </c>
      <c r="M1235" s="46" t="n">
        <v>-100</v>
      </c>
      <c r="N1235" s="40" t="n">
        <v>0</v>
      </c>
      <c r="O1235" s="40" t="n">
        <v>0</v>
      </c>
      <c r="P1235" s="40" t="n">
        <v>0</v>
      </c>
      <c r="Q1235" s="40" t="n">
        <v>0</v>
      </c>
      <c r="R1235" s="47" t="n"/>
      <c r="S1235" s="47" t="n"/>
      <c r="T1235" s="47" t="n"/>
      <c r="U1235" s="47" t="n"/>
      <c r="V1235" s="47" t="n"/>
      <c r="W1235" s="47" t="n"/>
    </row>
    <row r="1236" ht="11.25" customHeight="1">
      <c r="A1236" s="30" t="inlineStr">
        <is>
          <t>Itaguai</t>
        </is>
      </c>
      <c r="B1236" s="30" t="n">
        <v>86893320</v>
      </c>
      <c r="C1236" s="30">
        <f>"56105166000208"</f>
        <v/>
      </c>
      <c r="D1236" s="30" t="inlineStr">
        <is>
          <t>LORENVEL TRANSPORTES LTDA</t>
        </is>
      </c>
      <c r="E1236" s="40" t="n">
        <v>0</v>
      </c>
      <c r="F1236" s="40" t="n">
        <v>9600</v>
      </c>
      <c r="G1236" s="40" t="n">
        <v>100</v>
      </c>
      <c r="H1236" s="40" t="n">
        <v>1200</v>
      </c>
      <c r="I1236" s="46" t="n">
        <v>-87.5</v>
      </c>
      <c r="J1236" s="40" t="n">
        <v>0</v>
      </c>
      <c r="K1236" s="46" t="n">
        <v>-100</v>
      </c>
      <c r="L1236" s="40" t="n">
        <v>0</v>
      </c>
      <c r="M1236" s="40" t="n">
        <v>0</v>
      </c>
      <c r="N1236" s="40" t="n">
        <v>0</v>
      </c>
      <c r="O1236" s="40" t="n">
        <v>0</v>
      </c>
      <c r="P1236" s="40" t="n">
        <v>0</v>
      </c>
      <c r="Q1236" s="40" t="n">
        <v>0</v>
      </c>
      <c r="R1236" s="47" t="n"/>
      <c r="S1236" s="47" t="n"/>
      <c r="T1236" s="47" t="n"/>
      <c r="U1236" s="47" t="n"/>
      <c r="V1236" s="47" t="n"/>
      <c r="W1236" s="47" t="n"/>
    </row>
    <row r="1237" ht="11.25" customHeight="1">
      <c r="A1237" s="30" t="inlineStr">
        <is>
          <t>Itaguai</t>
        </is>
      </c>
      <c r="B1237" s="30" t="n">
        <v>86901684</v>
      </c>
      <c r="C1237" s="30">
        <f>"22199023000100"</f>
        <v/>
      </c>
      <c r="D1237" s="30" t="inlineStr">
        <is>
          <t>CONSCIENTIZE SOLUCOES AMBIENTAIS LTDA</t>
        </is>
      </c>
      <c r="E1237" s="40" t="n">
        <v>0</v>
      </c>
      <c r="F1237" s="40" t="n">
        <v>0</v>
      </c>
      <c r="G1237" s="40" t="n">
        <v>0</v>
      </c>
      <c r="H1237" s="40" t="n">
        <v>800</v>
      </c>
      <c r="I1237" s="40" t="n">
        <v>100</v>
      </c>
      <c r="J1237" s="40" t="n">
        <v>0</v>
      </c>
      <c r="K1237" s="46" t="n">
        <v>-100</v>
      </c>
      <c r="L1237" s="40" t="n">
        <v>0</v>
      </c>
      <c r="M1237" s="40" t="n">
        <v>0</v>
      </c>
      <c r="N1237" s="40" t="n">
        <v>0</v>
      </c>
      <c r="O1237" s="40" t="n">
        <v>0</v>
      </c>
      <c r="P1237" s="40" t="n">
        <v>0</v>
      </c>
      <c r="Q1237" s="40" t="n">
        <v>0</v>
      </c>
      <c r="R1237" s="47" t="n"/>
      <c r="S1237" s="47" t="n"/>
      <c r="T1237" s="47" t="n"/>
      <c r="U1237" s="47" t="n"/>
      <c r="V1237" s="47" t="n"/>
      <c r="W1237" s="47" t="n"/>
    </row>
    <row r="1238" ht="11.25" customHeight="1">
      <c r="A1238" s="30" t="inlineStr">
        <is>
          <t>Itaguai</t>
        </is>
      </c>
      <c r="B1238" s="30" t="n">
        <v>86903733</v>
      </c>
      <c r="C1238" s="30">
        <f>"13872662000950"</f>
        <v/>
      </c>
      <c r="D1238" s="30" t="inlineStr">
        <is>
          <t>ORSI LOGISTICA S.A.</t>
        </is>
      </c>
      <c r="E1238" s="40" t="n">
        <v>17378.56</v>
      </c>
      <c r="F1238" s="40" t="n">
        <v>0</v>
      </c>
      <c r="G1238" s="46" t="n">
        <v>-100</v>
      </c>
      <c r="H1238" s="40" t="n">
        <v>35507.88</v>
      </c>
      <c r="I1238" s="40" t="n">
        <v>100</v>
      </c>
      <c r="J1238" s="40" t="n">
        <v>4284.93</v>
      </c>
      <c r="K1238" s="46" t="n">
        <v>-87.93000000000001</v>
      </c>
      <c r="L1238" s="40" t="n">
        <v>230408.55</v>
      </c>
      <c r="M1238" s="40" t="n">
        <v>5277.18</v>
      </c>
      <c r="N1238" s="40" t="n">
        <v>0</v>
      </c>
      <c r="O1238" s="46" t="n">
        <v>-100</v>
      </c>
      <c r="P1238" s="40" t="n">
        <v>0</v>
      </c>
      <c r="Q1238" s="40" t="n">
        <v>0</v>
      </c>
      <c r="R1238" s="47" t="n"/>
      <c r="S1238" s="47" t="n"/>
      <c r="T1238" s="47" t="n"/>
      <c r="U1238" s="47" t="n"/>
      <c r="V1238" s="47" t="n"/>
      <c r="W1238" s="47" t="n"/>
    </row>
    <row r="1239" ht="11.25" customHeight="1">
      <c r="A1239" s="30" t="inlineStr">
        <is>
          <t>Itaguai</t>
        </is>
      </c>
      <c r="B1239" s="30" t="n">
        <v>86906350</v>
      </c>
      <c r="C1239" s="30">
        <f>"06185738000157"</f>
        <v/>
      </c>
      <c r="D1239" s="30" t="inlineStr">
        <is>
          <t>C&amp;T LOGISTICS AGENTE DE CARGA E TRANSPORTE LTDA</t>
        </is>
      </c>
      <c r="E1239" s="40" t="n">
        <v>0</v>
      </c>
      <c r="F1239" s="40" t="n">
        <v>0</v>
      </c>
      <c r="G1239" s="40" t="n">
        <v>0</v>
      </c>
      <c r="H1239" s="40" t="n">
        <v>1280.88</v>
      </c>
      <c r="I1239" s="40" t="n">
        <v>100</v>
      </c>
      <c r="J1239" s="40" t="n">
        <v>0</v>
      </c>
      <c r="K1239" s="46" t="n">
        <v>-100</v>
      </c>
      <c r="L1239" s="40" t="n">
        <v>0</v>
      </c>
      <c r="M1239" s="40" t="n">
        <v>0</v>
      </c>
      <c r="N1239" s="40" t="n">
        <v>3952.43</v>
      </c>
      <c r="O1239" s="40" t="n">
        <v>100</v>
      </c>
      <c r="P1239" s="40" t="n">
        <v>0</v>
      </c>
      <c r="Q1239" s="46" t="n">
        <v>-100</v>
      </c>
      <c r="R1239" s="47" t="n"/>
      <c r="S1239" s="47" t="n"/>
      <c r="T1239" s="47" t="n"/>
      <c r="U1239" s="47" t="n"/>
      <c r="V1239" s="47" t="n"/>
      <c r="W1239" s="47" t="n"/>
    </row>
    <row r="1240" ht="11.25" customHeight="1">
      <c r="A1240" s="30" t="inlineStr">
        <is>
          <t>Itaguai</t>
        </is>
      </c>
      <c r="B1240" s="30" t="n">
        <v>86907917</v>
      </c>
      <c r="C1240" s="30">
        <f>"72189988001242"</f>
        <v/>
      </c>
      <c r="D1240" s="30" t="inlineStr">
        <is>
          <t>EMPRESA DE ONIBUS ROSA LTDA</t>
        </is>
      </c>
      <c r="E1240" s="40" t="n">
        <v>0</v>
      </c>
      <c r="F1240" s="40" t="n">
        <v>0</v>
      </c>
      <c r="G1240" s="40" t="n">
        <v>0</v>
      </c>
      <c r="H1240" s="40" t="n">
        <v>0</v>
      </c>
      <c r="I1240" s="40" t="n">
        <v>0</v>
      </c>
      <c r="J1240" s="40" t="n">
        <v>0</v>
      </c>
      <c r="K1240" s="40" t="n">
        <v>0</v>
      </c>
      <c r="L1240" s="40" t="n">
        <v>0</v>
      </c>
      <c r="M1240" s="40" t="n">
        <v>0</v>
      </c>
      <c r="N1240" s="40" t="n">
        <v>0</v>
      </c>
      <c r="O1240" s="40" t="n">
        <v>0</v>
      </c>
      <c r="P1240" s="40" t="n">
        <v>0</v>
      </c>
      <c r="Q1240" s="40" t="n">
        <v>0</v>
      </c>
      <c r="R1240" s="47" t="n"/>
      <c r="S1240" s="47" t="n"/>
      <c r="T1240" s="47" t="n"/>
      <c r="U1240" s="47" t="n"/>
      <c r="V1240" s="47" t="n"/>
      <c r="W1240" s="47" t="n"/>
    </row>
    <row r="1241" ht="11.25" customHeight="1">
      <c r="A1241" s="30" t="inlineStr">
        <is>
          <t>Itaguai</t>
        </is>
      </c>
      <c r="B1241" s="30" t="n">
        <v>86908816</v>
      </c>
      <c r="C1241" s="30">
        <f>"22162793000188"</f>
        <v/>
      </c>
      <c r="D1241" s="30" t="inlineStr">
        <is>
          <t>CORREA &amp; LIMA CONSTRUTORA LTDA ME</t>
        </is>
      </c>
      <c r="E1241" s="40" t="n">
        <v>0</v>
      </c>
      <c r="F1241" s="40" t="n">
        <v>0</v>
      </c>
      <c r="G1241" s="40" t="n">
        <v>0</v>
      </c>
      <c r="H1241" s="40" t="n">
        <v>0</v>
      </c>
      <c r="I1241" s="40" t="n">
        <v>0</v>
      </c>
      <c r="J1241" s="40" t="n">
        <v>0</v>
      </c>
      <c r="K1241" s="40" t="n">
        <v>0</v>
      </c>
      <c r="L1241" s="40" t="n">
        <v>0</v>
      </c>
      <c r="M1241" s="40" t="n">
        <v>0</v>
      </c>
      <c r="N1241" s="40" t="n">
        <v>0</v>
      </c>
      <c r="O1241" s="40" t="n">
        <v>0</v>
      </c>
      <c r="P1241" s="40" t="n">
        <v>303173.81</v>
      </c>
      <c r="Q1241" s="40" t="n">
        <v>100</v>
      </c>
      <c r="R1241" s="47" t="n"/>
      <c r="S1241" s="47" t="n"/>
      <c r="T1241" s="47" t="n"/>
      <c r="U1241" s="47" t="n"/>
      <c r="V1241" s="47" t="n"/>
      <c r="W1241" s="47" t="n"/>
    </row>
    <row r="1242" ht="11.25" customHeight="1">
      <c r="A1242" s="30" t="inlineStr">
        <is>
          <t>Itaguai</t>
        </is>
      </c>
      <c r="B1242" s="30" t="n">
        <v>86911922</v>
      </c>
      <c r="C1242" s="30">
        <f>"05593147000660"</f>
        <v/>
      </c>
      <c r="D1242" s="30" t="inlineStr">
        <is>
          <t>VELTEN LOGISTICA E TRANSPORTE LTDA EPP</t>
        </is>
      </c>
      <c r="E1242" s="40" t="n">
        <v>124.18</v>
      </c>
      <c r="F1242" s="40" t="n">
        <v>335.12</v>
      </c>
      <c r="G1242" s="40" t="n">
        <v>169.87</v>
      </c>
      <c r="H1242" s="40" t="n">
        <v>33.31</v>
      </c>
      <c r="I1242" s="46" t="n">
        <v>-90.06</v>
      </c>
      <c r="J1242" s="40" t="n">
        <v>0</v>
      </c>
      <c r="K1242" s="46" t="n">
        <v>-100</v>
      </c>
      <c r="L1242" s="40" t="n">
        <v>0</v>
      </c>
      <c r="M1242" s="40" t="n">
        <v>0</v>
      </c>
      <c r="N1242" s="40" t="n">
        <v>0</v>
      </c>
      <c r="O1242" s="40" t="n">
        <v>0</v>
      </c>
      <c r="P1242" s="40" t="n">
        <v>0</v>
      </c>
      <c r="Q1242" s="40" t="n">
        <v>0</v>
      </c>
      <c r="R1242" s="47" t="n"/>
      <c r="S1242" s="47" t="n"/>
      <c r="T1242" s="47" t="n"/>
      <c r="U1242" s="47" t="n"/>
      <c r="V1242" s="47" t="n"/>
      <c r="W1242" s="47" t="n"/>
    </row>
    <row r="1243" ht="11.25" customHeight="1">
      <c r="A1243" s="30" t="inlineStr">
        <is>
          <t>Itaguai</t>
        </is>
      </c>
      <c r="B1243" s="30" t="n">
        <v>86932067</v>
      </c>
      <c r="C1243" s="30">
        <f>"22397790000123"</f>
        <v/>
      </c>
      <c r="D1243" s="30" t="inlineStr">
        <is>
          <t>TRANSPORTADORA KARAPITO LTDA</t>
        </is>
      </c>
      <c r="E1243" s="40" t="n">
        <v>1740.88</v>
      </c>
      <c r="F1243" s="40" t="n">
        <v>0</v>
      </c>
      <c r="G1243" s="46" t="n">
        <v>-100</v>
      </c>
      <c r="H1243" s="40" t="n">
        <v>0</v>
      </c>
      <c r="I1243" s="40" t="n">
        <v>0</v>
      </c>
      <c r="J1243" s="40" t="n">
        <v>0</v>
      </c>
      <c r="K1243" s="40" t="n">
        <v>0</v>
      </c>
      <c r="L1243" s="40" t="n">
        <v>0</v>
      </c>
      <c r="M1243" s="40" t="n">
        <v>0</v>
      </c>
      <c r="N1243" s="40" t="n">
        <v>0</v>
      </c>
      <c r="O1243" s="40" t="n">
        <v>0</v>
      </c>
      <c r="P1243" s="40" t="n">
        <v>0</v>
      </c>
      <c r="Q1243" s="40" t="n">
        <v>0</v>
      </c>
      <c r="R1243" s="47" t="n"/>
      <c r="S1243" s="47" t="n"/>
      <c r="T1243" s="47" t="n"/>
      <c r="U1243" s="47" t="n"/>
      <c r="V1243" s="47" t="n"/>
      <c r="W1243" s="47" t="n"/>
    </row>
    <row r="1244" ht="11.25" customHeight="1">
      <c r="A1244" s="30" t="inlineStr">
        <is>
          <t>Itaguai</t>
        </is>
      </c>
      <c r="B1244" s="30" t="n">
        <v>86932172</v>
      </c>
      <c r="C1244" s="30">
        <f>"21268307000229"</f>
        <v/>
      </c>
      <c r="D1244" s="30" t="inlineStr">
        <is>
          <t>PAUL WURTH DO BRASIL MONTAGENS E MANUTENCAO INDUSTRIAL LTDA</t>
        </is>
      </c>
      <c r="E1244" s="40" t="n">
        <v>0</v>
      </c>
      <c r="F1244" s="40" t="n">
        <v>0</v>
      </c>
      <c r="G1244" s="40" t="n">
        <v>0</v>
      </c>
      <c r="H1244" s="40" t="n">
        <v>0</v>
      </c>
      <c r="I1244" s="40" t="n">
        <v>0</v>
      </c>
      <c r="J1244" s="40" t="n">
        <v>0</v>
      </c>
      <c r="K1244" s="40" t="n">
        <v>0</v>
      </c>
      <c r="L1244" s="40" t="n">
        <v>0</v>
      </c>
      <c r="M1244" s="40" t="n">
        <v>0</v>
      </c>
      <c r="N1244" s="40" t="n">
        <v>0</v>
      </c>
      <c r="O1244" s="40" t="n">
        <v>0</v>
      </c>
      <c r="P1244" s="40" t="n">
        <v>0</v>
      </c>
      <c r="Q1244" s="40" t="n">
        <v>0</v>
      </c>
      <c r="R1244" s="47" t="n"/>
      <c r="S1244" s="47" t="n"/>
      <c r="T1244" s="47" t="n"/>
      <c r="U1244" s="47" t="n"/>
      <c r="V1244" s="47" t="n"/>
      <c r="W1244" s="47" t="n"/>
    </row>
    <row r="1245" ht="11.25" customHeight="1">
      <c r="A1245" s="30" t="inlineStr">
        <is>
          <t>Itaguai</t>
        </is>
      </c>
      <c r="B1245" s="30" t="n">
        <v>86937832</v>
      </c>
      <c r="C1245" s="30">
        <f>"12367372000130"</f>
        <v/>
      </c>
      <c r="D1245" s="30" t="inlineStr">
        <is>
          <t>NDC PROVEDOR DE INTERNET LTDA</t>
        </is>
      </c>
      <c r="E1245" s="40" t="n">
        <v>0</v>
      </c>
      <c r="F1245" s="40" t="n">
        <v>0</v>
      </c>
      <c r="G1245" s="40" t="n">
        <v>0</v>
      </c>
      <c r="H1245" s="40" t="n">
        <v>0</v>
      </c>
      <c r="I1245" s="40" t="n">
        <v>0</v>
      </c>
      <c r="J1245" s="40" t="n">
        <v>0</v>
      </c>
      <c r="K1245" s="40" t="n">
        <v>0</v>
      </c>
      <c r="L1245" s="40" t="n">
        <v>1358125.08</v>
      </c>
      <c r="M1245" s="40" t="n">
        <v>100</v>
      </c>
      <c r="N1245" s="40" t="n">
        <v>1117671.88</v>
      </c>
      <c r="O1245" s="46" t="n">
        <v>-17.7</v>
      </c>
      <c r="P1245" s="40" t="n">
        <v>1986990.99</v>
      </c>
      <c r="Q1245" s="40" t="n">
        <v>77.78</v>
      </c>
      <c r="R1245" s="47" t="n"/>
      <c r="S1245" s="47" t="n"/>
      <c r="T1245" s="47" t="n"/>
      <c r="U1245" s="47" t="n"/>
      <c r="V1245" s="47" t="n"/>
      <c r="W1245" s="47" t="n"/>
    </row>
    <row r="1246" ht="11.25" customHeight="1">
      <c r="A1246" s="30" t="inlineStr">
        <is>
          <t>Itaguai</t>
        </is>
      </c>
      <c r="B1246" s="30" t="n">
        <v>86947870</v>
      </c>
      <c r="C1246" s="30">
        <f>"15472037000270"</f>
        <v/>
      </c>
      <c r="D1246" s="30" t="inlineStr">
        <is>
          <t>MERCADO CENTRAL DE ITACURUCA LTDA</t>
        </is>
      </c>
      <c r="E1246" s="40" t="n">
        <v>0</v>
      </c>
      <c r="F1246" s="40" t="n">
        <v>0</v>
      </c>
      <c r="G1246" s="40" t="n">
        <v>0</v>
      </c>
      <c r="H1246" s="40" t="n">
        <v>0</v>
      </c>
      <c r="I1246" s="40" t="n">
        <v>0</v>
      </c>
      <c r="J1246" s="40" t="n">
        <v>0</v>
      </c>
      <c r="K1246" s="40" t="n">
        <v>0</v>
      </c>
      <c r="L1246" s="40" t="n">
        <v>0</v>
      </c>
      <c r="M1246" s="40" t="n">
        <v>0</v>
      </c>
      <c r="N1246" s="40" t="n">
        <v>0</v>
      </c>
      <c r="O1246" s="40" t="n">
        <v>0</v>
      </c>
      <c r="P1246" s="40" t="n">
        <v>0</v>
      </c>
      <c r="Q1246" s="40" t="n">
        <v>0</v>
      </c>
      <c r="R1246" s="47" t="n"/>
      <c r="S1246" s="47" t="n"/>
      <c r="T1246" s="47" t="n"/>
      <c r="U1246" s="47" t="n"/>
      <c r="V1246" s="47" t="n"/>
      <c r="W1246" s="47" t="n"/>
    </row>
    <row r="1247" ht="11.25" customHeight="1">
      <c r="A1247" s="30" t="inlineStr">
        <is>
          <t>Itaguai</t>
        </is>
      </c>
      <c r="B1247" s="30" t="n">
        <v>86948524</v>
      </c>
      <c r="C1247" s="30">
        <f>"22706756000193"</f>
        <v/>
      </c>
      <c r="D1247" s="30" t="inlineStr">
        <is>
          <t>SANDRO LIDER AGUA E GELO EIRELI</t>
        </is>
      </c>
      <c r="E1247" s="40" t="n">
        <v>0</v>
      </c>
      <c r="F1247" s="40" t="n">
        <v>0</v>
      </c>
      <c r="G1247" s="40" t="n">
        <v>0</v>
      </c>
      <c r="H1247" s="40" t="n">
        <v>0</v>
      </c>
      <c r="I1247" s="40" t="n">
        <v>0</v>
      </c>
      <c r="J1247" s="40" t="n">
        <v>0</v>
      </c>
      <c r="K1247" s="40" t="n">
        <v>0</v>
      </c>
      <c r="L1247" s="40" t="n">
        <v>0</v>
      </c>
      <c r="M1247" s="40" t="n">
        <v>0</v>
      </c>
      <c r="N1247" s="40" t="n">
        <v>0</v>
      </c>
      <c r="O1247" s="40" t="n">
        <v>0</v>
      </c>
      <c r="P1247" s="40" t="n">
        <v>0</v>
      </c>
      <c r="Q1247" s="40" t="n">
        <v>0</v>
      </c>
      <c r="R1247" s="47" t="n"/>
      <c r="S1247" s="47" t="n"/>
      <c r="T1247" s="47" t="n"/>
      <c r="U1247" s="47" t="n"/>
      <c r="V1247" s="47" t="n"/>
      <c r="W1247" s="47" t="n"/>
    </row>
    <row r="1248" ht="11.25" customHeight="1">
      <c r="A1248" s="30" t="inlineStr">
        <is>
          <t>Itaguai</t>
        </is>
      </c>
      <c r="B1248" s="30" t="n">
        <v>86949016</v>
      </c>
      <c r="C1248" s="30">
        <f>"22711611000180"</f>
        <v/>
      </c>
      <c r="D1248" s="30" t="inlineStr">
        <is>
          <t>ITAGUAI POINT COMERCIO DE ALIMENTOS LTDA</t>
        </is>
      </c>
      <c r="E1248" s="40" t="n">
        <v>993225.59</v>
      </c>
      <c r="F1248" s="40" t="n">
        <v>0</v>
      </c>
      <c r="G1248" s="46" t="n">
        <v>-100</v>
      </c>
      <c r="H1248" s="40" t="n">
        <v>0</v>
      </c>
      <c r="I1248" s="40" t="n">
        <v>0</v>
      </c>
      <c r="J1248" s="40" t="n">
        <v>0</v>
      </c>
      <c r="K1248" s="40" t="n">
        <v>0</v>
      </c>
      <c r="L1248" s="40" t="n">
        <v>0</v>
      </c>
      <c r="M1248" s="40" t="n">
        <v>0</v>
      </c>
      <c r="N1248" s="40" t="n">
        <v>0</v>
      </c>
      <c r="O1248" s="40" t="n">
        <v>0</v>
      </c>
      <c r="P1248" s="40" t="n">
        <v>0</v>
      </c>
      <c r="Q1248" s="40" t="n">
        <v>0</v>
      </c>
      <c r="R1248" s="47" t="n"/>
      <c r="S1248" s="47" t="n"/>
      <c r="T1248" s="47" t="n"/>
      <c r="U1248" s="47" t="n"/>
      <c r="V1248" s="47" t="n"/>
      <c r="W1248" s="47" t="n"/>
    </row>
    <row r="1249" ht="11.25" customHeight="1">
      <c r="A1249" s="30" t="inlineStr">
        <is>
          <t>Itaguai</t>
        </is>
      </c>
      <c r="B1249" s="30" t="n">
        <v>86949423</v>
      </c>
      <c r="C1249" s="30">
        <f>"02964147001956"</f>
        <v/>
      </c>
      <c r="D1249" s="30" t="inlineStr">
        <is>
          <t>PACIFICO LOG LOGISTICA E TRANSPORTES EIRELI</t>
        </is>
      </c>
      <c r="E1249" s="40" t="n">
        <v>0</v>
      </c>
      <c r="F1249" s="40" t="n">
        <v>363.1</v>
      </c>
      <c r="G1249" s="40" t="n">
        <v>100</v>
      </c>
      <c r="H1249" s="40" t="n">
        <v>0</v>
      </c>
      <c r="I1249" s="46" t="n">
        <v>-100</v>
      </c>
      <c r="J1249" s="40" t="n">
        <v>0</v>
      </c>
      <c r="K1249" s="40" t="n">
        <v>0</v>
      </c>
      <c r="L1249" s="40" t="n">
        <v>0</v>
      </c>
      <c r="M1249" s="40" t="n">
        <v>0</v>
      </c>
      <c r="N1249" s="40" t="n">
        <v>0</v>
      </c>
      <c r="O1249" s="40" t="n">
        <v>0</v>
      </c>
      <c r="P1249" s="40" t="n">
        <v>0</v>
      </c>
      <c r="Q1249" s="40" t="n">
        <v>0</v>
      </c>
      <c r="R1249" s="47" t="n"/>
      <c r="S1249" s="47" t="n"/>
      <c r="T1249" s="47" t="n"/>
      <c r="U1249" s="47" t="n"/>
      <c r="V1249" s="47" t="n"/>
      <c r="W1249" s="47" t="n"/>
    </row>
    <row r="1250" ht="11.25" customHeight="1">
      <c r="A1250" s="30" t="inlineStr">
        <is>
          <t>Itaguai</t>
        </is>
      </c>
      <c r="B1250" s="30" t="n">
        <v>86952718</v>
      </c>
      <c r="C1250" s="30">
        <f>"22125221000129"</f>
        <v/>
      </c>
      <c r="D1250" s="30" t="inlineStr">
        <is>
          <t>M SHIOSE MANUTENCAO DE MAQUINAS E EQUIPAMENTOS</t>
        </is>
      </c>
      <c r="E1250" s="40" t="n">
        <v>0</v>
      </c>
      <c r="F1250" s="40" t="n">
        <v>0</v>
      </c>
      <c r="G1250" s="40" t="n">
        <v>0</v>
      </c>
      <c r="H1250" s="40" t="n">
        <v>0</v>
      </c>
      <c r="I1250" s="40" t="n">
        <v>0</v>
      </c>
      <c r="J1250" s="40" t="n">
        <v>0</v>
      </c>
      <c r="K1250" s="40" t="n">
        <v>0</v>
      </c>
      <c r="L1250" s="40" t="n">
        <v>0</v>
      </c>
      <c r="M1250" s="40" t="n">
        <v>0</v>
      </c>
      <c r="N1250" s="40" t="n">
        <v>0</v>
      </c>
      <c r="O1250" s="40" t="n">
        <v>0</v>
      </c>
      <c r="P1250" s="40" t="n">
        <v>0</v>
      </c>
      <c r="Q1250" s="40" t="n">
        <v>0</v>
      </c>
      <c r="R1250" s="47" t="n"/>
      <c r="S1250" s="47" t="n"/>
      <c r="T1250" s="47" t="n"/>
      <c r="U1250" s="47" t="n"/>
      <c r="V1250" s="47" t="n"/>
      <c r="W1250" s="47" t="n"/>
    </row>
    <row r="1251" ht="11.25" customHeight="1">
      <c r="A1251" s="30" t="inlineStr">
        <is>
          <t>Itaguai</t>
        </is>
      </c>
      <c r="B1251" s="30" t="n">
        <v>86961768</v>
      </c>
      <c r="C1251" s="30">
        <f>"22830892000190"</f>
        <v/>
      </c>
      <c r="D1251" s="30" t="inlineStr">
        <is>
          <t>TEC 2016 COMERCIO E REPRESENTACOES EIRELI ME</t>
        </is>
      </c>
      <c r="E1251" s="40" t="n">
        <v>0</v>
      </c>
      <c r="F1251" s="40" t="n">
        <v>0</v>
      </c>
      <c r="G1251" s="40" t="n">
        <v>0</v>
      </c>
      <c r="H1251" s="40" t="n">
        <v>0</v>
      </c>
      <c r="I1251" s="40" t="n">
        <v>0</v>
      </c>
      <c r="J1251" s="40" t="n">
        <v>0</v>
      </c>
      <c r="K1251" s="40" t="n">
        <v>0</v>
      </c>
      <c r="L1251" s="40" t="n">
        <v>0</v>
      </c>
      <c r="M1251" s="40" t="n">
        <v>0</v>
      </c>
      <c r="N1251" s="40" t="n">
        <v>0</v>
      </c>
      <c r="O1251" s="40" t="n">
        <v>0</v>
      </c>
      <c r="P1251" s="40" t="n">
        <v>0</v>
      </c>
      <c r="Q1251" s="40" t="n">
        <v>0</v>
      </c>
      <c r="R1251" s="47" t="n"/>
      <c r="S1251" s="47" t="n"/>
      <c r="T1251" s="47" t="n"/>
      <c r="U1251" s="47" t="n"/>
      <c r="V1251" s="47" t="n"/>
      <c r="W1251" s="47" t="n"/>
    </row>
    <row r="1252" ht="11.25" customHeight="1">
      <c r="A1252" s="30" t="inlineStr">
        <is>
          <t>Itaguai</t>
        </is>
      </c>
      <c r="B1252" s="30" t="n">
        <v>86964007</v>
      </c>
      <c r="C1252" s="30">
        <f>"57642431000330"</f>
        <v/>
      </c>
      <c r="D1252" s="30" t="inlineStr">
        <is>
          <t>TRANSPORTADORA NOVA BRASILIA EIRELI</t>
        </is>
      </c>
      <c r="E1252" s="40" t="n">
        <v>285.02</v>
      </c>
      <c r="F1252" s="40" t="n">
        <v>0</v>
      </c>
      <c r="G1252" s="46" t="n">
        <v>-100</v>
      </c>
      <c r="H1252" s="40" t="n">
        <v>0</v>
      </c>
      <c r="I1252" s="40" t="n">
        <v>0</v>
      </c>
      <c r="J1252" s="40" t="n">
        <v>0</v>
      </c>
      <c r="K1252" s="40" t="n">
        <v>0</v>
      </c>
      <c r="L1252" s="40" t="n">
        <v>0</v>
      </c>
      <c r="M1252" s="40" t="n">
        <v>0</v>
      </c>
      <c r="N1252" s="40" t="n">
        <v>0</v>
      </c>
      <c r="O1252" s="40" t="n">
        <v>0</v>
      </c>
      <c r="P1252" s="40" t="n">
        <v>0</v>
      </c>
      <c r="Q1252" s="40" t="n">
        <v>0</v>
      </c>
      <c r="R1252" s="47" t="n"/>
      <c r="S1252" s="47" t="n"/>
      <c r="T1252" s="47" t="n"/>
      <c r="U1252" s="47" t="n"/>
      <c r="V1252" s="47" t="n"/>
      <c r="W1252" s="47" t="n"/>
    </row>
    <row r="1253" ht="11.25" customHeight="1">
      <c r="A1253" s="30" t="inlineStr">
        <is>
          <t>Itaguai</t>
        </is>
      </c>
      <c r="B1253" s="30" t="n">
        <v>86967316</v>
      </c>
      <c r="C1253" s="30">
        <f>"22888964000150"</f>
        <v/>
      </c>
      <c r="D1253" s="30" t="inlineStr">
        <is>
          <t>LT LOGISTICA, TRANSPORTE E DISTRIBUIDORA LTDA - ME</t>
        </is>
      </c>
      <c r="E1253" s="40" t="n">
        <v>0</v>
      </c>
      <c r="F1253" s="40" t="n">
        <v>0</v>
      </c>
      <c r="G1253" s="40" t="n">
        <v>0</v>
      </c>
      <c r="H1253" s="40" t="n">
        <v>0</v>
      </c>
      <c r="I1253" s="40" t="n">
        <v>0</v>
      </c>
      <c r="J1253" s="40" t="n">
        <v>0</v>
      </c>
      <c r="K1253" s="40" t="n">
        <v>0</v>
      </c>
      <c r="L1253" s="40" t="n">
        <v>0</v>
      </c>
      <c r="M1253" s="40" t="n">
        <v>0</v>
      </c>
      <c r="N1253" s="40" t="n">
        <v>58697.4</v>
      </c>
      <c r="O1253" s="40" t="n">
        <v>100</v>
      </c>
      <c r="P1253" s="40" t="n">
        <v>0</v>
      </c>
      <c r="Q1253" s="46" t="n">
        <v>-100</v>
      </c>
      <c r="R1253" s="47" t="n"/>
      <c r="S1253" s="47" t="n"/>
      <c r="T1253" s="47" t="n"/>
      <c r="U1253" s="47" t="n"/>
      <c r="V1253" s="47" t="n"/>
      <c r="W1253" s="47" t="n"/>
    </row>
    <row r="1254" ht="11.25" customHeight="1">
      <c r="A1254" s="30" t="inlineStr">
        <is>
          <t>Itaguai</t>
        </is>
      </c>
      <c r="B1254" s="30" t="n">
        <v>86976722</v>
      </c>
      <c r="C1254" s="30">
        <f>"04370759000117"</f>
        <v/>
      </c>
      <c r="D1254" s="30" t="inlineStr">
        <is>
          <t>LIDER RIO CENTRO AUTOMOTIVO LTDA ME</t>
        </is>
      </c>
      <c r="E1254" s="40" t="n">
        <v>0</v>
      </c>
      <c r="F1254" s="40" t="n">
        <v>80884.78</v>
      </c>
      <c r="G1254" s="40" t="n">
        <v>100</v>
      </c>
      <c r="H1254" s="40" t="n">
        <v>0</v>
      </c>
      <c r="I1254" s="46" t="n">
        <v>-100</v>
      </c>
      <c r="J1254" s="40" t="n">
        <v>0</v>
      </c>
      <c r="K1254" s="40" t="n">
        <v>0</v>
      </c>
      <c r="L1254" s="40" t="n">
        <v>0</v>
      </c>
      <c r="M1254" s="40" t="n">
        <v>0</v>
      </c>
      <c r="N1254" s="40" t="n">
        <v>0</v>
      </c>
      <c r="O1254" s="40" t="n">
        <v>0</v>
      </c>
      <c r="P1254" s="40" t="n">
        <v>0</v>
      </c>
      <c r="Q1254" s="40" t="n">
        <v>0</v>
      </c>
      <c r="R1254" s="47" t="n"/>
      <c r="S1254" s="47" t="n"/>
      <c r="T1254" s="47" t="n"/>
      <c r="U1254" s="47" t="n"/>
      <c r="V1254" s="47" t="n"/>
      <c r="W1254" s="47" t="n"/>
    </row>
    <row r="1255" ht="11.25" customHeight="1">
      <c r="A1255" s="30" t="inlineStr">
        <is>
          <t>Itaguai</t>
        </is>
      </c>
      <c r="B1255" s="30" t="n">
        <v>86982420</v>
      </c>
      <c r="C1255" s="30">
        <f>"07568880000227"</f>
        <v/>
      </c>
      <c r="D1255" s="30" t="inlineStr">
        <is>
          <t>EXPRESSO RECREIO TRANSPORTE DE PASSAGEIROS LTDA</t>
        </is>
      </c>
      <c r="E1255" s="40" t="n">
        <v>0</v>
      </c>
      <c r="F1255" s="40" t="n">
        <v>0</v>
      </c>
      <c r="G1255" s="40" t="n">
        <v>0</v>
      </c>
      <c r="H1255" s="40" t="n">
        <v>0</v>
      </c>
      <c r="I1255" s="40" t="n">
        <v>0</v>
      </c>
      <c r="J1255" s="40" t="n">
        <v>0</v>
      </c>
      <c r="K1255" s="40" t="n">
        <v>0</v>
      </c>
      <c r="L1255" s="40" t="n">
        <v>0</v>
      </c>
      <c r="M1255" s="40" t="n">
        <v>0</v>
      </c>
      <c r="N1255" s="40" t="n">
        <v>0</v>
      </c>
      <c r="O1255" s="40" t="n">
        <v>0</v>
      </c>
      <c r="P1255" s="40" t="n">
        <v>0</v>
      </c>
      <c r="Q1255" s="40" t="n">
        <v>0</v>
      </c>
      <c r="R1255" s="47" t="n"/>
      <c r="S1255" s="47" t="n"/>
      <c r="T1255" s="47" t="n"/>
      <c r="U1255" s="47" t="n"/>
      <c r="V1255" s="47" t="n"/>
      <c r="W1255" s="47" t="n"/>
    </row>
    <row r="1256" ht="11.25" customHeight="1">
      <c r="A1256" s="30" t="inlineStr">
        <is>
          <t>Itaguai</t>
        </is>
      </c>
      <c r="B1256" s="30" t="n">
        <v>86982641</v>
      </c>
      <c r="C1256" s="30">
        <f>"23030038000102"</f>
        <v/>
      </c>
      <c r="D1256" s="30" t="inlineStr">
        <is>
          <t>ARS BRISAMAR MADEIRAS EIRELI</t>
        </is>
      </c>
      <c r="E1256" s="40" t="n">
        <v>0</v>
      </c>
      <c r="F1256" s="40" t="n">
        <v>0</v>
      </c>
      <c r="G1256" s="40" t="n">
        <v>0</v>
      </c>
      <c r="H1256" s="40" t="n">
        <v>0</v>
      </c>
      <c r="I1256" s="40" t="n">
        <v>0</v>
      </c>
      <c r="J1256" s="40" t="n">
        <v>0</v>
      </c>
      <c r="K1256" s="40" t="n">
        <v>0</v>
      </c>
      <c r="L1256" s="40" t="n">
        <v>0</v>
      </c>
      <c r="M1256" s="40" t="n">
        <v>0</v>
      </c>
      <c r="N1256" s="40" t="n">
        <v>0</v>
      </c>
      <c r="O1256" s="40" t="n">
        <v>0</v>
      </c>
      <c r="P1256" s="40" t="n">
        <v>0</v>
      </c>
      <c r="Q1256" s="40" t="n">
        <v>0</v>
      </c>
      <c r="R1256" s="47" t="n"/>
      <c r="S1256" s="47" t="n"/>
      <c r="T1256" s="47" t="n"/>
      <c r="U1256" s="47" t="n"/>
      <c r="V1256" s="47" t="n"/>
      <c r="W1256" s="47" t="n"/>
    </row>
    <row r="1257" ht="11.25" customHeight="1">
      <c r="A1257" s="30" t="inlineStr">
        <is>
          <t>Itaguai</t>
        </is>
      </c>
      <c r="B1257" s="30" t="n">
        <v>86982927</v>
      </c>
      <c r="C1257" s="30">
        <f>"22847052000130"</f>
        <v/>
      </c>
      <c r="D1257" s="30" t="inlineStr">
        <is>
          <t>NJG TRANSPORTES DE CARGAS LTDA</t>
        </is>
      </c>
      <c r="E1257" s="40" t="n">
        <v>0</v>
      </c>
      <c r="F1257" s="40" t="n">
        <v>0</v>
      </c>
      <c r="G1257" s="40" t="n">
        <v>0</v>
      </c>
      <c r="H1257" s="40" t="n">
        <v>0</v>
      </c>
      <c r="I1257" s="40" t="n">
        <v>0</v>
      </c>
      <c r="J1257" s="40" t="n">
        <v>0</v>
      </c>
      <c r="K1257" s="40" t="n">
        <v>0</v>
      </c>
      <c r="L1257" s="40" t="n">
        <v>1</v>
      </c>
      <c r="M1257" s="40" t="n">
        <v>100</v>
      </c>
      <c r="N1257" s="40" t="n">
        <v>0</v>
      </c>
      <c r="O1257" s="46" t="n">
        <v>-100</v>
      </c>
      <c r="P1257" s="40" t="n">
        <v>0</v>
      </c>
      <c r="Q1257" s="40" t="n">
        <v>0</v>
      </c>
      <c r="R1257" s="47" t="n"/>
      <c r="S1257" s="47" t="n"/>
      <c r="T1257" s="47" t="n"/>
      <c r="U1257" s="47" t="n"/>
      <c r="V1257" s="47" t="n"/>
      <c r="W1257" s="47" t="n"/>
    </row>
    <row r="1258" ht="11.25" customHeight="1">
      <c r="A1258" s="30" t="inlineStr">
        <is>
          <t>Itaguai</t>
        </is>
      </c>
      <c r="B1258" s="30" t="n">
        <v>86989891</v>
      </c>
      <c r="C1258" s="30">
        <f>"23035935000109"</f>
        <v/>
      </c>
      <c r="D1258" s="30" t="inlineStr">
        <is>
          <t>PEIXARIA J N DE ITAGUAI LTDA ME</t>
        </is>
      </c>
      <c r="E1258" s="40" t="n">
        <v>0</v>
      </c>
      <c r="F1258" s="40" t="n">
        <v>0</v>
      </c>
      <c r="G1258" s="40" t="n">
        <v>0</v>
      </c>
      <c r="H1258" s="40" t="n">
        <v>82277.32000000001</v>
      </c>
      <c r="I1258" s="40" t="n">
        <v>100</v>
      </c>
      <c r="J1258" s="40" t="n">
        <v>0</v>
      </c>
      <c r="K1258" s="46" t="n">
        <v>-100</v>
      </c>
      <c r="L1258" s="40" t="n">
        <v>0</v>
      </c>
      <c r="M1258" s="40" t="n">
        <v>0</v>
      </c>
      <c r="N1258" s="40" t="n">
        <v>0</v>
      </c>
      <c r="O1258" s="40" t="n">
        <v>0</v>
      </c>
      <c r="P1258" s="40" t="n">
        <v>0</v>
      </c>
      <c r="Q1258" s="40" t="n">
        <v>0</v>
      </c>
      <c r="R1258" s="47" t="n"/>
      <c r="S1258" s="47" t="n"/>
      <c r="T1258" s="47" t="n"/>
      <c r="U1258" s="47" t="n"/>
      <c r="V1258" s="47" t="n"/>
      <c r="W1258" s="47" t="n"/>
    </row>
    <row r="1259" ht="11.25" customHeight="1">
      <c r="A1259" s="30" t="inlineStr">
        <is>
          <t>Itaguai</t>
        </is>
      </c>
      <c r="B1259" s="30" t="n">
        <v>86994178</v>
      </c>
      <c r="C1259" s="30">
        <f>"53237962003140"</f>
        <v/>
      </c>
      <c r="D1259" s="30" t="inlineStr">
        <is>
          <t>EMPRESA DE TRANSPORTES PAJUCARA LTDA</t>
        </is>
      </c>
      <c r="E1259" s="40" t="n">
        <v>3227.2</v>
      </c>
      <c r="F1259" s="40" t="n">
        <v>5038.36</v>
      </c>
      <c r="G1259" s="40" t="n">
        <v>56.12</v>
      </c>
      <c r="H1259" s="40" t="n">
        <v>6548.86</v>
      </c>
      <c r="I1259" s="40" t="n">
        <v>29.98</v>
      </c>
      <c r="J1259" s="40" t="n">
        <v>2396.77</v>
      </c>
      <c r="K1259" s="46" t="n">
        <v>-63.4</v>
      </c>
      <c r="L1259" s="40" t="n">
        <v>2656.17</v>
      </c>
      <c r="M1259" s="40" t="n">
        <v>10.82</v>
      </c>
      <c r="N1259" s="40" t="n">
        <v>3830.12</v>
      </c>
      <c r="O1259" s="40" t="n">
        <v>44.2</v>
      </c>
      <c r="P1259" s="40" t="n">
        <v>1324.85</v>
      </c>
      <c r="Q1259" s="46" t="n">
        <v>-65.41</v>
      </c>
      <c r="R1259" s="47" t="n"/>
      <c r="S1259" s="47" t="n"/>
      <c r="T1259" s="47" t="n"/>
      <c r="U1259" s="47" t="n"/>
      <c r="V1259" s="47" t="n"/>
      <c r="W1259" s="47" t="n"/>
    </row>
    <row r="1260" ht="11.25" customHeight="1">
      <c r="A1260" s="30" t="inlineStr">
        <is>
          <t>Itaguai</t>
        </is>
      </c>
      <c r="B1260" s="30" t="n">
        <v>86997177</v>
      </c>
      <c r="C1260" s="30">
        <f>"23126330000123"</f>
        <v/>
      </c>
      <c r="D1260" s="30" t="inlineStr">
        <is>
          <t>TRANSFUTURO LOGISTICA LTDA</t>
        </is>
      </c>
      <c r="E1260" s="40" t="n">
        <v>0</v>
      </c>
      <c r="F1260" s="40" t="n">
        <v>0</v>
      </c>
      <c r="G1260" s="40" t="n">
        <v>0</v>
      </c>
      <c r="H1260" s="40" t="n">
        <v>0</v>
      </c>
      <c r="I1260" s="40" t="n">
        <v>0</v>
      </c>
      <c r="J1260" s="40" t="n">
        <v>0</v>
      </c>
      <c r="K1260" s="40" t="n">
        <v>0</v>
      </c>
      <c r="L1260" s="40" t="n">
        <v>0</v>
      </c>
      <c r="M1260" s="40" t="n">
        <v>0</v>
      </c>
      <c r="N1260" s="40" t="n">
        <v>750316.23</v>
      </c>
      <c r="O1260" s="40" t="n">
        <v>100</v>
      </c>
      <c r="P1260" s="40" t="n">
        <v>0</v>
      </c>
      <c r="Q1260" s="46" t="n">
        <v>-100</v>
      </c>
      <c r="R1260" s="47" t="n"/>
      <c r="S1260" s="47" t="n"/>
      <c r="T1260" s="47" t="n"/>
      <c r="U1260" s="47" t="n"/>
      <c r="V1260" s="47" t="n"/>
      <c r="W1260" s="47" t="n"/>
    </row>
    <row r="1261" ht="11.25" customHeight="1">
      <c r="A1261" s="30" t="inlineStr">
        <is>
          <t>Itaguai</t>
        </is>
      </c>
      <c r="B1261" s="30" t="n">
        <v>86998734</v>
      </c>
      <c r="C1261" s="30">
        <f>"16416528000186"</f>
        <v/>
      </c>
      <c r="D1261" s="30" t="inlineStr">
        <is>
          <t>VALCOMEX EQUIPAMENTOS TECNICOS E MATERIAIS LTDA</t>
        </is>
      </c>
      <c r="E1261" s="40" t="n">
        <v>0</v>
      </c>
      <c r="F1261" s="40" t="n">
        <v>0</v>
      </c>
      <c r="G1261" s="40" t="n">
        <v>0</v>
      </c>
      <c r="H1261" s="40" t="n">
        <v>0</v>
      </c>
      <c r="I1261" s="40" t="n">
        <v>0</v>
      </c>
      <c r="J1261" s="40" t="n">
        <v>0</v>
      </c>
      <c r="K1261" s="40" t="n">
        <v>0</v>
      </c>
      <c r="L1261" s="40" t="n">
        <v>0</v>
      </c>
      <c r="M1261" s="40" t="n">
        <v>0</v>
      </c>
      <c r="N1261" s="40" t="n">
        <v>0</v>
      </c>
      <c r="O1261" s="40" t="n">
        <v>0</v>
      </c>
      <c r="P1261" s="40" t="n">
        <v>0</v>
      </c>
      <c r="Q1261" s="40" t="n">
        <v>0</v>
      </c>
      <c r="R1261" s="47" t="n"/>
      <c r="S1261" s="47" t="n"/>
      <c r="T1261" s="47" t="n"/>
      <c r="U1261" s="47" t="n"/>
      <c r="V1261" s="47" t="n"/>
      <c r="W1261" s="47" t="n"/>
    </row>
    <row r="1262" ht="11.25" customHeight="1">
      <c r="A1262" s="30" t="inlineStr">
        <is>
          <t>Itaguai</t>
        </is>
      </c>
      <c r="B1262" s="30" t="n">
        <v>87000060</v>
      </c>
      <c r="C1262" s="30">
        <f>"23196759000197"</f>
        <v/>
      </c>
      <c r="D1262" s="30" t="inlineStr">
        <is>
          <t>AZZURRA FRANCE VEICULOS LTDA</t>
        </is>
      </c>
      <c r="E1262" s="40" t="n">
        <v>541407.52</v>
      </c>
      <c r="F1262" s="40" t="n">
        <v>13672453.5</v>
      </c>
      <c r="G1262" s="40" t="n">
        <v>2425.35</v>
      </c>
      <c r="H1262" s="40" t="n">
        <v>6254472.28</v>
      </c>
      <c r="I1262" s="46" t="n">
        <v>-54.25</v>
      </c>
      <c r="J1262" s="40" t="n">
        <v>346989.5</v>
      </c>
      <c r="K1262" s="46" t="n">
        <v>-94.45</v>
      </c>
      <c r="L1262" s="40" t="n">
        <v>2689519.87</v>
      </c>
      <c r="M1262" s="40" t="n">
        <v>675.1</v>
      </c>
      <c r="N1262" s="40" t="n">
        <v>3285769.85</v>
      </c>
      <c r="O1262" s="40" t="n">
        <v>22.17</v>
      </c>
      <c r="P1262" s="40" t="n">
        <v>0</v>
      </c>
      <c r="Q1262" s="46" t="n">
        <v>-100</v>
      </c>
      <c r="R1262" s="47" t="n"/>
      <c r="S1262" s="47" t="n"/>
      <c r="T1262" s="47" t="n"/>
      <c r="U1262" s="47" t="n"/>
      <c r="V1262" s="47" t="n"/>
      <c r="W1262" s="47" t="n"/>
    </row>
    <row r="1263" ht="11.25" customHeight="1">
      <c r="A1263" s="30" t="inlineStr">
        <is>
          <t>Itaguai</t>
        </is>
      </c>
      <c r="B1263" s="30" t="n">
        <v>87006298</v>
      </c>
      <c r="C1263" s="30">
        <f>"28670958000370"</f>
        <v/>
      </c>
      <c r="D1263" s="30" t="inlineStr">
        <is>
          <t>VIACAO CIDADE DO ACO LTDA</t>
        </is>
      </c>
      <c r="E1263" s="40" t="n">
        <v>0</v>
      </c>
      <c r="F1263" s="40" t="n">
        <v>0</v>
      </c>
      <c r="G1263" s="40" t="n">
        <v>0</v>
      </c>
      <c r="H1263" s="40" t="n">
        <v>0</v>
      </c>
      <c r="I1263" s="40" t="n">
        <v>0</v>
      </c>
      <c r="J1263" s="40" t="n">
        <v>0</v>
      </c>
      <c r="K1263" s="40" t="n">
        <v>0</v>
      </c>
      <c r="L1263" s="40" t="n">
        <v>0</v>
      </c>
      <c r="M1263" s="40" t="n">
        <v>0</v>
      </c>
      <c r="N1263" s="40" t="n">
        <v>3115.28</v>
      </c>
      <c r="O1263" s="40" t="n">
        <v>100</v>
      </c>
      <c r="P1263" s="40" t="n">
        <v>1975.96</v>
      </c>
      <c r="Q1263" s="46" t="n">
        <v>-36.57</v>
      </c>
      <c r="R1263" s="47" t="n"/>
      <c r="S1263" s="47" t="n"/>
      <c r="T1263" s="47" t="n"/>
      <c r="U1263" s="47" t="n"/>
      <c r="V1263" s="47" t="n"/>
      <c r="W1263" s="47" t="n"/>
    </row>
    <row r="1264" ht="11.25" customHeight="1">
      <c r="A1264" s="30" t="inlineStr">
        <is>
          <t>Itaguai</t>
        </is>
      </c>
      <c r="B1264" s="30" t="n">
        <v>87010287</v>
      </c>
      <c r="C1264" s="30">
        <f>"11114284012331"</f>
        <v/>
      </c>
      <c r="D1264" s="30" t="inlineStr">
        <is>
          <t>CASA &amp; VIDEO RIO DE JANEIRO S A</t>
        </is>
      </c>
      <c r="E1264" s="40" t="n">
        <v>1285246.94</v>
      </c>
      <c r="F1264" s="40" t="n">
        <v>1299687.33</v>
      </c>
      <c r="G1264" s="40" t="n">
        <v>1.12</v>
      </c>
      <c r="H1264" s="40" t="n">
        <v>1358938.06</v>
      </c>
      <c r="I1264" s="40" t="n">
        <v>4.56</v>
      </c>
      <c r="J1264" s="40" t="n">
        <v>1433222.17</v>
      </c>
      <c r="K1264" s="40" t="n">
        <v>5.47</v>
      </c>
      <c r="L1264" s="40" t="n">
        <v>1157666.67</v>
      </c>
      <c r="M1264" s="46" t="n">
        <v>-19.23</v>
      </c>
      <c r="N1264" s="40" t="n">
        <v>1291233.72</v>
      </c>
      <c r="O1264" s="40" t="n">
        <v>11.54</v>
      </c>
      <c r="P1264" s="40" t="n">
        <v>1352202.16</v>
      </c>
      <c r="Q1264" s="40" t="n">
        <v>4.72</v>
      </c>
      <c r="R1264" s="47" t="n"/>
      <c r="S1264" s="47" t="n"/>
      <c r="T1264" s="47" t="n"/>
      <c r="U1264" s="47" t="n"/>
      <c r="V1264" s="47" t="n"/>
      <c r="W1264" s="47" t="n"/>
    </row>
    <row r="1265" ht="11.25" customHeight="1">
      <c r="A1265" s="30" t="inlineStr">
        <is>
          <t>Itaguai</t>
        </is>
      </c>
      <c r="B1265" s="30" t="n">
        <v>87012000</v>
      </c>
      <c r="C1265" s="30">
        <f>"02990003000226"</f>
        <v/>
      </c>
      <c r="D1265" s="30" t="inlineStr">
        <is>
          <t>SUPRAMAR DE IGUACU LTDA</t>
        </is>
      </c>
      <c r="E1265" s="40" t="n">
        <v>1100</v>
      </c>
      <c r="F1265" s="40" t="n">
        <v>0</v>
      </c>
      <c r="G1265" s="46" t="n">
        <v>-100</v>
      </c>
      <c r="H1265" s="40" t="n">
        <v>0</v>
      </c>
      <c r="I1265" s="40" t="n">
        <v>0</v>
      </c>
      <c r="J1265" s="40" t="n">
        <v>0</v>
      </c>
      <c r="K1265" s="40" t="n">
        <v>0</v>
      </c>
      <c r="L1265" s="40" t="n">
        <v>0</v>
      </c>
      <c r="M1265" s="40" t="n">
        <v>0</v>
      </c>
      <c r="N1265" s="40" t="n">
        <v>0</v>
      </c>
      <c r="O1265" s="40" t="n">
        <v>0</v>
      </c>
      <c r="P1265" s="40" t="n">
        <v>0</v>
      </c>
      <c r="Q1265" s="40" t="n">
        <v>0</v>
      </c>
      <c r="R1265" s="47" t="n"/>
      <c r="S1265" s="47" t="n"/>
      <c r="T1265" s="47" t="n"/>
      <c r="U1265" s="47" t="n"/>
      <c r="V1265" s="47" t="n"/>
      <c r="W1265" s="47" t="n"/>
    </row>
    <row r="1266" ht="11.25" customHeight="1">
      <c r="A1266" s="30" t="inlineStr">
        <is>
          <t>Itaguai</t>
        </is>
      </c>
      <c r="B1266" s="30" t="n">
        <v>87013952</v>
      </c>
      <c r="C1266" s="30">
        <f>"05886614003585"</f>
        <v/>
      </c>
      <c r="D1266" s="30" t="inlineStr">
        <is>
          <t>DIRECT EXPRESS LOGISTICA INTEGRADA S/A</t>
        </is>
      </c>
      <c r="E1266" s="40" t="n">
        <v>9036.889999999999</v>
      </c>
      <c r="F1266" s="40" t="n">
        <v>0</v>
      </c>
      <c r="G1266" s="46" t="n">
        <v>-100</v>
      </c>
      <c r="H1266" s="40" t="n">
        <v>0</v>
      </c>
      <c r="I1266" s="40" t="n">
        <v>0</v>
      </c>
      <c r="J1266" s="40" t="n">
        <v>0</v>
      </c>
      <c r="K1266" s="40" t="n">
        <v>0</v>
      </c>
      <c r="L1266" s="40" t="n">
        <v>0</v>
      </c>
      <c r="M1266" s="40" t="n">
        <v>0</v>
      </c>
      <c r="N1266" s="40" t="n">
        <v>0</v>
      </c>
      <c r="O1266" s="40" t="n">
        <v>0</v>
      </c>
      <c r="P1266" s="40" t="n">
        <v>0</v>
      </c>
      <c r="Q1266" s="40" t="n">
        <v>0</v>
      </c>
      <c r="R1266" s="47" t="n"/>
      <c r="S1266" s="47" t="n"/>
      <c r="T1266" s="47" t="n"/>
      <c r="U1266" s="47" t="n"/>
      <c r="V1266" s="47" t="n"/>
      <c r="W1266" s="47" t="n"/>
    </row>
    <row r="1267" ht="11.25" customHeight="1">
      <c r="A1267" s="30" t="inlineStr">
        <is>
          <t>Itaguai</t>
        </is>
      </c>
      <c r="B1267" s="30" t="n">
        <v>87015025</v>
      </c>
      <c r="C1267" s="30">
        <f>"10329139000218"</f>
        <v/>
      </c>
      <c r="D1267" s="30" t="inlineStr">
        <is>
          <t>DOXS LOGISTICA INTEGRADA LTDA</t>
        </is>
      </c>
      <c r="E1267" s="40" t="n">
        <v>0</v>
      </c>
      <c r="F1267" s="40" t="n">
        <v>0</v>
      </c>
      <c r="G1267" s="40" t="n">
        <v>0</v>
      </c>
      <c r="H1267" s="40" t="n">
        <v>0</v>
      </c>
      <c r="I1267" s="40" t="n">
        <v>0</v>
      </c>
      <c r="J1267" s="40" t="n">
        <v>0</v>
      </c>
      <c r="K1267" s="40" t="n">
        <v>0</v>
      </c>
      <c r="L1267" s="40" t="n">
        <v>85.7</v>
      </c>
      <c r="M1267" s="40" t="n">
        <v>100</v>
      </c>
      <c r="N1267" s="40" t="n">
        <v>0</v>
      </c>
      <c r="O1267" s="46" t="n">
        <v>-100</v>
      </c>
      <c r="P1267" s="40" t="n">
        <v>0</v>
      </c>
      <c r="Q1267" s="40" t="n">
        <v>0</v>
      </c>
      <c r="R1267" s="47" t="n"/>
      <c r="S1267" s="47" t="n"/>
      <c r="T1267" s="47" t="n"/>
      <c r="U1267" s="47" t="n"/>
      <c r="V1267" s="47" t="n"/>
      <c r="W1267" s="47" t="n"/>
    </row>
    <row r="1268" ht="11.25" customHeight="1">
      <c r="A1268" s="30" t="inlineStr">
        <is>
          <t>Itaguai</t>
        </is>
      </c>
      <c r="B1268" s="30" t="n">
        <v>87021700</v>
      </c>
      <c r="C1268" s="30">
        <f>"28670958000290"</f>
        <v/>
      </c>
      <c r="D1268" s="30" t="inlineStr">
        <is>
          <t>VIACAO CIDADE DO ACO LTDA</t>
        </is>
      </c>
      <c r="E1268" s="40" t="n">
        <v>0</v>
      </c>
      <c r="F1268" s="40" t="n">
        <v>0</v>
      </c>
      <c r="G1268" s="40" t="n">
        <v>0</v>
      </c>
      <c r="H1268" s="40" t="n">
        <v>0</v>
      </c>
      <c r="I1268" s="40" t="n">
        <v>0</v>
      </c>
      <c r="J1268" s="40" t="n">
        <v>0</v>
      </c>
      <c r="K1268" s="40" t="n">
        <v>0</v>
      </c>
      <c r="L1268" s="40" t="n">
        <v>0</v>
      </c>
      <c r="M1268" s="40" t="n">
        <v>0</v>
      </c>
      <c r="N1268" s="40" t="n">
        <v>10900</v>
      </c>
      <c r="O1268" s="40" t="n">
        <v>100</v>
      </c>
      <c r="P1268" s="40" t="n">
        <v>39800</v>
      </c>
      <c r="Q1268" s="40" t="n">
        <v>265.14</v>
      </c>
      <c r="R1268" s="47" t="n"/>
      <c r="S1268" s="47" t="n"/>
      <c r="T1268" s="47" t="n"/>
      <c r="U1268" s="47" t="n"/>
      <c r="V1268" s="47" t="n"/>
      <c r="W1268" s="47" t="n"/>
    </row>
    <row r="1269" ht="11.25" customHeight="1">
      <c r="A1269" s="30" t="inlineStr">
        <is>
          <t>Itaguai</t>
        </is>
      </c>
      <c r="B1269" s="30" t="n">
        <v>87029271</v>
      </c>
      <c r="C1269" s="30">
        <f>"30620298000446"</f>
        <v/>
      </c>
      <c r="D1269" s="30" t="inlineStr">
        <is>
          <t>EXPRESSO RIO DE JANEIRO LTDA</t>
        </is>
      </c>
      <c r="E1269" s="40" t="n">
        <v>0</v>
      </c>
      <c r="F1269" s="40" t="n">
        <v>0</v>
      </c>
      <c r="G1269" s="40" t="n">
        <v>0</v>
      </c>
      <c r="H1269" s="40" t="n">
        <v>0</v>
      </c>
      <c r="I1269" s="40" t="n">
        <v>0</v>
      </c>
      <c r="J1269" s="40" t="n">
        <v>0</v>
      </c>
      <c r="K1269" s="40" t="n">
        <v>0</v>
      </c>
      <c r="L1269" s="40" t="n">
        <v>0</v>
      </c>
      <c r="M1269" s="40" t="n">
        <v>0</v>
      </c>
      <c r="N1269" s="40" t="n">
        <v>0</v>
      </c>
      <c r="O1269" s="40" t="n">
        <v>0</v>
      </c>
      <c r="P1269" s="40" t="n">
        <v>7690</v>
      </c>
      <c r="Q1269" s="40" t="n">
        <v>100</v>
      </c>
      <c r="R1269" s="47" t="n"/>
      <c r="S1269" s="47" t="n"/>
      <c r="T1269" s="47" t="n"/>
      <c r="U1269" s="47" t="n"/>
      <c r="V1269" s="47" t="n"/>
      <c r="W1269" s="47" t="n"/>
    </row>
    <row r="1270" ht="11.25" customHeight="1">
      <c r="A1270" s="30" t="inlineStr">
        <is>
          <t>Itaguai</t>
        </is>
      </c>
      <c r="B1270" s="30" t="n">
        <v>87031993</v>
      </c>
      <c r="C1270" s="30">
        <f>"23236527000115"</f>
        <v/>
      </c>
      <c r="D1270" s="30" t="inlineStr">
        <is>
          <t>E AZEVEDO TRANSPORTE E LOGISTICA LTDA ME</t>
        </is>
      </c>
      <c r="E1270" s="40" t="n">
        <v>0</v>
      </c>
      <c r="F1270" s="40" t="n">
        <v>3774</v>
      </c>
      <c r="G1270" s="40" t="n">
        <v>100</v>
      </c>
      <c r="H1270" s="40" t="n">
        <v>0</v>
      </c>
      <c r="I1270" s="46" t="n">
        <v>-100</v>
      </c>
      <c r="J1270" s="40" t="n">
        <v>0</v>
      </c>
      <c r="K1270" s="40" t="n">
        <v>0</v>
      </c>
      <c r="L1270" s="40" t="n">
        <v>0</v>
      </c>
      <c r="M1270" s="40" t="n">
        <v>0</v>
      </c>
      <c r="N1270" s="40" t="n">
        <v>0</v>
      </c>
      <c r="O1270" s="40" t="n">
        <v>0</v>
      </c>
      <c r="P1270" s="40" t="n">
        <v>0</v>
      </c>
      <c r="Q1270" s="40" t="n">
        <v>0</v>
      </c>
      <c r="R1270" s="47" t="n"/>
      <c r="S1270" s="47" t="n"/>
      <c r="T1270" s="47" t="n"/>
      <c r="U1270" s="47" t="n"/>
      <c r="V1270" s="47" t="n"/>
      <c r="W1270" s="47" t="n"/>
    </row>
    <row r="1271" ht="11.25" customHeight="1">
      <c r="A1271" s="30" t="inlineStr">
        <is>
          <t>Itaguai</t>
        </is>
      </c>
      <c r="B1271" s="30" t="n">
        <v>87034607</v>
      </c>
      <c r="C1271" s="30">
        <f>"16654626003410"</f>
        <v/>
      </c>
      <c r="D1271" s="30" t="inlineStr">
        <is>
          <t>COOK EMPREENDIMENTOS EM ALIMENTACAO COLETIVA LTDA</t>
        </is>
      </c>
      <c r="E1271" s="40" t="n">
        <v>3831108.05</v>
      </c>
      <c r="F1271" s="40" t="n">
        <v>0</v>
      </c>
      <c r="G1271" s="46" t="n">
        <v>-100</v>
      </c>
      <c r="H1271" s="40" t="n">
        <v>0</v>
      </c>
      <c r="I1271" s="40" t="n">
        <v>0</v>
      </c>
      <c r="J1271" s="40" t="n">
        <v>0</v>
      </c>
      <c r="K1271" s="40" t="n">
        <v>0</v>
      </c>
      <c r="L1271" s="40" t="n">
        <v>0</v>
      </c>
      <c r="M1271" s="40" t="n">
        <v>0</v>
      </c>
      <c r="N1271" s="40" t="n">
        <v>0</v>
      </c>
      <c r="O1271" s="40" t="n">
        <v>0</v>
      </c>
      <c r="P1271" s="40" t="n">
        <v>0</v>
      </c>
      <c r="Q1271" s="40" t="n">
        <v>0</v>
      </c>
      <c r="R1271" s="47" t="n"/>
      <c r="S1271" s="47" t="n"/>
      <c r="T1271" s="47" t="n"/>
      <c r="U1271" s="47" t="n"/>
      <c r="V1271" s="47" t="n"/>
      <c r="W1271" s="47" t="n"/>
    </row>
    <row r="1272" ht="11.25" customHeight="1">
      <c r="A1272" s="30" t="inlineStr">
        <is>
          <t>Itaguai</t>
        </is>
      </c>
      <c r="B1272" s="30" t="n">
        <v>87035794</v>
      </c>
      <c r="C1272" s="30">
        <f>"05872814000300"</f>
        <v/>
      </c>
      <c r="D1272" s="30" t="inlineStr">
        <is>
          <t>VOGEL SOLUCOES EM TELECOMUNICACOES E INFORMATICA S.A.</t>
        </is>
      </c>
      <c r="E1272" s="40" t="n">
        <v>0</v>
      </c>
      <c r="F1272" s="40" t="n">
        <v>0</v>
      </c>
      <c r="G1272" s="40" t="n">
        <v>0</v>
      </c>
      <c r="H1272" s="40" t="n">
        <v>0</v>
      </c>
      <c r="I1272" s="40" t="n">
        <v>0</v>
      </c>
      <c r="J1272" s="40" t="n">
        <v>0</v>
      </c>
      <c r="K1272" s="40" t="n">
        <v>0</v>
      </c>
      <c r="L1272" s="40" t="n">
        <v>0</v>
      </c>
      <c r="M1272" s="40" t="n">
        <v>0</v>
      </c>
      <c r="N1272" s="40" t="n">
        <v>15691.91</v>
      </c>
      <c r="O1272" s="40" t="n">
        <v>100</v>
      </c>
      <c r="P1272" s="40" t="n">
        <v>182833.67</v>
      </c>
      <c r="Q1272" s="40" t="n">
        <v>1065.15</v>
      </c>
      <c r="R1272" s="47" t="n"/>
      <c r="S1272" s="47" t="n"/>
      <c r="T1272" s="47" t="n"/>
      <c r="U1272" s="47" t="n"/>
      <c r="V1272" s="47" t="n"/>
      <c r="W1272" s="47" t="n"/>
    </row>
    <row r="1273" ht="11.25" customHeight="1">
      <c r="A1273" s="30" t="inlineStr">
        <is>
          <t>Itaguai</t>
        </is>
      </c>
      <c r="B1273" s="30" t="n">
        <v>87038645</v>
      </c>
      <c r="C1273" s="30">
        <f>"44772937000665"</f>
        <v/>
      </c>
      <c r="D1273" s="30" t="inlineStr">
        <is>
          <t>TELEMATICA SISTEMAS INTELIGENTES LTDA</t>
        </is>
      </c>
      <c r="E1273" s="40" t="n">
        <v>41118.06</v>
      </c>
      <c r="F1273" s="40" t="n">
        <v>0</v>
      </c>
      <c r="G1273" s="46" t="n">
        <v>-100</v>
      </c>
      <c r="H1273" s="40" t="n">
        <v>0</v>
      </c>
      <c r="I1273" s="40" t="n">
        <v>0</v>
      </c>
      <c r="J1273" s="40" t="n">
        <v>0</v>
      </c>
      <c r="K1273" s="40" t="n">
        <v>0</v>
      </c>
      <c r="L1273" s="40" t="n">
        <v>0</v>
      </c>
      <c r="M1273" s="40" t="n">
        <v>0</v>
      </c>
      <c r="N1273" s="40" t="n">
        <v>0</v>
      </c>
      <c r="O1273" s="40" t="n">
        <v>0</v>
      </c>
      <c r="P1273" s="40" t="n">
        <v>0</v>
      </c>
      <c r="Q1273" s="40" t="n">
        <v>0</v>
      </c>
      <c r="R1273" s="47" t="n"/>
      <c r="S1273" s="47" t="n"/>
      <c r="T1273" s="47" t="n"/>
      <c r="U1273" s="47" t="n"/>
      <c r="V1273" s="47" t="n"/>
      <c r="W1273" s="47" t="n"/>
    </row>
    <row r="1274" ht="11.25" customHeight="1">
      <c r="A1274" s="30" t="inlineStr">
        <is>
          <t>Itaguai</t>
        </is>
      </c>
      <c r="B1274" s="30" t="n">
        <v>87051048</v>
      </c>
      <c r="C1274" s="30">
        <f>"23671660000108"</f>
        <v/>
      </c>
      <c r="D1274" s="30" t="inlineStr">
        <is>
          <t>GLOG TRANSPORTES EIRELI</t>
        </is>
      </c>
      <c r="E1274" s="40" t="n">
        <v>0</v>
      </c>
      <c r="F1274" s="40" t="n">
        <v>0</v>
      </c>
      <c r="G1274" s="40" t="n">
        <v>0</v>
      </c>
      <c r="H1274" s="40" t="n">
        <v>0</v>
      </c>
      <c r="I1274" s="40" t="n">
        <v>0</v>
      </c>
      <c r="J1274" s="40" t="n">
        <v>25065.94</v>
      </c>
      <c r="K1274" s="40" t="n">
        <v>100</v>
      </c>
      <c r="L1274" s="40" t="n">
        <v>0</v>
      </c>
      <c r="M1274" s="46" t="n">
        <v>-100</v>
      </c>
      <c r="N1274" s="40" t="n">
        <v>0</v>
      </c>
      <c r="O1274" s="40" t="n">
        <v>0</v>
      </c>
      <c r="P1274" s="40" t="n">
        <v>0</v>
      </c>
      <c r="Q1274" s="40" t="n">
        <v>0</v>
      </c>
      <c r="R1274" s="47" t="n"/>
      <c r="S1274" s="47" t="n"/>
      <c r="T1274" s="47" t="n"/>
      <c r="U1274" s="47" t="n"/>
      <c r="V1274" s="47" t="n"/>
      <c r="W1274" s="47" t="n"/>
    </row>
    <row r="1275" ht="11.25" customHeight="1">
      <c r="A1275" s="30" t="inlineStr">
        <is>
          <t>Itaguai</t>
        </is>
      </c>
      <c r="B1275" s="30" t="n">
        <v>87056805</v>
      </c>
      <c r="C1275" s="30">
        <f>"23723970000110"</f>
        <v/>
      </c>
      <c r="D1275" s="30" t="inlineStr">
        <is>
          <t>HALTER TECH ACADEMIA LTDA ME</t>
        </is>
      </c>
      <c r="E1275" s="40" t="n">
        <v>0</v>
      </c>
      <c r="F1275" s="40" t="n">
        <v>0</v>
      </c>
      <c r="G1275" s="40" t="n">
        <v>0</v>
      </c>
      <c r="H1275" s="40" t="n">
        <v>0</v>
      </c>
      <c r="I1275" s="40" t="n">
        <v>0</v>
      </c>
      <c r="J1275" s="40" t="n">
        <v>0</v>
      </c>
      <c r="K1275" s="40" t="n">
        <v>0</v>
      </c>
      <c r="L1275" s="40" t="n">
        <v>0</v>
      </c>
      <c r="M1275" s="40" t="n">
        <v>0</v>
      </c>
      <c r="N1275" s="40" t="n">
        <v>0</v>
      </c>
      <c r="O1275" s="40" t="n">
        <v>0</v>
      </c>
      <c r="P1275" s="40" t="n">
        <v>0</v>
      </c>
      <c r="Q1275" s="40" t="n">
        <v>0</v>
      </c>
      <c r="R1275" s="47" t="n"/>
      <c r="S1275" s="47" t="n"/>
      <c r="T1275" s="47" t="n"/>
      <c r="U1275" s="47" t="n"/>
      <c r="V1275" s="47" t="n"/>
      <c r="W1275" s="47" t="n"/>
    </row>
    <row r="1276" ht="11.25" customHeight="1">
      <c r="A1276" s="30" t="inlineStr">
        <is>
          <t>Itaguai</t>
        </is>
      </c>
      <c r="B1276" s="30" t="n">
        <v>87058182</v>
      </c>
      <c r="C1276" s="30">
        <f>"23734062000122"</f>
        <v/>
      </c>
      <c r="D1276" s="30" t="inlineStr">
        <is>
          <t>J T CALIL COMERCIO DE JOIAS EIRELI</t>
        </is>
      </c>
      <c r="E1276" s="40" t="n">
        <v>2493669.29</v>
      </c>
      <c r="F1276" s="40" t="n">
        <v>1850685.07</v>
      </c>
      <c r="G1276" s="46" t="n">
        <v>-25.78</v>
      </c>
      <c r="H1276" s="40" t="n">
        <v>2231860.75</v>
      </c>
      <c r="I1276" s="40" t="n">
        <v>20.6</v>
      </c>
      <c r="J1276" s="40" t="n">
        <v>2071249.94</v>
      </c>
      <c r="K1276" s="46" t="n">
        <v>-7.2</v>
      </c>
      <c r="L1276" s="40" t="n">
        <v>3244437.11</v>
      </c>
      <c r="M1276" s="40" t="n">
        <v>56.64</v>
      </c>
      <c r="N1276" s="40" t="n">
        <v>1912372.62</v>
      </c>
      <c r="O1276" s="46" t="n">
        <v>-41.06</v>
      </c>
      <c r="P1276" s="40" t="n">
        <v>1554190.26</v>
      </c>
      <c r="Q1276" s="46" t="n">
        <v>-18.73</v>
      </c>
      <c r="R1276" s="47" t="n"/>
      <c r="S1276" s="47" t="n"/>
      <c r="T1276" s="47" t="n"/>
      <c r="U1276" s="47" t="n"/>
      <c r="V1276" s="47" t="n"/>
      <c r="W1276" s="47" t="n"/>
    </row>
    <row r="1277" ht="11.25" customHeight="1">
      <c r="A1277" s="30" t="inlineStr">
        <is>
          <t>Itaguai</t>
        </is>
      </c>
      <c r="B1277" s="30" t="n">
        <v>87062554</v>
      </c>
      <c r="C1277" s="30">
        <f>"17252128000145"</f>
        <v/>
      </c>
      <c r="D1277" s="30" t="inlineStr">
        <is>
          <t>REVOLUTION SOM ILUMINACAO E IMAGEM EIRELI ME</t>
        </is>
      </c>
      <c r="E1277" s="40" t="n">
        <v>0</v>
      </c>
      <c r="F1277" s="40" t="n">
        <v>0</v>
      </c>
      <c r="G1277" s="40" t="n">
        <v>0</v>
      </c>
      <c r="H1277" s="40" t="n">
        <v>0</v>
      </c>
      <c r="I1277" s="40" t="n">
        <v>0</v>
      </c>
      <c r="J1277" s="40" t="n">
        <v>0</v>
      </c>
      <c r="K1277" s="40" t="n">
        <v>0</v>
      </c>
      <c r="L1277" s="40" t="n">
        <v>0</v>
      </c>
      <c r="M1277" s="40" t="n">
        <v>0</v>
      </c>
      <c r="N1277" s="40" t="n">
        <v>0</v>
      </c>
      <c r="O1277" s="40" t="n">
        <v>0</v>
      </c>
      <c r="P1277" s="40" t="n">
        <v>0</v>
      </c>
      <c r="Q1277" s="40" t="n">
        <v>0</v>
      </c>
      <c r="R1277" s="47" t="n"/>
      <c r="S1277" s="47" t="n"/>
      <c r="T1277" s="47" t="n"/>
      <c r="U1277" s="47" t="n"/>
      <c r="V1277" s="47" t="n"/>
      <c r="W1277" s="47" t="n"/>
    </row>
    <row r="1278" ht="11.25" customHeight="1">
      <c r="A1278" s="30" t="inlineStr">
        <is>
          <t>Itaguai</t>
        </is>
      </c>
      <c r="B1278" s="30" t="n">
        <v>87067998</v>
      </c>
      <c r="C1278" s="30">
        <f>"06695952000234"</f>
        <v/>
      </c>
      <c r="D1278" s="30" t="inlineStr">
        <is>
          <t>ACL CARGO TRANSPORTES LTDA EPP</t>
        </is>
      </c>
      <c r="E1278" s="40" t="n">
        <v>0</v>
      </c>
      <c r="F1278" s="40" t="n">
        <v>0</v>
      </c>
      <c r="G1278" s="40" t="n">
        <v>0</v>
      </c>
      <c r="H1278" s="40" t="n">
        <v>0</v>
      </c>
      <c r="I1278" s="40" t="n">
        <v>0</v>
      </c>
      <c r="J1278" s="40" t="n">
        <v>344928.61</v>
      </c>
      <c r="K1278" s="40" t="n">
        <v>100</v>
      </c>
      <c r="L1278" s="40" t="n">
        <v>0</v>
      </c>
      <c r="M1278" s="46" t="n">
        <v>-100</v>
      </c>
      <c r="N1278" s="40" t="n">
        <v>216248.59</v>
      </c>
      <c r="O1278" s="40" t="n">
        <v>100</v>
      </c>
      <c r="P1278" s="40" t="n">
        <v>0</v>
      </c>
      <c r="Q1278" s="46" t="n">
        <v>-100</v>
      </c>
      <c r="R1278" s="47" t="n"/>
      <c r="S1278" s="47" t="n"/>
      <c r="T1278" s="47" t="n"/>
      <c r="U1278" s="47" t="n"/>
      <c r="V1278" s="47" t="n"/>
      <c r="W1278" s="47" t="n"/>
    </row>
    <row r="1279" ht="11.25" customHeight="1">
      <c r="A1279" s="30" t="inlineStr">
        <is>
          <t>Itaguai</t>
        </is>
      </c>
      <c r="B1279" s="30" t="n">
        <v>87069273</v>
      </c>
      <c r="C1279" s="30">
        <f>"03572841000242"</f>
        <v/>
      </c>
      <c r="D1279" s="30" t="inlineStr">
        <is>
          <t>ULTRASOL AMBIENTAL LTDA</t>
        </is>
      </c>
      <c r="E1279" s="40" t="n">
        <v>0</v>
      </c>
      <c r="F1279" s="40" t="n">
        <v>2682</v>
      </c>
      <c r="G1279" s="40" t="n">
        <v>100</v>
      </c>
      <c r="H1279" s="40" t="n">
        <v>4377</v>
      </c>
      <c r="I1279" s="40" t="n">
        <v>63.2</v>
      </c>
      <c r="J1279" s="40" t="n">
        <v>708.27</v>
      </c>
      <c r="K1279" s="46" t="n">
        <v>-83.81999999999999</v>
      </c>
      <c r="L1279" s="40" t="n">
        <v>0</v>
      </c>
      <c r="M1279" s="46" t="n">
        <v>-100</v>
      </c>
      <c r="N1279" s="40" t="n">
        <v>0</v>
      </c>
      <c r="O1279" s="40" t="n">
        <v>0</v>
      </c>
      <c r="P1279" s="40" t="n">
        <v>0</v>
      </c>
      <c r="Q1279" s="40" t="n">
        <v>0</v>
      </c>
      <c r="R1279" s="47" t="n"/>
      <c r="S1279" s="47" t="n"/>
      <c r="T1279" s="47" t="n"/>
      <c r="U1279" s="47" t="n"/>
      <c r="V1279" s="47" t="n"/>
      <c r="W1279" s="47" t="n"/>
    </row>
    <row r="1280" ht="11.25" customHeight="1">
      <c r="A1280" s="30" t="inlineStr">
        <is>
          <t>Itaguai</t>
        </is>
      </c>
      <c r="B1280" s="30" t="n">
        <v>87077187</v>
      </c>
      <c r="C1280" s="30">
        <f>"01599101002056"</f>
        <v/>
      </c>
      <c r="D1280" s="30" t="inlineStr">
        <is>
          <t>SEQUOIA LOGISTICA E TRANSPORTES S.A.</t>
        </is>
      </c>
      <c r="E1280" s="40" t="n">
        <v>0</v>
      </c>
      <c r="F1280" s="40" t="n">
        <v>0</v>
      </c>
      <c r="G1280" s="40" t="n">
        <v>0</v>
      </c>
      <c r="H1280" s="40" t="n">
        <v>0</v>
      </c>
      <c r="I1280" s="40" t="n">
        <v>0</v>
      </c>
      <c r="J1280" s="40" t="n">
        <v>35.49</v>
      </c>
      <c r="K1280" s="40" t="n">
        <v>100</v>
      </c>
      <c r="L1280" s="40" t="n">
        <v>1644.82</v>
      </c>
      <c r="M1280" s="40" t="n">
        <v>4534.6</v>
      </c>
      <c r="N1280" s="40" t="n">
        <v>325015.73</v>
      </c>
      <c r="O1280" s="40" t="n">
        <v>19659.96</v>
      </c>
      <c r="P1280" s="40" t="n">
        <v>84681.39999999999</v>
      </c>
      <c r="Q1280" s="46" t="n">
        <v>-73.95</v>
      </c>
      <c r="R1280" s="47" t="n"/>
      <c r="S1280" s="47" t="n"/>
      <c r="T1280" s="47" t="n"/>
      <c r="U1280" s="47" t="n"/>
      <c r="V1280" s="47" t="n"/>
      <c r="W1280" s="47" t="n"/>
    </row>
    <row r="1281" ht="11.25" customHeight="1">
      <c r="A1281" s="30" t="inlineStr">
        <is>
          <t>Itaguai</t>
        </is>
      </c>
      <c r="B1281" s="30" t="n">
        <v>87100375</v>
      </c>
      <c r="C1281" s="30">
        <f>"19938420000222"</f>
        <v/>
      </c>
      <c r="D1281" s="30" t="inlineStr">
        <is>
          <t>BEGUR TRANSPORTE RODOVIARIO LOGISTICA E SERVICOS LTDA</t>
        </is>
      </c>
      <c r="E1281" s="40" t="n">
        <v>0</v>
      </c>
      <c r="F1281" s="40" t="n">
        <v>0</v>
      </c>
      <c r="G1281" s="40" t="n">
        <v>0</v>
      </c>
      <c r="H1281" s="40" t="n">
        <v>0</v>
      </c>
      <c r="I1281" s="40" t="n">
        <v>0</v>
      </c>
      <c r="J1281" s="40" t="n">
        <v>0</v>
      </c>
      <c r="K1281" s="40" t="n">
        <v>0</v>
      </c>
      <c r="L1281" s="40" t="n">
        <v>0</v>
      </c>
      <c r="M1281" s="40" t="n">
        <v>0</v>
      </c>
      <c r="N1281" s="40" t="n">
        <v>0</v>
      </c>
      <c r="O1281" s="40" t="n">
        <v>0</v>
      </c>
      <c r="P1281" s="40" t="n">
        <v>70</v>
      </c>
      <c r="Q1281" s="40" t="n">
        <v>100</v>
      </c>
      <c r="R1281" s="47" t="n"/>
      <c r="S1281" s="47" t="n"/>
      <c r="T1281" s="47" t="n"/>
      <c r="U1281" s="47" t="n"/>
      <c r="V1281" s="47" t="n"/>
      <c r="W1281" s="47" t="n"/>
    </row>
    <row r="1282" ht="11.25" customHeight="1">
      <c r="A1282" s="30" t="inlineStr">
        <is>
          <t>Itaguai</t>
        </is>
      </c>
      <c r="B1282" s="30" t="n">
        <v>87102580</v>
      </c>
      <c r="C1282" s="30">
        <f>"24229493000102"</f>
        <v/>
      </c>
      <c r="D1282" s="30" t="inlineStr">
        <is>
          <t>F P COMERCIO VAREJISTA DE AUTO PECAS E ACESSORIOS LTDA</t>
        </is>
      </c>
      <c r="E1282" s="40" t="n">
        <v>2962194.11</v>
      </c>
      <c r="F1282" s="40" t="n">
        <v>2337248.99</v>
      </c>
      <c r="G1282" s="46" t="n">
        <v>-21.1</v>
      </c>
      <c r="H1282" s="40" t="n">
        <v>3520229.39</v>
      </c>
      <c r="I1282" s="40" t="n">
        <v>50.61</v>
      </c>
      <c r="J1282" s="40" t="n">
        <v>4474032.16</v>
      </c>
      <c r="K1282" s="40" t="n">
        <v>27.09</v>
      </c>
      <c r="L1282" s="40" t="n">
        <v>4638943.95</v>
      </c>
      <c r="M1282" s="40" t="n">
        <v>3.69</v>
      </c>
      <c r="N1282" s="40" t="n">
        <v>5237211.22</v>
      </c>
      <c r="O1282" s="40" t="n">
        <v>12.9</v>
      </c>
      <c r="P1282" s="40" t="n">
        <v>5074793.38</v>
      </c>
      <c r="Q1282" s="46" t="n">
        <v>-3.1</v>
      </c>
      <c r="R1282" s="47" t="n"/>
      <c r="S1282" s="47" t="n"/>
      <c r="T1282" s="47" t="n"/>
      <c r="U1282" s="47" t="n"/>
      <c r="V1282" s="47" t="n"/>
      <c r="W1282" s="47" t="n"/>
    </row>
    <row r="1283" ht="11.25" customHeight="1">
      <c r="A1283" s="30" t="inlineStr">
        <is>
          <t>Itaguai</t>
        </is>
      </c>
      <c r="B1283" s="30" t="n">
        <v>87105938</v>
      </c>
      <c r="C1283" s="30">
        <f>"17619009000773"</f>
        <v/>
      </c>
      <c r="D1283" s="30" t="inlineStr">
        <is>
          <t>VENKON EXPRESS TRANSPORTES EIRELI EPP</t>
        </is>
      </c>
      <c r="E1283" s="40" t="n">
        <v>0</v>
      </c>
      <c r="F1283" s="40" t="n">
        <v>0</v>
      </c>
      <c r="G1283" s="40" t="n">
        <v>0</v>
      </c>
      <c r="H1283" s="40" t="n">
        <v>0</v>
      </c>
      <c r="I1283" s="40" t="n">
        <v>0</v>
      </c>
      <c r="J1283" s="40" t="n">
        <v>59388.69</v>
      </c>
      <c r="K1283" s="40" t="n">
        <v>100</v>
      </c>
      <c r="L1283" s="40" t="n">
        <v>47961.87</v>
      </c>
      <c r="M1283" s="46" t="n">
        <v>-19.24</v>
      </c>
      <c r="N1283" s="40" t="n">
        <v>0</v>
      </c>
      <c r="O1283" s="46" t="n">
        <v>-100</v>
      </c>
      <c r="P1283" s="40" t="n">
        <v>0</v>
      </c>
      <c r="Q1283" s="40" t="n">
        <v>0</v>
      </c>
      <c r="R1283" s="47" t="n"/>
      <c r="S1283" s="47" t="n"/>
      <c r="T1283" s="47" t="n"/>
      <c r="U1283" s="47" t="n"/>
      <c r="V1283" s="47" t="n"/>
      <c r="W1283" s="47" t="n"/>
    </row>
    <row r="1284" ht="11.25" customHeight="1">
      <c r="A1284" s="30" t="inlineStr">
        <is>
          <t>Itaguai</t>
        </is>
      </c>
      <c r="B1284" s="30" t="n">
        <v>87107094</v>
      </c>
      <c r="C1284" s="30">
        <f>"07677731001278"</f>
        <v/>
      </c>
      <c r="D1284" s="30" t="inlineStr">
        <is>
          <t>AUTOPORT TRANSPORTES E LOGISTICA LTDA</t>
        </is>
      </c>
      <c r="E1284" s="40" t="n">
        <v>0</v>
      </c>
      <c r="F1284" s="40" t="n">
        <v>0</v>
      </c>
      <c r="G1284" s="40" t="n">
        <v>0</v>
      </c>
      <c r="H1284" s="40" t="n">
        <v>0</v>
      </c>
      <c r="I1284" s="40" t="n">
        <v>0</v>
      </c>
      <c r="J1284" s="40" t="n">
        <v>0</v>
      </c>
      <c r="K1284" s="40" t="n">
        <v>0</v>
      </c>
      <c r="L1284" s="40" t="n">
        <v>15194.49</v>
      </c>
      <c r="M1284" s="40" t="n">
        <v>100</v>
      </c>
      <c r="N1284" s="40" t="n">
        <v>0</v>
      </c>
      <c r="O1284" s="46" t="n">
        <v>-100</v>
      </c>
      <c r="P1284" s="40" t="n">
        <v>0</v>
      </c>
      <c r="Q1284" s="40" t="n">
        <v>0</v>
      </c>
      <c r="R1284" s="47" t="n"/>
      <c r="S1284" s="47" t="n"/>
      <c r="T1284" s="47" t="n"/>
      <c r="U1284" s="47" t="n"/>
      <c r="V1284" s="47" t="n"/>
      <c r="W1284" s="47" t="n"/>
    </row>
    <row r="1285" ht="11.25" customHeight="1">
      <c r="A1285" s="30" t="inlineStr">
        <is>
          <t>Itaguai</t>
        </is>
      </c>
      <c r="B1285" s="30" t="n">
        <v>87107957</v>
      </c>
      <c r="C1285" s="30">
        <f>"13156593000121"</f>
        <v/>
      </c>
      <c r="D1285" s="30" t="inlineStr">
        <is>
          <t>D F DOS SANTOS JARDINAGEM ME</t>
        </is>
      </c>
      <c r="E1285" s="40" t="n">
        <v>0</v>
      </c>
      <c r="F1285" s="40" t="n">
        <v>0</v>
      </c>
      <c r="G1285" s="40" t="n">
        <v>0</v>
      </c>
      <c r="H1285" s="40" t="n">
        <v>0</v>
      </c>
      <c r="I1285" s="40" t="n">
        <v>0</v>
      </c>
      <c r="J1285" s="40" t="n">
        <v>0</v>
      </c>
      <c r="K1285" s="40" t="n">
        <v>0</v>
      </c>
      <c r="L1285" s="40" t="n">
        <v>0</v>
      </c>
      <c r="M1285" s="40" t="n">
        <v>0</v>
      </c>
      <c r="N1285" s="40" t="n">
        <v>0</v>
      </c>
      <c r="O1285" s="40" t="n">
        <v>0</v>
      </c>
      <c r="P1285" s="40" t="n">
        <v>0</v>
      </c>
      <c r="Q1285" s="40" t="n">
        <v>0</v>
      </c>
      <c r="R1285" s="47" t="n"/>
      <c r="S1285" s="47" t="n"/>
      <c r="T1285" s="47" t="n"/>
      <c r="U1285" s="47" t="n"/>
      <c r="V1285" s="47" t="n"/>
      <c r="W1285" s="47" t="n"/>
    </row>
    <row r="1286" ht="11.25" customHeight="1">
      <c r="A1286" s="30" t="inlineStr">
        <is>
          <t>Itaguai</t>
        </is>
      </c>
      <c r="B1286" s="30" t="n">
        <v>87108643</v>
      </c>
      <c r="C1286" s="30">
        <f>"24209386000104"</f>
        <v/>
      </c>
      <c r="D1286" s="30" t="inlineStr">
        <is>
          <t>SIBÉRIA COMÉRCIO E SERVIÇOS EIRELI</t>
        </is>
      </c>
      <c r="E1286" s="40" t="n">
        <v>0</v>
      </c>
      <c r="F1286" s="40" t="n">
        <v>0</v>
      </c>
      <c r="G1286" s="40" t="n">
        <v>0</v>
      </c>
      <c r="H1286" s="40" t="n">
        <v>0</v>
      </c>
      <c r="I1286" s="40" t="n">
        <v>0</v>
      </c>
      <c r="J1286" s="40" t="n">
        <v>315304.9</v>
      </c>
      <c r="K1286" s="40" t="n">
        <v>100</v>
      </c>
      <c r="L1286" s="40" t="n">
        <v>0</v>
      </c>
      <c r="M1286" s="46" t="n">
        <v>-100</v>
      </c>
      <c r="N1286" s="40" t="n">
        <v>0</v>
      </c>
      <c r="O1286" s="40" t="n">
        <v>0</v>
      </c>
      <c r="P1286" s="40" t="n">
        <v>0</v>
      </c>
      <c r="Q1286" s="40" t="n">
        <v>0</v>
      </c>
      <c r="R1286" s="47" t="n"/>
      <c r="S1286" s="47" t="n"/>
      <c r="T1286" s="47" t="n"/>
      <c r="U1286" s="47" t="n"/>
      <c r="V1286" s="47" t="n"/>
      <c r="W1286" s="47" t="n"/>
    </row>
    <row r="1287" ht="11.25" customHeight="1">
      <c r="A1287" s="30" t="inlineStr">
        <is>
          <t>Itaguai</t>
        </is>
      </c>
      <c r="B1287" s="30" t="n">
        <v>87116760</v>
      </c>
      <c r="C1287" s="30">
        <f>"01125797002089"</f>
        <v/>
      </c>
      <c r="D1287" s="30" t="inlineStr">
        <is>
          <t>ATIVA DISTRIBUICAO E LOGISTICA LTDA</t>
        </is>
      </c>
      <c r="E1287" s="40" t="n">
        <v>114.67</v>
      </c>
      <c r="F1287" s="40" t="n">
        <v>0</v>
      </c>
      <c r="G1287" s="46" t="n">
        <v>-100</v>
      </c>
      <c r="H1287" s="40" t="n">
        <v>0</v>
      </c>
      <c r="I1287" s="40" t="n">
        <v>0</v>
      </c>
      <c r="J1287" s="40" t="n">
        <v>0</v>
      </c>
      <c r="K1287" s="40" t="n">
        <v>0</v>
      </c>
      <c r="L1287" s="40" t="n">
        <v>0</v>
      </c>
      <c r="M1287" s="40" t="n">
        <v>0</v>
      </c>
      <c r="N1287" s="40" t="n">
        <v>0</v>
      </c>
      <c r="O1287" s="40" t="n">
        <v>0</v>
      </c>
      <c r="P1287" s="40" t="n">
        <v>0</v>
      </c>
      <c r="Q1287" s="40" t="n">
        <v>0</v>
      </c>
      <c r="R1287" s="47" t="n"/>
      <c r="S1287" s="47" t="n"/>
      <c r="T1287" s="47" t="n"/>
      <c r="U1287" s="47" t="n"/>
      <c r="V1287" s="47" t="n"/>
      <c r="W1287" s="47" t="n"/>
    </row>
    <row r="1288" ht="11.25" customHeight="1">
      <c r="A1288" s="30" t="inlineStr">
        <is>
          <t>Itaguai</t>
        </is>
      </c>
      <c r="B1288" s="30" t="n">
        <v>87129985</v>
      </c>
      <c r="C1288" s="30">
        <f>"04577959000226"</f>
        <v/>
      </c>
      <c r="D1288" s="30" t="inlineStr">
        <is>
          <t>BAT TRANSPORTES, LOGÍSTICA E ARMAZENAGEM EIRELI</t>
        </is>
      </c>
      <c r="E1288" s="40" t="n">
        <v>0</v>
      </c>
      <c r="F1288" s="40" t="n">
        <v>0</v>
      </c>
      <c r="G1288" s="40" t="n">
        <v>0</v>
      </c>
      <c r="H1288" s="40" t="n">
        <v>0</v>
      </c>
      <c r="I1288" s="40" t="n">
        <v>0</v>
      </c>
      <c r="J1288" s="40" t="n">
        <v>512</v>
      </c>
      <c r="K1288" s="40" t="n">
        <v>100</v>
      </c>
      <c r="L1288" s="40" t="n">
        <v>0</v>
      </c>
      <c r="M1288" s="46" t="n">
        <v>-100</v>
      </c>
      <c r="N1288" s="40" t="n">
        <v>0</v>
      </c>
      <c r="O1288" s="40" t="n">
        <v>0</v>
      </c>
      <c r="P1288" s="40" t="n">
        <v>0</v>
      </c>
      <c r="Q1288" s="40" t="n">
        <v>0</v>
      </c>
      <c r="R1288" s="47" t="n"/>
      <c r="S1288" s="47" t="n"/>
      <c r="T1288" s="47" t="n"/>
      <c r="U1288" s="47" t="n"/>
      <c r="V1288" s="47" t="n"/>
      <c r="W1288" s="47" t="n"/>
    </row>
    <row r="1289" ht="11.25" customHeight="1">
      <c r="A1289" s="30" t="inlineStr">
        <is>
          <t>Itaguai</t>
        </is>
      </c>
      <c r="B1289" s="30" t="n">
        <v>87132536</v>
      </c>
      <c r="C1289" s="30">
        <f>"24487405000164"</f>
        <v/>
      </c>
      <c r="D1289" s="30" t="inlineStr">
        <is>
          <t>CONSTRUTORA E MATERIAL DE CONSTRUCAO CRISTINA EIRELI EPP</t>
        </is>
      </c>
      <c r="E1289" s="40" t="n">
        <v>0</v>
      </c>
      <c r="F1289" s="40" t="n">
        <v>0</v>
      </c>
      <c r="G1289" s="40" t="n">
        <v>0</v>
      </c>
      <c r="H1289" s="40" t="n">
        <v>0</v>
      </c>
      <c r="I1289" s="40" t="n">
        <v>0</v>
      </c>
      <c r="J1289" s="40" t="n">
        <v>0</v>
      </c>
      <c r="K1289" s="40" t="n">
        <v>0</v>
      </c>
      <c r="L1289" s="40" t="n">
        <v>0</v>
      </c>
      <c r="M1289" s="40" t="n">
        <v>0</v>
      </c>
      <c r="N1289" s="40" t="n">
        <v>0</v>
      </c>
      <c r="O1289" s="40" t="n">
        <v>0</v>
      </c>
      <c r="P1289" s="40" t="n">
        <v>0</v>
      </c>
      <c r="Q1289" s="40" t="n">
        <v>0</v>
      </c>
      <c r="R1289" s="47" t="n"/>
      <c r="S1289" s="47" t="n"/>
      <c r="T1289" s="47" t="n"/>
      <c r="U1289" s="47" t="n"/>
      <c r="V1289" s="47" t="n"/>
      <c r="W1289" s="47" t="n"/>
    </row>
    <row r="1290" ht="11.25" customHeight="1">
      <c r="A1290" s="30" t="inlineStr">
        <is>
          <t>Itaguai</t>
        </is>
      </c>
      <c r="B1290" s="30" t="n">
        <v>87132811</v>
      </c>
      <c r="C1290" s="30">
        <f>"24388056000123"</f>
        <v/>
      </c>
      <c r="D1290" s="30" t="inlineStr">
        <is>
          <t>IMPERIAL COSMETICOS DE ITAGUAI LTDA</t>
        </is>
      </c>
      <c r="E1290" s="40" t="n">
        <v>0</v>
      </c>
      <c r="F1290" s="40" t="n">
        <v>1161901.88</v>
      </c>
      <c r="G1290" s="40" t="n">
        <v>100</v>
      </c>
      <c r="H1290" s="40" t="n">
        <v>0</v>
      </c>
      <c r="I1290" s="46" t="n">
        <v>-100</v>
      </c>
      <c r="J1290" s="40" t="n">
        <v>0</v>
      </c>
      <c r="K1290" s="40" t="n">
        <v>0</v>
      </c>
      <c r="L1290" s="40" t="n">
        <v>0</v>
      </c>
      <c r="M1290" s="40" t="n">
        <v>0</v>
      </c>
      <c r="N1290" s="40" t="n">
        <v>0</v>
      </c>
      <c r="O1290" s="40" t="n">
        <v>0</v>
      </c>
      <c r="P1290" s="40" t="n">
        <v>0</v>
      </c>
      <c r="Q1290" s="40" t="n">
        <v>0</v>
      </c>
      <c r="R1290" s="47" t="n"/>
      <c r="S1290" s="47" t="n"/>
      <c r="T1290" s="47" t="n"/>
      <c r="U1290" s="47" t="n"/>
      <c r="V1290" s="47" t="n"/>
      <c r="W1290" s="47" t="n"/>
    </row>
    <row r="1291" ht="11.25" customHeight="1">
      <c r="A1291" s="30" t="inlineStr">
        <is>
          <t>Itaguai</t>
        </is>
      </c>
      <c r="B1291" s="30" t="n">
        <v>87132862</v>
      </c>
      <c r="C1291" s="30">
        <f>"16754063000173"</f>
        <v/>
      </c>
      <c r="D1291" s="30" t="inlineStr">
        <is>
          <t>CASAL LOCACOES DE MAQUINAS E EQUIPAMENTOS LTDA</t>
        </is>
      </c>
      <c r="E1291" s="40" t="n">
        <v>0</v>
      </c>
      <c r="F1291" s="40" t="n">
        <v>0</v>
      </c>
      <c r="G1291" s="40" t="n">
        <v>0</v>
      </c>
      <c r="H1291" s="40" t="n">
        <v>0</v>
      </c>
      <c r="I1291" s="40" t="n">
        <v>0</v>
      </c>
      <c r="J1291" s="40" t="n">
        <v>0</v>
      </c>
      <c r="K1291" s="40" t="n">
        <v>0</v>
      </c>
      <c r="L1291" s="40" t="n">
        <v>0</v>
      </c>
      <c r="M1291" s="40" t="n">
        <v>0</v>
      </c>
      <c r="N1291" s="40" t="n">
        <v>0</v>
      </c>
      <c r="O1291" s="40" t="n">
        <v>0</v>
      </c>
      <c r="P1291" s="40" t="n">
        <v>0</v>
      </c>
      <c r="Q1291" s="40" t="n">
        <v>0</v>
      </c>
      <c r="R1291" s="47" t="n"/>
      <c r="S1291" s="47" t="n"/>
      <c r="T1291" s="47" t="n"/>
      <c r="U1291" s="47" t="n"/>
      <c r="V1291" s="47" t="n"/>
      <c r="W1291" s="47" t="n"/>
    </row>
    <row r="1292" ht="11.25" customHeight="1">
      <c r="A1292" s="30" t="inlineStr">
        <is>
          <t>Itaguai</t>
        </is>
      </c>
      <c r="B1292" s="30" t="n">
        <v>87132919</v>
      </c>
      <c r="C1292" s="30">
        <f>"11132060000184"</f>
        <v/>
      </c>
      <c r="D1292" s="30" t="inlineStr">
        <is>
          <t>JJAPA TRANSPORTES E LOGISTICA EIRELI</t>
        </is>
      </c>
      <c r="E1292" s="40" t="n">
        <v>0</v>
      </c>
      <c r="F1292" s="40" t="n">
        <v>0</v>
      </c>
      <c r="G1292" s="40" t="n">
        <v>0</v>
      </c>
      <c r="H1292" s="40" t="n">
        <v>0</v>
      </c>
      <c r="I1292" s="40" t="n">
        <v>0</v>
      </c>
      <c r="J1292" s="40" t="n">
        <v>35.9</v>
      </c>
      <c r="K1292" s="40" t="n">
        <v>100</v>
      </c>
      <c r="L1292" s="40" t="n">
        <v>1154.6</v>
      </c>
      <c r="M1292" s="40" t="n">
        <v>3116.16</v>
      </c>
      <c r="N1292" s="40" t="n">
        <v>0</v>
      </c>
      <c r="O1292" s="46" t="n">
        <v>-100</v>
      </c>
      <c r="P1292" s="40" t="n">
        <v>0</v>
      </c>
      <c r="Q1292" s="40" t="n">
        <v>0</v>
      </c>
      <c r="R1292" s="47" t="n"/>
      <c r="S1292" s="47" t="n"/>
      <c r="T1292" s="47" t="n"/>
      <c r="U1292" s="47" t="n"/>
      <c r="V1292" s="47" t="n"/>
      <c r="W1292" s="47" t="n"/>
    </row>
    <row r="1293" ht="11.25" customHeight="1">
      <c r="A1293" s="30" t="inlineStr">
        <is>
          <t>Itaguai</t>
        </is>
      </c>
      <c r="B1293" s="30" t="n">
        <v>87135357</v>
      </c>
      <c r="C1293" s="30">
        <f>"60319985000225"</f>
        <v/>
      </c>
      <c r="D1293" s="30" t="inlineStr">
        <is>
          <t>JOMED TRANSPORTE E LOGISTICA EIRELI</t>
        </is>
      </c>
      <c r="E1293" s="40" t="n">
        <v>161.8</v>
      </c>
      <c r="F1293" s="40" t="n">
        <v>0</v>
      </c>
      <c r="G1293" s="46" t="n">
        <v>-100</v>
      </c>
      <c r="H1293" s="40" t="n">
        <v>107850</v>
      </c>
      <c r="I1293" s="40" t="n">
        <v>100</v>
      </c>
      <c r="J1293" s="40" t="n">
        <v>0</v>
      </c>
      <c r="K1293" s="46" t="n">
        <v>-100</v>
      </c>
      <c r="L1293" s="40" t="n">
        <v>9548.389999999999</v>
      </c>
      <c r="M1293" s="40" t="n">
        <v>100</v>
      </c>
      <c r="N1293" s="40" t="n">
        <v>0</v>
      </c>
      <c r="O1293" s="46" t="n">
        <v>-100</v>
      </c>
      <c r="P1293" s="40" t="n">
        <v>0</v>
      </c>
      <c r="Q1293" s="40" t="n">
        <v>0</v>
      </c>
      <c r="R1293" s="47" t="n"/>
      <c r="S1293" s="47" t="n"/>
      <c r="T1293" s="47" t="n"/>
      <c r="U1293" s="47" t="n"/>
      <c r="V1293" s="47" t="n"/>
      <c r="W1293" s="47" t="n"/>
    </row>
    <row r="1294" ht="11.25" customHeight="1">
      <c r="A1294" s="30" t="inlineStr">
        <is>
          <t>Itaguai</t>
        </is>
      </c>
      <c r="B1294" s="30" t="n">
        <v>87139670</v>
      </c>
      <c r="C1294" s="30">
        <f>"01240034000116"</f>
        <v/>
      </c>
      <c r="D1294" s="30" t="inlineStr">
        <is>
          <t>COOPERATIVA DOS MOTORISTAS AUTONOMOS DA COSTA VERDE</t>
        </is>
      </c>
      <c r="E1294" s="40" t="n">
        <v>0</v>
      </c>
      <c r="F1294" s="40" t="n">
        <v>0</v>
      </c>
      <c r="G1294" s="40" t="n">
        <v>0</v>
      </c>
      <c r="H1294" s="40" t="n">
        <v>0</v>
      </c>
      <c r="I1294" s="40" t="n">
        <v>0</v>
      </c>
      <c r="J1294" s="40" t="n">
        <v>0</v>
      </c>
      <c r="K1294" s="40" t="n">
        <v>0</v>
      </c>
      <c r="L1294" s="40" t="n">
        <v>0</v>
      </c>
      <c r="M1294" s="40" t="n">
        <v>0</v>
      </c>
      <c r="N1294" s="40" t="n">
        <v>0</v>
      </c>
      <c r="O1294" s="40" t="n">
        <v>0</v>
      </c>
      <c r="P1294" s="40" t="n">
        <v>0</v>
      </c>
      <c r="Q1294" s="40" t="n">
        <v>0</v>
      </c>
      <c r="R1294" s="47" t="n"/>
      <c r="S1294" s="47" t="n"/>
      <c r="T1294" s="47" t="n"/>
      <c r="U1294" s="47" t="n"/>
      <c r="V1294" s="47" t="n"/>
      <c r="W1294" s="47" t="n"/>
    </row>
    <row r="1295" ht="11.25" customHeight="1">
      <c r="A1295" s="30" t="inlineStr">
        <is>
          <t>Itaguai</t>
        </is>
      </c>
      <c r="B1295" s="30" t="n">
        <v>87140377</v>
      </c>
      <c r="C1295" s="30">
        <f>"24092449000276"</f>
        <v/>
      </c>
      <c r="D1295" s="30" t="inlineStr">
        <is>
          <t>ACL LINE TRANSPORTES LTDA EPP</t>
        </is>
      </c>
      <c r="E1295" s="40" t="n">
        <v>0</v>
      </c>
      <c r="F1295" s="40" t="n">
        <v>619254.98</v>
      </c>
      <c r="G1295" s="40" t="n">
        <v>100</v>
      </c>
      <c r="H1295" s="40" t="n">
        <v>1141051.27</v>
      </c>
      <c r="I1295" s="40" t="n">
        <v>84.26000000000001</v>
      </c>
      <c r="J1295" s="40" t="n">
        <v>478735.47</v>
      </c>
      <c r="K1295" s="46" t="n">
        <v>-58.04</v>
      </c>
      <c r="L1295" s="40" t="n">
        <v>0</v>
      </c>
      <c r="M1295" s="46" t="n">
        <v>-100</v>
      </c>
      <c r="N1295" s="40" t="n">
        <v>0</v>
      </c>
      <c r="O1295" s="40" t="n">
        <v>0</v>
      </c>
      <c r="P1295" s="40" t="n">
        <v>0</v>
      </c>
      <c r="Q1295" s="40" t="n">
        <v>0</v>
      </c>
      <c r="R1295" s="47" t="n"/>
      <c r="S1295" s="47" t="n"/>
      <c r="T1295" s="47" t="n"/>
      <c r="U1295" s="47" t="n"/>
      <c r="V1295" s="47" t="n"/>
      <c r="W1295" s="47" t="n"/>
    </row>
    <row r="1296" ht="11.25" customHeight="1">
      <c r="A1296" s="30" t="inlineStr">
        <is>
          <t>Itaguai</t>
        </is>
      </c>
      <c r="B1296" s="30" t="n">
        <v>87149340</v>
      </c>
      <c r="C1296" s="30">
        <f>"10509207000140"</f>
        <v/>
      </c>
      <c r="D1296" s="30" t="inlineStr">
        <is>
          <t>TOVA COMERCIO DE PNEUS LTDA</t>
        </is>
      </c>
      <c r="E1296" s="40" t="n">
        <v>0</v>
      </c>
      <c r="F1296" s="40" t="n">
        <v>0</v>
      </c>
      <c r="G1296" s="40" t="n">
        <v>0</v>
      </c>
      <c r="H1296" s="40" t="n">
        <v>854540.38</v>
      </c>
      <c r="I1296" s="40" t="n">
        <v>100</v>
      </c>
      <c r="J1296" s="40" t="n">
        <v>378542.6</v>
      </c>
      <c r="K1296" s="46" t="n">
        <v>-55.7</v>
      </c>
      <c r="L1296" s="40" t="n">
        <v>853121.15</v>
      </c>
      <c r="M1296" s="40" t="n">
        <v>125.37</v>
      </c>
      <c r="N1296" s="40" t="n">
        <v>893671.45</v>
      </c>
      <c r="O1296" s="40" t="n">
        <v>4.75</v>
      </c>
      <c r="P1296" s="40" t="n">
        <v>1312762.93</v>
      </c>
      <c r="Q1296" s="40" t="n">
        <v>46.9</v>
      </c>
      <c r="R1296" s="47" t="n"/>
      <c r="S1296" s="47" t="n"/>
      <c r="T1296" s="47" t="n"/>
      <c r="U1296" s="47" t="n"/>
      <c r="V1296" s="47" t="n"/>
      <c r="W1296" s="47" t="n"/>
    </row>
    <row r="1297" ht="11.25" customHeight="1">
      <c r="A1297" s="30" t="inlineStr">
        <is>
          <t>Itaguai</t>
        </is>
      </c>
      <c r="B1297" s="30" t="n">
        <v>87158071</v>
      </c>
      <c r="C1297" s="30">
        <f>"68558600000103"</f>
        <v/>
      </c>
      <c r="D1297" s="30" t="inlineStr">
        <is>
          <t>A F COMERCIO E REPRESENTA?AO DE BEBIDASE TECIDOS LTDA</t>
        </is>
      </c>
      <c r="E1297" s="40" t="n">
        <v>0</v>
      </c>
      <c r="F1297" s="40" t="n">
        <v>0</v>
      </c>
      <c r="G1297" s="40" t="n">
        <v>0</v>
      </c>
      <c r="H1297" s="40" t="n">
        <v>0</v>
      </c>
      <c r="I1297" s="40" t="n">
        <v>0</v>
      </c>
      <c r="J1297" s="40" t="n">
        <v>0</v>
      </c>
      <c r="K1297" s="40" t="n">
        <v>0</v>
      </c>
      <c r="L1297" s="40" t="n">
        <v>0</v>
      </c>
      <c r="M1297" s="40" t="n">
        <v>0</v>
      </c>
      <c r="N1297" s="40" t="n">
        <v>0</v>
      </c>
      <c r="O1297" s="40" t="n">
        <v>0</v>
      </c>
      <c r="P1297" s="40" t="n">
        <v>0</v>
      </c>
      <c r="Q1297" s="40" t="n">
        <v>0</v>
      </c>
      <c r="R1297" s="47" t="n"/>
      <c r="S1297" s="47" t="n"/>
      <c r="T1297" s="47" t="n"/>
      <c r="U1297" s="47" t="n"/>
      <c r="V1297" s="47" t="n"/>
      <c r="W1297" s="47" t="n"/>
    </row>
    <row r="1298" ht="11.25" customHeight="1">
      <c r="A1298" s="30" t="inlineStr">
        <is>
          <t>Itaguai</t>
        </is>
      </c>
      <c r="B1298" s="30" t="n">
        <v>87159183</v>
      </c>
      <c r="C1298" s="30">
        <f>"22044907000276"</f>
        <v/>
      </c>
      <c r="D1298" s="30" t="inlineStr">
        <is>
          <t>LOGMED RIO ARMAZENAGEM E TRANSPORTE LTDA</t>
        </is>
      </c>
      <c r="E1298" s="40" t="n">
        <v>0</v>
      </c>
      <c r="F1298" s="40" t="n">
        <v>0</v>
      </c>
      <c r="G1298" s="40" t="n">
        <v>0</v>
      </c>
      <c r="H1298" s="40" t="n">
        <v>0</v>
      </c>
      <c r="I1298" s="40" t="n">
        <v>0</v>
      </c>
      <c r="J1298" s="40" t="n">
        <v>622.45</v>
      </c>
      <c r="K1298" s="40" t="n">
        <v>100</v>
      </c>
      <c r="L1298" s="40" t="n">
        <v>282.81</v>
      </c>
      <c r="M1298" s="46" t="n">
        <v>-54.57</v>
      </c>
      <c r="N1298" s="40" t="n">
        <v>1061.4</v>
      </c>
      <c r="O1298" s="40" t="n">
        <v>275.3</v>
      </c>
      <c r="P1298" s="40" t="n">
        <v>3449.64</v>
      </c>
      <c r="Q1298" s="40" t="n">
        <v>225.01</v>
      </c>
      <c r="R1298" s="47" t="n"/>
      <c r="S1298" s="47" t="n"/>
      <c r="T1298" s="47" t="n"/>
      <c r="U1298" s="47" t="n"/>
      <c r="V1298" s="47" t="n"/>
      <c r="W1298" s="47" t="n"/>
    </row>
    <row r="1299" ht="11.25" customHeight="1">
      <c r="A1299" s="30" t="inlineStr">
        <is>
          <t>Itaguai</t>
        </is>
      </c>
      <c r="B1299" s="30" t="n">
        <v>87159337</v>
      </c>
      <c r="C1299" s="30">
        <f>"24975220000107"</f>
        <v/>
      </c>
      <c r="D1299" s="30" t="inlineStr">
        <is>
          <t>SHOPMUSIC INSTRUMENTOS MUSICAIS LTDA</t>
        </is>
      </c>
      <c r="E1299" s="40" t="n">
        <v>0</v>
      </c>
      <c r="F1299" s="40" t="n">
        <v>0</v>
      </c>
      <c r="G1299" s="40" t="n">
        <v>0</v>
      </c>
      <c r="H1299" s="40" t="n">
        <v>0</v>
      </c>
      <c r="I1299" s="40" t="n">
        <v>0</v>
      </c>
      <c r="J1299" s="40" t="n">
        <v>0</v>
      </c>
      <c r="K1299" s="40" t="n">
        <v>0</v>
      </c>
      <c r="L1299" s="40" t="n">
        <v>0</v>
      </c>
      <c r="M1299" s="40" t="n">
        <v>0</v>
      </c>
      <c r="N1299" s="40" t="n">
        <v>0</v>
      </c>
      <c r="O1299" s="40" t="n">
        <v>0</v>
      </c>
      <c r="P1299" s="40" t="n">
        <v>0</v>
      </c>
      <c r="Q1299" s="40" t="n">
        <v>0</v>
      </c>
      <c r="R1299" s="47" t="n"/>
      <c r="S1299" s="47" t="n"/>
      <c r="T1299" s="47" t="n"/>
      <c r="U1299" s="47" t="n"/>
      <c r="V1299" s="47" t="n"/>
      <c r="W1299" s="47" t="n"/>
    </row>
    <row r="1300" ht="11.25" customHeight="1">
      <c r="A1300" s="30" t="inlineStr">
        <is>
          <t>Itaguai</t>
        </is>
      </c>
      <c r="B1300" s="30" t="n">
        <v>87159604</v>
      </c>
      <c r="C1300" s="30">
        <f>"16897144000475"</f>
        <v/>
      </c>
      <c r="D1300" s="30" t="inlineStr">
        <is>
          <t>GEODIS LOGISTICA DO BRASIL LTDA</t>
        </is>
      </c>
      <c r="E1300" s="40" t="n">
        <v>129.14</v>
      </c>
      <c r="F1300" s="40" t="n">
        <v>0</v>
      </c>
      <c r="G1300" s="46" t="n">
        <v>-100</v>
      </c>
      <c r="H1300" s="40" t="n">
        <v>0</v>
      </c>
      <c r="I1300" s="40" t="n">
        <v>0</v>
      </c>
      <c r="J1300" s="40" t="n">
        <v>0</v>
      </c>
      <c r="K1300" s="40" t="n">
        <v>0</v>
      </c>
      <c r="L1300" s="40" t="n">
        <v>0</v>
      </c>
      <c r="M1300" s="40" t="n">
        <v>0</v>
      </c>
      <c r="N1300" s="40" t="n">
        <v>0</v>
      </c>
      <c r="O1300" s="40" t="n">
        <v>0</v>
      </c>
      <c r="P1300" s="40" t="n">
        <v>0</v>
      </c>
      <c r="Q1300" s="40" t="n">
        <v>0</v>
      </c>
      <c r="R1300" s="47" t="n"/>
      <c r="S1300" s="47" t="n"/>
      <c r="T1300" s="47" t="n"/>
      <c r="U1300" s="47" t="n"/>
      <c r="V1300" s="47" t="n"/>
      <c r="W1300" s="47" t="n"/>
    </row>
    <row r="1301" ht="11.25" customHeight="1">
      <c r="A1301" s="30" t="inlineStr">
        <is>
          <t>Itaguai</t>
        </is>
      </c>
      <c r="B1301" s="30" t="n">
        <v>87162389</v>
      </c>
      <c r="C1301" s="30">
        <f>"15587873000543"</f>
        <v/>
      </c>
      <c r="D1301" s="30" t="inlineStr">
        <is>
          <t>TFT EXPRESS LOGISTICA E TRANSPORTES LTDA ME</t>
        </is>
      </c>
      <c r="E1301" s="40" t="n">
        <v>0</v>
      </c>
      <c r="F1301" s="40" t="n">
        <v>0</v>
      </c>
      <c r="G1301" s="40" t="n">
        <v>0</v>
      </c>
      <c r="H1301" s="40" t="n">
        <v>0</v>
      </c>
      <c r="I1301" s="40" t="n">
        <v>0</v>
      </c>
      <c r="J1301" s="40" t="n">
        <v>1062.5</v>
      </c>
      <c r="K1301" s="40" t="n">
        <v>100</v>
      </c>
      <c r="L1301" s="40" t="n">
        <v>0</v>
      </c>
      <c r="M1301" s="46" t="n">
        <v>-100</v>
      </c>
      <c r="N1301" s="40" t="n">
        <v>0</v>
      </c>
      <c r="O1301" s="40" t="n">
        <v>0</v>
      </c>
      <c r="P1301" s="40" t="n">
        <v>0</v>
      </c>
      <c r="Q1301" s="40" t="n">
        <v>0</v>
      </c>
      <c r="R1301" s="47" t="n"/>
      <c r="S1301" s="47" t="n"/>
      <c r="T1301" s="47" t="n"/>
      <c r="U1301" s="47" t="n"/>
      <c r="V1301" s="47" t="n"/>
      <c r="W1301" s="47" t="n"/>
    </row>
    <row r="1302" ht="11.25" customHeight="1">
      <c r="A1302" s="30" t="inlineStr">
        <is>
          <t>Itaguai</t>
        </is>
      </c>
      <c r="B1302" s="30" t="n">
        <v>87169430</v>
      </c>
      <c r="C1302" s="30">
        <f>"25099719000152"</f>
        <v/>
      </c>
      <c r="D1302" s="30" t="inlineStr">
        <is>
          <t>MPC COMERCIO DE DOCES LTDA</t>
        </is>
      </c>
      <c r="E1302" s="40" t="n">
        <v>0</v>
      </c>
      <c r="F1302" s="40" t="n">
        <v>0</v>
      </c>
      <c r="G1302" s="40" t="n">
        <v>0</v>
      </c>
      <c r="H1302" s="40" t="n">
        <v>0</v>
      </c>
      <c r="I1302" s="40" t="n">
        <v>0</v>
      </c>
      <c r="J1302" s="40" t="n">
        <v>0</v>
      </c>
      <c r="K1302" s="40" t="n">
        <v>0</v>
      </c>
      <c r="L1302" s="40" t="n">
        <v>0</v>
      </c>
      <c r="M1302" s="40" t="n">
        <v>0</v>
      </c>
      <c r="N1302" s="40" t="n">
        <v>0</v>
      </c>
      <c r="O1302" s="40" t="n">
        <v>0</v>
      </c>
      <c r="P1302" s="40" t="n">
        <v>0</v>
      </c>
      <c r="Q1302" s="40" t="n">
        <v>0</v>
      </c>
      <c r="R1302" s="47" t="n"/>
      <c r="S1302" s="47" t="n"/>
      <c r="T1302" s="47" t="n"/>
      <c r="U1302" s="47" t="n"/>
      <c r="V1302" s="47" t="n"/>
      <c r="W1302" s="47" t="n"/>
    </row>
    <row r="1303" ht="11.25" customHeight="1">
      <c r="A1303" s="30" t="inlineStr">
        <is>
          <t>Itaguai</t>
        </is>
      </c>
      <c r="B1303" s="30" t="n">
        <v>87173585</v>
      </c>
      <c r="C1303" s="30">
        <f>"20854761000118"</f>
        <v/>
      </c>
      <c r="D1303" s="30" t="inlineStr">
        <is>
          <t>YAH TELECOMUNICACOES LTDA</t>
        </is>
      </c>
      <c r="E1303" s="40" t="n">
        <v>0</v>
      </c>
      <c r="F1303" s="40" t="n">
        <v>0</v>
      </c>
      <c r="G1303" s="40" t="n">
        <v>0</v>
      </c>
      <c r="H1303" s="40" t="n">
        <v>0</v>
      </c>
      <c r="I1303" s="40" t="n">
        <v>0</v>
      </c>
      <c r="J1303" s="40" t="n">
        <v>1469.13</v>
      </c>
      <c r="K1303" s="40" t="n">
        <v>100</v>
      </c>
      <c r="L1303" s="40" t="n">
        <v>0</v>
      </c>
      <c r="M1303" s="46" t="n">
        <v>-100</v>
      </c>
      <c r="N1303" s="40" t="n">
        <v>0</v>
      </c>
      <c r="O1303" s="40" t="n">
        <v>0</v>
      </c>
      <c r="P1303" s="40" t="n">
        <v>0</v>
      </c>
      <c r="Q1303" s="40" t="n">
        <v>0</v>
      </c>
      <c r="R1303" s="47" t="n"/>
      <c r="S1303" s="47" t="n"/>
      <c r="T1303" s="47" t="n"/>
      <c r="U1303" s="47" t="n"/>
      <c r="V1303" s="47" t="n"/>
      <c r="W1303" s="47" t="n"/>
    </row>
    <row r="1304" ht="11.25" customHeight="1">
      <c r="A1304" s="30" t="inlineStr">
        <is>
          <t>Itaguai</t>
        </is>
      </c>
      <c r="B1304" s="30" t="n">
        <v>87174999</v>
      </c>
      <c r="C1304" s="30">
        <f>"25088887000142"</f>
        <v/>
      </c>
      <c r="D1304" s="30" t="inlineStr">
        <is>
          <t>J L DE MANGARATIBA INSTITUTO DE LINGUAS LTDA - ME</t>
        </is>
      </c>
      <c r="E1304" s="40" t="n">
        <v>0</v>
      </c>
      <c r="F1304" s="40" t="n">
        <v>0</v>
      </c>
      <c r="G1304" s="40" t="n">
        <v>0</v>
      </c>
      <c r="H1304" s="40" t="n">
        <v>0</v>
      </c>
      <c r="I1304" s="40" t="n">
        <v>0</v>
      </c>
      <c r="J1304" s="40" t="n">
        <v>0</v>
      </c>
      <c r="K1304" s="40" t="n">
        <v>0</v>
      </c>
      <c r="L1304" s="40" t="n">
        <v>0</v>
      </c>
      <c r="M1304" s="40" t="n">
        <v>0</v>
      </c>
      <c r="N1304" s="40" t="n">
        <v>0</v>
      </c>
      <c r="O1304" s="40" t="n">
        <v>0</v>
      </c>
      <c r="P1304" s="40" t="n">
        <v>0</v>
      </c>
      <c r="Q1304" s="40" t="n">
        <v>0</v>
      </c>
      <c r="R1304" s="47" t="n"/>
      <c r="S1304" s="47" t="n"/>
      <c r="T1304" s="47" t="n"/>
      <c r="U1304" s="47" t="n"/>
      <c r="V1304" s="47" t="n"/>
      <c r="W1304" s="47" t="n"/>
    </row>
    <row r="1305" ht="11.25" customHeight="1">
      <c r="A1305" s="30" t="inlineStr">
        <is>
          <t>Itaguai</t>
        </is>
      </c>
      <c r="B1305" s="30" t="n">
        <v>87183335</v>
      </c>
      <c r="C1305" s="30">
        <f>"08896056000935"</f>
        <v/>
      </c>
      <c r="D1305" s="30" t="inlineStr">
        <is>
          <t>AVAPEX TRANSPORTES LTDA - ME</t>
        </is>
      </c>
      <c r="E1305" s="40" t="n">
        <v>2436.04</v>
      </c>
      <c r="F1305" s="40" t="n">
        <v>0</v>
      </c>
      <c r="G1305" s="46" t="n">
        <v>-100</v>
      </c>
      <c r="H1305" s="40" t="n">
        <v>0</v>
      </c>
      <c r="I1305" s="40" t="n">
        <v>0</v>
      </c>
      <c r="J1305" s="40" t="n">
        <v>0</v>
      </c>
      <c r="K1305" s="40" t="n">
        <v>0</v>
      </c>
      <c r="L1305" s="40" t="n">
        <v>318472.93</v>
      </c>
      <c r="M1305" s="40" t="n">
        <v>100</v>
      </c>
      <c r="N1305" s="40" t="n">
        <v>276049.01</v>
      </c>
      <c r="O1305" s="46" t="n">
        <v>-13.32</v>
      </c>
      <c r="P1305" s="40" t="n">
        <v>2203.83</v>
      </c>
      <c r="Q1305" s="46" t="n">
        <v>-99.2</v>
      </c>
      <c r="R1305" s="47" t="n"/>
      <c r="S1305" s="47" t="n"/>
      <c r="T1305" s="47" t="n"/>
      <c r="U1305" s="47" t="n"/>
      <c r="V1305" s="47" t="n"/>
      <c r="W1305" s="47" t="n"/>
    </row>
    <row r="1306" ht="11.25" customHeight="1">
      <c r="A1306" s="30" t="inlineStr">
        <is>
          <t>Itaguai</t>
        </is>
      </c>
      <c r="B1306" s="30" t="n">
        <v>87188817</v>
      </c>
      <c r="C1306" s="30">
        <f>"07275520000318"</f>
        <v/>
      </c>
      <c r="D1306" s="30" t="inlineStr">
        <is>
          <t>GT MINAS TRANSPORTES E DISTRIBUIDORA LTDA</t>
        </is>
      </c>
      <c r="E1306" s="40" t="n">
        <v>235012.5</v>
      </c>
      <c r="F1306" s="40" t="n">
        <v>104900.34</v>
      </c>
      <c r="G1306" s="46" t="n">
        <v>-55.36</v>
      </c>
      <c r="H1306" s="40" t="n">
        <v>80382.94</v>
      </c>
      <c r="I1306" s="46" t="n">
        <v>-23.37</v>
      </c>
      <c r="J1306" s="40" t="n">
        <v>1648607.1</v>
      </c>
      <c r="K1306" s="40" t="n">
        <v>1950.94</v>
      </c>
      <c r="L1306" s="40" t="n">
        <v>20826.96</v>
      </c>
      <c r="M1306" s="46" t="n">
        <v>-98.73999999999999</v>
      </c>
      <c r="N1306" s="40" t="n">
        <v>88156.64</v>
      </c>
      <c r="O1306" s="40" t="n">
        <v>323.28</v>
      </c>
      <c r="P1306" s="40" t="n">
        <v>113827.72</v>
      </c>
      <c r="Q1306" s="40" t="n">
        <v>29.12</v>
      </c>
      <c r="R1306" s="47" t="n"/>
      <c r="S1306" s="47" t="n"/>
      <c r="T1306" s="47" t="n"/>
      <c r="U1306" s="47" t="n"/>
      <c r="V1306" s="47" t="n"/>
      <c r="W1306" s="47" t="n"/>
    </row>
    <row r="1307" ht="11.25" customHeight="1">
      <c r="A1307" s="30" t="inlineStr">
        <is>
          <t>Itaguai</t>
        </is>
      </c>
      <c r="B1307" s="30" t="n">
        <v>87189562</v>
      </c>
      <c r="C1307" s="30">
        <f>"25165389000156"</f>
        <v/>
      </c>
      <c r="D1307" s="30" t="inlineStr">
        <is>
          <t>PHARMTECH DISTRIBUIDORA DE MEDICAMENTOS E MATERIAL HOSPITALAR LTDA EPP</t>
        </is>
      </c>
      <c r="E1307" s="40" t="n">
        <v>0</v>
      </c>
      <c r="F1307" s="40" t="n">
        <v>10735</v>
      </c>
      <c r="G1307" s="40" t="n">
        <v>100</v>
      </c>
      <c r="H1307" s="40" t="n">
        <v>0</v>
      </c>
      <c r="I1307" s="46" t="n">
        <v>-100</v>
      </c>
      <c r="J1307" s="40" t="n">
        <v>0</v>
      </c>
      <c r="K1307" s="40" t="n">
        <v>0</v>
      </c>
      <c r="L1307" s="40" t="n">
        <v>0</v>
      </c>
      <c r="M1307" s="40" t="n">
        <v>0</v>
      </c>
      <c r="N1307" s="40" t="n">
        <v>0</v>
      </c>
      <c r="O1307" s="40" t="n">
        <v>0</v>
      </c>
      <c r="P1307" s="40" t="n">
        <v>0</v>
      </c>
      <c r="Q1307" s="40" t="n">
        <v>0</v>
      </c>
      <c r="R1307" s="47" t="n"/>
      <c r="S1307" s="47" t="n"/>
      <c r="T1307" s="47" t="n"/>
      <c r="U1307" s="47" t="n"/>
      <c r="V1307" s="47" t="n"/>
      <c r="W1307" s="47" t="n"/>
    </row>
    <row r="1308" ht="11.25" customHeight="1">
      <c r="A1308" s="30" t="inlineStr">
        <is>
          <t>Itaguai</t>
        </is>
      </c>
      <c r="B1308" s="30" t="n">
        <v>87190587</v>
      </c>
      <c r="C1308" s="30">
        <f>"09262608000754"</f>
        <v/>
      </c>
      <c r="D1308" s="30" t="inlineStr">
        <is>
          <t>TBFORTE SEGURANCA E TRANSPORTE DE VALORES LTDA</t>
        </is>
      </c>
      <c r="E1308" s="40" t="n">
        <v>214824.58</v>
      </c>
      <c r="F1308" s="40" t="n">
        <v>302653.21</v>
      </c>
      <c r="G1308" s="40" t="n">
        <v>40.88</v>
      </c>
      <c r="H1308" s="40" t="n">
        <v>374085.87</v>
      </c>
      <c r="I1308" s="40" t="n">
        <v>23.6</v>
      </c>
      <c r="J1308" s="40" t="n">
        <v>539910.9300000001</v>
      </c>
      <c r="K1308" s="40" t="n">
        <v>44.33</v>
      </c>
      <c r="L1308" s="40" t="n">
        <v>531642.16</v>
      </c>
      <c r="M1308" s="46" t="n">
        <v>-1.53</v>
      </c>
      <c r="N1308" s="40" t="n">
        <v>493365.21</v>
      </c>
      <c r="O1308" s="46" t="n">
        <v>-7.2</v>
      </c>
      <c r="P1308" s="40" t="n">
        <v>509381.98</v>
      </c>
      <c r="Q1308" s="40" t="n">
        <v>3.25</v>
      </c>
      <c r="R1308" s="47" t="n"/>
      <c r="S1308" s="47" t="n"/>
      <c r="T1308" s="47" t="n"/>
      <c r="U1308" s="47" t="n"/>
      <c r="V1308" s="47" t="n"/>
      <c r="W1308" s="47" t="n"/>
    </row>
    <row r="1309" ht="11.25" customHeight="1">
      <c r="A1309" s="30" t="inlineStr">
        <is>
          <t>Itaguai</t>
        </is>
      </c>
      <c r="B1309" s="30" t="n">
        <v>87194345</v>
      </c>
      <c r="C1309" s="30">
        <f>"46044913001425"</f>
        <v/>
      </c>
      <c r="D1309" s="30" t="inlineStr">
        <is>
          <t>DHL TRANSPORTES BRAZIL LTDA</t>
        </is>
      </c>
      <c r="E1309" s="40" t="n">
        <v>389258.29</v>
      </c>
      <c r="F1309" s="40" t="n">
        <v>164213.44</v>
      </c>
      <c r="G1309" s="46" t="n">
        <v>-57.81</v>
      </c>
      <c r="H1309" s="40" t="n">
        <v>0</v>
      </c>
      <c r="I1309" s="46" t="n">
        <v>-100</v>
      </c>
      <c r="J1309" s="40" t="n">
        <v>0</v>
      </c>
      <c r="K1309" s="40" t="n">
        <v>0</v>
      </c>
      <c r="L1309" s="40" t="n">
        <v>0</v>
      </c>
      <c r="M1309" s="40" t="n">
        <v>0</v>
      </c>
      <c r="N1309" s="40" t="n">
        <v>0</v>
      </c>
      <c r="O1309" s="40" t="n">
        <v>0</v>
      </c>
      <c r="P1309" s="40" t="n">
        <v>0</v>
      </c>
      <c r="Q1309" s="40" t="n">
        <v>0</v>
      </c>
      <c r="R1309" s="47" t="n"/>
      <c r="S1309" s="47" t="n"/>
      <c r="T1309" s="47" t="n"/>
      <c r="U1309" s="47" t="n"/>
      <c r="V1309" s="47" t="n"/>
      <c r="W1309" s="47" t="n"/>
    </row>
    <row r="1310" ht="11.25" customHeight="1">
      <c r="A1310" s="30" t="inlineStr">
        <is>
          <t>Itaguai</t>
        </is>
      </c>
      <c r="B1310" s="30" t="n">
        <v>87197964</v>
      </c>
      <c r="C1310" s="30">
        <f>"24492359000191"</f>
        <v/>
      </c>
      <c r="D1310" s="30" t="inlineStr">
        <is>
          <t>COOPERATIVA DOS AGRICULTORES FAMILIARES DE ITAGUAI COOPAFIT</t>
        </is>
      </c>
      <c r="E1310" s="40" t="n">
        <v>0</v>
      </c>
      <c r="F1310" s="40" t="n">
        <v>0</v>
      </c>
      <c r="G1310" s="40" t="n">
        <v>0</v>
      </c>
      <c r="H1310" s="40" t="n">
        <v>0</v>
      </c>
      <c r="I1310" s="40" t="n">
        <v>0</v>
      </c>
      <c r="J1310" s="40" t="n">
        <v>0</v>
      </c>
      <c r="K1310" s="40" t="n">
        <v>0</v>
      </c>
      <c r="L1310" s="40" t="n">
        <v>0</v>
      </c>
      <c r="M1310" s="40" t="n">
        <v>0</v>
      </c>
      <c r="N1310" s="40" t="n">
        <v>127862</v>
      </c>
      <c r="O1310" s="40" t="n">
        <v>100</v>
      </c>
      <c r="P1310" s="40" t="n">
        <v>46732.4</v>
      </c>
      <c r="Q1310" s="46" t="n">
        <v>-63.45</v>
      </c>
      <c r="R1310" s="47" t="n"/>
      <c r="S1310" s="47" t="n"/>
      <c r="T1310" s="47" t="n"/>
      <c r="U1310" s="47" t="n"/>
      <c r="V1310" s="47" t="n"/>
      <c r="W1310" s="47" t="n"/>
    </row>
    <row r="1311" ht="11.25" customHeight="1">
      <c r="A1311" s="30" t="inlineStr">
        <is>
          <t>Itaguai</t>
        </is>
      </c>
      <c r="B1311" s="30" t="n">
        <v>87198120</v>
      </c>
      <c r="C1311" s="30">
        <f>"23349580000475"</f>
        <v/>
      </c>
      <c r="D1311" s="30" t="inlineStr">
        <is>
          <t>LOTUS LOGISTICA INTEGRADA LTDA</t>
        </is>
      </c>
      <c r="E1311" s="40" t="n">
        <v>1303.22</v>
      </c>
      <c r="F1311" s="40" t="n">
        <v>1864.15</v>
      </c>
      <c r="G1311" s="40" t="n">
        <v>43.04</v>
      </c>
      <c r="H1311" s="40" t="n">
        <v>0</v>
      </c>
      <c r="I1311" s="46" t="n">
        <v>-100</v>
      </c>
      <c r="J1311" s="40" t="n">
        <v>0</v>
      </c>
      <c r="K1311" s="40" t="n">
        <v>0</v>
      </c>
      <c r="L1311" s="40" t="n">
        <v>0</v>
      </c>
      <c r="M1311" s="40" t="n">
        <v>0</v>
      </c>
      <c r="N1311" s="40" t="n">
        <v>0</v>
      </c>
      <c r="O1311" s="40" t="n">
        <v>0</v>
      </c>
      <c r="P1311" s="40" t="n">
        <v>0</v>
      </c>
      <c r="Q1311" s="40" t="n">
        <v>0</v>
      </c>
      <c r="R1311" s="47" t="n"/>
      <c r="S1311" s="47" t="n"/>
      <c r="T1311" s="47" t="n"/>
      <c r="U1311" s="47" t="n"/>
      <c r="V1311" s="47" t="n"/>
      <c r="W1311" s="47" t="n"/>
    </row>
    <row r="1312" ht="11.25" customHeight="1">
      <c r="A1312" s="30" t="inlineStr">
        <is>
          <t>Itaguai</t>
        </is>
      </c>
      <c r="B1312" s="30" t="n">
        <v>87199657</v>
      </c>
      <c r="C1312" s="30">
        <f>"25463085000175"</f>
        <v/>
      </c>
      <c r="D1312" s="30" t="inlineStr">
        <is>
          <t>A LUMINOSA ITAGUAI MATERIAL ELETRICO LTDA</t>
        </is>
      </c>
      <c r="E1312" s="40" t="n">
        <v>0</v>
      </c>
      <c r="F1312" s="40" t="n">
        <v>0</v>
      </c>
      <c r="G1312" s="40" t="n">
        <v>0</v>
      </c>
      <c r="H1312" s="40" t="n">
        <v>659572.21</v>
      </c>
      <c r="I1312" s="40" t="n">
        <v>100</v>
      </c>
      <c r="J1312" s="40" t="n">
        <v>1027566.38</v>
      </c>
      <c r="K1312" s="40" t="n">
        <v>55.79</v>
      </c>
      <c r="L1312" s="40" t="n">
        <v>791274.09</v>
      </c>
      <c r="M1312" s="46" t="n">
        <v>-23</v>
      </c>
      <c r="N1312" s="40" t="n">
        <v>861466.16</v>
      </c>
      <c r="O1312" s="40" t="n">
        <v>8.869999999999999</v>
      </c>
      <c r="P1312" s="40" t="n">
        <v>849388.65</v>
      </c>
      <c r="Q1312" s="46" t="n">
        <v>-1.4</v>
      </c>
      <c r="R1312" s="47" t="n"/>
      <c r="S1312" s="47" t="n"/>
      <c r="T1312" s="47" t="n"/>
      <c r="U1312" s="47" t="n"/>
      <c r="V1312" s="47" t="n"/>
      <c r="W1312" s="47" t="n"/>
    </row>
    <row r="1313" ht="11.25" customHeight="1">
      <c r="A1313" s="30" t="inlineStr">
        <is>
          <t>Itaguai</t>
        </is>
      </c>
      <c r="B1313" s="30" t="n">
        <v>87206432</v>
      </c>
      <c r="C1313" s="30">
        <f>"71698476000277"</f>
        <v/>
      </c>
      <c r="D1313" s="30" t="inlineStr">
        <is>
          <t>TRANSPO EXPRESS CONSULTORIA TRANSPOORTES E LOGISTICA LTDA</t>
        </is>
      </c>
      <c r="E1313" s="40" t="n">
        <v>0</v>
      </c>
      <c r="F1313" s="40" t="n">
        <v>0</v>
      </c>
      <c r="G1313" s="40" t="n">
        <v>0</v>
      </c>
      <c r="H1313" s="40" t="n">
        <v>0</v>
      </c>
      <c r="I1313" s="40" t="n">
        <v>0</v>
      </c>
      <c r="J1313" s="40" t="n">
        <v>1015.42</v>
      </c>
      <c r="K1313" s="40" t="n">
        <v>100</v>
      </c>
      <c r="L1313" s="40" t="n">
        <v>430.02</v>
      </c>
      <c r="M1313" s="46" t="n">
        <v>-57.65</v>
      </c>
      <c r="N1313" s="40" t="n">
        <v>0</v>
      </c>
      <c r="O1313" s="46" t="n">
        <v>-100</v>
      </c>
      <c r="P1313" s="40" t="n">
        <v>89.84</v>
      </c>
      <c r="Q1313" s="40" t="n">
        <v>100</v>
      </c>
      <c r="R1313" s="47" t="n"/>
      <c r="S1313" s="47" t="n"/>
      <c r="T1313" s="47" t="n"/>
      <c r="U1313" s="47" t="n"/>
      <c r="V1313" s="47" t="n"/>
      <c r="W1313" s="47" t="n"/>
    </row>
    <row r="1314" ht="11.25" customHeight="1">
      <c r="A1314" s="30" t="inlineStr">
        <is>
          <t>Itaguai</t>
        </is>
      </c>
      <c r="B1314" s="30" t="n">
        <v>87207510</v>
      </c>
      <c r="C1314" s="30">
        <f>"25532600000121"</f>
        <v/>
      </c>
      <c r="D1314" s="30" t="inlineStr">
        <is>
          <t>DROGARIA CHAPERO EIRELI-ME</t>
        </is>
      </c>
      <c r="E1314" s="40" t="n">
        <v>0</v>
      </c>
      <c r="F1314" s="40" t="n">
        <v>0</v>
      </c>
      <c r="G1314" s="40" t="n">
        <v>0</v>
      </c>
      <c r="H1314" s="40" t="n">
        <v>0</v>
      </c>
      <c r="I1314" s="40" t="n">
        <v>0</v>
      </c>
      <c r="J1314" s="40" t="n">
        <v>0</v>
      </c>
      <c r="K1314" s="40" t="n">
        <v>0</v>
      </c>
      <c r="L1314" s="40" t="n">
        <v>0</v>
      </c>
      <c r="M1314" s="40" t="n">
        <v>0</v>
      </c>
      <c r="N1314" s="40" t="n">
        <v>0</v>
      </c>
      <c r="O1314" s="40" t="n">
        <v>0</v>
      </c>
      <c r="P1314" s="40" t="n">
        <v>0</v>
      </c>
      <c r="Q1314" s="40" t="n">
        <v>0</v>
      </c>
      <c r="R1314" s="47" t="n"/>
      <c r="S1314" s="47" t="n"/>
      <c r="T1314" s="47" t="n"/>
      <c r="U1314" s="47" t="n"/>
      <c r="V1314" s="47" t="n"/>
      <c r="W1314" s="47" t="n"/>
    </row>
    <row r="1315" ht="11.25" customHeight="1">
      <c r="A1315" s="30" t="inlineStr">
        <is>
          <t>Itaguai</t>
        </is>
      </c>
      <c r="B1315" s="30" t="n">
        <v>87214036</v>
      </c>
      <c r="C1315" s="30">
        <f>"26117009000170"</f>
        <v/>
      </c>
      <c r="D1315" s="30" t="inlineStr">
        <is>
          <t>ZION BRASIL TRADING COMPANY LTDA</t>
        </is>
      </c>
      <c r="E1315" s="40" t="n">
        <v>0</v>
      </c>
      <c r="F1315" s="40" t="n">
        <v>0</v>
      </c>
      <c r="G1315" s="40" t="n">
        <v>0</v>
      </c>
      <c r="H1315" s="40" t="n">
        <v>0</v>
      </c>
      <c r="I1315" s="40" t="n">
        <v>0</v>
      </c>
      <c r="J1315" s="40" t="n">
        <v>0</v>
      </c>
      <c r="K1315" s="40" t="n">
        <v>0</v>
      </c>
      <c r="L1315" s="40" t="n">
        <v>0</v>
      </c>
      <c r="M1315" s="40" t="n">
        <v>0</v>
      </c>
      <c r="N1315" s="40" t="n">
        <v>0</v>
      </c>
      <c r="O1315" s="40" t="n">
        <v>0</v>
      </c>
      <c r="P1315" s="40" t="n">
        <v>0</v>
      </c>
      <c r="Q1315" s="40" t="n">
        <v>0</v>
      </c>
      <c r="R1315" s="47" t="n"/>
      <c r="S1315" s="47" t="n"/>
      <c r="T1315" s="47" t="n"/>
      <c r="U1315" s="47" t="n"/>
      <c r="V1315" s="47" t="n"/>
      <c r="W1315" s="47" t="n"/>
    </row>
    <row r="1316" ht="11.25" customHeight="1">
      <c r="A1316" s="30" t="inlineStr">
        <is>
          <t>Itaguai</t>
        </is>
      </c>
      <c r="B1316" s="30" t="n">
        <v>87220060</v>
      </c>
      <c r="C1316" s="30">
        <f>"23935309000500"</f>
        <v/>
      </c>
      <c r="D1316" s="30" t="inlineStr">
        <is>
          <t>RIO BEL MATRIZ COSMETICOS LTDA EPP</t>
        </is>
      </c>
      <c r="E1316" s="40" t="n">
        <v>632339.14</v>
      </c>
      <c r="F1316" s="40" t="n">
        <v>566616.1</v>
      </c>
      <c r="G1316" s="46" t="n">
        <v>-10.39</v>
      </c>
      <c r="H1316" s="40" t="n">
        <v>677211.55</v>
      </c>
      <c r="I1316" s="40" t="n">
        <v>19.52</v>
      </c>
      <c r="J1316" s="40" t="n">
        <v>733945.28</v>
      </c>
      <c r="K1316" s="40" t="n">
        <v>8.380000000000001</v>
      </c>
      <c r="L1316" s="40" t="n">
        <v>805116.01</v>
      </c>
      <c r="M1316" s="40" t="n">
        <v>9.699999999999999</v>
      </c>
      <c r="N1316" s="40" t="n">
        <v>897635.59</v>
      </c>
      <c r="O1316" s="40" t="n">
        <v>11.49</v>
      </c>
      <c r="P1316" s="40" t="n">
        <v>837939.4399999999</v>
      </c>
      <c r="Q1316" s="46" t="n">
        <v>-6.65</v>
      </c>
      <c r="R1316" s="47" t="n"/>
      <c r="S1316" s="47" t="n"/>
      <c r="T1316" s="47" t="n"/>
      <c r="U1316" s="47" t="n"/>
      <c r="V1316" s="47" t="n"/>
      <c r="W1316" s="47" t="n"/>
    </row>
    <row r="1317" ht="11.25" customHeight="1">
      <c r="A1317" s="30" t="inlineStr">
        <is>
          <t>Itaguai</t>
        </is>
      </c>
      <c r="B1317" s="30" t="n">
        <v>87222551</v>
      </c>
      <c r="C1317" s="30">
        <f>"04964100000199"</f>
        <v/>
      </c>
      <c r="D1317" s="30" t="inlineStr">
        <is>
          <t>R O S COMERCIO E CONSTRUCAO DE ESTRUTURA METALICA  EIRELI</t>
        </is>
      </c>
      <c r="E1317" s="40" t="n">
        <v>0</v>
      </c>
      <c r="F1317" s="40" t="n">
        <v>0</v>
      </c>
      <c r="G1317" s="40" t="n">
        <v>0</v>
      </c>
      <c r="H1317" s="40" t="n">
        <v>0</v>
      </c>
      <c r="I1317" s="40" t="n">
        <v>0</v>
      </c>
      <c r="J1317" s="40" t="n">
        <v>667110.9300000001</v>
      </c>
      <c r="K1317" s="40" t="n">
        <v>100</v>
      </c>
      <c r="L1317" s="40" t="n">
        <v>0</v>
      </c>
      <c r="M1317" s="46" t="n">
        <v>-100</v>
      </c>
      <c r="N1317" s="40" t="n">
        <v>0</v>
      </c>
      <c r="O1317" s="40" t="n">
        <v>0</v>
      </c>
      <c r="P1317" s="40" t="n">
        <v>0</v>
      </c>
      <c r="Q1317" s="40" t="n">
        <v>0</v>
      </c>
      <c r="R1317" s="47" t="n"/>
      <c r="S1317" s="47" t="n"/>
      <c r="T1317" s="47" t="n"/>
      <c r="U1317" s="47" t="n"/>
      <c r="V1317" s="47" t="n"/>
      <c r="W1317" s="47" t="n"/>
    </row>
    <row r="1318" ht="11.25" customHeight="1">
      <c r="A1318" s="30" t="inlineStr">
        <is>
          <t>Itaguai</t>
        </is>
      </c>
      <c r="B1318" s="30" t="n">
        <v>87223035</v>
      </c>
      <c r="C1318" s="30">
        <f>"26198828000190"</f>
        <v/>
      </c>
      <c r="D1318" s="30" t="inlineStr">
        <is>
          <t>LOG RIO TRANSPORTE E TURISMO EIRELI ME</t>
        </is>
      </c>
      <c r="E1318" s="40" t="n">
        <v>0</v>
      </c>
      <c r="F1318" s="40" t="n">
        <v>0</v>
      </c>
      <c r="G1318" s="40" t="n">
        <v>0</v>
      </c>
      <c r="H1318" s="40" t="n">
        <v>0</v>
      </c>
      <c r="I1318" s="40" t="n">
        <v>0</v>
      </c>
      <c r="J1318" s="40" t="n">
        <v>0</v>
      </c>
      <c r="K1318" s="40" t="n">
        <v>0</v>
      </c>
      <c r="L1318" s="40" t="n">
        <v>0</v>
      </c>
      <c r="M1318" s="40" t="n">
        <v>0</v>
      </c>
      <c r="N1318" s="40" t="n">
        <v>0</v>
      </c>
      <c r="O1318" s="40" t="n">
        <v>0</v>
      </c>
      <c r="P1318" s="40" t="n">
        <v>10500</v>
      </c>
      <c r="Q1318" s="40" t="n">
        <v>100</v>
      </c>
      <c r="R1318" s="47" t="n"/>
      <c r="S1318" s="47" t="n"/>
      <c r="T1318" s="47" t="n"/>
      <c r="U1318" s="47" t="n"/>
      <c r="V1318" s="47" t="n"/>
      <c r="W1318" s="47" t="n"/>
    </row>
    <row r="1319" ht="11.25" customHeight="1">
      <c r="A1319" s="30" t="inlineStr">
        <is>
          <t>Itaguai</t>
        </is>
      </c>
      <c r="B1319" s="30" t="n">
        <v>87231607</v>
      </c>
      <c r="C1319" s="30">
        <f>"23429671000763"</f>
        <v/>
      </c>
      <c r="D1319" s="30" t="inlineStr">
        <is>
          <t>3PL BRASIL LOGISTICA S A</t>
        </is>
      </c>
      <c r="E1319" s="40" t="n">
        <v>0</v>
      </c>
      <c r="F1319" s="40" t="n">
        <v>0</v>
      </c>
      <c r="G1319" s="40" t="n">
        <v>0</v>
      </c>
      <c r="H1319" s="40" t="n">
        <v>0</v>
      </c>
      <c r="I1319" s="40" t="n">
        <v>0</v>
      </c>
      <c r="J1319" s="40" t="n">
        <v>0</v>
      </c>
      <c r="K1319" s="40" t="n">
        <v>0</v>
      </c>
      <c r="L1319" s="40" t="n">
        <v>0</v>
      </c>
      <c r="M1319" s="40" t="n">
        <v>0</v>
      </c>
      <c r="N1319" s="40" t="n">
        <v>388353.94</v>
      </c>
      <c r="O1319" s="40" t="n">
        <v>100</v>
      </c>
      <c r="P1319" s="40" t="n">
        <v>0</v>
      </c>
      <c r="Q1319" s="46" t="n">
        <v>-100</v>
      </c>
      <c r="R1319" s="47" t="n"/>
      <c r="S1319" s="47" t="n"/>
      <c r="T1319" s="47" t="n"/>
      <c r="U1319" s="47" t="n"/>
      <c r="V1319" s="47" t="n"/>
      <c r="W1319" s="47" t="n"/>
    </row>
    <row r="1320" ht="11.25" customHeight="1">
      <c r="A1320" s="30" t="inlineStr">
        <is>
          <t>Itaguai</t>
        </is>
      </c>
      <c r="B1320" s="30" t="n">
        <v>87233723</v>
      </c>
      <c r="C1320" s="30">
        <f>"26118507000138"</f>
        <v/>
      </c>
      <c r="D1320" s="30" t="inlineStr">
        <is>
          <t>D &amp; J COMERCIO DE MATERIAL RECICLAVEL LTDA - ME</t>
        </is>
      </c>
      <c r="E1320" s="40" t="n">
        <v>0</v>
      </c>
      <c r="F1320" s="40" t="n">
        <v>0</v>
      </c>
      <c r="G1320" s="40" t="n">
        <v>0</v>
      </c>
      <c r="H1320" s="40" t="n">
        <v>0</v>
      </c>
      <c r="I1320" s="40" t="n">
        <v>0</v>
      </c>
      <c r="J1320" s="40" t="n">
        <v>0</v>
      </c>
      <c r="K1320" s="40" t="n">
        <v>0</v>
      </c>
      <c r="L1320" s="40" t="n">
        <v>0</v>
      </c>
      <c r="M1320" s="40" t="n">
        <v>0</v>
      </c>
      <c r="N1320" s="40" t="n">
        <v>0</v>
      </c>
      <c r="O1320" s="40" t="n">
        <v>0</v>
      </c>
      <c r="P1320" s="40" t="n">
        <v>1181498.65</v>
      </c>
      <c r="Q1320" s="40" t="n">
        <v>100</v>
      </c>
      <c r="R1320" s="47" t="n"/>
      <c r="S1320" s="47" t="n"/>
      <c r="T1320" s="47" t="n"/>
      <c r="U1320" s="47" t="n"/>
      <c r="V1320" s="47" t="n"/>
      <c r="W1320" s="47" t="n"/>
    </row>
    <row r="1321" ht="11.25" customHeight="1">
      <c r="A1321" s="30" t="inlineStr">
        <is>
          <t>Itaguai</t>
        </is>
      </c>
      <c r="B1321" s="30" t="n">
        <v>87236080</v>
      </c>
      <c r="C1321" s="30">
        <f>"26253624000104"</f>
        <v/>
      </c>
      <c r="D1321" s="30" t="inlineStr">
        <is>
          <t>CMX SERVIÇO DE TRANSPORTE E LOGÍSTICA EIRELI</t>
        </is>
      </c>
      <c r="E1321" s="40" t="n">
        <v>0</v>
      </c>
      <c r="F1321" s="40" t="n">
        <v>0</v>
      </c>
      <c r="G1321" s="40" t="n">
        <v>0</v>
      </c>
      <c r="H1321" s="40" t="n">
        <v>0</v>
      </c>
      <c r="I1321" s="40" t="n">
        <v>0</v>
      </c>
      <c r="J1321" s="40" t="n">
        <v>0</v>
      </c>
      <c r="K1321" s="40" t="n">
        <v>0</v>
      </c>
      <c r="L1321" s="40" t="n">
        <v>0</v>
      </c>
      <c r="M1321" s="40" t="n">
        <v>0</v>
      </c>
      <c r="N1321" s="40" t="n">
        <v>12875</v>
      </c>
      <c r="O1321" s="40" t="n">
        <v>100</v>
      </c>
      <c r="P1321" s="40" t="n">
        <v>0</v>
      </c>
      <c r="Q1321" s="46" t="n">
        <v>-100</v>
      </c>
      <c r="R1321" s="47" t="n"/>
      <c r="S1321" s="47" t="n"/>
      <c r="T1321" s="47" t="n"/>
      <c r="U1321" s="47" t="n"/>
      <c r="V1321" s="47" t="n"/>
      <c r="W1321" s="47" t="n"/>
    </row>
    <row r="1322" ht="11.25" customHeight="1">
      <c r="A1322" s="30" t="inlineStr">
        <is>
          <t>Itaguai</t>
        </is>
      </c>
      <c r="B1322" s="30" t="n">
        <v>87244946</v>
      </c>
      <c r="C1322" s="30">
        <f>"26409645000176"</f>
        <v/>
      </c>
      <c r="D1322" s="30" t="inlineStr">
        <is>
          <t>BAZAR E PERFUMARIA ITAGUAI LTDA</t>
        </is>
      </c>
      <c r="E1322" s="40" t="n">
        <v>310153.23</v>
      </c>
      <c r="F1322" s="40" t="n">
        <v>612919.09</v>
      </c>
      <c r="G1322" s="40" t="n">
        <v>97.62</v>
      </c>
      <c r="H1322" s="40" t="n">
        <v>1083303.45</v>
      </c>
      <c r="I1322" s="40" t="n">
        <v>76.73999999999999</v>
      </c>
      <c r="J1322" s="40" t="n">
        <v>1647616.12</v>
      </c>
      <c r="K1322" s="40" t="n">
        <v>52.09</v>
      </c>
      <c r="L1322" s="40" t="n">
        <v>1851483.28</v>
      </c>
      <c r="M1322" s="40" t="n">
        <v>12.37</v>
      </c>
      <c r="N1322" s="40" t="n">
        <v>0</v>
      </c>
      <c r="O1322" s="46" t="n">
        <v>-100</v>
      </c>
      <c r="P1322" s="40" t="n">
        <v>0</v>
      </c>
      <c r="Q1322" s="40" t="n">
        <v>0</v>
      </c>
      <c r="R1322" s="47" t="n"/>
      <c r="S1322" s="47" t="n"/>
      <c r="T1322" s="47" t="n"/>
      <c r="U1322" s="47" t="n"/>
      <c r="V1322" s="47" t="n"/>
      <c r="W1322" s="47" t="n"/>
    </row>
    <row r="1323" ht="11.25" customHeight="1">
      <c r="A1323" s="30" t="inlineStr">
        <is>
          <t>Itaguai</t>
        </is>
      </c>
      <c r="B1323" s="30" t="n">
        <v>87246299</v>
      </c>
      <c r="C1323" s="30">
        <f>"26379405000176"</f>
        <v/>
      </c>
      <c r="D1323" s="30" t="inlineStr">
        <is>
          <t>L M GASPAR TRANSPORTES LTDA</t>
        </is>
      </c>
      <c r="E1323" s="40" t="n">
        <v>0</v>
      </c>
      <c r="F1323" s="40" t="n">
        <v>0</v>
      </c>
      <c r="G1323" s="40" t="n">
        <v>0</v>
      </c>
      <c r="H1323" s="40" t="n">
        <v>0</v>
      </c>
      <c r="I1323" s="40" t="n">
        <v>0</v>
      </c>
      <c r="J1323" s="40" t="n">
        <v>0</v>
      </c>
      <c r="K1323" s="40" t="n">
        <v>0</v>
      </c>
      <c r="L1323" s="40" t="n">
        <v>0</v>
      </c>
      <c r="M1323" s="40" t="n">
        <v>0</v>
      </c>
      <c r="N1323" s="40" t="n">
        <v>0</v>
      </c>
      <c r="O1323" s="40" t="n">
        <v>0</v>
      </c>
      <c r="P1323" s="40" t="n">
        <v>7900</v>
      </c>
      <c r="Q1323" s="40" t="n">
        <v>100</v>
      </c>
      <c r="R1323" s="47" t="n"/>
      <c r="S1323" s="47" t="n"/>
      <c r="T1323" s="47" t="n"/>
      <c r="U1323" s="47" t="n"/>
      <c r="V1323" s="47" t="n"/>
      <c r="W1323" s="47" t="n"/>
    </row>
    <row r="1324" ht="11.25" customHeight="1">
      <c r="A1324" s="30" t="inlineStr">
        <is>
          <t>Itaguai</t>
        </is>
      </c>
      <c r="B1324" s="30" t="n">
        <v>87248364</v>
      </c>
      <c r="C1324" s="30">
        <f>"26272361000180"</f>
        <v/>
      </c>
      <c r="D1324" s="30" t="inlineStr">
        <is>
          <t>VICTORIA MODA JOVEM E CONFECCOES LTDA ME</t>
        </is>
      </c>
      <c r="E1324" s="40" t="n">
        <v>0</v>
      </c>
      <c r="F1324" s="40" t="n">
        <v>0</v>
      </c>
      <c r="G1324" s="40" t="n">
        <v>0</v>
      </c>
      <c r="H1324" s="40" t="n">
        <v>0</v>
      </c>
      <c r="I1324" s="40" t="n">
        <v>0</v>
      </c>
      <c r="J1324" s="40" t="n">
        <v>0</v>
      </c>
      <c r="K1324" s="40" t="n">
        <v>0</v>
      </c>
      <c r="L1324" s="40" t="n">
        <v>0</v>
      </c>
      <c r="M1324" s="40" t="n">
        <v>0</v>
      </c>
      <c r="N1324" s="40" t="n">
        <v>0</v>
      </c>
      <c r="O1324" s="40" t="n">
        <v>0</v>
      </c>
      <c r="P1324" s="40" t="n">
        <v>0</v>
      </c>
      <c r="Q1324" s="40" t="n">
        <v>0</v>
      </c>
      <c r="R1324" s="47" t="n"/>
      <c r="S1324" s="47" t="n"/>
      <c r="T1324" s="47" t="n"/>
      <c r="U1324" s="47" t="n"/>
      <c r="V1324" s="47" t="n"/>
      <c r="W1324" s="47" t="n"/>
    </row>
    <row r="1325" ht="11.25" customHeight="1">
      <c r="A1325" s="30" t="inlineStr">
        <is>
          <t>Itaguai</t>
        </is>
      </c>
      <c r="B1325" s="30" t="n">
        <v>87248992</v>
      </c>
      <c r="C1325" s="30">
        <f>"11423942000280"</f>
        <v/>
      </c>
      <c r="D1325" s="30" t="inlineStr">
        <is>
          <t>TTJB TRANSPORTES E LOGISTICA EIRELI</t>
        </is>
      </c>
      <c r="E1325" s="40" t="n">
        <v>0</v>
      </c>
      <c r="F1325" s="40" t="n">
        <v>0</v>
      </c>
      <c r="G1325" s="40" t="n">
        <v>0</v>
      </c>
      <c r="H1325" s="40" t="n">
        <v>0</v>
      </c>
      <c r="I1325" s="40" t="n">
        <v>0</v>
      </c>
      <c r="J1325" s="40" t="n">
        <v>0</v>
      </c>
      <c r="K1325" s="40" t="n">
        <v>0</v>
      </c>
      <c r="L1325" s="40" t="n">
        <v>1039.54</v>
      </c>
      <c r="M1325" s="40" t="n">
        <v>100</v>
      </c>
      <c r="N1325" s="40" t="n">
        <v>739.51</v>
      </c>
      <c r="O1325" s="46" t="n">
        <v>-28.86</v>
      </c>
      <c r="P1325" s="40" t="n">
        <v>651.08</v>
      </c>
      <c r="Q1325" s="46" t="n">
        <v>-11.96</v>
      </c>
      <c r="R1325" s="47" t="n"/>
      <c r="S1325" s="47" t="n"/>
      <c r="T1325" s="47" t="n"/>
      <c r="U1325" s="47" t="n"/>
      <c r="V1325" s="47" t="n"/>
      <c r="W1325" s="47" t="n"/>
    </row>
    <row r="1326" ht="11.25" customHeight="1">
      <c r="A1326" s="30" t="inlineStr">
        <is>
          <t>Itaguai</t>
        </is>
      </c>
      <c r="B1326" s="30" t="n">
        <v>87249417</v>
      </c>
      <c r="C1326" s="30">
        <f>"94001641000961"</f>
        <v/>
      </c>
      <c r="D1326" s="30" t="inlineStr">
        <is>
          <t>BRINGER DO BRASIL AGENCIAMENTO DE CARGAS NACIONAIS E INTERNACIONAIS LTDA EPP</t>
        </is>
      </c>
      <c r="E1326" s="40" t="n">
        <v>0</v>
      </c>
      <c r="F1326" s="40" t="n">
        <v>5343.76</v>
      </c>
      <c r="G1326" s="40" t="n">
        <v>100</v>
      </c>
      <c r="H1326" s="40" t="n">
        <v>3913.57</v>
      </c>
      <c r="I1326" s="46" t="n">
        <v>-26.76</v>
      </c>
      <c r="J1326" s="40" t="n">
        <v>2348.17</v>
      </c>
      <c r="K1326" s="46" t="n">
        <v>-40</v>
      </c>
      <c r="L1326" s="40" t="n">
        <v>4455.34</v>
      </c>
      <c r="M1326" s="40" t="n">
        <v>89.73999999999999</v>
      </c>
      <c r="N1326" s="40" t="n">
        <v>0</v>
      </c>
      <c r="O1326" s="46" t="n">
        <v>-100</v>
      </c>
      <c r="P1326" s="40" t="n">
        <v>0</v>
      </c>
      <c r="Q1326" s="40" t="n">
        <v>0</v>
      </c>
      <c r="R1326" s="47" t="n"/>
      <c r="S1326" s="47" t="n"/>
      <c r="T1326" s="47" t="n"/>
      <c r="U1326" s="47" t="n"/>
      <c r="V1326" s="47" t="n"/>
      <c r="W1326" s="47" t="n"/>
    </row>
    <row r="1327" ht="11.25" customHeight="1">
      <c r="A1327" s="30" t="inlineStr">
        <is>
          <t>Itaguai</t>
        </is>
      </c>
      <c r="B1327" s="30" t="n">
        <v>87253910</v>
      </c>
      <c r="C1327" s="30">
        <f>"24400628000223"</f>
        <v/>
      </c>
      <c r="D1327" s="30" t="inlineStr">
        <is>
          <t>MACAN LOGÍSTICA E TRANSPORTES EIRELI</t>
        </is>
      </c>
      <c r="E1327" s="40" t="n">
        <v>0</v>
      </c>
      <c r="F1327" s="40" t="n">
        <v>0</v>
      </c>
      <c r="G1327" s="40" t="n">
        <v>0</v>
      </c>
      <c r="H1327" s="40" t="n">
        <v>0</v>
      </c>
      <c r="I1327" s="40" t="n">
        <v>0</v>
      </c>
      <c r="J1327" s="40" t="n">
        <v>147.25</v>
      </c>
      <c r="K1327" s="40" t="n">
        <v>100</v>
      </c>
      <c r="L1327" s="40" t="n">
        <v>0</v>
      </c>
      <c r="M1327" s="46" t="n">
        <v>-100</v>
      </c>
      <c r="N1327" s="40" t="n">
        <v>346.94</v>
      </c>
      <c r="O1327" s="40" t="n">
        <v>100</v>
      </c>
      <c r="P1327" s="40" t="n">
        <v>0</v>
      </c>
      <c r="Q1327" s="46" t="n">
        <v>-100</v>
      </c>
      <c r="R1327" s="47" t="n"/>
      <c r="S1327" s="47" t="n"/>
      <c r="T1327" s="47" t="n"/>
      <c r="U1327" s="47" t="n"/>
      <c r="V1327" s="47" t="n"/>
      <c r="W1327" s="47" t="n"/>
    </row>
    <row r="1328" ht="11.25" customHeight="1">
      <c r="A1328" s="30" t="inlineStr">
        <is>
          <t>Itaguai</t>
        </is>
      </c>
      <c r="B1328" s="30" t="n">
        <v>87257045</v>
      </c>
      <c r="C1328" s="30">
        <f>"00507051000104"</f>
        <v/>
      </c>
      <c r="D1328" s="30" t="inlineStr">
        <is>
          <t>JOVINTER TRANSPORTES NACIONAIS E INTERNACIONAIS LTDA</t>
        </is>
      </c>
      <c r="E1328" s="40" t="n">
        <v>286330.13</v>
      </c>
      <c r="F1328" s="40" t="n">
        <v>0</v>
      </c>
      <c r="G1328" s="46" t="n">
        <v>-100</v>
      </c>
      <c r="H1328" s="40" t="n">
        <v>0</v>
      </c>
      <c r="I1328" s="40" t="n">
        <v>0</v>
      </c>
      <c r="J1328" s="40" t="n">
        <v>0</v>
      </c>
      <c r="K1328" s="40" t="n">
        <v>0</v>
      </c>
      <c r="L1328" s="40" t="n">
        <v>0</v>
      </c>
      <c r="M1328" s="40" t="n">
        <v>0</v>
      </c>
      <c r="N1328" s="40" t="n">
        <v>0</v>
      </c>
      <c r="O1328" s="40" t="n">
        <v>0</v>
      </c>
      <c r="P1328" s="40" t="n">
        <v>0</v>
      </c>
      <c r="Q1328" s="40" t="n">
        <v>0</v>
      </c>
      <c r="R1328" s="47" t="n"/>
      <c r="S1328" s="47" t="n"/>
      <c r="T1328" s="47" t="n"/>
      <c r="U1328" s="47" t="n"/>
      <c r="V1328" s="47" t="n"/>
      <c r="W1328" s="47" t="n"/>
    </row>
    <row r="1329" ht="11.25" customHeight="1">
      <c r="A1329" s="30" t="inlineStr">
        <is>
          <t>Itaguai</t>
        </is>
      </c>
      <c r="B1329" s="30" t="n">
        <v>87260542</v>
      </c>
      <c r="C1329" s="30">
        <f>"08740044000593"</f>
        <v/>
      </c>
      <c r="D1329" s="30" t="inlineStr">
        <is>
          <t>SAPPORO INDUSTRIA E COMERCIO - SERVICOS LTDA</t>
        </is>
      </c>
      <c r="E1329" s="40" t="n">
        <v>0</v>
      </c>
      <c r="F1329" s="40" t="n">
        <v>127.89</v>
      </c>
      <c r="G1329" s="40" t="n">
        <v>100</v>
      </c>
      <c r="H1329" s="40" t="n">
        <v>0</v>
      </c>
      <c r="I1329" s="46" t="n">
        <v>-100</v>
      </c>
      <c r="J1329" s="40" t="n">
        <v>0</v>
      </c>
      <c r="K1329" s="40" t="n">
        <v>0</v>
      </c>
      <c r="L1329" s="40" t="n">
        <v>0</v>
      </c>
      <c r="M1329" s="40" t="n">
        <v>0</v>
      </c>
      <c r="N1329" s="40" t="n">
        <v>0</v>
      </c>
      <c r="O1329" s="40" t="n">
        <v>0</v>
      </c>
      <c r="P1329" s="40" t="n">
        <v>0</v>
      </c>
      <c r="Q1329" s="40" t="n">
        <v>0</v>
      </c>
      <c r="R1329" s="47" t="n"/>
      <c r="S1329" s="47" t="n"/>
      <c r="T1329" s="47" t="n"/>
      <c r="U1329" s="47" t="n"/>
      <c r="V1329" s="47" t="n"/>
      <c r="W1329" s="47" t="n"/>
    </row>
    <row r="1330" ht="11.25" customHeight="1">
      <c r="A1330" s="30" t="inlineStr">
        <is>
          <t>Itaguai</t>
        </is>
      </c>
      <c r="B1330" s="30" t="n">
        <v>87274209</v>
      </c>
      <c r="C1330" s="30">
        <f>"26555329000102"</f>
        <v/>
      </c>
      <c r="D1330" s="30" t="inlineStr">
        <is>
          <t>GRAFENO INDUSTRIA, COMERCIO E SERVICOS EIRELI - EPP</t>
        </is>
      </c>
      <c r="E1330" s="40" t="n">
        <v>0</v>
      </c>
      <c r="F1330" s="40" t="n">
        <v>0</v>
      </c>
      <c r="G1330" s="40" t="n">
        <v>0</v>
      </c>
      <c r="H1330" s="40" t="n">
        <v>517051.51</v>
      </c>
      <c r="I1330" s="40" t="n">
        <v>100</v>
      </c>
      <c r="J1330" s="40" t="n">
        <v>1286970.82</v>
      </c>
      <c r="K1330" s="40" t="n">
        <v>148.91</v>
      </c>
      <c r="L1330" s="40" t="n">
        <v>1559833.62</v>
      </c>
      <c r="M1330" s="40" t="n">
        <v>21.2</v>
      </c>
      <c r="N1330" s="40" t="n">
        <v>787836.22</v>
      </c>
      <c r="O1330" s="46" t="n">
        <v>-49.49</v>
      </c>
      <c r="P1330" s="40" t="n">
        <v>502841.71</v>
      </c>
      <c r="Q1330" s="46" t="n">
        <v>-36.17</v>
      </c>
      <c r="R1330" s="47" t="n"/>
      <c r="S1330" s="47" t="n"/>
      <c r="T1330" s="47" t="n"/>
      <c r="U1330" s="47" t="n"/>
      <c r="V1330" s="47" t="n"/>
      <c r="W1330" s="47" t="n"/>
    </row>
    <row r="1331" ht="11.25" customHeight="1">
      <c r="A1331" s="30" t="inlineStr">
        <is>
          <t>Itaguai</t>
        </is>
      </c>
      <c r="B1331" s="30" t="n">
        <v>87274373</v>
      </c>
      <c r="C1331" s="30">
        <f>"13544467000144"</f>
        <v/>
      </c>
      <c r="D1331" s="30" t="inlineStr">
        <is>
          <t>RIVER SUB SERVICOS SUBAQUATICOS E MANUTENCOES EM GERAL LTDA ME</t>
        </is>
      </c>
      <c r="E1331" s="40" t="n">
        <v>0</v>
      </c>
      <c r="F1331" s="40" t="n">
        <v>0</v>
      </c>
      <c r="G1331" s="40" t="n">
        <v>0</v>
      </c>
      <c r="H1331" s="40" t="n">
        <v>0</v>
      </c>
      <c r="I1331" s="40" t="n">
        <v>0</v>
      </c>
      <c r="J1331" s="40" t="n">
        <v>0</v>
      </c>
      <c r="K1331" s="40" t="n">
        <v>0</v>
      </c>
      <c r="L1331" s="40" t="n">
        <v>0</v>
      </c>
      <c r="M1331" s="40" t="n">
        <v>0</v>
      </c>
      <c r="N1331" s="40" t="n">
        <v>0</v>
      </c>
      <c r="O1331" s="40" t="n">
        <v>0</v>
      </c>
      <c r="P1331" s="40" t="n">
        <v>0</v>
      </c>
      <c r="Q1331" s="40" t="n">
        <v>0</v>
      </c>
      <c r="R1331" s="47" t="n"/>
      <c r="S1331" s="47" t="n"/>
      <c r="T1331" s="47" t="n"/>
      <c r="U1331" s="47" t="n"/>
      <c r="V1331" s="47" t="n"/>
      <c r="W1331" s="47" t="n"/>
    </row>
    <row r="1332" ht="11.25" customHeight="1">
      <c r="A1332" s="30" t="inlineStr">
        <is>
          <t>Itaguai</t>
        </is>
      </c>
      <c r="B1332" s="30" t="n">
        <v>87280454</v>
      </c>
      <c r="C1332" s="30">
        <f>"22166193001160"</f>
        <v/>
      </c>
      <c r="D1332" s="30" t="inlineStr">
        <is>
          <t>ALGAR SOLUCOES EM TIC S A</t>
        </is>
      </c>
      <c r="E1332" s="40" t="n">
        <v>0</v>
      </c>
      <c r="F1332" s="40" t="n">
        <v>0</v>
      </c>
      <c r="G1332" s="40" t="n">
        <v>0</v>
      </c>
      <c r="H1332" s="40" t="n">
        <v>69637.36</v>
      </c>
      <c r="I1332" s="40" t="n">
        <v>100</v>
      </c>
      <c r="J1332" s="40" t="n">
        <v>145530.39</v>
      </c>
      <c r="K1332" s="40" t="n">
        <v>108.98</v>
      </c>
      <c r="L1332" s="40" t="n">
        <v>121719.1</v>
      </c>
      <c r="M1332" s="46" t="n">
        <v>-16.36</v>
      </c>
      <c r="N1332" s="40" t="n">
        <v>219893.87</v>
      </c>
      <c r="O1332" s="40" t="n">
        <v>80.66</v>
      </c>
      <c r="P1332" s="40" t="n">
        <v>0</v>
      </c>
      <c r="Q1332" s="46" t="n">
        <v>-100</v>
      </c>
      <c r="R1332" s="47" t="n"/>
      <c r="S1332" s="47" t="n"/>
      <c r="T1332" s="47" t="n"/>
      <c r="U1332" s="47" t="n"/>
      <c r="V1332" s="47" t="n"/>
      <c r="W1332" s="47" t="n"/>
    </row>
    <row r="1333" ht="11.25" customHeight="1">
      <c r="A1333" s="30" t="inlineStr">
        <is>
          <t>Itaguai</t>
        </is>
      </c>
      <c r="B1333" s="30" t="n">
        <v>87285880</v>
      </c>
      <c r="C1333" s="30">
        <f>"31368046000787"</f>
        <v/>
      </c>
      <c r="D1333" s="30" t="inlineStr">
        <is>
          <t>TUPI RIO TRANSPORTES SA</t>
        </is>
      </c>
      <c r="E1333" s="40" t="n">
        <v>1909.66</v>
      </c>
      <c r="F1333" s="40" t="n">
        <v>4285.22</v>
      </c>
      <c r="G1333" s="40" t="n">
        <v>124.4</v>
      </c>
      <c r="H1333" s="40" t="n">
        <v>0</v>
      </c>
      <c r="I1333" s="46" t="n">
        <v>-100</v>
      </c>
      <c r="J1333" s="40" t="n">
        <v>1090.91</v>
      </c>
      <c r="K1333" s="40" t="n">
        <v>100</v>
      </c>
      <c r="L1333" s="40" t="n">
        <v>0</v>
      </c>
      <c r="M1333" s="46" t="n">
        <v>-100</v>
      </c>
      <c r="N1333" s="40" t="n">
        <v>0</v>
      </c>
      <c r="O1333" s="40" t="n">
        <v>0</v>
      </c>
      <c r="P1333" s="40" t="n">
        <v>0</v>
      </c>
      <c r="Q1333" s="40" t="n">
        <v>0</v>
      </c>
      <c r="R1333" s="47" t="n"/>
      <c r="S1333" s="47" t="n"/>
      <c r="T1333" s="47" t="n"/>
      <c r="U1333" s="47" t="n"/>
      <c r="V1333" s="47" t="n"/>
      <c r="W1333" s="47" t="n"/>
    </row>
    <row r="1334" ht="11.25" customHeight="1">
      <c r="A1334" s="30" t="inlineStr">
        <is>
          <t>Itaguai</t>
        </is>
      </c>
      <c r="B1334" s="30" t="n">
        <v>87286738</v>
      </c>
      <c r="C1334" s="30">
        <f>"26599839000181"</f>
        <v/>
      </c>
      <c r="D1334" s="30" t="inlineStr">
        <is>
          <t>R A MARQUES DIAS ROUPAS E ACESSORIOS</t>
        </is>
      </c>
      <c r="E1334" s="40" t="n">
        <v>0</v>
      </c>
      <c r="F1334" s="40" t="n">
        <v>0</v>
      </c>
      <c r="G1334" s="40" t="n">
        <v>0</v>
      </c>
      <c r="H1334" s="40" t="n">
        <v>0</v>
      </c>
      <c r="I1334" s="40" t="n">
        <v>0</v>
      </c>
      <c r="J1334" s="40" t="n">
        <v>0</v>
      </c>
      <c r="K1334" s="40" t="n">
        <v>0</v>
      </c>
      <c r="L1334" s="40" t="n">
        <v>0</v>
      </c>
      <c r="M1334" s="40" t="n">
        <v>0</v>
      </c>
      <c r="N1334" s="40" t="n">
        <v>0</v>
      </c>
      <c r="O1334" s="40" t="n">
        <v>0</v>
      </c>
      <c r="P1334" s="40" t="n">
        <v>0</v>
      </c>
      <c r="Q1334" s="40" t="n">
        <v>0</v>
      </c>
      <c r="R1334" s="47" t="n"/>
      <c r="S1334" s="47" t="n"/>
      <c r="T1334" s="47" t="n"/>
      <c r="U1334" s="47" t="n"/>
      <c r="V1334" s="47" t="n"/>
      <c r="W1334" s="47" t="n"/>
    </row>
    <row r="1335" ht="11.25" customHeight="1">
      <c r="A1335" s="30" t="inlineStr">
        <is>
          <t>Itaguai</t>
        </is>
      </c>
      <c r="B1335" s="30" t="n">
        <v>87287718</v>
      </c>
      <c r="C1335" s="30">
        <f>"26614233000178"</f>
        <v/>
      </c>
      <c r="D1335" s="30" t="inlineStr">
        <is>
          <t>7LINK TELECOM EIRELI ME</t>
        </is>
      </c>
      <c r="E1335" s="40" t="n">
        <v>0</v>
      </c>
      <c r="F1335" s="40" t="n">
        <v>0</v>
      </c>
      <c r="G1335" s="40" t="n">
        <v>0</v>
      </c>
      <c r="H1335" s="40" t="n">
        <v>0</v>
      </c>
      <c r="I1335" s="40" t="n">
        <v>0</v>
      </c>
      <c r="J1335" s="40" t="n">
        <v>0</v>
      </c>
      <c r="K1335" s="40" t="n">
        <v>0</v>
      </c>
      <c r="L1335" s="40" t="n">
        <v>0</v>
      </c>
      <c r="M1335" s="40" t="n">
        <v>0</v>
      </c>
      <c r="N1335" s="40" t="n">
        <v>102517.08</v>
      </c>
      <c r="O1335" s="40" t="n">
        <v>100</v>
      </c>
      <c r="P1335" s="40" t="n">
        <v>2735323.33</v>
      </c>
      <c r="Q1335" s="40" t="n">
        <v>2568.16</v>
      </c>
      <c r="R1335" s="47" t="n"/>
      <c r="S1335" s="47" t="n"/>
      <c r="T1335" s="47" t="n"/>
      <c r="U1335" s="47" t="n"/>
      <c r="V1335" s="47" t="n"/>
      <c r="W1335" s="47" t="n"/>
    </row>
    <row r="1336" ht="11.25" customHeight="1">
      <c r="A1336" s="30" t="inlineStr">
        <is>
          <t>Itaguai</t>
        </is>
      </c>
      <c r="B1336" s="30" t="n">
        <v>87293769</v>
      </c>
      <c r="C1336" s="30">
        <f>"10260910000248"</f>
        <v/>
      </c>
      <c r="D1336" s="30" t="inlineStr">
        <is>
          <t>GUARU CARGO - LOGISTICA E TRANSPORTES LTDA</t>
        </is>
      </c>
      <c r="E1336" s="40" t="n">
        <v>524.75</v>
      </c>
      <c r="F1336" s="40" t="n">
        <v>11777.32</v>
      </c>
      <c r="G1336" s="40" t="n">
        <v>2144.37</v>
      </c>
      <c r="H1336" s="40" t="n">
        <v>0</v>
      </c>
      <c r="I1336" s="46" t="n">
        <v>-100</v>
      </c>
      <c r="J1336" s="40" t="n">
        <v>0</v>
      </c>
      <c r="K1336" s="40" t="n">
        <v>0</v>
      </c>
      <c r="L1336" s="40" t="n">
        <v>0</v>
      </c>
      <c r="M1336" s="40" t="n">
        <v>0</v>
      </c>
      <c r="N1336" s="40" t="n">
        <v>0</v>
      </c>
      <c r="O1336" s="40" t="n">
        <v>0</v>
      </c>
      <c r="P1336" s="40" t="n">
        <v>0</v>
      </c>
      <c r="Q1336" s="40" t="n">
        <v>0</v>
      </c>
      <c r="R1336" s="47" t="n"/>
      <c r="S1336" s="47" t="n"/>
      <c r="T1336" s="47" t="n"/>
      <c r="U1336" s="47" t="n"/>
      <c r="V1336" s="47" t="n"/>
      <c r="W1336" s="47" t="n"/>
    </row>
    <row r="1337" ht="11.25" customHeight="1">
      <c r="A1337" s="30" t="inlineStr">
        <is>
          <t>Itaguai</t>
        </is>
      </c>
      <c r="B1337" s="30" t="n">
        <v>87305422</v>
      </c>
      <c r="C1337" s="30">
        <f>"27018552000183"</f>
        <v/>
      </c>
      <c r="D1337" s="30" t="inlineStr">
        <is>
          <t>DANIEL G JUSTINO COMERCIO E SERVICO DE REFRIGERACAO</t>
        </is>
      </c>
      <c r="E1337" s="40" t="n">
        <v>0</v>
      </c>
      <c r="F1337" s="40" t="n">
        <v>0</v>
      </c>
      <c r="G1337" s="40" t="n">
        <v>0</v>
      </c>
      <c r="H1337" s="40" t="n">
        <v>0</v>
      </c>
      <c r="I1337" s="40" t="n">
        <v>0</v>
      </c>
      <c r="J1337" s="40" t="n">
        <v>0</v>
      </c>
      <c r="K1337" s="40" t="n">
        <v>0</v>
      </c>
      <c r="L1337" s="40" t="n">
        <v>0</v>
      </c>
      <c r="M1337" s="40" t="n">
        <v>0</v>
      </c>
      <c r="N1337" s="40" t="n">
        <v>0</v>
      </c>
      <c r="O1337" s="40" t="n">
        <v>0</v>
      </c>
      <c r="P1337" s="40" t="n">
        <v>0</v>
      </c>
      <c r="Q1337" s="40" t="n">
        <v>0</v>
      </c>
      <c r="R1337" s="47" t="n"/>
      <c r="S1337" s="47" t="n"/>
      <c r="T1337" s="47" t="n"/>
      <c r="U1337" s="47" t="n"/>
      <c r="V1337" s="47" t="n"/>
      <c r="W1337" s="47" t="n"/>
    </row>
    <row r="1338" ht="11.25" customHeight="1">
      <c r="A1338" s="30" t="inlineStr">
        <is>
          <t>Itaguai</t>
        </is>
      </c>
      <c r="B1338" s="30" t="n">
        <v>87306771</v>
      </c>
      <c r="C1338" s="30">
        <f>"26857770000149"</f>
        <v/>
      </c>
      <c r="D1338" s="30" t="inlineStr">
        <is>
          <t>HDG MOTO PECAS LTDA - ME</t>
        </is>
      </c>
      <c r="E1338" s="40" t="n">
        <v>0</v>
      </c>
      <c r="F1338" s="40" t="n">
        <v>0</v>
      </c>
      <c r="G1338" s="40" t="n">
        <v>0</v>
      </c>
      <c r="H1338" s="40" t="n">
        <v>0</v>
      </c>
      <c r="I1338" s="40" t="n">
        <v>0</v>
      </c>
      <c r="J1338" s="40" t="n">
        <v>0</v>
      </c>
      <c r="K1338" s="40" t="n">
        <v>0</v>
      </c>
      <c r="L1338" s="40" t="n">
        <v>0</v>
      </c>
      <c r="M1338" s="40" t="n">
        <v>0</v>
      </c>
      <c r="N1338" s="40" t="n">
        <v>0</v>
      </c>
      <c r="O1338" s="40" t="n">
        <v>0</v>
      </c>
      <c r="P1338" s="40" t="n">
        <v>0</v>
      </c>
      <c r="Q1338" s="40" t="n">
        <v>0</v>
      </c>
      <c r="R1338" s="47" t="n"/>
      <c r="S1338" s="47" t="n"/>
      <c r="T1338" s="47" t="n"/>
      <c r="U1338" s="47" t="n"/>
      <c r="V1338" s="47" t="n"/>
      <c r="W1338" s="47" t="n"/>
    </row>
    <row r="1339" ht="11.25" customHeight="1">
      <c r="A1339" s="30" t="inlineStr">
        <is>
          <t>Itaguai</t>
        </is>
      </c>
      <c r="B1339" s="30" t="n">
        <v>87308901</v>
      </c>
      <c r="C1339" s="30">
        <f>"27063902000123"</f>
        <v/>
      </c>
      <c r="D1339" s="30" t="inlineStr">
        <is>
          <t>LRAM TRANSPORTE DE CARGAS LTDA EPP</t>
        </is>
      </c>
      <c r="E1339" s="40" t="n">
        <v>0</v>
      </c>
      <c r="F1339" s="40" t="n">
        <v>0</v>
      </c>
      <c r="G1339" s="40" t="n">
        <v>0</v>
      </c>
      <c r="H1339" s="40" t="n">
        <v>0</v>
      </c>
      <c r="I1339" s="40" t="n">
        <v>0</v>
      </c>
      <c r="J1339" s="40" t="n">
        <v>629</v>
      </c>
      <c r="K1339" s="40" t="n">
        <v>100</v>
      </c>
      <c r="L1339" s="40" t="n">
        <v>1842.6</v>
      </c>
      <c r="M1339" s="40" t="n">
        <v>192.94</v>
      </c>
      <c r="N1339" s="40" t="n">
        <v>0</v>
      </c>
      <c r="O1339" s="46" t="n">
        <v>-100</v>
      </c>
      <c r="P1339" s="40" t="n">
        <v>0</v>
      </c>
      <c r="Q1339" s="40" t="n">
        <v>0</v>
      </c>
      <c r="R1339" s="47" t="n"/>
      <c r="S1339" s="47" t="n"/>
      <c r="T1339" s="47" t="n"/>
      <c r="U1339" s="47" t="n"/>
      <c r="V1339" s="47" t="n"/>
      <c r="W1339" s="47" t="n"/>
    </row>
    <row r="1340" ht="11.25" customHeight="1">
      <c r="A1340" s="30" t="inlineStr">
        <is>
          <t>Itaguai</t>
        </is>
      </c>
      <c r="B1340" s="30" t="n">
        <v>87309908</v>
      </c>
      <c r="C1340" s="30">
        <f>"27067881000114"</f>
        <v/>
      </c>
      <c r="D1340" s="30" t="inlineStr">
        <is>
          <t>PADARIA E CONFEITARIA NOVA ITAGUAI EIRELI</t>
        </is>
      </c>
      <c r="E1340" s="40" t="n">
        <v>184346.73</v>
      </c>
      <c r="F1340" s="40" t="n">
        <v>193039.37</v>
      </c>
      <c r="G1340" s="40" t="n">
        <v>4.72</v>
      </c>
      <c r="H1340" s="40" t="n">
        <v>572112.6</v>
      </c>
      <c r="I1340" s="40" t="n">
        <v>196.37</v>
      </c>
      <c r="J1340" s="40" t="n">
        <v>0</v>
      </c>
      <c r="K1340" s="46" t="n">
        <v>-100</v>
      </c>
      <c r="L1340" s="40" t="n">
        <v>0</v>
      </c>
      <c r="M1340" s="40" t="n">
        <v>0</v>
      </c>
      <c r="N1340" s="40" t="n">
        <v>0</v>
      </c>
      <c r="O1340" s="40" t="n">
        <v>0</v>
      </c>
      <c r="P1340" s="40" t="n">
        <v>0</v>
      </c>
      <c r="Q1340" s="40" t="n">
        <v>0</v>
      </c>
      <c r="R1340" s="47" t="n"/>
      <c r="S1340" s="47" t="n"/>
      <c r="T1340" s="47" t="n"/>
      <c r="U1340" s="47" t="n"/>
      <c r="V1340" s="47" t="n"/>
      <c r="W1340" s="47" t="n"/>
    </row>
    <row r="1341" ht="11.25" customHeight="1">
      <c r="A1341" s="30" t="inlineStr">
        <is>
          <t>Itaguai</t>
        </is>
      </c>
      <c r="B1341" s="30" t="n">
        <v>87316440</v>
      </c>
      <c r="C1341" s="30">
        <f>"76728385001141"</f>
        <v/>
      </c>
      <c r="D1341" s="30" t="inlineStr">
        <is>
          <t>TRANSPORTES DIAMANTE LTDA</t>
        </is>
      </c>
      <c r="E1341" s="40" t="n">
        <v>0</v>
      </c>
      <c r="F1341" s="40" t="n">
        <v>0</v>
      </c>
      <c r="G1341" s="40" t="n">
        <v>0</v>
      </c>
      <c r="H1341" s="40" t="n">
        <v>0</v>
      </c>
      <c r="I1341" s="40" t="n">
        <v>0</v>
      </c>
      <c r="J1341" s="40" t="n">
        <v>0</v>
      </c>
      <c r="K1341" s="40" t="n">
        <v>0</v>
      </c>
      <c r="L1341" s="40" t="n">
        <v>0</v>
      </c>
      <c r="M1341" s="40" t="n">
        <v>0</v>
      </c>
      <c r="N1341" s="40" t="n">
        <v>0</v>
      </c>
      <c r="O1341" s="40" t="n">
        <v>0</v>
      </c>
      <c r="P1341" s="40" t="n">
        <v>0</v>
      </c>
      <c r="Q1341" s="40" t="n">
        <v>0</v>
      </c>
      <c r="R1341" s="47" t="n"/>
      <c r="S1341" s="47" t="n"/>
      <c r="T1341" s="47" t="n"/>
      <c r="U1341" s="47" t="n"/>
      <c r="V1341" s="47" t="n"/>
      <c r="W1341" s="47" t="n"/>
    </row>
    <row r="1342" ht="11.25" customHeight="1">
      <c r="A1342" s="30" t="inlineStr">
        <is>
          <t>Itaguai</t>
        </is>
      </c>
      <c r="B1342" s="30" t="n">
        <v>87317170</v>
      </c>
      <c r="C1342" s="30">
        <f>"27170693000117"</f>
        <v/>
      </c>
      <c r="D1342" s="30" t="inlineStr">
        <is>
          <t>DUGEL MATERIAIS DE CONSTRUCAO EIRELI ME</t>
        </is>
      </c>
      <c r="E1342" s="40" t="n">
        <v>0</v>
      </c>
      <c r="F1342" s="40" t="n">
        <v>0</v>
      </c>
      <c r="G1342" s="40" t="n">
        <v>0</v>
      </c>
      <c r="H1342" s="40" t="n">
        <v>0</v>
      </c>
      <c r="I1342" s="40" t="n">
        <v>0</v>
      </c>
      <c r="J1342" s="40" t="n">
        <v>0</v>
      </c>
      <c r="K1342" s="40" t="n">
        <v>0</v>
      </c>
      <c r="L1342" s="40" t="n">
        <v>0</v>
      </c>
      <c r="M1342" s="40" t="n">
        <v>0</v>
      </c>
      <c r="N1342" s="40" t="n">
        <v>0</v>
      </c>
      <c r="O1342" s="40" t="n">
        <v>0</v>
      </c>
      <c r="P1342" s="40" t="n">
        <v>0</v>
      </c>
      <c r="Q1342" s="40" t="n">
        <v>0</v>
      </c>
      <c r="R1342" s="47" t="n"/>
      <c r="S1342" s="47" t="n"/>
      <c r="T1342" s="47" t="n"/>
      <c r="U1342" s="47" t="n"/>
      <c r="V1342" s="47" t="n"/>
      <c r="W1342" s="47" t="n"/>
    </row>
    <row r="1343" ht="11.25" customHeight="1">
      <c r="A1343" s="30" t="inlineStr">
        <is>
          <t>Itaguai</t>
        </is>
      </c>
      <c r="B1343" s="30" t="n">
        <v>87318400</v>
      </c>
      <c r="C1343" s="30">
        <f>"59530832002297"</f>
        <v/>
      </c>
      <c r="D1343" s="30" t="inlineStr">
        <is>
          <t>BRASILMAXI LOGISTICA LTDA</t>
        </is>
      </c>
      <c r="E1343" s="40" t="n">
        <v>74121.3</v>
      </c>
      <c r="F1343" s="40" t="n">
        <v>0</v>
      </c>
      <c r="G1343" s="46" t="n">
        <v>-100</v>
      </c>
      <c r="H1343" s="40" t="n">
        <v>0</v>
      </c>
      <c r="I1343" s="40" t="n">
        <v>0</v>
      </c>
      <c r="J1343" s="40" t="n">
        <v>0</v>
      </c>
      <c r="K1343" s="40" t="n">
        <v>0</v>
      </c>
      <c r="L1343" s="40" t="n">
        <v>0</v>
      </c>
      <c r="M1343" s="40" t="n">
        <v>0</v>
      </c>
      <c r="N1343" s="40" t="n">
        <v>374151.15</v>
      </c>
      <c r="O1343" s="40" t="n">
        <v>100</v>
      </c>
      <c r="P1343" s="40" t="n">
        <v>0</v>
      </c>
      <c r="Q1343" s="46" t="n">
        <v>-100</v>
      </c>
      <c r="R1343" s="47" t="n"/>
      <c r="S1343" s="47" t="n"/>
      <c r="T1343" s="47" t="n"/>
      <c r="U1343" s="47" t="n"/>
      <c r="V1343" s="47" t="n"/>
      <c r="W1343" s="47" t="n"/>
    </row>
    <row r="1344" ht="11.25" customHeight="1">
      <c r="A1344" s="30" t="inlineStr">
        <is>
          <t>Itaguai</t>
        </is>
      </c>
      <c r="B1344" s="30" t="n">
        <v>87321177</v>
      </c>
      <c r="C1344" s="30">
        <f>"57906711000228"</f>
        <v/>
      </c>
      <c r="D1344" s="30" t="inlineStr">
        <is>
          <t>TDB TRANSPORTE E DISTRIBUICAO DE BENS LTDA</t>
        </is>
      </c>
      <c r="E1344" s="40" t="n">
        <v>76.63</v>
      </c>
      <c r="F1344" s="40" t="n">
        <v>101.04</v>
      </c>
      <c r="G1344" s="40" t="n">
        <v>31.85</v>
      </c>
      <c r="H1344" s="40" t="n">
        <v>62.5</v>
      </c>
      <c r="I1344" s="46" t="n">
        <v>-38.14</v>
      </c>
      <c r="J1344" s="40" t="n">
        <v>59.02</v>
      </c>
      <c r="K1344" s="46" t="n">
        <v>-5.57</v>
      </c>
      <c r="L1344" s="40" t="n">
        <v>0</v>
      </c>
      <c r="M1344" s="46" t="n">
        <v>-100</v>
      </c>
      <c r="N1344" s="40" t="n">
        <v>0</v>
      </c>
      <c r="O1344" s="40" t="n">
        <v>0</v>
      </c>
      <c r="P1344" s="40" t="n">
        <v>0</v>
      </c>
      <c r="Q1344" s="40" t="n">
        <v>0</v>
      </c>
      <c r="R1344" s="47" t="n"/>
      <c r="S1344" s="47" t="n"/>
      <c r="T1344" s="47" t="n"/>
      <c r="U1344" s="47" t="n"/>
      <c r="V1344" s="47" t="n"/>
      <c r="W1344" s="47" t="n"/>
    </row>
    <row r="1345" ht="11.25" customHeight="1">
      <c r="A1345" s="30" t="inlineStr">
        <is>
          <t>Itaguai</t>
        </is>
      </c>
      <c r="B1345" s="30" t="n">
        <v>87324788</v>
      </c>
      <c r="C1345" s="30">
        <f>"27267181000173"</f>
        <v/>
      </c>
      <c r="D1345" s="30" t="inlineStr">
        <is>
          <t>MERCADO RTJ SOARES EIRELI</t>
        </is>
      </c>
      <c r="E1345" s="40" t="n">
        <v>3352751.08</v>
      </c>
      <c r="F1345" s="40" t="n">
        <v>5067716.22</v>
      </c>
      <c r="G1345" s="40" t="n">
        <v>51.15</v>
      </c>
      <c r="H1345" s="40" t="n">
        <v>9730710.83</v>
      </c>
      <c r="I1345" s="40" t="n">
        <v>92.01000000000001</v>
      </c>
      <c r="J1345" s="40" t="n">
        <v>10624541.39</v>
      </c>
      <c r="K1345" s="40" t="n">
        <v>9.19</v>
      </c>
      <c r="L1345" s="40" t="n">
        <v>9460059.199999999</v>
      </c>
      <c r="M1345" s="46" t="n">
        <v>-10.96</v>
      </c>
      <c r="N1345" s="40" t="n">
        <v>5588821.43</v>
      </c>
      <c r="O1345" s="46" t="n">
        <v>-40.92</v>
      </c>
      <c r="P1345" s="40" t="n">
        <v>4776998.6</v>
      </c>
      <c r="Q1345" s="46" t="n">
        <v>-14.53</v>
      </c>
      <c r="R1345" s="47" t="n"/>
      <c r="S1345" s="47" t="n"/>
      <c r="T1345" s="47" t="n"/>
      <c r="U1345" s="47" t="n"/>
      <c r="V1345" s="47" t="n"/>
      <c r="W1345" s="47" t="n"/>
    </row>
    <row r="1346" ht="11.25" customHeight="1">
      <c r="A1346" s="30" t="inlineStr">
        <is>
          <t>Itaguai</t>
        </is>
      </c>
      <c r="B1346" s="30" t="n">
        <v>87325415</v>
      </c>
      <c r="C1346" s="30">
        <f>"27276756000114"</f>
        <v/>
      </c>
      <c r="D1346" s="30" t="inlineStr">
        <is>
          <t>QUALITRANS LOGISTICA LTDA EPP</t>
        </is>
      </c>
      <c r="E1346" s="40" t="n">
        <v>0</v>
      </c>
      <c r="F1346" s="40" t="n">
        <v>0</v>
      </c>
      <c r="G1346" s="40" t="n">
        <v>0</v>
      </c>
      <c r="H1346" s="40" t="n">
        <v>0</v>
      </c>
      <c r="I1346" s="40" t="n">
        <v>0</v>
      </c>
      <c r="J1346" s="40" t="n">
        <v>0</v>
      </c>
      <c r="K1346" s="40" t="n">
        <v>0</v>
      </c>
      <c r="L1346" s="40" t="n">
        <v>458918.26</v>
      </c>
      <c r="M1346" s="40" t="n">
        <v>100</v>
      </c>
      <c r="N1346" s="40" t="n">
        <v>1167001.58</v>
      </c>
      <c r="O1346" s="40" t="n">
        <v>154.29</v>
      </c>
      <c r="P1346" s="40" t="n">
        <v>0</v>
      </c>
      <c r="Q1346" s="46" t="n">
        <v>-100</v>
      </c>
      <c r="R1346" s="47" t="n"/>
      <c r="S1346" s="47" t="n"/>
      <c r="T1346" s="47" t="n"/>
      <c r="U1346" s="47" t="n"/>
      <c r="V1346" s="47" t="n"/>
      <c r="W1346" s="47" t="n"/>
    </row>
    <row r="1347" ht="11.25" customHeight="1">
      <c r="A1347" s="30" t="inlineStr">
        <is>
          <t>Itaguai</t>
        </is>
      </c>
      <c r="B1347" s="30" t="n">
        <v>87326543</v>
      </c>
      <c r="C1347" s="30">
        <f>"13214075000117"</f>
        <v/>
      </c>
      <c r="D1347" s="30" t="inlineStr">
        <is>
          <t>PROLOG TRANSPORTES E LOGISTICA LTDA ME</t>
        </is>
      </c>
      <c r="E1347" s="40" t="n">
        <v>0</v>
      </c>
      <c r="F1347" s="40" t="n">
        <v>0</v>
      </c>
      <c r="G1347" s="40" t="n">
        <v>0</v>
      </c>
      <c r="H1347" s="40" t="n">
        <v>200.63</v>
      </c>
      <c r="I1347" s="40" t="n">
        <v>100</v>
      </c>
      <c r="J1347" s="40" t="n">
        <v>0</v>
      </c>
      <c r="K1347" s="46" t="n">
        <v>-100</v>
      </c>
      <c r="L1347" s="40" t="n">
        <v>0</v>
      </c>
      <c r="M1347" s="40" t="n">
        <v>0</v>
      </c>
      <c r="N1347" s="40" t="n">
        <v>0</v>
      </c>
      <c r="O1347" s="40" t="n">
        <v>0</v>
      </c>
      <c r="P1347" s="40" t="n">
        <v>0</v>
      </c>
      <c r="Q1347" s="40" t="n">
        <v>0</v>
      </c>
      <c r="R1347" s="47" t="n"/>
      <c r="S1347" s="47" t="n"/>
      <c r="T1347" s="47" t="n"/>
      <c r="U1347" s="47" t="n"/>
      <c r="V1347" s="47" t="n"/>
      <c r="W1347" s="47" t="n"/>
    </row>
    <row r="1348" ht="11.25" customHeight="1">
      <c r="A1348" s="30" t="inlineStr">
        <is>
          <t>Itaguai</t>
        </is>
      </c>
      <c r="B1348" s="30" t="n">
        <v>87327396</v>
      </c>
      <c r="C1348" s="30">
        <f>"22520083000182"</f>
        <v/>
      </c>
      <c r="D1348" s="30" t="inlineStr">
        <is>
          <t>JAM PIERRE DIAS ROSA M E</t>
        </is>
      </c>
      <c r="E1348" s="40" t="n">
        <v>0</v>
      </c>
      <c r="F1348" s="40" t="n">
        <v>0</v>
      </c>
      <c r="G1348" s="40" t="n">
        <v>0</v>
      </c>
      <c r="H1348" s="40" t="n">
        <v>0</v>
      </c>
      <c r="I1348" s="40" t="n">
        <v>0</v>
      </c>
      <c r="J1348" s="40" t="n">
        <v>0</v>
      </c>
      <c r="K1348" s="40" t="n">
        <v>0</v>
      </c>
      <c r="L1348" s="40" t="n">
        <v>0</v>
      </c>
      <c r="M1348" s="40" t="n">
        <v>0</v>
      </c>
      <c r="N1348" s="40" t="n">
        <v>0</v>
      </c>
      <c r="O1348" s="40" t="n">
        <v>0</v>
      </c>
      <c r="P1348" s="40" t="n">
        <v>0</v>
      </c>
      <c r="Q1348" s="40" t="n">
        <v>0</v>
      </c>
      <c r="R1348" s="47" t="n"/>
      <c r="S1348" s="47" t="n"/>
      <c r="T1348" s="47" t="n"/>
      <c r="U1348" s="47" t="n"/>
      <c r="V1348" s="47" t="n"/>
      <c r="W1348" s="47" t="n"/>
    </row>
    <row r="1349" ht="11.25" customHeight="1">
      <c r="A1349" s="30" t="inlineStr">
        <is>
          <t>Itaguai</t>
        </is>
      </c>
      <c r="B1349" s="30" t="n">
        <v>87327418</v>
      </c>
      <c r="C1349" s="30">
        <f>"14373116000180"</f>
        <v/>
      </c>
      <c r="D1349" s="30" t="inlineStr">
        <is>
          <t>TOP MASTER TELECOM LTDA ME</t>
        </is>
      </c>
      <c r="E1349" s="40" t="n">
        <v>0</v>
      </c>
      <c r="F1349" s="40" t="n">
        <v>0</v>
      </c>
      <c r="G1349" s="40" t="n">
        <v>0</v>
      </c>
      <c r="H1349" s="40" t="n">
        <v>0</v>
      </c>
      <c r="I1349" s="40" t="n">
        <v>0</v>
      </c>
      <c r="J1349" s="40" t="n">
        <v>0</v>
      </c>
      <c r="K1349" s="40" t="n">
        <v>0</v>
      </c>
      <c r="L1349" s="40" t="n">
        <v>0</v>
      </c>
      <c r="M1349" s="40" t="n">
        <v>0</v>
      </c>
      <c r="N1349" s="40" t="n">
        <v>0</v>
      </c>
      <c r="O1349" s="40" t="n">
        <v>0</v>
      </c>
      <c r="P1349" s="40" t="n">
        <v>0</v>
      </c>
      <c r="Q1349" s="40" t="n">
        <v>0</v>
      </c>
      <c r="R1349" s="47" t="n"/>
      <c r="S1349" s="47" t="n"/>
      <c r="T1349" s="47" t="n"/>
      <c r="U1349" s="47" t="n"/>
      <c r="V1349" s="47" t="n"/>
      <c r="W1349" s="47" t="n"/>
    </row>
    <row r="1350" ht="11.25" customHeight="1">
      <c r="A1350" s="30" t="inlineStr">
        <is>
          <t>Itaguai</t>
        </is>
      </c>
      <c r="B1350" s="30" t="n">
        <v>87327710</v>
      </c>
      <c r="C1350" s="30">
        <f>"27330290000198"</f>
        <v/>
      </c>
      <c r="D1350" s="30" t="inlineStr">
        <is>
          <t>MARIA DE FATIMA COMERCIO DE MINERAIS E TRANSPORTES EIRELI ME</t>
        </is>
      </c>
      <c r="E1350" s="40" t="n">
        <v>0</v>
      </c>
      <c r="F1350" s="40" t="n">
        <v>0</v>
      </c>
      <c r="G1350" s="40" t="n">
        <v>0</v>
      </c>
      <c r="H1350" s="40" t="n">
        <v>0</v>
      </c>
      <c r="I1350" s="40" t="n">
        <v>0</v>
      </c>
      <c r="J1350" s="40" t="n">
        <v>0</v>
      </c>
      <c r="K1350" s="40" t="n">
        <v>0</v>
      </c>
      <c r="L1350" s="40" t="n">
        <v>0</v>
      </c>
      <c r="M1350" s="40" t="n">
        <v>0</v>
      </c>
      <c r="N1350" s="40" t="n">
        <v>0</v>
      </c>
      <c r="O1350" s="40" t="n">
        <v>0</v>
      </c>
      <c r="P1350" s="40" t="n">
        <v>15681.25</v>
      </c>
      <c r="Q1350" s="40" t="n">
        <v>100</v>
      </c>
      <c r="R1350" s="47" t="n"/>
      <c r="S1350" s="47" t="n"/>
      <c r="T1350" s="47" t="n"/>
      <c r="U1350" s="47" t="n"/>
      <c r="V1350" s="47" t="n"/>
      <c r="W1350" s="47" t="n"/>
    </row>
    <row r="1351" ht="11.25" customHeight="1">
      <c r="A1351" s="30" t="inlineStr">
        <is>
          <t>Itaguai</t>
        </is>
      </c>
      <c r="B1351" s="30" t="n">
        <v>87331059</v>
      </c>
      <c r="C1351" s="30">
        <f>"27310529000168"</f>
        <v/>
      </c>
      <c r="D1351" s="30" t="inlineStr">
        <is>
          <t>SH TRANSPORTE E LOGISTICA EIRELI ME</t>
        </is>
      </c>
      <c r="E1351" s="40" t="n">
        <v>0</v>
      </c>
      <c r="F1351" s="40" t="n">
        <v>0</v>
      </c>
      <c r="G1351" s="40" t="n">
        <v>0</v>
      </c>
      <c r="H1351" s="40" t="n">
        <v>0</v>
      </c>
      <c r="I1351" s="40" t="n">
        <v>0</v>
      </c>
      <c r="J1351" s="40" t="n">
        <v>0</v>
      </c>
      <c r="K1351" s="40" t="n">
        <v>0</v>
      </c>
      <c r="L1351" s="40" t="n">
        <v>0</v>
      </c>
      <c r="M1351" s="40" t="n">
        <v>0</v>
      </c>
      <c r="N1351" s="40" t="n">
        <v>0</v>
      </c>
      <c r="O1351" s="40" t="n">
        <v>0</v>
      </c>
      <c r="P1351" s="40" t="n">
        <v>6003.6</v>
      </c>
      <c r="Q1351" s="40" t="n">
        <v>100</v>
      </c>
      <c r="R1351" s="47" t="n"/>
      <c r="S1351" s="47" t="n"/>
      <c r="T1351" s="47" t="n"/>
      <c r="U1351" s="47" t="n"/>
      <c r="V1351" s="47" t="n"/>
      <c r="W1351" s="47" t="n"/>
    </row>
    <row r="1352" ht="11.25" customHeight="1">
      <c r="A1352" s="30" t="inlineStr">
        <is>
          <t>Itaguai</t>
        </is>
      </c>
      <c r="B1352" s="30" t="n">
        <v>87331474</v>
      </c>
      <c r="C1352" s="30">
        <f>"11512269000254"</f>
        <v/>
      </c>
      <c r="D1352" s="30" t="inlineStr">
        <is>
          <t>CMC TRANSPORTES E LOGISTICA LTDA</t>
        </is>
      </c>
      <c r="E1352" s="40" t="n">
        <v>1980514.71</v>
      </c>
      <c r="F1352" s="40" t="n">
        <v>1383263.82</v>
      </c>
      <c r="G1352" s="46" t="n">
        <v>-30.16</v>
      </c>
      <c r="H1352" s="40" t="n">
        <v>8092.42</v>
      </c>
      <c r="I1352" s="46" t="n">
        <v>-99.41</v>
      </c>
      <c r="J1352" s="40" t="n">
        <v>0</v>
      </c>
      <c r="K1352" s="46" t="n">
        <v>-100</v>
      </c>
      <c r="L1352" s="40" t="n">
        <v>0</v>
      </c>
      <c r="M1352" s="40" t="n">
        <v>0</v>
      </c>
      <c r="N1352" s="40" t="n">
        <v>0</v>
      </c>
      <c r="O1352" s="40" t="n">
        <v>0</v>
      </c>
      <c r="P1352" s="40" t="n">
        <v>0</v>
      </c>
      <c r="Q1352" s="40" t="n">
        <v>0</v>
      </c>
      <c r="R1352" s="47" t="n"/>
      <c r="S1352" s="47" t="n"/>
      <c r="T1352" s="47" t="n"/>
      <c r="U1352" s="47" t="n"/>
      <c r="V1352" s="47" t="n"/>
      <c r="W1352" s="47" t="n"/>
    </row>
    <row r="1353" ht="11.25" customHeight="1">
      <c r="A1353" s="30" t="inlineStr">
        <is>
          <t>Itaguai</t>
        </is>
      </c>
      <c r="B1353" s="30" t="n">
        <v>87335917</v>
      </c>
      <c r="C1353" s="30">
        <f>"27422548000186"</f>
        <v/>
      </c>
      <c r="D1353" s="30" t="inlineStr">
        <is>
          <t>ARYCOM TECNOLOGIA E COMUNICACOES LTDA - EPP</t>
        </is>
      </c>
      <c r="E1353" s="40" t="n">
        <v>0</v>
      </c>
      <c r="F1353" s="40" t="n">
        <v>0</v>
      </c>
      <c r="G1353" s="40" t="n">
        <v>0</v>
      </c>
      <c r="H1353" s="40" t="n">
        <v>0</v>
      </c>
      <c r="I1353" s="40" t="n">
        <v>0</v>
      </c>
      <c r="J1353" s="40" t="n">
        <v>0</v>
      </c>
      <c r="K1353" s="40" t="n">
        <v>0</v>
      </c>
      <c r="L1353" s="40" t="n">
        <v>0</v>
      </c>
      <c r="M1353" s="40" t="n">
        <v>0</v>
      </c>
      <c r="N1353" s="40" t="n">
        <v>0</v>
      </c>
      <c r="O1353" s="40" t="n">
        <v>0</v>
      </c>
      <c r="P1353" s="40" t="n">
        <v>1421.05</v>
      </c>
      <c r="Q1353" s="40" t="n">
        <v>100</v>
      </c>
      <c r="R1353" s="47" t="n"/>
      <c r="S1353" s="47" t="n"/>
      <c r="T1353" s="47" t="n"/>
      <c r="U1353" s="47" t="n"/>
      <c r="V1353" s="47" t="n"/>
      <c r="W1353" s="47" t="n"/>
    </row>
    <row r="1354" ht="11.25" customHeight="1">
      <c r="A1354" s="30" t="inlineStr">
        <is>
          <t>Itaguai</t>
        </is>
      </c>
      <c r="B1354" s="30" t="n">
        <v>87335950</v>
      </c>
      <c r="C1354" s="30">
        <f>"08686200000151"</f>
        <v/>
      </c>
      <c r="D1354" s="30" t="inlineStr">
        <is>
          <t>ASTM TRANSPORTES E LOCACAO DE VEICULOS LTDA</t>
        </is>
      </c>
      <c r="E1354" s="40" t="n">
        <v>0</v>
      </c>
      <c r="F1354" s="40" t="n">
        <v>0</v>
      </c>
      <c r="G1354" s="40" t="n">
        <v>0</v>
      </c>
      <c r="H1354" s="40" t="n">
        <v>0</v>
      </c>
      <c r="I1354" s="40" t="n">
        <v>0</v>
      </c>
      <c r="J1354" s="40" t="n">
        <v>0</v>
      </c>
      <c r="K1354" s="40" t="n">
        <v>0</v>
      </c>
      <c r="L1354" s="40" t="n">
        <v>0</v>
      </c>
      <c r="M1354" s="40" t="n">
        <v>0</v>
      </c>
      <c r="N1354" s="40" t="n">
        <v>345</v>
      </c>
      <c r="O1354" s="40" t="n">
        <v>100</v>
      </c>
      <c r="P1354" s="40" t="n">
        <v>0</v>
      </c>
      <c r="Q1354" s="46" t="n">
        <v>-100</v>
      </c>
      <c r="R1354" s="47" t="n"/>
      <c r="S1354" s="47" t="n"/>
      <c r="T1354" s="47" t="n"/>
      <c r="U1354" s="47" t="n"/>
      <c r="V1354" s="47" t="n"/>
      <c r="W1354" s="47" t="n"/>
    </row>
    <row r="1355" ht="11.25" customHeight="1">
      <c r="A1355" s="30" t="inlineStr">
        <is>
          <t>Itaguai</t>
        </is>
      </c>
      <c r="B1355" s="30" t="n">
        <v>87338568</v>
      </c>
      <c r="C1355" s="30">
        <f>"26996869000121"</f>
        <v/>
      </c>
      <c r="D1355" s="30" t="inlineStr">
        <is>
          <t>SANTOS SERVICOS DE INTERNET LTDA ME</t>
        </is>
      </c>
      <c r="E1355" s="40" t="n">
        <v>0</v>
      </c>
      <c r="F1355" s="40" t="n">
        <v>0</v>
      </c>
      <c r="G1355" s="40" t="n">
        <v>0</v>
      </c>
      <c r="H1355" s="40" t="n">
        <v>0</v>
      </c>
      <c r="I1355" s="40" t="n">
        <v>0</v>
      </c>
      <c r="J1355" s="40" t="n">
        <v>0</v>
      </c>
      <c r="K1355" s="40" t="n">
        <v>0</v>
      </c>
      <c r="L1355" s="40" t="n">
        <v>0</v>
      </c>
      <c r="M1355" s="40" t="n">
        <v>0</v>
      </c>
      <c r="N1355" s="40" t="n">
        <v>0</v>
      </c>
      <c r="O1355" s="40" t="n">
        <v>0</v>
      </c>
      <c r="P1355" s="40" t="n">
        <v>0</v>
      </c>
      <c r="Q1355" s="40" t="n">
        <v>0</v>
      </c>
      <c r="R1355" s="47" t="n"/>
      <c r="S1355" s="47" t="n"/>
      <c r="T1355" s="47" t="n"/>
      <c r="U1355" s="47" t="n"/>
      <c r="V1355" s="47" t="n"/>
      <c r="W1355" s="47" t="n"/>
    </row>
    <row r="1356" ht="11.25" customHeight="1">
      <c r="A1356" s="30" t="inlineStr">
        <is>
          <t>Itaguai</t>
        </is>
      </c>
      <c r="B1356" s="30" t="n">
        <v>87339998</v>
      </c>
      <c r="C1356" s="30">
        <f>"19328249000310"</f>
        <v/>
      </c>
      <c r="D1356" s="30" t="inlineStr">
        <is>
          <t>RM TRANSPORTES DE CARGAS E SERVICOS LTDA - EPP</t>
        </is>
      </c>
      <c r="E1356" s="40" t="n">
        <v>0</v>
      </c>
      <c r="F1356" s="40" t="n">
        <v>0</v>
      </c>
      <c r="G1356" s="40" t="n">
        <v>0</v>
      </c>
      <c r="H1356" s="40" t="n">
        <v>0</v>
      </c>
      <c r="I1356" s="40" t="n">
        <v>0</v>
      </c>
      <c r="J1356" s="40" t="n">
        <v>0</v>
      </c>
      <c r="K1356" s="40" t="n">
        <v>0</v>
      </c>
      <c r="L1356" s="40" t="n">
        <v>0</v>
      </c>
      <c r="M1356" s="40" t="n">
        <v>0</v>
      </c>
      <c r="N1356" s="40" t="n">
        <v>378.44</v>
      </c>
      <c r="O1356" s="40" t="n">
        <v>100</v>
      </c>
      <c r="P1356" s="40" t="n">
        <v>0</v>
      </c>
      <c r="Q1356" s="46" t="n">
        <v>-100</v>
      </c>
      <c r="R1356" s="47" t="n"/>
      <c r="S1356" s="47" t="n"/>
      <c r="T1356" s="47" t="n"/>
      <c r="U1356" s="47" t="n"/>
      <c r="V1356" s="47" t="n"/>
      <c r="W1356" s="47" t="n"/>
    </row>
    <row r="1357" ht="11.25" customHeight="1">
      <c r="A1357" s="30" t="inlineStr">
        <is>
          <t>Itaguai</t>
        </is>
      </c>
      <c r="B1357" s="30" t="n">
        <v>87342310</v>
      </c>
      <c r="C1357" s="30">
        <f>"27499456000102"</f>
        <v/>
      </c>
      <c r="D1357" s="30" t="inlineStr">
        <is>
          <t>LLF TRANSPORTE E LOGISTICA EIRELI</t>
        </is>
      </c>
      <c r="E1357" s="40" t="n">
        <v>0</v>
      </c>
      <c r="F1357" s="40" t="n">
        <v>0</v>
      </c>
      <c r="G1357" s="40" t="n">
        <v>0</v>
      </c>
      <c r="H1357" s="40" t="n">
        <v>0</v>
      </c>
      <c r="I1357" s="40" t="n">
        <v>0</v>
      </c>
      <c r="J1357" s="40" t="n">
        <v>0</v>
      </c>
      <c r="K1357" s="40" t="n">
        <v>0</v>
      </c>
      <c r="L1357" s="40" t="n">
        <v>0</v>
      </c>
      <c r="M1357" s="40" t="n">
        <v>0</v>
      </c>
      <c r="N1357" s="40" t="n">
        <v>0</v>
      </c>
      <c r="O1357" s="40" t="n">
        <v>0</v>
      </c>
      <c r="P1357" s="40" t="n">
        <v>9750</v>
      </c>
      <c r="Q1357" s="40" t="n">
        <v>100</v>
      </c>
      <c r="R1357" s="47" t="n"/>
      <c r="S1357" s="47" t="n"/>
      <c r="T1357" s="47" t="n"/>
      <c r="U1357" s="47" t="n"/>
      <c r="V1357" s="47" t="n"/>
      <c r="W1357" s="47" t="n"/>
    </row>
    <row r="1358" ht="11.25" customHeight="1">
      <c r="A1358" s="30" t="inlineStr">
        <is>
          <t>Itaguai</t>
        </is>
      </c>
      <c r="B1358" s="30" t="n">
        <v>87344959</v>
      </c>
      <c r="C1358" s="30">
        <f>"27541534000181"</f>
        <v/>
      </c>
      <c r="D1358" s="30" t="inlineStr">
        <is>
          <t>OTICA NOVA VISÃO DE ITAGUAI LTDA</t>
        </is>
      </c>
      <c r="E1358" s="40" t="n">
        <v>0</v>
      </c>
      <c r="F1358" s="40" t="n">
        <v>0</v>
      </c>
      <c r="G1358" s="40" t="n">
        <v>0</v>
      </c>
      <c r="H1358" s="40" t="n">
        <v>0</v>
      </c>
      <c r="I1358" s="40" t="n">
        <v>0</v>
      </c>
      <c r="J1358" s="40" t="n">
        <v>1393255.04</v>
      </c>
      <c r="K1358" s="40" t="n">
        <v>100</v>
      </c>
      <c r="L1358" s="40" t="n">
        <v>1603780.7</v>
      </c>
      <c r="M1358" s="40" t="n">
        <v>15.11</v>
      </c>
      <c r="N1358" s="40" t="n">
        <v>1866693.95</v>
      </c>
      <c r="O1358" s="40" t="n">
        <v>16.39</v>
      </c>
      <c r="P1358" s="40" t="n">
        <v>1571358.95</v>
      </c>
      <c r="Q1358" s="46" t="n">
        <v>-15.82</v>
      </c>
      <c r="R1358" s="47" t="n"/>
      <c r="S1358" s="47" t="n"/>
      <c r="T1358" s="47" t="n"/>
      <c r="U1358" s="47" t="n"/>
      <c r="V1358" s="47" t="n"/>
      <c r="W1358" s="47" t="n"/>
    </row>
    <row r="1359" ht="11.25" customHeight="1">
      <c r="A1359" s="30" t="inlineStr">
        <is>
          <t>Itaguai</t>
        </is>
      </c>
      <c r="B1359" s="30" t="n">
        <v>87352323</v>
      </c>
      <c r="C1359" s="30">
        <f>"27456507000100"</f>
        <v/>
      </c>
      <c r="D1359" s="30" t="inlineStr">
        <is>
          <t>HIPER GOURMET LTDA ME</t>
        </is>
      </c>
      <c r="E1359" s="40" t="n">
        <v>0</v>
      </c>
      <c r="F1359" s="40" t="n">
        <v>0</v>
      </c>
      <c r="G1359" s="40" t="n">
        <v>0</v>
      </c>
      <c r="H1359" s="40" t="n">
        <v>0</v>
      </c>
      <c r="I1359" s="40" t="n">
        <v>0</v>
      </c>
      <c r="J1359" s="40" t="n">
        <v>0</v>
      </c>
      <c r="K1359" s="40" t="n">
        <v>0</v>
      </c>
      <c r="L1359" s="40" t="n">
        <v>0</v>
      </c>
      <c r="M1359" s="40" t="n">
        <v>0</v>
      </c>
      <c r="N1359" s="40" t="n">
        <v>0</v>
      </c>
      <c r="O1359" s="40" t="n">
        <v>0</v>
      </c>
      <c r="P1359" s="40" t="n">
        <v>0</v>
      </c>
      <c r="Q1359" s="40" t="n">
        <v>0</v>
      </c>
      <c r="R1359" s="47" t="n"/>
      <c r="S1359" s="47" t="n"/>
      <c r="T1359" s="47" t="n"/>
      <c r="U1359" s="47" t="n"/>
      <c r="V1359" s="47" t="n"/>
      <c r="W1359" s="47" t="n"/>
    </row>
    <row r="1360" ht="11.25" customHeight="1">
      <c r="A1360" s="30" t="inlineStr">
        <is>
          <t>Itaguai</t>
        </is>
      </c>
      <c r="B1360" s="30" t="n">
        <v>87354741</v>
      </c>
      <c r="C1360" s="30">
        <f>"89823918003755"</f>
        <v/>
      </c>
      <c r="D1360" s="30" t="inlineStr">
        <is>
          <t>TRANSPORTES TRANSLOVATO LTDA</t>
        </is>
      </c>
      <c r="E1360" s="40" t="n">
        <v>93.59</v>
      </c>
      <c r="F1360" s="40" t="n">
        <v>305.6</v>
      </c>
      <c r="G1360" s="40" t="n">
        <v>226.53</v>
      </c>
      <c r="H1360" s="40" t="n">
        <v>522.78</v>
      </c>
      <c r="I1360" s="40" t="n">
        <v>71.06999999999999</v>
      </c>
      <c r="J1360" s="40" t="n">
        <v>2561.52</v>
      </c>
      <c r="K1360" s="40" t="n">
        <v>389.98</v>
      </c>
      <c r="L1360" s="40" t="n">
        <v>188.68</v>
      </c>
      <c r="M1360" s="46" t="n">
        <v>-92.63</v>
      </c>
      <c r="N1360" s="40" t="n">
        <v>1185.99</v>
      </c>
      <c r="O1360" s="40" t="n">
        <v>528.5700000000001</v>
      </c>
      <c r="P1360" s="40" t="n">
        <v>1111.17</v>
      </c>
      <c r="Q1360" s="46" t="n">
        <v>-6.31</v>
      </c>
      <c r="R1360" s="47" t="n"/>
      <c r="S1360" s="47" t="n"/>
      <c r="T1360" s="47" t="n"/>
      <c r="U1360" s="47" t="n"/>
      <c r="V1360" s="47" t="n"/>
      <c r="W1360" s="47" t="n"/>
    </row>
    <row r="1361" ht="11.25" customHeight="1">
      <c r="A1361" s="30" t="inlineStr">
        <is>
          <t>Itaguai</t>
        </is>
      </c>
      <c r="B1361" s="30" t="n">
        <v>87357643</v>
      </c>
      <c r="C1361" s="30">
        <f>"05247910000782"</f>
        <v/>
      </c>
      <c r="D1361" s="30" t="inlineStr">
        <is>
          <t>GBG COMERCIO DE PNEUS E SERVICOS LTDA</t>
        </is>
      </c>
      <c r="E1361" s="40" t="n">
        <v>0</v>
      </c>
      <c r="F1361" s="40" t="n">
        <v>0</v>
      </c>
      <c r="G1361" s="40" t="n">
        <v>0</v>
      </c>
      <c r="H1361" s="40" t="n">
        <v>0</v>
      </c>
      <c r="I1361" s="40" t="n">
        <v>0</v>
      </c>
      <c r="J1361" s="40" t="n">
        <v>0</v>
      </c>
      <c r="K1361" s="40" t="n">
        <v>0</v>
      </c>
      <c r="L1361" s="40" t="n">
        <v>88892.39</v>
      </c>
      <c r="M1361" s="40" t="n">
        <v>100</v>
      </c>
      <c r="N1361" s="40" t="n">
        <v>198145.62</v>
      </c>
      <c r="O1361" s="40" t="n">
        <v>122.91</v>
      </c>
      <c r="P1361" s="40" t="n">
        <v>39980.84</v>
      </c>
      <c r="Q1361" s="46" t="n">
        <v>-79.81999999999999</v>
      </c>
      <c r="R1361" s="47" t="n"/>
      <c r="S1361" s="47" t="n"/>
      <c r="T1361" s="47" t="n"/>
      <c r="U1361" s="47" t="n"/>
      <c r="V1361" s="47" t="n"/>
      <c r="W1361" s="47" t="n"/>
    </row>
    <row r="1362" ht="11.25" customHeight="1">
      <c r="A1362" s="30" t="inlineStr">
        <is>
          <t>Itaguai</t>
        </is>
      </c>
      <c r="B1362" s="30" t="n">
        <v>87366219</v>
      </c>
      <c r="C1362" s="30">
        <f>"13248429000578"</f>
        <v/>
      </c>
      <c r="D1362" s="30" t="inlineStr">
        <is>
          <t>GO SERV TRANSPORTES EIRELI</t>
        </is>
      </c>
      <c r="E1362" s="40" t="n">
        <v>0</v>
      </c>
      <c r="F1362" s="40" t="n">
        <v>0</v>
      </c>
      <c r="G1362" s="40" t="n">
        <v>0</v>
      </c>
      <c r="H1362" s="40" t="n">
        <v>0</v>
      </c>
      <c r="I1362" s="40" t="n">
        <v>0</v>
      </c>
      <c r="J1362" s="40" t="n">
        <v>0</v>
      </c>
      <c r="K1362" s="40" t="n">
        <v>0</v>
      </c>
      <c r="L1362" s="40" t="n">
        <v>0</v>
      </c>
      <c r="M1362" s="40" t="n">
        <v>0</v>
      </c>
      <c r="N1362" s="40" t="n">
        <v>0</v>
      </c>
      <c r="O1362" s="40" t="n">
        <v>0</v>
      </c>
      <c r="P1362" s="40" t="n">
        <v>6250</v>
      </c>
      <c r="Q1362" s="40" t="n">
        <v>100</v>
      </c>
      <c r="R1362" s="47" t="n"/>
      <c r="S1362" s="47" t="n"/>
      <c r="T1362" s="47" t="n"/>
      <c r="U1362" s="47" t="n"/>
      <c r="V1362" s="47" t="n"/>
      <c r="W1362" s="47" t="n"/>
    </row>
    <row r="1363" ht="11.25" customHeight="1">
      <c r="A1363" s="30" t="inlineStr">
        <is>
          <t>Itaguai</t>
        </is>
      </c>
      <c r="B1363" s="30" t="n">
        <v>87370720</v>
      </c>
      <c r="C1363" s="30">
        <f>"27863227000117"</f>
        <v/>
      </c>
      <c r="D1363" s="30" t="inlineStr">
        <is>
          <t>GALMACCI ARMAZEM E TRANSPORTE LTDA ME</t>
        </is>
      </c>
      <c r="E1363" s="40" t="n">
        <v>0</v>
      </c>
      <c r="F1363" s="40" t="n">
        <v>3156.45</v>
      </c>
      <c r="G1363" s="40" t="n">
        <v>100</v>
      </c>
      <c r="H1363" s="40" t="n">
        <v>0</v>
      </c>
      <c r="I1363" s="46" t="n">
        <v>-100</v>
      </c>
      <c r="J1363" s="40" t="n">
        <v>6126.89</v>
      </c>
      <c r="K1363" s="40" t="n">
        <v>100</v>
      </c>
      <c r="L1363" s="40" t="n">
        <v>115703.44</v>
      </c>
      <c r="M1363" s="40" t="n">
        <v>1788.45</v>
      </c>
      <c r="N1363" s="40" t="n">
        <v>1361.53</v>
      </c>
      <c r="O1363" s="46" t="n">
        <v>-98.81999999999999</v>
      </c>
      <c r="P1363" s="40" t="n">
        <v>5408.64</v>
      </c>
      <c r="Q1363" s="40" t="n">
        <v>297.25</v>
      </c>
      <c r="R1363" s="47" t="n"/>
      <c r="S1363" s="47" t="n"/>
      <c r="T1363" s="47" t="n"/>
      <c r="U1363" s="47" t="n"/>
      <c r="V1363" s="47" t="n"/>
      <c r="W1363" s="47" t="n"/>
    </row>
    <row r="1364" ht="11.25" customHeight="1">
      <c r="A1364" s="30" t="inlineStr">
        <is>
          <t>Itaguai</t>
        </is>
      </c>
      <c r="B1364" s="30" t="n">
        <v>87371530</v>
      </c>
      <c r="C1364" s="30">
        <f>"23506129000414"</f>
        <v/>
      </c>
      <c r="D1364" s="30" t="inlineStr">
        <is>
          <t>MODULO TRANSPORTE E LOGISTICA LTDA ME</t>
        </is>
      </c>
      <c r="E1364" s="40" t="n">
        <v>0</v>
      </c>
      <c r="F1364" s="40" t="n">
        <v>0</v>
      </c>
      <c r="G1364" s="40" t="n">
        <v>0</v>
      </c>
      <c r="H1364" s="40" t="n">
        <v>0</v>
      </c>
      <c r="I1364" s="40" t="n">
        <v>0</v>
      </c>
      <c r="J1364" s="40" t="n">
        <v>0</v>
      </c>
      <c r="K1364" s="40" t="n">
        <v>0</v>
      </c>
      <c r="L1364" s="40" t="n">
        <v>0</v>
      </c>
      <c r="M1364" s="40" t="n">
        <v>0</v>
      </c>
      <c r="N1364" s="40" t="n">
        <v>126.48</v>
      </c>
      <c r="O1364" s="40" t="n">
        <v>100</v>
      </c>
      <c r="P1364" s="40" t="n">
        <v>293.15</v>
      </c>
      <c r="Q1364" s="40" t="n">
        <v>131.78</v>
      </c>
      <c r="R1364" s="47" t="n"/>
      <c r="S1364" s="47" t="n"/>
      <c r="T1364" s="47" t="n"/>
      <c r="U1364" s="47" t="n"/>
      <c r="V1364" s="47" t="n"/>
      <c r="W1364" s="47" t="n"/>
    </row>
    <row r="1365" ht="11.25" customHeight="1">
      <c r="A1365" s="30" t="inlineStr">
        <is>
          <t>Itaguai</t>
        </is>
      </c>
      <c r="B1365" s="30" t="n">
        <v>87372332</v>
      </c>
      <c r="C1365" s="30">
        <f>"27698834000179"</f>
        <v/>
      </c>
      <c r="D1365" s="30" t="inlineStr">
        <is>
          <t>WORLD TECH SOLUÇÕES EM TECNOLOGIA EIRELI</t>
        </is>
      </c>
      <c r="E1365" s="40" t="n">
        <v>0</v>
      </c>
      <c r="F1365" s="40" t="n">
        <v>0</v>
      </c>
      <c r="G1365" s="40" t="n">
        <v>0</v>
      </c>
      <c r="H1365" s="40" t="n">
        <v>0</v>
      </c>
      <c r="I1365" s="40" t="n">
        <v>0</v>
      </c>
      <c r="J1365" s="40" t="n">
        <v>0</v>
      </c>
      <c r="K1365" s="40" t="n">
        <v>0</v>
      </c>
      <c r="L1365" s="40" t="n">
        <v>0</v>
      </c>
      <c r="M1365" s="40" t="n">
        <v>0</v>
      </c>
      <c r="N1365" s="40" t="n">
        <v>0</v>
      </c>
      <c r="O1365" s="40" t="n">
        <v>0</v>
      </c>
      <c r="P1365" s="40" t="n">
        <v>0</v>
      </c>
      <c r="Q1365" s="40" t="n">
        <v>0</v>
      </c>
      <c r="R1365" s="47" t="n"/>
      <c r="S1365" s="47" t="n"/>
      <c r="T1365" s="47" t="n"/>
      <c r="U1365" s="47" t="n"/>
      <c r="V1365" s="47" t="n"/>
      <c r="W1365" s="47" t="n"/>
    </row>
    <row r="1366" ht="11.25" customHeight="1">
      <c r="A1366" s="30" t="inlineStr">
        <is>
          <t>Itaguai</t>
        </is>
      </c>
      <c r="B1366" s="30" t="n">
        <v>87372650</v>
      </c>
      <c r="C1366" s="30">
        <f>"27000464000154"</f>
        <v/>
      </c>
      <c r="D1366" s="30" t="inlineStr">
        <is>
          <t>J B CARVALHO JUNIOR SERVICOS ADMINISTRATIVOS EIRELI ME</t>
        </is>
      </c>
      <c r="E1366" s="40" t="n">
        <v>0</v>
      </c>
      <c r="F1366" s="40" t="n">
        <v>0</v>
      </c>
      <c r="G1366" s="40" t="n">
        <v>0</v>
      </c>
      <c r="H1366" s="40" t="n">
        <v>0</v>
      </c>
      <c r="I1366" s="40" t="n">
        <v>0</v>
      </c>
      <c r="J1366" s="40" t="n">
        <v>0</v>
      </c>
      <c r="K1366" s="40" t="n">
        <v>0</v>
      </c>
      <c r="L1366" s="40" t="n">
        <v>0</v>
      </c>
      <c r="M1366" s="40" t="n">
        <v>0</v>
      </c>
      <c r="N1366" s="40" t="n">
        <v>0</v>
      </c>
      <c r="O1366" s="40" t="n">
        <v>0</v>
      </c>
      <c r="P1366" s="40" t="n">
        <v>0</v>
      </c>
      <c r="Q1366" s="40" t="n">
        <v>0</v>
      </c>
      <c r="R1366" s="47" t="n"/>
      <c r="S1366" s="47" t="n"/>
      <c r="T1366" s="47" t="n"/>
      <c r="U1366" s="47" t="n"/>
      <c r="V1366" s="47" t="n"/>
      <c r="W1366" s="47" t="n"/>
    </row>
    <row r="1367" ht="11.25" customHeight="1">
      <c r="A1367" s="30" t="inlineStr">
        <is>
          <t>Itaguai</t>
        </is>
      </c>
      <c r="B1367" s="30" t="n">
        <v>87373835</v>
      </c>
      <c r="C1367" s="30">
        <f>"27893382000186"</f>
        <v/>
      </c>
      <c r="D1367" s="30" t="inlineStr">
        <is>
          <t>TKR SERVICOS DE TRANSPORTES DE CARGAS EIRELI</t>
        </is>
      </c>
      <c r="E1367" s="40" t="n">
        <v>0</v>
      </c>
      <c r="F1367" s="40" t="n">
        <v>0</v>
      </c>
      <c r="G1367" s="40" t="n">
        <v>0</v>
      </c>
      <c r="H1367" s="40" t="n">
        <v>0</v>
      </c>
      <c r="I1367" s="40" t="n">
        <v>0</v>
      </c>
      <c r="J1367" s="40" t="n">
        <v>0</v>
      </c>
      <c r="K1367" s="40" t="n">
        <v>0</v>
      </c>
      <c r="L1367" s="40" t="n">
        <v>126168.12</v>
      </c>
      <c r="M1367" s="40" t="n">
        <v>100</v>
      </c>
      <c r="N1367" s="40" t="n">
        <v>106739.88</v>
      </c>
      <c r="O1367" s="46" t="n">
        <v>-15.4</v>
      </c>
      <c r="P1367" s="40" t="n">
        <v>0</v>
      </c>
      <c r="Q1367" s="46" t="n">
        <v>-100</v>
      </c>
      <c r="R1367" s="47" t="n"/>
      <c r="S1367" s="47" t="n"/>
      <c r="T1367" s="47" t="n"/>
      <c r="U1367" s="47" t="n"/>
      <c r="V1367" s="47" t="n"/>
      <c r="W1367" s="47" t="n"/>
    </row>
    <row r="1368" ht="11.25" customHeight="1">
      <c r="A1368" s="30" t="inlineStr">
        <is>
          <t>Itaguai</t>
        </is>
      </c>
      <c r="B1368" s="30" t="n">
        <v>87376559</v>
      </c>
      <c r="C1368" s="30">
        <f>"27872564000170"</f>
        <v/>
      </c>
      <c r="D1368" s="30" t="inlineStr">
        <is>
          <t>SAO BENTO ENGENHARIA - CONSTRUCOES,PROJETOS E REFORMAS EIRELI ME</t>
        </is>
      </c>
      <c r="E1368" s="40" t="n">
        <v>0</v>
      </c>
      <c r="F1368" s="40" t="n">
        <v>0</v>
      </c>
      <c r="G1368" s="40" t="n">
        <v>0</v>
      </c>
      <c r="H1368" s="40" t="n">
        <v>0</v>
      </c>
      <c r="I1368" s="40" t="n">
        <v>0</v>
      </c>
      <c r="J1368" s="40" t="n">
        <v>0</v>
      </c>
      <c r="K1368" s="40" t="n">
        <v>0</v>
      </c>
      <c r="L1368" s="40" t="n">
        <v>0</v>
      </c>
      <c r="M1368" s="40" t="n">
        <v>0</v>
      </c>
      <c r="N1368" s="40" t="n">
        <v>0</v>
      </c>
      <c r="O1368" s="40" t="n">
        <v>0</v>
      </c>
      <c r="P1368" s="40" t="n">
        <v>0</v>
      </c>
      <c r="Q1368" s="40" t="n">
        <v>0</v>
      </c>
      <c r="R1368" s="47" t="n"/>
      <c r="S1368" s="47" t="n"/>
      <c r="T1368" s="47" t="n"/>
      <c r="U1368" s="47" t="n"/>
      <c r="V1368" s="47" t="n"/>
      <c r="W1368" s="47" t="n"/>
    </row>
    <row r="1369" ht="11.25" customHeight="1">
      <c r="A1369" s="30" t="inlineStr">
        <is>
          <t>Itaguai</t>
        </is>
      </c>
      <c r="B1369" s="30" t="n">
        <v>87377474</v>
      </c>
      <c r="C1369" s="30">
        <f>"21338886000158"</f>
        <v/>
      </c>
      <c r="D1369" s="30" t="inlineStr">
        <is>
          <t>ENZO ITAGUAI II LTDA</t>
        </is>
      </c>
      <c r="E1369" s="40" t="n">
        <v>0</v>
      </c>
      <c r="F1369" s="40" t="n">
        <v>938309.14</v>
      </c>
      <c r="G1369" s="40" t="n">
        <v>100</v>
      </c>
      <c r="H1369" s="40" t="n">
        <v>1930336.29</v>
      </c>
      <c r="I1369" s="40" t="n">
        <v>105.72</v>
      </c>
      <c r="J1369" s="40" t="n">
        <v>1660019.62</v>
      </c>
      <c r="K1369" s="46" t="n">
        <v>-14</v>
      </c>
      <c r="L1369" s="40" t="n">
        <v>1850210.44</v>
      </c>
      <c r="M1369" s="40" t="n">
        <v>11.46</v>
      </c>
      <c r="N1369" s="40" t="n">
        <v>2044053.27</v>
      </c>
      <c r="O1369" s="40" t="n">
        <v>10.48</v>
      </c>
      <c r="P1369" s="40" t="n">
        <v>9964422.720000001</v>
      </c>
      <c r="Q1369" s="40" t="n">
        <v>387.48</v>
      </c>
      <c r="R1369" s="47" t="n"/>
      <c r="S1369" s="47" t="n"/>
      <c r="T1369" s="47" t="n"/>
      <c r="U1369" s="47" t="n"/>
      <c r="V1369" s="47" t="n"/>
      <c r="W1369" s="47" t="n"/>
    </row>
    <row r="1370" ht="11.25" customHeight="1">
      <c r="A1370" s="30" t="inlineStr">
        <is>
          <t>Itaguai</t>
        </is>
      </c>
      <c r="B1370" s="30" t="n">
        <v>87379337</v>
      </c>
      <c r="C1370" s="30">
        <f>"27853533000172"</f>
        <v/>
      </c>
      <c r="D1370" s="30" t="inlineStr">
        <is>
          <t>KIOSKE DO DOCE COMERCIO DE BISCOITO LTDA ME</t>
        </is>
      </c>
      <c r="E1370" s="40" t="n">
        <v>0</v>
      </c>
      <c r="F1370" s="40" t="n">
        <v>0</v>
      </c>
      <c r="G1370" s="40" t="n">
        <v>0</v>
      </c>
      <c r="H1370" s="40" t="n">
        <v>0</v>
      </c>
      <c r="I1370" s="40" t="n">
        <v>0</v>
      </c>
      <c r="J1370" s="40" t="n">
        <v>0</v>
      </c>
      <c r="K1370" s="40" t="n">
        <v>0</v>
      </c>
      <c r="L1370" s="40" t="n">
        <v>0</v>
      </c>
      <c r="M1370" s="40" t="n">
        <v>0</v>
      </c>
      <c r="N1370" s="40" t="n">
        <v>0</v>
      </c>
      <c r="O1370" s="40" t="n">
        <v>0</v>
      </c>
      <c r="P1370" s="40" t="n">
        <v>0</v>
      </c>
      <c r="Q1370" s="40" t="n">
        <v>0</v>
      </c>
      <c r="R1370" s="47" t="n"/>
      <c r="S1370" s="47" t="n"/>
      <c r="T1370" s="47" t="n"/>
      <c r="U1370" s="47" t="n"/>
      <c r="V1370" s="47" t="n"/>
      <c r="W1370" s="47" t="n"/>
    </row>
    <row r="1371" ht="11.25" customHeight="1">
      <c r="A1371" s="30" t="inlineStr">
        <is>
          <t>Itaguai</t>
        </is>
      </c>
      <c r="B1371" s="30" t="n">
        <v>87379582</v>
      </c>
      <c r="C1371" s="30">
        <f>"18233211001535"</f>
        <v/>
      </c>
      <c r="D1371" s="30" t="inlineStr">
        <is>
          <t>FL BRASIL HOLDING LOGISTICA E TRANSPORTE LTDA</t>
        </is>
      </c>
      <c r="E1371" s="40" t="n">
        <v>0</v>
      </c>
      <c r="F1371" s="40" t="n">
        <v>2152.24</v>
      </c>
      <c r="G1371" s="40" t="n">
        <v>100</v>
      </c>
      <c r="H1371" s="40" t="n">
        <v>2763.73</v>
      </c>
      <c r="I1371" s="40" t="n">
        <v>28.41</v>
      </c>
      <c r="J1371" s="40" t="n">
        <v>3087.17</v>
      </c>
      <c r="K1371" s="40" t="n">
        <v>11.7</v>
      </c>
      <c r="L1371" s="40" t="n">
        <v>3147.24</v>
      </c>
      <c r="M1371" s="40" t="n">
        <v>1.95</v>
      </c>
      <c r="N1371" s="40" t="n">
        <v>3224.93</v>
      </c>
      <c r="O1371" s="40" t="n">
        <v>2.47</v>
      </c>
      <c r="P1371" s="40" t="n">
        <v>5822.46</v>
      </c>
      <c r="Q1371" s="40" t="n">
        <v>80.55</v>
      </c>
      <c r="R1371" s="47" t="n"/>
      <c r="S1371" s="47" t="n"/>
      <c r="T1371" s="47" t="n"/>
      <c r="U1371" s="47" t="n"/>
      <c r="V1371" s="47" t="n"/>
      <c r="W1371" s="47" t="n"/>
    </row>
    <row r="1372" ht="11.25" customHeight="1">
      <c r="A1372" s="30" t="inlineStr">
        <is>
          <t>Itaguai</t>
        </is>
      </c>
      <c r="B1372" s="30" t="n">
        <v>87387143</v>
      </c>
      <c r="C1372" s="30">
        <f>"05342379000646"</f>
        <v/>
      </c>
      <c r="D1372" s="30" t="inlineStr">
        <is>
          <t>KM CARGO MULTIMODAL E LOGISTICA LTDA</t>
        </is>
      </c>
      <c r="E1372" s="40" t="n">
        <v>0</v>
      </c>
      <c r="F1372" s="40" t="n">
        <v>0</v>
      </c>
      <c r="G1372" s="40" t="n">
        <v>0</v>
      </c>
      <c r="H1372" s="40" t="n">
        <v>0</v>
      </c>
      <c r="I1372" s="40" t="n">
        <v>0</v>
      </c>
      <c r="J1372" s="40" t="n">
        <v>250</v>
      </c>
      <c r="K1372" s="40" t="n">
        <v>100</v>
      </c>
      <c r="L1372" s="40" t="n">
        <v>0</v>
      </c>
      <c r="M1372" s="46" t="n">
        <v>-100</v>
      </c>
      <c r="N1372" s="40" t="n">
        <v>0</v>
      </c>
      <c r="O1372" s="40" t="n">
        <v>0</v>
      </c>
      <c r="P1372" s="40" t="n">
        <v>155.2</v>
      </c>
      <c r="Q1372" s="40" t="n">
        <v>100</v>
      </c>
      <c r="R1372" s="47" t="n"/>
      <c r="S1372" s="47" t="n"/>
      <c r="T1372" s="47" t="n"/>
      <c r="U1372" s="47" t="n"/>
      <c r="V1372" s="47" t="n"/>
      <c r="W1372" s="47" t="n"/>
    </row>
    <row r="1373" ht="11.25" customHeight="1">
      <c r="A1373" s="30" t="inlineStr">
        <is>
          <t>Itaguai</t>
        </is>
      </c>
      <c r="B1373" s="30" t="n">
        <v>87390861</v>
      </c>
      <c r="C1373" s="30">
        <f>"28057892000186"</f>
        <v/>
      </c>
      <c r="D1373" s="30" t="inlineStr">
        <is>
          <t>GARDEN FOODS EIRELI ME</t>
        </is>
      </c>
      <c r="E1373" s="40" t="n">
        <v>33894.05</v>
      </c>
      <c r="F1373" s="40" t="n">
        <v>0</v>
      </c>
      <c r="G1373" s="46" t="n">
        <v>-100</v>
      </c>
      <c r="H1373" s="40" t="n">
        <v>0</v>
      </c>
      <c r="I1373" s="40" t="n">
        <v>0</v>
      </c>
      <c r="J1373" s="40" t="n">
        <v>0</v>
      </c>
      <c r="K1373" s="40" t="n">
        <v>0</v>
      </c>
      <c r="L1373" s="40" t="n">
        <v>0</v>
      </c>
      <c r="M1373" s="40" t="n">
        <v>0</v>
      </c>
      <c r="N1373" s="40" t="n">
        <v>0</v>
      </c>
      <c r="O1373" s="40" t="n">
        <v>0</v>
      </c>
      <c r="P1373" s="40" t="n">
        <v>0</v>
      </c>
      <c r="Q1373" s="40" t="n">
        <v>0</v>
      </c>
      <c r="R1373" s="47" t="n"/>
      <c r="S1373" s="47" t="n"/>
      <c r="T1373" s="47" t="n"/>
      <c r="U1373" s="47" t="n"/>
      <c r="V1373" s="47" t="n"/>
      <c r="W1373" s="47" t="n"/>
    </row>
    <row r="1374" ht="11.25" customHeight="1">
      <c r="A1374" s="30" t="inlineStr">
        <is>
          <t>Itaguai</t>
        </is>
      </c>
      <c r="B1374" s="30" t="n">
        <v>87399680</v>
      </c>
      <c r="C1374" s="30">
        <f>"11928716000331"</f>
        <v/>
      </c>
      <c r="D1374" s="30" t="inlineStr">
        <is>
          <t>NIQUINI LOGISTICA E ADMINISTRACAO LTDA</t>
        </is>
      </c>
      <c r="E1374" s="40" t="n">
        <v>0</v>
      </c>
      <c r="F1374" s="40" t="n">
        <v>31286.45</v>
      </c>
      <c r="G1374" s="40" t="n">
        <v>100</v>
      </c>
      <c r="H1374" s="40" t="n">
        <v>38634.26</v>
      </c>
      <c r="I1374" s="40" t="n">
        <v>23.49</v>
      </c>
      <c r="J1374" s="40" t="n">
        <v>0</v>
      </c>
      <c r="K1374" s="46" t="n">
        <v>-100</v>
      </c>
      <c r="L1374" s="40" t="n">
        <v>0</v>
      </c>
      <c r="M1374" s="40" t="n">
        <v>0</v>
      </c>
      <c r="N1374" s="40" t="n">
        <v>0</v>
      </c>
      <c r="O1374" s="40" t="n">
        <v>0</v>
      </c>
      <c r="P1374" s="40" t="n">
        <v>0</v>
      </c>
      <c r="Q1374" s="40" t="n">
        <v>0</v>
      </c>
      <c r="R1374" s="47" t="n"/>
      <c r="S1374" s="47" t="n"/>
      <c r="T1374" s="47" t="n"/>
      <c r="U1374" s="47" t="n"/>
      <c r="V1374" s="47" t="n"/>
      <c r="W1374" s="47" t="n"/>
    </row>
    <row r="1375" ht="11.25" customHeight="1">
      <c r="A1375" s="30" t="inlineStr">
        <is>
          <t>Itaguai</t>
        </is>
      </c>
      <c r="B1375" s="30" t="n">
        <v>87406881</v>
      </c>
      <c r="C1375" s="30">
        <f>"43711951000939"</f>
        <v/>
      </c>
      <c r="D1375" s="30" t="inlineStr">
        <is>
          <t>THYSSENKRUPP INDUSTRIAL SOLUTIONS LTDA</t>
        </is>
      </c>
      <c r="E1375" s="40" t="n">
        <v>0</v>
      </c>
      <c r="F1375" s="40" t="n">
        <v>0</v>
      </c>
      <c r="G1375" s="40" t="n">
        <v>0</v>
      </c>
      <c r="H1375" s="40" t="n">
        <v>0</v>
      </c>
      <c r="I1375" s="40" t="n">
        <v>0</v>
      </c>
      <c r="J1375" s="40" t="n">
        <v>0</v>
      </c>
      <c r="K1375" s="40" t="n">
        <v>0</v>
      </c>
      <c r="L1375" s="40" t="n">
        <v>0</v>
      </c>
      <c r="M1375" s="40" t="n">
        <v>0</v>
      </c>
      <c r="N1375" s="40" t="n">
        <v>0</v>
      </c>
      <c r="O1375" s="40" t="n">
        <v>0</v>
      </c>
      <c r="P1375" s="40" t="n">
        <v>0</v>
      </c>
      <c r="Q1375" s="40" t="n">
        <v>0</v>
      </c>
      <c r="R1375" s="47" t="n"/>
      <c r="S1375" s="47" t="n"/>
      <c r="T1375" s="47" t="n"/>
      <c r="U1375" s="47" t="n"/>
      <c r="V1375" s="47" t="n"/>
      <c r="W1375" s="47" t="n"/>
    </row>
    <row r="1376" ht="11.25" customHeight="1">
      <c r="A1376" s="30" t="inlineStr">
        <is>
          <t>Itaguai</t>
        </is>
      </c>
      <c r="B1376" s="30" t="n">
        <v>87407322</v>
      </c>
      <c r="C1376" s="30">
        <f>"35774611000414"</f>
        <v/>
      </c>
      <c r="D1376" s="30" t="inlineStr">
        <is>
          <t>PECITA PECAS ITAGUAI LTDA</t>
        </is>
      </c>
      <c r="E1376" s="40" t="n">
        <v>423389.66</v>
      </c>
      <c r="F1376" s="40" t="n">
        <v>3620700.77</v>
      </c>
      <c r="G1376" s="40" t="n">
        <v>755.17</v>
      </c>
      <c r="H1376" s="40" t="n">
        <v>4865813.61</v>
      </c>
      <c r="I1376" s="40" t="n">
        <v>34.39</v>
      </c>
      <c r="J1376" s="40" t="n">
        <v>2288318.96</v>
      </c>
      <c r="K1376" s="46" t="n">
        <v>-52.97</v>
      </c>
      <c r="L1376" s="40" t="n">
        <v>1772612.63</v>
      </c>
      <c r="M1376" s="46" t="n">
        <v>-22.54</v>
      </c>
      <c r="N1376" s="40" t="n">
        <v>2564989.56</v>
      </c>
      <c r="O1376" s="40" t="n">
        <v>44.7</v>
      </c>
      <c r="P1376" s="40" t="n">
        <v>4509041.96</v>
      </c>
      <c r="Q1376" s="40" t="n">
        <v>75.79000000000001</v>
      </c>
      <c r="R1376" s="47" t="n"/>
      <c r="S1376" s="47" t="n"/>
      <c r="T1376" s="47" t="n"/>
      <c r="U1376" s="47" t="n"/>
      <c r="V1376" s="47" t="n"/>
      <c r="W1376" s="47" t="n"/>
    </row>
    <row r="1377" ht="11.25" customHeight="1">
      <c r="A1377" s="30" t="inlineStr">
        <is>
          <t>Itaguai</t>
        </is>
      </c>
      <c r="B1377" s="30" t="n">
        <v>87407659</v>
      </c>
      <c r="C1377" s="30">
        <f>"08691713001122"</f>
        <v/>
      </c>
      <c r="D1377" s="30" t="inlineStr">
        <is>
          <t>PROGECO DO BRASIL OPERADORA INTERMODAL DE CONTEINERES LTDA</t>
        </is>
      </c>
      <c r="E1377" s="40" t="n">
        <v>0</v>
      </c>
      <c r="F1377" s="40" t="n">
        <v>8542.030000000001</v>
      </c>
      <c r="G1377" s="40" t="n">
        <v>100</v>
      </c>
      <c r="H1377" s="40" t="n">
        <v>0</v>
      </c>
      <c r="I1377" s="46" t="n">
        <v>-100</v>
      </c>
      <c r="J1377" s="40" t="n">
        <v>0</v>
      </c>
      <c r="K1377" s="40" t="n">
        <v>0</v>
      </c>
      <c r="L1377" s="40" t="n">
        <v>0</v>
      </c>
      <c r="M1377" s="40" t="n">
        <v>0</v>
      </c>
      <c r="N1377" s="40" t="n">
        <v>0</v>
      </c>
      <c r="O1377" s="40" t="n">
        <v>0</v>
      </c>
      <c r="P1377" s="40" t="n">
        <v>0</v>
      </c>
      <c r="Q1377" s="40" t="n">
        <v>0</v>
      </c>
      <c r="R1377" s="47" t="n"/>
      <c r="S1377" s="47" t="n"/>
      <c r="T1377" s="47" t="n"/>
      <c r="U1377" s="47" t="n"/>
      <c r="V1377" s="47" t="n"/>
      <c r="W1377" s="47" t="n"/>
    </row>
    <row r="1378" ht="11.25" customHeight="1">
      <c r="A1378" s="30" t="inlineStr">
        <is>
          <t>Itaguai</t>
        </is>
      </c>
      <c r="B1378" s="30" t="n">
        <v>87418162</v>
      </c>
      <c r="C1378" s="30">
        <f>"28474094000150"</f>
        <v/>
      </c>
      <c r="D1378" s="30" t="inlineStr">
        <is>
          <t>COSTA VERDE POINT COMERCIO DE ALIMENTOS LTDA</t>
        </is>
      </c>
      <c r="E1378" s="40" t="n">
        <v>0</v>
      </c>
      <c r="F1378" s="40" t="n">
        <v>0</v>
      </c>
      <c r="G1378" s="40" t="n">
        <v>0</v>
      </c>
      <c r="H1378" s="40" t="n">
        <v>0</v>
      </c>
      <c r="I1378" s="40" t="n">
        <v>0</v>
      </c>
      <c r="J1378" s="40" t="n">
        <v>0</v>
      </c>
      <c r="K1378" s="40" t="n">
        <v>0</v>
      </c>
      <c r="L1378" s="40" t="n">
        <v>0</v>
      </c>
      <c r="M1378" s="40" t="n">
        <v>0</v>
      </c>
      <c r="N1378" s="40" t="n">
        <v>112431.45</v>
      </c>
      <c r="O1378" s="40" t="n">
        <v>100</v>
      </c>
      <c r="P1378" s="40" t="n">
        <v>0</v>
      </c>
      <c r="Q1378" s="46" t="n">
        <v>-100</v>
      </c>
      <c r="R1378" s="47" t="n"/>
      <c r="S1378" s="47" t="n"/>
      <c r="T1378" s="47" t="n"/>
      <c r="U1378" s="47" t="n"/>
      <c r="V1378" s="47" t="n"/>
      <c r="W1378" s="47" t="n"/>
    </row>
    <row r="1379" ht="11.25" customHeight="1">
      <c r="A1379" s="30" t="inlineStr">
        <is>
          <t>Itaguai</t>
        </is>
      </c>
      <c r="B1379" s="30" t="n">
        <v>87427978</v>
      </c>
      <c r="C1379" s="30">
        <f>"24217653000357"</f>
        <v/>
      </c>
      <c r="D1379" s="30" t="inlineStr">
        <is>
          <t>L4B LOGISTICA LTDA</t>
        </is>
      </c>
      <c r="E1379" s="40" t="n">
        <v>0</v>
      </c>
      <c r="F1379" s="40" t="n">
        <v>0</v>
      </c>
      <c r="G1379" s="40" t="n">
        <v>0</v>
      </c>
      <c r="H1379" s="40" t="n">
        <v>0</v>
      </c>
      <c r="I1379" s="40" t="n">
        <v>0</v>
      </c>
      <c r="J1379" s="40" t="n">
        <v>0</v>
      </c>
      <c r="K1379" s="40" t="n">
        <v>0</v>
      </c>
      <c r="L1379" s="40" t="n">
        <v>0</v>
      </c>
      <c r="M1379" s="40" t="n">
        <v>0</v>
      </c>
      <c r="N1379" s="40" t="n">
        <v>11298.59</v>
      </c>
      <c r="O1379" s="40" t="n">
        <v>100</v>
      </c>
      <c r="P1379" s="40" t="n">
        <v>325.41</v>
      </c>
      <c r="Q1379" s="46" t="n">
        <v>-97.12</v>
      </c>
      <c r="R1379" s="47" t="n"/>
      <c r="S1379" s="47" t="n"/>
      <c r="T1379" s="47" t="n"/>
      <c r="U1379" s="47" t="n"/>
      <c r="V1379" s="47" t="n"/>
      <c r="W1379" s="47" t="n"/>
    </row>
    <row r="1380" ht="11.25" customHeight="1">
      <c r="A1380" s="30" t="inlineStr">
        <is>
          <t>Itaguai</t>
        </is>
      </c>
      <c r="B1380" s="30" t="n">
        <v>87428257</v>
      </c>
      <c r="C1380" s="30">
        <f>"28062596000173"</f>
        <v/>
      </c>
      <c r="D1380" s="30" t="inlineStr">
        <is>
          <t>R F MERCADO DO CAMPO ALIMENTOS LTDA.</t>
        </is>
      </c>
      <c r="E1380" s="40" t="n">
        <v>0</v>
      </c>
      <c r="F1380" s="40" t="n">
        <v>0</v>
      </c>
      <c r="G1380" s="40" t="n">
        <v>0</v>
      </c>
      <c r="H1380" s="40" t="n">
        <v>0</v>
      </c>
      <c r="I1380" s="40" t="n">
        <v>0</v>
      </c>
      <c r="J1380" s="40" t="n">
        <v>0</v>
      </c>
      <c r="K1380" s="40" t="n">
        <v>0</v>
      </c>
      <c r="L1380" s="40" t="n">
        <v>0</v>
      </c>
      <c r="M1380" s="40" t="n">
        <v>0</v>
      </c>
      <c r="N1380" s="40" t="n">
        <v>0</v>
      </c>
      <c r="O1380" s="40" t="n">
        <v>0</v>
      </c>
      <c r="P1380" s="40" t="n">
        <v>0</v>
      </c>
      <c r="Q1380" s="40" t="n">
        <v>0</v>
      </c>
      <c r="R1380" s="47" t="n"/>
      <c r="S1380" s="47" t="n"/>
      <c r="T1380" s="47" t="n"/>
      <c r="U1380" s="47" t="n"/>
      <c r="V1380" s="47" t="n"/>
      <c r="W1380" s="47" t="n"/>
    </row>
    <row r="1381" ht="11.25" customHeight="1">
      <c r="A1381" s="30" t="inlineStr">
        <is>
          <t>Itaguai</t>
        </is>
      </c>
      <c r="B1381" s="30" t="n">
        <v>87430200</v>
      </c>
      <c r="C1381" s="30">
        <f>"23323326000155"</f>
        <v/>
      </c>
      <c r="D1381" s="30" t="inlineStr">
        <is>
          <t>J DA SILVA CANDIDO HORTIFRUTI EIRELI</t>
        </is>
      </c>
      <c r="E1381" s="40" t="n">
        <v>0</v>
      </c>
      <c r="F1381" s="40" t="n">
        <v>0</v>
      </c>
      <c r="G1381" s="40" t="n">
        <v>0</v>
      </c>
      <c r="H1381" s="40" t="n">
        <v>0</v>
      </c>
      <c r="I1381" s="40" t="n">
        <v>0</v>
      </c>
      <c r="J1381" s="40" t="n">
        <v>0</v>
      </c>
      <c r="K1381" s="40" t="n">
        <v>0</v>
      </c>
      <c r="L1381" s="40" t="n">
        <v>0</v>
      </c>
      <c r="M1381" s="40" t="n">
        <v>0</v>
      </c>
      <c r="N1381" s="40" t="n">
        <v>0</v>
      </c>
      <c r="O1381" s="40" t="n">
        <v>0</v>
      </c>
      <c r="P1381" s="40" t="n">
        <v>0</v>
      </c>
      <c r="Q1381" s="40" t="n">
        <v>0</v>
      </c>
      <c r="R1381" s="47" t="n"/>
      <c r="S1381" s="47" t="n"/>
      <c r="T1381" s="47" t="n"/>
      <c r="U1381" s="47" t="n"/>
      <c r="V1381" s="47" t="n"/>
      <c r="W1381" s="47" t="n"/>
    </row>
    <row r="1382" ht="11.25" customHeight="1">
      <c r="A1382" s="30" t="inlineStr">
        <is>
          <t>Itaguai</t>
        </is>
      </c>
      <c r="B1382" s="30" t="n">
        <v>87440672</v>
      </c>
      <c r="C1382" s="30">
        <f>"26461922000190"</f>
        <v/>
      </c>
      <c r="D1382" s="30" t="inlineStr">
        <is>
          <t>AUTO POSTO LUAR DO ARCO LTDA</t>
        </is>
      </c>
      <c r="E1382" s="40" t="n">
        <v>0</v>
      </c>
      <c r="F1382" s="40" t="n">
        <v>0</v>
      </c>
      <c r="G1382" s="40" t="n">
        <v>0</v>
      </c>
      <c r="H1382" s="40" t="n">
        <v>778682.4300000001</v>
      </c>
      <c r="I1382" s="40" t="n">
        <v>100</v>
      </c>
      <c r="J1382" s="40" t="n">
        <v>624886.36</v>
      </c>
      <c r="K1382" s="46" t="n">
        <v>-19.75</v>
      </c>
      <c r="L1382" s="40" t="n">
        <v>42985.61</v>
      </c>
      <c r="M1382" s="46" t="n">
        <v>-93.12</v>
      </c>
      <c r="N1382" s="40" t="n">
        <v>3593001.39</v>
      </c>
      <c r="O1382" s="40" t="n">
        <v>8258.610000000001</v>
      </c>
      <c r="P1382" s="40" t="n">
        <v>3083045.35</v>
      </c>
      <c r="Q1382" s="46" t="n">
        <v>-14.19</v>
      </c>
      <c r="R1382" s="47" t="n"/>
      <c r="S1382" s="47" t="n"/>
      <c r="T1382" s="47" t="n"/>
      <c r="U1382" s="47" t="n"/>
      <c r="V1382" s="47" t="n"/>
      <c r="W1382" s="47" t="n"/>
    </row>
    <row r="1383" ht="11.25" customHeight="1">
      <c r="A1383" s="30" t="inlineStr">
        <is>
          <t>Itaguai</t>
        </is>
      </c>
      <c r="B1383" s="30" t="n">
        <v>87449637</v>
      </c>
      <c r="C1383" s="30">
        <f>"18636202000190"</f>
        <v/>
      </c>
      <c r="D1383" s="30" t="inlineStr">
        <is>
          <t>SUPERMERCADO MIRAI DE ITAGUAI EIRELI</t>
        </is>
      </c>
      <c r="E1383" s="40" t="n">
        <v>228934.66</v>
      </c>
      <c r="F1383" s="40" t="n">
        <v>1096077.59</v>
      </c>
      <c r="G1383" s="40" t="n">
        <v>378.77</v>
      </c>
      <c r="H1383" s="40" t="n">
        <v>0</v>
      </c>
      <c r="I1383" s="46" t="n">
        <v>-100</v>
      </c>
      <c r="J1383" s="40" t="n">
        <v>3251739.04</v>
      </c>
      <c r="K1383" s="40" t="n">
        <v>100</v>
      </c>
      <c r="L1383" s="40" t="n">
        <v>3078169.62</v>
      </c>
      <c r="M1383" s="46" t="n">
        <v>-5.34</v>
      </c>
      <c r="N1383" s="40" t="n">
        <v>0</v>
      </c>
      <c r="O1383" s="46" t="n">
        <v>-100</v>
      </c>
      <c r="P1383" s="40" t="n">
        <v>0</v>
      </c>
      <c r="Q1383" s="40" t="n">
        <v>0</v>
      </c>
      <c r="R1383" s="47" t="n"/>
      <c r="S1383" s="47" t="n"/>
      <c r="T1383" s="47" t="n"/>
      <c r="U1383" s="47" t="n"/>
      <c r="V1383" s="47" t="n"/>
      <c r="W1383" s="47" t="n"/>
    </row>
    <row r="1384" ht="11.25" customHeight="1">
      <c r="A1384" s="30" t="inlineStr">
        <is>
          <t>Itaguai</t>
        </is>
      </c>
      <c r="B1384" s="30" t="n">
        <v>87455246</v>
      </c>
      <c r="C1384" s="30">
        <f>"28894029000183"</f>
        <v/>
      </c>
      <c r="D1384" s="30" t="inlineStr">
        <is>
          <t>WN TRANSPORTES DE COMBUSTIVEIS E CARGAS EIRELI EPP</t>
        </is>
      </c>
      <c r="E1384" s="40" t="n">
        <v>0</v>
      </c>
      <c r="F1384" s="40" t="n">
        <v>0</v>
      </c>
      <c r="G1384" s="40" t="n">
        <v>0</v>
      </c>
      <c r="H1384" s="40" t="n">
        <v>0</v>
      </c>
      <c r="I1384" s="40" t="n">
        <v>0</v>
      </c>
      <c r="J1384" s="40" t="n">
        <v>0</v>
      </c>
      <c r="K1384" s="40" t="n">
        <v>0</v>
      </c>
      <c r="L1384" s="40" t="n">
        <v>0</v>
      </c>
      <c r="M1384" s="40" t="n">
        <v>0</v>
      </c>
      <c r="N1384" s="40" t="n">
        <v>9584.879999999999</v>
      </c>
      <c r="O1384" s="40" t="n">
        <v>100</v>
      </c>
      <c r="P1384" s="40" t="n">
        <v>0</v>
      </c>
      <c r="Q1384" s="46" t="n">
        <v>-100</v>
      </c>
      <c r="R1384" s="47" t="n"/>
      <c r="S1384" s="47" t="n"/>
      <c r="T1384" s="47" t="n"/>
      <c r="U1384" s="47" t="n"/>
      <c r="V1384" s="47" t="n"/>
      <c r="W1384" s="47" t="n"/>
    </row>
    <row r="1385" ht="11.25" customHeight="1">
      <c r="A1385" s="30" t="inlineStr">
        <is>
          <t>Itaguai</t>
        </is>
      </c>
      <c r="B1385" s="30" t="n">
        <v>87455726</v>
      </c>
      <c r="C1385" s="30">
        <f>"28326660000186"</f>
        <v/>
      </c>
      <c r="D1385" s="30" t="inlineStr">
        <is>
          <t>INSTITUTO MAZOMBA DE ARTE E CULTURA</t>
        </is>
      </c>
      <c r="E1385" s="40" t="n">
        <v>0</v>
      </c>
      <c r="F1385" s="40" t="n">
        <v>0</v>
      </c>
      <c r="G1385" s="40" t="n">
        <v>0</v>
      </c>
      <c r="H1385" s="40" t="n">
        <v>0</v>
      </c>
      <c r="I1385" s="40" t="n">
        <v>0</v>
      </c>
      <c r="J1385" s="40" t="n">
        <v>0</v>
      </c>
      <c r="K1385" s="40" t="n">
        <v>0</v>
      </c>
      <c r="L1385" s="40" t="n">
        <v>0</v>
      </c>
      <c r="M1385" s="40" t="n">
        <v>0</v>
      </c>
      <c r="N1385" s="40" t="n">
        <v>0</v>
      </c>
      <c r="O1385" s="40" t="n">
        <v>0</v>
      </c>
      <c r="P1385" s="40" t="n">
        <v>0</v>
      </c>
      <c r="Q1385" s="40" t="n">
        <v>0</v>
      </c>
      <c r="R1385" s="47" t="n"/>
      <c r="S1385" s="47" t="n"/>
      <c r="T1385" s="47" t="n"/>
      <c r="U1385" s="47" t="n"/>
      <c r="V1385" s="47" t="n"/>
      <c r="W1385" s="47" t="n"/>
    </row>
    <row r="1386" ht="11.25" customHeight="1">
      <c r="A1386" s="30" t="inlineStr">
        <is>
          <t>Itaguai</t>
        </is>
      </c>
      <c r="B1386" s="30" t="n">
        <v>87458482</v>
      </c>
      <c r="C1386" s="30">
        <f>"28840816000142"</f>
        <v/>
      </c>
      <c r="D1386" s="30" t="inlineStr">
        <is>
          <t>VERLY HORTIFRUTI EIRELI ME</t>
        </is>
      </c>
      <c r="E1386" s="40" t="n">
        <v>0</v>
      </c>
      <c r="F1386" s="40" t="n">
        <v>0</v>
      </c>
      <c r="G1386" s="40" t="n">
        <v>0</v>
      </c>
      <c r="H1386" s="40" t="n">
        <v>0</v>
      </c>
      <c r="I1386" s="40" t="n">
        <v>0</v>
      </c>
      <c r="J1386" s="40" t="n">
        <v>0</v>
      </c>
      <c r="K1386" s="40" t="n">
        <v>0</v>
      </c>
      <c r="L1386" s="40" t="n">
        <v>0</v>
      </c>
      <c r="M1386" s="40" t="n">
        <v>0</v>
      </c>
      <c r="N1386" s="40" t="n">
        <v>0</v>
      </c>
      <c r="O1386" s="40" t="n">
        <v>0</v>
      </c>
      <c r="P1386" s="40" t="n">
        <v>0</v>
      </c>
      <c r="Q1386" s="40" t="n">
        <v>0</v>
      </c>
      <c r="R1386" s="47" t="n"/>
      <c r="S1386" s="47" t="n"/>
      <c r="T1386" s="47" t="n"/>
      <c r="U1386" s="47" t="n"/>
      <c r="V1386" s="47" t="n"/>
      <c r="W1386" s="47" t="n"/>
    </row>
    <row r="1387" ht="11.25" customHeight="1">
      <c r="A1387" s="30" t="inlineStr">
        <is>
          <t>Itaguai</t>
        </is>
      </c>
      <c r="B1387" s="30" t="n">
        <v>87470733</v>
      </c>
      <c r="C1387" s="30">
        <f>"09090999000343"</f>
        <v/>
      </c>
      <c r="D1387" s="30" t="inlineStr">
        <is>
          <t>TRANSLAGUNA ARMAZENAGEM E TRANSPORTES EIRELI - ME</t>
        </is>
      </c>
      <c r="E1387" s="40" t="n">
        <v>0</v>
      </c>
      <c r="F1387" s="40" t="n">
        <v>0</v>
      </c>
      <c r="G1387" s="40" t="n">
        <v>0</v>
      </c>
      <c r="H1387" s="40" t="n">
        <v>85.23999999999999</v>
      </c>
      <c r="I1387" s="40" t="n">
        <v>100</v>
      </c>
      <c r="J1387" s="40" t="n">
        <v>0</v>
      </c>
      <c r="K1387" s="46" t="n">
        <v>-100</v>
      </c>
      <c r="L1387" s="40" t="n">
        <v>0</v>
      </c>
      <c r="M1387" s="40" t="n">
        <v>0</v>
      </c>
      <c r="N1387" s="40" t="n">
        <v>0</v>
      </c>
      <c r="O1387" s="40" t="n">
        <v>0</v>
      </c>
      <c r="P1387" s="40" t="n">
        <v>0</v>
      </c>
      <c r="Q1387" s="40" t="n">
        <v>0</v>
      </c>
      <c r="R1387" s="47" t="n"/>
      <c r="S1387" s="47" t="n"/>
      <c r="T1387" s="47" t="n"/>
      <c r="U1387" s="47" t="n"/>
      <c r="V1387" s="47" t="n"/>
      <c r="W1387" s="47" t="n"/>
    </row>
    <row r="1388" ht="11.25" customHeight="1">
      <c r="A1388" s="30" t="inlineStr">
        <is>
          <t>Itaguai</t>
        </is>
      </c>
      <c r="B1388" s="30" t="n">
        <v>87470750</v>
      </c>
      <c r="C1388" s="30">
        <f>"19767677000420"</f>
        <v/>
      </c>
      <c r="D1388" s="30" t="inlineStr">
        <is>
          <t>PH CLIMA COMERCIO E SERVICOS DE REFRIGERACAO LTDA ME</t>
        </is>
      </c>
      <c r="E1388" s="40" t="n">
        <v>0</v>
      </c>
      <c r="F1388" s="40" t="n">
        <v>0</v>
      </c>
      <c r="G1388" s="40" t="n">
        <v>0</v>
      </c>
      <c r="H1388" s="40" t="n">
        <v>0</v>
      </c>
      <c r="I1388" s="40" t="n">
        <v>0</v>
      </c>
      <c r="J1388" s="40" t="n">
        <v>0</v>
      </c>
      <c r="K1388" s="40" t="n">
        <v>0</v>
      </c>
      <c r="L1388" s="40" t="n">
        <v>0</v>
      </c>
      <c r="M1388" s="40" t="n">
        <v>0</v>
      </c>
      <c r="N1388" s="40" t="n">
        <v>0</v>
      </c>
      <c r="O1388" s="40" t="n">
        <v>0</v>
      </c>
      <c r="P1388" s="40" t="n">
        <v>0</v>
      </c>
      <c r="Q1388" s="40" t="n">
        <v>0</v>
      </c>
      <c r="R1388" s="47" t="n"/>
      <c r="S1388" s="47" t="n"/>
      <c r="T1388" s="47" t="n"/>
      <c r="U1388" s="47" t="n"/>
      <c r="V1388" s="47" t="n"/>
      <c r="W1388" s="47" t="n"/>
    </row>
    <row r="1389" ht="11.25" customHeight="1">
      <c r="A1389" s="30" t="inlineStr">
        <is>
          <t>Itaguai</t>
        </is>
      </c>
      <c r="B1389" s="30" t="n">
        <v>92002420</v>
      </c>
      <c r="C1389" s="30">
        <f>"00497373000110"</f>
        <v/>
      </c>
      <c r="D1389" s="30" t="inlineStr">
        <is>
          <t>SKY SERVICOS DE BANDA LARGA LTDA.</t>
        </is>
      </c>
      <c r="E1389" s="40" t="n">
        <v>8646924.060000001</v>
      </c>
      <c r="F1389" s="40" t="n">
        <v>8430577.189999999</v>
      </c>
      <c r="G1389" s="46" t="n">
        <v>-2.5</v>
      </c>
      <c r="H1389" s="40" t="n">
        <v>7973968.88</v>
      </c>
      <c r="I1389" s="46" t="n">
        <v>-5.42</v>
      </c>
      <c r="J1389" s="40" t="n">
        <v>6854021.11</v>
      </c>
      <c r="K1389" s="46" t="n">
        <v>-14.05</v>
      </c>
      <c r="L1389" s="40" t="n">
        <v>5962444.97</v>
      </c>
      <c r="M1389" s="46" t="n">
        <v>-13.01</v>
      </c>
      <c r="N1389" s="40" t="n">
        <v>5177390.31</v>
      </c>
      <c r="O1389" s="46" t="n">
        <v>-13.17</v>
      </c>
      <c r="P1389" s="40" t="n">
        <v>4446072.3</v>
      </c>
      <c r="Q1389" s="46" t="n">
        <v>-14.13</v>
      </c>
      <c r="R1389" s="47" t="n"/>
      <c r="S1389" s="47" t="n"/>
      <c r="T1389" s="47" t="n"/>
      <c r="U1389" s="47" t="n"/>
      <c r="V1389" s="47" t="n"/>
      <c r="W1389" s="47" t="n"/>
    </row>
    <row r="1390" ht="11.25" customHeight="1">
      <c r="A1390" s="30" t="inlineStr">
        <is>
          <t>Itaguai</t>
        </is>
      </c>
      <c r="B1390" s="30" t="n">
        <v>92006654</v>
      </c>
      <c r="C1390" s="30">
        <f>"72820822000120"</f>
        <v/>
      </c>
      <c r="D1390" s="30" t="inlineStr">
        <is>
          <t>SKY BRASIL SERVICOS LTDA</t>
        </is>
      </c>
      <c r="E1390" s="40" t="n">
        <v>787740.3199999999</v>
      </c>
      <c r="F1390" s="40" t="n">
        <v>0</v>
      </c>
      <c r="G1390" s="46" t="n">
        <v>-100</v>
      </c>
      <c r="H1390" s="40" t="n">
        <v>0</v>
      </c>
      <c r="I1390" s="40" t="n">
        <v>0</v>
      </c>
      <c r="J1390" s="40" t="n">
        <v>0</v>
      </c>
      <c r="K1390" s="40" t="n">
        <v>0</v>
      </c>
      <c r="L1390" s="40" t="n">
        <v>0</v>
      </c>
      <c r="M1390" s="40" t="n">
        <v>0</v>
      </c>
      <c r="N1390" s="40" t="n">
        <v>0</v>
      </c>
      <c r="O1390" s="40" t="n">
        <v>0</v>
      </c>
      <c r="P1390" s="40" t="n">
        <v>0</v>
      </c>
      <c r="Q1390" s="40" t="n">
        <v>0</v>
      </c>
      <c r="R1390" s="47" t="n"/>
      <c r="S1390" s="47" t="n"/>
      <c r="T1390" s="47" t="n"/>
      <c r="U1390" s="47" t="n"/>
      <c r="V1390" s="47" t="n"/>
      <c r="W1390" s="47" t="n"/>
    </row>
    <row r="1391" ht="11.25" customHeight="1">
      <c r="A1391" s="30" t="inlineStr">
        <is>
          <t>Itaguai</t>
        </is>
      </c>
      <c r="B1391" s="30" t="n">
        <v>92029506</v>
      </c>
      <c r="C1391" s="30">
        <f>"02558157062001"</f>
        <v/>
      </c>
      <c r="D1391" s="30" t="inlineStr">
        <is>
          <t>TELEFONICA BRASIL S.A.</t>
        </is>
      </c>
      <c r="E1391" s="40" t="n">
        <v>65.36</v>
      </c>
      <c r="F1391" s="40" t="n">
        <v>67.40000000000001</v>
      </c>
      <c r="G1391" s="40" t="n">
        <v>3.12</v>
      </c>
      <c r="H1391" s="40" t="n">
        <v>52.99</v>
      </c>
      <c r="I1391" s="46" t="n">
        <v>-21.38</v>
      </c>
      <c r="J1391" s="40" t="n">
        <v>34.43</v>
      </c>
      <c r="K1391" s="46" t="n">
        <v>-35.03</v>
      </c>
      <c r="L1391" s="40" t="n">
        <v>19.17</v>
      </c>
      <c r="M1391" s="46" t="n">
        <v>-44.32</v>
      </c>
      <c r="N1391" s="40" t="n">
        <v>10.67</v>
      </c>
      <c r="O1391" s="46" t="n">
        <v>-44.34</v>
      </c>
      <c r="P1391" s="40" t="n">
        <v>0.35</v>
      </c>
      <c r="Q1391" s="46" t="n">
        <v>-96.72</v>
      </c>
      <c r="R1391" s="47" t="n"/>
      <c r="S1391" s="47" t="n"/>
      <c r="T1391" s="47" t="n"/>
      <c r="U1391" s="47" t="n"/>
      <c r="V1391" s="47" t="n"/>
      <c r="W1391" s="47" t="n"/>
    </row>
    <row r="1392" ht="11.25" customHeight="1">
      <c r="A1392" s="30" t="inlineStr">
        <is>
          <t>Itaguai</t>
        </is>
      </c>
      <c r="B1392" s="30" t="n">
        <v>92035956</v>
      </c>
      <c r="C1392" s="30">
        <f>"05206385000404"</f>
        <v/>
      </c>
      <c r="D1392" s="30" t="inlineStr">
        <is>
          <t>HUGHES TELECOMUNICACOES DO BRASIL LTDA.</t>
        </is>
      </c>
      <c r="E1392" s="40" t="n">
        <v>28003.65</v>
      </c>
      <c r="F1392" s="40" t="n">
        <v>36556.57</v>
      </c>
      <c r="G1392" s="40" t="n">
        <v>30.54</v>
      </c>
      <c r="H1392" s="40" t="n">
        <v>53646.56</v>
      </c>
      <c r="I1392" s="40" t="n">
        <v>46.75</v>
      </c>
      <c r="J1392" s="40" t="n">
        <v>74155.7</v>
      </c>
      <c r="K1392" s="40" t="n">
        <v>38.23</v>
      </c>
      <c r="L1392" s="40" t="n">
        <v>0</v>
      </c>
      <c r="M1392" s="46" t="n">
        <v>-100</v>
      </c>
      <c r="N1392" s="40" t="n">
        <v>0</v>
      </c>
      <c r="O1392" s="40" t="n">
        <v>0</v>
      </c>
      <c r="P1392" s="40" t="n">
        <v>0</v>
      </c>
      <c r="Q1392" s="40" t="n">
        <v>0</v>
      </c>
      <c r="R1392" s="47" t="n"/>
      <c r="S1392" s="47" t="n"/>
      <c r="T1392" s="47" t="n"/>
      <c r="U1392" s="47" t="n"/>
      <c r="V1392" s="47" t="n"/>
      <c r="W1392" s="47" t="n"/>
    </row>
    <row r="1393" ht="11.25" customHeight="1">
      <c r="A1393" s="30" t="inlineStr">
        <is>
          <t>Itaguai</t>
        </is>
      </c>
      <c r="B1393" s="30" t="n">
        <v>99199997</v>
      </c>
      <c r="C1393" s="30">
        <f>"42498675000152"</f>
        <v/>
      </c>
      <c r="D1393" s="30" t="inlineStr">
        <is>
          <t>RF 9999 SUPERINTENDENCIA ESTADUAL CADASTRO E INF ECON FISCAIS</t>
        </is>
      </c>
      <c r="E1393" s="40" t="n">
        <v>3309953.04</v>
      </c>
      <c r="F1393" s="40" t="n">
        <v>9327973.16</v>
      </c>
      <c r="G1393" s="40" t="n">
        <v>181.82</v>
      </c>
      <c r="H1393" s="40" t="n">
        <v>9174982.6</v>
      </c>
      <c r="I1393" s="46" t="n">
        <v>-1.64</v>
      </c>
      <c r="J1393" s="40" t="n">
        <v>8867147.57</v>
      </c>
      <c r="K1393" s="46" t="n">
        <v>-3.36</v>
      </c>
      <c r="L1393" s="40" t="n">
        <v>11043351.19</v>
      </c>
      <c r="M1393" s="40" t="n">
        <v>24.54</v>
      </c>
      <c r="N1393" s="40" t="n">
        <v>14485273.62</v>
      </c>
      <c r="O1393" s="40" t="n">
        <v>31.17</v>
      </c>
      <c r="P1393" s="40" t="n">
        <v>14737323.54</v>
      </c>
      <c r="Q1393" s="40" t="n">
        <v>1.74</v>
      </c>
      <c r="R1393" s="47" t="n"/>
      <c r="S1393" s="47" t="n"/>
      <c r="T1393" s="47" t="n"/>
      <c r="U1393" s="47" t="n"/>
      <c r="V1393" s="47" t="n"/>
      <c r="W1393" s="47" t="n"/>
    </row>
    <row r="1394" ht="12" customHeight="1">
      <c r="C1394" s="8">
        <f>SUBTOTAL(103,TB_Var_ITG[CPF_CNPJ])</f>
        <v/>
      </c>
      <c r="E1394" s="41">
        <f>SUBTOTAL(109,TB_Var_ITG[2017 R$])</f>
        <v/>
      </c>
      <c r="F1394" s="41">
        <f>SUBTOTAL(109,TB_Var_ITG[2018 R$])</f>
        <v/>
      </c>
      <c r="H1394" s="41">
        <f>SUBTOTAL(109,TB_Var_ITG[2019 R$])</f>
        <v/>
      </c>
      <c r="J1394" s="41">
        <f>SUBTOTAL(109,TB_Var_ITG[2020 R$])</f>
        <v/>
      </c>
      <c r="L1394" s="41">
        <f>SUBTOTAL(109,TB_Var_ITG[2021 R$])</f>
        <v/>
      </c>
      <c r="N1394" s="41">
        <f>SUBTOTAL(109,TB_Var_ITG[2022 R$])</f>
        <v/>
      </c>
      <c r="P1394" s="41">
        <f>SUBTOTAL(109,TB_Var_ITG[2023 R$])</f>
        <v/>
      </c>
    </row>
  </sheetData>
  <pageMargins left="0.3937007874015748" right="0" top="0.3937007874015748" bottom="0.1968503937007874" header="0.1968503937007874" footer="0"/>
  <pageSetup orientation="landscape" paperSize="9" scale="56"/>
  <headerFooter>
    <oddHeader>&amp;C&amp;"Arial,Normal"&amp;8 &amp;P / &amp;N</oddHeader>
    <oddFooter/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633"/>
  <sheetViews>
    <sheetView tabSelected="1" zoomScaleNormal="100" workbookViewId="0">
      <pane xSplit="2" ySplit="6" topLeftCell="C609" activePane="bottomRight" state="frozen"/>
      <selection pane="topRight" activeCell="C1" sqref="C1"/>
      <selection pane="bottomLeft" activeCell="A7" sqref="A7"/>
      <selection pane="bottomRight" activeCell="A7" sqref="A7:Q632"/>
    </sheetView>
  </sheetViews>
  <sheetFormatPr baseColWidth="8" defaultRowHeight="12" customHeight="1"/>
  <cols>
    <col width="11" customWidth="1" style="1" min="1" max="1"/>
    <col width="9.7109375" customWidth="1" style="1" min="2" max="2"/>
    <col width="15.7109375" customWidth="1" style="1" min="3" max="3"/>
    <col width="51.7109375" customWidth="1" style="5" min="4" max="4"/>
    <col width="15.7109375" customWidth="1" style="1" min="5" max="6"/>
    <col width="9.7109375" customWidth="1" style="1" min="7" max="7"/>
    <col width="15.7109375" customWidth="1" style="1" min="8" max="8"/>
    <col width="9.7109375" customWidth="1" style="1" min="9" max="9"/>
    <col width="15.7109375" customWidth="1" style="1" min="10" max="10"/>
    <col width="9.7109375" customWidth="1" style="1" min="11" max="11"/>
    <col width="15.7109375" customWidth="1" style="1" min="12" max="12"/>
    <col width="9.7109375" customWidth="1" style="1" min="13" max="13"/>
    <col width="15.7109375" customWidth="1" style="1" min="14" max="14"/>
    <col width="9.7109375" customWidth="1" style="1" min="15" max="15"/>
    <col width="15.7109375" customWidth="1" style="1" min="16" max="16"/>
    <col width="9.7109375" customWidth="1" style="1" min="17" max="17"/>
    <col width="9.140625" customWidth="1" style="1" min="18" max="176"/>
    <col width="9.140625" customWidth="1" style="1" min="177" max="16384"/>
  </cols>
  <sheetData>
    <row r="1" ht="15" customFormat="1" customHeight="1" s="16">
      <c r="A1" s="33" t="inlineStr">
        <is>
          <t>ANÁLISE DO VALOR ADICIONADO POR MUNICÍPIO</t>
        </is>
      </c>
      <c r="B1" s="33" t="n"/>
      <c r="C1" s="33" t="n"/>
      <c r="D1" s="33" t="n"/>
      <c r="E1" s="33" t="n"/>
      <c r="F1" s="33" t="n"/>
      <c r="G1" s="33" t="n"/>
    </row>
    <row r="2" ht="15" customFormat="1" customHeight="1" s="10">
      <c r="A2" s="34" t="inlineStr">
        <is>
          <t>Relatório - Município / Evolução Comparativa Exercício</t>
        </is>
      </c>
      <c r="B2" s="34" t="n"/>
      <c r="C2" s="34" t="n"/>
      <c r="D2" s="34" t="n"/>
      <c r="E2" s="34" t="n"/>
      <c r="F2" s="34" t="n"/>
      <c r="G2" s="34" t="n"/>
    </row>
    <row r="3" ht="15" customHeight="1">
      <c r="A3" s="10" t="inlineStr">
        <is>
          <t>Município - PORTO REAL</t>
        </is>
      </c>
      <c r="E3" s="42" t="n"/>
      <c r="F3" s="42" t="n"/>
      <c r="G3" s="42" t="n"/>
      <c r="H3" s="42" t="n"/>
      <c r="I3" s="42" t="n"/>
      <c r="J3" s="42" t="n"/>
      <c r="K3" s="42" t="n"/>
    </row>
    <row r="4" ht="15" customFormat="1" customHeight="1" s="8">
      <c r="A4" s="28" t="n"/>
      <c r="D4" s="5" t="n"/>
    </row>
    <row r="5" ht="15" customHeight="1">
      <c r="A5" s="5" t="n"/>
    </row>
    <row r="6" ht="24" customHeight="1">
      <c r="A6" s="22" t="inlineStr">
        <is>
          <t>MUNICIPIO</t>
        </is>
      </c>
      <c r="B6" s="23" t="inlineStr">
        <is>
          <t>InscEst</t>
        </is>
      </c>
      <c r="C6" s="23" t="inlineStr">
        <is>
          <t>CPF_CNPJ</t>
        </is>
      </c>
      <c r="D6" s="24" t="inlineStr">
        <is>
          <t>RazSoc</t>
        </is>
      </c>
      <c r="E6" s="29" t="inlineStr">
        <is>
          <t>2017 R$</t>
        </is>
      </c>
      <c r="F6" s="23" t="inlineStr">
        <is>
          <t>2018 R$</t>
        </is>
      </c>
      <c r="G6" s="23" t="inlineStr">
        <is>
          <t>17/18 %</t>
        </is>
      </c>
      <c r="H6" s="23" t="inlineStr">
        <is>
          <t>2019 R$</t>
        </is>
      </c>
      <c r="I6" s="23" t="inlineStr">
        <is>
          <t>18/19 %</t>
        </is>
      </c>
      <c r="J6" s="23" t="inlineStr">
        <is>
          <t>2020 R$</t>
        </is>
      </c>
      <c r="K6" s="23" t="inlineStr">
        <is>
          <t>19/20 %</t>
        </is>
      </c>
      <c r="L6" s="23" t="inlineStr">
        <is>
          <t>2021 R$</t>
        </is>
      </c>
      <c r="M6" s="23" t="inlineStr">
        <is>
          <t>20/21 %</t>
        </is>
      </c>
      <c r="N6" s="23" t="inlineStr">
        <is>
          <t>2022 R$</t>
        </is>
      </c>
      <c r="O6" s="23" t="inlineStr">
        <is>
          <t>21/22 %</t>
        </is>
      </c>
      <c r="P6" s="23" t="inlineStr">
        <is>
          <t>2023 R$</t>
        </is>
      </c>
      <c r="Q6" s="23" t="inlineStr">
        <is>
          <t>22/23 %</t>
        </is>
      </c>
    </row>
    <row r="7" ht="12" customHeight="1">
      <c r="A7" s="30" t="inlineStr">
        <is>
          <t>Porto Real</t>
        </is>
      </c>
      <c r="B7" s="30" t="n">
        <v>11000630</v>
      </c>
      <c r="C7" s="30">
        <f>"18433874000106"</f>
        <v/>
      </c>
      <c r="D7" s="30" t="inlineStr">
        <is>
          <t>LOCAMAQ - LOCAÇÃO DE MAQUINAS E EQUIPAMENTOS EIRELI ME</t>
        </is>
      </c>
      <c r="E7" s="40" t="n">
        <v>0</v>
      </c>
      <c r="F7" s="40" t="n">
        <v>0</v>
      </c>
      <c r="G7" s="40" t="n">
        <v>0</v>
      </c>
      <c r="H7" s="40" t="n">
        <v>0</v>
      </c>
      <c r="I7" s="40" t="n">
        <v>0</v>
      </c>
      <c r="J7" s="40" t="n">
        <v>0</v>
      </c>
      <c r="K7" s="40" t="n">
        <v>0</v>
      </c>
      <c r="L7" s="40" t="n">
        <v>0</v>
      </c>
      <c r="M7" s="40" t="n">
        <v>0</v>
      </c>
      <c r="N7" s="40" t="n">
        <v>0</v>
      </c>
      <c r="O7" s="40" t="n">
        <v>0</v>
      </c>
      <c r="P7" s="40" t="n">
        <v>0</v>
      </c>
      <c r="Q7" s="40" t="n">
        <v>0</v>
      </c>
      <c r="R7" s="47" t="n"/>
      <c r="S7" s="47" t="n"/>
      <c r="T7" s="47" t="n"/>
      <c r="U7" s="47" t="n"/>
      <c r="V7" s="47" t="n"/>
      <c r="W7" s="47" t="n"/>
    </row>
    <row r="8" ht="12" customHeight="1">
      <c r="A8" s="30" t="inlineStr">
        <is>
          <t>Porto Real</t>
        </is>
      </c>
      <c r="B8" s="30" t="n">
        <v>11015166</v>
      </c>
      <c r="C8" s="30">
        <f>"07075810000318"</f>
        <v/>
      </c>
      <c r="D8" s="30" t="inlineStr">
        <is>
          <t>ONCA LOCACAO E TURISMO LTDA EPP</t>
        </is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>
        <v>0</v>
      </c>
      <c r="N8" s="40" t="n">
        <v>0</v>
      </c>
      <c r="O8" s="40" t="n">
        <v>0</v>
      </c>
      <c r="P8" s="40" t="n">
        <v>0</v>
      </c>
      <c r="Q8" s="40" t="n">
        <v>0</v>
      </c>
      <c r="R8" s="47" t="n"/>
      <c r="S8" s="47" t="n"/>
      <c r="T8" s="47" t="n"/>
      <c r="U8" s="47" t="n"/>
      <c r="V8" s="47" t="n"/>
      <c r="W8" s="47" t="n"/>
    </row>
    <row r="9" ht="12" customHeight="1">
      <c r="A9" s="30" t="inlineStr">
        <is>
          <t>Porto Real</t>
        </is>
      </c>
      <c r="B9" s="30" t="n">
        <v>11028446</v>
      </c>
      <c r="C9" s="30">
        <f>"02357033000208"</f>
        <v/>
      </c>
      <c r="D9" s="30" t="inlineStr">
        <is>
          <t>QUICKNET TELECOM LTDA EPP</t>
        </is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>
        <v>0</v>
      </c>
      <c r="N9" s="40" t="n">
        <v>0</v>
      </c>
      <c r="O9" s="40" t="n">
        <v>0</v>
      </c>
      <c r="P9" s="40" t="n">
        <v>0</v>
      </c>
      <c r="Q9" s="40" t="n">
        <v>0</v>
      </c>
      <c r="R9" s="47" t="n"/>
      <c r="S9" s="47" t="n"/>
      <c r="T9" s="47" t="n"/>
      <c r="U9" s="47" t="n"/>
      <c r="V9" s="47" t="n"/>
      <c r="W9" s="47" t="n"/>
    </row>
    <row r="10" ht="12" customHeight="1">
      <c r="A10" s="30" t="inlineStr">
        <is>
          <t>Porto Real</t>
        </is>
      </c>
      <c r="B10" s="30" t="n">
        <v>11031064</v>
      </c>
      <c r="C10" s="30">
        <f>"17460253000140"</f>
        <v/>
      </c>
      <c r="D10" s="30" t="inlineStr">
        <is>
          <t>R C DE OLIVEIRA - SERVIÇOS DE ENGENHARIA ME</t>
        </is>
      </c>
      <c r="E10" s="40" t="n">
        <v>0</v>
      </c>
      <c r="F10" s="40" t="n">
        <v>0</v>
      </c>
      <c r="G10" s="40" t="n">
        <v>0</v>
      </c>
      <c r="H10" s="40" t="n">
        <v>0</v>
      </c>
      <c r="I10" s="40" t="n">
        <v>0</v>
      </c>
      <c r="J10" s="40" t="n">
        <v>0</v>
      </c>
      <c r="K10" s="40" t="n">
        <v>0</v>
      </c>
      <c r="L10" s="40" t="n">
        <v>0</v>
      </c>
      <c r="M10" s="40" t="n">
        <v>0</v>
      </c>
      <c r="N10" s="40" t="n">
        <v>0</v>
      </c>
      <c r="O10" s="40" t="n">
        <v>0</v>
      </c>
      <c r="P10" s="40" t="n">
        <v>0</v>
      </c>
      <c r="Q10" s="40" t="n">
        <v>0</v>
      </c>
      <c r="R10" s="47" t="n"/>
      <c r="S10" s="47" t="n"/>
      <c r="T10" s="47" t="n"/>
      <c r="U10" s="47" t="n"/>
      <c r="V10" s="47" t="n"/>
      <c r="W10" s="47" t="n"/>
    </row>
    <row r="11" ht="12" customHeight="1">
      <c r="A11" s="30" t="inlineStr">
        <is>
          <t>Porto Real</t>
        </is>
      </c>
      <c r="B11" s="30" t="n">
        <v>11084729</v>
      </c>
      <c r="C11" s="30">
        <f>"21862093000133"</f>
        <v/>
      </c>
      <c r="D11" s="30" t="inlineStr">
        <is>
          <t>3C RESTAURANTE, FAST-FOODS E COZINHA INDUSTRIAL LTDA</t>
        </is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>
        <v>0</v>
      </c>
      <c r="N11" s="40" t="n">
        <v>0</v>
      </c>
      <c r="O11" s="40" t="n">
        <v>0</v>
      </c>
      <c r="P11" s="40" t="n">
        <v>388.93</v>
      </c>
      <c r="Q11" s="40" t="n">
        <v>100</v>
      </c>
      <c r="R11" s="47" t="n"/>
      <c r="S11" s="47" t="n"/>
      <c r="T11" s="47" t="n"/>
      <c r="U11" s="47" t="n"/>
      <c r="V11" s="47" t="n"/>
      <c r="W11" s="47" t="n"/>
    </row>
    <row r="12" ht="12" customHeight="1">
      <c r="A12" s="30" t="inlineStr">
        <is>
          <t>Porto Real</t>
        </is>
      </c>
      <c r="B12" s="30" t="n">
        <v>11089526</v>
      </c>
      <c r="C12" s="30">
        <f>"29112742000190"</f>
        <v/>
      </c>
      <c r="D12" s="30" t="inlineStr">
        <is>
          <t>TRANSPORTES GV RIO EIRELI</t>
        </is>
      </c>
      <c r="E12" s="40" t="n">
        <v>0</v>
      </c>
      <c r="F12" s="40" t="n">
        <v>0</v>
      </c>
      <c r="G12" s="40" t="n">
        <v>0</v>
      </c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>
        <v>0</v>
      </c>
      <c r="N12" s="40" t="n">
        <v>0</v>
      </c>
      <c r="O12" s="40" t="n">
        <v>0</v>
      </c>
      <c r="P12" s="40" t="n">
        <v>3200</v>
      </c>
      <c r="Q12" s="40" t="n">
        <v>100</v>
      </c>
      <c r="R12" s="47" t="n"/>
      <c r="S12" s="47" t="n"/>
      <c r="T12" s="47" t="n"/>
      <c r="U12" s="47" t="n"/>
      <c r="V12" s="47" t="n"/>
      <c r="W12" s="47" t="n"/>
    </row>
    <row r="13" ht="12" customHeight="1">
      <c r="A13" s="30" t="inlineStr">
        <is>
          <t>Porto Real</t>
        </is>
      </c>
      <c r="B13" s="30" t="n">
        <v>11094082</v>
      </c>
      <c r="C13" s="30">
        <f>"09464773000284"</f>
        <v/>
      </c>
      <c r="D13" s="30" t="inlineStr">
        <is>
          <t>TRANSCIARDI TRANSPORTE DE CARGA E LOGISTICA LTDA</t>
        </is>
      </c>
      <c r="E13" s="40" t="n">
        <v>0</v>
      </c>
      <c r="F13" s="40" t="n">
        <v>125044.74</v>
      </c>
      <c r="G13" s="40" t="n">
        <v>100</v>
      </c>
      <c r="H13" s="40" t="n">
        <v>0</v>
      </c>
      <c r="I13" s="46" t="n">
        <v>-100</v>
      </c>
      <c r="J13" s="40" t="n">
        <v>1811614.24</v>
      </c>
      <c r="K13" s="40" t="n">
        <v>100</v>
      </c>
      <c r="L13" s="40" t="n">
        <v>2370947.81</v>
      </c>
      <c r="M13" s="40" t="n">
        <v>30.87</v>
      </c>
      <c r="N13" s="40" t="n">
        <v>1070906.99</v>
      </c>
      <c r="O13" s="46" t="n">
        <v>-54.83</v>
      </c>
      <c r="P13" s="40" t="n">
        <v>1665384.49</v>
      </c>
      <c r="Q13" s="40" t="n">
        <v>55.51</v>
      </c>
      <c r="R13" s="47" t="n"/>
      <c r="S13" s="47" t="n"/>
      <c r="T13" s="47" t="n"/>
      <c r="U13" s="47" t="n"/>
      <c r="V13" s="47" t="n"/>
      <c r="W13" s="47" t="n"/>
    </row>
    <row r="14" ht="12" customHeight="1">
      <c r="A14" s="30" t="inlineStr">
        <is>
          <t>Porto Real</t>
        </is>
      </c>
      <c r="B14" s="30" t="n">
        <v>11106935</v>
      </c>
      <c r="C14" s="30">
        <f>"26586645000222"</f>
        <v/>
      </c>
      <c r="D14" s="30" t="inlineStr">
        <is>
          <t>MRX TRANSPORTES LTDA</t>
        </is>
      </c>
      <c r="E14" s="40" t="n">
        <v>0</v>
      </c>
      <c r="F14" s="40" t="n">
        <v>88564.85000000001</v>
      </c>
      <c r="G14" s="40" t="n">
        <v>100</v>
      </c>
      <c r="H14" s="40" t="n">
        <v>27570</v>
      </c>
      <c r="I14" s="46" t="n">
        <v>-68.87</v>
      </c>
      <c r="J14" s="40" t="n">
        <v>0</v>
      </c>
      <c r="K14" s="46" t="n">
        <v>-100</v>
      </c>
      <c r="L14" s="40" t="n">
        <v>0</v>
      </c>
      <c r="M14" s="40" t="n">
        <v>0</v>
      </c>
      <c r="N14" s="40" t="n">
        <v>0</v>
      </c>
      <c r="O14" s="40" t="n">
        <v>0</v>
      </c>
      <c r="P14" s="40" t="n">
        <v>0</v>
      </c>
      <c r="Q14" s="40" t="n">
        <v>0</v>
      </c>
      <c r="R14" s="47" t="n"/>
      <c r="S14" s="47" t="n"/>
      <c r="T14" s="47" t="n"/>
      <c r="U14" s="47" t="n"/>
      <c r="V14" s="47" t="n"/>
      <c r="W14" s="47" t="n"/>
    </row>
    <row r="15" ht="12" customHeight="1">
      <c r="A15" s="30" t="inlineStr">
        <is>
          <t>Porto Real</t>
        </is>
      </c>
      <c r="B15" s="30" t="n">
        <v>11123961</v>
      </c>
      <c r="C15" s="30">
        <f>"00233065003879"</f>
        <v/>
      </c>
      <c r="D15" s="30" t="inlineStr">
        <is>
          <t>UNIDOCK"S ASSESSORIA E LOGISTICA DE MATERIAIS LTDA</t>
        </is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>
        <v>0</v>
      </c>
      <c r="N15" s="40" t="n">
        <v>1569.91</v>
      </c>
      <c r="O15" s="40" t="n">
        <v>100</v>
      </c>
      <c r="P15" s="40" t="n">
        <v>0</v>
      </c>
      <c r="Q15" s="46" t="n">
        <v>-100</v>
      </c>
      <c r="R15" s="47" t="n"/>
      <c r="S15" s="47" t="n"/>
      <c r="T15" s="47" t="n"/>
      <c r="U15" s="47" t="n"/>
      <c r="V15" s="47" t="n"/>
      <c r="W15" s="47" t="n"/>
    </row>
    <row r="16" ht="12" customHeight="1">
      <c r="A16" s="30" t="inlineStr">
        <is>
          <t>Porto Real</t>
        </is>
      </c>
      <c r="B16" s="30" t="n">
        <v>11126316</v>
      </c>
      <c r="C16" s="30">
        <f>"29268609000128"</f>
        <v/>
      </c>
      <c r="D16" s="30" t="inlineStr">
        <is>
          <t>PERUGIA TRANSPORTES E LOGÍSTICA EIRELI</t>
        </is>
      </c>
      <c r="E16" s="40" t="n">
        <v>0</v>
      </c>
      <c r="F16" s="40" t="n">
        <v>0</v>
      </c>
      <c r="G16" s="40" t="n">
        <v>0</v>
      </c>
      <c r="H16" s="40" t="n">
        <v>0</v>
      </c>
      <c r="I16" s="40" t="n">
        <v>0</v>
      </c>
      <c r="J16" s="40" t="n">
        <v>0</v>
      </c>
      <c r="K16" s="40" t="n">
        <v>0</v>
      </c>
      <c r="L16" s="40" t="n">
        <v>0</v>
      </c>
      <c r="M16" s="40" t="n">
        <v>0</v>
      </c>
      <c r="N16" s="40" t="n">
        <v>101400.06</v>
      </c>
      <c r="O16" s="40" t="n">
        <v>100</v>
      </c>
      <c r="P16" s="40" t="n">
        <v>129641.32</v>
      </c>
      <c r="Q16" s="40" t="n">
        <v>27.85</v>
      </c>
      <c r="R16" s="47" t="n"/>
      <c r="S16" s="47" t="n"/>
      <c r="T16" s="47" t="n"/>
      <c r="U16" s="47" t="n"/>
      <c r="V16" s="47" t="n"/>
      <c r="W16" s="47" t="n"/>
    </row>
    <row r="17" ht="12" customHeight="1">
      <c r="A17" s="30" t="inlineStr">
        <is>
          <t>Porto Real</t>
        </is>
      </c>
      <c r="B17" s="30" t="n">
        <v>11132219</v>
      </c>
      <c r="C17" s="30">
        <f>"30308329000185"</f>
        <v/>
      </c>
      <c r="D17" s="30" t="inlineStr">
        <is>
          <t>TLOG RJ TRANSPORTADORA DE CARGAS LTDA</t>
        </is>
      </c>
      <c r="E17" s="40" t="n">
        <v>0</v>
      </c>
      <c r="F17" s="40" t="n">
        <v>0</v>
      </c>
      <c r="G17" s="40" t="n">
        <v>0</v>
      </c>
      <c r="H17" s="40" t="n">
        <v>0</v>
      </c>
      <c r="I17" s="40" t="n">
        <v>0</v>
      </c>
      <c r="J17" s="40" t="n">
        <v>1559.95</v>
      </c>
      <c r="K17" s="40" t="n">
        <v>100</v>
      </c>
      <c r="L17" s="40" t="n">
        <v>0</v>
      </c>
      <c r="M17" s="46" t="n">
        <v>-100</v>
      </c>
      <c r="N17" s="40" t="n">
        <v>0</v>
      </c>
      <c r="O17" s="40" t="n">
        <v>0</v>
      </c>
      <c r="P17" s="40" t="n">
        <v>0</v>
      </c>
      <c r="Q17" s="40" t="n">
        <v>0</v>
      </c>
      <c r="R17" s="47" t="n"/>
      <c r="S17" s="47" t="n"/>
      <c r="T17" s="47" t="n"/>
      <c r="U17" s="47" t="n"/>
      <c r="V17" s="47" t="n"/>
      <c r="W17" s="47" t="n"/>
    </row>
    <row r="18" ht="12" customHeight="1">
      <c r="A18" s="30" t="inlineStr">
        <is>
          <t>Porto Real</t>
        </is>
      </c>
      <c r="B18" s="30" t="n">
        <v>11146279</v>
      </c>
      <c r="C18" s="30">
        <f>"03554137000500"</f>
        <v/>
      </c>
      <c r="D18" s="30" t="inlineStr">
        <is>
          <t>STE TRANSPORTES S.A.</t>
        </is>
      </c>
      <c r="E18" s="40" t="n">
        <v>0</v>
      </c>
      <c r="F18" s="40" t="n">
        <v>14127.42</v>
      </c>
      <c r="G18" s="40" t="n">
        <v>100</v>
      </c>
      <c r="H18" s="40" t="n">
        <v>0</v>
      </c>
      <c r="I18" s="46" t="n">
        <v>-100</v>
      </c>
      <c r="J18" s="40" t="n">
        <v>0</v>
      </c>
      <c r="K18" s="40" t="n">
        <v>0</v>
      </c>
      <c r="L18" s="40" t="n">
        <v>0</v>
      </c>
      <c r="M18" s="40" t="n">
        <v>0</v>
      </c>
      <c r="N18" s="40" t="n">
        <v>0</v>
      </c>
      <c r="O18" s="40" t="n">
        <v>0</v>
      </c>
      <c r="P18" s="40" t="n">
        <v>0</v>
      </c>
      <c r="Q18" s="40" t="n">
        <v>0</v>
      </c>
      <c r="R18" s="47" t="n"/>
      <c r="S18" s="47" t="n"/>
      <c r="T18" s="47" t="n"/>
      <c r="U18" s="47" t="n"/>
      <c r="V18" s="47" t="n"/>
      <c r="W18" s="47" t="n"/>
    </row>
    <row r="19" ht="12" customHeight="1">
      <c r="A19" s="30" t="inlineStr">
        <is>
          <t>Porto Real</t>
        </is>
      </c>
      <c r="B19" s="30" t="n">
        <v>11173900</v>
      </c>
      <c r="C19" s="30">
        <f>"25244915000254"</f>
        <v/>
      </c>
      <c r="D19" s="30" t="inlineStr">
        <is>
          <t>TRANSBSM TRANSPORTE DO BRASIL LTDA</t>
        </is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0" t="n">
        <v>0</v>
      </c>
      <c r="L19" s="40" t="n">
        <v>0</v>
      </c>
      <c r="M19" s="40" t="n">
        <v>0</v>
      </c>
      <c r="N19" s="40" t="n">
        <v>0</v>
      </c>
      <c r="O19" s="40" t="n">
        <v>0</v>
      </c>
      <c r="P19" s="40" t="n">
        <v>0</v>
      </c>
      <c r="Q19" s="40" t="n">
        <v>0</v>
      </c>
      <c r="R19" s="47" t="n"/>
      <c r="S19" s="47" t="n"/>
      <c r="T19" s="47" t="n"/>
      <c r="U19" s="47" t="n"/>
      <c r="V19" s="47" t="n"/>
      <c r="W19" s="47" t="n"/>
    </row>
    <row r="20" ht="12" customHeight="1">
      <c r="A20" s="30" t="inlineStr">
        <is>
          <t>Porto Real</t>
        </is>
      </c>
      <c r="B20" s="30" t="n">
        <v>11176380</v>
      </c>
      <c r="C20" s="30">
        <f>"24625925000277"</f>
        <v/>
      </c>
      <c r="D20" s="30" t="inlineStr">
        <is>
          <t>GEFCO INDUSTRIA DO BRASIL LTDA</t>
        </is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0" t="n">
        <v>0</v>
      </c>
      <c r="L20" s="40" t="n">
        <v>0</v>
      </c>
      <c r="M20" s="40" t="n">
        <v>0</v>
      </c>
      <c r="N20" s="40" t="n">
        <v>0</v>
      </c>
      <c r="O20" s="40" t="n">
        <v>0</v>
      </c>
      <c r="P20" s="40" t="n">
        <v>0</v>
      </c>
      <c r="Q20" s="40" t="n">
        <v>0</v>
      </c>
      <c r="R20" s="47" t="n"/>
      <c r="S20" s="47" t="n"/>
      <c r="T20" s="47" t="n"/>
      <c r="U20" s="47" t="n"/>
      <c r="V20" s="47" t="n"/>
      <c r="W20" s="47" t="n"/>
    </row>
    <row r="21" ht="12" customHeight="1">
      <c r="A21" s="30" t="inlineStr">
        <is>
          <t>Porto Real</t>
        </is>
      </c>
      <c r="B21" s="30" t="n">
        <v>11184812</v>
      </c>
      <c r="C21" s="30">
        <f>"30863677000114"</f>
        <v/>
      </c>
      <c r="D21" s="30" t="inlineStr">
        <is>
          <t>SILVA ALIMENTOS NOVO HORIZONTE LTDA</t>
        </is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1279857.87</v>
      </c>
      <c r="K21" s="40" t="n">
        <v>100</v>
      </c>
      <c r="L21" s="40" t="n">
        <v>1034165.14</v>
      </c>
      <c r="M21" s="46" t="n">
        <v>-19.2</v>
      </c>
      <c r="N21" s="40" t="n">
        <v>1396007.47</v>
      </c>
      <c r="O21" s="40" t="n">
        <v>34.99</v>
      </c>
      <c r="P21" s="40" t="n">
        <v>1544860.6</v>
      </c>
      <c r="Q21" s="40" t="n">
        <v>10.66</v>
      </c>
      <c r="R21" s="47" t="n"/>
      <c r="S21" s="47" t="n"/>
      <c r="T21" s="47" t="n"/>
      <c r="U21" s="47" t="n"/>
      <c r="V21" s="47" t="n"/>
      <c r="W21" s="47" t="n"/>
    </row>
    <row r="22" ht="12" customHeight="1">
      <c r="A22" s="30" t="inlineStr">
        <is>
          <t>Porto Real</t>
        </is>
      </c>
      <c r="B22" s="30" t="n">
        <v>11185550</v>
      </c>
      <c r="C22" s="30">
        <f>"27731568000139"</f>
        <v/>
      </c>
      <c r="D22" s="30" t="inlineStr">
        <is>
          <t>EMPRESA JORNALISTICA A VOZ DO INTERIOR LTDA EPP</t>
        </is>
      </c>
      <c r="E22" s="40" t="n">
        <v>0</v>
      </c>
      <c r="F22" s="40" t="n">
        <v>0</v>
      </c>
      <c r="G22" s="40" t="n">
        <v>0</v>
      </c>
      <c r="H22" s="40" t="n">
        <v>0</v>
      </c>
      <c r="I22" s="40" t="n">
        <v>0</v>
      </c>
      <c r="J22" s="40" t="n">
        <v>0</v>
      </c>
      <c r="K22" s="40" t="n">
        <v>0</v>
      </c>
      <c r="L22" s="40" t="n">
        <v>0</v>
      </c>
      <c r="M22" s="40" t="n">
        <v>0</v>
      </c>
      <c r="N22" s="40" t="n">
        <v>0</v>
      </c>
      <c r="O22" s="40" t="n">
        <v>0</v>
      </c>
      <c r="P22" s="40" t="n">
        <v>0</v>
      </c>
      <c r="Q22" s="40" t="n">
        <v>0</v>
      </c>
      <c r="R22" s="47" t="n"/>
      <c r="S22" s="47" t="n"/>
      <c r="T22" s="47" t="n"/>
      <c r="U22" s="47" t="n"/>
      <c r="V22" s="47" t="n"/>
      <c r="W22" s="47" t="n"/>
    </row>
    <row r="23" ht="12" customHeight="1">
      <c r="A23" s="30" t="inlineStr">
        <is>
          <t>Porto Real</t>
        </is>
      </c>
      <c r="B23" s="30" t="n">
        <v>11229980</v>
      </c>
      <c r="C23" s="30">
        <f>"66301334001002"</f>
        <v/>
      </c>
      <c r="D23" s="30" t="inlineStr">
        <is>
          <t>LATICINIOS PORTO ALEGRE INDUSTRIA E COMERCIO S/A</t>
        </is>
      </c>
      <c r="E23" s="40" t="n">
        <v>0</v>
      </c>
      <c r="F23" s="40" t="n">
        <v>0</v>
      </c>
      <c r="G23" s="40" t="n">
        <v>0</v>
      </c>
      <c r="H23" s="40" t="n">
        <v>0</v>
      </c>
      <c r="I23" s="40" t="n">
        <v>0</v>
      </c>
      <c r="J23" s="40" t="n">
        <v>70643.82000000001</v>
      </c>
      <c r="K23" s="40" t="n">
        <v>100</v>
      </c>
      <c r="L23" s="40" t="n">
        <v>164356.45</v>
      </c>
      <c r="M23" s="40" t="n">
        <v>132.66</v>
      </c>
      <c r="N23" s="40" t="n">
        <v>0</v>
      </c>
      <c r="O23" s="46" t="n">
        <v>-100</v>
      </c>
      <c r="P23" s="40" t="n">
        <v>0</v>
      </c>
      <c r="Q23" s="40" t="n">
        <v>0</v>
      </c>
      <c r="R23" s="47" t="n"/>
      <c r="S23" s="47" t="n"/>
      <c r="T23" s="47" t="n"/>
      <c r="U23" s="47" t="n"/>
      <c r="V23" s="47" t="n"/>
      <c r="W23" s="47" t="n"/>
    </row>
    <row r="24" ht="12" customHeight="1">
      <c r="A24" s="30" t="inlineStr">
        <is>
          <t>Porto Real</t>
        </is>
      </c>
      <c r="B24" s="30" t="n">
        <v>11272630</v>
      </c>
      <c r="C24" s="30">
        <f>"31495246000296"</f>
        <v/>
      </c>
      <c r="D24" s="30" t="inlineStr">
        <is>
          <t>EMBALABRAS SISTEMAS DE EMBALAGENS EIRELI</t>
        </is>
      </c>
      <c r="E24" s="40" t="n">
        <v>0</v>
      </c>
      <c r="F24" s="40" t="n">
        <v>0</v>
      </c>
      <c r="G24" s="40" t="n">
        <v>0</v>
      </c>
      <c r="H24" s="40" t="n">
        <v>6044.25</v>
      </c>
      <c r="I24" s="40" t="n">
        <v>100</v>
      </c>
      <c r="J24" s="40" t="n">
        <v>0</v>
      </c>
      <c r="K24" s="46" t="n">
        <v>-100</v>
      </c>
      <c r="L24" s="40" t="n">
        <v>0</v>
      </c>
      <c r="M24" s="40" t="n">
        <v>0</v>
      </c>
      <c r="N24" s="40" t="n">
        <v>0</v>
      </c>
      <c r="O24" s="40" t="n">
        <v>0</v>
      </c>
      <c r="P24" s="40" t="n">
        <v>0</v>
      </c>
      <c r="Q24" s="40" t="n">
        <v>0</v>
      </c>
      <c r="R24" s="47" t="n"/>
      <c r="S24" s="47" t="n"/>
      <c r="T24" s="47" t="n"/>
      <c r="U24" s="47" t="n"/>
      <c r="V24" s="47" t="n"/>
      <c r="W24" s="47" t="n"/>
    </row>
    <row r="25" ht="12" customHeight="1">
      <c r="A25" s="30" t="inlineStr">
        <is>
          <t>Porto Real</t>
        </is>
      </c>
      <c r="B25" s="30" t="n">
        <v>11306870</v>
      </c>
      <c r="C25" s="30">
        <f>"26607430000321"</f>
        <v/>
      </c>
      <c r="D25" s="30" t="inlineStr">
        <is>
          <t>EXPRESSO JA LTDA</t>
        </is>
      </c>
      <c r="E25" s="40" t="n">
        <v>0</v>
      </c>
      <c r="F25" s="40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>
        <v>0</v>
      </c>
      <c r="N25" s="40" t="n">
        <v>0</v>
      </c>
      <c r="O25" s="40" t="n">
        <v>0</v>
      </c>
      <c r="P25" s="40" t="n">
        <v>132.68</v>
      </c>
      <c r="Q25" s="40" t="n">
        <v>100</v>
      </c>
      <c r="R25" s="47" t="n"/>
      <c r="S25" s="47" t="n"/>
      <c r="T25" s="47" t="n"/>
      <c r="U25" s="47" t="n"/>
      <c r="V25" s="47" t="n"/>
      <c r="W25" s="47" t="n"/>
    </row>
    <row r="26" ht="12" customHeight="1">
      <c r="A26" s="30" t="inlineStr">
        <is>
          <t>Porto Real</t>
        </is>
      </c>
      <c r="B26" s="30" t="n">
        <v>11309739</v>
      </c>
      <c r="C26" s="30">
        <f>"05476099000469"</f>
        <v/>
      </c>
      <c r="D26" s="30" t="inlineStr">
        <is>
          <t>SOMA LOGISTICA E LOCACOES LTDA</t>
        </is>
      </c>
      <c r="E26" s="40" t="n">
        <v>0</v>
      </c>
      <c r="F26" s="40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813817.46</v>
      </c>
      <c r="M26" s="40" t="n">
        <v>100</v>
      </c>
      <c r="N26" s="40" t="n">
        <v>0</v>
      </c>
      <c r="O26" s="46" t="n">
        <v>-100</v>
      </c>
      <c r="P26" s="40" t="n">
        <v>7208147.8</v>
      </c>
      <c r="Q26" s="40" t="n">
        <v>100</v>
      </c>
      <c r="R26" s="47" t="n"/>
      <c r="S26" s="47" t="n"/>
      <c r="T26" s="47" t="n"/>
      <c r="U26" s="47" t="n"/>
      <c r="V26" s="47" t="n"/>
      <c r="W26" s="47" t="n"/>
    </row>
    <row r="27" ht="12" customHeight="1">
      <c r="A27" s="30" t="inlineStr">
        <is>
          <t>Porto Real</t>
        </is>
      </c>
      <c r="B27" s="30" t="n">
        <v>11323936</v>
      </c>
      <c r="C27" s="30">
        <f>"32161677000106"</f>
        <v/>
      </c>
      <c r="D27" s="30" t="inlineStr">
        <is>
          <t>COMERCIAL ALIMENTÍCIA PORTO REAL EIRELI</t>
        </is>
      </c>
      <c r="E27" s="40" t="n">
        <v>0</v>
      </c>
      <c r="F27" s="40" t="n">
        <v>0</v>
      </c>
      <c r="G27" s="40" t="n">
        <v>0</v>
      </c>
      <c r="H27" s="40" t="n">
        <v>0</v>
      </c>
      <c r="I27" s="40" t="n">
        <v>0</v>
      </c>
      <c r="J27" s="40" t="n">
        <v>0</v>
      </c>
      <c r="K27" s="40" t="n">
        <v>0</v>
      </c>
      <c r="L27" s="40" t="n">
        <v>0</v>
      </c>
      <c r="M27" s="40" t="n">
        <v>0</v>
      </c>
      <c r="N27" s="40" t="n">
        <v>0</v>
      </c>
      <c r="O27" s="40" t="n">
        <v>0</v>
      </c>
      <c r="P27" s="40" t="n">
        <v>0</v>
      </c>
      <c r="Q27" s="40" t="n">
        <v>0</v>
      </c>
      <c r="R27" s="47" t="n"/>
      <c r="S27" s="47" t="n"/>
      <c r="T27" s="47" t="n"/>
      <c r="U27" s="47" t="n"/>
      <c r="V27" s="47" t="n"/>
      <c r="W27" s="47" t="n"/>
    </row>
    <row r="28" ht="12" customHeight="1">
      <c r="A28" s="30" t="inlineStr">
        <is>
          <t>Porto Real</t>
        </is>
      </c>
      <c r="B28" s="30" t="n">
        <v>11335233</v>
      </c>
      <c r="C28" s="30">
        <f>"07973198000643"</f>
        <v/>
      </c>
      <c r="D28" s="30" t="inlineStr">
        <is>
          <t>EUROLAF VEICULOS ESPECIAIS LTDA</t>
        </is>
      </c>
      <c r="E28" s="40" t="n">
        <v>0</v>
      </c>
      <c r="F28" s="40" t="n">
        <v>0</v>
      </c>
      <c r="G28" s="40" t="n">
        <v>0</v>
      </c>
      <c r="H28" s="40" t="n">
        <v>0</v>
      </c>
      <c r="I28" s="40" t="n">
        <v>0</v>
      </c>
      <c r="J28" s="40" t="n">
        <v>0</v>
      </c>
      <c r="K28" s="40" t="n">
        <v>0</v>
      </c>
      <c r="L28" s="40" t="n">
        <v>0</v>
      </c>
      <c r="M28" s="40" t="n">
        <v>0</v>
      </c>
      <c r="N28" s="40" t="n">
        <v>0</v>
      </c>
      <c r="O28" s="40" t="n">
        <v>0</v>
      </c>
      <c r="P28" s="40" t="n">
        <v>0</v>
      </c>
      <c r="Q28" s="40" t="n">
        <v>0</v>
      </c>
      <c r="R28" s="47" t="n"/>
      <c r="S28" s="47" t="n"/>
      <c r="T28" s="47" t="n"/>
      <c r="U28" s="47" t="n"/>
      <c r="V28" s="47" t="n"/>
      <c r="W28" s="47" t="n"/>
    </row>
    <row r="29" ht="12" customHeight="1">
      <c r="A29" s="30" t="inlineStr">
        <is>
          <t>Porto Real</t>
        </is>
      </c>
      <c r="B29" s="30" t="n">
        <v>11370322</v>
      </c>
      <c r="C29" s="30">
        <f>"14942369000209"</f>
        <v/>
      </c>
      <c r="D29" s="30" t="inlineStr">
        <is>
          <t>JOSUE DE OLIVEIRA E CIA LTDA</t>
        </is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>
        <v>0</v>
      </c>
      <c r="N29" s="40" t="n">
        <v>0</v>
      </c>
      <c r="O29" s="40" t="n">
        <v>0</v>
      </c>
      <c r="P29" s="40" t="n">
        <v>0</v>
      </c>
      <c r="Q29" s="40" t="n">
        <v>0</v>
      </c>
      <c r="R29" s="47" t="n"/>
      <c r="S29" s="47" t="n"/>
      <c r="T29" s="47" t="n"/>
      <c r="U29" s="47" t="n"/>
      <c r="V29" s="47" t="n"/>
      <c r="W29" s="47" t="n"/>
    </row>
    <row r="30" ht="12" customHeight="1">
      <c r="A30" s="30" t="inlineStr">
        <is>
          <t>Porto Real</t>
        </is>
      </c>
      <c r="B30" s="30" t="n">
        <v>11386431</v>
      </c>
      <c r="C30" s="30">
        <f>"29080308000338"</f>
        <v/>
      </c>
      <c r="D30" s="30" t="inlineStr">
        <is>
          <t>R&amp;D CARGO TRANSPORTES LTDA</t>
        </is>
      </c>
      <c r="E30" s="40" t="n">
        <v>0</v>
      </c>
      <c r="F30" s="40" t="n">
        <v>0</v>
      </c>
      <c r="G30" s="40" t="n">
        <v>0</v>
      </c>
      <c r="H30" s="40" t="n">
        <v>427.26</v>
      </c>
      <c r="I30" s="40" t="n">
        <v>100</v>
      </c>
      <c r="J30" s="40" t="n">
        <v>0</v>
      </c>
      <c r="K30" s="46" t="n">
        <v>-100</v>
      </c>
      <c r="L30" s="40" t="n">
        <v>0</v>
      </c>
      <c r="M30" s="40" t="n">
        <v>0</v>
      </c>
      <c r="N30" s="40" t="n">
        <v>537.13</v>
      </c>
      <c r="O30" s="40" t="n">
        <v>100</v>
      </c>
      <c r="P30" s="40" t="n">
        <v>0</v>
      </c>
      <c r="Q30" s="46" t="n">
        <v>-100</v>
      </c>
      <c r="R30" s="47" t="n"/>
      <c r="S30" s="47" t="n"/>
      <c r="T30" s="47" t="n"/>
      <c r="U30" s="47" t="n"/>
      <c r="V30" s="47" t="n"/>
      <c r="W30" s="47" t="n"/>
    </row>
    <row r="31" ht="12" customHeight="1">
      <c r="A31" s="30" t="inlineStr">
        <is>
          <t>Porto Real</t>
        </is>
      </c>
      <c r="B31" s="30" t="n">
        <v>11423590</v>
      </c>
      <c r="C31" s="30">
        <f>"23890893000193"</f>
        <v/>
      </c>
      <c r="D31" s="30" t="inlineStr">
        <is>
          <t>YOLE CLINICA MEDICA E DIVULGACAO CULTURAL LTDA ME</t>
        </is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3959</v>
      </c>
      <c r="O31" s="40" t="n">
        <v>100</v>
      </c>
      <c r="P31" s="40" t="n">
        <v>0</v>
      </c>
      <c r="Q31" s="46" t="n">
        <v>-100</v>
      </c>
      <c r="R31" s="47" t="n"/>
      <c r="S31" s="47" t="n"/>
      <c r="T31" s="47" t="n"/>
      <c r="U31" s="47" t="n"/>
      <c r="V31" s="47" t="n"/>
      <c r="W31" s="47" t="n"/>
    </row>
    <row r="32" ht="12" customHeight="1">
      <c r="A32" s="30" t="inlineStr">
        <is>
          <t>Porto Real</t>
        </is>
      </c>
      <c r="B32" s="30" t="n">
        <v>11430210</v>
      </c>
      <c r="C32" s="30">
        <f>"04871022749"</f>
        <v/>
      </c>
      <c r="D32" s="30" t="inlineStr">
        <is>
          <t>FIRCEM JOSE ZACARIAS</t>
        </is>
      </c>
      <c r="E32" s="40" t="n">
        <v>0</v>
      </c>
      <c r="F32" s="40" t="n">
        <v>0</v>
      </c>
      <c r="G32" s="40" t="n">
        <v>0</v>
      </c>
      <c r="H32" s="40" t="n">
        <v>14000</v>
      </c>
      <c r="I32" s="40" t="n">
        <v>100</v>
      </c>
      <c r="J32" s="40" t="n">
        <v>14000</v>
      </c>
      <c r="K32" s="40" t="n">
        <v>0</v>
      </c>
      <c r="L32" s="40" t="n">
        <v>0</v>
      </c>
      <c r="M32" s="46" t="n">
        <v>-100</v>
      </c>
      <c r="N32" s="40" t="n">
        <v>0</v>
      </c>
      <c r="O32" s="40" t="n">
        <v>0</v>
      </c>
      <c r="P32" s="40" t="n">
        <v>0</v>
      </c>
      <c r="Q32" s="40" t="n">
        <v>0</v>
      </c>
      <c r="R32" s="47" t="n"/>
      <c r="S32" s="47" t="n"/>
      <c r="T32" s="47" t="n"/>
      <c r="U32" s="47" t="n"/>
      <c r="V32" s="47" t="n"/>
      <c r="W32" s="47" t="n"/>
    </row>
    <row r="33" ht="12" customHeight="1">
      <c r="A33" s="30" t="inlineStr">
        <is>
          <t>Porto Real</t>
        </is>
      </c>
      <c r="B33" s="30" t="n">
        <v>11447856</v>
      </c>
      <c r="C33" s="30">
        <f>"14428131720"</f>
        <v/>
      </c>
      <c r="D33" s="30" t="inlineStr">
        <is>
          <t>LUIZ CARLOS DINIZ</t>
        </is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286208.34</v>
      </c>
      <c r="O33" s="40" t="n">
        <v>100</v>
      </c>
      <c r="P33" s="40" t="n">
        <v>606684.6899999999</v>
      </c>
      <c r="Q33" s="40" t="n">
        <v>111.97</v>
      </c>
      <c r="R33" s="47" t="n"/>
      <c r="S33" s="47" t="n"/>
      <c r="T33" s="47" t="n"/>
      <c r="U33" s="47" t="n"/>
      <c r="V33" s="47" t="n"/>
      <c r="W33" s="47" t="n"/>
    </row>
    <row r="34" ht="12" customHeight="1">
      <c r="A34" s="30" t="inlineStr">
        <is>
          <t>Porto Real</t>
        </is>
      </c>
      <c r="B34" s="30" t="n">
        <v>11456219</v>
      </c>
      <c r="C34" s="30">
        <f>"17451156000272"</f>
        <v/>
      </c>
      <c r="D34" s="30" t="inlineStr">
        <is>
          <t>LOGFIT LOGISTICA E SERVICOS S/A.</t>
        </is>
      </c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115902.52</v>
      </c>
      <c r="K34" s="40" t="n">
        <v>100</v>
      </c>
      <c r="L34" s="40" t="n">
        <v>18087.29</v>
      </c>
      <c r="M34" s="46" t="n">
        <v>-84.39</v>
      </c>
      <c r="N34" s="40" t="n">
        <v>79463.89999999999</v>
      </c>
      <c r="O34" s="40" t="n">
        <v>339.34</v>
      </c>
      <c r="P34" s="40" t="n">
        <v>32154.79</v>
      </c>
      <c r="Q34" s="46" t="n">
        <v>-59.54</v>
      </c>
      <c r="R34" s="47" t="n"/>
      <c r="S34" s="47" t="n"/>
      <c r="T34" s="47" t="n"/>
      <c r="U34" s="47" t="n"/>
      <c r="V34" s="47" t="n"/>
      <c r="W34" s="47" t="n"/>
    </row>
    <row r="35" ht="12" customHeight="1">
      <c r="A35" s="30" t="inlineStr">
        <is>
          <t>Porto Real</t>
        </is>
      </c>
      <c r="B35" s="30" t="n">
        <v>11473407</v>
      </c>
      <c r="C35" s="30">
        <f>"81615627001201"</f>
        <v/>
      </c>
      <c r="D35" s="30" t="inlineStr">
        <is>
          <t>BNTG LOGISTICA LTDA</t>
        </is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1256605.59</v>
      </c>
      <c r="K35" s="40" t="n">
        <v>100</v>
      </c>
      <c r="L35" s="40" t="n">
        <v>1777463.34</v>
      </c>
      <c r="M35" s="40" t="n">
        <v>41.45</v>
      </c>
      <c r="N35" s="40" t="n">
        <v>0</v>
      </c>
      <c r="O35" s="46" t="n">
        <v>-100</v>
      </c>
      <c r="P35" s="40" t="n">
        <v>0</v>
      </c>
      <c r="Q35" s="40" t="n">
        <v>0</v>
      </c>
      <c r="R35" s="47" t="n"/>
      <c r="S35" s="47" t="n"/>
      <c r="T35" s="47" t="n"/>
      <c r="U35" s="47" t="n"/>
      <c r="V35" s="47" t="n"/>
      <c r="W35" s="47" t="n"/>
    </row>
    <row r="36" ht="12" customHeight="1">
      <c r="A36" s="30" t="inlineStr">
        <is>
          <t>Porto Real</t>
        </is>
      </c>
      <c r="B36" s="30" t="n">
        <v>11477704</v>
      </c>
      <c r="C36" s="30">
        <f>"24232418000192"</f>
        <v/>
      </c>
      <c r="D36" s="30" t="inlineStr">
        <is>
          <t>ZNA ARMAZENS GERAIS E TRANSPORTES LTDA</t>
        </is>
      </c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2375.44</v>
      </c>
      <c r="M36" s="40" t="n">
        <v>100</v>
      </c>
      <c r="N36" s="40" t="n">
        <v>2875.17</v>
      </c>
      <c r="O36" s="40" t="n">
        <v>21.04</v>
      </c>
      <c r="P36" s="40" t="n">
        <v>0</v>
      </c>
      <c r="Q36" s="46" t="n">
        <v>-100</v>
      </c>
      <c r="R36" s="47" t="n"/>
      <c r="S36" s="47" t="n"/>
      <c r="T36" s="47" t="n"/>
      <c r="U36" s="47" t="n"/>
      <c r="V36" s="47" t="n"/>
      <c r="W36" s="47" t="n"/>
    </row>
    <row r="37" ht="12" customHeight="1">
      <c r="A37" s="30" t="inlineStr">
        <is>
          <t>Porto Real</t>
        </is>
      </c>
      <c r="B37" s="30" t="n">
        <v>11479235</v>
      </c>
      <c r="C37" s="30">
        <f>"10466983001777"</f>
        <v/>
      </c>
      <c r="D37" s="30" t="inlineStr">
        <is>
          <t>REITER TRANSPORTES E LOGISTICA LTDA</t>
        </is>
      </c>
      <c r="E37" s="40" t="n">
        <v>0</v>
      </c>
      <c r="F37" s="40" t="n">
        <v>0</v>
      </c>
      <c r="G37" s="40" t="n">
        <v>0</v>
      </c>
      <c r="H37" s="40" t="n">
        <v>572267.8100000001</v>
      </c>
      <c r="I37" s="40" t="n">
        <v>100</v>
      </c>
      <c r="J37" s="40" t="n">
        <v>0</v>
      </c>
      <c r="K37" s="46" t="n">
        <v>-100</v>
      </c>
      <c r="L37" s="40" t="n">
        <v>0</v>
      </c>
      <c r="M37" s="40" t="n">
        <v>0</v>
      </c>
      <c r="N37" s="40" t="n">
        <v>0</v>
      </c>
      <c r="O37" s="40" t="n">
        <v>0</v>
      </c>
      <c r="P37" s="40" t="n">
        <v>0</v>
      </c>
      <c r="Q37" s="40" t="n">
        <v>0</v>
      </c>
      <c r="R37" s="47" t="n"/>
      <c r="S37" s="47" t="n"/>
      <c r="T37" s="47" t="n"/>
      <c r="U37" s="47" t="n"/>
      <c r="V37" s="47" t="n"/>
      <c r="W37" s="47" t="n"/>
    </row>
    <row r="38" ht="12" customHeight="1">
      <c r="A38" s="30" t="inlineStr">
        <is>
          <t>Porto Real</t>
        </is>
      </c>
      <c r="B38" s="30" t="n">
        <v>11486150</v>
      </c>
      <c r="C38" s="30">
        <f>"22082397001384"</f>
        <v/>
      </c>
      <c r="D38" s="30" t="inlineStr">
        <is>
          <t>DROGARIA ULTRAPOPULAR MANEJO LTDA ME</t>
        </is>
      </c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>
        <v>0</v>
      </c>
      <c r="N38" s="40" t="n">
        <v>0</v>
      </c>
      <c r="O38" s="40" t="n">
        <v>0</v>
      </c>
      <c r="P38" s="40" t="n">
        <v>0</v>
      </c>
      <c r="Q38" s="40" t="n">
        <v>0</v>
      </c>
      <c r="R38" s="47" t="n"/>
      <c r="S38" s="47" t="n"/>
      <c r="T38" s="47" t="n"/>
      <c r="U38" s="47" t="n"/>
      <c r="V38" s="47" t="n"/>
      <c r="W38" s="47" t="n"/>
    </row>
    <row r="39" ht="12" customHeight="1">
      <c r="A39" s="30" t="inlineStr">
        <is>
          <t>Porto Real</t>
        </is>
      </c>
      <c r="B39" s="30" t="n">
        <v>11500528</v>
      </c>
      <c r="C39" s="30">
        <f>"04968037000592"</f>
        <v/>
      </c>
      <c r="D39" s="30" t="inlineStr">
        <is>
          <t>DACUNHA NORDESTE TRANSPORTES LTDA</t>
        </is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7" t="n"/>
      <c r="S39" s="47" t="n"/>
      <c r="T39" s="47" t="n"/>
      <c r="U39" s="47" t="n"/>
      <c r="V39" s="47" t="n"/>
      <c r="W39" s="47" t="n"/>
    </row>
    <row r="40" ht="12" customHeight="1">
      <c r="A40" s="30" t="inlineStr">
        <is>
          <t>Porto Real</t>
        </is>
      </c>
      <c r="B40" s="30" t="n">
        <v>11505732</v>
      </c>
      <c r="C40" s="30">
        <f>"01672150000295"</f>
        <v/>
      </c>
      <c r="D40" s="30" t="inlineStr">
        <is>
          <t>E.M.S. TRANSPORTES RODOVIARIO LTDA</t>
        </is>
      </c>
      <c r="E40" s="40" t="n">
        <v>0</v>
      </c>
      <c r="F40" s="40" t="n">
        <v>0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>
        <v>0</v>
      </c>
      <c r="N40" s="40" t="n">
        <v>0</v>
      </c>
      <c r="O40" s="40" t="n">
        <v>0</v>
      </c>
      <c r="P40" s="40" t="n">
        <v>0</v>
      </c>
      <c r="Q40" s="40" t="n">
        <v>0</v>
      </c>
      <c r="R40" s="47" t="n"/>
      <c r="S40" s="47" t="n"/>
      <c r="T40" s="47" t="n"/>
      <c r="U40" s="47" t="n"/>
      <c r="V40" s="47" t="n"/>
      <c r="W40" s="47" t="n"/>
    </row>
    <row r="41" ht="12" customHeight="1">
      <c r="A41" s="30" t="inlineStr">
        <is>
          <t>Porto Real</t>
        </is>
      </c>
      <c r="B41" s="30" t="n">
        <v>11539483</v>
      </c>
      <c r="C41" s="30">
        <f>"33777159000176"</f>
        <v/>
      </c>
      <c r="D41" s="30" t="inlineStr">
        <is>
          <t>QUATER DISTRIBUIDORA MATERIA PRIMA EIRELI</t>
        </is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>
        <v>0</v>
      </c>
      <c r="N41" s="40" t="n">
        <v>0</v>
      </c>
      <c r="O41" s="40" t="n">
        <v>0</v>
      </c>
      <c r="P41" s="40" t="n">
        <v>0</v>
      </c>
      <c r="Q41" s="40" t="n">
        <v>0</v>
      </c>
      <c r="R41" s="47" t="n"/>
      <c r="S41" s="47" t="n"/>
      <c r="T41" s="47" t="n"/>
      <c r="U41" s="47" t="n"/>
      <c r="V41" s="47" t="n"/>
      <c r="W41" s="47" t="n"/>
    </row>
    <row r="42" ht="12" customHeight="1">
      <c r="A42" s="30" t="inlineStr">
        <is>
          <t>Porto Real</t>
        </is>
      </c>
      <c r="B42" s="30" t="n">
        <v>11540970</v>
      </c>
      <c r="C42" s="30">
        <f>"34790127000173"</f>
        <v/>
      </c>
      <c r="D42" s="30" t="inlineStr">
        <is>
          <t>LPO INDUSTRIA E COMERCIO DE VELAS EIRELI</t>
        </is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223308.56</v>
      </c>
      <c r="K42" s="40" t="n">
        <v>100</v>
      </c>
      <c r="L42" s="40" t="n">
        <v>466258.89</v>
      </c>
      <c r="M42" s="40" t="n">
        <v>108.8</v>
      </c>
      <c r="N42" s="40" t="n">
        <v>417122.27</v>
      </c>
      <c r="O42" s="46" t="n">
        <v>-10.54</v>
      </c>
      <c r="P42" s="40" t="n">
        <v>265240.87</v>
      </c>
      <c r="Q42" s="46" t="n">
        <v>-36.41</v>
      </c>
      <c r="R42" s="47" t="n"/>
      <c r="S42" s="47" t="n"/>
      <c r="T42" s="47" t="n"/>
      <c r="U42" s="47" t="n"/>
      <c r="V42" s="47" t="n"/>
      <c r="W42" s="47" t="n"/>
    </row>
    <row r="43" ht="12" customHeight="1">
      <c r="A43" s="30" t="inlineStr">
        <is>
          <t>Porto Real</t>
        </is>
      </c>
      <c r="B43" s="30" t="n">
        <v>11543804</v>
      </c>
      <c r="C43" s="30">
        <f>"34731643000127"</f>
        <v/>
      </c>
      <c r="D43" s="30" t="inlineStr">
        <is>
          <t>ANDER RIBEIRO ARRUDA ME</t>
        </is>
      </c>
      <c r="E43" s="40" t="n">
        <v>0</v>
      </c>
      <c r="F43" s="40" t="n">
        <v>0</v>
      </c>
      <c r="G43" s="40" t="n">
        <v>0</v>
      </c>
      <c r="H43" s="40" t="n">
        <v>0</v>
      </c>
      <c r="I43" s="40" t="n">
        <v>0</v>
      </c>
      <c r="J43" s="40" t="n">
        <v>1988592.8</v>
      </c>
      <c r="K43" s="40" t="n">
        <v>100</v>
      </c>
      <c r="L43" s="40" t="n">
        <v>4679135.58</v>
      </c>
      <c r="M43" s="40" t="n">
        <v>135.3</v>
      </c>
      <c r="N43" s="40" t="n">
        <v>6409236.35</v>
      </c>
      <c r="O43" s="40" t="n">
        <v>36.97</v>
      </c>
      <c r="P43" s="40" t="n">
        <v>1901819.21</v>
      </c>
      <c r="Q43" s="46" t="n">
        <v>-70.33</v>
      </c>
      <c r="R43" s="47" t="n"/>
      <c r="S43" s="47" t="n"/>
      <c r="T43" s="47" t="n"/>
      <c r="U43" s="47" t="n"/>
      <c r="V43" s="47" t="n"/>
      <c r="W43" s="47" t="n"/>
    </row>
    <row r="44" ht="12" customHeight="1">
      <c r="A44" s="30" t="inlineStr">
        <is>
          <t>Porto Real</t>
        </is>
      </c>
      <c r="B44" s="30" t="n">
        <v>11556787</v>
      </c>
      <c r="C44" s="30">
        <f>"33697443000213"</f>
        <v/>
      </c>
      <c r="D44" s="30" t="inlineStr">
        <is>
          <t>MINAS TRANSPORTES MULTIMODAL EIRELI</t>
        </is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1800.47</v>
      </c>
      <c r="M44" s="40" t="n">
        <v>100</v>
      </c>
      <c r="N44" s="40" t="n">
        <v>0</v>
      </c>
      <c r="O44" s="46" t="n">
        <v>-100</v>
      </c>
      <c r="P44" s="40" t="n">
        <v>0</v>
      </c>
      <c r="Q44" s="40" t="n">
        <v>0</v>
      </c>
      <c r="R44" s="47" t="n"/>
      <c r="S44" s="47" t="n"/>
      <c r="T44" s="47" t="n"/>
      <c r="U44" s="47" t="n"/>
      <c r="V44" s="47" t="n"/>
      <c r="W44" s="47" t="n"/>
    </row>
    <row r="45" ht="12" customHeight="1">
      <c r="A45" s="30" t="inlineStr">
        <is>
          <t>Porto Real</t>
        </is>
      </c>
      <c r="B45" s="30" t="n">
        <v>11558348</v>
      </c>
      <c r="C45" s="30">
        <f>"10814914000140"</f>
        <v/>
      </c>
      <c r="D45" s="30" t="inlineStr">
        <is>
          <t>CIRAC CENTRO INTEGRADO DE RECOLHIMENTO ASSISTENCIA E CONTROLE DE ANIMAIS LTDA ME</t>
        </is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>
        <v>0</v>
      </c>
      <c r="N45" s="40" t="n">
        <v>0</v>
      </c>
      <c r="O45" s="40" t="n">
        <v>0</v>
      </c>
      <c r="P45" s="40" t="n">
        <v>772.45</v>
      </c>
      <c r="Q45" s="40" t="n">
        <v>100</v>
      </c>
      <c r="R45" s="47" t="n"/>
      <c r="S45" s="47" t="n"/>
      <c r="T45" s="47" t="n"/>
      <c r="U45" s="47" t="n"/>
      <c r="V45" s="47" t="n"/>
      <c r="W45" s="47" t="n"/>
    </row>
    <row r="46" ht="12" customHeight="1">
      <c r="A46" s="30" t="inlineStr">
        <is>
          <t>Porto Real</t>
        </is>
      </c>
      <c r="B46" s="30" t="n">
        <v>11570283</v>
      </c>
      <c r="C46" s="30">
        <f>"16597704754"</f>
        <v/>
      </c>
      <c r="D46" s="30" t="inlineStr">
        <is>
          <t>RITA DE CASSIA MEDEIROS SILVA</t>
        </is>
      </c>
      <c r="E46" s="40" t="n">
        <v>0</v>
      </c>
      <c r="F46" s="40" t="n">
        <v>0</v>
      </c>
      <c r="G46" s="40" t="n">
        <v>0</v>
      </c>
      <c r="H46" s="40" t="n">
        <v>0</v>
      </c>
      <c r="I46" s="40" t="n">
        <v>0</v>
      </c>
      <c r="J46" s="40" t="n">
        <v>0</v>
      </c>
      <c r="K46" s="40" t="n">
        <v>0</v>
      </c>
      <c r="L46" s="40" t="n">
        <v>274255.74</v>
      </c>
      <c r="M46" s="40" t="n">
        <v>100</v>
      </c>
      <c r="N46" s="40" t="n">
        <v>0</v>
      </c>
      <c r="O46" s="46" t="n">
        <v>-100</v>
      </c>
      <c r="P46" s="40" t="n">
        <v>0</v>
      </c>
      <c r="Q46" s="40" t="n">
        <v>0</v>
      </c>
      <c r="R46" s="47" t="n"/>
      <c r="S46" s="47" t="n"/>
      <c r="T46" s="47" t="n"/>
      <c r="U46" s="47" t="n"/>
      <c r="V46" s="47" t="n"/>
      <c r="W46" s="47" t="n"/>
    </row>
    <row r="47" ht="12" customHeight="1">
      <c r="A47" s="30" t="inlineStr">
        <is>
          <t>Porto Real</t>
        </is>
      </c>
      <c r="B47" s="30" t="n">
        <v>11573754</v>
      </c>
      <c r="C47" s="30">
        <f>"17451156000353"</f>
        <v/>
      </c>
      <c r="D47" s="30" t="inlineStr">
        <is>
          <t>LOGFIT LOGISTICA E SERVICOS S/A.</t>
        </is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1565.41</v>
      </c>
      <c r="K47" s="40" t="n">
        <v>100</v>
      </c>
      <c r="L47" s="40" t="n">
        <v>0</v>
      </c>
      <c r="M47" s="46" t="n">
        <v>-100</v>
      </c>
      <c r="N47" s="40" t="n">
        <v>0</v>
      </c>
      <c r="O47" s="40" t="n">
        <v>0</v>
      </c>
      <c r="P47" s="40" t="n">
        <v>0</v>
      </c>
      <c r="Q47" s="40" t="n">
        <v>0</v>
      </c>
      <c r="R47" s="47" t="n"/>
      <c r="S47" s="47" t="n"/>
      <c r="T47" s="47" t="n"/>
      <c r="U47" s="47" t="n"/>
      <c r="V47" s="47" t="n"/>
      <c r="W47" s="47" t="n"/>
    </row>
    <row r="48" ht="12" customHeight="1">
      <c r="A48" s="30" t="inlineStr">
        <is>
          <t>Porto Real</t>
        </is>
      </c>
      <c r="B48" s="30" t="n">
        <v>11578934</v>
      </c>
      <c r="C48" s="30">
        <f>"08430504003683"</f>
        <v/>
      </c>
      <c r="D48" s="30" t="inlineStr">
        <is>
          <t>F M COMERCIO DE MOVEIS LTDA</t>
        </is>
      </c>
      <c r="E48" s="40" t="n">
        <v>0</v>
      </c>
      <c r="F48" s="40" t="n">
        <v>0</v>
      </c>
      <c r="G48" s="40" t="n">
        <v>0</v>
      </c>
      <c r="H48" s="40" t="n">
        <v>158568.37</v>
      </c>
      <c r="I48" s="40" t="n">
        <v>100</v>
      </c>
      <c r="J48" s="40" t="n">
        <v>432755.87</v>
      </c>
      <c r="K48" s="40" t="n">
        <v>172.91</v>
      </c>
      <c r="L48" s="40" t="n">
        <v>296771.55</v>
      </c>
      <c r="M48" s="46" t="n">
        <v>-31.42</v>
      </c>
      <c r="N48" s="40" t="n">
        <v>0</v>
      </c>
      <c r="O48" s="46" t="n">
        <v>-100</v>
      </c>
      <c r="P48" s="40" t="n">
        <v>0</v>
      </c>
      <c r="Q48" s="40" t="n">
        <v>0</v>
      </c>
      <c r="R48" s="47" t="n"/>
      <c r="S48" s="47" t="n"/>
      <c r="T48" s="47" t="n"/>
      <c r="U48" s="47" t="n"/>
      <c r="V48" s="47" t="n"/>
      <c r="W48" s="47" t="n"/>
    </row>
    <row r="49" ht="12" customHeight="1">
      <c r="A49" s="30" t="inlineStr">
        <is>
          <t>Porto Real</t>
        </is>
      </c>
      <c r="B49" s="30" t="n">
        <v>11587062</v>
      </c>
      <c r="C49" s="30">
        <f>"26886144000180"</f>
        <v/>
      </c>
      <c r="D49" s="30" t="inlineStr">
        <is>
          <t>V. DE SOUZA BOTELHO MARQUES</t>
        </is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185585.95</v>
      </c>
      <c r="M49" s="40" t="n">
        <v>100</v>
      </c>
      <c r="N49" s="40" t="n">
        <v>0</v>
      </c>
      <c r="O49" s="46" t="n">
        <v>-100</v>
      </c>
      <c r="P49" s="40" t="n">
        <v>0</v>
      </c>
      <c r="Q49" s="40" t="n">
        <v>0</v>
      </c>
      <c r="R49" s="47" t="n"/>
      <c r="S49" s="47" t="n"/>
      <c r="T49" s="47" t="n"/>
      <c r="U49" s="47" t="n"/>
      <c r="V49" s="47" t="n"/>
      <c r="W49" s="47" t="n"/>
    </row>
    <row r="50" ht="12" customHeight="1">
      <c r="A50" s="30" t="inlineStr">
        <is>
          <t>Porto Real</t>
        </is>
      </c>
      <c r="B50" s="30" t="n">
        <v>11600166</v>
      </c>
      <c r="C50" s="30">
        <f>"13951174001072"</f>
        <v/>
      </c>
      <c r="D50" s="30" t="inlineStr">
        <is>
          <t>SESE LOGISTICA DO BRASIL LTDA.</t>
        </is>
      </c>
      <c r="E50" s="40" t="n">
        <v>0</v>
      </c>
      <c r="F50" s="40" t="n">
        <v>0</v>
      </c>
      <c r="G50" s="40" t="n">
        <v>0</v>
      </c>
      <c r="H50" s="40" t="n">
        <v>0</v>
      </c>
      <c r="I50" s="40" t="n">
        <v>0</v>
      </c>
      <c r="J50" s="40" t="n">
        <v>0</v>
      </c>
      <c r="K50" s="40" t="n">
        <v>0</v>
      </c>
      <c r="L50" s="40" t="n">
        <v>0</v>
      </c>
      <c r="M50" s="40" t="n">
        <v>0</v>
      </c>
      <c r="N50" s="40" t="n">
        <v>541220.13</v>
      </c>
      <c r="O50" s="40" t="n">
        <v>100</v>
      </c>
      <c r="P50" s="40" t="n">
        <v>809854.4</v>
      </c>
      <c r="Q50" s="40" t="n">
        <v>49.63</v>
      </c>
      <c r="R50" s="47" t="n"/>
      <c r="S50" s="47" t="n"/>
      <c r="T50" s="47" t="n"/>
      <c r="U50" s="47" t="n"/>
      <c r="V50" s="47" t="n"/>
      <c r="W50" s="47" t="n"/>
    </row>
    <row r="51" ht="12" customHeight="1">
      <c r="A51" s="30" t="inlineStr">
        <is>
          <t>Porto Real</t>
        </is>
      </c>
      <c r="B51" s="30" t="n">
        <v>11627781</v>
      </c>
      <c r="C51" s="30">
        <f>"35788734000161"</f>
        <v/>
      </c>
      <c r="D51" s="30" t="inlineStr">
        <is>
          <t>CONSTRUTORA ELITE II SPE LTDA</t>
        </is>
      </c>
      <c r="E51" s="40" t="n">
        <v>0</v>
      </c>
      <c r="F51" s="40" t="n">
        <v>0</v>
      </c>
      <c r="G51" s="40" t="n">
        <v>0</v>
      </c>
      <c r="H51" s="40" t="n">
        <v>0</v>
      </c>
      <c r="I51" s="40" t="n">
        <v>0</v>
      </c>
      <c r="J51" s="40" t="n">
        <v>0</v>
      </c>
      <c r="K51" s="40" t="n">
        <v>0</v>
      </c>
      <c r="L51" s="40" t="n">
        <v>0</v>
      </c>
      <c r="M51" s="40" t="n">
        <v>0</v>
      </c>
      <c r="N51" s="40" t="n">
        <v>0</v>
      </c>
      <c r="O51" s="40" t="n">
        <v>0</v>
      </c>
      <c r="P51" s="40" t="n">
        <v>0</v>
      </c>
      <c r="Q51" s="40" t="n">
        <v>0</v>
      </c>
      <c r="R51" s="47" t="n"/>
      <c r="S51" s="47" t="n"/>
      <c r="T51" s="47" t="n"/>
      <c r="U51" s="47" t="n"/>
      <c r="V51" s="47" t="n"/>
      <c r="W51" s="47" t="n"/>
    </row>
    <row r="52" ht="12" customHeight="1">
      <c r="A52" s="30" t="inlineStr">
        <is>
          <t>Porto Real</t>
        </is>
      </c>
      <c r="B52" s="30" t="n">
        <v>11633064</v>
      </c>
      <c r="C52" s="30">
        <f>"26598598000237"</f>
        <v/>
      </c>
      <c r="D52" s="30" t="inlineStr">
        <is>
          <t>PRIMOR TRANSPORTES E SERVICOS EIRELI</t>
        </is>
      </c>
      <c r="E52" s="40" t="n">
        <v>0</v>
      </c>
      <c r="F52" s="40" t="n">
        <v>0</v>
      </c>
      <c r="G52" s="40" t="n">
        <v>0</v>
      </c>
      <c r="H52" s="40" t="n">
        <v>0</v>
      </c>
      <c r="I52" s="40" t="n">
        <v>0</v>
      </c>
      <c r="J52" s="40" t="n">
        <v>0</v>
      </c>
      <c r="K52" s="40" t="n">
        <v>0</v>
      </c>
      <c r="L52" s="40" t="n">
        <v>0</v>
      </c>
      <c r="M52" s="40" t="n">
        <v>0</v>
      </c>
      <c r="N52" s="40" t="n">
        <v>0</v>
      </c>
      <c r="O52" s="40" t="n">
        <v>0</v>
      </c>
      <c r="P52" s="40" t="n">
        <v>758313.83</v>
      </c>
      <c r="Q52" s="40" t="n">
        <v>100</v>
      </c>
      <c r="R52" s="47" t="n"/>
      <c r="S52" s="47" t="n"/>
      <c r="T52" s="47" t="n"/>
      <c r="U52" s="47" t="n"/>
      <c r="V52" s="47" t="n"/>
      <c r="W52" s="47" t="n"/>
    </row>
    <row r="53" ht="12" customHeight="1">
      <c r="A53" s="30" t="inlineStr">
        <is>
          <t>Porto Real</t>
        </is>
      </c>
      <c r="B53" s="30" t="n">
        <v>11638414</v>
      </c>
      <c r="C53" s="30">
        <f>"76560275000575"</f>
        <v/>
      </c>
      <c r="D53" s="30" t="inlineStr">
        <is>
          <t>TRANSCELSO TRANSPORTES LTDA</t>
        </is>
      </c>
      <c r="E53" s="40" t="n">
        <v>0</v>
      </c>
      <c r="F53" s="40" t="n">
        <v>0</v>
      </c>
      <c r="G53" s="40" t="n">
        <v>0</v>
      </c>
      <c r="H53" s="40" t="n">
        <v>0</v>
      </c>
      <c r="I53" s="40" t="n">
        <v>0</v>
      </c>
      <c r="J53" s="40" t="n">
        <v>0</v>
      </c>
      <c r="K53" s="40" t="n">
        <v>0</v>
      </c>
      <c r="L53" s="40" t="n">
        <v>0</v>
      </c>
      <c r="M53" s="40" t="n">
        <v>0</v>
      </c>
      <c r="N53" s="40" t="n">
        <v>57120</v>
      </c>
      <c r="O53" s="40" t="n">
        <v>100</v>
      </c>
      <c r="P53" s="40" t="n">
        <v>39200</v>
      </c>
      <c r="Q53" s="46" t="n">
        <v>-31.37</v>
      </c>
      <c r="R53" s="47" t="n"/>
      <c r="S53" s="47" t="n"/>
      <c r="T53" s="47" t="n"/>
      <c r="U53" s="47" t="n"/>
      <c r="V53" s="47" t="n"/>
      <c r="W53" s="47" t="n"/>
    </row>
    <row r="54" ht="12" customHeight="1">
      <c r="A54" s="30" t="inlineStr">
        <is>
          <t>Porto Real</t>
        </is>
      </c>
      <c r="B54" s="30" t="n">
        <v>11639623</v>
      </c>
      <c r="C54" s="30">
        <f>"35839942000142"</f>
        <v/>
      </c>
      <c r="D54" s="30" t="inlineStr">
        <is>
          <t>TMA SUDESTE TRANSPORTE E LOG?STICA LTDA</t>
        </is>
      </c>
      <c r="E54" s="40" t="n">
        <v>0</v>
      </c>
      <c r="F54" s="40" t="n">
        <v>0</v>
      </c>
      <c r="G54" s="40" t="n">
        <v>0</v>
      </c>
      <c r="H54" s="40" t="n">
        <v>0</v>
      </c>
      <c r="I54" s="40" t="n">
        <v>0</v>
      </c>
      <c r="J54" s="40" t="n">
        <v>632.45</v>
      </c>
      <c r="K54" s="40" t="n">
        <v>100</v>
      </c>
      <c r="L54" s="40" t="n">
        <v>137.56</v>
      </c>
      <c r="M54" s="46" t="n">
        <v>-78.25</v>
      </c>
      <c r="N54" s="40" t="n">
        <v>0</v>
      </c>
      <c r="O54" s="46" t="n">
        <v>-100</v>
      </c>
      <c r="P54" s="40" t="n">
        <v>0</v>
      </c>
      <c r="Q54" s="40" t="n">
        <v>0</v>
      </c>
      <c r="R54" s="47" t="n"/>
      <c r="S54" s="47" t="n"/>
      <c r="T54" s="47" t="n"/>
      <c r="U54" s="47" t="n"/>
      <c r="V54" s="47" t="n"/>
      <c r="W54" s="47" t="n"/>
    </row>
    <row r="55" ht="12" customHeight="1">
      <c r="A55" s="30" t="inlineStr">
        <is>
          <t>Porto Real</t>
        </is>
      </c>
      <c r="B55" s="30" t="n">
        <v>11650830</v>
      </c>
      <c r="C55" s="30">
        <f>"36115907000143"</f>
        <v/>
      </c>
      <c r="D55" s="30" t="inlineStr">
        <is>
          <t>C.A.A CONSTRUTORA E INCORPORADORA SPE LTDA</t>
        </is>
      </c>
      <c r="E55" s="40" t="n">
        <v>0</v>
      </c>
      <c r="F55" s="40" t="n">
        <v>0</v>
      </c>
      <c r="G55" s="40" t="n">
        <v>0</v>
      </c>
      <c r="H55" s="40" t="n">
        <v>0</v>
      </c>
      <c r="I55" s="40" t="n">
        <v>0</v>
      </c>
      <c r="J55" s="40" t="n">
        <v>0</v>
      </c>
      <c r="K55" s="40" t="n">
        <v>0</v>
      </c>
      <c r="L55" s="40" t="n">
        <v>0</v>
      </c>
      <c r="M55" s="40" t="n">
        <v>0</v>
      </c>
      <c r="N55" s="40" t="n">
        <v>0</v>
      </c>
      <c r="O55" s="40" t="n">
        <v>0</v>
      </c>
      <c r="P55" s="40" t="n">
        <v>0</v>
      </c>
      <c r="Q55" s="40" t="n">
        <v>0</v>
      </c>
      <c r="R55" s="47" t="n"/>
      <c r="S55" s="47" t="n"/>
      <c r="T55" s="47" t="n"/>
      <c r="U55" s="47" t="n"/>
      <c r="V55" s="47" t="n"/>
      <c r="W55" s="47" t="n"/>
    </row>
    <row r="56" ht="12" customHeight="1">
      <c r="A56" s="30" t="inlineStr">
        <is>
          <t>Porto Real</t>
        </is>
      </c>
      <c r="B56" s="30" t="n">
        <v>11664199</v>
      </c>
      <c r="C56" s="30">
        <f>"36293536000190"</f>
        <v/>
      </c>
      <c r="D56" s="30" t="inlineStr">
        <is>
          <t>TRANSCD TRANSPORTES PORTO REAL LTDA</t>
        </is>
      </c>
      <c r="E56" s="40" t="n">
        <v>0</v>
      </c>
      <c r="F56" s="40" t="n">
        <v>0</v>
      </c>
      <c r="G56" s="40" t="n">
        <v>0</v>
      </c>
      <c r="H56" s="40" t="n">
        <v>0</v>
      </c>
      <c r="I56" s="40" t="n">
        <v>0</v>
      </c>
      <c r="J56" s="40" t="n">
        <v>0</v>
      </c>
      <c r="K56" s="40" t="n">
        <v>0</v>
      </c>
      <c r="L56" s="40" t="n">
        <v>52816.46</v>
      </c>
      <c r="M56" s="40" t="n">
        <v>100</v>
      </c>
      <c r="N56" s="40" t="n">
        <v>5389354.34</v>
      </c>
      <c r="O56" s="40" t="n">
        <v>10103.93</v>
      </c>
      <c r="P56" s="40" t="n">
        <v>3977464.96</v>
      </c>
      <c r="Q56" s="46" t="n">
        <v>-26.2</v>
      </c>
      <c r="R56" s="47" t="n"/>
      <c r="S56" s="47" t="n"/>
      <c r="T56" s="47" t="n"/>
      <c r="U56" s="47" t="n"/>
      <c r="V56" s="47" t="n"/>
      <c r="W56" s="47" t="n"/>
    </row>
    <row r="57" ht="12" customHeight="1">
      <c r="A57" s="30" t="inlineStr">
        <is>
          <t>Porto Real</t>
        </is>
      </c>
      <c r="B57" s="30" t="n">
        <v>11684009</v>
      </c>
      <c r="C57" s="30">
        <f>"77058881001106"</f>
        <v/>
      </c>
      <c r="D57" s="30" t="inlineStr">
        <is>
          <t>TRANS-PIZZATTO TRANSPORTADORA DE CARGAS RODOVIARIAS LTDA</t>
        </is>
      </c>
      <c r="E57" s="40" t="n">
        <v>0</v>
      </c>
      <c r="F57" s="40" t="n">
        <v>0</v>
      </c>
      <c r="G57" s="40" t="n">
        <v>0</v>
      </c>
      <c r="H57" s="40" t="n">
        <v>0</v>
      </c>
      <c r="I57" s="40" t="n">
        <v>0</v>
      </c>
      <c r="J57" s="40" t="n">
        <v>962534.73</v>
      </c>
      <c r="K57" s="40" t="n">
        <v>100</v>
      </c>
      <c r="L57" s="40" t="n">
        <v>4046179.76</v>
      </c>
      <c r="M57" s="40" t="n">
        <v>320.37</v>
      </c>
      <c r="N57" s="40" t="n">
        <v>5638515.03</v>
      </c>
      <c r="O57" s="40" t="n">
        <v>39.35</v>
      </c>
      <c r="P57" s="40" t="n">
        <v>0</v>
      </c>
      <c r="Q57" s="46" t="n">
        <v>-100</v>
      </c>
      <c r="R57" s="47" t="n"/>
      <c r="S57" s="47" t="n"/>
      <c r="T57" s="47" t="n"/>
      <c r="U57" s="47" t="n"/>
      <c r="V57" s="47" t="n"/>
      <c r="W57" s="47" t="n"/>
    </row>
    <row r="58" ht="12" customHeight="1">
      <c r="A58" s="30" t="inlineStr">
        <is>
          <t>Porto Real</t>
        </is>
      </c>
      <c r="B58" s="30" t="n">
        <v>11684335</v>
      </c>
      <c r="C58" s="30">
        <f>"36536077000128"</f>
        <v/>
      </c>
      <c r="D58" s="30" t="inlineStr">
        <is>
          <t>ASK DISTRIBUIDORA EIRELI</t>
        </is>
      </c>
      <c r="E58" s="40" t="n">
        <v>0</v>
      </c>
      <c r="F58" s="40" t="n">
        <v>0</v>
      </c>
      <c r="G58" s="40" t="n">
        <v>0</v>
      </c>
      <c r="H58" s="40" t="n">
        <v>0</v>
      </c>
      <c r="I58" s="40" t="n">
        <v>0</v>
      </c>
      <c r="J58" s="40" t="n">
        <v>0</v>
      </c>
      <c r="K58" s="40" t="n">
        <v>0</v>
      </c>
      <c r="L58" s="40" t="n">
        <v>0</v>
      </c>
      <c r="M58" s="40" t="n">
        <v>0</v>
      </c>
      <c r="N58" s="40" t="n">
        <v>0</v>
      </c>
      <c r="O58" s="40" t="n">
        <v>0</v>
      </c>
      <c r="P58" s="40" t="n">
        <v>0</v>
      </c>
      <c r="Q58" s="40" t="n">
        <v>0</v>
      </c>
      <c r="R58" s="47" t="n"/>
      <c r="S58" s="47" t="n"/>
      <c r="T58" s="47" t="n"/>
      <c r="U58" s="47" t="n"/>
      <c r="V58" s="47" t="n"/>
      <c r="W58" s="47" t="n"/>
    </row>
    <row r="59" ht="12" customHeight="1">
      <c r="A59" s="30" t="inlineStr">
        <is>
          <t>Porto Real</t>
        </is>
      </c>
      <c r="B59" s="30" t="n">
        <v>11699375</v>
      </c>
      <c r="C59" s="30">
        <f>"20121850002107"</f>
        <v/>
      </c>
      <c r="D59" s="30" t="inlineStr">
        <is>
          <t>MERCADO ENVIOS SERVICOS DE LOGISTICA LTDA</t>
        </is>
      </c>
      <c r="E59" s="40" t="n">
        <v>0</v>
      </c>
      <c r="F59" s="40" t="n">
        <v>0</v>
      </c>
      <c r="G59" s="40" t="n">
        <v>0</v>
      </c>
      <c r="H59" s="40" t="n">
        <v>0</v>
      </c>
      <c r="I59" s="40" t="n">
        <v>0</v>
      </c>
      <c r="J59" s="40" t="n">
        <v>0</v>
      </c>
      <c r="K59" s="40" t="n">
        <v>0</v>
      </c>
      <c r="L59" s="40" t="n">
        <v>0</v>
      </c>
      <c r="M59" s="40" t="n">
        <v>0</v>
      </c>
      <c r="N59" s="40" t="n">
        <v>14055.92</v>
      </c>
      <c r="O59" s="40" t="n">
        <v>100</v>
      </c>
      <c r="P59" s="40" t="n">
        <v>0</v>
      </c>
      <c r="Q59" s="46" t="n">
        <v>-100</v>
      </c>
      <c r="R59" s="47" t="n"/>
      <c r="S59" s="47" t="n"/>
      <c r="T59" s="47" t="n"/>
      <c r="U59" s="47" t="n"/>
      <c r="V59" s="47" t="n"/>
      <c r="W59" s="47" t="n"/>
    </row>
    <row r="60" ht="12" customHeight="1">
      <c r="A60" s="30" t="inlineStr">
        <is>
          <t>Porto Real</t>
        </is>
      </c>
      <c r="B60" s="30" t="n">
        <v>11702384</v>
      </c>
      <c r="C60" s="30">
        <f>"24394151000210"</f>
        <v/>
      </c>
      <c r="D60" s="30" t="inlineStr">
        <is>
          <t>HOSANNA PROVEDOR DE SERVICOS DE INTERNET LTDA</t>
        </is>
      </c>
      <c r="E60" s="40" t="n">
        <v>0</v>
      </c>
      <c r="F60" s="40" t="n">
        <v>0</v>
      </c>
      <c r="G60" s="40" t="n">
        <v>0</v>
      </c>
      <c r="H60" s="40" t="n">
        <v>0</v>
      </c>
      <c r="I60" s="40" t="n">
        <v>0</v>
      </c>
      <c r="J60" s="40" t="n">
        <v>0</v>
      </c>
      <c r="K60" s="40" t="n">
        <v>0</v>
      </c>
      <c r="L60" s="40" t="n">
        <v>0</v>
      </c>
      <c r="M60" s="40" t="n">
        <v>0</v>
      </c>
      <c r="N60" s="40" t="n">
        <v>0</v>
      </c>
      <c r="O60" s="40" t="n">
        <v>0</v>
      </c>
      <c r="P60" s="40" t="n">
        <v>0</v>
      </c>
      <c r="Q60" s="40" t="n">
        <v>0</v>
      </c>
      <c r="R60" s="47" t="n"/>
      <c r="S60" s="47" t="n"/>
      <c r="T60" s="47" t="n"/>
      <c r="U60" s="47" t="n"/>
      <c r="V60" s="47" t="n"/>
      <c r="W60" s="47" t="n"/>
    </row>
    <row r="61" ht="12" customHeight="1">
      <c r="A61" s="30" t="inlineStr">
        <is>
          <t>Porto Real</t>
        </is>
      </c>
      <c r="B61" s="30" t="n">
        <v>11712908</v>
      </c>
      <c r="C61" s="30">
        <f>"36012579000150"</f>
        <v/>
      </c>
      <c r="D61" s="30" t="inlineStr">
        <is>
          <t>COZANI RJ INFRAESTRUTURA E REDES DE TELECOMUNICA??ES S.A</t>
        </is>
      </c>
      <c r="E61" s="40" t="n">
        <v>0</v>
      </c>
      <c r="F61" s="40" t="n">
        <v>0</v>
      </c>
      <c r="G61" s="40" t="n">
        <v>0</v>
      </c>
      <c r="H61" s="40" t="n">
        <v>0</v>
      </c>
      <c r="I61" s="40" t="n">
        <v>0</v>
      </c>
      <c r="J61" s="40" t="n">
        <v>0</v>
      </c>
      <c r="K61" s="40" t="n">
        <v>0</v>
      </c>
      <c r="L61" s="40" t="n">
        <v>0</v>
      </c>
      <c r="M61" s="40" t="n">
        <v>0</v>
      </c>
      <c r="N61" s="40" t="n">
        <v>62952.36</v>
      </c>
      <c r="O61" s="40" t="n">
        <v>100</v>
      </c>
      <c r="P61" s="40" t="n">
        <v>0</v>
      </c>
      <c r="Q61" s="46" t="n">
        <v>-100</v>
      </c>
      <c r="R61" s="47" t="n"/>
      <c r="S61" s="47" t="n"/>
      <c r="T61" s="47" t="n"/>
      <c r="U61" s="47" t="n"/>
      <c r="V61" s="47" t="n"/>
      <c r="W61" s="47" t="n"/>
    </row>
    <row r="62" ht="12" customHeight="1">
      <c r="A62" s="30" t="inlineStr">
        <is>
          <t>Porto Real</t>
        </is>
      </c>
      <c r="B62" s="30" t="n">
        <v>11738494</v>
      </c>
      <c r="C62" s="30">
        <f>"17215039002334"</f>
        <v/>
      </c>
      <c r="D62" s="30" t="inlineStr">
        <is>
          <t>TRANSPORTES PESADOS MINAS S A</t>
        </is>
      </c>
      <c r="E62" s="40" t="n">
        <v>0</v>
      </c>
      <c r="F62" s="40" t="n">
        <v>0</v>
      </c>
      <c r="G62" s="40" t="n">
        <v>0</v>
      </c>
      <c r="H62" s="40" t="n">
        <v>0</v>
      </c>
      <c r="I62" s="40" t="n">
        <v>0</v>
      </c>
      <c r="J62" s="40" t="n">
        <v>0</v>
      </c>
      <c r="K62" s="40" t="n">
        <v>0</v>
      </c>
      <c r="L62" s="40" t="n">
        <v>1545.45</v>
      </c>
      <c r="M62" s="40" t="n">
        <v>100</v>
      </c>
      <c r="N62" s="40" t="n">
        <v>0</v>
      </c>
      <c r="O62" s="46" t="n">
        <v>-100</v>
      </c>
      <c r="P62" s="40" t="n">
        <v>66030.5</v>
      </c>
      <c r="Q62" s="40" t="n">
        <v>100</v>
      </c>
      <c r="R62" s="47" t="n"/>
      <c r="S62" s="47" t="n"/>
      <c r="T62" s="47" t="n"/>
      <c r="U62" s="47" t="n"/>
      <c r="V62" s="47" t="n"/>
      <c r="W62" s="47" t="n"/>
    </row>
    <row r="63" ht="12" customHeight="1">
      <c r="A63" s="30" t="inlineStr">
        <is>
          <t>Porto Real</t>
        </is>
      </c>
      <c r="B63" s="30" t="n">
        <v>11741665</v>
      </c>
      <c r="C63" s="30">
        <f>"17888419000124"</f>
        <v/>
      </c>
      <c r="D63" s="30" t="inlineStr">
        <is>
          <t>ZAMIX MULTIPLAY TELECOMUNICACOES LTDA</t>
        </is>
      </c>
      <c r="E63" s="40" t="n">
        <v>0</v>
      </c>
      <c r="F63" s="40" t="n">
        <v>0</v>
      </c>
      <c r="G63" s="40" t="n">
        <v>0</v>
      </c>
      <c r="H63" s="40" t="n">
        <v>0</v>
      </c>
      <c r="I63" s="40" t="n">
        <v>0</v>
      </c>
      <c r="J63" s="40" t="n">
        <v>2517.04</v>
      </c>
      <c r="K63" s="40" t="n">
        <v>100</v>
      </c>
      <c r="L63" s="40" t="n">
        <v>1107.65</v>
      </c>
      <c r="M63" s="46" t="n">
        <v>-55.99</v>
      </c>
      <c r="N63" s="40" t="n">
        <v>0</v>
      </c>
      <c r="O63" s="46" t="n">
        <v>-100</v>
      </c>
      <c r="P63" s="40" t="n">
        <v>0</v>
      </c>
      <c r="Q63" s="40" t="n">
        <v>0</v>
      </c>
      <c r="R63" s="47" t="n"/>
      <c r="S63" s="47" t="n"/>
      <c r="T63" s="47" t="n"/>
      <c r="U63" s="47" t="n"/>
      <c r="V63" s="47" t="n"/>
      <c r="W63" s="47" t="n"/>
    </row>
    <row r="64" ht="12" customHeight="1">
      <c r="A64" s="30" t="inlineStr">
        <is>
          <t>Porto Real</t>
        </is>
      </c>
      <c r="B64" s="30" t="n">
        <v>11781160</v>
      </c>
      <c r="C64" s="30">
        <f>"23820639000704"</f>
        <v/>
      </c>
      <c r="D64" s="30" t="inlineStr">
        <is>
          <t>GFL LOGISTICA LTDA</t>
        </is>
      </c>
      <c r="E64" s="40" t="n">
        <v>0</v>
      </c>
      <c r="F64" s="40" t="n">
        <v>0</v>
      </c>
      <c r="G64" s="40" t="n">
        <v>0</v>
      </c>
      <c r="H64" s="40" t="n">
        <v>0</v>
      </c>
      <c r="I64" s="40" t="n">
        <v>0</v>
      </c>
      <c r="J64" s="40" t="n">
        <v>0</v>
      </c>
      <c r="K64" s="40" t="n">
        <v>0</v>
      </c>
      <c r="L64" s="40" t="n">
        <v>0</v>
      </c>
      <c r="M64" s="40" t="n">
        <v>0</v>
      </c>
      <c r="N64" s="40" t="n">
        <v>0</v>
      </c>
      <c r="O64" s="40" t="n">
        <v>0</v>
      </c>
      <c r="P64" s="40" t="n">
        <v>3723.88</v>
      </c>
      <c r="Q64" s="40" t="n">
        <v>100</v>
      </c>
      <c r="R64" s="47" t="n"/>
      <c r="S64" s="47" t="n"/>
      <c r="T64" s="47" t="n"/>
      <c r="U64" s="47" t="n"/>
      <c r="V64" s="47" t="n"/>
      <c r="W64" s="47" t="n"/>
    </row>
    <row r="65" ht="12" customHeight="1">
      <c r="A65" s="30" t="inlineStr">
        <is>
          <t>Porto Real</t>
        </is>
      </c>
      <c r="B65" s="30" t="n">
        <v>11804284</v>
      </c>
      <c r="C65" s="30">
        <f>"75958926001084"</f>
        <v/>
      </c>
      <c r="D65" s="30" t="inlineStr">
        <is>
          <t>GHELERE TRANSPORTES LTDA</t>
        </is>
      </c>
      <c r="E65" s="40" t="n">
        <v>0</v>
      </c>
      <c r="F65" s="40" t="n">
        <v>0</v>
      </c>
      <c r="G65" s="40" t="n">
        <v>0</v>
      </c>
      <c r="H65" s="40" t="n">
        <v>0</v>
      </c>
      <c r="I65" s="40" t="n">
        <v>0</v>
      </c>
      <c r="J65" s="40" t="n">
        <v>0</v>
      </c>
      <c r="K65" s="40" t="n">
        <v>0</v>
      </c>
      <c r="L65" s="40" t="n">
        <v>20669.99</v>
      </c>
      <c r="M65" s="40" t="n">
        <v>100</v>
      </c>
      <c r="N65" s="40" t="n">
        <v>28150.92</v>
      </c>
      <c r="O65" s="40" t="n">
        <v>36.19</v>
      </c>
      <c r="P65" s="40" t="n">
        <v>10171.84</v>
      </c>
      <c r="Q65" s="46" t="n">
        <v>-63.87</v>
      </c>
      <c r="R65" s="47" t="n"/>
      <c r="S65" s="47" t="n"/>
      <c r="T65" s="47" t="n"/>
      <c r="U65" s="47" t="n"/>
      <c r="V65" s="47" t="n"/>
      <c r="W65" s="47" t="n"/>
    </row>
    <row r="66" ht="12" customHeight="1">
      <c r="A66" s="30" t="inlineStr">
        <is>
          <t>Porto Real</t>
        </is>
      </c>
      <c r="B66" s="30" t="n">
        <v>11810381</v>
      </c>
      <c r="C66" s="30">
        <f>"05206385004400"</f>
        <v/>
      </c>
      <c r="D66" s="30" t="inlineStr">
        <is>
          <t>HUGHES TELECOMUNICACOES DO BRASIL LTDA</t>
        </is>
      </c>
      <c r="E66" s="40" t="n">
        <v>0</v>
      </c>
      <c r="F66" s="40" t="n">
        <v>0</v>
      </c>
      <c r="G66" s="40" t="n">
        <v>0</v>
      </c>
      <c r="H66" s="40" t="n">
        <v>0</v>
      </c>
      <c r="I66" s="40" t="n">
        <v>0</v>
      </c>
      <c r="J66" s="40" t="n">
        <v>2516.84</v>
      </c>
      <c r="K66" s="40" t="n">
        <v>100</v>
      </c>
      <c r="L66" s="40" t="n">
        <v>22817.79</v>
      </c>
      <c r="M66" s="40" t="n">
        <v>806.6</v>
      </c>
      <c r="N66" s="40" t="n">
        <v>22927.94</v>
      </c>
      <c r="O66" s="40" t="n">
        <v>0.48</v>
      </c>
      <c r="P66" s="40" t="n">
        <v>17452.87</v>
      </c>
      <c r="Q66" s="46" t="n">
        <v>-23.88</v>
      </c>
      <c r="R66" s="47" t="n"/>
      <c r="S66" s="47" t="n"/>
      <c r="T66" s="47" t="n"/>
      <c r="U66" s="47" t="n"/>
      <c r="V66" s="47" t="n"/>
      <c r="W66" s="47" t="n"/>
    </row>
    <row r="67" ht="12" customHeight="1">
      <c r="A67" s="30" t="inlineStr">
        <is>
          <t>Porto Real</t>
        </is>
      </c>
      <c r="B67" s="30" t="n">
        <v>11823033</v>
      </c>
      <c r="C67" s="30">
        <f>"37185266000166"</f>
        <v/>
      </c>
      <c r="D67" s="30" t="inlineStr">
        <is>
          <t>JONAVA RJ INFRAESTRUTURA E REDES DE TELECOMUNICACOES S.A.</t>
        </is>
      </c>
      <c r="E67" s="40" t="n">
        <v>0</v>
      </c>
      <c r="F67" s="40" t="n">
        <v>0</v>
      </c>
      <c r="G67" s="40" t="n">
        <v>0</v>
      </c>
      <c r="H67" s="40" t="n">
        <v>0</v>
      </c>
      <c r="I67" s="40" t="n">
        <v>0</v>
      </c>
      <c r="J67" s="40" t="n">
        <v>0</v>
      </c>
      <c r="K67" s="40" t="n">
        <v>0</v>
      </c>
      <c r="L67" s="40" t="n">
        <v>0</v>
      </c>
      <c r="M67" s="40" t="n">
        <v>0</v>
      </c>
      <c r="N67" s="40" t="n">
        <v>112.24</v>
      </c>
      <c r="O67" s="40" t="n">
        <v>100</v>
      </c>
      <c r="P67" s="40" t="n">
        <v>0</v>
      </c>
      <c r="Q67" s="46" t="n">
        <v>-100</v>
      </c>
      <c r="R67" s="47" t="n"/>
      <c r="S67" s="47" t="n"/>
      <c r="T67" s="47" t="n"/>
      <c r="U67" s="47" t="n"/>
      <c r="V67" s="47" t="n"/>
      <c r="W67" s="47" t="n"/>
    </row>
    <row r="68" ht="12" customHeight="1">
      <c r="A68" s="30" t="inlineStr">
        <is>
          <t>Porto Real</t>
        </is>
      </c>
      <c r="B68" s="30" t="n">
        <v>11823050</v>
      </c>
      <c r="C68" s="30">
        <f>"00005039053720"</f>
        <v/>
      </c>
      <c r="D68" s="30" t="inlineStr">
        <is>
          <t>JOAO RUFINO</t>
        </is>
      </c>
      <c r="E68" s="40" t="n">
        <v>0</v>
      </c>
      <c r="F68" s="40" t="n">
        <v>0</v>
      </c>
      <c r="G68" s="40" t="n">
        <v>0</v>
      </c>
      <c r="H68" s="40" t="n">
        <v>0</v>
      </c>
      <c r="I68" s="40" t="n">
        <v>0</v>
      </c>
      <c r="J68" s="40" t="n">
        <v>700</v>
      </c>
      <c r="K68" s="40" t="n">
        <v>100</v>
      </c>
      <c r="L68" s="40" t="n">
        <v>2353</v>
      </c>
      <c r="M68" s="40" t="n">
        <v>236.14</v>
      </c>
      <c r="N68" s="40" t="n">
        <v>2224</v>
      </c>
      <c r="O68" s="46" t="n">
        <v>-5.48</v>
      </c>
      <c r="P68" s="40" t="n">
        <v>2186</v>
      </c>
      <c r="Q68" s="46" t="n">
        <v>-1.71</v>
      </c>
      <c r="R68" s="47" t="n"/>
      <c r="S68" s="47" t="n"/>
      <c r="T68" s="47" t="n"/>
      <c r="U68" s="47" t="n"/>
      <c r="V68" s="47" t="n"/>
      <c r="W68" s="47" t="n"/>
    </row>
    <row r="69" ht="12" customHeight="1">
      <c r="A69" s="30" t="inlineStr">
        <is>
          <t>Porto Real</t>
        </is>
      </c>
      <c r="B69" s="30" t="n">
        <v>11840892</v>
      </c>
      <c r="C69" s="30">
        <f>"76667682001558"</f>
        <v/>
      </c>
      <c r="D69" s="30" t="inlineStr">
        <is>
          <t>BUDEL TRANSPORTES LTDA</t>
        </is>
      </c>
      <c r="E69" s="40" t="n">
        <v>0</v>
      </c>
      <c r="F69" s="40" t="n">
        <v>0</v>
      </c>
      <c r="G69" s="40" t="n">
        <v>0</v>
      </c>
      <c r="H69" s="40" t="n">
        <v>0</v>
      </c>
      <c r="I69" s="40" t="n">
        <v>0</v>
      </c>
      <c r="J69" s="40" t="n">
        <v>0</v>
      </c>
      <c r="K69" s="40" t="n">
        <v>0</v>
      </c>
      <c r="L69" s="40" t="n">
        <v>0</v>
      </c>
      <c r="M69" s="40" t="n">
        <v>0</v>
      </c>
      <c r="N69" s="40" t="n">
        <v>98133.83</v>
      </c>
      <c r="O69" s="40" t="n">
        <v>100</v>
      </c>
      <c r="P69" s="40" t="n">
        <v>0</v>
      </c>
      <c r="Q69" s="46" t="n">
        <v>-100</v>
      </c>
      <c r="R69" s="47" t="n"/>
      <c r="S69" s="47" t="n"/>
      <c r="T69" s="47" t="n"/>
      <c r="U69" s="47" t="n"/>
      <c r="V69" s="47" t="n"/>
      <c r="W69" s="47" t="n"/>
    </row>
    <row r="70" ht="12" customHeight="1">
      <c r="A70" s="30" t="inlineStr">
        <is>
          <t>Porto Real</t>
        </is>
      </c>
      <c r="B70" s="30" t="n">
        <v>11842542</v>
      </c>
      <c r="C70" s="30">
        <f>"12680452000736"</f>
        <v/>
      </c>
      <c r="D70" s="30" t="inlineStr">
        <is>
          <t>PLATINUM LOG ARMAZENS GERAIS LTDA</t>
        </is>
      </c>
      <c r="E70" s="40" t="n">
        <v>0</v>
      </c>
      <c r="F70" s="40" t="n">
        <v>0</v>
      </c>
      <c r="G70" s="40" t="n">
        <v>0</v>
      </c>
      <c r="H70" s="40" t="n">
        <v>0</v>
      </c>
      <c r="I70" s="40" t="n">
        <v>0</v>
      </c>
      <c r="J70" s="40" t="n">
        <v>0</v>
      </c>
      <c r="K70" s="40" t="n">
        <v>0</v>
      </c>
      <c r="L70" s="40" t="n">
        <v>0</v>
      </c>
      <c r="M70" s="40" t="n">
        <v>0</v>
      </c>
      <c r="N70" s="40" t="n">
        <v>327.78</v>
      </c>
      <c r="O70" s="40" t="n">
        <v>100</v>
      </c>
      <c r="P70" s="40" t="n">
        <v>0</v>
      </c>
      <c r="Q70" s="46" t="n">
        <v>-100</v>
      </c>
      <c r="R70" s="47" t="n"/>
      <c r="S70" s="47" t="n"/>
      <c r="T70" s="47" t="n"/>
      <c r="U70" s="47" t="n"/>
      <c r="V70" s="47" t="n"/>
      <c r="W70" s="47" t="n"/>
    </row>
    <row r="71" ht="12" customHeight="1">
      <c r="A71" s="30" t="inlineStr">
        <is>
          <t>Porto Real</t>
        </is>
      </c>
      <c r="B71" s="30" t="n">
        <v>11862489</v>
      </c>
      <c r="C71" s="30">
        <f>"37421570000165"</f>
        <v/>
      </c>
      <c r="D71" s="30" t="inlineStr">
        <is>
          <t>DMP COMERCIAL ALIMENTICIA LTDA</t>
        </is>
      </c>
      <c r="E71" s="40" t="n">
        <v>0</v>
      </c>
      <c r="F71" s="40" t="n">
        <v>0</v>
      </c>
      <c r="G71" s="40" t="n">
        <v>0</v>
      </c>
      <c r="H71" s="40" t="n">
        <v>0</v>
      </c>
      <c r="I71" s="40" t="n">
        <v>0</v>
      </c>
      <c r="J71" s="40" t="n">
        <v>0</v>
      </c>
      <c r="K71" s="40" t="n">
        <v>0</v>
      </c>
      <c r="L71" s="40" t="n">
        <v>0</v>
      </c>
      <c r="M71" s="40" t="n">
        <v>0</v>
      </c>
      <c r="N71" s="40" t="n">
        <v>0</v>
      </c>
      <c r="O71" s="40" t="n">
        <v>0</v>
      </c>
      <c r="P71" s="40" t="n">
        <v>0</v>
      </c>
      <c r="Q71" s="40" t="n">
        <v>0</v>
      </c>
      <c r="R71" s="47" t="n"/>
      <c r="S71" s="47" t="n"/>
      <c r="T71" s="47" t="n"/>
      <c r="U71" s="47" t="n"/>
      <c r="V71" s="47" t="n"/>
      <c r="W71" s="47" t="n"/>
    </row>
    <row r="72" ht="12" customHeight="1">
      <c r="A72" s="30" t="inlineStr">
        <is>
          <t>Porto Real</t>
        </is>
      </c>
      <c r="B72" s="30" t="n">
        <v>11873324</v>
      </c>
      <c r="C72" s="30">
        <f>"88313457000601"</f>
        <v/>
      </c>
      <c r="D72" s="30" t="inlineStr">
        <is>
          <t>TRANSLIQUIDOS LTDA</t>
        </is>
      </c>
      <c r="E72" s="40" t="n">
        <v>0</v>
      </c>
      <c r="F72" s="40" t="n">
        <v>0</v>
      </c>
      <c r="G72" s="40" t="n">
        <v>0</v>
      </c>
      <c r="H72" s="40" t="n">
        <v>0</v>
      </c>
      <c r="I72" s="40" t="n">
        <v>0</v>
      </c>
      <c r="J72" s="40" t="n">
        <v>0</v>
      </c>
      <c r="K72" s="40" t="n">
        <v>0</v>
      </c>
      <c r="L72" s="40" t="n">
        <v>0</v>
      </c>
      <c r="M72" s="40" t="n">
        <v>0</v>
      </c>
      <c r="N72" s="40" t="n">
        <v>9736.959999999999</v>
      </c>
      <c r="O72" s="40" t="n">
        <v>100</v>
      </c>
      <c r="P72" s="40" t="n">
        <v>0</v>
      </c>
      <c r="Q72" s="46" t="n">
        <v>-100</v>
      </c>
      <c r="R72" s="47" t="n"/>
      <c r="S72" s="47" t="n"/>
      <c r="T72" s="47" t="n"/>
      <c r="U72" s="47" t="n"/>
      <c r="V72" s="47" t="n"/>
      <c r="W72" s="47" t="n"/>
    </row>
    <row r="73" ht="12" customHeight="1">
      <c r="A73" s="30" t="inlineStr">
        <is>
          <t>Porto Real</t>
        </is>
      </c>
      <c r="B73" s="30" t="n">
        <v>11886620</v>
      </c>
      <c r="C73" s="30">
        <f>"39696049000166"</f>
        <v/>
      </c>
      <c r="D73" s="30" t="inlineStr">
        <is>
          <t>CONSTRUTORA ELITE"S SPE LTDA</t>
        </is>
      </c>
      <c r="E73" s="40" t="n">
        <v>0</v>
      </c>
      <c r="F73" s="40" t="n">
        <v>0</v>
      </c>
      <c r="G73" s="40" t="n">
        <v>0</v>
      </c>
      <c r="H73" s="40" t="n">
        <v>0</v>
      </c>
      <c r="I73" s="40" t="n">
        <v>0</v>
      </c>
      <c r="J73" s="40" t="n">
        <v>0</v>
      </c>
      <c r="K73" s="40" t="n">
        <v>0</v>
      </c>
      <c r="L73" s="40" t="n">
        <v>0</v>
      </c>
      <c r="M73" s="40" t="n">
        <v>0</v>
      </c>
      <c r="N73" s="40" t="n">
        <v>0</v>
      </c>
      <c r="O73" s="40" t="n">
        <v>0</v>
      </c>
      <c r="P73" s="40" t="n">
        <v>0</v>
      </c>
      <c r="Q73" s="40" t="n">
        <v>0</v>
      </c>
      <c r="R73" s="47" t="n"/>
      <c r="S73" s="47" t="n"/>
      <c r="T73" s="47" t="n"/>
      <c r="U73" s="47" t="n"/>
      <c r="V73" s="47" t="n"/>
      <c r="W73" s="47" t="n"/>
    </row>
    <row r="74" ht="12" customHeight="1">
      <c r="A74" s="30" t="inlineStr">
        <is>
          <t>Porto Real</t>
        </is>
      </c>
      <c r="B74" s="30" t="n">
        <v>11898408</v>
      </c>
      <c r="C74" s="30">
        <f>"39538126000230"</f>
        <v/>
      </c>
      <c r="D74" s="30" t="inlineStr">
        <is>
          <t>BRLOGIS TRANSPORTE DE VEICULOS S/A</t>
        </is>
      </c>
      <c r="E74" s="40" t="n">
        <v>0</v>
      </c>
      <c r="F74" s="40" t="n">
        <v>0</v>
      </c>
      <c r="G74" s="40" t="n">
        <v>0</v>
      </c>
      <c r="H74" s="40" t="n">
        <v>0</v>
      </c>
      <c r="I74" s="40" t="n">
        <v>0</v>
      </c>
      <c r="J74" s="40" t="n">
        <v>16141.49</v>
      </c>
      <c r="K74" s="40" t="n">
        <v>100</v>
      </c>
      <c r="L74" s="40" t="n">
        <v>511358.5</v>
      </c>
      <c r="M74" s="40" t="n">
        <v>3067.98</v>
      </c>
      <c r="N74" s="40" t="n">
        <v>3359.4</v>
      </c>
      <c r="O74" s="46" t="n">
        <v>-99.34</v>
      </c>
      <c r="P74" s="40" t="n">
        <v>0</v>
      </c>
      <c r="Q74" s="46" t="n">
        <v>-100</v>
      </c>
      <c r="R74" s="47" t="n"/>
      <c r="S74" s="47" t="n"/>
      <c r="T74" s="47" t="n"/>
      <c r="U74" s="47" t="n"/>
      <c r="V74" s="47" t="n"/>
      <c r="W74" s="47" t="n"/>
    </row>
    <row r="75" ht="12" customHeight="1">
      <c r="A75" s="30" t="inlineStr">
        <is>
          <t>Porto Real</t>
        </is>
      </c>
      <c r="B75" s="30" t="n">
        <v>11918131</v>
      </c>
      <c r="C75" s="30">
        <f>"35606143001017"</f>
        <v/>
      </c>
      <c r="D75" s="30" t="inlineStr">
        <is>
          <t>FASTLINE LOGISTICA AUTOMOTIVA LTDA</t>
        </is>
      </c>
      <c r="E75" s="40" t="n">
        <v>0</v>
      </c>
      <c r="F75" s="40" t="n">
        <v>0</v>
      </c>
      <c r="G75" s="40" t="n">
        <v>0</v>
      </c>
      <c r="H75" s="40" t="n">
        <v>0</v>
      </c>
      <c r="I75" s="40" t="n">
        <v>0</v>
      </c>
      <c r="J75" s="40" t="n">
        <v>0</v>
      </c>
      <c r="K75" s="40" t="n">
        <v>0</v>
      </c>
      <c r="L75" s="40" t="n">
        <v>2320.83</v>
      </c>
      <c r="M75" s="40" t="n">
        <v>100</v>
      </c>
      <c r="N75" s="40" t="n">
        <v>930</v>
      </c>
      <c r="O75" s="46" t="n">
        <v>-59.93</v>
      </c>
      <c r="P75" s="40" t="n">
        <v>4720</v>
      </c>
      <c r="Q75" s="40" t="n">
        <v>407.53</v>
      </c>
      <c r="R75" s="47" t="n"/>
      <c r="S75" s="47" t="n"/>
      <c r="T75" s="47" t="n"/>
      <c r="U75" s="47" t="n"/>
      <c r="V75" s="47" t="n"/>
      <c r="W75" s="47" t="n"/>
    </row>
    <row r="76" ht="12" customHeight="1">
      <c r="A76" s="30" t="inlineStr">
        <is>
          <t>Porto Real</t>
        </is>
      </c>
      <c r="B76" s="30" t="n">
        <v>11920985</v>
      </c>
      <c r="C76" s="30">
        <f>"82110818002841"</f>
        <v/>
      </c>
      <c r="D76" s="30" t="inlineStr">
        <is>
          <t>ALFA TRANSPORTES LTDA</t>
        </is>
      </c>
      <c r="E76" s="40" t="n">
        <v>0</v>
      </c>
      <c r="F76" s="40" t="n">
        <v>0</v>
      </c>
      <c r="G76" s="40" t="n">
        <v>0</v>
      </c>
      <c r="H76" s="40" t="n">
        <v>0</v>
      </c>
      <c r="I76" s="40" t="n">
        <v>0</v>
      </c>
      <c r="J76" s="40" t="n">
        <v>0</v>
      </c>
      <c r="K76" s="40" t="n">
        <v>0</v>
      </c>
      <c r="L76" s="40" t="n">
        <v>3957.55</v>
      </c>
      <c r="M76" s="40" t="n">
        <v>100</v>
      </c>
      <c r="N76" s="40" t="n">
        <v>4342.59</v>
      </c>
      <c r="O76" s="40" t="n">
        <v>9.73</v>
      </c>
      <c r="P76" s="40" t="n">
        <v>8764.93</v>
      </c>
      <c r="Q76" s="40" t="n">
        <v>101.84</v>
      </c>
      <c r="R76" s="47" t="n"/>
      <c r="S76" s="47" t="n"/>
      <c r="T76" s="47" t="n"/>
      <c r="U76" s="47" t="n"/>
      <c r="V76" s="47" t="n"/>
      <c r="W76" s="47" t="n"/>
    </row>
    <row r="77" ht="12" customHeight="1">
      <c r="A77" s="30" t="inlineStr">
        <is>
          <t>Porto Real</t>
        </is>
      </c>
      <c r="B77" s="30" t="n">
        <v>11926150</v>
      </c>
      <c r="C77" s="30">
        <f>"30962019000775"</f>
        <v/>
      </c>
      <c r="D77" s="30" t="inlineStr">
        <is>
          <t>RODOE TRANSPORTES DE ENCOMENDAS LTDA</t>
        </is>
      </c>
      <c r="E77" s="40" t="n">
        <v>0</v>
      </c>
      <c r="F77" s="40" t="n">
        <v>0</v>
      </c>
      <c r="G77" s="40" t="n">
        <v>0</v>
      </c>
      <c r="H77" s="40" t="n">
        <v>0</v>
      </c>
      <c r="I77" s="40" t="n">
        <v>0</v>
      </c>
      <c r="J77" s="40" t="n">
        <v>0</v>
      </c>
      <c r="K77" s="40" t="n">
        <v>0</v>
      </c>
      <c r="L77" s="40" t="n">
        <v>1.14</v>
      </c>
      <c r="M77" s="40" t="n">
        <v>100</v>
      </c>
      <c r="N77" s="40" t="n">
        <v>0</v>
      </c>
      <c r="O77" s="46" t="n">
        <v>-100</v>
      </c>
      <c r="P77" s="40" t="n">
        <v>0</v>
      </c>
      <c r="Q77" s="40" t="n">
        <v>0</v>
      </c>
      <c r="R77" s="47" t="n"/>
      <c r="S77" s="47" t="n"/>
      <c r="T77" s="47" t="n"/>
      <c r="U77" s="47" t="n"/>
      <c r="V77" s="47" t="n"/>
      <c r="W77" s="47" t="n"/>
    </row>
    <row r="78" ht="12" customHeight="1">
      <c r="A78" s="30" t="inlineStr">
        <is>
          <t>Porto Real</t>
        </is>
      </c>
      <c r="B78" s="30" t="n">
        <v>11935117</v>
      </c>
      <c r="C78" s="30">
        <f>"00077932315700"</f>
        <v/>
      </c>
      <c r="D78" s="30" t="inlineStr">
        <is>
          <t>ALBERTO PEDERASSI NETO</t>
        </is>
      </c>
      <c r="E78" s="40" t="n">
        <v>0</v>
      </c>
      <c r="F78" s="40" t="n">
        <v>0</v>
      </c>
      <c r="G78" s="40" t="n">
        <v>0</v>
      </c>
      <c r="H78" s="40" t="n">
        <v>0</v>
      </c>
      <c r="I78" s="40" t="n">
        <v>0</v>
      </c>
      <c r="J78" s="40" t="n">
        <v>0</v>
      </c>
      <c r="K78" s="40" t="n">
        <v>0</v>
      </c>
      <c r="L78" s="40" t="n">
        <v>0</v>
      </c>
      <c r="M78" s="40" t="n">
        <v>0</v>
      </c>
      <c r="N78" s="40" t="n">
        <v>0</v>
      </c>
      <c r="O78" s="40" t="n">
        <v>0</v>
      </c>
      <c r="P78" s="40" t="n">
        <v>0</v>
      </c>
      <c r="Q78" s="40" t="n">
        <v>0</v>
      </c>
      <c r="R78" s="47" t="n"/>
      <c r="S78" s="47" t="n"/>
      <c r="T78" s="47" t="n"/>
      <c r="U78" s="47" t="n"/>
      <c r="V78" s="47" t="n"/>
      <c r="W78" s="47" t="n"/>
    </row>
    <row r="79" ht="12" customHeight="1">
      <c r="A79" s="30" t="inlineStr">
        <is>
          <t>Porto Real</t>
        </is>
      </c>
      <c r="B79" s="30" t="n">
        <v>11941591</v>
      </c>
      <c r="C79" s="30">
        <f>"39366242000139"</f>
        <v/>
      </c>
      <c r="D79" s="30" t="inlineStr">
        <is>
          <t>DROGARIA PS LTDA</t>
        </is>
      </c>
      <c r="E79" s="40" t="n">
        <v>0</v>
      </c>
      <c r="F79" s="40" t="n">
        <v>0</v>
      </c>
      <c r="G79" s="40" t="n">
        <v>0</v>
      </c>
      <c r="H79" s="40" t="n">
        <v>0</v>
      </c>
      <c r="I79" s="40" t="n">
        <v>0</v>
      </c>
      <c r="J79" s="40" t="n">
        <v>0</v>
      </c>
      <c r="K79" s="40" t="n">
        <v>0</v>
      </c>
      <c r="L79" s="40" t="n">
        <v>278674.45</v>
      </c>
      <c r="M79" s="40" t="n">
        <v>100</v>
      </c>
      <c r="N79" s="40" t="n">
        <v>492488.78</v>
      </c>
      <c r="O79" s="40" t="n">
        <v>76.73</v>
      </c>
      <c r="P79" s="40" t="n">
        <v>681940.01</v>
      </c>
      <c r="Q79" s="40" t="n">
        <v>38.47</v>
      </c>
      <c r="R79" s="47" t="n"/>
      <c r="S79" s="47" t="n"/>
      <c r="T79" s="47" t="n"/>
      <c r="U79" s="47" t="n"/>
      <c r="V79" s="47" t="n"/>
      <c r="W79" s="47" t="n"/>
    </row>
    <row r="80" ht="12" customHeight="1">
      <c r="A80" s="30" t="inlineStr">
        <is>
          <t>Porto Real</t>
        </is>
      </c>
      <c r="B80" s="30" t="n">
        <v>11951643</v>
      </c>
      <c r="C80" s="30">
        <f>"17877334001627"</f>
        <v/>
      </c>
      <c r="D80" s="30" t="inlineStr">
        <is>
          <t>RODOFROTA TRANSPORTES RODOVIARIOS E LOGISTICA LTDA</t>
        </is>
      </c>
      <c r="E80" s="40" t="n">
        <v>0</v>
      </c>
      <c r="F80" s="40" t="n">
        <v>0</v>
      </c>
      <c r="G80" s="40" t="n">
        <v>0</v>
      </c>
      <c r="H80" s="40" t="n">
        <v>0</v>
      </c>
      <c r="I80" s="40" t="n">
        <v>0</v>
      </c>
      <c r="J80" s="40" t="n">
        <v>0</v>
      </c>
      <c r="K80" s="40" t="n">
        <v>0</v>
      </c>
      <c r="L80" s="40" t="n">
        <v>0</v>
      </c>
      <c r="M80" s="40" t="n">
        <v>0</v>
      </c>
      <c r="N80" s="40" t="n">
        <v>0</v>
      </c>
      <c r="O80" s="40" t="n">
        <v>0</v>
      </c>
      <c r="P80" s="40" t="n">
        <v>0</v>
      </c>
      <c r="Q80" s="40" t="n">
        <v>0</v>
      </c>
      <c r="R80" s="47" t="n"/>
      <c r="S80" s="47" t="n"/>
      <c r="T80" s="47" t="n"/>
      <c r="U80" s="47" t="n"/>
      <c r="V80" s="47" t="n"/>
      <c r="W80" s="47" t="n"/>
    </row>
    <row r="81" ht="12" customHeight="1">
      <c r="A81" s="30" t="inlineStr">
        <is>
          <t>Porto Real</t>
        </is>
      </c>
      <c r="B81" s="30" t="n">
        <v>11972977</v>
      </c>
      <c r="C81" s="30">
        <f>"01125797002593"</f>
        <v/>
      </c>
      <c r="D81" s="30" t="inlineStr">
        <is>
          <t>ATIVA DISTRIBUICAO E LOGISTICA LTDA</t>
        </is>
      </c>
      <c r="E81" s="40" t="n">
        <v>0</v>
      </c>
      <c r="F81" s="40" t="n">
        <v>0</v>
      </c>
      <c r="G81" s="40" t="n">
        <v>0</v>
      </c>
      <c r="H81" s="40" t="n">
        <v>0</v>
      </c>
      <c r="I81" s="40" t="n">
        <v>0</v>
      </c>
      <c r="J81" s="40" t="n">
        <v>0</v>
      </c>
      <c r="K81" s="40" t="n">
        <v>0</v>
      </c>
      <c r="L81" s="40" t="n">
        <v>65.98</v>
      </c>
      <c r="M81" s="40" t="n">
        <v>100</v>
      </c>
      <c r="N81" s="40" t="n">
        <v>0</v>
      </c>
      <c r="O81" s="46" t="n">
        <v>-100</v>
      </c>
      <c r="P81" s="40" t="n">
        <v>0</v>
      </c>
      <c r="Q81" s="40" t="n">
        <v>0</v>
      </c>
      <c r="R81" s="47" t="n"/>
      <c r="S81" s="47" t="n"/>
      <c r="T81" s="47" t="n"/>
      <c r="U81" s="47" t="n"/>
      <c r="V81" s="47" t="n"/>
      <c r="W81" s="47" t="n"/>
    </row>
    <row r="82" ht="12" customHeight="1">
      <c r="A82" s="30" t="inlineStr">
        <is>
          <t>Porto Real</t>
        </is>
      </c>
      <c r="B82" s="30" t="n">
        <v>11976441</v>
      </c>
      <c r="C82" s="30">
        <f>"09318444000225"</f>
        <v/>
      </c>
      <c r="D82" s="30" t="inlineStr">
        <is>
          <t>ANDRADE E ABREU TRANSPORTES LTDA</t>
        </is>
      </c>
      <c r="E82" s="40" t="n">
        <v>0</v>
      </c>
      <c r="F82" s="40" t="n">
        <v>0</v>
      </c>
      <c r="G82" s="40" t="n">
        <v>0</v>
      </c>
      <c r="H82" s="40" t="n">
        <v>0</v>
      </c>
      <c r="I82" s="40" t="n">
        <v>0</v>
      </c>
      <c r="J82" s="40" t="n">
        <v>0</v>
      </c>
      <c r="K82" s="40" t="n">
        <v>0</v>
      </c>
      <c r="L82" s="40" t="n">
        <v>0</v>
      </c>
      <c r="M82" s="40" t="n">
        <v>0</v>
      </c>
      <c r="N82" s="40" t="n">
        <v>7215.7</v>
      </c>
      <c r="O82" s="40" t="n">
        <v>100</v>
      </c>
      <c r="P82" s="40" t="n">
        <v>0</v>
      </c>
      <c r="Q82" s="46" t="n">
        <v>-100</v>
      </c>
      <c r="R82" s="47" t="n"/>
      <c r="S82" s="47" t="n"/>
      <c r="T82" s="47" t="n"/>
      <c r="U82" s="47" t="n"/>
      <c r="V82" s="47" t="n"/>
      <c r="W82" s="47" t="n"/>
    </row>
    <row r="83" ht="12" customHeight="1">
      <c r="A83" s="30" t="inlineStr">
        <is>
          <t>Porto Real</t>
        </is>
      </c>
      <c r="B83" s="30" t="n">
        <v>12000600</v>
      </c>
      <c r="C83" s="30">
        <f>"07746586000420"</f>
        <v/>
      </c>
      <c r="D83" s="30" t="inlineStr">
        <is>
          <t>PEARSON SAUDE ANIMAL S.A.</t>
        </is>
      </c>
      <c r="E83" s="40" t="n">
        <v>0</v>
      </c>
      <c r="F83" s="40" t="n">
        <v>0</v>
      </c>
      <c r="G83" s="40" t="n">
        <v>0</v>
      </c>
      <c r="H83" s="40" t="n">
        <v>0</v>
      </c>
      <c r="I83" s="40" t="n">
        <v>0</v>
      </c>
      <c r="J83" s="40" t="n">
        <v>0</v>
      </c>
      <c r="K83" s="40" t="n">
        <v>0</v>
      </c>
      <c r="L83" s="40" t="n">
        <v>1557935.68</v>
      </c>
      <c r="M83" s="40" t="n">
        <v>100</v>
      </c>
      <c r="N83" s="40" t="n">
        <v>28641924.41</v>
      </c>
      <c r="O83" s="40" t="n">
        <v>1738.45</v>
      </c>
      <c r="P83" s="40" t="n">
        <v>7953648.81</v>
      </c>
      <c r="Q83" s="46" t="n">
        <v>-72.23</v>
      </c>
      <c r="R83" s="47" t="n"/>
      <c r="S83" s="47" t="n"/>
      <c r="T83" s="47" t="n"/>
      <c r="U83" s="47" t="n"/>
      <c r="V83" s="47" t="n"/>
      <c r="W83" s="47" t="n"/>
    </row>
    <row r="84" ht="12" customHeight="1">
      <c r="A84" s="30" t="inlineStr">
        <is>
          <t>Porto Real</t>
        </is>
      </c>
      <c r="B84" s="30" t="n">
        <v>12009070</v>
      </c>
      <c r="C84" s="30">
        <f>"37711434000100"</f>
        <v/>
      </c>
      <c r="D84" s="30" t="inlineStr">
        <is>
          <t>ALMED DISTRIBUIDORA E TRANSPORTES LTDA</t>
        </is>
      </c>
      <c r="E84" s="40" t="n">
        <v>0</v>
      </c>
      <c r="F84" s="40" t="n">
        <v>0</v>
      </c>
      <c r="G84" s="40" t="n">
        <v>0</v>
      </c>
      <c r="H84" s="40" t="n">
        <v>0</v>
      </c>
      <c r="I84" s="40" t="n">
        <v>0</v>
      </c>
      <c r="J84" s="40" t="n">
        <v>0</v>
      </c>
      <c r="K84" s="40" t="n">
        <v>0</v>
      </c>
      <c r="L84" s="40" t="n">
        <v>0</v>
      </c>
      <c r="M84" s="40" t="n">
        <v>0</v>
      </c>
      <c r="N84" s="40" t="n">
        <v>0</v>
      </c>
      <c r="O84" s="40" t="n">
        <v>0</v>
      </c>
      <c r="P84" s="40" t="n">
        <v>0</v>
      </c>
      <c r="Q84" s="40" t="n">
        <v>0</v>
      </c>
      <c r="R84" s="47" t="n"/>
      <c r="S84" s="47" t="n"/>
      <c r="T84" s="47" t="n"/>
      <c r="U84" s="47" t="n"/>
      <c r="V84" s="47" t="n"/>
      <c r="W84" s="47" t="n"/>
    </row>
    <row r="85" ht="12" customHeight="1">
      <c r="A85" s="30" t="inlineStr">
        <is>
          <t>Porto Real</t>
        </is>
      </c>
      <c r="B85" s="30" t="n">
        <v>12014325</v>
      </c>
      <c r="C85" s="30">
        <f>"04819724003308"</f>
        <v/>
      </c>
      <c r="D85" s="30" t="inlineStr">
        <is>
          <t>TELEFONICA TRANSPORTES E LOGISTICA LTDA</t>
        </is>
      </c>
      <c r="E85" s="40" t="n">
        <v>0</v>
      </c>
      <c r="F85" s="40" t="n">
        <v>0</v>
      </c>
      <c r="G85" s="40" t="n">
        <v>0</v>
      </c>
      <c r="H85" s="40" t="n">
        <v>0</v>
      </c>
      <c r="I85" s="40" t="n">
        <v>0</v>
      </c>
      <c r="J85" s="40" t="n">
        <v>0</v>
      </c>
      <c r="K85" s="40" t="n">
        <v>0</v>
      </c>
      <c r="L85" s="40" t="n">
        <v>0</v>
      </c>
      <c r="M85" s="40" t="n">
        <v>0</v>
      </c>
      <c r="N85" s="40" t="n">
        <v>0</v>
      </c>
      <c r="O85" s="40" t="n">
        <v>0</v>
      </c>
      <c r="P85" s="40" t="n">
        <v>261.91</v>
      </c>
      <c r="Q85" s="40" t="n">
        <v>100</v>
      </c>
      <c r="R85" s="47" t="n"/>
      <c r="S85" s="47" t="n"/>
      <c r="T85" s="47" t="n"/>
      <c r="U85" s="47" t="n"/>
      <c r="V85" s="47" t="n"/>
      <c r="W85" s="47" t="n"/>
    </row>
    <row r="86" ht="12" customHeight="1">
      <c r="A86" s="30" t="inlineStr">
        <is>
          <t>Porto Real</t>
        </is>
      </c>
      <c r="B86" s="30" t="n">
        <v>12031645</v>
      </c>
      <c r="C86" s="30">
        <f>"41362776000139"</f>
        <v/>
      </c>
      <c r="D86" s="30" t="inlineStr">
        <is>
          <t>BASTTON COMERCIAL EIRELI</t>
        </is>
      </c>
      <c r="E86" s="40" t="n">
        <v>0</v>
      </c>
      <c r="F86" s="40" t="n">
        <v>0</v>
      </c>
      <c r="G86" s="40" t="n">
        <v>0</v>
      </c>
      <c r="H86" s="40" t="n">
        <v>0</v>
      </c>
      <c r="I86" s="40" t="n">
        <v>0</v>
      </c>
      <c r="J86" s="40" t="n">
        <v>0</v>
      </c>
      <c r="K86" s="40" t="n">
        <v>0</v>
      </c>
      <c r="L86" s="40" t="n">
        <v>0</v>
      </c>
      <c r="M86" s="40" t="n">
        <v>0</v>
      </c>
      <c r="N86" s="40" t="n">
        <v>0</v>
      </c>
      <c r="O86" s="40" t="n">
        <v>0</v>
      </c>
      <c r="P86" s="40" t="n">
        <v>0</v>
      </c>
      <c r="Q86" s="40" t="n">
        <v>0</v>
      </c>
      <c r="R86" s="47" t="n"/>
      <c r="S86" s="47" t="n"/>
      <c r="T86" s="47" t="n"/>
      <c r="U86" s="47" t="n"/>
      <c r="V86" s="47" t="n"/>
      <c r="W86" s="47" t="n"/>
    </row>
    <row r="87" ht="12" customHeight="1">
      <c r="A87" s="30" t="inlineStr">
        <is>
          <t>Porto Real</t>
        </is>
      </c>
      <c r="B87" s="30" t="n">
        <v>12033257</v>
      </c>
      <c r="C87" s="30">
        <f>"41399354000138"</f>
        <v/>
      </c>
      <c r="D87" s="30" t="inlineStr">
        <is>
          <t>ACERO METALURGIA LTDA</t>
        </is>
      </c>
      <c r="E87" s="40" t="n">
        <v>0</v>
      </c>
      <c r="F87" s="40" t="n">
        <v>0</v>
      </c>
      <c r="G87" s="40" t="n">
        <v>0</v>
      </c>
      <c r="H87" s="40" t="n">
        <v>0</v>
      </c>
      <c r="I87" s="40" t="n">
        <v>0</v>
      </c>
      <c r="J87" s="40" t="n">
        <v>0</v>
      </c>
      <c r="K87" s="40" t="n">
        <v>0</v>
      </c>
      <c r="L87" s="40" t="n">
        <v>0</v>
      </c>
      <c r="M87" s="40" t="n">
        <v>0</v>
      </c>
      <c r="N87" s="40" t="n">
        <v>733562.53</v>
      </c>
      <c r="O87" s="40" t="n">
        <v>100</v>
      </c>
      <c r="P87" s="40" t="n">
        <v>380771.78</v>
      </c>
      <c r="Q87" s="46" t="n">
        <v>-48.09</v>
      </c>
      <c r="R87" s="47" t="n"/>
      <c r="S87" s="47" t="n"/>
      <c r="T87" s="47" t="n"/>
      <c r="U87" s="47" t="n"/>
      <c r="V87" s="47" t="n"/>
      <c r="W87" s="47" t="n"/>
    </row>
    <row r="88" ht="12" customHeight="1">
      <c r="A88" s="30" t="inlineStr">
        <is>
          <t>Porto Real</t>
        </is>
      </c>
      <c r="B88" s="30" t="n">
        <v>12042728</v>
      </c>
      <c r="C88" s="30">
        <f>"19051962000793"</f>
        <v/>
      </c>
      <c r="D88" s="30" t="inlineStr">
        <is>
          <t>NUTRIALFA ALIMENTOS LTDA</t>
        </is>
      </c>
      <c r="E88" s="40" t="n">
        <v>0</v>
      </c>
      <c r="F88" s="40" t="n">
        <v>0</v>
      </c>
      <c r="G88" s="40" t="n">
        <v>0</v>
      </c>
      <c r="H88" s="40" t="n">
        <v>0</v>
      </c>
      <c r="I88" s="40" t="n">
        <v>0</v>
      </c>
      <c r="J88" s="40" t="n">
        <v>0</v>
      </c>
      <c r="K88" s="40" t="n">
        <v>0</v>
      </c>
      <c r="L88" s="40" t="n">
        <v>1145039.74</v>
      </c>
      <c r="M88" s="40" t="n">
        <v>100</v>
      </c>
      <c r="N88" s="40" t="n">
        <v>3669997.55</v>
      </c>
      <c r="O88" s="40" t="n">
        <v>220.51</v>
      </c>
      <c r="P88" s="40" t="n">
        <v>1934709.81</v>
      </c>
      <c r="Q88" s="46" t="n">
        <v>-47.28</v>
      </c>
      <c r="R88" s="47" t="n"/>
      <c r="S88" s="47" t="n"/>
      <c r="T88" s="47" t="n"/>
      <c r="U88" s="47" t="n"/>
      <c r="V88" s="47" t="n"/>
      <c r="W88" s="47" t="n"/>
    </row>
    <row r="89" ht="12" customHeight="1">
      <c r="A89" s="30" t="inlineStr">
        <is>
          <t>Porto Real</t>
        </is>
      </c>
      <c r="B89" s="30" t="n">
        <v>12084773</v>
      </c>
      <c r="C89" s="30">
        <f>"26410462000685"</f>
        <v/>
      </c>
      <c r="D89" s="30" t="inlineStr">
        <is>
          <t>ORION REFEI??ES EMPRESARIAIS LTDA</t>
        </is>
      </c>
      <c r="E89" s="40" t="n">
        <v>0</v>
      </c>
      <c r="F89" s="40" t="n">
        <v>0</v>
      </c>
      <c r="G89" s="40" t="n">
        <v>0</v>
      </c>
      <c r="H89" s="40" t="n">
        <v>0</v>
      </c>
      <c r="I89" s="40" t="n">
        <v>0</v>
      </c>
      <c r="J89" s="40" t="n">
        <v>0</v>
      </c>
      <c r="K89" s="40" t="n">
        <v>0</v>
      </c>
      <c r="L89" s="40" t="n">
        <v>0</v>
      </c>
      <c r="M89" s="40" t="n">
        <v>0</v>
      </c>
      <c r="N89" s="40" t="n">
        <v>0</v>
      </c>
      <c r="O89" s="40" t="n">
        <v>0</v>
      </c>
      <c r="P89" s="40" t="n">
        <v>0</v>
      </c>
      <c r="Q89" s="40" t="n">
        <v>0</v>
      </c>
      <c r="R89" s="47" t="n"/>
      <c r="S89" s="47" t="n"/>
      <c r="T89" s="47" t="n"/>
      <c r="U89" s="47" t="n"/>
      <c r="V89" s="47" t="n"/>
      <c r="W89" s="47" t="n"/>
    </row>
    <row r="90" ht="12" customHeight="1">
      <c r="A90" s="30" t="inlineStr">
        <is>
          <t>Porto Real</t>
        </is>
      </c>
      <c r="B90" s="30" t="n">
        <v>12085290</v>
      </c>
      <c r="C90" s="30">
        <f>"43244631005985"</f>
        <v/>
      </c>
      <c r="D90" s="30" t="inlineStr">
        <is>
          <t>TRANSPORTADORA AMERICANA LTDA</t>
        </is>
      </c>
      <c r="E90" s="40" t="n">
        <v>0</v>
      </c>
      <c r="F90" s="40" t="n">
        <v>0</v>
      </c>
      <c r="G90" s="40" t="n">
        <v>0</v>
      </c>
      <c r="H90" s="40" t="n">
        <v>0</v>
      </c>
      <c r="I90" s="40" t="n">
        <v>0</v>
      </c>
      <c r="J90" s="40" t="n">
        <v>0</v>
      </c>
      <c r="K90" s="40" t="n">
        <v>0</v>
      </c>
      <c r="L90" s="40" t="n">
        <v>0</v>
      </c>
      <c r="M90" s="40" t="n">
        <v>0</v>
      </c>
      <c r="N90" s="40" t="n">
        <v>181.78</v>
      </c>
      <c r="O90" s="40" t="n">
        <v>100</v>
      </c>
      <c r="P90" s="40" t="n">
        <v>0</v>
      </c>
      <c r="Q90" s="46" t="n">
        <v>-100</v>
      </c>
      <c r="R90" s="47" t="n"/>
      <c r="S90" s="47" t="n"/>
      <c r="T90" s="47" t="n"/>
      <c r="U90" s="47" t="n"/>
      <c r="V90" s="47" t="n"/>
      <c r="W90" s="47" t="n"/>
    </row>
    <row r="91" ht="12" customHeight="1">
      <c r="A91" s="30" t="inlineStr">
        <is>
          <t>Porto Real</t>
        </is>
      </c>
      <c r="B91" s="30" t="n">
        <v>12087810</v>
      </c>
      <c r="C91" s="30">
        <f>"29453826000511"</f>
        <v/>
      </c>
      <c r="D91" s="30" t="inlineStr">
        <is>
          <t>TRANSPORTE GENEROSO LTDA</t>
        </is>
      </c>
      <c r="E91" s="40" t="n">
        <v>0</v>
      </c>
      <c r="F91" s="40" t="n">
        <v>0</v>
      </c>
      <c r="G91" s="40" t="n">
        <v>0</v>
      </c>
      <c r="H91" s="40" t="n">
        <v>0</v>
      </c>
      <c r="I91" s="40" t="n">
        <v>0</v>
      </c>
      <c r="J91" s="40" t="n">
        <v>0</v>
      </c>
      <c r="K91" s="40" t="n">
        <v>0</v>
      </c>
      <c r="L91" s="40" t="n">
        <v>101.78</v>
      </c>
      <c r="M91" s="40" t="n">
        <v>100</v>
      </c>
      <c r="N91" s="40" t="n">
        <v>455</v>
      </c>
      <c r="O91" s="40" t="n">
        <v>347.04</v>
      </c>
      <c r="P91" s="40" t="n">
        <v>509.88</v>
      </c>
      <c r="Q91" s="40" t="n">
        <v>12.06</v>
      </c>
      <c r="R91" s="47" t="n"/>
      <c r="S91" s="47" t="n"/>
      <c r="T91" s="47" t="n"/>
      <c r="U91" s="47" t="n"/>
      <c r="V91" s="47" t="n"/>
      <c r="W91" s="47" t="n"/>
    </row>
    <row r="92" ht="12" customHeight="1">
      <c r="A92" s="30" t="inlineStr">
        <is>
          <t>Porto Real</t>
        </is>
      </c>
      <c r="B92" s="30" t="n">
        <v>12089279</v>
      </c>
      <c r="C92" s="30">
        <f>"16701716004577"</f>
        <v/>
      </c>
      <c r="D92" s="30" t="inlineStr">
        <is>
          <t>FCA FIAT CHRYSLER AUTOMOVEIS BRASIL LTDA</t>
        </is>
      </c>
      <c r="E92" s="40" t="n">
        <v>0</v>
      </c>
      <c r="F92" s="40" t="n">
        <v>0</v>
      </c>
      <c r="G92" s="40" t="n">
        <v>0</v>
      </c>
      <c r="H92" s="40" t="n">
        <v>0</v>
      </c>
      <c r="I92" s="40" t="n">
        <v>0</v>
      </c>
      <c r="J92" s="40" t="n">
        <v>0</v>
      </c>
      <c r="K92" s="40" t="n">
        <v>0</v>
      </c>
      <c r="L92" s="40" t="n">
        <v>0</v>
      </c>
      <c r="M92" s="40" t="n">
        <v>0</v>
      </c>
      <c r="N92" s="40" t="n">
        <v>0</v>
      </c>
      <c r="O92" s="40" t="n">
        <v>0</v>
      </c>
      <c r="P92" s="40" t="n">
        <v>0</v>
      </c>
      <c r="Q92" s="40" t="n">
        <v>0</v>
      </c>
      <c r="R92" s="47" t="n"/>
      <c r="S92" s="47" t="n"/>
      <c r="T92" s="47" t="n"/>
      <c r="U92" s="47" t="n"/>
      <c r="V92" s="47" t="n"/>
      <c r="W92" s="47" t="n"/>
    </row>
    <row r="93" ht="12" customHeight="1">
      <c r="A93" s="30" t="inlineStr">
        <is>
          <t>Porto Real</t>
        </is>
      </c>
      <c r="B93" s="30" t="n">
        <v>12090536</v>
      </c>
      <c r="C93" s="30">
        <f>"08094439000302"</f>
        <v/>
      </c>
      <c r="D93" s="30" t="inlineStr">
        <is>
          <t>JPA SANTOS FARMACIA LTDA</t>
        </is>
      </c>
      <c r="E93" s="40" t="n">
        <v>0</v>
      </c>
      <c r="F93" s="40" t="n">
        <v>0</v>
      </c>
      <c r="G93" s="40" t="n">
        <v>0</v>
      </c>
      <c r="H93" s="40" t="n">
        <v>0</v>
      </c>
      <c r="I93" s="40" t="n">
        <v>0</v>
      </c>
      <c r="J93" s="40" t="n">
        <v>0</v>
      </c>
      <c r="K93" s="40" t="n">
        <v>0</v>
      </c>
      <c r="L93" s="40" t="n">
        <v>252389.14</v>
      </c>
      <c r="M93" s="40" t="n">
        <v>100</v>
      </c>
      <c r="N93" s="40" t="n">
        <v>507215.56</v>
      </c>
      <c r="O93" s="40" t="n">
        <v>100.97</v>
      </c>
      <c r="P93" s="40" t="n">
        <v>699774.71</v>
      </c>
      <c r="Q93" s="40" t="n">
        <v>37.96</v>
      </c>
      <c r="R93" s="47" t="n"/>
      <c r="S93" s="47" t="n"/>
      <c r="T93" s="47" t="n"/>
      <c r="U93" s="47" t="n"/>
      <c r="V93" s="47" t="n"/>
      <c r="W93" s="47" t="n"/>
    </row>
    <row r="94" ht="12" customHeight="1">
      <c r="A94" s="30" t="inlineStr">
        <is>
          <t>Porto Real</t>
        </is>
      </c>
      <c r="B94" s="30" t="n">
        <v>12098235</v>
      </c>
      <c r="C94" s="30">
        <f>"43823079002611"</f>
        <v/>
      </c>
      <c r="D94" s="30" t="inlineStr">
        <is>
          <t>SCHENKER DO BRASIL TRANSPORTES INTERNACIONAIS LTDA</t>
        </is>
      </c>
      <c r="E94" s="40" t="n">
        <v>0</v>
      </c>
      <c r="F94" s="40" t="n">
        <v>0</v>
      </c>
      <c r="G94" s="40" t="n">
        <v>0</v>
      </c>
      <c r="H94" s="40" t="n">
        <v>0</v>
      </c>
      <c r="I94" s="40" t="n">
        <v>0</v>
      </c>
      <c r="J94" s="40" t="n">
        <v>0</v>
      </c>
      <c r="K94" s="40" t="n">
        <v>0</v>
      </c>
      <c r="L94" s="40" t="n">
        <v>0</v>
      </c>
      <c r="M94" s="40" t="n">
        <v>0</v>
      </c>
      <c r="N94" s="40" t="n">
        <v>0</v>
      </c>
      <c r="O94" s="40" t="n">
        <v>0</v>
      </c>
      <c r="P94" s="40" t="n">
        <v>1847.5</v>
      </c>
      <c r="Q94" s="40" t="n">
        <v>100</v>
      </c>
      <c r="R94" s="47" t="n"/>
      <c r="S94" s="47" t="n"/>
      <c r="T94" s="47" t="n"/>
      <c r="U94" s="47" t="n"/>
      <c r="V94" s="47" t="n"/>
      <c r="W94" s="47" t="n"/>
    </row>
    <row r="95" ht="12" customHeight="1">
      <c r="A95" s="30" t="inlineStr">
        <is>
          <t>Porto Real</t>
        </is>
      </c>
      <c r="B95" s="30" t="n">
        <v>12130511</v>
      </c>
      <c r="C95" s="30">
        <f>"42246584000120"</f>
        <v/>
      </c>
      <c r="D95" s="30" t="inlineStr">
        <is>
          <t>COMERCIAL VILLAGE COM?RCIO, REPRESENTA??ES E SERVI?OS LTDA</t>
        </is>
      </c>
      <c r="E95" s="40" t="n">
        <v>0</v>
      </c>
      <c r="F95" s="40" t="n">
        <v>0</v>
      </c>
      <c r="G95" s="40" t="n">
        <v>0</v>
      </c>
      <c r="H95" s="40" t="n">
        <v>0</v>
      </c>
      <c r="I95" s="40" t="n">
        <v>0</v>
      </c>
      <c r="J95" s="40" t="n">
        <v>0</v>
      </c>
      <c r="K95" s="40" t="n">
        <v>0</v>
      </c>
      <c r="L95" s="40" t="n">
        <v>0</v>
      </c>
      <c r="M95" s="40" t="n">
        <v>0</v>
      </c>
      <c r="N95" s="40" t="n">
        <v>0</v>
      </c>
      <c r="O95" s="40" t="n">
        <v>0</v>
      </c>
      <c r="P95" s="40" t="n">
        <v>0</v>
      </c>
      <c r="Q95" s="40" t="n">
        <v>0</v>
      </c>
      <c r="R95" s="47" t="n"/>
      <c r="S95" s="47" t="n"/>
      <c r="T95" s="47" t="n"/>
      <c r="U95" s="47" t="n"/>
      <c r="V95" s="47" t="n"/>
      <c r="W95" s="47" t="n"/>
    </row>
    <row r="96" ht="12" customHeight="1">
      <c r="A96" s="30" t="inlineStr">
        <is>
          <t>Porto Real</t>
        </is>
      </c>
      <c r="B96" s="30" t="n">
        <v>12204361</v>
      </c>
      <c r="C96" s="30">
        <f>"10705738000884"</f>
        <v/>
      </c>
      <c r="D96" s="30" t="inlineStr">
        <is>
          <t>G &amp; T COZINHA INDUSTRIAL LTDA</t>
        </is>
      </c>
      <c r="E96" s="40" t="n">
        <v>0</v>
      </c>
      <c r="F96" s="40" t="n">
        <v>0</v>
      </c>
      <c r="G96" s="40" t="n">
        <v>0</v>
      </c>
      <c r="H96" s="40" t="n">
        <v>0</v>
      </c>
      <c r="I96" s="40" t="n">
        <v>0</v>
      </c>
      <c r="J96" s="40" t="n">
        <v>0</v>
      </c>
      <c r="K96" s="40" t="n">
        <v>0</v>
      </c>
      <c r="L96" s="40" t="n">
        <v>0</v>
      </c>
      <c r="M96" s="40" t="n">
        <v>0</v>
      </c>
      <c r="N96" s="40" t="n">
        <v>2327394.61</v>
      </c>
      <c r="O96" s="40" t="n">
        <v>100</v>
      </c>
      <c r="P96" s="40" t="n">
        <v>4151938.29</v>
      </c>
      <c r="Q96" s="40" t="n">
        <v>78.39</v>
      </c>
      <c r="R96" s="47" t="n"/>
      <c r="S96" s="47" t="n"/>
      <c r="T96" s="47" t="n"/>
      <c r="U96" s="47" t="n"/>
      <c r="V96" s="47" t="n"/>
      <c r="W96" s="47" t="n"/>
    </row>
    <row r="97" ht="12" customHeight="1">
      <c r="A97" s="30" t="inlineStr">
        <is>
          <t>Porto Real</t>
        </is>
      </c>
      <c r="B97" s="30" t="n">
        <v>12210841</v>
      </c>
      <c r="C97" s="30">
        <f>"13272177000865"</f>
        <v/>
      </c>
      <c r="D97" s="30" t="inlineStr">
        <is>
          <t>GLOVIS BRASIL LOGISTICA LTDA</t>
        </is>
      </c>
      <c r="E97" s="40" t="n">
        <v>0</v>
      </c>
      <c r="F97" s="40" t="n">
        <v>0</v>
      </c>
      <c r="G97" s="40" t="n">
        <v>0</v>
      </c>
      <c r="H97" s="40" t="n">
        <v>0</v>
      </c>
      <c r="I97" s="40" t="n">
        <v>0</v>
      </c>
      <c r="J97" s="40" t="n">
        <v>0</v>
      </c>
      <c r="K97" s="40" t="n">
        <v>0</v>
      </c>
      <c r="L97" s="40" t="n">
        <v>0</v>
      </c>
      <c r="M97" s="40" t="n">
        <v>0</v>
      </c>
      <c r="N97" s="40" t="n">
        <v>63454.25</v>
      </c>
      <c r="O97" s="40" t="n">
        <v>100</v>
      </c>
      <c r="P97" s="40" t="n">
        <v>0</v>
      </c>
      <c r="Q97" s="46" t="n">
        <v>-100</v>
      </c>
      <c r="R97" s="47" t="n"/>
      <c r="S97" s="47" t="n"/>
      <c r="T97" s="47" t="n"/>
      <c r="U97" s="47" t="n"/>
      <c r="V97" s="47" t="n"/>
      <c r="W97" s="47" t="n"/>
    </row>
    <row r="98" ht="12" customHeight="1">
      <c r="A98" s="30" t="inlineStr">
        <is>
          <t>Porto Real</t>
        </is>
      </c>
      <c r="B98" s="30" t="n">
        <v>12233574</v>
      </c>
      <c r="C98" s="30">
        <f>"00000017830761"</f>
        <v/>
      </c>
      <c r="D98" s="30" t="inlineStr">
        <is>
          <t>ELOISIO VIEIRA FRAGA</t>
        </is>
      </c>
      <c r="E98" s="40" t="n">
        <v>0</v>
      </c>
      <c r="F98" s="40" t="n">
        <v>0</v>
      </c>
      <c r="G98" s="40" t="n">
        <v>0</v>
      </c>
      <c r="H98" s="40" t="n">
        <v>0</v>
      </c>
      <c r="I98" s="40" t="n">
        <v>0</v>
      </c>
      <c r="J98" s="40" t="n">
        <v>0</v>
      </c>
      <c r="K98" s="40" t="n">
        <v>0</v>
      </c>
      <c r="L98" s="40" t="n">
        <v>0</v>
      </c>
      <c r="M98" s="40" t="n">
        <v>0</v>
      </c>
      <c r="N98" s="40" t="n">
        <v>0</v>
      </c>
      <c r="O98" s="40" t="n">
        <v>0</v>
      </c>
      <c r="P98" s="40" t="n">
        <v>0</v>
      </c>
      <c r="Q98" s="40" t="n">
        <v>0</v>
      </c>
      <c r="R98" s="47" t="n"/>
      <c r="S98" s="47" t="n"/>
      <c r="T98" s="47" t="n"/>
      <c r="U98" s="47" t="n"/>
      <c r="V98" s="47" t="n"/>
      <c r="W98" s="47" t="n"/>
    </row>
    <row r="99" ht="12" customHeight="1">
      <c r="A99" s="30" t="inlineStr">
        <is>
          <t>Porto Real</t>
        </is>
      </c>
      <c r="B99" s="30" t="n">
        <v>12335784</v>
      </c>
      <c r="C99" s="30">
        <f>"40154884000153"</f>
        <v/>
      </c>
      <c r="D99" s="30" t="inlineStr">
        <is>
          <t>STARLINK BRAZIL SERVICOS DE INTERNET LTDA.</t>
        </is>
      </c>
      <c r="E99" s="40" t="n">
        <v>0</v>
      </c>
      <c r="F99" s="40" t="n">
        <v>0</v>
      </c>
      <c r="G99" s="40" t="n">
        <v>0</v>
      </c>
      <c r="H99" s="40" t="n">
        <v>0</v>
      </c>
      <c r="I99" s="40" t="n">
        <v>0</v>
      </c>
      <c r="J99" s="40" t="n">
        <v>0</v>
      </c>
      <c r="K99" s="40" t="n">
        <v>0</v>
      </c>
      <c r="L99" s="40" t="n">
        <v>0</v>
      </c>
      <c r="M99" s="40" t="n">
        <v>0</v>
      </c>
      <c r="N99" s="40" t="n">
        <v>0</v>
      </c>
      <c r="O99" s="40" t="n">
        <v>0</v>
      </c>
      <c r="P99" s="40" t="n">
        <v>5911</v>
      </c>
      <c r="Q99" s="40" t="n">
        <v>100</v>
      </c>
      <c r="R99" s="47" t="n"/>
      <c r="S99" s="47" t="n"/>
      <c r="T99" s="47" t="n"/>
      <c r="U99" s="47" t="n"/>
      <c r="V99" s="47" t="n"/>
      <c r="W99" s="47" t="n"/>
    </row>
    <row r="100" ht="12" customHeight="1">
      <c r="A100" s="30" t="inlineStr">
        <is>
          <t>Porto Real</t>
        </is>
      </c>
      <c r="B100" s="30" t="n">
        <v>12431015</v>
      </c>
      <c r="C100" s="30">
        <f>"45912210000194"</f>
        <v/>
      </c>
      <c r="D100" s="30" t="inlineStr">
        <is>
          <t>MILETO TECH MOTORS INDUSTRIA DE VEICULOS AUTOMOTORES LTDA</t>
        </is>
      </c>
      <c r="E100" s="40" t="n">
        <v>0</v>
      </c>
      <c r="F100" s="40" t="n">
        <v>0</v>
      </c>
      <c r="G100" s="40" t="n">
        <v>0</v>
      </c>
      <c r="H100" s="40" t="n">
        <v>0</v>
      </c>
      <c r="I100" s="40" t="n">
        <v>0</v>
      </c>
      <c r="J100" s="40" t="n">
        <v>0</v>
      </c>
      <c r="K100" s="40" t="n">
        <v>0</v>
      </c>
      <c r="L100" s="40" t="n">
        <v>0</v>
      </c>
      <c r="M100" s="40" t="n">
        <v>0</v>
      </c>
      <c r="N100" s="40" t="n">
        <v>0</v>
      </c>
      <c r="O100" s="40" t="n">
        <v>0</v>
      </c>
      <c r="P100" s="40" t="n">
        <v>0</v>
      </c>
      <c r="Q100" s="40" t="n">
        <v>0</v>
      </c>
      <c r="R100" s="47" t="n"/>
      <c r="S100" s="47" t="n"/>
      <c r="T100" s="47" t="n"/>
      <c r="U100" s="47" t="n"/>
      <c r="V100" s="47" t="n"/>
      <c r="W100" s="47" t="n"/>
    </row>
    <row r="101" ht="12" customHeight="1">
      <c r="A101" s="30" t="inlineStr">
        <is>
          <t>Porto Real</t>
        </is>
      </c>
      <c r="B101" s="30" t="n">
        <v>12453817</v>
      </c>
      <c r="C101" s="30">
        <f>"43025774001313"</f>
        <v/>
      </c>
      <c r="D101" s="30" t="inlineStr">
        <is>
          <t>RODOVIARIO BEDIN LIMITADA</t>
        </is>
      </c>
      <c r="E101" s="40" t="n">
        <v>0</v>
      </c>
      <c r="F101" s="40" t="n">
        <v>0</v>
      </c>
      <c r="G101" s="40" t="n">
        <v>0</v>
      </c>
      <c r="H101" s="40" t="n">
        <v>0</v>
      </c>
      <c r="I101" s="40" t="n">
        <v>0</v>
      </c>
      <c r="J101" s="40" t="n">
        <v>0</v>
      </c>
      <c r="K101" s="40" t="n">
        <v>0</v>
      </c>
      <c r="L101" s="40" t="n">
        <v>0</v>
      </c>
      <c r="M101" s="40" t="n">
        <v>0</v>
      </c>
      <c r="N101" s="40" t="n">
        <v>1205.94</v>
      </c>
      <c r="O101" s="40" t="n">
        <v>100</v>
      </c>
      <c r="P101" s="40" t="n">
        <v>0</v>
      </c>
      <c r="Q101" s="46" t="n">
        <v>-100</v>
      </c>
      <c r="R101" s="47" t="n"/>
      <c r="S101" s="47" t="n"/>
      <c r="T101" s="47" t="n"/>
      <c r="U101" s="47" t="n"/>
      <c r="V101" s="47" t="n"/>
      <c r="W101" s="47" t="n"/>
    </row>
    <row r="102" ht="12" customHeight="1">
      <c r="A102" s="30" t="inlineStr">
        <is>
          <t>Porto Real</t>
        </is>
      </c>
      <c r="B102" s="30" t="n">
        <v>12490062</v>
      </c>
      <c r="C102" s="30">
        <f>"21570775000415"</f>
        <v/>
      </c>
      <c r="D102" s="30" t="inlineStr">
        <is>
          <t>PICORELLI S/A TRANSPORTES</t>
        </is>
      </c>
      <c r="E102" s="40" t="n">
        <v>0</v>
      </c>
      <c r="F102" s="40" t="n">
        <v>0</v>
      </c>
      <c r="G102" s="40" t="n">
        <v>0</v>
      </c>
      <c r="H102" s="40" t="n">
        <v>0</v>
      </c>
      <c r="I102" s="40" t="n">
        <v>0</v>
      </c>
      <c r="J102" s="40" t="n">
        <v>0</v>
      </c>
      <c r="K102" s="40" t="n">
        <v>0</v>
      </c>
      <c r="L102" s="40" t="n">
        <v>0</v>
      </c>
      <c r="M102" s="40" t="n">
        <v>0</v>
      </c>
      <c r="N102" s="40" t="n">
        <v>5758.42</v>
      </c>
      <c r="O102" s="40" t="n">
        <v>100</v>
      </c>
      <c r="P102" s="40" t="n">
        <v>11896.68</v>
      </c>
      <c r="Q102" s="40" t="n">
        <v>106.6</v>
      </c>
      <c r="R102" s="47" t="n"/>
      <c r="S102" s="47" t="n"/>
      <c r="T102" s="47" t="n"/>
      <c r="U102" s="47" t="n"/>
      <c r="V102" s="47" t="n"/>
      <c r="W102" s="47" t="n"/>
    </row>
    <row r="103" ht="12" customHeight="1">
      <c r="A103" s="30" t="inlineStr">
        <is>
          <t>Porto Real</t>
        </is>
      </c>
      <c r="B103" s="30" t="n">
        <v>12495048</v>
      </c>
      <c r="C103" s="30">
        <f>"56642960030017"</f>
        <v/>
      </c>
      <c r="D103" s="30" t="inlineStr">
        <is>
          <t>LOJAS CEM S/A</t>
        </is>
      </c>
      <c r="E103" s="40" t="n">
        <v>0</v>
      </c>
      <c r="F103" s="40" t="n">
        <v>0</v>
      </c>
      <c r="G103" s="40" t="n">
        <v>0</v>
      </c>
      <c r="H103" s="40" t="n">
        <v>0</v>
      </c>
      <c r="I103" s="40" t="n">
        <v>0</v>
      </c>
      <c r="J103" s="40" t="n">
        <v>0</v>
      </c>
      <c r="K103" s="40" t="n">
        <v>0</v>
      </c>
      <c r="L103" s="40" t="n">
        <v>0</v>
      </c>
      <c r="M103" s="40" t="n">
        <v>0</v>
      </c>
      <c r="N103" s="40" t="n">
        <v>1054702.2</v>
      </c>
      <c r="O103" s="40" t="n">
        <v>100</v>
      </c>
      <c r="P103" s="40" t="n">
        <v>2759739.2</v>
      </c>
      <c r="Q103" s="40" t="n">
        <v>161.66</v>
      </c>
      <c r="R103" s="47" t="n"/>
      <c r="S103" s="47" t="n"/>
      <c r="T103" s="47" t="n"/>
      <c r="U103" s="47" t="n"/>
      <c r="V103" s="47" t="n"/>
      <c r="W103" s="47" t="n"/>
    </row>
    <row r="104" ht="12" customHeight="1">
      <c r="A104" s="30" t="inlineStr">
        <is>
          <t>Porto Real</t>
        </is>
      </c>
      <c r="B104" s="30" t="n">
        <v>12522657</v>
      </c>
      <c r="C104" s="30">
        <f>"00007553165760"</f>
        <v/>
      </c>
      <c r="D104" s="30" t="inlineStr">
        <is>
          <t>LEONARDO EITARO CHOKYU</t>
        </is>
      </c>
      <c r="E104" s="40" t="n">
        <v>0</v>
      </c>
      <c r="F104" s="40" t="n">
        <v>0</v>
      </c>
      <c r="G104" s="40" t="n">
        <v>0</v>
      </c>
      <c r="H104" s="40" t="n">
        <v>0</v>
      </c>
      <c r="I104" s="40" t="n">
        <v>0</v>
      </c>
      <c r="J104" s="40" t="n">
        <v>0</v>
      </c>
      <c r="K104" s="40" t="n">
        <v>0</v>
      </c>
      <c r="L104" s="40" t="n">
        <v>0</v>
      </c>
      <c r="M104" s="40" t="n">
        <v>0</v>
      </c>
      <c r="N104" s="40" t="n">
        <v>0</v>
      </c>
      <c r="O104" s="40" t="n">
        <v>0</v>
      </c>
      <c r="P104" s="40" t="n">
        <v>204000</v>
      </c>
      <c r="Q104" s="40" t="n">
        <v>100</v>
      </c>
      <c r="R104" s="47" t="n"/>
      <c r="S104" s="47" t="n"/>
      <c r="T104" s="47" t="n"/>
      <c r="U104" s="47" t="n"/>
      <c r="V104" s="47" t="n"/>
      <c r="W104" s="47" t="n"/>
    </row>
    <row r="105" ht="12" customHeight="1">
      <c r="A105" s="30" t="inlineStr">
        <is>
          <t>Porto Real</t>
        </is>
      </c>
      <c r="B105" s="30" t="n">
        <v>12558996</v>
      </c>
      <c r="C105" s="30">
        <f>"28501213000469"</f>
        <v/>
      </c>
      <c r="D105" s="30" t="inlineStr">
        <is>
          <t>GRAO DE OURO COMERCIO E EXPORTACAO DE COMMODITIES AGRICOLAS LTDA</t>
        </is>
      </c>
      <c r="E105" s="40" t="n">
        <v>0</v>
      </c>
      <c r="F105" s="40" t="n">
        <v>0</v>
      </c>
      <c r="G105" s="40" t="n">
        <v>0</v>
      </c>
      <c r="H105" s="40" t="n">
        <v>0</v>
      </c>
      <c r="I105" s="40" t="n">
        <v>0</v>
      </c>
      <c r="J105" s="40" t="n">
        <v>0</v>
      </c>
      <c r="K105" s="40" t="n">
        <v>0</v>
      </c>
      <c r="L105" s="40" t="n">
        <v>0</v>
      </c>
      <c r="M105" s="40" t="n">
        <v>0</v>
      </c>
      <c r="N105" s="40" t="n">
        <v>0</v>
      </c>
      <c r="O105" s="40" t="n">
        <v>0</v>
      </c>
      <c r="P105" s="40" t="n">
        <v>0</v>
      </c>
      <c r="Q105" s="40" t="n">
        <v>0</v>
      </c>
      <c r="R105" s="47" t="n"/>
      <c r="S105" s="47" t="n"/>
      <c r="T105" s="47" t="n"/>
      <c r="U105" s="47" t="n"/>
      <c r="V105" s="47" t="n"/>
      <c r="W105" s="47" t="n"/>
    </row>
    <row r="106" ht="12" customHeight="1">
      <c r="A106" s="30" t="inlineStr">
        <is>
          <t>Porto Real</t>
        </is>
      </c>
      <c r="B106" s="30" t="n">
        <v>12674201</v>
      </c>
      <c r="C106" s="30">
        <f>"17803300000373"</f>
        <v/>
      </c>
      <c r="D106" s="30" t="inlineStr">
        <is>
          <t>FORTCARGO TRANSPORTES LTDA</t>
        </is>
      </c>
      <c r="E106" s="40" t="n">
        <v>0</v>
      </c>
      <c r="F106" s="40" t="n">
        <v>0</v>
      </c>
      <c r="G106" s="40" t="n">
        <v>0</v>
      </c>
      <c r="H106" s="40" t="n">
        <v>0</v>
      </c>
      <c r="I106" s="40" t="n">
        <v>0</v>
      </c>
      <c r="J106" s="40" t="n">
        <v>0</v>
      </c>
      <c r="K106" s="40" t="n">
        <v>0</v>
      </c>
      <c r="L106" s="40" t="n">
        <v>0</v>
      </c>
      <c r="M106" s="40" t="n">
        <v>0</v>
      </c>
      <c r="N106" s="40" t="n">
        <v>0</v>
      </c>
      <c r="O106" s="40" t="n">
        <v>0</v>
      </c>
      <c r="P106" s="40" t="n">
        <v>25.63</v>
      </c>
      <c r="Q106" s="40" t="n">
        <v>100</v>
      </c>
      <c r="R106" s="47" t="n"/>
      <c r="S106" s="47" t="n"/>
      <c r="T106" s="47" t="n"/>
      <c r="U106" s="47" t="n"/>
      <c r="V106" s="47" t="n"/>
      <c r="W106" s="47" t="n"/>
    </row>
    <row r="107" ht="12" customHeight="1">
      <c r="A107" s="30" t="inlineStr">
        <is>
          <t>Porto Real</t>
        </is>
      </c>
      <c r="B107" s="30" t="n">
        <v>12706715</v>
      </c>
      <c r="C107" s="30">
        <f>"48915571000182"</f>
        <v/>
      </c>
      <c r="D107" s="30" t="inlineStr">
        <is>
          <t>DSERPA SPECIAL STEEL COMPANY LTDA</t>
        </is>
      </c>
      <c r="E107" s="40" t="n">
        <v>0</v>
      </c>
      <c r="F107" s="40" t="n">
        <v>0</v>
      </c>
      <c r="G107" s="40" t="n">
        <v>0</v>
      </c>
      <c r="H107" s="40" t="n">
        <v>0</v>
      </c>
      <c r="I107" s="40" t="n">
        <v>0</v>
      </c>
      <c r="J107" s="40" t="n">
        <v>0</v>
      </c>
      <c r="K107" s="40" t="n">
        <v>0</v>
      </c>
      <c r="L107" s="40" t="n">
        <v>0</v>
      </c>
      <c r="M107" s="40" t="n">
        <v>0</v>
      </c>
      <c r="N107" s="40" t="n">
        <v>0</v>
      </c>
      <c r="O107" s="40" t="n">
        <v>0</v>
      </c>
      <c r="P107" s="40" t="n">
        <v>82068.97</v>
      </c>
      <c r="Q107" s="40" t="n">
        <v>100</v>
      </c>
      <c r="R107" s="47" t="n"/>
      <c r="S107" s="47" t="n"/>
      <c r="T107" s="47" t="n"/>
      <c r="U107" s="47" t="n"/>
      <c r="V107" s="47" t="n"/>
      <c r="W107" s="47" t="n"/>
    </row>
    <row r="108" ht="12" customHeight="1">
      <c r="A108" s="30" t="inlineStr">
        <is>
          <t>Porto Real</t>
        </is>
      </c>
      <c r="B108" s="30" t="n">
        <v>12716338</v>
      </c>
      <c r="C108" s="30">
        <f>"81724908000816"</f>
        <v/>
      </c>
      <c r="D108" s="30" t="inlineStr">
        <is>
          <t>JADIMO TRANSPORTES RODOVIARIOS DE CARGAS LTDA</t>
        </is>
      </c>
      <c r="E108" s="40" t="n">
        <v>0</v>
      </c>
      <c r="F108" s="40" t="n">
        <v>0</v>
      </c>
      <c r="G108" s="40" t="n">
        <v>0</v>
      </c>
      <c r="H108" s="40" t="n">
        <v>0</v>
      </c>
      <c r="I108" s="40" t="n">
        <v>0</v>
      </c>
      <c r="J108" s="40" t="n">
        <v>0</v>
      </c>
      <c r="K108" s="40" t="n">
        <v>0</v>
      </c>
      <c r="L108" s="40" t="n">
        <v>0</v>
      </c>
      <c r="M108" s="40" t="n">
        <v>0</v>
      </c>
      <c r="N108" s="40" t="n">
        <v>0</v>
      </c>
      <c r="O108" s="40" t="n">
        <v>0</v>
      </c>
      <c r="P108" s="40" t="n">
        <v>0</v>
      </c>
      <c r="Q108" s="40" t="n">
        <v>0</v>
      </c>
      <c r="R108" s="47" t="n"/>
      <c r="S108" s="47" t="n"/>
      <c r="T108" s="47" t="n"/>
      <c r="U108" s="47" t="n"/>
      <c r="V108" s="47" t="n"/>
      <c r="W108" s="47" t="n"/>
    </row>
    <row r="109" ht="12" customHeight="1">
      <c r="A109" s="30" t="inlineStr">
        <is>
          <t>Porto Real</t>
        </is>
      </c>
      <c r="B109" s="30" t="n">
        <v>12717792</v>
      </c>
      <c r="C109" s="30">
        <f>"49000069000104"</f>
        <v/>
      </c>
      <c r="D109" s="30" t="inlineStr">
        <is>
          <t>PENIEL COMERCIO DE GAS LTDA</t>
        </is>
      </c>
      <c r="E109" s="40" t="n">
        <v>0</v>
      </c>
      <c r="F109" s="40" t="n">
        <v>0</v>
      </c>
      <c r="G109" s="40" t="n">
        <v>0</v>
      </c>
      <c r="H109" s="40" t="n">
        <v>0</v>
      </c>
      <c r="I109" s="40" t="n">
        <v>0</v>
      </c>
      <c r="J109" s="40" t="n">
        <v>0</v>
      </c>
      <c r="K109" s="40" t="n">
        <v>0</v>
      </c>
      <c r="L109" s="40" t="n">
        <v>0</v>
      </c>
      <c r="M109" s="40" t="n">
        <v>0</v>
      </c>
      <c r="N109" s="40" t="n">
        <v>0</v>
      </c>
      <c r="O109" s="40" t="n">
        <v>0</v>
      </c>
      <c r="P109" s="40" t="n">
        <v>0</v>
      </c>
      <c r="Q109" s="40" t="n">
        <v>0</v>
      </c>
      <c r="R109" s="47" t="n"/>
      <c r="S109" s="47" t="n"/>
      <c r="T109" s="47" t="n"/>
      <c r="U109" s="47" t="n"/>
      <c r="V109" s="47" t="n"/>
      <c r="W109" s="47" t="n"/>
    </row>
    <row r="110" ht="12" customHeight="1">
      <c r="A110" s="30" t="inlineStr">
        <is>
          <t>Porto Real</t>
        </is>
      </c>
      <c r="B110" s="30" t="n">
        <v>12807120</v>
      </c>
      <c r="C110" s="30">
        <f>"17353801000729"</f>
        <v/>
      </c>
      <c r="D110" s="30" t="inlineStr">
        <is>
          <t>FKS LOGISTICS LTDA</t>
        </is>
      </c>
      <c r="E110" s="40" t="n">
        <v>0</v>
      </c>
      <c r="F110" s="40" t="n">
        <v>0</v>
      </c>
      <c r="G110" s="40" t="n">
        <v>0</v>
      </c>
      <c r="H110" s="40" t="n">
        <v>0</v>
      </c>
      <c r="I110" s="40" t="n">
        <v>0</v>
      </c>
      <c r="J110" s="40" t="n">
        <v>0</v>
      </c>
      <c r="K110" s="40" t="n">
        <v>0</v>
      </c>
      <c r="L110" s="40" t="n">
        <v>0</v>
      </c>
      <c r="M110" s="40" t="n">
        <v>0</v>
      </c>
      <c r="N110" s="40" t="n">
        <v>0</v>
      </c>
      <c r="O110" s="40" t="n">
        <v>0</v>
      </c>
      <c r="P110" s="40" t="n">
        <v>2116168.15</v>
      </c>
      <c r="Q110" s="40" t="n">
        <v>100</v>
      </c>
      <c r="R110" s="47" t="n"/>
      <c r="S110" s="47" t="n"/>
      <c r="T110" s="47" t="n"/>
      <c r="U110" s="47" t="n"/>
      <c r="V110" s="47" t="n"/>
      <c r="W110" s="47" t="n"/>
    </row>
    <row r="111" ht="12" customHeight="1">
      <c r="A111" s="30" t="inlineStr">
        <is>
          <t>Porto Real</t>
        </is>
      </c>
      <c r="B111" s="30" t="n">
        <v>12943202</v>
      </c>
      <c r="C111" s="30">
        <f>"08294788000440"</f>
        <v/>
      </c>
      <c r="D111" s="30" t="inlineStr">
        <is>
          <t>SAF-HOLLAND DO BRASIL INDUSTRIA E PRODUCAO DE EIXOS E EQUIPAMENT</t>
        </is>
      </c>
      <c r="E111" s="40" t="n">
        <v>0</v>
      </c>
      <c r="F111" s="40" t="n">
        <v>0</v>
      </c>
      <c r="G111" s="40" t="n">
        <v>0</v>
      </c>
      <c r="H111" s="40" t="n">
        <v>0</v>
      </c>
      <c r="I111" s="40" t="n">
        <v>0</v>
      </c>
      <c r="J111" s="40" t="n">
        <v>0</v>
      </c>
      <c r="K111" s="40" t="n">
        <v>0</v>
      </c>
      <c r="L111" s="40" t="n">
        <v>0</v>
      </c>
      <c r="M111" s="40" t="n">
        <v>0</v>
      </c>
      <c r="N111" s="40" t="n">
        <v>0</v>
      </c>
      <c r="O111" s="40" t="n">
        <v>0</v>
      </c>
      <c r="P111" s="40" t="n">
        <v>1532646.06</v>
      </c>
      <c r="Q111" s="40" t="n">
        <v>100</v>
      </c>
      <c r="R111" s="47" t="n"/>
      <c r="S111" s="47" t="n"/>
      <c r="T111" s="47" t="n"/>
      <c r="U111" s="47" t="n"/>
      <c r="V111" s="47" t="n"/>
      <c r="W111" s="47" t="n"/>
    </row>
    <row r="112" ht="12" customHeight="1">
      <c r="A112" s="30" t="inlineStr">
        <is>
          <t>Porto Real</t>
        </is>
      </c>
      <c r="B112" s="30" t="n">
        <v>13104026</v>
      </c>
      <c r="C112" s="30">
        <f>"03176032002001"</f>
        <v/>
      </c>
      <c r="D112" s="30" t="inlineStr">
        <is>
          <t>TRANSMORENO TRANSPORTES E SERVI?OS LTDA</t>
        </is>
      </c>
      <c r="E112" s="40" t="n">
        <v>0</v>
      </c>
      <c r="F112" s="40" t="n">
        <v>0</v>
      </c>
      <c r="G112" s="40" t="n">
        <v>0</v>
      </c>
      <c r="H112" s="40" t="n">
        <v>0</v>
      </c>
      <c r="I112" s="40" t="n">
        <v>0</v>
      </c>
      <c r="J112" s="40" t="n">
        <v>0</v>
      </c>
      <c r="K112" s="40" t="n">
        <v>0</v>
      </c>
      <c r="L112" s="40" t="n">
        <v>0</v>
      </c>
      <c r="M112" s="40" t="n">
        <v>0</v>
      </c>
      <c r="N112" s="40" t="n">
        <v>0</v>
      </c>
      <c r="O112" s="40" t="n">
        <v>0</v>
      </c>
      <c r="P112" s="40" t="n">
        <v>0</v>
      </c>
      <c r="Q112" s="40" t="n">
        <v>0</v>
      </c>
      <c r="R112" s="47" t="n"/>
      <c r="S112" s="47" t="n"/>
      <c r="T112" s="47" t="n"/>
      <c r="U112" s="47" t="n"/>
      <c r="V112" s="47" t="n"/>
      <c r="W112" s="47" t="n"/>
    </row>
    <row r="113" ht="12" customHeight="1">
      <c r="A113" s="30" t="inlineStr">
        <is>
          <t>Porto Real</t>
        </is>
      </c>
      <c r="B113" s="30" t="n">
        <v>13741735</v>
      </c>
      <c r="C113" s="30">
        <f>"16701716004658"</f>
        <v/>
      </c>
      <c r="D113" s="30" t="inlineStr">
        <is>
          <t>FCA FIAT CHRYSLER AUTOMOVEIS BRASIL LTDA</t>
        </is>
      </c>
      <c r="E113" s="40" t="n">
        <v>0</v>
      </c>
      <c r="F113" s="40" t="n">
        <v>0</v>
      </c>
      <c r="G113" s="40" t="n">
        <v>0</v>
      </c>
      <c r="H113" s="40" t="n">
        <v>0</v>
      </c>
      <c r="I113" s="40" t="n">
        <v>0</v>
      </c>
      <c r="J113" s="40" t="n">
        <v>0</v>
      </c>
      <c r="K113" s="40" t="n">
        <v>0</v>
      </c>
      <c r="L113" s="40" t="n">
        <v>0</v>
      </c>
      <c r="M113" s="40" t="n">
        <v>0</v>
      </c>
      <c r="N113" s="40" t="n">
        <v>0</v>
      </c>
      <c r="O113" s="40" t="n">
        <v>0</v>
      </c>
      <c r="P113" s="40" t="n">
        <v>0</v>
      </c>
      <c r="Q113" s="40" t="n">
        <v>0</v>
      </c>
      <c r="R113" s="47" t="n"/>
      <c r="S113" s="47" t="n"/>
      <c r="T113" s="47" t="n"/>
      <c r="U113" s="47" t="n"/>
      <c r="V113" s="47" t="n"/>
      <c r="W113" s="47" t="n"/>
    </row>
    <row r="114" ht="12" customHeight="1">
      <c r="A114" s="30" t="inlineStr">
        <is>
          <t>Porto Real</t>
        </is>
      </c>
      <c r="B114" s="30" t="n">
        <v>71288269</v>
      </c>
      <c r="C114" s="30">
        <f>"08775926830"</f>
        <v/>
      </c>
      <c r="D114" s="30" t="inlineStr">
        <is>
          <t>GERSON TAVERNARI</t>
        </is>
      </c>
      <c r="E114" s="40" t="n">
        <v>0</v>
      </c>
      <c r="F114" s="40" t="n">
        <v>0</v>
      </c>
      <c r="G114" s="40" t="n">
        <v>0</v>
      </c>
      <c r="H114" s="40" t="n">
        <v>22134</v>
      </c>
      <c r="I114" s="40" t="n">
        <v>100</v>
      </c>
      <c r="J114" s="40" t="n">
        <v>15000</v>
      </c>
      <c r="K114" s="46" t="n">
        <v>-32.23</v>
      </c>
      <c r="L114" s="40" t="n">
        <v>10500</v>
      </c>
      <c r="M114" s="46" t="n">
        <v>-30</v>
      </c>
      <c r="N114" s="40" t="n">
        <v>5711.2</v>
      </c>
      <c r="O114" s="46" t="n">
        <v>-45.61</v>
      </c>
      <c r="P114" s="40" t="n">
        <v>7512</v>
      </c>
      <c r="Q114" s="40" t="n">
        <v>31.53</v>
      </c>
      <c r="R114" s="47" t="n"/>
      <c r="S114" s="47" t="n"/>
      <c r="T114" s="47" t="n"/>
      <c r="U114" s="47" t="n"/>
      <c r="V114" s="47" t="n"/>
      <c r="W114" s="47" t="n"/>
    </row>
    <row r="115" ht="12" customHeight="1">
      <c r="A115" s="30" t="inlineStr">
        <is>
          <t>Porto Real</t>
        </is>
      </c>
      <c r="B115" s="30" t="n">
        <v>71288315</v>
      </c>
      <c r="C115" s="30">
        <f>"09232663724"</f>
        <v/>
      </c>
      <c r="D115" s="30" t="inlineStr">
        <is>
          <t>MARLENE MARIA DE OLIVEIRA COSTA</t>
        </is>
      </c>
      <c r="E115" s="40" t="n">
        <v>0</v>
      </c>
      <c r="F115" s="40" t="n">
        <v>0</v>
      </c>
      <c r="G115" s="40" t="n">
        <v>0</v>
      </c>
      <c r="H115" s="40" t="n">
        <v>0</v>
      </c>
      <c r="I115" s="40" t="n">
        <v>0</v>
      </c>
      <c r="J115" s="40" t="n">
        <v>0</v>
      </c>
      <c r="K115" s="40" t="n">
        <v>0</v>
      </c>
      <c r="L115" s="40" t="n">
        <v>0</v>
      </c>
      <c r="M115" s="40" t="n">
        <v>0</v>
      </c>
      <c r="N115" s="40" t="n">
        <v>0</v>
      </c>
      <c r="O115" s="40" t="n">
        <v>0</v>
      </c>
      <c r="P115" s="40" t="n">
        <v>0</v>
      </c>
      <c r="Q115" s="40" t="n">
        <v>0</v>
      </c>
      <c r="R115" s="47" t="n"/>
      <c r="S115" s="47" t="n"/>
      <c r="T115" s="47" t="n"/>
      <c r="U115" s="47" t="n"/>
      <c r="V115" s="47" t="n"/>
      <c r="W115" s="47" t="n"/>
    </row>
    <row r="116" ht="12" customHeight="1">
      <c r="A116" s="30" t="inlineStr">
        <is>
          <t>Porto Real</t>
        </is>
      </c>
      <c r="B116" s="30" t="n">
        <v>71603075</v>
      </c>
      <c r="C116" s="30">
        <f>"49900560787"</f>
        <v/>
      </c>
      <c r="D116" s="30" t="inlineStr">
        <is>
          <t>CASA GRANDE</t>
        </is>
      </c>
      <c r="E116" s="40" t="n">
        <v>0</v>
      </c>
      <c r="F116" s="40" t="n">
        <v>0</v>
      </c>
      <c r="G116" s="40" t="n">
        <v>0</v>
      </c>
      <c r="H116" s="40" t="n">
        <v>44280</v>
      </c>
      <c r="I116" s="40" t="n">
        <v>100</v>
      </c>
      <c r="J116" s="40" t="n">
        <v>0</v>
      </c>
      <c r="K116" s="46" t="n">
        <v>-100</v>
      </c>
      <c r="L116" s="40" t="n">
        <v>0</v>
      </c>
      <c r="M116" s="40" t="n">
        <v>0</v>
      </c>
      <c r="N116" s="40" t="n">
        <v>0</v>
      </c>
      <c r="O116" s="40" t="n">
        <v>0</v>
      </c>
      <c r="P116" s="40" t="n">
        <v>0</v>
      </c>
      <c r="Q116" s="40" t="n">
        <v>0</v>
      </c>
      <c r="R116" s="47" t="n"/>
      <c r="S116" s="47" t="n"/>
      <c r="T116" s="47" t="n"/>
      <c r="U116" s="47" t="n"/>
      <c r="V116" s="47" t="n"/>
      <c r="W116" s="47" t="n"/>
    </row>
    <row r="117" ht="12" customHeight="1">
      <c r="A117" s="30" t="inlineStr">
        <is>
          <t>Porto Real</t>
        </is>
      </c>
      <c r="B117" s="30" t="n">
        <v>71681580</v>
      </c>
      <c r="C117" s="30">
        <f>"00753331713"</f>
        <v/>
      </c>
      <c r="D117" s="30" t="inlineStr">
        <is>
          <t>PAULO SERGIO DA SILVA</t>
        </is>
      </c>
      <c r="E117" s="40" t="n">
        <v>0</v>
      </c>
      <c r="F117" s="40" t="n">
        <v>0</v>
      </c>
      <c r="G117" s="40" t="n">
        <v>0</v>
      </c>
      <c r="H117" s="40" t="n">
        <v>0</v>
      </c>
      <c r="I117" s="40" t="n">
        <v>0</v>
      </c>
      <c r="J117" s="40" t="n">
        <v>0</v>
      </c>
      <c r="K117" s="40" t="n">
        <v>0</v>
      </c>
      <c r="L117" s="40" t="n">
        <v>863013.55</v>
      </c>
      <c r="M117" s="40" t="n">
        <v>100</v>
      </c>
      <c r="N117" s="40" t="n">
        <v>1052297.44</v>
      </c>
      <c r="O117" s="40" t="n">
        <v>21.93</v>
      </c>
      <c r="P117" s="40" t="n">
        <v>0</v>
      </c>
      <c r="Q117" s="46" t="n">
        <v>-100</v>
      </c>
      <c r="R117" s="47" t="n"/>
      <c r="S117" s="47" t="n"/>
      <c r="T117" s="47" t="n"/>
      <c r="U117" s="47" t="n"/>
      <c r="V117" s="47" t="n"/>
      <c r="W117" s="47" t="n"/>
    </row>
    <row r="118" ht="12" customHeight="1">
      <c r="A118" s="30" t="inlineStr">
        <is>
          <t>Porto Real</t>
        </is>
      </c>
      <c r="B118" s="30" t="n">
        <v>71695301</v>
      </c>
      <c r="C118" s="30">
        <f>"08693285734"</f>
        <v/>
      </c>
      <c r="D118" s="30" t="inlineStr">
        <is>
          <t>PAULO HENRIQUE PEREIRA</t>
        </is>
      </c>
      <c r="E118" s="40" t="n">
        <v>0</v>
      </c>
      <c r="F118" s="40" t="n">
        <v>0</v>
      </c>
      <c r="G118" s="40" t="n">
        <v>0</v>
      </c>
      <c r="H118" s="40" t="n">
        <v>0</v>
      </c>
      <c r="I118" s="40" t="n">
        <v>0</v>
      </c>
      <c r="J118" s="40" t="n">
        <v>0</v>
      </c>
      <c r="K118" s="40" t="n">
        <v>0</v>
      </c>
      <c r="L118" s="40" t="n">
        <v>0</v>
      </c>
      <c r="M118" s="40" t="n">
        <v>0</v>
      </c>
      <c r="N118" s="40" t="n">
        <v>0</v>
      </c>
      <c r="O118" s="40" t="n">
        <v>0</v>
      </c>
      <c r="P118" s="40" t="n">
        <v>0</v>
      </c>
      <c r="Q118" s="40" t="n">
        <v>0</v>
      </c>
      <c r="R118" s="47" t="n"/>
      <c r="S118" s="47" t="n"/>
      <c r="T118" s="47" t="n"/>
      <c r="U118" s="47" t="n"/>
      <c r="V118" s="47" t="n"/>
      <c r="W118" s="47" t="n"/>
    </row>
    <row r="119" ht="12" customHeight="1">
      <c r="A119" s="30" t="inlineStr">
        <is>
          <t>Porto Real</t>
        </is>
      </c>
      <c r="B119" s="30" t="n">
        <v>71695751</v>
      </c>
      <c r="C119" s="30">
        <f>"31860060749"</f>
        <v/>
      </c>
      <c r="D119" s="30" t="inlineStr">
        <is>
          <t>AFONSO COSTA DA CONCEICAO</t>
        </is>
      </c>
      <c r="E119" s="40" t="n">
        <v>0</v>
      </c>
      <c r="F119" s="40" t="n">
        <v>0</v>
      </c>
      <c r="G119" s="40" t="n">
        <v>0</v>
      </c>
      <c r="H119" s="40" t="n">
        <v>0</v>
      </c>
      <c r="I119" s="40" t="n">
        <v>0</v>
      </c>
      <c r="J119" s="40" t="n">
        <v>0</v>
      </c>
      <c r="K119" s="40" t="n">
        <v>0</v>
      </c>
      <c r="L119" s="40" t="n">
        <v>109917.34</v>
      </c>
      <c r="M119" s="40" t="n">
        <v>100</v>
      </c>
      <c r="N119" s="40" t="n">
        <v>21190.82</v>
      </c>
      <c r="O119" s="46" t="n">
        <v>-80.72</v>
      </c>
      <c r="P119" s="40" t="n">
        <v>65580.66</v>
      </c>
      <c r="Q119" s="40" t="n">
        <v>209.48</v>
      </c>
      <c r="R119" s="47" t="n"/>
      <c r="S119" s="47" t="n"/>
      <c r="T119" s="47" t="n"/>
      <c r="U119" s="47" t="n"/>
      <c r="V119" s="47" t="n"/>
      <c r="W119" s="47" t="n"/>
    </row>
    <row r="120" ht="12" customHeight="1">
      <c r="A120" s="30" t="inlineStr">
        <is>
          <t>Porto Real</t>
        </is>
      </c>
      <c r="B120" s="30" t="n">
        <v>71696235</v>
      </c>
      <c r="C120" s="30">
        <f>"08631719749"</f>
        <v/>
      </c>
      <c r="D120" s="30" t="inlineStr">
        <is>
          <t>CARLOS TOSHIMITSU</t>
        </is>
      </c>
      <c r="E120" s="40" t="n">
        <v>0</v>
      </c>
      <c r="F120" s="40" t="n">
        <v>0</v>
      </c>
      <c r="G120" s="40" t="n">
        <v>0</v>
      </c>
      <c r="H120" s="40" t="n">
        <v>0</v>
      </c>
      <c r="I120" s="40" t="n">
        <v>0</v>
      </c>
      <c r="J120" s="40" t="n">
        <v>0</v>
      </c>
      <c r="K120" s="40" t="n">
        <v>0</v>
      </c>
      <c r="L120" s="40" t="n">
        <v>0</v>
      </c>
      <c r="M120" s="40" t="n">
        <v>0</v>
      </c>
      <c r="N120" s="40" t="n">
        <v>0</v>
      </c>
      <c r="O120" s="40" t="n">
        <v>0</v>
      </c>
      <c r="P120" s="40" t="n">
        <v>39393.67</v>
      </c>
      <c r="Q120" s="40" t="n">
        <v>100</v>
      </c>
      <c r="R120" s="47" t="n"/>
      <c r="S120" s="47" t="n"/>
      <c r="T120" s="47" t="n"/>
      <c r="U120" s="47" t="n"/>
      <c r="V120" s="47" t="n"/>
      <c r="W120" s="47" t="n"/>
    </row>
    <row r="121" ht="12" customHeight="1">
      <c r="A121" s="30" t="inlineStr">
        <is>
          <t>Porto Real</t>
        </is>
      </c>
      <c r="B121" s="30" t="n">
        <v>71764451</v>
      </c>
      <c r="C121" s="30">
        <f>"63090015820"</f>
        <v/>
      </c>
      <c r="D121" s="30" t="inlineStr">
        <is>
          <t>VALDIR OLIVO DALLA VECCHIA</t>
        </is>
      </c>
      <c r="E121" s="40" t="n">
        <v>0</v>
      </c>
      <c r="F121" s="40" t="n">
        <v>0</v>
      </c>
      <c r="G121" s="40" t="n">
        <v>0</v>
      </c>
      <c r="H121" s="40" t="n">
        <v>0</v>
      </c>
      <c r="I121" s="40" t="n">
        <v>0</v>
      </c>
      <c r="J121" s="40" t="n">
        <v>0</v>
      </c>
      <c r="K121" s="40" t="n">
        <v>0</v>
      </c>
      <c r="L121" s="40" t="n">
        <v>0</v>
      </c>
      <c r="M121" s="40" t="n">
        <v>0</v>
      </c>
      <c r="N121" s="40" t="n">
        <v>0</v>
      </c>
      <c r="O121" s="40" t="n">
        <v>0</v>
      </c>
      <c r="P121" s="40" t="n">
        <v>0</v>
      </c>
      <c r="Q121" s="40" t="n">
        <v>0</v>
      </c>
      <c r="R121" s="47" t="n"/>
      <c r="S121" s="47" t="n"/>
      <c r="T121" s="47" t="n"/>
      <c r="U121" s="47" t="n"/>
      <c r="V121" s="47" t="n"/>
      <c r="W121" s="47" t="n"/>
    </row>
    <row r="122" ht="12" customHeight="1">
      <c r="A122" s="30" t="inlineStr">
        <is>
          <t>Porto Real</t>
        </is>
      </c>
      <c r="B122" s="30" t="n">
        <v>71764478</v>
      </c>
      <c r="C122" s="30">
        <f>"41235177734"</f>
        <v/>
      </c>
      <c r="D122" s="30" t="inlineStr">
        <is>
          <t>OSVALDINO PAULO DA CUNHA CORDEIRO</t>
        </is>
      </c>
      <c r="E122" s="40" t="n">
        <v>187693.88</v>
      </c>
      <c r="F122" s="40" t="n">
        <v>90719</v>
      </c>
      <c r="G122" s="46" t="n">
        <v>-51.67</v>
      </c>
      <c r="H122" s="40" t="n">
        <v>0</v>
      </c>
      <c r="I122" s="46" t="n">
        <v>-100</v>
      </c>
      <c r="J122" s="40" t="n">
        <v>0</v>
      </c>
      <c r="K122" s="40" t="n">
        <v>0</v>
      </c>
      <c r="L122" s="40" t="n">
        <v>0</v>
      </c>
      <c r="M122" s="40" t="n">
        <v>0</v>
      </c>
      <c r="N122" s="40" t="n">
        <v>0</v>
      </c>
      <c r="O122" s="40" t="n">
        <v>0</v>
      </c>
      <c r="P122" s="40" t="n">
        <v>0</v>
      </c>
      <c r="Q122" s="40" t="n">
        <v>0</v>
      </c>
      <c r="R122" s="47" t="n"/>
      <c r="S122" s="47" t="n"/>
      <c r="T122" s="47" t="n"/>
      <c r="U122" s="47" t="n"/>
      <c r="V122" s="47" t="n"/>
      <c r="W122" s="47" t="n"/>
    </row>
    <row r="123" ht="12" customHeight="1">
      <c r="A123" s="30" t="inlineStr">
        <is>
          <t>Porto Real</t>
        </is>
      </c>
      <c r="B123" s="30" t="n">
        <v>71782026</v>
      </c>
      <c r="C123" s="30">
        <f>"25413660782"</f>
        <v/>
      </c>
      <c r="D123" s="30" t="inlineStr">
        <is>
          <t>MAURILIO ETTORE</t>
        </is>
      </c>
      <c r="E123" s="40" t="n">
        <v>0</v>
      </c>
      <c r="F123" s="40" t="n">
        <v>0</v>
      </c>
      <c r="G123" s="40" t="n">
        <v>0</v>
      </c>
      <c r="H123" s="40" t="n">
        <v>0</v>
      </c>
      <c r="I123" s="40" t="n">
        <v>0</v>
      </c>
      <c r="J123" s="40" t="n">
        <v>0</v>
      </c>
      <c r="K123" s="40" t="n">
        <v>0</v>
      </c>
      <c r="L123" s="40" t="n">
        <v>0</v>
      </c>
      <c r="M123" s="40" t="n">
        <v>0</v>
      </c>
      <c r="N123" s="40" t="n">
        <v>0</v>
      </c>
      <c r="O123" s="40" t="n">
        <v>0</v>
      </c>
      <c r="P123" s="40" t="n">
        <v>0</v>
      </c>
      <c r="Q123" s="40" t="n">
        <v>0</v>
      </c>
      <c r="R123" s="47" t="n"/>
      <c r="S123" s="47" t="n"/>
      <c r="T123" s="47" t="n"/>
      <c r="U123" s="47" t="n"/>
      <c r="V123" s="47" t="n"/>
      <c r="W123" s="47" t="n"/>
    </row>
    <row r="124" ht="12" customHeight="1">
      <c r="A124" s="30" t="inlineStr">
        <is>
          <t>Porto Real</t>
        </is>
      </c>
      <c r="B124" s="30" t="n">
        <v>72073428</v>
      </c>
      <c r="C124" s="30">
        <f>"07142665742"</f>
        <v/>
      </c>
      <c r="D124" s="30" t="inlineStr">
        <is>
          <t>CARLOS ROBERTO DE CARVALHO</t>
        </is>
      </c>
      <c r="E124" s="40" t="n">
        <v>0</v>
      </c>
      <c r="F124" s="40" t="n">
        <v>0</v>
      </c>
      <c r="G124" s="40" t="n">
        <v>0</v>
      </c>
      <c r="H124" s="40" t="n">
        <v>0</v>
      </c>
      <c r="I124" s="40" t="n">
        <v>0</v>
      </c>
      <c r="J124" s="40" t="n">
        <v>0</v>
      </c>
      <c r="K124" s="40" t="n">
        <v>0</v>
      </c>
      <c r="L124" s="40" t="n">
        <v>0</v>
      </c>
      <c r="M124" s="40" t="n">
        <v>0</v>
      </c>
      <c r="N124" s="40" t="n">
        <v>0</v>
      </c>
      <c r="O124" s="40" t="n">
        <v>0</v>
      </c>
      <c r="P124" s="40" t="n">
        <v>0</v>
      </c>
      <c r="Q124" s="40" t="n">
        <v>0</v>
      </c>
      <c r="R124" s="47" t="n"/>
      <c r="S124" s="47" t="n"/>
      <c r="T124" s="47" t="n"/>
      <c r="U124" s="47" t="n"/>
      <c r="V124" s="47" t="n"/>
      <c r="W124" s="47" t="n"/>
    </row>
    <row r="125" ht="12" customHeight="1">
      <c r="A125" s="30" t="inlineStr">
        <is>
          <t>Porto Real</t>
        </is>
      </c>
      <c r="B125" s="30" t="n">
        <v>72079736</v>
      </c>
      <c r="C125" s="30">
        <f>"71781684715"</f>
        <v/>
      </c>
      <c r="D125" s="30" t="inlineStr">
        <is>
          <t>ANTONIO MARCIO RIBEIRO XAVIER</t>
        </is>
      </c>
      <c r="E125" s="40" t="n">
        <v>0</v>
      </c>
      <c r="F125" s="40" t="n">
        <v>0</v>
      </c>
      <c r="G125" s="40" t="n">
        <v>0</v>
      </c>
      <c r="H125" s="40" t="n">
        <v>0</v>
      </c>
      <c r="I125" s="40" t="n">
        <v>0</v>
      </c>
      <c r="J125" s="40" t="n">
        <v>0</v>
      </c>
      <c r="K125" s="40" t="n">
        <v>0</v>
      </c>
      <c r="L125" s="40" t="n">
        <v>0</v>
      </c>
      <c r="M125" s="40" t="n">
        <v>0</v>
      </c>
      <c r="N125" s="40" t="n">
        <v>0</v>
      </c>
      <c r="O125" s="40" t="n">
        <v>0</v>
      </c>
      <c r="P125" s="40" t="n">
        <v>0</v>
      </c>
      <c r="Q125" s="40" t="n">
        <v>0</v>
      </c>
      <c r="R125" s="47" t="n"/>
      <c r="S125" s="47" t="n"/>
      <c r="T125" s="47" t="n"/>
      <c r="U125" s="47" t="n"/>
      <c r="V125" s="47" t="n"/>
      <c r="W125" s="47" t="n"/>
    </row>
    <row r="126" ht="12" customHeight="1">
      <c r="A126" s="30" t="inlineStr">
        <is>
          <t>Porto Real</t>
        </is>
      </c>
      <c r="B126" s="30" t="n">
        <v>72116461</v>
      </c>
      <c r="C126" s="30">
        <f>"00755013760"</f>
        <v/>
      </c>
      <c r="D126" s="30" t="inlineStr">
        <is>
          <t>ALAIDE FERNANDES</t>
        </is>
      </c>
      <c r="E126" s="40" t="n">
        <v>0</v>
      </c>
      <c r="F126" s="40" t="n">
        <v>0</v>
      </c>
      <c r="G126" s="40" t="n">
        <v>0</v>
      </c>
      <c r="H126" s="40" t="n">
        <v>0</v>
      </c>
      <c r="I126" s="40" t="n">
        <v>0</v>
      </c>
      <c r="J126" s="40" t="n">
        <v>0</v>
      </c>
      <c r="K126" s="40" t="n">
        <v>0</v>
      </c>
      <c r="L126" s="40" t="n">
        <v>0</v>
      </c>
      <c r="M126" s="40" t="n">
        <v>0</v>
      </c>
      <c r="N126" s="40" t="n">
        <v>0</v>
      </c>
      <c r="O126" s="40" t="n">
        <v>0</v>
      </c>
      <c r="P126" s="40" t="n">
        <v>0</v>
      </c>
      <c r="Q126" s="40" t="n">
        <v>0</v>
      </c>
      <c r="R126" s="47" t="n"/>
      <c r="S126" s="47" t="n"/>
      <c r="T126" s="47" t="n"/>
      <c r="U126" s="47" t="n"/>
      <c r="V126" s="47" t="n"/>
      <c r="W126" s="47" t="n"/>
    </row>
    <row r="127" ht="12" customHeight="1">
      <c r="A127" s="30" t="inlineStr">
        <is>
          <t>Porto Real</t>
        </is>
      </c>
      <c r="B127" s="30" t="n">
        <v>72120957</v>
      </c>
      <c r="C127" s="30">
        <f>"02861101725"</f>
        <v/>
      </c>
      <c r="D127" s="30" t="inlineStr">
        <is>
          <t>CARMELITA DOS SANTOS</t>
        </is>
      </c>
      <c r="E127" s="40" t="n">
        <v>0</v>
      </c>
      <c r="F127" s="40" t="n">
        <v>0</v>
      </c>
      <c r="G127" s="40" t="n">
        <v>0</v>
      </c>
      <c r="H127" s="40" t="n">
        <v>0</v>
      </c>
      <c r="I127" s="40" t="n">
        <v>0</v>
      </c>
      <c r="J127" s="40" t="n">
        <v>0</v>
      </c>
      <c r="K127" s="40" t="n">
        <v>0</v>
      </c>
      <c r="L127" s="40" t="n">
        <v>0</v>
      </c>
      <c r="M127" s="40" t="n">
        <v>0</v>
      </c>
      <c r="N127" s="40" t="n">
        <v>3909.88</v>
      </c>
      <c r="O127" s="40" t="n">
        <v>100</v>
      </c>
      <c r="P127" s="40" t="n">
        <v>1043.6</v>
      </c>
      <c r="Q127" s="46" t="n">
        <v>-73.31</v>
      </c>
      <c r="R127" s="47" t="n"/>
      <c r="S127" s="47" t="n"/>
      <c r="T127" s="47" t="n"/>
      <c r="U127" s="47" t="n"/>
      <c r="V127" s="47" t="n"/>
      <c r="W127" s="47" t="n"/>
    </row>
    <row r="128" ht="12" customHeight="1">
      <c r="A128" s="30" t="inlineStr">
        <is>
          <t>Porto Real</t>
        </is>
      </c>
      <c r="B128" s="30" t="n">
        <v>72132467</v>
      </c>
      <c r="C128" s="30">
        <f>"61332984720"</f>
        <v/>
      </c>
      <c r="D128" s="30" t="inlineStr">
        <is>
          <t>LUIS FERNANDO MARQUES D ALMEIDA</t>
        </is>
      </c>
      <c r="E128" s="40" t="n">
        <v>0</v>
      </c>
      <c r="F128" s="40" t="n">
        <v>0</v>
      </c>
      <c r="G128" s="40" t="n">
        <v>0</v>
      </c>
      <c r="H128" s="40" t="n">
        <v>0</v>
      </c>
      <c r="I128" s="40" t="n">
        <v>0</v>
      </c>
      <c r="J128" s="40" t="n">
        <v>0</v>
      </c>
      <c r="K128" s="40" t="n">
        <v>0</v>
      </c>
      <c r="L128" s="40" t="n">
        <v>74986.09</v>
      </c>
      <c r="M128" s="40" t="n">
        <v>100</v>
      </c>
      <c r="N128" s="40" t="n">
        <v>126846.96</v>
      </c>
      <c r="O128" s="40" t="n">
        <v>69.16</v>
      </c>
      <c r="P128" s="40" t="n">
        <v>101263.11</v>
      </c>
      <c r="Q128" s="46" t="n">
        <v>-20.17</v>
      </c>
      <c r="R128" s="47" t="n"/>
      <c r="S128" s="47" t="n"/>
      <c r="T128" s="47" t="n"/>
      <c r="U128" s="47" t="n"/>
      <c r="V128" s="47" t="n"/>
      <c r="W128" s="47" t="n"/>
    </row>
    <row r="129" ht="12" customHeight="1">
      <c r="A129" s="30" t="inlineStr">
        <is>
          <t>Porto Real</t>
        </is>
      </c>
      <c r="B129" s="30" t="n">
        <v>72138333</v>
      </c>
      <c r="C129" s="30">
        <f>"02675399752"</f>
        <v/>
      </c>
      <c r="D129" s="30" t="inlineStr">
        <is>
          <t>ANGELA MARIA ROCHA SILVA</t>
        </is>
      </c>
      <c r="E129" s="40" t="n">
        <v>47500</v>
      </c>
      <c r="F129" s="40" t="n">
        <v>0</v>
      </c>
      <c r="G129" s="46" t="n">
        <v>-100</v>
      </c>
      <c r="H129" s="40" t="n">
        <v>0</v>
      </c>
      <c r="I129" s="40" t="n">
        <v>0</v>
      </c>
      <c r="J129" s="40" t="n">
        <v>0</v>
      </c>
      <c r="K129" s="40" t="n">
        <v>0</v>
      </c>
      <c r="L129" s="40" t="n">
        <v>0</v>
      </c>
      <c r="M129" s="40" t="n">
        <v>0</v>
      </c>
      <c r="N129" s="40" t="n">
        <v>0</v>
      </c>
      <c r="O129" s="40" t="n">
        <v>0</v>
      </c>
      <c r="P129" s="40" t="n">
        <v>0</v>
      </c>
      <c r="Q129" s="40" t="n">
        <v>0</v>
      </c>
      <c r="R129" s="47" t="n"/>
      <c r="S129" s="47" t="n"/>
      <c r="T129" s="47" t="n"/>
      <c r="U129" s="47" t="n"/>
      <c r="V129" s="47" t="n"/>
      <c r="W129" s="47" t="n"/>
    </row>
    <row r="130" ht="12" customHeight="1">
      <c r="A130" s="30" t="inlineStr">
        <is>
          <t>Porto Real</t>
        </is>
      </c>
      <c r="B130" s="30" t="n">
        <v>72191854</v>
      </c>
      <c r="C130" s="30">
        <f>"74919946791"</f>
        <v/>
      </c>
      <c r="D130" s="30" t="inlineStr">
        <is>
          <t>GERALDO OZORIO RODRIGUES GONCALVES</t>
        </is>
      </c>
      <c r="E130" s="40" t="n">
        <v>0</v>
      </c>
      <c r="F130" s="40" t="n">
        <v>0</v>
      </c>
      <c r="G130" s="40" t="n">
        <v>0</v>
      </c>
      <c r="H130" s="40" t="n">
        <v>0</v>
      </c>
      <c r="I130" s="40" t="n">
        <v>0</v>
      </c>
      <c r="J130" s="40" t="n">
        <v>0</v>
      </c>
      <c r="K130" s="40" t="n">
        <v>0</v>
      </c>
      <c r="L130" s="40" t="n">
        <v>0</v>
      </c>
      <c r="M130" s="40" t="n">
        <v>0</v>
      </c>
      <c r="N130" s="40" t="n">
        <v>0</v>
      </c>
      <c r="O130" s="40" t="n">
        <v>0</v>
      </c>
      <c r="P130" s="40" t="n">
        <v>0</v>
      </c>
      <c r="Q130" s="40" t="n">
        <v>0</v>
      </c>
      <c r="R130" s="47" t="n"/>
      <c r="S130" s="47" t="n"/>
      <c r="T130" s="47" t="n"/>
      <c r="U130" s="47" t="n"/>
      <c r="V130" s="47" t="n"/>
      <c r="W130" s="47" t="n"/>
    </row>
    <row r="131" ht="12" customHeight="1">
      <c r="A131" s="30" t="inlineStr">
        <is>
          <t>Porto Real</t>
        </is>
      </c>
      <c r="B131" s="30" t="n">
        <v>72239776</v>
      </c>
      <c r="C131" s="30">
        <f>"00629011761"</f>
        <v/>
      </c>
      <c r="D131" s="30" t="inlineStr">
        <is>
          <t>ARTIDONIO LUCINDO FILHO</t>
        </is>
      </c>
      <c r="E131" s="40" t="n">
        <v>0</v>
      </c>
      <c r="F131" s="40" t="n">
        <v>0</v>
      </c>
      <c r="G131" s="40" t="n">
        <v>0</v>
      </c>
      <c r="H131" s="40" t="n">
        <v>0</v>
      </c>
      <c r="I131" s="40" t="n">
        <v>0</v>
      </c>
      <c r="J131" s="40" t="n">
        <v>0</v>
      </c>
      <c r="K131" s="40" t="n">
        <v>0</v>
      </c>
      <c r="L131" s="40" t="n">
        <v>98427.92</v>
      </c>
      <c r="M131" s="40" t="n">
        <v>100</v>
      </c>
      <c r="N131" s="40" t="n">
        <v>587050.8199999999</v>
      </c>
      <c r="O131" s="40" t="n">
        <v>496.43</v>
      </c>
      <c r="P131" s="40" t="n">
        <v>481667.02</v>
      </c>
      <c r="Q131" s="46" t="n">
        <v>-17.95</v>
      </c>
      <c r="R131" s="47" t="n"/>
      <c r="S131" s="47" t="n"/>
      <c r="T131" s="47" t="n"/>
      <c r="U131" s="47" t="n"/>
      <c r="V131" s="47" t="n"/>
      <c r="W131" s="47" t="n"/>
    </row>
    <row r="132" ht="12" customHeight="1">
      <c r="A132" s="30" t="inlineStr">
        <is>
          <t>Porto Real</t>
        </is>
      </c>
      <c r="B132" s="30" t="n">
        <v>72317025</v>
      </c>
      <c r="C132" s="30">
        <f>"00008176865761"</f>
        <v/>
      </c>
      <c r="D132" s="30" t="inlineStr">
        <is>
          <t>JOSE CARLOS PEDROSO</t>
        </is>
      </c>
      <c r="E132" s="40" t="n">
        <v>0</v>
      </c>
      <c r="F132" s="40" t="n">
        <v>0</v>
      </c>
      <c r="G132" s="40" t="n">
        <v>0</v>
      </c>
      <c r="H132" s="40" t="n">
        <v>0</v>
      </c>
      <c r="I132" s="40" t="n">
        <v>0</v>
      </c>
      <c r="J132" s="40" t="n">
        <v>37755.48</v>
      </c>
      <c r="K132" s="40" t="n">
        <v>100</v>
      </c>
      <c r="L132" s="40" t="n">
        <v>0</v>
      </c>
      <c r="M132" s="46" t="n">
        <v>-100</v>
      </c>
      <c r="N132" s="40" t="n">
        <v>0</v>
      </c>
      <c r="O132" s="40" t="n">
        <v>0</v>
      </c>
      <c r="P132" s="40" t="n">
        <v>0</v>
      </c>
      <c r="Q132" s="40" t="n">
        <v>0</v>
      </c>
      <c r="R132" s="47" t="n"/>
      <c r="S132" s="47" t="n"/>
      <c r="T132" s="47" t="n"/>
      <c r="U132" s="47" t="n"/>
      <c r="V132" s="47" t="n"/>
      <c r="W132" s="47" t="n"/>
    </row>
    <row r="133" ht="12" customHeight="1">
      <c r="A133" s="30" t="inlineStr">
        <is>
          <t>Porto Real</t>
        </is>
      </c>
      <c r="B133" s="30" t="n">
        <v>72334213</v>
      </c>
      <c r="C133" s="30">
        <f>"00361406789"</f>
        <v/>
      </c>
      <c r="D133" s="30" t="inlineStr">
        <is>
          <t>JORGE LUIZ SANTANA CHAVES</t>
        </is>
      </c>
      <c r="E133" s="40" t="n">
        <v>0</v>
      </c>
      <c r="F133" s="40" t="n">
        <v>0</v>
      </c>
      <c r="G133" s="40" t="n">
        <v>0</v>
      </c>
      <c r="H133" s="40" t="n">
        <v>0</v>
      </c>
      <c r="I133" s="40" t="n">
        <v>0</v>
      </c>
      <c r="J133" s="40" t="n">
        <v>0</v>
      </c>
      <c r="K133" s="40" t="n">
        <v>0</v>
      </c>
      <c r="L133" s="40" t="n">
        <v>571972.9399999999</v>
      </c>
      <c r="M133" s="40" t="n">
        <v>100</v>
      </c>
      <c r="N133" s="40" t="n">
        <v>624759.05</v>
      </c>
      <c r="O133" s="40" t="n">
        <v>9.23</v>
      </c>
      <c r="P133" s="40" t="n">
        <v>755008.41</v>
      </c>
      <c r="Q133" s="40" t="n">
        <v>20.85</v>
      </c>
      <c r="R133" s="47" t="n"/>
      <c r="S133" s="47" t="n"/>
      <c r="T133" s="47" t="n"/>
      <c r="U133" s="47" t="n"/>
      <c r="V133" s="47" t="n"/>
      <c r="W133" s="47" t="n"/>
    </row>
    <row r="134" ht="12" customHeight="1">
      <c r="A134" s="30" t="inlineStr">
        <is>
          <t>Porto Real</t>
        </is>
      </c>
      <c r="B134" s="30" t="n">
        <v>72344510</v>
      </c>
      <c r="C134" s="30">
        <f>"73148857704"</f>
        <v/>
      </c>
      <c r="D134" s="30" t="inlineStr">
        <is>
          <t>JORGE RIBEIRO MARTINS</t>
        </is>
      </c>
      <c r="E134" s="40" t="n">
        <v>0</v>
      </c>
      <c r="F134" s="40" t="n">
        <v>0</v>
      </c>
      <c r="G134" s="40" t="n">
        <v>0</v>
      </c>
      <c r="H134" s="40" t="n">
        <v>0</v>
      </c>
      <c r="I134" s="40" t="n">
        <v>0</v>
      </c>
      <c r="J134" s="40" t="n">
        <v>0</v>
      </c>
      <c r="K134" s="40" t="n">
        <v>0</v>
      </c>
      <c r="L134" s="40" t="n">
        <v>0</v>
      </c>
      <c r="M134" s="40" t="n">
        <v>0</v>
      </c>
      <c r="N134" s="40" t="n">
        <v>0</v>
      </c>
      <c r="O134" s="40" t="n">
        <v>0</v>
      </c>
      <c r="P134" s="40" t="n">
        <v>0</v>
      </c>
      <c r="Q134" s="40" t="n">
        <v>0</v>
      </c>
      <c r="R134" s="47" t="n"/>
      <c r="S134" s="47" t="n"/>
      <c r="T134" s="47" t="n"/>
      <c r="U134" s="47" t="n"/>
      <c r="V134" s="47" t="n"/>
      <c r="W134" s="47" t="n"/>
    </row>
    <row r="135" ht="12" customHeight="1">
      <c r="A135" s="30" t="inlineStr">
        <is>
          <t>Porto Real</t>
        </is>
      </c>
      <c r="B135" s="30" t="n">
        <v>72361296</v>
      </c>
      <c r="C135" s="30">
        <f>"11648315771"</f>
        <v/>
      </c>
      <c r="D135" s="30" t="inlineStr">
        <is>
          <t>ROSIANA DOS SANTOS MARASSI</t>
        </is>
      </c>
      <c r="E135" s="40" t="n">
        <v>0</v>
      </c>
      <c r="F135" s="40" t="n">
        <v>0</v>
      </c>
      <c r="G135" s="40" t="n">
        <v>0</v>
      </c>
      <c r="H135" s="40" t="n">
        <v>0</v>
      </c>
      <c r="I135" s="40" t="n">
        <v>0</v>
      </c>
      <c r="J135" s="40" t="n">
        <v>0</v>
      </c>
      <c r="K135" s="40" t="n">
        <v>0</v>
      </c>
      <c r="L135" s="40" t="n">
        <v>0</v>
      </c>
      <c r="M135" s="40" t="n">
        <v>0</v>
      </c>
      <c r="N135" s="40" t="n">
        <v>0</v>
      </c>
      <c r="O135" s="40" t="n">
        <v>0</v>
      </c>
      <c r="P135" s="40" t="n">
        <v>0</v>
      </c>
      <c r="Q135" s="40" t="n">
        <v>0</v>
      </c>
      <c r="R135" s="47" t="n"/>
      <c r="S135" s="47" t="n"/>
      <c r="T135" s="47" t="n"/>
      <c r="U135" s="47" t="n"/>
      <c r="V135" s="47" t="n"/>
      <c r="W135" s="47" t="n"/>
    </row>
    <row r="136" ht="12" customHeight="1">
      <c r="A136" s="30" t="inlineStr">
        <is>
          <t>Porto Real</t>
        </is>
      </c>
      <c r="B136" s="30" t="n">
        <v>72405250</v>
      </c>
      <c r="C136" s="30">
        <f>"00002115057732"</f>
        <v/>
      </c>
      <c r="D136" s="30" t="inlineStr">
        <is>
          <t>ANTONIO FONTES ROCHA SILVA</t>
        </is>
      </c>
      <c r="E136" s="40" t="n">
        <v>0</v>
      </c>
      <c r="F136" s="40" t="n">
        <v>0</v>
      </c>
      <c r="G136" s="40" t="n">
        <v>0</v>
      </c>
      <c r="H136" s="40" t="n">
        <v>0</v>
      </c>
      <c r="I136" s="40" t="n">
        <v>0</v>
      </c>
      <c r="J136" s="40" t="n">
        <v>0</v>
      </c>
      <c r="K136" s="40" t="n">
        <v>0</v>
      </c>
      <c r="L136" s="40" t="n">
        <v>0</v>
      </c>
      <c r="M136" s="40" t="n">
        <v>0</v>
      </c>
      <c r="N136" s="40" t="n">
        <v>0</v>
      </c>
      <c r="O136" s="40" t="n">
        <v>0</v>
      </c>
      <c r="P136" s="40" t="n">
        <v>0</v>
      </c>
      <c r="Q136" s="40" t="n">
        <v>0</v>
      </c>
      <c r="R136" s="47" t="n"/>
      <c r="S136" s="47" t="n"/>
      <c r="T136" s="47" t="n"/>
      <c r="U136" s="47" t="n"/>
      <c r="V136" s="47" t="n"/>
      <c r="W136" s="47" t="n"/>
    </row>
    <row r="137" ht="12" customHeight="1">
      <c r="A137" s="30" t="inlineStr">
        <is>
          <t>Porto Real</t>
        </is>
      </c>
      <c r="B137" s="30" t="n">
        <v>72412761</v>
      </c>
      <c r="C137" s="30">
        <f>"08509435740"</f>
        <v/>
      </c>
      <c r="D137" s="30" t="inlineStr">
        <is>
          <t>LUCAS ORIOLI DE SOUZA</t>
        </is>
      </c>
      <c r="E137" s="40" t="n">
        <v>0</v>
      </c>
      <c r="F137" s="40" t="n">
        <v>0</v>
      </c>
      <c r="G137" s="40" t="n">
        <v>0</v>
      </c>
      <c r="H137" s="40" t="n">
        <v>0</v>
      </c>
      <c r="I137" s="40" t="n">
        <v>0</v>
      </c>
      <c r="J137" s="40" t="n">
        <v>0</v>
      </c>
      <c r="K137" s="40" t="n">
        <v>0</v>
      </c>
      <c r="L137" s="40" t="n">
        <v>0</v>
      </c>
      <c r="M137" s="40" t="n">
        <v>0</v>
      </c>
      <c r="N137" s="40" t="n">
        <v>0</v>
      </c>
      <c r="O137" s="40" t="n">
        <v>0</v>
      </c>
      <c r="P137" s="40" t="n">
        <v>0</v>
      </c>
      <c r="Q137" s="40" t="n">
        <v>0</v>
      </c>
      <c r="R137" s="47" t="n"/>
      <c r="S137" s="47" t="n"/>
      <c r="T137" s="47" t="n"/>
      <c r="U137" s="47" t="n"/>
      <c r="V137" s="47" t="n"/>
      <c r="W137" s="47" t="n"/>
    </row>
    <row r="138" ht="12" customHeight="1">
      <c r="A138" s="30" t="inlineStr">
        <is>
          <t>Porto Real</t>
        </is>
      </c>
      <c r="B138" s="30" t="n">
        <v>72448391</v>
      </c>
      <c r="C138" s="30">
        <f>"12391726724"</f>
        <v/>
      </c>
      <c r="D138" s="30" t="inlineStr">
        <is>
          <t>LEANDRO LUIS TROCOLI</t>
        </is>
      </c>
      <c r="E138" s="40" t="n">
        <v>0</v>
      </c>
      <c r="F138" s="40" t="n">
        <v>0</v>
      </c>
      <c r="G138" s="40" t="n">
        <v>0</v>
      </c>
      <c r="H138" s="40" t="n">
        <v>0</v>
      </c>
      <c r="I138" s="40" t="n">
        <v>0</v>
      </c>
      <c r="J138" s="40" t="n">
        <v>0</v>
      </c>
      <c r="K138" s="40" t="n">
        <v>0</v>
      </c>
      <c r="L138" s="40" t="n">
        <v>0</v>
      </c>
      <c r="M138" s="40" t="n">
        <v>0</v>
      </c>
      <c r="N138" s="40" t="n">
        <v>0</v>
      </c>
      <c r="O138" s="40" t="n">
        <v>0</v>
      </c>
      <c r="P138" s="40" t="n">
        <v>0</v>
      </c>
      <c r="Q138" s="40" t="n">
        <v>0</v>
      </c>
      <c r="R138" s="47" t="n"/>
      <c r="S138" s="47" t="n"/>
      <c r="T138" s="47" t="n"/>
      <c r="U138" s="47" t="n"/>
      <c r="V138" s="47" t="n"/>
      <c r="W138" s="47" t="n"/>
    </row>
    <row r="139" ht="12" customHeight="1">
      <c r="A139" s="30" t="inlineStr">
        <is>
          <t>Porto Real</t>
        </is>
      </c>
      <c r="B139" s="30" t="n">
        <v>72464915</v>
      </c>
      <c r="C139" s="30">
        <f>"05165746712"</f>
        <v/>
      </c>
      <c r="D139" s="30" t="inlineStr">
        <is>
          <t>RODRIGO JOSE DE ALVARENGA</t>
        </is>
      </c>
      <c r="E139" s="40" t="n">
        <v>0</v>
      </c>
      <c r="F139" s="40" t="n">
        <v>0</v>
      </c>
      <c r="G139" s="40" t="n">
        <v>0</v>
      </c>
      <c r="H139" s="40" t="n">
        <v>0</v>
      </c>
      <c r="I139" s="40" t="n">
        <v>0</v>
      </c>
      <c r="J139" s="40" t="n">
        <v>0</v>
      </c>
      <c r="K139" s="40" t="n">
        <v>0</v>
      </c>
      <c r="L139" s="40" t="n">
        <v>0</v>
      </c>
      <c r="M139" s="40" t="n">
        <v>0</v>
      </c>
      <c r="N139" s="40" t="n">
        <v>0</v>
      </c>
      <c r="O139" s="40" t="n">
        <v>0</v>
      </c>
      <c r="P139" s="40" t="n">
        <v>0</v>
      </c>
      <c r="Q139" s="40" t="n">
        <v>0</v>
      </c>
      <c r="R139" s="47" t="n"/>
      <c r="S139" s="47" t="n"/>
      <c r="T139" s="47" t="n"/>
      <c r="U139" s="47" t="n"/>
      <c r="V139" s="47" t="n"/>
      <c r="W139" s="47" t="n"/>
    </row>
    <row r="140" ht="12" customHeight="1">
      <c r="A140" s="30" t="inlineStr">
        <is>
          <t>Porto Real</t>
        </is>
      </c>
      <c r="B140" s="30" t="n">
        <v>72494873</v>
      </c>
      <c r="C140" s="30">
        <f>"32178786715"</f>
        <v/>
      </c>
      <c r="D140" s="30" t="inlineStr">
        <is>
          <t>ISAC SOARES DA COSTA</t>
        </is>
      </c>
      <c r="E140" s="40" t="n">
        <v>0</v>
      </c>
      <c r="F140" s="40" t="n">
        <v>0</v>
      </c>
      <c r="G140" s="40" t="n">
        <v>0</v>
      </c>
      <c r="H140" s="40" t="n">
        <v>0</v>
      </c>
      <c r="I140" s="40" t="n">
        <v>0</v>
      </c>
      <c r="J140" s="40" t="n">
        <v>0</v>
      </c>
      <c r="K140" s="40" t="n">
        <v>0</v>
      </c>
      <c r="L140" s="40" t="n">
        <v>0</v>
      </c>
      <c r="M140" s="40" t="n">
        <v>0</v>
      </c>
      <c r="N140" s="40" t="n">
        <v>0</v>
      </c>
      <c r="O140" s="40" t="n">
        <v>0</v>
      </c>
      <c r="P140" s="40" t="n">
        <v>0</v>
      </c>
      <c r="Q140" s="40" t="n">
        <v>0</v>
      </c>
      <c r="R140" s="47" t="n"/>
      <c r="S140" s="47" t="n"/>
      <c r="T140" s="47" t="n"/>
      <c r="U140" s="47" t="n"/>
      <c r="V140" s="47" t="n"/>
      <c r="W140" s="47" t="n"/>
    </row>
    <row r="141" ht="12" customHeight="1">
      <c r="A141" s="30" t="inlineStr">
        <is>
          <t>Porto Real</t>
        </is>
      </c>
      <c r="B141" s="30" t="n">
        <v>72501349</v>
      </c>
      <c r="C141" s="30">
        <f>"08018115702"</f>
        <v/>
      </c>
      <c r="D141" s="30" t="inlineStr">
        <is>
          <t>DANIEL PEREIRA GONCALVES</t>
        </is>
      </c>
      <c r="E141" s="40" t="n">
        <v>0</v>
      </c>
      <c r="F141" s="40" t="n">
        <v>69261.08</v>
      </c>
      <c r="G141" s="40" t="n">
        <v>100</v>
      </c>
      <c r="H141" s="40" t="n">
        <v>169363.97</v>
      </c>
      <c r="I141" s="40" t="n">
        <v>144.53</v>
      </c>
      <c r="J141" s="40" t="n">
        <v>0</v>
      </c>
      <c r="K141" s="46" t="n">
        <v>-100</v>
      </c>
      <c r="L141" s="40" t="n">
        <v>0</v>
      </c>
      <c r="M141" s="40" t="n">
        <v>0</v>
      </c>
      <c r="N141" s="40" t="n">
        <v>0</v>
      </c>
      <c r="O141" s="40" t="n">
        <v>0</v>
      </c>
      <c r="P141" s="40" t="n">
        <v>0</v>
      </c>
      <c r="Q141" s="40" t="n">
        <v>0</v>
      </c>
      <c r="R141" s="47" t="n"/>
      <c r="S141" s="47" t="n"/>
      <c r="T141" s="47" t="n"/>
      <c r="U141" s="47" t="n"/>
      <c r="V141" s="47" t="n"/>
      <c r="W141" s="47" t="n"/>
    </row>
    <row r="142" ht="12" customHeight="1">
      <c r="A142" s="30" t="inlineStr">
        <is>
          <t>Porto Real</t>
        </is>
      </c>
      <c r="B142" s="30" t="n">
        <v>72510178</v>
      </c>
      <c r="C142" s="30">
        <f>"92677720744"</f>
        <v/>
      </c>
      <c r="D142" s="30" t="inlineStr">
        <is>
          <t>PAULO CESAR ALBARELO</t>
        </is>
      </c>
      <c r="E142" s="40" t="n">
        <v>0</v>
      </c>
      <c r="F142" s="40" t="n">
        <v>0</v>
      </c>
      <c r="G142" s="40" t="n">
        <v>0</v>
      </c>
      <c r="H142" s="40" t="n">
        <v>0</v>
      </c>
      <c r="I142" s="40" t="n">
        <v>0</v>
      </c>
      <c r="J142" s="40" t="n">
        <v>0</v>
      </c>
      <c r="K142" s="40" t="n">
        <v>0</v>
      </c>
      <c r="L142" s="40" t="n">
        <v>20430</v>
      </c>
      <c r="M142" s="40" t="n">
        <v>100</v>
      </c>
      <c r="N142" s="40" t="n">
        <v>57000</v>
      </c>
      <c r="O142" s="40" t="n">
        <v>179</v>
      </c>
      <c r="P142" s="40" t="n">
        <v>81870</v>
      </c>
      <c r="Q142" s="40" t="n">
        <v>43.63</v>
      </c>
      <c r="R142" s="47" t="n"/>
      <c r="S142" s="47" t="n"/>
      <c r="T142" s="47" t="n"/>
      <c r="U142" s="47" t="n"/>
      <c r="V142" s="47" t="n"/>
      <c r="W142" s="47" t="n"/>
    </row>
    <row r="143" ht="12" customHeight="1">
      <c r="A143" s="30" t="inlineStr">
        <is>
          <t>Porto Real</t>
        </is>
      </c>
      <c r="B143" s="30" t="n">
        <v>72527356</v>
      </c>
      <c r="C143" s="30">
        <f>"14410576763"</f>
        <v/>
      </c>
      <c r="D143" s="30" t="inlineStr">
        <is>
          <t>IZABELLE CRISTINA RODRIGUES DE AQUINO</t>
        </is>
      </c>
      <c r="E143" s="40" t="n">
        <v>0</v>
      </c>
      <c r="F143" s="40" t="n">
        <v>0</v>
      </c>
      <c r="G143" s="40" t="n">
        <v>0</v>
      </c>
      <c r="H143" s="40" t="n">
        <v>0</v>
      </c>
      <c r="I143" s="40" t="n">
        <v>0</v>
      </c>
      <c r="J143" s="40" t="n">
        <v>0</v>
      </c>
      <c r="K143" s="40" t="n">
        <v>0</v>
      </c>
      <c r="L143" s="40" t="n">
        <v>0</v>
      </c>
      <c r="M143" s="40" t="n">
        <v>0</v>
      </c>
      <c r="N143" s="40" t="n">
        <v>0</v>
      </c>
      <c r="O143" s="40" t="n">
        <v>0</v>
      </c>
      <c r="P143" s="40" t="n">
        <v>0</v>
      </c>
      <c r="Q143" s="40" t="n">
        <v>0</v>
      </c>
      <c r="R143" s="47" t="n"/>
      <c r="S143" s="47" t="n"/>
      <c r="T143" s="47" t="n"/>
      <c r="U143" s="47" t="n"/>
      <c r="V143" s="47" t="n"/>
      <c r="W143" s="47" t="n"/>
    </row>
    <row r="144" ht="12" customHeight="1">
      <c r="A144" s="30" t="inlineStr">
        <is>
          <t>Porto Real</t>
        </is>
      </c>
      <c r="B144" s="30" t="n">
        <v>75086261</v>
      </c>
      <c r="C144" s="30">
        <f>"02512449000164"</f>
        <v/>
      </c>
      <c r="D144" s="30" t="inlineStr">
        <is>
          <t>TRANSBANANAL TRANSPORTES LTDA</t>
        </is>
      </c>
      <c r="E144" s="40" t="n">
        <v>0</v>
      </c>
      <c r="F144" s="40" t="n">
        <v>0</v>
      </c>
      <c r="G144" s="40" t="n">
        <v>0</v>
      </c>
      <c r="H144" s="40" t="n">
        <v>0</v>
      </c>
      <c r="I144" s="40" t="n">
        <v>0</v>
      </c>
      <c r="J144" s="40" t="n">
        <v>137083.49</v>
      </c>
      <c r="K144" s="40" t="n">
        <v>100</v>
      </c>
      <c r="L144" s="40" t="n">
        <v>0</v>
      </c>
      <c r="M144" s="46" t="n">
        <v>-100</v>
      </c>
      <c r="N144" s="40" t="n">
        <v>0</v>
      </c>
      <c r="O144" s="40" t="n">
        <v>0</v>
      </c>
      <c r="P144" s="40" t="n">
        <v>0</v>
      </c>
      <c r="Q144" s="40" t="n">
        <v>0</v>
      </c>
      <c r="R144" s="47" t="n"/>
      <c r="S144" s="47" t="n"/>
      <c r="T144" s="47" t="n"/>
      <c r="U144" s="47" t="n"/>
      <c r="V144" s="47" t="n"/>
      <c r="W144" s="47" t="n"/>
    </row>
    <row r="145" ht="12" customHeight="1">
      <c r="A145" s="30" t="inlineStr">
        <is>
          <t>Porto Real</t>
        </is>
      </c>
      <c r="B145" s="30" t="n">
        <v>75424809</v>
      </c>
      <c r="C145" s="30">
        <f>"30709661000151"</f>
        <v/>
      </c>
      <c r="D145" s="30" t="inlineStr">
        <is>
          <t>REMON IMOBILIARIA E AGROPECUARIA LTDA</t>
        </is>
      </c>
      <c r="E145" s="40" t="n">
        <v>778503.88</v>
      </c>
      <c r="F145" s="40" t="n">
        <v>427583.41</v>
      </c>
      <c r="G145" s="46" t="n">
        <v>-45.08</v>
      </c>
      <c r="H145" s="40" t="n">
        <v>1544050.96</v>
      </c>
      <c r="I145" s="40" t="n">
        <v>261.11</v>
      </c>
      <c r="J145" s="40" t="n">
        <v>2102381.01</v>
      </c>
      <c r="K145" s="40" t="n">
        <v>36.16</v>
      </c>
      <c r="L145" s="40" t="n">
        <v>2238980.08</v>
      </c>
      <c r="M145" s="40" t="n">
        <v>6.5</v>
      </c>
      <c r="N145" s="40" t="n">
        <v>0</v>
      </c>
      <c r="O145" s="46" t="n">
        <v>-100</v>
      </c>
      <c r="P145" s="40" t="n">
        <v>1408985.69</v>
      </c>
      <c r="Q145" s="40" t="n">
        <v>100</v>
      </c>
      <c r="R145" s="47" t="n"/>
      <c r="S145" s="47" t="n"/>
      <c r="T145" s="47" t="n"/>
      <c r="U145" s="47" t="n"/>
      <c r="V145" s="47" t="n"/>
      <c r="W145" s="47" t="n"/>
    </row>
    <row r="146" ht="12" customHeight="1">
      <c r="A146" s="30" t="inlineStr">
        <is>
          <t>Porto Real</t>
        </is>
      </c>
      <c r="B146" s="30" t="n">
        <v>75434901</v>
      </c>
      <c r="C146" s="30">
        <f>"32147829000108"</f>
        <v/>
      </c>
      <c r="D146" s="30" t="inlineStr">
        <is>
          <t>MARCA AGOPECUARIA LTDA</t>
        </is>
      </c>
      <c r="E146" s="40" t="n">
        <v>0</v>
      </c>
      <c r="F146" s="40" t="n">
        <v>0</v>
      </c>
      <c r="G146" s="40" t="n">
        <v>0</v>
      </c>
      <c r="H146" s="40" t="n">
        <v>268209.99</v>
      </c>
      <c r="I146" s="40" t="n">
        <v>100</v>
      </c>
      <c r="J146" s="40" t="n">
        <v>0</v>
      </c>
      <c r="K146" s="46" t="n">
        <v>-100</v>
      </c>
      <c r="L146" s="40" t="n">
        <v>0</v>
      </c>
      <c r="M146" s="40" t="n">
        <v>0</v>
      </c>
      <c r="N146" s="40" t="n">
        <v>0</v>
      </c>
      <c r="O146" s="40" t="n">
        <v>0</v>
      </c>
      <c r="P146" s="40" t="n">
        <v>0</v>
      </c>
      <c r="Q146" s="40" t="n">
        <v>0</v>
      </c>
      <c r="R146" s="47" t="n"/>
      <c r="S146" s="47" t="n"/>
      <c r="T146" s="47" t="n"/>
      <c r="U146" s="47" t="n"/>
      <c r="V146" s="47" t="n"/>
      <c r="W146" s="47" t="n"/>
    </row>
    <row r="147" ht="12" customHeight="1">
      <c r="A147" s="30" t="inlineStr">
        <is>
          <t>Porto Real</t>
        </is>
      </c>
      <c r="B147" s="30" t="n">
        <v>75566417</v>
      </c>
      <c r="C147" s="30">
        <f>"33042730013001"</f>
        <v/>
      </c>
      <c r="D147" s="30" t="inlineStr">
        <is>
          <t>COMPANHIA SIDERURGICA NACIONAL</t>
        </is>
      </c>
      <c r="E147" s="40" t="n">
        <v>86392804.54000001</v>
      </c>
      <c r="F147" s="40" t="n">
        <v>132679399.75</v>
      </c>
      <c r="G147" s="40" t="n">
        <v>53.58</v>
      </c>
      <c r="H147" s="40" t="n">
        <v>15550380.96</v>
      </c>
      <c r="I147" s="46" t="n">
        <v>-88.28</v>
      </c>
      <c r="J147" s="40" t="n">
        <v>77304720.93000001</v>
      </c>
      <c r="K147" s="40" t="n">
        <v>397.12</v>
      </c>
      <c r="L147" s="40" t="n">
        <v>484490759.09</v>
      </c>
      <c r="M147" s="40" t="n">
        <v>526.73</v>
      </c>
      <c r="N147" s="40" t="n">
        <v>67000174.95</v>
      </c>
      <c r="O147" s="46" t="n">
        <v>-86.17</v>
      </c>
      <c r="P147" s="40" t="n">
        <v>4214076.06</v>
      </c>
      <c r="Q147" s="46" t="n">
        <v>-93.70999999999999</v>
      </c>
      <c r="R147" s="47" t="n"/>
      <c r="S147" s="47" t="n"/>
      <c r="T147" s="47" t="n"/>
      <c r="U147" s="47" t="n"/>
      <c r="V147" s="47" t="n"/>
      <c r="W147" s="47" t="n"/>
    </row>
    <row r="148" ht="12" customHeight="1">
      <c r="A148" s="30" t="inlineStr">
        <is>
          <t>Porto Real</t>
        </is>
      </c>
      <c r="B148" s="30" t="n">
        <v>75586744</v>
      </c>
      <c r="C148" s="30">
        <f>"57012098000548"</f>
        <v/>
      </c>
      <c r="D148" s="30" t="inlineStr">
        <is>
          <t>TRANSLUTE TRANSPORTES RODOVIARIO LTDA</t>
        </is>
      </c>
      <c r="E148" s="40" t="n">
        <v>0</v>
      </c>
      <c r="F148" s="40" t="n">
        <v>673.01</v>
      </c>
      <c r="G148" s="40" t="n">
        <v>100</v>
      </c>
      <c r="H148" s="40" t="n">
        <v>827.76</v>
      </c>
      <c r="I148" s="40" t="n">
        <v>22.99</v>
      </c>
      <c r="J148" s="40" t="n">
        <v>4.38</v>
      </c>
      <c r="K148" s="46" t="n">
        <v>-99.47</v>
      </c>
      <c r="L148" s="40" t="n">
        <v>31.71</v>
      </c>
      <c r="M148" s="40" t="n">
        <v>623.97</v>
      </c>
      <c r="N148" s="40" t="n">
        <v>23.57</v>
      </c>
      <c r="O148" s="46" t="n">
        <v>-25.67</v>
      </c>
      <c r="P148" s="40" t="n">
        <v>1666.27</v>
      </c>
      <c r="Q148" s="40" t="n">
        <v>6969.45</v>
      </c>
      <c r="R148" s="47" t="n"/>
      <c r="S148" s="47" t="n"/>
      <c r="T148" s="47" t="n"/>
      <c r="U148" s="47" t="n"/>
      <c r="V148" s="47" t="n"/>
      <c r="W148" s="47" t="n"/>
    </row>
    <row r="149" ht="12" customHeight="1">
      <c r="A149" s="30" t="inlineStr">
        <is>
          <t>Porto Real</t>
        </is>
      </c>
      <c r="B149" s="30" t="n">
        <v>75794134</v>
      </c>
      <c r="C149" s="30">
        <f>"43244631002455"</f>
        <v/>
      </c>
      <c r="D149" s="30" t="inlineStr">
        <is>
          <t>TRANSPORTADORA AMERICANA LTDA</t>
        </is>
      </c>
      <c r="E149" s="40" t="n">
        <v>1373.1</v>
      </c>
      <c r="F149" s="40" t="n">
        <v>430.66</v>
      </c>
      <c r="G149" s="46" t="n">
        <v>-68.64</v>
      </c>
      <c r="H149" s="40" t="n">
        <v>462.03</v>
      </c>
      <c r="I149" s="40" t="n">
        <v>7.28</v>
      </c>
      <c r="J149" s="40" t="n">
        <v>191.77</v>
      </c>
      <c r="K149" s="46" t="n">
        <v>-58.49</v>
      </c>
      <c r="L149" s="40" t="n">
        <v>410.69</v>
      </c>
      <c r="M149" s="40" t="n">
        <v>114.16</v>
      </c>
      <c r="N149" s="40" t="n">
        <v>0</v>
      </c>
      <c r="O149" s="46" t="n">
        <v>-100</v>
      </c>
      <c r="P149" s="40" t="n">
        <v>0</v>
      </c>
      <c r="Q149" s="40" t="n">
        <v>0</v>
      </c>
      <c r="R149" s="47" t="n"/>
      <c r="S149" s="47" t="n"/>
      <c r="T149" s="47" t="n"/>
      <c r="U149" s="47" t="n"/>
      <c r="V149" s="47" t="n"/>
      <c r="W149" s="47" t="n"/>
    </row>
    <row r="150" ht="12" customHeight="1">
      <c r="A150" s="30" t="inlineStr">
        <is>
          <t>Porto Real</t>
        </is>
      </c>
      <c r="B150" s="30" t="n">
        <v>75795580</v>
      </c>
      <c r="C150" s="30">
        <f>"02714518000112"</f>
        <v/>
      </c>
      <c r="D150" s="30" t="inlineStr">
        <is>
          <t>A PRIMORDIAL LOGISTICA EM TRANSPORTES LTDA</t>
        </is>
      </c>
      <c r="E150" s="40" t="n">
        <v>0</v>
      </c>
      <c r="F150" s="40" t="n">
        <v>0</v>
      </c>
      <c r="G150" s="40" t="n">
        <v>0</v>
      </c>
      <c r="H150" s="40" t="n">
        <v>0</v>
      </c>
      <c r="I150" s="40" t="n">
        <v>0</v>
      </c>
      <c r="J150" s="40" t="n">
        <v>0</v>
      </c>
      <c r="K150" s="40" t="n">
        <v>0</v>
      </c>
      <c r="L150" s="40" t="n">
        <v>553.49</v>
      </c>
      <c r="M150" s="40" t="n">
        <v>100</v>
      </c>
      <c r="N150" s="40" t="n">
        <v>0</v>
      </c>
      <c r="O150" s="46" t="n">
        <v>-100</v>
      </c>
      <c r="P150" s="40" t="n">
        <v>0</v>
      </c>
      <c r="Q150" s="40" t="n">
        <v>0</v>
      </c>
      <c r="R150" s="47" t="n"/>
      <c r="S150" s="47" t="n"/>
      <c r="T150" s="47" t="n"/>
      <c r="U150" s="47" t="n"/>
      <c r="V150" s="47" t="n"/>
      <c r="W150" s="47" t="n"/>
    </row>
    <row r="151" ht="12" customHeight="1">
      <c r="A151" s="30" t="inlineStr">
        <is>
          <t>Porto Real</t>
        </is>
      </c>
      <c r="B151" s="30" t="n">
        <v>75795629</v>
      </c>
      <c r="C151" s="30">
        <f>"01114430000288"</f>
        <v/>
      </c>
      <c r="D151" s="30" t="inlineStr">
        <is>
          <t>TRANSFUTURO TRANSPORTES LTDA</t>
        </is>
      </c>
      <c r="E151" s="40" t="n">
        <v>1664.26</v>
      </c>
      <c r="F151" s="40" t="n">
        <v>0</v>
      </c>
      <c r="G151" s="46" t="n">
        <v>-100</v>
      </c>
      <c r="H151" s="40" t="n">
        <v>0</v>
      </c>
      <c r="I151" s="40" t="n">
        <v>0</v>
      </c>
      <c r="J151" s="40" t="n">
        <v>0</v>
      </c>
      <c r="K151" s="40" t="n">
        <v>0</v>
      </c>
      <c r="L151" s="40" t="n">
        <v>0</v>
      </c>
      <c r="M151" s="40" t="n">
        <v>0</v>
      </c>
      <c r="N151" s="40" t="n">
        <v>0</v>
      </c>
      <c r="O151" s="40" t="n">
        <v>0</v>
      </c>
      <c r="P151" s="40" t="n">
        <v>0</v>
      </c>
      <c r="Q151" s="40" t="n">
        <v>0</v>
      </c>
      <c r="R151" s="47" t="n"/>
      <c r="S151" s="47" t="n"/>
      <c r="T151" s="47" t="n"/>
      <c r="U151" s="47" t="n"/>
      <c r="V151" s="47" t="n"/>
      <c r="W151" s="47" t="n"/>
    </row>
    <row r="152" ht="12" customHeight="1">
      <c r="A152" s="30" t="inlineStr">
        <is>
          <t>Porto Real</t>
        </is>
      </c>
      <c r="B152" s="30" t="n">
        <v>75819595</v>
      </c>
      <c r="C152" s="30">
        <f>"03072077000165"</f>
        <v/>
      </c>
      <c r="D152" s="30" t="inlineStr">
        <is>
          <t>PCI DO BRASIL INSTALACOES INDUSTRIAIS LTDA</t>
        </is>
      </c>
      <c r="E152" s="40" t="n">
        <v>0</v>
      </c>
      <c r="F152" s="40" t="n">
        <v>0</v>
      </c>
      <c r="G152" s="40" t="n">
        <v>0</v>
      </c>
      <c r="H152" s="40" t="n">
        <v>0</v>
      </c>
      <c r="I152" s="40" t="n">
        <v>0</v>
      </c>
      <c r="J152" s="40" t="n">
        <v>0</v>
      </c>
      <c r="K152" s="40" t="n">
        <v>0</v>
      </c>
      <c r="L152" s="40" t="n">
        <v>0</v>
      </c>
      <c r="M152" s="40" t="n">
        <v>0</v>
      </c>
      <c r="N152" s="40" t="n">
        <v>0</v>
      </c>
      <c r="O152" s="40" t="n">
        <v>0</v>
      </c>
      <c r="P152" s="40" t="n">
        <v>0</v>
      </c>
      <c r="Q152" s="40" t="n">
        <v>0</v>
      </c>
      <c r="R152" s="47" t="n"/>
      <c r="S152" s="47" t="n"/>
      <c r="T152" s="47" t="n"/>
      <c r="U152" s="47" t="n"/>
      <c r="V152" s="47" t="n"/>
      <c r="W152" s="47" t="n"/>
    </row>
    <row r="153" ht="12" customHeight="1">
      <c r="A153" s="30" t="inlineStr">
        <is>
          <t>Porto Real</t>
        </is>
      </c>
      <c r="B153" s="30" t="n">
        <v>75819625</v>
      </c>
      <c r="C153" s="30">
        <f>"03094658000106"</f>
        <v/>
      </c>
      <c r="D153" s="30" t="inlineStr">
        <is>
          <t>GEFCO LOGISTICA DO BRASIL LTDA</t>
        </is>
      </c>
      <c r="E153" s="40" t="n">
        <v>905249.71</v>
      </c>
      <c r="F153" s="40" t="n">
        <v>8589972.1</v>
      </c>
      <c r="G153" s="40" t="n">
        <v>848.91</v>
      </c>
      <c r="H153" s="40" t="n">
        <v>5315641.9</v>
      </c>
      <c r="I153" s="46" t="n">
        <v>-38.12</v>
      </c>
      <c r="J153" s="40" t="n">
        <v>569855.3100000001</v>
      </c>
      <c r="K153" s="46" t="n">
        <v>-89.28</v>
      </c>
      <c r="L153" s="40" t="n">
        <v>979348.33</v>
      </c>
      <c r="M153" s="40" t="n">
        <v>71.86</v>
      </c>
      <c r="N153" s="40" t="n">
        <v>2595497.27</v>
      </c>
      <c r="O153" s="40" t="n">
        <v>165.02</v>
      </c>
      <c r="P153" s="40" t="n">
        <v>1412039.24</v>
      </c>
      <c r="Q153" s="46" t="n">
        <v>-45.6</v>
      </c>
      <c r="R153" s="47" t="n"/>
      <c r="S153" s="47" t="n"/>
      <c r="T153" s="47" t="n"/>
      <c r="U153" s="47" t="n"/>
      <c r="V153" s="47" t="n"/>
      <c r="W153" s="47" t="n"/>
    </row>
    <row r="154" ht="12" customHeight="1">
      <c r="A154" s="30" t="inlineStr">
        <is>
          <t>Porto Real</t>
        </is>
      </c>
      <c r="B154" s="30" t="n">
        <v>75849567</v>
      </c>
      <c r="C154" s="30">
        <f>"19694199000476"</f>
        <v/>
      </c>
      <c r="D154" s="30" t="inlineStr">
        <is>
          <t>TRANSREFER TRANSPORTE E LOGISTICA LTDA</t>
        </is>
      </c>
      <c r="E154" s="40" t="n">
        <v>0</v>
      </c>
      <c r="F154" s="40" t="n">
        <v>148.81</v>
      </c>
      <c r="G154" s="40" t="n">
        <v>100</v>
      </c>
      <c r="H154" s="40" t="n">
        <v>0</v>
      </c>
      <c r="I154" s="46" t="n">
        <v>-100</v>
      </c>
      <c r="J154" s="40" t="n">
        <v>0</v>
      </c>
      <c r="K154" s="40" t="n">
        <v>0</v>
      </c>
      <c r="L154" s="40" t="n">
        <v>0</v>
      </c>
      <c r="M154" s="40" t="n">
        <v>0</v>
      </c>
      <c r="N154" s="40" t="n">
        <v>0</v>
      </c>
      <c r="O154" s="40" t="n">
        <v>0</v>
      </c>
      <c r="P154" s="40" t="n">
        <v>0</v>
      </c>
      <c r="Q154" s="40" t="n">
        <v>0</v>
      </c>
      <c r="R154" s="47" t="n"/>
      <c r="S154" s="47" t="n"/>
      <c r="T154" s="47" t="n"/>
      <c r="U154" s="47" t="n"/>
      <c r="V154" s="47" t="n"/>
      <c r="W154" s="47" t="n"/>
    </row>
    <row r="155" ht="12" customHeight="1">
      <c r="A155" s="30" t="inlineStr">
        <is>
          <t>Porto Real</t>
        </is>
      </c>
      <c r="B155" s="30" t="n">
        <v>75849699</v>
      </c>
      <c r="C155" s="30">
        <f>"58506155000427"</f>
        <v/>
      </c>
      <c r="D155" s="30" t="inlineStr">
        <is>
          <t>MIRA OTM TRANSPORTES LTDA</t>
        </is>
      </c>
      <c r="E155" s="40" t="n">
        <v>0</v>
      </c>
      <c r="F155" s="40" t="n">
        <v>0</v>
      </c>
      <c r="G155" s="40" t="n">
        <v>0</v>
      </c>
      <c r="H155" s="40" t="n">
        <v>0</v>
      </c>
      <c r="I155" s="40" t="n">
        <v>0</v>
      </c>
      <c r="J155" s="40" t="n">
        <v>29901.99</v>
      </c>
      <c r="K155" s="40" t="n">
        <v>100</v>
      </c>
      <c r="L155" s="40" t="n">
        <v>0</v>
      </c>
      <c r="M155" s="46" t="n">
        <v>-100</v>
      </c>
      <c r="N155" s="40" t="n">
        <v>0</v>
      </c>
      <c r="O155" s="40" t="n">
        <v>0</v>
      </c>
      <c r="P155" s="40" t="n">
        <v>0</v>
      </c>
      <c r="Q155" s="40" t="n">
        <v>0</v>
      </c>
      <c r="R155" s="47" t="n"/>
      <c r="S155" s="47" t="n"/>
      <c r="T155" s="47" t="n"/>
      <c r="U155" s="47" t="n"/>
      <c r="V155" s="47" t="n"/>
      <c r="W155" s="47" t="n"/>
    </row>
    <row r="156" ht="12" customHeight="1">
      <c r="A156" s="30" t="inlineStr">
        <is>
          <t>Porto Real</t>
        </is>
      </c>
      <c r="B156" s="30" t="n">
        <v>75904835</v>
      </c>
      <c r="C156" s="30">
        <f>"02351144001432"</f>
        <v/>
      </c>
      <c r="D156" s="30" t="inlineStr">
        <is>
          <t>TEGMA GESTAO LOGISTICA S/A</t>
        </is>
      </c>
      <c r="E156" s="40" t="n">
        <v>242064.06</v>
      </c>
      <c r="F156" s="40" t="n">
        <v>0</v>
      </c>
      <c r="G156" s="46" t="n">
        <v>-100</v>
      </c>
      <c r="H156" s="40" t="n">
        <v>0</v>
      </c>
      <c r="I156" s="40" t="n">
        <v>0</v>
      </c>
      <c r="J156" s="40" t="n">
        <v>0</v>
      </c>
      <c r="K156" s="40" t="n">
        <v>0</v>
      </c>
      <c r="L156" s="40" t="n">
        <v>0</v>
      </c>
      <c r="M156" s="40" t="n">
        <v>0</v>
      </c>
      <c r="N156" s="40" t="n">
        <v>0</v>
      </c>
      <c r="O156" s="40" t="n">
        <v>0</v>
      </c>
      <c r="P156" s="40" t="n">
        <v>0</v>
      </c>
      <c r="Q156" s="40" t="n">
        <v>0</v>
      </c>
      <c r="R156" s="47" t="n"/>
      <c r="S156" s="47" t="n"/>
      <c r="T156" s="47" t="n"/>
      <c r="U156" s="47" t="n"/>
      <c r="V156" s="47" t="n"/>
      <c r="W156" s="47" t="n"/>
    </row>
    <row r="157" ht="12" customHeight="1">
      <c r="A157" s="30" t="inlineStr">
        <is>
          <t>Porto Real</t>
        </is>
      </c>
      <c r="B157" s="30" t="n">
        <v>75964129</v>
      </c>
      <c r="C157" s="30">
        <f>"67405936000416"</f>
        <v/>
      </c>
      <c r="D157" s="30" t="inlineStr">
        <is>
          <t>PEUGEOT CITROEN DO BRASIL AUTOMOVEIS LTDA</t>
        </is>
      </c>
      <c r="E157" s="40" t="n">
        <v>141304922.27</v>
      </c>
      <c r="F157" s="40" t="n">
        <v>0</v>
      </c>
      <c r="G157" s="46" t="n">
        <v>-100</v>
      </c>
      <c r="H157" s="40" t="n">
        <v>0</v>
      </c>
      <c r="I157" s="40" t="n">
        <v>0</v>
      </c>
      <c r="J157" s="40" t="n">
        <v>0</v>
      </c>
      <c r="K157" s="40" t="n">
        <v>0</v>
      </c>
      <c r="L157" s="40" t="n">
        <v>0</v>
      </c>
      <c r="M157" s="40" t="n">
        <v>0</v>
      </c>
      <c r="N157" s="40" t="n">
        <v>0</v>
      </c>
      <c r="O157" s="40" t="n">
        <v>0</v>
      </c>
      <c r="P157" s="40" t="n">
        <v>155984448.71</v>
      </c>
      <c r="Q157" s="40" t="n">
        <v>100</v>
      </c>
      <c r="R157" s="47" t="n"/>
      <c r="S157" s="47" t="n"/>
      <c r="T157" s="47" t="n"/>
      <c r="U157" s="47" t="n"/>
      <c r="V157" s="47" t="n"/>
      <c r="W157" s="47" t="n"/>
    </row>
    <row r="158" ht="12" customHeight="1">
      <c r="A158" s="30" t="inlineStr">
        <is>
          <t>Porto Real</t>
        </is>
      </c>
      <c r="B158" s="30" t="n">
        <v>75968779</v>
      </c>
      <c r="C158" s="30">
        <f>"88317847001460"</f>
        <v/>
      </c>
      <c r="D158" s="30" t="inlineStr">
        <is>
          <t>RAPIDO TRANSPAULO LTDA</t>
        </is>
      </c>
      <c r="E158" s="40" t="n">
        <v>16906.43</v>
      </c>
      <c r="F158" s="40" t="n">
        <v>0</v>
      </c>
      <c r="G158" s="46" t="n">
        <v>-100</v>
      </c>
      <c r="H158" s="40" t="n">
        <v>0</v>
      </c>
      <c r="I158" s="40" t="n">
        <v>0</v>
      </c>
      <c r="J158" s="40" t="n">
        <v>0</v>
      </c>
      <c r="K158" s="40" t="n">
        <v>0</v>
      </c>
      <c r="L158" s="40" t="n">
        <v>0</v>
      </c>
      <c r="M158" s="40" t="n">
        <v>0</v>
      </c>
      <c r="N158" s="40" t="n">
        <v>0</v>
      </c>
      <c r="O158" s="40" t="n">
        <v>0</v>
      </c>
      <c r="P158" s="40" t="n">
        <v>0</v>
      </c>
      <c r="Q158" s="40" t="n">
        <v>0</v>
      </c>
      <c r="R158" s="47" t="n"/>
      <c r="S158" s="47" t="n"/>
      <c r="T158" s="47" t="n"/>
      <c r="U158" s="47" t="n"/>
      <c r="V158" s="47" t="n"/>
      <c r="W158" s="47" t="n"/>
    </row>
    <row r="159" ht="12" customHeight="1">
      <c r="A159" s="30" t="inlineStr">
        <is>
          <t>Porto Real</t>
        </is>
      </c>
      <c r="B159" s="30" t="n">
        <v>76026831</v>
      </c>
      <c r="C159" s="30">
        <f>"60664828007340"</f>
        <v/>
      </c>
      <c r="D159" s="30" t="inlineStr">
        <is>
          <t>EMPRESA DE TRANSPORTES ATLAS LTDA</t>
        </is>
      </c>
      <c r="E159" s="40" t="n">
        <v>1997.61</v>
      </c>
      <c r="F159" s="40" t="n">
        <v>221.66</v>
      </c>
      <c r="G159" s="46" t="n">
        <v>-88.90000000000001</v>
      </c>
      <c r="H159" s="40" t="n">
        <v>8.31</v>
      </c>
      <c r="I159" s="46" t="n">
        <v>-96.25</v>
      </c>
      <c r="J159" s="40" t="n">
        <v>0</v>
      </c>
      <c r="K159" s="46" t="n">
        <v>-100</v>
      </c>
      <c r="L159" s="40" t="n">
        <v>0</v>
      </c>
      <c r="M159" s="40" t="n">
        <v>0</v>
      </c>
      <c r="N159" s="40" t="n">
        <v>0</v>
      </c>
      <c r="O159" s="40" t="n">
        <v>0</v>
      </c>
      <c r="P159" s="40" t="n">
        <v>0</v>
      </c>
      <c r="Q159" s="40" t="n">
        <v>0</v>
      </c>
      <c r="R159" s="47" t="n"/>
      <c r="S159" s="47" t="n"/>
      <c r="T159" s="47" t="n"/>
      <c r="U159" s="47" t="n"/>
      <c r="V159" s="47" t="n"/>
      <c r="W159" s="47" t="n"/>
    </row>
    <row r="160" ht="12" customHeight="1">
      <c r="A160" s="30" t="inlineStr">
        <is>
          <t>Porto Real</t>
        </is>
      </c>
      <c r="B160" s="30" t="n">
        <v>76051909</v>
      </c>
      <c r="C160" s="30">
        <f>"90030156000531"</f>
        <v/>
      </c>
      <c r="D160" s="30" t="inlineStr">
        <is>
          <t>TRANSPORTADORA HAMMES LTDA</t>
        </is>
      </c>
      <c r="E160" s="40" t="n">
        <v>0</v>
      </c>
      <c r="F160" s="40" t="n">
        <v>0</v>
      </c>
      <c r="G160" s="40" t="n">
        <v>0</v>
      </c>
      <c r="H160" s="40" t="n">
        <v>0</v>
      </c>
      <c r="I160" s="40" t="n">
        <v>0</v>
      </c>
      <c r="J160" s="40" t="n">
        <v>0</v>
      </c>
      <c r="K160" s="40" t="n">
        <v>0</v>
      </c>
      <c r="L160" s="40" t="n">
        <v>0</v>
      </c>
      <c r="M160" s="40" t="n">
        <v>0</v>
      </c>
      <c r="N160" s="40" t="n">
        <v>27051</v>
      </c>
      <c r="O160" s="40" t="n">
        <v>100</v>
      </c>
      <c r="P160" s="40" t="n">
        <v>0</v>
      </c>
      <c r="Q160" s="46" t="n">
        <v>-100</v>
      </c>
      <c r="R160" s="47" t="n"/>
      <c r="S160" s="47" t="n"/>
      <c r="T160" s="47" t="n"/>
      <c r="U160" s="47" t="n"/>
      <c r="V160" s="47" t="n"/>
      <c r="W160" s="47" t="n"/>
    </row>
    <row r="161" ht="12" customHeight="1">
      <c r="A161" s="30" t="inlineStr">
        <is>
          <t>Porto Real</t>
        </is>
      </c>
      <c r="B161" s="30" t="n">
        <v>76105502</v>
      </c>
      <c r="C161" s="30">
        <f>"03419953000187"</f>
        <v/>
      </c>
      <c r="D161" s="30" t="inlineStr">
        <is>
          <t>MARFRAN TRANSPORTES E LOGISTICA LTDA ME</t>
        </is>
      </c>
      <c r="E161" s="40" t="n">
        <v>242523.83</v>
      </c>
      <c r="F161" s="40" t="n">
        <v>1090175.66</v>
      </c>
      <c r="G161" s="40" t="n">
        <v>349.51</v>
      </c>
      <c r="H161" s="40" t="n">
        <v>468939.7</v>
      </c>
      <c r="I161" s="46" t="n">
        <v>-56.98</v>
      </c>
      <c r="J161" s="40" t="n">
        <v>181294.97</v>
      </c>
      <c r="K161" s="46" t="n">
        <v>-61.34</v>
      </c>
      <c r="L161" s="40" t="n">
        <v>0</v>
      </c>
      <c r="M161" s="46" t="n">
        <v>-100</v>
      </c>
      <c r="N161" s="40" t="n">
        <v>215140.89</v>
      </c>
      <c r="O161" s="40" t="n">
        <v>100</v>
      </c>
      <c r="P161" s="40" t="n">
        <v>360133.06</v>
      </c>
      <c r="Q161" s="40" t="n">
        <v>67.39</v>
      </c>
      <c r="R161" s="47" t="n"/>
      <c r="S161" s="47" t="n"/>
      <c r="T161" s="47" t="n"/>
      <c r="U161" s="47" t="n"/>
      <c r="V161" s="47" t="n"/>
      <c r="W161" s="47" t="n"/>
    </row>
    <row r="162" ht="12" customHeight="1">
      <c r="A162" s="30" t="inlineStr">
        <is>
          <t>Porto Real</t>
        </is>
      </c>
      <c r="B162" s="30" t="n">
        <v>76159122</v>
      </c>
      <c r="C162" s="30">
        <f>"03537249000129"</f>
        <v/>
      </c>
      <c r="D162" s="30" t="inlineStr">
        <is>
          <t>CSN ENERGIA S/A</t>
        </is>
      </c>
      <c r="E162" s="40" t="n">
        <v>4802743.81</v>
      </c>
      <c r="F162" s="40" t="n">
        <v>3397819.61</v>
      </c>
      <c r="G162" s="46" t="n">
        <v>-29.25</v>
      </c>
      <c r="H162" s="40" t="n">
        <v>2994469.81</v>
      </c>
      <c r="I162" s="46" t="n">
        <v>-11.87</v>
      </c>
      <c r="J162" s="40" t="n">
        <v>861322.23</v>
      </c>
      <c r="K162" s="46" t="n">
        <v>-71.23999999999999</v>
      </c>
      <c r="L162" s="40" t="n">
        <v>729052.0699999999</v>
      </c>
      <c r="M162" s="46" t="n">
        <v>-15.36</v>
      </c>
      <c r="N162" s="40" t="n">
        <v>3762492.95</v>
      </c>
      <c r="O162" s="40" t="n">
        <v>416.08</v>
      </c>
      <c r="P162" s="40" t="n">
        <v>1997861.1</v>
      </c>
      <c r="Q162" s="46" t="n">
        <v>-46.9</v>
      </c>
      <c r="R162" s="47" t="n"/>
      <c r="S162" s="47" t="n"/>
      <c r="T162" s="47" t="n"/>
      <c r="U162" s="47" t="n"/>
      <c r="V162" s="47" t="n"/>
      <c r="W162" s="47" t="n"/>
    </row>
    <row r="163" ht="12" customHeight="1">
      <c r="A163" s="30" t="inlineStr">
        <is>
          <t>Porto Real</t>
        </is>
      </c>
      <c r="B163" s="30" t="n">
        <v>76167605</v>
      </c>
      <c r="C163" s="30">
        <f>"03662454000116"</f>
        <v/>
      </c>
      <c r="D163" s="30" t="inlineStr">
        <is>
          <t>IPEOLEO COMERCIO DE COMBUSTIVEIS EIRELI</t>
        </is>
      </c>
      <c r="E163" s="40" t="n">
        <v>0</v>
      </c>
      <c r="F163" s="40" t="n">
        <v>39490.56</v>
      </c>
      <c r="G163" s="40" t="n">
        <v>100</v>
      </c>
      <c r="H163" s="40" t="n">
        <v>68006.31</v>
      </c>
      <c r="I163" s="40" t="n">
        <v>72.20999999999999</v>
      </c>
      <c r="J163" s="40" t="n">
        <v>60777.85</v>
      </c>
      <c r="K163" s="46" t="n">
        <v>-10.63</v>
      </c>
      <c r="L163" s="40" t="n">
        <v>0</v>
      </c>
      <c r="M163" s="46" t="n">
        <v>-100</v>
      </c>
      <c r="N163" s="40" t="n">
        <v>0</v>
      </c>
      <c r="O163" s="40" t="n">
        <v>0</v>
      </c>
      <c r="P163" s="40" t="n">
        <v>0</v>
      </c>
      <c r="Q163" s="40" t="n">
        <v>0</v>
      </c>
      <c r="R163" s="47" t="n"/>
      <c r="S163" s="47" t="n"/>
      <c r="T163" s="47" t="n"/>
      <c r="U163" s="47" t="n"/>
      <c r="V163" s="47" t="n"/>
      <c r="W163" s="47" t="n"/>
    </row>
    <row r="164" ht="12" customHeight="1">
      <c r="A164" s="30" t="inlineStr">
        <is>
          <t>Porto Real</t>
        </is>
      </c>
      <c r="B164" s="30" t="n">
        <v>76171718</v>
      </c>
      <c r="C164" s="30">
        <f>"50935436001708"</f>
        <v/>
      </c>
      <c r="D164" s="30" t="inlineStr">
        <is>
          <t>EXPRESSO JUNDIAI LOGISTICA E TRANSPORTE LTDA</t>
        </is>
      </c>
      <c r="E164" s="40" t="n">
        <v>5827.79</v>
      </c>
      <c r="F164" s="40" t="n">
        <v>0</v>
      </c>
      <c r="G164" s="46" t="n">
        <v>-100</v>
      </c>
      <c r="H164" s="40" t="n">
        <v>0</v>
      </c>
      <c r="I164" s="40" t="n">
        <v>0</v>
      </c>
      <c r="J164" s="40" t="n">
        <v>0</v>
      </c>
      <c r="K164" s="40" t="n">
        <v>0</v>
      </c>
      <c r="L164" s="40" t="n">
        <v>0</v>
      </c>
      <c r="M164" s="40" t="n">
        <v>0</v>
      </c>
      <c r="N164" s="40" t="n">
        <v>0</v>
      </c>
      <c r="O164" s="40" t="n">
        <v>0</v>
      </c>
      <c r="P164" s="40" t="n">
        <v>0</v>
      </c>
      <c r="Q164" s="40" t="n">
        <v>0</v>
      </c>
      <c r="R164" s="47" t="n"/>
      <c r="S164" s="47" t="n"/>
      <c r="T164" s="47" t="n"/>
      <c r="U164" s="47" t="n"/>
      <c r="V164" s="47" t="n"/>
      <c r="W164" s="47" t="n"/>
    </row>
    <row r="165" ht="12" customHeight="1">
      <c r="A165" s="30" t="inlineStr">
        <is>
          <t>Porto Real</t>
        </is>
      </c>
      <c r="B165" s="30" t="n">
        <v>76171769</v>
      </c>
      <c r="C165" s="30">
        <f>"04532167000154"</f>
        <v/>
      </c>
      <c r="D165" s="30" t="inlineStr">
        <is>
          <t>BMB MODE CENTER - INDUSTRIA COMERCIO E SERVICOS LTDA</t>
        </is>
      </c>
      <c r="E165" s="40" t="n">
        <v>20203196.94</v>
      </c>
      <c r="F165" s="40" t="n">
        <v>28304883.98</v>
      </c>
      <c r="G165" s="40" t="n">
        <v>40.1</v>
      </c>
      <c r="H165" s="40" t="n">
        <v>32476574.8</v>
      </c>
      <c r="I165" s="40" t="n">
        <v>14.74</v>
      </c>
      <c r="J165" s="40" t="n">
        <v>30462581.28</v>
      </c>
      <c r="K165" s="46" t="n">
        <v>-6.2</v>
      </c>
      <c r="L165" s="40" t="n">
        <v>44980017.2</v>
      </c>
      <c r="M165" s="40" t="n">
        <v>47.66</v>
      </c>
      <c r="N165" s="40" t="n">
        <v>32176470.73</v>
      </c>
      <c r="O165" s="46" t="n">
        <v>-28.46</v>
      </c>
      <c r="P165" s="40" t="n">
        <v>28581527.54</v>
      </c>
      <c r="Q165" s="46" t="n">
        <v>-11.17</v>
      </c>
      <c r="R165" s="47" t="n"/>
      <c r="S165" s="47" t="n"/>
      <c r="T165" s="47" t="n"/>
      <c r="U165" s="47" t="n"/>
      <c r="V165" s="47" t="n"/>
      <c r="W165" s="47" t="n"/>
    </row>
    <row r="166" ht="12" customHeight="1">
      <c r="A166" s="30" t="inlineStr">
        <is>
          <t>Porto Real</t>
        </is>
      </c>
      <c r="B166" s="30" t="n">
        <v>76197482</v>
      </c>
      <c r="C166" s="30">
        <f>"01619241000186"</f>
        <v/>
      </c>
      <c r="D166" s="30" t="inlineStr">
        <is>
          <t>WMS WORLD MARINE SERVICE LTDA</t>
        </is>
      </c>
      <c r="E166" s="40" t="n">
        <v>0</v>
      </c>
      <c r="F166" s="40" t="n">
        <v>0</v>
      </c>
      <c r="G166" s="40" t="n">
        <v>0</v>
      </c>
      <c r="H166" s="40" t="n">
        <v>0</v>
      </c>
      <c r="I166" s="40" t="n">
        <v>0</v>
      </c>
      <c r="J166" s="40" t="n">
        <v>0</v>
      </c>
      <c r="K166" s="40" t="n">
        <v>0</v>
      </c>
      <c r="L166" s="40" t="n">
        <v>0</v>
      </c>
      <c r="M166" s="40" t="n">
        <v>0</v>
      </c>
      <c r="N166" s="40" t="n">
        <v>0</v>
      </c>
      <c r="O166" s="40" t="n">
        <v>0</v>
      </c>
      <c r="P166" s="40" t="n">
        <v>6467.5</v>
      </c>
      <c r="Q166" s="40" t="n">
        <v>100</v>
      </c>
      <c r="R166" s="47" t="n"/>
      <c r="S166" s="47" t="n"/>
      <c r="T166" s="47" t="n"/>
      <c r="U166" s="47" t="n"/>
      <c r="V166" s="47" t="n"/>
      <c r="W166" s="47" t="n"/>
    </row>
    <row r="167" ht="12" customHeight="1">
      <c r="A167" s="30" t="inlineStr">
        <is>
          <t>Porto Real</t>
        </is>
      </c>
      <c r="B167" s="30" t="n">
        <v>77015523</v>
      </c>
      <c r="C167" s="30">
        <f>"03571044000160"</f>
        <v/>
      </c>
      <c r="D167" s="30" t="inlineStr">
        <is>
          <t>MA AUTOMOTIVE BRASIL LTDA</t>
        </is>
      </c>
      <c r="E167" s="40" t="n">
        <v>162245886.2</v>
      </c>
      <c r="F167" s="40" t="n">
        <v>193086998.23</v>
      </c>
      <c r="G167" s="40" t="n">
        <v>19.01</v>
      </c>
      <c r="H167" s="40" t="n">
        <v>148847873.57</v>
      </c>
      <c r="I167" s="46" t="n">
        <v>-22.91</v>
      </c>
      <c r="J167" s="40" t="n">
        <v>111791571.71</v>
      </c>
      <c r="K167" s="46" t="n">
        <v>-24.9</v>
      </c>
      <c r="L167" s="40" t="n">
        <v>134598704.53</v>
      </c>
      <c r="M167" s="40" t="n">
        <v>20.4</v>
      </c>
      <c r="N167" s="40" t="n">
        <v>115467618.68</v>
      </c>
      <c r="O167" s="46" t="n">
        <v>-14.21</v>
      </c>
      <c r="P167" s="40" t="n">
        <v>132548045.03</v>
      </c>
      <c r="Q167" s="40" t="n">
        <v>14.79</v>
      </c>
      <c r="R167" s="47" t="n"/>
      <c r="S167" s="47" t="n"/>
      <c r="T167" s="47" t="n"/>
      <c r="U167" s="47" t="n"/>
      <c r="V167" s="47" t="n"/>
      <c r="W167" s="47" t="n"/>
    </row>
    <row r="168" ht="12" customHeight="1">
      <c r="A168" s="30" t="inlineStr">
        <is>
          <t>Porto Real</t>
        </is>
      </c>
      <c r="B168" s="30" t="n">
        <v>77017488</v>
      </c>
      <c r="C168" s="30">
        <f>"03077452000240"</f>
        <v/>
      </c>
      <c r="D168" s="30" t="inlineStr">
        <is>
          <t>SUPRICEL LOGISTICA LTDA</t>
        </is>
      </c>
      <c r="E168" s="40" t="n">
        <v>5897.73</v>
      </c>
      <c r="F168" s="40" t="n">
        <v>8152</v>
      </c>
      <c r="G168" s="40" t="n">
        <v>38.22</v>
      </c>
      <c r="H168" s="40" t="n">
        <v>0</v>
      </c>
      <c r="I168" s="46" t="n">
        <v>-100</v>
      </c>
      <c r="J168" s="40" t="n">
        <v>0</v>
      </c>
      <c r="K168" s="40" t="n">
        <v>0</v>
      </c>
      <c r="L168" s="40" t="n">
        <v>0</v>
      </c>
      <c r="M168" s="40" t="n">
        <v>0</v>
      </c>
      <c r="N168" s="40" t="n">
        <v>0</v>
      </c>
      <c r="O168" s="40" t="n">
        <v>0</v>
      </c>
      <c r="P168" s="40" t="n">
        <v>0</v>
      </c>
      <c r="Q168" s="40" t="n">
        <v>0</v>
      </c>
      <c r="R168" s="47" t="n"/>
      <c r="S168" s="47" t="n"/>
      <c r="T168" s="47" t="n"/>
      <c r="U168" s="47" t="n"/>
      <c r="V168" s="47" t="n"/>
      <c r="W168" s="47" t="n"/>
    </row>
    <row r="169" ht="12" customHeight="1">
      <c r="A169" s="30" t="inlineStr">
        <is>
          <t>Porto Real</t>
        </is>
      </c>
      <c r="B169" s="30" t="n">
        <v>77028412</v>
      </c>
      <c r="C169" s="30">
        <f>"17215039000552"</f>
        <v/>
      </c>
      <c r="D169" s="30" t="inlineStr">
        <is>
          <t>TRANSPORTES PESADOS MINAS S A</t>
        </is>
      </c>
      <c r="E169" s="40" t="n">
        <v>0</v>
      </c>
      <c r="F169" s="40" t="n">
        <v>0</v>
      </c>
      <c r="G169" s="40" t="n">
        <v>0</v>
      </c>
      <c r="H169" s="40" t="n">
        <v>0</v>
      </c>
      <c r="I169" s="40" t="n">
        <v>0</v>
      </c>
      <c r="J169" s="40" t="n">
        <v>1545.45</v>
      </c>
      <c r="K169" s="40" t="n">
        <v>100</v>
      </c>
      <c r="L169" s="40" t="n">
        <v>0</v>
      </c>
      <c r="M169" s="46" t="n">
        <v>-100</v>
      </c>
      <c r="N169" s="40" t="n">
        <v>0</v>
      </c>
      <c r="O169" s="40" t="n">
        <v>0</v>
      </c>
      <c r="P169" s="40" t="n">
        <v>0</v>
      </c>
      <c r="Q169" s="40" t="n">
        <v>0</v>
      </c>
      <c r="R169" s="47" t="n"/>
      <c r="S169" s="47" t="n"/>
      <c r="T169" s="47" t="n"/>
      <c r="U169" s="47" t="n"/>
      <c r="V169" s="47" t="n"/>
      <c r="W169" s="47" t="n"/>
    </row>
    <row r="170" ht="12" customHeight="1">
      <c r="A170" s="30" t="inlineStr">
        <is>
          <t>Porto Real</t>
        </is>
      </c>
      <c r="B170" s="30" t="n">
        <v>77032037</v>
      </c>
      <c r="C170" s="30">
        <f>"03564702000196"</f>
        <v/>
      </c>
      <c r="D170" s="30" t="inlineStr">
        <is>
          <t>PH TRANSPORTES EIRELI</t>
        </is>
      </c>
      <c r="E170" s="40" t="n">
        <v>0</v>
      </c>
      <c r="F170" s="40" t="n">
        <v>0</v>
      </c>
      <c r="G170" s="40" t="n">
        <v>0</v>
      </c>
      <c r="H170" s="40" t="n">
        <v>0</v>
      </c>
      <c r="I170" s="40" t="n">
        <v>0</v>
      </c>
      <c r="J170" s="40" t="n">
        <v>0</v>
      </c>
      <c r="K170" s="40" t="n">
        <v>0</v>
      </c>
      <c r="L170" s="40" t="n">
        <v>0</v>
      </c>
      <c r="M170" s="40" t="n">
        <v>0</v>
      </c>
      <c r="N170" s="40" t="n">
        <v>0</v>
      </c>
      <c r="O170" s="40" t="n">
        <v>0</v>
      </c>
      <c r="P170" s="40" t="n">
        <v>81450.74000000001</v>
      </c>
      <c r="Q170" s="40" t="n">
        <v>100</v>
      </c>
      <c r="R170" s="47" t="n"/>
      <c r="S170" s="47" t="n"/>
      <c r="T170" s="47" t="n"/>
      <c r="U170" s="47" t="n"/>
      <c r="V170" s="47" t="n"/>
      <c r="W170" s="47" t="n"/>
    </row>
    <row r="171" ht="12" customHeight="1">
      <c r="A171" s="30" t="inlineStr">
        <is>
          <t>Porto Real</t>
        </is>
      </c>
      <c r="B171" s="30" t="n">
        <v>77044442</v>
      </c>
      <c r="C171" s="30">
        <f>"03094658000289"</f>
        <v/>
      </c>
      <c r="D171" s="30" t="inlineStr">
        <is>
          <t>GEFCO LOGISTICA DO BRASIL LTDA</t>
        </is>
      </c>
      <c r="E171" s="40" t="n">
        <v>326584.85</v>
      </c>
      <c r="F171" s="40" t="n">
        <v>6422918.9</v>
      </c>
      <c r="G171" s="40" t="n">
        <v>1866.69</v>
      </c>
      <c r="H171" s="40" t="n">
        <v>0</v>
      </c>
      <c r="I171" s="46" t="n">
        <v>-100</v>
      </c>
      <c r="J171" s="40" t="n">
        <v>0</v>
      </c>
      <c r="K171" s="40" t="n">
        <v>0</v>
      </c>
      <c r="L171" s="40" t="n">
        <v>0</v>
      </c>
      <c r="M171" s="40" t="n">
        <v>0</v>
      </c>
      <c r="N171" s="40" t="n">
        <v>0</v>
      </c>
      <c r="O171" s="40" t="n">
        <v>0</v>
      </c>
      <c r="P171" s="40" t="n">
        <v>0</v>
      </c>
      <c r="Q171" s="40" t="n">
        <v>0</v>
      </c>
      <c r="R171" s="47" t="n"/>
      <c r="S171" s="47" t="n"/>
      <c r="T171" s="47" t="n"/>
      <c r="U171" s="47" t="n"/>
      <c r="V171" s="47" t="n"/>
      <c r="W171" s="47" t="n"/>
    </row>
    <row r="172" ht="12" customHeight="1">
      <c r="A172" s="30" t="inlineStr">
        <is>
          <t>Porto Real</t>
        </is>
      </c>
      <c r="B172" s="30" t="n">
        <v>77054545</v>
      </c>
      <c r="C172" s="30">
        <f>"03757239000107"</f>
        <v/>
      </c>
      <c r="D172" s="30" t="inlineStr">
        <is>
          <t>SPEED WORK TRANSPORTES EIRELI</t>
        </is>
      </c>
      <c r="E172" s="40" t="n">
        <v>0</v>
      </c>
      <c r="F172" s="40" t="n">
        <v>0</v>
      </c>
      <c r="G172" s="40" t="n">
        <v>0</v>
      </c>
      <c r="H172" s="40" t="n">
        <v>0</v>
      </c>
      <c r="I172" s="40" t="n">
        <v>0</v>
      </c>
      <c r="J172" s="40" t="n">
        <v>0</v>
      </c>
      <c r="K172" s="40" t="n">
        <v>0</v>
      </c>
      <c r="L172" s="40" t="n">
        <v>0</v>
      </c>
      <c r="M172" s="40" t="n">
        <v>0</v>
      </c>
      <c r="N172" s="40" t="n">
        <v>139.7</v>
      </c>
      <c r="O172" s="40" t="n">
        <v>100</v>
      </c>
      <c r="P172" s="40" t="n">
        <v>113.68</v>
      </c>
      <c r="Q172" s="46" t="n">
        <v>-18.63</v>
      </c>
      <c r="R172" s="47" t="n"/>
      <c r="S172" s="47" t="n"/>
      <c r="T172" s="47" t="n"/>
      <c r="U172" s="47" t="n"/>
      <c r="V172" s="47" t="n"/>
      <c r="W172" s="47" t="n"/>
    </row>
    <row r="173" ht="12" customHeight="1">
      <c r="A173" s="30" t="inlineStr">
        <is>
          <t>Porto Real</t>
        </is>
      </c>
      <c r="B173" s="30" t="n">
        <v>77062238</v>
      </c>
      <c r="C173" s="30">
        <f>"20468310009360"</f>
        <v/>
      </c>
      <c r="D173" s="30" t="inlineStr">
        <is>
          <t>TORA TRANSPORTES INDUSTRIAIS LTDA</t>
        </is>
      </c>
      <c r="E173" s="40" t="n">
        <v>2082.07</v>
      </c>
      <c r="F173" s="40" t="n">
        <v>0</v>
      </c>
      <c r="G173" s="46" t="n">
        <v>-100</v>
      </c>
      <c r="H173" s="40" t="n">
        <v>0</v>
      </c>
      <c r="I173" s="40" t="n">
        <v>0</v>
      </c>
      <c r="J173" s="40" t="n">
        <v>0</v>
      </c>
      <c r="K173" s="40" t="n">
        <v>0</v>
      </c>
      <c r="L173" s="40" t="n">
        <v>0</v>
      </c>
      <c r="M173" s="40" t="n">
        <v>0</v>
      </c>
      <c r="N173" s="40" t="n">
        <v>0</v>
      </c>
      <c r="O173" s="40" t="n">
        <v>0</v>
      </c>
      <c r="P173" s="40" t="n">
        <v>0</v>
      </c>
      <c r="Q173" s="40" t="n">
        <v>0</v>
      </c>
      <c r="R173" s="47" t="n"/>
      <c r="S173" s="47" t="n"/>
      <c r="T173" s="47" t="n"/>
      <c r="U173" s="47" t="n"/>
      <c r="V173" s="47" t="n"/>
      <c r="W173" s="47" t="n"/>
    </row>
    <row r="174" ht="12" customHeight="1">
      <c r="A174" s="30" t="inlineStr">
        <is>
          <t>Porto Real</t>
        </is>
      </c>
      <c r="B174" s="30" t="n">
        <v>77071865</v>
      </c>
      <c r="C174" s="30">
        <f>"03930702000162"</f>
        <v/>
      </c>
      <c r="D174" s="30" t="inlineStr">
        <is>
          <t>ULTRANSPORTES TRANSPORTADORA LTDA</t>
        </is>
      </c>
      <c r="E174" s="40" t="n">
        <v>1323.56</v>
      </c>
      <c r="F174" s="40" t="n">
        <v>10.5</v>
      </c>
      <c r="G174" s="46" t="n">
        <v>-99.20999999999999</v>
      </c>
      <c r="H174" s="40" t="n">
        <v>0</v>
      </c>
      <c r="I174" s="46" t="n">
        <v>-100</v>
      </c>
      <c r="J174" s="40" t="n">
        <v>0</v>
      </c>
      <c r="K174" s="40" t="n">
        <v>0</v>
      </c>
      <c r="L174" s="40" t="n">
        <v>0</v>
      </c>
      <c r="M174" s="40" t="n">
        <v>0</v>
      </c>
      <c r="N174" s="40" t="n">
        <v>0</v>
      </c>
      <c r="O174" s="40" t="n">
        <v>0</v>
      </c>
      <c r="P174" s="40" t="n">
        <v>0</v>
      </c>
      <c r="Q174" s="40" t="n">
        <v>0</v>
      </c>
      <c r="R174" s="47" t="n"/>
      <c r="S174" s="47" t="n"/>
      <c r="T174" s="47" t="n"/>
      <c r="U174" s="47" t="n"/>
      <c r="V174" s="47" t="n"/>
      <c r="W174" s="47" t="n"/>
    </row>
    <row r="175" ht="12" customHeight="1">
      <c r="A175" s="30" t="inlineStr">
        <is>
          <t>Porto Real</t>
        </is>
      </c>
      <c r="B175" s="30" t="n">
        <v>77076042</v>
      </c>
      <c r="C175" s="30">
        <f>"03948646000193"</f>
        <v/>
      </c>
      <c r="D175" s="30" t="inlineStr">
        <is>
          <t>EQUITRANS EQUIPAMENTOS TRANSPORTE E LOGISTICA LTDA</t>
        </is>
      </c>
      <c r="E175" s="40" t="n">
        <v>0</v>
      </c>
      <c r="F175" s="40" t="n">
        <v>300</v>
      </c>
      <c r="G175" s="40" t="n">
        <v>100</v>
      </c>
      <c r="H175" s="40" t="n">
        <v>0</v>
      </c>
      <c r="I175" s="46" t="n">
        <v>-100</v>
      </c>
      <c r="J175" s="40" t="n">
        <v>0</v>
      </c>
      <c r="K175" s="40" t="n">
        <v>0</v>
      </c>
      <c r="L175" s="40" t="n">
        <v>0</v>
      </c>
      <c r="M175" s="40" t="n">
        <v>0</v>
      </c>
      <c r="N175" s="40" t="n">
        <v>0</v>
      </c>
      <c r="O175" s="40" t="n">
        <v>0</v>
      </c>
      <c r="P175" s="40" t="n">
        <v>0</v>
      </c>
      <c r="Q175" s="40" t="n">
        <v>0</v>
      </c>
      <c r="R175" s="47" t="n"/>
      <c r="S175" s="47" t="n"/>
      <c r="T175" s="47" t="n"/>
      <c r="U175" s="47" t="n"/>
      <c r="V175" s="47" t="n"/>
      <c r="W175" s="47" t="n"/>
    </row>
    <row r="176" ht="12" customHeight="1">
      <c r="A176" s="30" t="inlineStr">
        <is>
          <t>Porto Real</t>
        </is>
      </c>
      <c r="B176" s="30" t="n">
        <v>77089535</v>
      </c>
      <c r="C176" s="30">
        <f>"36761633000402"</f>
        <v/>
      </c>
      <c r="D176" s="30" t="inlineStr">
        <is>
          <t>SEM FURO TRANSPORTES LTDA</t>
        </is>
      </c>
      <c r="E176" s="40" t="n">
        <v>0</v>
      </c>
      <c r="F176" s="40" t="n">
        <v>231.48</v>
      </c>
      <c r="G176" s="40" t="n">
        <v>100</v>
      </c>
      <c r="H176" s="40" t="n">
        <v>0</v>
      </c>
      <c r="I176" s="46" t="n">
        <v>-100</v>
      </c>
      <c r="J176" s="40" t="n">
        <v>0</v>
      </c>
      <c r="K176" s="40" t="n">
        <v>0</v>
      </c>
      <c r="L176" s="40" t="n">
        <v>0</v>
      </c>
      <c r="M176" s="40" t="n">
        <v>0</v>
      </c>
      <c r="N176" s="40" t="n">
        <v>0</v>
      </c>
      <c r="O176" s="40" t="n">
        <v>0</v>
      </c>
      <c r="P176" s="40" t="n">
        <v>0</v>
      </c>
      <c r="Q176" s="40" t="n">
        <v>0</v>
      </c>
      <c r="R176" s="47" t="n"/>
      <c r="S176" s="47" t="n"/>
      <c r="T176" s="47" t="n"/>
      <c r="U176" s="47" t="n"/>
      <c r="V176" s="47" t="n"/>
      <c r="W176" s="47" t="n"/>
    </row>
    <row r="177" ht="12" customHeight="1">
      <c r="A177" s="30" t="inlineStr">
        <is>
          <t>Porto Real</t>
        </is>
      </c>
      <c r="B177" s="30" t="n">
        <v>77099301</v>
      </c>
      <c r="C177" s="30">
        <f>"92644483000851"</f>
        <v/>
      </c>
      <c r="D177" s="30" t="inlineStr">
        <is>
          <t>TRANSPORTES GABARDO LTDA</t>
        </is>
      </c>
      <c r="E177" s="40" t="n">
        <v>0</v>
      </c>
      <c r="F177" s="40" t="n">
        <v>0</v>
      </c>
      <c r="G177" s="40" t="n">
        <v>0</v>
      </c>
      <c r="H177" s="40" t="n">
        <v>0</v>
      </c>
      <c r="I177" s="40" t="n">
        <v>0</v>
      </c>
      <c r="J177" s="40" t="n">
        <v>0</v>
      </c>
      <c r="K177" s="40" t="n">
        <v>0</v>
      </c>
      <c r="L177" s="40" t="n">
        <v>1700</v>
      </c>
      <c r="M177" s="40" t="n">
        <v>100</v>
      </c>
      <c r="N177" s="40" t="n">
        <v>4000</v>
      </c>
      <c r="O177" s="40" t="n">
        <v>135.29</v>
      </c>
      <c r="P177" s="40" t="n">
        <v>14000</v>
      </c>
      <c r="Q177" s="40" t="n">
        <v>250</v>
      </c>
      <c r="R177" s="47" t="n"/>
      <c r="S177" s="47" t="n"/>
      <c r="T177" s="47" t="n"/>
      <c r="U177" s="47" t="n"/>
      <c r="V177" s="47" t="n"/>
      <c r="W177" s="47" t="n"/>
    </row>
    <row r="178" ht="12" customHeight="1">
      <c r="A178" s="30" t="inlineStr">
        <is>
          <t>Porto Real</t>
        </is>
      </c>
      <c r="B178" s="30" t="n">
        <v>77108661</v>
      </c>
      <c r="C178" s="30">
        <f>"38625968000267"</f>
        <v/>
      </c>
      <c r="D178" s="30" t="inlineStr">
        <is>
          <t>TRANSVALENTE LOGISTICA LIMITADA</t>
        </is>
      </c>
      <c r="E178" s="40" t="n">
        <v>0</v>
      </c>
      <c r="F178" s="40" t="n">
        <v>0</v>
      </c>
      <c r="G178" s="40" t="n">
        <v>0</v>
      </c>
      <c r="H178" s="40" t="n">
        <v>0</v>
      </c>
      <c r="I178" s="40" t="n">
        <v>0</v>
      </c>
      <c r="J178" s="40" t="n">
        <v>0</v>
      </c>
      <c r="K178" s="40" t="n">
        <v>0</v>
      </c>
      <c r="L178" s="40" t="n">
        <v>7604.1</v>
      </c>
      <c r="M178" s="40" t="n">
        <v>100</v>
      </c>
      <c r="N178" s="40" t="n">
        <v>0</v>
      </c>
      <c r="O178" s="46" t="n">
        <v>-100</v>
      </c>
      <c r="P178" s="40" t="n">
        <v>0</v>
      </c>
      <c r="Q178" s="40" t="n">
        <v>0</v>
      </c>
      <c r="R178" s="47" t="n"/>
      <c r="S178" s="47" t="n"/>
      <c r="T178" s="47" t="n"/>
      <c r="U178" s="47" t="n"/>
      <c r="V178" s="47" t="n"/>
      <c r="W178" s="47" t="n"/>
    </row>
    <row r="179" ht="12" customHeight="1">
      <c r="A179" s="30" t="inlineStr">
        <is>
          <t>Porto Real</t>
        </is>
      </c>
      <c r="B179" s="30" t="n">
        <v>77120688</v>
      </c>
      <c r="C179" s="30">
        <f>"19368927001006"</f>
        <v/>
      </c>
      <c r="D179" s="30" t="inlineStr">
        <is>
          <t>EXPRESSO NEPOMUCENO SA</t>
        </is>
      </c>
      <c r="E179" s="40" t="n">
        <v>1080170.39</v>
      </c>
      <c r="F179" s="40" t="n">
        <v>1487025.23</v>
      </c>
      <c r="G179" s="40" t="n">
        <v>37.67</v>
      </c>
      <c r="H179" s="40" t="n">
        <v>414650.06</v>
      </c>
      <c r="I179" s="46" t="n">
        <v>-72.12</v>
      </c>
      <c r="J179" s="40" t="n">
        <v>133885.03</v>
      </c>
      <c r="K179" s="46" t="n">
        <v>-67.70999999999999</v>
      </c>
      <c r="L179" s="40" t="n">
        <v>348541.94</v>
      </c>
      <c r="M179" s="40" t="n">
        <v>160.33</v>
      </c>
      <c r="N179" s="40" t="n">
        <v>209735.99</v>
      </c>
      <c r="O179" s="46" t="n">
        <v>-39.82</v>
      </c>
      <c r="P179" s="40" t="n">
        <v>161553.42</v>
      </c>
      <c r="Q179" s="46" t="n">
        <v>-22.97</v>
      </c>
      <c r="R179" s="47" t="n"/>
      <c r="S179" s="47" t="n"/>
      <c r="T179" s="47" t="n"/>
      <c r="U179" s="47" t="n"/>
      <c r="V179" s="47" t="n"/>
      <c r="W179" s="47" t="n"/>
    </row>
    <row r="180" ht="12" customHeight="1">
      <c r="A180" s="30" t="inlineStr">
        <is>
          <t>Porto Real</t>
        </is>
      </c>
      <c r="B180" s="30" t="n">
        <v>77126600</v>
      </c>
      <c r="C180" s="30">
        <f>"62408703000534"</f>
        <v/>
      </c>
      <c r="D180" s="30" t="inlineStr">
        <is>
          <t>MOPRI TRANSPORTE LTDA</t>
        </is>
      </c>
      <c r="E180" s="40" t="n">
        <v>423.31</v>
      </c>
      <c r="F180" s="40" t="n">
        <v>69.62</v>
      </c>
      <c r="G180" s="46" t="n">
        <v>-83.55</v>
      </c>
      <c r="H180" s="40" t="n">
        <v>0</v>
      </c>
      <c r="I180" s="46" t="n">
        <v>-100</v>
      </c>
      <c r="J180" s="40" t="n">
        <v>0</v>
      </c>
      <c r="K180" s="40" t="n">
        <v>0</v>
      </c>
      <c r="L180" s="40" t="n">
        <v>0</v>
      </c>
      <c r="M180" s="40" t="n">
        <v>0</v>
      </c>
      <c r="N180" s="40" t="n">
        <v>0</v>
      </c>
      <c r="O180" s="40" t="n">
        <v>0</v>
      </c>
      <c r="P180" s="40" t="n">
        <v>0</v>
      </c>
      <c r="Q180" s="40" t="n">
        <v>0</v>
      </c>
      <c r="R180" s="47" t="n"/>
      <c r="S180" s="47" t="n"/>
      <c r="T180" s="47" t="n"/>
      <c r="U180" s="47" t="n"/>
      <c r="V180" s="47" t="n"/>
      <c r="W180" s="47" t="n"/>
    </row>
    <row r="181" ht="12" customHeight="1">
      <c r="A181" s="30" t="inlineStr">
        <is>
          <t>Porto Real</t>
        </is>
      </c>
      <c r="B181" s="30" t="n">
        <v>77142126</v>
      </c>
      <c r="C181" s="30">
        <f>"04155259000324"</f>
        <v/>
      </c>
      <c r="D181" s="30" t="inlineStr">
        <is>
          <t>TRANSPORTADORA M M A LTDA</t>
        </is>
      </c>
      <c r="E181" s="40" t="n">
        <v>0</v>
      </c>
      <c r="F181" s="40" t="n">
        <v>0</v>
      </c>
      <c r="G181" s="40" t="n">
        <v>0</v>
      </c>
      <c r="H181" s="40" t="n">
        <v>0</v>
      </c>
      <c r="I181" s="40" t="n">
        <v>0</v>
      </c>
      <c r="J181" s="40" t="n">
        <v>194.78</v>
      </c>
      <c r="K181" s="40" t="n">
        <v>100</v>
      </c>
      <c r="L181" s="40" t="n">
        <v>62.55</v>
      </c>
      <c r="M181" s="46" t="n">
        <v>-67.89</v>
      </c>
      <c r="N181" s="40" t="n">
        <v>256.04</v>
      </c>
      <c r="O181" s="40" t="n">
        <v>309.34</v>
      </c>
      <c r="P181" s="40" t="n">
        <v>89.8</v>
      </c>
      <c r="Q181" s="46" t="n">
        <v>-64.93000000000001</v>
      </c>
      <c r="R181" s="47" t="n"/>
      <c r="S181" s="47" t="n"/>
      <c r="T181" s="47" t="n"/>
      <c r="U181" s="47" t="n"/>
      <c r="V181" s="47" t="n"/>
      <c r="W181" s="47" t="n"/>
    </row>
    <row r="182" ht="12" customHeight="1">
      <c r="A182" s="30" t="inlineStr">
        <is>
          <t>Porto Real</t>
        </is>
      </c>
      <c r="B182" s="30" t="n">
        <v>77164677</v>
      </c>
      <c r="C182" s="30">
        <f>"03341541000252"</f>
        <v/>
      </c>
      <c r="D182" s="30" t="inlineStr">
        <is>
          <t>RTM REDE DE TELECOMUNICACOES PARA O MERCADO LTDA</t>
        </is>
      </c>
      <c r="E182" s="40" t="n">
        <v>492.48</v>
      </c>
      <c r="F182" s="40" t="n">
        <v>458.67</v>
      </c>
      <c r="G182" s="46" t="n">
        <v>-6.87</v>
      </c>
      <c r="H182" s="40" t="n">
        <v>587.91</v>
      </c>
      <c r="I182" s="40" t="n">
        <v>28.18</v>
      </c>
      <c r="J182" s="40" t="n">
        <v>968.2</v>
      </c>
      <c r="K182" s="40" t="n">
        <v>64.69</v>
      </c>
      <c r="L182" s="40" t="n">
        <v>1031.12</v>
      </c>
      <c r="M182" s="40" t="n">
        <v>6.5</v>
      </c>
      <c r="N182" s="40" t="n">
        <v>1026.69</v>
      </c>
      <c r="O182" s="46" t="n">
        <v>-0.43</v>
      </c>
      <c r="P182" s="40" t="n">
        <v>1083.53</v>
      </c>
      <c r="Q182" s="40" t="n">
        <v>5.54</v>
      </c>
      <c r="R182" s="47" t="n"/>
      <c r="S182" s="47" t="n"/>
      <c r="T182" s="47" t="n"/>
      <c r="U182" s="47" t="n"/>
      <c r="V182" s="47" t="n"/>
      <c r="W182" s="47" t="n"/>
    </row>
    <row r="183" ht="12" customHeight="1">
      <c r="A183" s="30" t="inlineStr">
        <is>
          <t>Porto Real</t>
        </is>
      </c>
      <c r="B183" s="30" t="n">
        <v>77169261</v>
      </c>
      <c r="C183" s="30">
        <f>"32492373002167"</f>
        <v/>
      </c>
      <c r="D183" s="30" t="inlineStr">
        <is>
          <t>TRANSPORTE EXCELSIOR LTDA</t>
        </is>
      </c>
      <c r="E183" s="40" t="n">
        <v>160370.65</v>
      </c>
      <c r="F183" s="40" t="n">
        <v>91612.85000000001</v>
      </c>
      <c r="G183" s="46" t="n">
        <v>-42.87</v>
      </c>
      <c r="H183" s="40" t="n">
        <v>167198.57</v>
      </c>
      <c r="I183" s="40" t="n">
        <v>82.51000000000001</v>
      </c>
      <c r="J183" s="40" t="n">
        <v>112488.74</v>
      </c>
      <c r="K183" s="46" t="n">
        <v>-32.72</v>
      </c>
      <c r="L183" s="40" t="n">
        <v>123391.24</v>
      </c>
      <c r="M183" s="40" t="n">
        <v>9.69</v>
      </c>
      <c r="N183" s="40" t="n">
        <v>180642.38</v>
      </c>
      <c r="O183" s="40" t="n">
        <v>46.4</v>
      </c>
      <c r="P183" s="40" t="n">
        <v>306464.82</v>
      </c>
      <c r="Q183" s="40" t="n">
        <v>69.65000000000001</v>
      </c>
      <c r="R183" s="47" t="n"/>
      <c r="S183" s="47" t="n"/>
      <c r="T183" s="47" t="n"/>
      <c r="U183" s="47" t="n"/>
      <c r="V183" s="47" t="n"/>
      <c r="W183" s="47" t="n"/>
    </row>
    <row r="184" ht="12" customHeight="1">
      <c r="A184" s="30" t="inlineStr">
        <is>
          <t>Porto Real</t>
        </is>
      </c>
      <c r="B184" s="30" t="n">
        <v>77191097</v>
      </c>
      <c r="C184" s="30">
        <f>"04020515000376"</f>
        <v/>
      </c>
      <c r="D184" s="30" t="inlineStr">
        <is>
          <t>PONTOCOM SERVICES LTDA</t>
        </is>
      </c>
      <c r="E184" s="40" t="n">
        <v>0</v>
      </c>
      <c r="F184" s="40" t="n">
        <v>0</v>
      </c>
      <c r="G184" s="40" t="n">
        <v>0</v>
      </c>
      <c r="H184" s="40" t="n">
        <v>47.49</v>
      </c>
      <c r="I184" s="40" t="n">
        <v>100</v>
      </c>
      <c r="J184" s="40" t="n">
        <v>0</v>
      </c>
      <c r="K184" s="46" t="n">
        <v>-100</v>
      </c>
      <c r="L184" s="40" t="n">
        <v>17.99</v>
      </c>
      <c r="M184" s="40" t="n">
        <v>100</v>
      </c>
      <c r="N184" s="40" t="n">
        <v>0</v>
      </c>
      <c r="O184" s="46" t="n">
        <v>-100</v>
      </c>
      <c r="P184" s="40" t="n">
        <v>0</v>
      </c>
      <c r="Q184" s="40" t="n">
        <v>0</v>
      </c>
      <c r="R184" s="47" t="n"/>
      <c r="S184" s="47" t="n"/>
      <c r="T184" s="47" t="n"/>
      <c r="U184" s="47" t="n"/>
      <c r="V184" s="47" t="n"/>
      <c r="W184" s="47" t="n"/>
    </row>
    <row r="185" ht="12" customHeight="1">
      <c r="A185" s="30" t="inlineStr">
        <is>
          <t>Porto Real</t>
        </is>
      </c>
      <c r="B185" s="30" t="n">
        <v>77215573</v>
      </c>
      <c r="C185" s="30">
        <f>"93793842000714"</f>
        <v/>
      </c>
      <c r="D185" s="30" t="inlineStr">
        <is>
          <t>SERVICARGA TRANSPORTES E SERVICOS LTDA</t>
        </is>
      </c>
      <c r="E185" s="40" t="n">
        <v>3963.64</v>
      </c>
      <c r="F185" s="40" t="n">
        <v>0</v>
      </c>
      <c r="G185" s="46" t="n">
        <v>-100</v>
      </c>
      <c r="H185" s="40" t="n">
        <v>0</v>
      </c>
      <c r="I185" s="40" t="n">
        <v>0</v>
      </c>
      <c r="J185" s="40" t="n">
        <v>10647.56</v>
      </c>
      <c r="K185" s="40" t="n">
        <v>100</v>
      </c>
      <c r="L185" s="40" t="n">
        <v>0</v>
      </c>
      <c r="M185" s="46" t="n">
        <v>-100</v>
      </c>
      <c r="N185" s="40" t="n">
        <v>0</v>
      </c>
      <c r="O185" s="40" t="n">
        <v>0</v>
      </c>
      <c r="P185" s="40" t="n">
        <v>0</v>
      </c>
      <c r="Q185" s="40" t="n">
        <v>0</v>
      </c>
      <c r="R185" s="47" t="n"/>
      <c r="S185" s="47" t="n"/>
      <c r="T185" s="47" t="n"/>
      <c r="U185" s="47" t="n"/>
      <c r="V185" s="47" t="n"/>
      <c r="W185" s="47" t="n"/>
    </row>
    <row r="186" ht="12" customHeight="1">
      <c r="A186" s="30" t="inlineStr">
        <is>
          <t>Porto Real</t>
        </is>
      </c>
      <c r="B186" s="30" t="n">
        <v>77234055</v>
      </c>
      <c r="C186" s="30">
        <f>"04650344000105"</f>
        <v/>
      </c>
      <c r="D186" s="30" t="inlineStr">
        <is>
          <t>MERCEARIA 37 DE PORTO REAL LTDA</t>
        </is>
      </c>
      <c r="E186" s="40" t="n">
        <v>0</v>
      </c>
      <c r="F186" s="40" t="n">
        <v>0</v>
      </c>
      <c r="G186" s="40" t="n">
        <v>0</v>
      </c>
      <c r="H186" s="40" t="n">
        <v>0</v>
      </c>
      <c r="I186" s="40" t="n">
        <v>0</v>
      </c>
      <c r="J186" s="40" t="n">
        <v>0</v>
      </c>
      <c r="K186" s="40" t="n">
        <v>0</v>
      </c>
      <c r="L186" s="40" t="n">
        <v>0</v>
      </c>
      <c r="M186" s="40" t="n">
        <v>0</v>
      </c>
      <c r="N186" s="40" t="n">
        <v>0</v>
      </c>
      <c r="O186" s="40" t="n">
        <v>0</v>
      </c>
      <c r="P186" s="40" t="n">
        <v>0</v>
      </c>
      <c r="Q186" s="40" t="n">
        <v>0</v>
      </c>
      <c r="R186" s="47" t="n"/>
      <c r="S186" s="47" t="n"/>
      <c r="T186" s="47" t="n"/>
      <c r="U186" s="47" t="n"/>
      <c r="V186" s="47" t="n"/>
      <c r="W186" s="47" t="n"/>
    </row>
    <row r="187" ht="12" customHeight="1">
      <c r="A187" s="30" t="inlineStr">
        <is>
          <t>Porto Real</t>
        </is>
      </c>
      <c r="B187" s="30" t="n">
        <v>77238182</v>
      </c>
      <c r="C187" s="30">
        <f>"04206050004410"</f>
        <v/>
      </c>
      <c r="D187" s="30" t="inlineStr">
        <is>
          <t>TIM CELULAR S/A</t>
        </is>
      </c>
      <c r="E187" s="40" t="n">
        <v>210837.33</v>
      </c>
      <c r="F187" s="40" t="n">
        <v>178714.18</v>
      </c>
      <c r="G187" s="46" t="n">
        <v>-15.24</v>
      </c>
      <c r="H187" s="40" t="n">
        <v>0</v>
      </c>
      <c r="I187" s="46" t="n">
        <v>-100</v>
      </c>
      <c r="J187" s="40" t="n">
        <v>0</v>
      </c>
      <c r="K187" s="40" t="n">
        <v>0</v>
      </c>
      <c r="L187" s="40" t="n">
        <v>0</v>
      </c>
      <c r="M187" s="40" t="n">
        <v>0</v>
      </c>
      <c r="N187" s="40" t="n">
        <v>0</v>
      </c>
      <c r="O187" s="40" t="n">
        <v>0</v>
      </c>
      <c r="P187" s="40" t="n">
        <v>0</v>
      </c>
      <c r="Q187" s="40" t="n">
        <v>0</v>
      </c>
      <c r="R187" s="47" t="n"/>
      <c r="S187" s="47" t="n"/>
      <c r="T187" s="47" t="n"/>
      <c r="U187" s="47" t="n"/>
      <c r="V187" s="47" t="n"/>
      <c r="W187" s="47" t="n"/>
    </row>
    <row r="188" ht="12" customHeight="1">
      <c r="A188" s="30" t="inlineStr">
        <is>
          <t>Porto Real</t>
        </is>
      </c>
      <c r="B188" s="30" t="n">
        <v>77257594</v>
      </c>
      <c r="C188" s="30">
        <f>"32681371001144"</f>
        <v/>
      </c>
      <c r="D188" s="30" t="inlineStr">
        <is>
          <t>VIX LOGISTICA S/A</t>
        </is>
      </c>
      <c r="E188" s="40" t="n">
        <v>0</v>
      </c>
      <c r="F188" s="40" t="n">
        <v>0</v>
      </c>
      <c r="G188" s="40" t="n">
        <v>0</v>
      </c>
      <c r="H188" s="40" t="n">
        <v>0</v>
      </c>
      <c r="I188" s="40" t="n">
        <v>0</v>
      </c>
      <c r="J188" s="40" t="n">
        <v>0</v>
      </c>
      <c r="K188" s="40" t="n">
        <v>0</v>
      </c>
      <c r="L188" s="40" t="n">
        <v>0</v>
      </c>
      <c r="M188" s="40" t="n">
        <v>0</v>
      </c>
      <c r="N188" s="40" t="n">
        <v>0</v>
      </c>
      <c r="O188" s="40" t="n">
        <v>0</v>
      </c>
      <c r="P188" s="40" t="n">
        <v>0</v>
      </c>
      <c r="Q188" s="40" t="n">
        <v>0</v>
      </c>
      <c r="R188" s="47" t="n"/>
      <c r="S188" s="47" t="n"/>
      <c r="T188" s="47" t="n"/>
      <c r="U188" s="47" t="n"/>
      <c r="V188" s="47" t="n"/>
      <c r="W188" s="47" t="n"/>
    </row>
    <row r="189" ht="12" customHeight="1">
      <c r="A189" s="30" t="inlineStr">
        <is>
          <t>Porto Real</t>
        </is>
      </c>
      <c r="B189" s="30" t="n">
        <v>77290028</v>
      </c>
      <c r="C189" s="30">
        <f>"03341775000461"</f>
        <v/>
      </c>
      <c r="D189" s="30" t="inlineStr">
        <is>
          <t>TRANSPORTES MOBILINE LTDA</t>
        </is>
      </c>
      <c r="E189" s="40" t="n">
        <v>0</v>
      </c>
      <c r="F189" s="40" t="n">
        <v>0</v>
      </c>
      <c r="G189" s="40" t="n">
        <v>0</v>
      </c>
      <c r="H189" s="40" t="n">
        <v>0</v>
      </c>
      <c r="I189" s="40" t="n">
        <v>0</v>
      </c>
      <c r="J189" s="40" t="n">
        <v>510</v>
      </c>
      <c r="K189" s="40" t="n">
        <v>100</v>
      </c>
      <c r="L189" s="40" t="n">
        <v>0</v>
      </c>
      <c r="M189" s="46" t="n">
        <v>-100</v>
      </c>
      <c r="N189" s="40" t="n">
        <v>870</v>
      </c>
      <c r="O189" s="40" t="n">
        <v>100</v>
      </c>
      <c r="P189" s="40" t="n">
        <v>939.99</v>
      </c>
      <c r="Q189" s="40" t="n">
        <v>8.039999999999999</v>
      </c>
      <c r="R189" s="47" t="n"/>
      <c r="S189" s="47" t="n"/>
      <c r="T189" s="47" t="n"/>
      <c r="U189" s="47" t="n"/>
      <c r="V189" s="47" t="n"/>
      <c r="W189" s="47" t="n"/>
    </row>
    <row r="190" ht="12" customHeight="1">
      <c r="A190" s="30" t="inlineStr">
        <is>
          <t>Porto Real</t>
        </is>
      </c>
      <c r="B190" s="30" t="n">
        <v>77329145</v>
      </c>
      <c r="C190" s="30">
        <f>"04927116000121"</f>
        <v/>
      </c>
      <c r="D190" s="30" t="inlineStr">
        <is>
          <t>V B SILVA JUNIOR TRANSPORTES</t>
        </is>
      </c>
      <c r="E190" s="40" t="n">
        <v>0</v>
      </c>
      <c r="F190" s="40" t="n">
        <v>244782.04</v>
      </c>
      <c r="G190" s="40" t="n">
        <v>100</v>
      </c>
      <c r="H190" s="40" t="n">
        <v>2401.63</v>
      </c>
      <c r="I190" s="46" t="n">
        <v>-99.02</v>
      </c>
      <c r="J190" s="40" t="n">
        <v>2183.3</v>
      </c>
      <c r="K190" s="46" t="n">
        <v>-9.09</v>
      </c>
      <c r="L190" s="40" t="n">
        <v>0</v>
      </c>
      <c r="M190" s="46" t="n">
        <v>-100</v>
      </c>
      <c r="N190" s="40" t="n">
        <v>0</v>
      </c>
      <c r="O190" s="40" t="n">
        <v>0</v>
      </c>
      <c r="P190" s="40" t="n">
        <v>0</v>
      </c>
      <c r="Q190" s="40" t="n">
        <v>0</v>
      </c>
      <c r="R190" s="47" t="n"/>
      <c r="S190" s="47" t="n"/>
      <c r="T190" s="47" t="n"/>
      <c r="U190" s="47" t="n"/>
      <c r="V190" s="47" t="n"/>
      <c r="W190" s="47" t="n"/>
    </row>
    <row r="191" ht="12" customHeight="1">
      <c r="A191" s="30" t="inlineStr">
        <is>
          <t>Porto Real</t>
        </is>
      </c>
      <c r="B191" s="30" t="n">
        <v>77346015</v>
      </c>
      <c r="C191" s="30">
        <f>"81382525000483"</f>
        <v/>
      </c>
      <c r="D191" s="30" t="inlineStr">
        <is>
          <t>SUL CONTINENTAL TRANSPORTES LTDA</t>
        </is>
      </c>
      <c r="E191" s="40" t="n">
        <v>796.8200000000001</v>
      </c>
      <c r="F191" s="40" t="n">
        <v>0</v>
      </c>
      <c r="G191" s="46" t="n">
        <v>-100</v>
      </c>
      <c r="H191" s="40" t="n">
        <v>0</v>
      </c>
      <c r="I191" s="40" t="n">
        <v>0</v>
      </c>
      <c r="J191" s="40" t="n">
        <v>0</v>
      </c>
      <c r="K191" s="40" t="n">
        <v>0</v>
      </c>
      <c r="L191" s="40" t="n">
        <v>0</v>
      </c>
      <c r="M191" s="40" t="n">
        <v>0</v>
      </c>
      <c r="N191" s="40" t="n">
        <v>0</v>
      </c>
      <c r="O191" s="40" t="n">
        <v>0</v>
      </c>
      <c r="P191" s="40" t="n">
        <v>0</v>
      </c>
      <c r="Q191" s="40" t="n">
        <v>0</v>
      </c>
      <c r="R191" s="47" t="n"/>
      <c r="S191" s="47" t="n"/>
      <c r="T191" s="47" t="n"/>
      <c r="U191" s="47" t="n"/>
      <c r="V191" s="47" t="n"/>
      <c r="W191" s="47" t="n"/>
    </row>
    <row r="192" ht="12" customHeight="1">
      <c r="A192" s="30" t="inlineStr">
        <is>
          <t>Porto Real</t>
        </is>
      </c>
      <c r="B192" s="30" t="n">
        <v>77356584</v>
      </c>
      <c r="C192" s="30">
        <f>"04965862000100"</f>
        <v/>
      </c>
      <c r="D192" s="30" t="inlineStr">
        <is>
          <t>MG ENGENHARIA E CONSULTORIA EIRELI</t>
        </is>
      </c>
      <c r="E192" s="40" t="n">
        <v>0</v>
      </c>
      <c r="F192" s="40" t="n">
        <v>0</v>
      </c>
      <c r="G192" s="40" t="n">
        <v>0</v>
      </c>
      <c r="H192" s="40" t="n">
        <v>0</v>
      </c>
      <c r="I192" s="40" t="n">
        <v>0</v>
      </c>
      <c r="J192" s="40" t="n">
        <v>0</v>
      </c>
      <c r="K192" s="40" t="n">
        <v>0</v>
      </c>
      <c r="L192" s="40" t="n">
        <v>0</v>
      </c>
      <c r="M192" s="40" t="n">
        <v>0</v>
      </c>
      <c r="N192" s="40" t="n">
        <v>0</v>
      </c>
      <c r="O192" s="40" t="n">
        <v>0</v>
      </c>
      <c r="P192" s="40" t="n">
        <v>0</v>
      </c>
      <c r="Q192" s="40" t="n">
        <v>0</v>
      </c>
      <c r="R192" s="47" t="n"/>
      <c r="S192" s="47" t="n"/>
      <c r="T192" s="47" t="n"/>
      <c r="U192" s="47" t="n"/>
      <c r="V192" s="47" t="n"/>
      <c r="W192" s="47" t="n"/>
    </row>
    <row r="193" ht="12" customHeight="1">
      <c r="A193" s="30" t="inlineStr">
        <is>
          <t>Porto Real</t>
        </is>
      </c>
      <c r="B193" s="30" t="n">
        <v>77365117</v>
      </c>
      <c r="C193" s="30">
        <f>"05014171000193"</f>
        <v/>
      </c>
      <c r="D193" s="30" t="inlineStr">
        <is>
          <t>A D G DE JESUS TRANSPORTES LTDA</t>
        </is>
      </c>
      <c r="E193" s="40" t="n">
        <v>100960</v>
      </c>
      <c r="F193" s="40" t="n">
        <v>94877.42</v>
      </c>
      <c r="G193" s="46" t="n">
        <v>-6.02</v>
      </c>
      <c r="H193" s="40" t="n">
        <v>0</v>
      </c>
      <c r="I193" s="46" t="n">
        <v>-100</v>
      </c>
      <c r="J193" s="40" t="n">
        <v>0</v>
      </c>
      <c r="K193" s="40" t="n">
        <v>0</v>
      </c>
      <c r="L193" s="40" t="n">
        <v>0</v>
      </c>
      <c r="M193" s="40" t="n">
        <v>0</v>
      </c>
      <c r="N193" s="40" t="n">
        <v>0</v>
      </c>
      <c r="O193" s="40" t="n">
        <v>0</v>
      </c>
      <c r="P193" s="40" t="n">
        <v>0</v>
      </c>
      <c r="Q193" s="40" t="n">
        <v>0</v>
      </c>
      <c r="R193" s="47" t="n"/>
      <c r="S193" s="47" t="n"/>
      <c r="T193" s="47" t="n"/>
      <c r="U193" s="47" t="n"/>
      <c r="V193" s="47" t="n"/>
      <c r="W193" s="47" t="n"/>
    </row>
    <row r="194" ht="12" customHeight="1">
      <c r="A194" s="30" t="inlineStr">
        <is>
          <t>Porto Real</t>
        </is>
      </c>
      <c r="B194" s="30" t="n">
        <v>77368280</v>
      </c>
      <c r="C194" s="30">
        <f>"60619202000571"</f>
        <v/>
      </c>
      <c r="D194" s="30" t="inlineStr">
        <is>
          <t>MESSER GASES LTDA.</t>
        </is>
      </c>
      <c r="E194" s="40" t="n">
        <v>0</v>
      </c>
      <c r="F194" s="40" t="n">
        <v>0</v>
      </c>
      <c r="G194" s="40" t="n">
        <v>0</v>
      </c>
      <c r="H194" s="40" t="n">
        <v>0</v>
      </c>
      <c r="I194" s="40" t="n">
        <v>0</v>
      </c>
      <c r="J194" s="40" t="n">
        <v>0</v>
      </c>
      <c r="K194" s="40" t="n">
        <v>0</v>
      </c>
      <c r="L194" s="40" t="n">
        <v>0</v>
      </c>
      <c r="M194" s="40" t="n">
        <v>0</v>
      </c>
      <c r="N194" s="40" t="n">
        <v>0</v>
      </c>
      <c r="O194" s="40" t="n">
        <v>0</v>
      </c>
      <c r="P194" s="40" t="n">
        <v>0</v>
      </c>
      <c r="Q194" s="40" t="n">
        <v>0</v>
      </c>
      <c r="R194" s="47" t="n"/>
      <c r="S194" s="47" t="n"/>
      <c r="T194" s="47" t="n"/>
      <c r="U194" s="47" t="n"/>
      <c r="V194" s="47" t="n"/>
      <c r="W194" s="47" t="n"/>
    </row>
    <row r="195" ht="12" customHeight="1">
      <c r="A195" s="30" t="inlineStr">
        <is>
          <t>Porto Real</t>
        </is>
      </c>
      <c r="B195" s="30" t="n">
        <v>77380450</v>
      </c>
      <c r="C195" s="30">
        <f>"19199348003284"</f>
        <v/>
      </c>
      <c r="D195" s="30" t="inlineStr">
        <is>
          <t>SADA TRANSPORTES E ARMAZENAGENS S/A</t>
        </is>
      </c>
      <c r="E195" s="40" t="n">
        <v>8001262.97</v>
      </c>
      <c r="F195" s="40" t="n">
        <v>7297446.64</v>
      </c>
      <c r="G195" s="46" t="n">
        <v>-8.800000000000001</v>
      </c>
      <c r="H195" s="40" t="n">
        <v>7731105.36</v>
      </c>
      <c r="I195" s="40" t="n">
        <v>5.94</v>
      </c>
      <c r="J195" s="40" t="n">
        <v>4148239.32</v>
      </c>
      <c r="K195" s="46" t="n">
        <v>-46.34</v>
      </c>
      <c r="L195" s="40" t="n">
        <v>9512714.199999999</v>
      </c>
      <c r="M195" s="40" t="n">
        <v>129.32</v>
      </c>
      <c r="N195" s="40" t="n">
        <v>22515771.49</v>
      </c>
      <c r="O195" s="40" t="n">
        <v>136.69</v>
      </c>
      <c r="P195" s="40" t="n">
        <v>15150360.38</v>
      </c>
      <c r="Q195" s="46" t="n">
        <v>-32.71</v>
      </c>
      <c r="R195" s="47" t="n"/>
      <c r="S195" s="47" t="n"/>
      <c r="T195" s="47" t="n"/>
      <c r="U195" s="47" t="n"/>
      <c r="V195" s="47" t="n"/>
      <c r="W195" s="47" t="n"/>
    </row>
    <row r="196" ht="12" customHeight="1">
      <c r="A196" s="30" t="inlineStr">
        <is>
          <t>Porto Real</t>
        </is>
      </c>
      <c r="B196" s="30" t="n">
        <v>77410716</v>
      </c>
      <c r="C196" s="30">
        <f>"78147105001056"</f>
        <v/>
      </c>
      <c r="D196" s="30" t="inlineStr">
        <is>
          <t>TRANSPORTADORA VANTROBA LTDA</t>
        </is>
      </c>
      <c r="E196" s="40" t="n">
        <v>0</v>
      </c>
      <c r="F196" s="40" t="n">
        <v>0</v>
      </c>
      <c r="G196" s="40" t="n">
        <v>0</v>
      </c>
      <c r="H196" s="40" t="n">
        <v>0</v>
      </c>
      <c r="I196" s="40" t="n">
        <v>0</v>
      </c>
      <c r="J196" s="40" t="n">
        <v>3237.68</v>
      </c>
      <c r="K196" s="40" t="n">
        <v>100</v>
      </c>
      <c r="L196" s="40" t="n">
        <v>0</v>
      </c>
      <c r="M196" s="46" t="n">
        <v>-100</v>
      </c>
      <c r="N196" s="40" t="n">
        <v>0</v>
      </c>
      <c r="O196" s="40" t="n">
        <v>0</v>
      </c>
      <c r="P196" s="40" t="n">
        <v>0</v>
      </c>
      <c r="Q196" s="40" t="n">
        <v>0</v>
      </c>
      <c r="R196" s="47" t="n"/>
      <c r="S196" s="47" t="n"/>
      <c r="T196" s="47" t="n"/>
      <c r="U196" s="47" t="n"/>
      <c r="V196" s="47" t="n"/>
      <c r="W196" s="47" t="n"/>
    </row>
    <row r="197" ht="12" customHeight="1">
      <c r="A197" s="30" t="inlineStr">
        <is>
          <t>Porto Real</t>
        </is>
      </c>
      <c r="B197" s="30" t="n">
        <v>77421718</v>
      </c>
      <c r="C197" s="30">
        <f>"01014373000508"</f>
        <v/>
      </c>
      <c r="D197" s="30" t="inlineStr">
        <is>
          <t>AEROSOFT CARGAS AEREAS LTDA</t>
        </is>
      </c>
      <c r="E197" s="40" t="n">
        <v>0</v>
      </c>
      <c r="F197" s="40" t="n">
        <v>0</v>
      </c>
      <c r="G197" s="40" t="n">
        <v>0</v>
      </c>
      <c r="H197" s="40" t="n">
        <v>104.49</v>
      </c>
      <c r="I197" s="40" t="n">
        <v>100</v>
      </c>
      <c r="J197" s="40" t="n">
        <v>0</v>
      </c>
      <c r="K197" s="46" t="n">
        <v>-100</v>
      </c>
      <c r="L197" s="40" t="n">
        <v>32.44</v>
      </c>
      <c r="M197" s="40" t="n">
        <v>100</v>
      </c>
      <c r="N197" s="40" t="n">
        <v>0</v>
      </c>
      <c r="O197" s="46" t="n">
        <v>-100</v>
      </c>
      <c r="P197" s="40" t="n">
        <v>0</v>
      </c>
      <c r="Q197" s="40" t="n">
        <v>0</v>
      </c>
      <c r="R197" s="47" t="n"/>
      <c r="S197" s="47" t="n"/>
      <c r="T197" s="47" t="n"/>
      <c r="U197" s="47" t="n"/>
      <c r="V197" s="47" t="n"/>
      <c r="W197" s="47" t="n"/>
    </row>
    <row r="198" ht="12" customHeight="1">
      <c r="A198" s="30" t="inlineStr">
        <is>
          <t>Porto Real</t>
        </is>
      </c>
      <c r="B198" s="30" t="n">
        <v>77422765</v>
      </c>
      <c r="C198" s="30">
        <f>"05251648000154"</f>
        <v/>
      </c>
      <c r="D198" s="30" t="inlineStr">
        <is>
          <t>MACROPO TRANSPORTES EIRELI</t>
        </is>
      </c>
      <c r="E198" s="40" t="n">
        <v>0</v>
      </c>
      <c r="F198" s="40" t="n">
        <v>68775</v>
      </c>
      <c r="G198" s="40" t="n">
        <v>100</v>
      </c>
      <c r="H198" s="40" t="n">
        <v>245650</v>
      </c>
      <c r="I198" s="40" t="n">
        <v>257.18</v>
      </c>
      <c r="J198" s="40" t="n">
        <v>34400</v>
      </c>
      <c r="K198" s="46" t="n">
        <v>-86</v>
      </c>
      <c r="L198" s="40" t="n">
        <v>86000</v>
      </c>
      <c r="M198" s="40" t="n">
        <v>150</v>
      </c>
      <c r="N198" s="40" t="n">
        <v>0</v>
      </c>
      <c r="O198" s="46" t="n">
        <v>-100</v>
      </c>
      <c r="P198" s="40" t="n">
        <v>0</v>
      </c>
      <c r="Q198" s="40" t="n">
        <v>0</v>
      </c>
      <c r="R198" s="47" t="n"/>
      <c r="S198" s="47" t="n"/>
      <c r="T198" s="47" t="n"/>
      <c r="U198" s="47" t="n"/>
      <c r="V198" s="47" t="n"/>
      <c r="W198" s="47" t="n"/>
    </row>
    <row r="199" ht="12" customHeight="1">
      <c r="A199" s="30" t="inlineStr">
        <is>
          <t>Porto Real</t>
        </is>
      </c>
      <c r="B199" s="30" t="n">
        <v>77440330</v>
      </c>
      <c r="C199" s="30">
        <f>"04335814000138"</f>
        <v/>
      </c>
      <c r="D199" s="30" t="inlineStr">
        <is>
          <t>S &amp; A TRANSPORTES LTDA</t>
        </is>
      </c>
      <c r="E199" s="40" t="n">
        <v>1750</v>
      </c>
      <c r="F199" s="40" t="n">
        <v>1600</v>
      </c>
      <c r="G199" s="46" t="n">
        <v>-8.57</v>
      </c>
      <c r="H199" s="40" t="n">
        <v>0</v>
      </c>
      <c r="I199" s="46" t="n">
        <v>-100</v>
      </c>
      <c r="J199" s="40" t="n">
        <v>0</v>
      </c>
      <c r="K199" s="40" t="n">
        <v>0</v>
      </c>
      <c r="L199" s="40" t="n">
        <v>0</v>
      </c>
      <c r="M199" s="40" t="n">
        <v>0</v>
      </c>
      <c r="N199" s="40" t="n">
        <v>36900</v>
      </c>
      <c r="O199" s="40" t="n">
        <v>100</v>
      </c>
      <c r="P199" s="40" t="n">
        <v>0</v>
      </c>
      <c r="Q199" s="46" t="n">
        <v>-100</v>
      </c>
      <c r="R199" s="47" t="n"/>
      <c r="S199" s="47" t="n"/>
      <c r="T199" s="47" t="n"/>
      <c r="U199" s="47" t="n"/>
      <c r="V199" s="47" t="n"/>
      <c r="W199" s="47" t="n"/>
    </row>
    <row r="200" ht="12" customHeight="1">
      <c r="A200" s="30" t="inlineStr">
        <is>
          <t>Porto Real</t>
        </is>
      </c>
      <c r="B200" s="30" t="n">
        <v>77443673</v>
      </c>
      <c r="C200" s="30">
        <f>"05294609000134"</f>
        <v/>
      </c>
      <c r="D200" s="30" t="inlineStr">
        <is>
          <t>ZIRANLOG ARMAZENS GERAIS E TRANSPORTES EIRELI</t>
        </is>
      </c>
      <c r="E200" s="40" t="n">
        <v>0</v>
      </c>
      <c r="F200" s="40" t="n">
        <v>0</v>
      </c>
      <c r="G200" s="40" t="n">
        <v>0</v>
      </c>
      <c r="H200" s="40" t="n">
        <v>0</v>
      </c>
      <c r="I200" s="40" t="n">
        <v>0</v>
      </c>
      <c r="J200" s="40" t="n">
        <v>2853.69</v>
      </c>
      <c r="K200" s="40" t="n">
        <v>100</v>
      </c>
      <c r="L200" s="40" t="n">
        <v>0</v>
      </c>
      <c r="M200" s="46" t="n">
        <v>-100</v>
      </c>
      <c r="N200" s="40" t="n">
        <v>0</v>
      </c>
      <c r="O200" s="40" t="n">
        <v>0</v>
      </c>
      <c r="P200" s="40" t="n">
        <v>0</v>
      </c>
      <c r="Q200" s="40" t="n">
        <v>0</v>
      </c>
      <c r="R200" s="47" t="n"/>
      <c r="S200" s="47" t="n"/>
      <c r="T200" s="47" t="n"/>
      <c r="U200" s="47" t="n"/>
      <c r="V200" s="47" t="n"/>
      <c r="W200" s="47" t="n"/>
    </row>
    <row r="201" ht="12" customHeight="1">
      <c r="A201" s="30" t="inlineStr">
        <is>
          <t>Porto Real</t>
        </is>
      </c>
      <c r="B201" s="30" t="n">
        <v>77452443</v>
      </c>
      <c r="C201" s="30">
        <f>"02558157001487"</f>
        <v/>
      </c>
      <c r="D201" s="30" t="inlineStr">
        <is>
          <t>TELEFONICA BRASIL S.A.</t>
        </is>
      </c>
      <c r="E201" s="40" t="n">
        <v>3529894.71</v>
      </c>
      <c r="F201" s="40" t="n">
        <v>3021810.47</v>
      </c>
      <c r="G201" s="46" t="n">
        <v>-14.39</v>
      </c>
      <c r="H201" s="40" t="n">
        <v>2855069.86</v>
      </c>
      <c r="I201" s="46" t="n">
        <v>-5.52</v>
      </c>
      <c r="J201" s="40" t="n">
        <v>2669998.12</v>
      </c>
      <c r="K201" s="46" t="n">
        <v>-6.48</v>
      </c>
      <c r="L201" s="40" t="n">
        <v>4290449.86</v>
      </c>
      <c r="M201" s="40" t="n">
        <v>60.69</v>
      </c>
      <c r="N201" s="40" t="n">
        <v>4229168.45</v>
      </c>
      <c r="O201" s="46" t="n">
        <v>-1.43</v>
      </c>
      <c r="P201" s="40" t="n">
        <v>3889534.14</v>
      </c>
      <c r="Q201" s="46" t="n">
        <v>-8.029999999999999</v>
      </c>
      <c r="R201" s="47" t="n"/>
      <c r="S201" s="47" t="n"/>
      <c r="T201" s="47" t="n"/>
      <c r="U201" s="47" t="n"/>
      <c r="V201" s="47" t="n"/>
      <c r="W201" s="47" t="n"/>
    </row>
    <row r="202" ht="12" customHeight="1">
      <c r="A202" s="30" t="inlineStr">
        <is>
          <t>Porto Real</t>
        </is>
      </c>
      <c r="B202" s="30" t="n">
        <v>77455132</v>
      </c>
      <c r="C202" s="30">
        <f>"86458478000185"</f>
        <v/>
      </c>
      <c r="D202" s="30" t="inlineStr">
        <is>
          <t>TRANSANTA RITA LTDA</t>
        </is>
      </c>
      <c r="E202" s="40" t="n">
        <v>0</v>
      </c>
      <c r="F202" s="40" t="n">
        <v>0</v>
      </c>
      <c r="G202" s="40" t="n">
        <v>0</v>
      </c>
      <c r="H202" s="40" t="n">
        <v>0</v>
      </c>
      <c r="I202" s="40" t="n">
        <v>0</v>
      </c>
      <c r="J202" s="40" t="n">
        <v>0</v>
      </c>
      <c r="K202" s="40" t="n">
        <v>0</v>
      </c>
      <c r="L202" s="40" t="n">
        <v>0</v>
      </c>
      <c r="M202" s="40" t="n">
        <v>0</v>
      </c>
      <c r="N202" s="40" t="n">
        <v>5460.82</v>
      </c>
      <c r="O202" s="40" t="n">
        <v>100</v>
      </c>
      <c r="P202" s="40" t="n">
        <v>0</v>
      </c>
      <c r="Q202" s="46" t="n">
        <v>-100</v>
      </c>
      <c r="R202" s="47" t="n"/>
      <c r="S202" s="47" t="n"/>
      <c r="T202" s="47" t="n"/>
      <c r="U202" s="47" t="n"/>
      <c r="V202" s="47" t="n"/>
      <c r="W202" s="47" t="n"/>
    </row>
    <row r="203" ht="12" customHeight="1">
      <c r="A203" s="30" t="inlineStr">
        <is>
          <t>Porto Real</t>
        </is>
      </c>
      <c r="B203" s="30" t="n">
        <v>77485554</v>
      </c>
      <c r="C203" s="30">
        <f>"44597524000420"</f>
        <v/>
      </c>
      <c r="D203" s="30" t="inlineStr">
        <is>
          <t>TRANSPORTADORA CAPIVARI LTDA</t>
        </is>
      </c>
      <c r="E203" s="40" t="n">
        <v>0</v>
      </c>
      <c r="F203" s="40" t="n">
        <v>527.28</v>
      </c>
      <c r="G203" s="40" t="n">
        <v>100</v>
      </c>
      <c r="H203" s="40" t="n">
        <v>347.89</v>
      </c>
      <c r="I203" s="46" t="n">
        <v>-34.02</v>
      </c>
      <c r="J203" s="40" t="n">
        <v>0</v>
      </c>
      <c r="K203" s="46" t="n">
        <v>-100</v>
      </c>
      <c r="L203" s="40" t="n">
        <v>89.28</v>
      </c>
      <c r="M203" s="40" t="n">
        <v>100</v>
      </c>
      <c r="N203" s="40" t="n">
        <v>0</v>
      </c>
      <c r="O203" s="46" t="n">
        <v>-100</v>
      </c>
      <c r="P203" s="40" t="n">
        <v>0</v>
      </c>
      <c r="Q203" s="40" t="n">
        <v>0</v>
      </c>
      <c r="R203" s="47" t="n"/>
      <c r="S203" s="47" t="n"/>
      <c r="T203" s="47" t="n"/>
      <c r="U203" s="47" t="n"/>
      <c r="V203" s="47" t="n"/>
      <c r="W203" s="47" t="n"/>
    </row>
    <row r="204" ht="12" customHeight="1">
      <c r="A204" s="30" t="inlineStr">
        <is>
          <t>Porto Real</t>
        </is>
      </c>
      <c r="B204" s="30" t="n">
        <v>77522905</v>
      </c>
      <c r="C204" s="30">
        <f>"04833584000137"</f>
        <v/>
      </c>
      <c r="D204" s="30" t="inlineStr">
        <is>
          <t>TRANSMARGOO TURISMO E FRETAMENTO EIRELI</t>
        </is>
      </c>
      <c r="E204" s="40" t="n">
        <v>6317843.99</v>
      </c>
      <c r="F204" s="40" t="n">
        <v>0</v>
      </c>
      <c r="G204" s="46" t="n">
        <v>-100</v>
      </c>
      <c r="H204" s="40" t="n">
        <v>5206817.06</v>
      </c>
      <c r="I204" s="40" t="n">
        <v>100</v>
      </c>
      <c r="J204" s="40" t="n">
        <v>0</v>
      </c>
      <c r="K204" s="46" t="n">
        <v>-100</v>
      </c>
      <c r="L204" s="40" t="n">
        <v>255809.29</v>
      </c>
      <c r="M204" s="40" t="n">
        <v>100</v>
      </c>
      <c r="N204" s="40" t="n">
        <v>284673.38</v>
      </c>
      <c r="O204" s="40" t="n">
        <v>11.28</v>
      </c>
      <c r="P204" s="40" t="n">
        <v>251308.11</v>
      </c>
      <c r="Q204" s="46" t="n">
        <v>-11.72</v>
      </c>
      <c r="R204" s="47" t="n"/>
      <c r="S204" s="47" t="n"/>
      <c r="T204" s="47" t="n"/>
      <c r="U204" s="47" t="n"/>
      <c r="V204" s="47" t="n"/>
      <c r="W204" s="47" t="n"/>
    </row>
    <row r="205" ht="12" customHeight="1">
      <c r="A205" s="30" t="inlineStr">
        <is>
          <t>Porto Real</t>
        </is>
      </c>
      <c r="B205" s="30" t="n">
        <v>77523219</v>
      </c>
      <c r="C205" s="30">
        <f>"03410650000101"</f>
        <v/>
      </c>
      <c r="D205" s="30" t="inlineStr">
        <is>
          <t>NOVACOOPER- COOPERATIVA DOS MOTORISTAS AUTONOMOS DE RESENDE LTDA</t>
        </is>
      </c>
      <c r="E205" s="40" t="n">
        <v>106521</v>
      </c>
      <c r="F205" s="40" t="n">
        <v>273109</v>
      </c>
      <c r="G205" s="40" t="n">
        <v>156.39</v>
      </c>
      <c r="H205" s="40" t="n">
        <v>554342.5699999999</v>
      </c>
      <c r="I205" s="40" t="n">
        <v>102.97</v>
      </c>
      <c r="J205" s="40" t="n">
        <v>457530.96</v>
      </c>
      <c r="K205" s="46" t="n">
        <v>-17.46</v>
      </c>
      <c r="L205" s="40" t="n">
        <v>449661.04</v>
      </c>
      <c r="M205" s="46" t="n">
        <v>-1.72</v>
      </c>
      <c r="N205" s="40" t="n">
        <v>0</v>
      </c>
      <c r="O205" s="46" t="n">
        <v>-100</v>
      </c>
      <c r="P205" s="40" t="n">
        <v>500</v>
      </c>
      <c r="Q205" s="40" t="n">
        <v>100</v>
      </c>
      <c r="R205" s="47" t="n"/>
      <c r="S205" s="47" t="n"/>
      <c r="T205" s="47" t="n"/>
      <c r="U205" s="47" t="n"/>
      <c r="V205" s="47" t="n"/>
      <c r="W205" s="47" t="n"/>
    </row>
    <row r="206" ht="12" customHeight="1">
      <c r="A206" s="30" t="inlineStr">
        <is>
          <t>Porto Real</t>
        </is>
      </c>
      <c r="B206" s="30" t="n">
        <v>77535950</v>
      </c>
      <c r="C206" s="30">
        <f>"65271314000255"</f>
        <v/>
      </c>
      <c r="D206" s="30" t="inlineStr">
        <is>
          <t>TWM TRANSPORTES ESPECIAIS LTDA</t>
        </is>
      </c>
      <c r="E206" s="40" t="n">
        <v>76206.59</v>
      </c>
      <c r="F206" s="40" t="n">
        <v>86831.36</v>
      </c>
      <c r="G206" s="40" t="n">
        <v>13.94</v>
      </c>
      <c r="H206" s="40" t="n">
        <v>286399.55</v>
      </c>
      <c r="I206" s="40" t="n">
        <v>229.83</v>
      </c>
      <c r="J206" s="40" t="n">
        <v>125807.19</v>
      </c>
      <c r="K206" s="46" t="n">
        <v>-56.07</v>
      </c>
      <c r="L206" s="40" t="n">
        <v>59331.19</v>
      </c>
      <c r="M206" s="46" t="n">
        <v>-52.84</v>
      </c>
      <c r="N206" s="40" t="n">
        <v>0</v>
      </c>
      <c r="O206" s="46" t="n">
        <v>-100</v>
      </c>
      <c r="P206" s="40" t="n">
        <v>19396.4</v>
      </c>
      <c r="Q206" s="40" t="n">
        <v>100</v>
      </c>
      <c r="R206" s="47" t="n"/>
      <c r="S206" s="47" t="n"/>
      <c r="T206" s="47" t="n"/>
      <c r="U206" s="47" t="n"/>
      <c r="V206" s="47" t="n"/>
      <c r="W206" s="47" t="n"/>
    </row>
    <row r="207" ht="12" customHeight="1">
      <c r="A207" s="30" t="inlineStr">
        <is>
          <t>Porto Real</t>
        </is>
      </c>
      <c r="B207" s="30" t="n">
        <v>77557741</v>
      </c>
      <c r="C207" s="30">
        <f>"05660403000180"</f>
        <v/>
      </c>
      <c r="D207" s="30" t="inlineStr">
        <is>
          <t>QUIMREAL - REAL INDUSTRIA QUIMICA LTDA</t>
        </is>
      </c>
      <c r="E207" s="40" t="n">
        <v>7668854.47</v>
      </c>
      <c r="F207" s="40" t="n">
        <v>6505698.37</v>
      </c>
      <c r="G207" s="46" t="n">
        <v>-15.17</v>
      </c>
      <c r="H207" s="40" t="n">
        <v>9301334.82</v>
      </c>
      <c r="I207" s="40" t="n">
        <v>42.97</v>
      </c>
      <c r="J207" s="40" t="n">
        <v>11394564.88</v>
      </c>
      <c r="K207" s="40" t="n">
        <v>22.5</v>
      </c>
      <c r="L207" s="40" t="n">
        <v>7681530.07</v>
      </c>
      <c r="M207" s="46" t="n">
        <v>-32.59</v>
      </c>
      <c r="N207" s="40" t="n">
        <v>23762397.93</v>
      </c>
      <c r="O207" s="40" t="n">
        <v>209.34</v>
      </c>
      <c r="P207" s="40" t="n">
        <v>25596670.1</v>
      </c>
      <c r="Q207" s="40" t="n">
        <v>7.72</v>
      </c>
      <c r="R207" s="47" t="n"/>
      <c r="S207" s="47" t="n"/>
      <c r="T207" s="47" t="n"/>
      <c r="U207" s="47" t="n"/>
      <c r="V207" s="47" t="n"/>
      <c r="W207" s="47" t="n"/>
    </row>
    <row r="208" ht="12" customHeight="1">
      <c r="A208" s="30" t="inlineStr">
        <is>
          <t>Porto Real</t>
        </is>
      </c>
      <c r="B208" s="30" t="n">
        <v>77594540</v>
      </c>
      <c r="C208" s="30">
        <f>"88301882001490"</f>
        <v/>
      </c>
      <c r="D208" s="30" t="inlineStr">
        <is>
          <t>HENRIQUE STEFANI TRANSPORTE E LOGISTICA LTDA</t>
        </is>
      </c>
      <c r="E208" s="40" t="n">
        <v>19660</v>
      </c>
      <c r="F208" s="40" t="n">
        <v>354501.67</v>
      </c>
      <c r="G208" s="40" t="n">
        <v>1703.16</v>
      </c>
      <c r="H208" s="40" t="n">
        <v>146728.19</v>
      </c>
      <c r="I208" s="46" t="n">
        <v>-58.61</v>
      </c>
      <c r="J208" s="40" t="n">
        <v>408069.06</v>
      </c>
      <c r="K208" s="40" t="n">
        <v>178.11</v>
      </c>
      <c r="L208" s="40" t="n">
        <v>69122.99000000001</v>
      </c>
      <c r="M208" s="46" t="n">
        <v>-83.06</v>
      </c>
      <c r="N208" s="40" t="n">
        <v>13995.06</v>
      </c>
      <c r="O208" s="46" t="n">
        <v>-79.75</v>
      </c>
      <c r="P208" s="40" t="n">
        <v>0</v>
      </c>
      <c r="Q208" s="46" t="n">
        <v>-100</v>
      </c>
      <c r="R208" s="47" t="n"/>
      <c r="S208" s="47" t="n"/>
      <c r="T208" s="47" t="n"/>
      <c r="U208" s="47" t="n"/>
      <c r="V208" s="47" t="n"/>
      <c r="W208" s="47" t="n"/>
    </row>
    <row r="209" ht="12" customHeight="1">
      <c r="A209" s="30" t="inlineStr">
        <is>
          <t>Porto Real</t>
        </is>
      </c>
      <c r="B209" s="30" t="n">
        <v>77594949</v>
      </c>
      <c r="C209" s="30">
        <f>"00650831000370"</f>
        <v/>
      </c>
      <c r="D209" s="30" t="inlineStr">
        <is>
          <t>EFITRANS TRANSPORTES LTDA</t>
        </is>
      </c>
      <c r="E209" s="40" t="n">
        <v>135.95</v>
      </c>
      <c r="F209" s="40" t="n">
        <v>0</v>
      </c>
      <c r="G209" s="46" t="n">
        <v>-100</v>
      </c>
      <c r="H209" s="40" t="n">
        <v>0</v>
      </c>
      <c r="I209" s="40" t="n">
        <v>0</v>
      </c>
      <c r="J209" s="40" t="n">
        <v>6989.93</v>
      </c>
      <c r="K209" s="40" t="n">
        <v>100</v>
      </c>
      <c r="L209" s="40" t="n">
        <v>0</v>
      </c>
      <c r="M209" s="46" t="n">
        <v>-100</v>
      </c>
      <c r="N209" s="40" t="n">
        <v>0</v>
      </c>
      <c r="O209" s="40" t="n">
        <v>0</v>
      </c>
      <c r="P209" s="40" t="n">
        <v>0</v>
      </c>
      <c r="Q209" s="40" t="n">
        <v>0</v>
      </c>
      <c r="R209" s="47" t="n"/>
      <c r="S209" s="47" t="n"/>
      <c r="T209" s="47" t="n"/>
      <c r="U209" s="47" t="n"/>
      <c r="V209" s="47" t="n"/>
      <c r="W209" s="47" t="n"/>
    </row>
    <row r="210" ht="12" customHeight="1">
      <c r="A210" s="30" t="inlineStr">
        <is>
          <t>Porto Real</t>
        </is>
      </c>
      <c r="B210" s="30" t="n">
        <v>77596763</v>
      </c>
      <c r="C210" s="30">
        <f>"00823106000195"</f>
        <v/>
      </c>
      <c r="D210" s="30" t="inlineStr">
        <is>
          <t>TAIGA TRANSPORTE E TURISMO LTDA</t>
        </is>
      </c>
      <c r="E210" s="40" t="n">
        <v>0</v>
      </c>
      <c r="F210" s="40" t="n">
        <v>0</v>
      </c>
      <c r="G210" s="40" t="n">
        <v>0</v>
      </c>
      <c r="H210" s="40" t="n">
        <v>0</v>
      </c>
      <c r="I210" s="40" t="n">
        <v>0</v>
      </c>
      <c r="J210" s="40" t="n">
        <v>0</v>
      </c>
      <c r="K210" s="40" t="n">
        <v>0</v>
      </c>
      <c r="L210" s="40" t="n">
        <v>0</v>
      </c>
      <c r="M210" s="40" t="n">
        <v>0</v>
      </c>
      <c r="N210" s="40" t="n">
        <v>660</v>
      </c>
      <c r="O210" s="40" t="n">
        <v>100</v>
      </c>
      <c r="P210" s="40" t="n">
        <v>0</v>
      </c>
      <c r="Q210" s="46" t="n">
        <v>-100</v>
      </c>
      <c r="R210" s="47" t="n"/>
      <c r="S210" s="47" t="n"/>
      <c r="T210" s="47" t="n"/>
      <c r="U210" s="47" t="n"/>
      <c r="V210" s="47" t="n"/>
      <c r="W210" s="47" t="n"/>
    </row>
    <row r="211" ht="12" customHeight="1">
      <c r="A211" s="30" t="inlineStr">
        <is>
          <t>Porto Real</t>
        </is>
      </c>
      <c r="B211" s="30" t="n">
        <v>77608060</v>
      </c>
      <c r="C211" s="30">
        <f>"05828227000143"</f>
        <v/>
      </c>
      <c r="D211" s="30" t="inlineStr">
        <is>
          <t>ARARIB? ENGENHARIA COM?RCIO E MEIO AMBIENTE LTDA ME</t>
        </is>
      </c>
      <c r="E211" s="40" t="n">
        <v>0</v>
      </c>
      <c r="F211" s="40" t="n">
        <v>0</v>
      </c>
      <c r="G211" s="40" t="n">
        <v>0</v>
      </c>
      <c r="H211" s="40" t="n">
        <v>0</v>
      </c>
      <c r="I211" s="40" t="n">
        <v>0</v>
      </c>
      <c r="J211" s="40" t="n">
        <v>0</v>
      </c>
      <c r="K211" s="40" t="n">
        <v>0</v>
      </c>
      <c r="L211" s="40" t="n">
        <v>0</v>
      </c>
      <c r="M211" s="40" t="n">
        <v>0</v>
      </c>
      <c r="N211" s="40" t="n">
        <v>0</v>
      </c>
      <c r="O211" s="40" t="n">
        <v>0</v>
      </c>
      <c r="P211" s="40" t="n">
        <v>0</v>
      </c>
      <c r="Q211" s="40" t="n">
        <v>0</v>
      </c>
      <c r="R211" s="47" t="n"/>
      <c r="S211" s="47" t="n"/>
      <c r="T211" s="47" t="n"/>
      <c r="U211" s="47" t="n"/>
      <c r="V211" s="47" t="n"/>
      <c r="W211" s="47" t="n"/>
    </row>
    <row r="212" ht="12" customHeight="1">
      <c r="A212" s="30" t="inlineStr">
        <is>
          <t>Porto Real</t>
        </is>
      </c>
      <c r="B212" s="30" t="n">
        <v>77617515</v>
      </c>
      <c r="C212" s="30">
        <f>"05454543000100"</f>
        <v/>
      </c>
      <c r="D212" s="30" t="inlineStr">
        <is>
          <t>RECIBRAS PORTO REAL RESIDUOS LTDA</t>
        </is>
      </c>
      <c r="E212" s="40" t="n">
        <v>10267196.54</v>
      </c>
      <c r="F212" s="40" t="n">
        <v>13033242.29</v>
      </c>
      <c r="G212" s="40" t="n">
        <v>26.94</v>
      </c>
      <c r="H212" s="40" t="n">
        <v>7198779.27</v>
      </c>
      <c r="I212" s="46" t="n">
        <v>-44.77</v>
      </c>
      <c r="J212" s="40" t="n">
        <v>15486769.17</v>
      </c>
      <c r="K212" s="40" t="n">
        <v>115.13</v>
      </c>
      <c r="L212" s="40" t="n">
        <v>29701981.55</v>
      </c>
      <c r="M212" s="40" t="n">
        <v>91.79000000000001</v>
      </c>
      <c r="N212" s="40" t="n">
        <v>34022019.57</v>
      </c>
      <c r="O212" s="40" t="n">
        <v>14.54</v>
      </c>
      <c r="P212" s="40" t="n">
        <v>38143546.87</v>
      </c>
      <c r="Q212" s="40" t="n">
        <v>12.11</v>
      </c>
      <c r="R212" s="47" t="n"/>
      <c r="S212" s="47" t="n"/>
      <c r="T212" s="47" t="n"/>
      <c r="U212" s="47" t="n"/>
      <c r="V212" s="47" t="n"/>
      <c r="W212" s="47" t="n"/>
    </row>
    <row r="213" ht="12" customHeight="1">
      <c r="A213" s="30" t="inlineStr">
        <is>
          <t>Porto Real</t>
        </is>
      </c>
      <c r="B213" s="30" t="n">
        <v>77649328</v>
      </c>
      <c r="C213" s="30">
        <f>"02836056004284"</f>
        <v/>
      </c>
      <c r="D213" s="30" t="inlineStr">
        <is>
          <t>DHL LOGISTICS (BRAZIL) LTDA</t>
        </is>
      </c>
      <c r="E213" s="40" t="n">
        <v>0</v>
      </c>
      <c r="F213" s="40" t="n">
        <v>63.68</v>
      </c>
      <c r="G213" s="40" t="n">
        <v>100</v>
      </c>
      <c r="H213" s="40" t="n">
        <v>0</v>
      </c>
      <c r="I213" s="46" t="n">
        <v>-100</v>
      </c>
      <c r="J213" s="40" t="n">
        <v>0</v>
      </c>
      <c r="K213" s="40" t="n">
        <v>0</v>
      </c>
      <c r="L213" s="40" t="n">
        <v>0</v>
      </c>
      <c r="M213" s="40" t="n">
        <v>0</v>
      </c>
      <c r="N213" s="40" t="n">
        <v>0</v>
      </c>
      <c r="O213" s="40" t="n">
        <v>0</v>
      </c>
      <c r="P213" s="40" t="n">
        <v>0</v>
      </c>
      <c r="Q213" s="40" t="n">
        <v>0</v>
      </c>
      <c r="R213" s="47" t="n"/>
      <c r="S213" s="47" t="n"/>
      <c r="T213" s="47" t="n"/>
      <c r="U213" s="47" t="n"/>
      <c r="V213" s="47" t="n"/>
      <c r="W213" s="47" t="n"/>
    </row>
    <row r="214" ht="12" customHeight="1">
      <c r="A214" s="30" t="inlineStr">
        <is>
          <t>Porto Real</t>
        </is>
      </c>
      <c r="B214" s="30" t="n">
        <v>77663711</v>
      </c>
      <c r="C214" s="30">
        <f>"05931640000139"</f>
        <v/>
      </c>
      <c r="D214" s="30" t="inlineStr">
        <is>
          <t>TRANSPORTES SOUZA ARAUJO LTDA</t>
        </is>
      </c>
      <c r="E214" s="40" t="n">
        <v>0</v>
      </c>
      <c r="F214" s="40" t="n">
        <v>274634.62</v>
      </c>
      <c r="G214" s="40" t="n">
        <v>100</v>
      </c>
      <c r="H214" s="40" t="n">
        <v>86501.64999999999</v>
      </c>
      <c r="I214" s="46" t="n">
        <v>-68.5</v>
      </c>
      <c r="J214" s="40" t="n">
        <v>294101.62</v>
      </c>
      <c r="K214" s="40" t="n">
        <v>240</v>
      </c>
      <c r="L214" s="40" t="n">
        <v>0</v>
      </c>
      <c r="M214" s="46" t="n">
        <v>-100</v>
      </c>
      <c r="N214" s="40" t="n">
        <v>757010.08</v>
      </c>
      <c r="O214" s="40" t="n">
        <v>100</v>
      </c>
      <c r="P214" s="40" t="n">
        <v>532419.8199999999</v>
      </c>
      <c r="Q214" s="46" t="n">
        <v>-29.67</v>
      </c>
      <c r="R214" s="47" t="n"/>
      <c r="S214" s="47" t="n"/>
      <c r="T214" s="47" t="n"/>
      <c r="U214" s="47" t="n"/>
      <c r="V214" s="47" t="n"/>
      <c r="W214" s="47" t="n"/>
    </row>
    <row r="215" ht="12" customHeight="1">
      <c r="A215" s="30" t="inlineStr">
        <is>
          <t>Porto Real</t>
        </is>
      </c>
      <c r="B215" s="30" t="n">
        <v>77685022</v>
      </c>
      <c r="C215" s="30">
        <f>"76535764033157"</f>
        <v/>
      </c>
      <c r="D215" s="30" t="inlineStr">
        <is>
          <t>OI SA - EM RECUPERACAO JUDICIAL</t>
        </is>
      </c>
      <c r="E215" s="40" t="n">
        <v>0</v>
      </c>
      <c r="F215" s="40" t="n">
        <v>0</v>
      </c>
      <c r="G215" s="40" t="n">
        <v>0</v>
      </c>
      <c r="H215" s="40" t="n">
        <v>0</v>
      </c>
      <c r="I215" s="40" t="n">
        <v>0</v>
      </c>
      <c r="J215" s="40" t="n">
        <v>0</v>
      </c>
      <c r="K215" s="40" t="n">
        <v>0</v>
      </c>
      <c r="L215" s="40" t="n">
        <v>437132.13</v>
      </c>
      <c r="M215" s="40" t="n">
        <v>100</v>
      </c>
      <c r="N215" s="40" t="n">
        <v>795110.2</v>
      </c>
      <c r="O215" s="40" t="n">
        <v>81.89</v>
      </c>
      <c r="P215" s="40" t="n">
        <v>614306.9399999999</v>
      </c>
      <c r="Q215" s="46" t="n">
        <v>-22.74</v>
      </c>
      <c r="R215" s="47" t="n"/>
      <c r="S215" s="47" t="n"/>
      <c r="T215" s="47" t="n"/>
      <c r="U215" s="47" t="n"/>
      <c r="V215" s="47" t="n"/>
      <c r="W215" s="47" t="n"/>
    </row>
    <row r="216" ht="12" customHeight="1">
      <c r="A216" s="30" t="inlineStr">
        <is>
          <t>Porto Real</t>
        </is>
      </c>
      <c r="B216" s="30" t="n">
        <v>77689630</v>
      </c>
      <c r="C216" s="30">
        <f>"02427026002009"</f>
        <v/>
      </c>
      <c r="D216" s="30" t="inlineStr">
        <is>
          <t>ALIANCA NAVEGACAO E LOGISTICA LTDA</t>
        </is>
      </c>
      <c r="E216" s="40" t="n">
        <v>0</v>
      </c>
      <c r="F216" s="40" t="n">
        <v>143905.44</v>
      </c>
      <c r="G216" s="40" t="n">
        <v>100</v>
      </c>
      <c r="H216" s="40" t="n">
        <v>71733.22</v>
      </c>
      <c r="I216" s="46" t="n">
        <v>-50.15</v>
      </c>
      <c r="J216" s="40" t="n">
        <v>2611.03</v>
      </c>
      <c r="K216" s="46" t="n">
        <v>-96.36</v>
      </c>
      <c r="L216" s="40" t="n">
        <v>76476.78999999999</v>
      </c>
      <c r="M216" s="40" t="n">
        <v>2828.99</v>
      </c>
      <c r="N216" s="40" t="n">
        <v>0</v>
      </c>
      <c r="O216" s="46" t="n">
        <v>-100</v>
      </c>
      <c r="P216" s="40" t="n">
        <v>135842.29</v>
      </c>
      <c r="Q216" s="40" t="n">
        <v>100</v>
      </c>
      <c r="R216" s="47" t="n"/>
      <c r="S216" s="47" t="n"/>
      <c r="T216" s="47" t="n"/>
      <c r="U216" s="47" t="n"/>
      <c r="V216" s="47" t="n"/>
      <c r="W216" s="47" t="n"/>
    </row>
    <row r="217" ht="12" customHeight="1">
      <c r="A217" s="30" t="inlineStr">
        <is>
          <t>Porto Real</t>
        </is>
      </c>
      <c r="B217" s="30" t="n">
        <v>77700501</v>
      </c>
      <c r="C217" s="30">
        <f>"71208516017140"</f>
        <v/>
      </c>
      <c r="D217" s="30" t="inlineStr">
        <is>
          <t>ALGAR TELECOM S A</t>
        </is>
      </c>
      <c r="E217" s="40" t="n">
        <v>30.84</v>
      </c>
      <c r="F217" s="40" t="n">
        <v>85.81</v>
      </c>
      <c r="G217" s="40" t="n">
        <v>178.24</v>
      </c>
      <c r="H217" s="40" t="n">
        <v>186.44</v>
      </c>
      <c r="I217" s="40" t="n">
        <v>117.27</v>
      </c>
      <c r="J217" s="40" t="n">
        <v>105.33</v>
      </c>
      <c r="K217" s="46" t="n">
        <v>-43.5</v>
      </c>
      <c r="L217" s="40" t="n">
        <v>57.53</v>
      </c>
      <c r="M217" s="46" t="n">
        <v>-45.38</v>
      </c>
      <c r="N217" s="40" t="n">
        <v>6.45</v>
      </c>
      <c r="O217" s="46" t="n">
        <v>-88.79000000000001</v>
      </c>
      <c r="P217" s="40" t="n">
        <v>3.88</v>
      </c>
      <c r="Q217" s="46" t="n">
        <v>-39.84</v>
      </c>
      <c r="R217" s="47" t="n"/>
      <c r="S217" s="47" t="n"/>
      <c r="T217" s="47" t="n"/>
      <c r="U217" s="47" t="n"/>
      <c r="V217" s="47" t="n"/>
      <c r="W217" s="47" t="n"/>
    </row>
    <row r="218" ht="12" customHeight="1">
      <c r="A218" s="30" t="inlineStr">
        <is>
          <t>Porto Real</t>
        </is>
      </c>
      <c r="B218" s="30" t="n">
        <v>77712755</v>
      </c>
      <c r="C218" s="30">
        <f>"06229098000563"</f>
        <v/>
      </c>
      <c r="D218" s="30" t="inlineStr">
        <is>
          <t>VERIZON TELECOMUNICACOES DO BRASIL LTDA</t>
        </is>
      </c>
      <c r="E218" s="40" t="n">
        <v>0</v>
      </c>
      <c r="F218" s="40" t="n">
        <v>107815.56</v>
      </c>
      <c r="G218" s="40" t="n">
        <v>100</v>
      </c>
      <c r="H218" s="40" t="n">
        <v>131957.12</v>
      </c>
      <c r="I218" s="40" t="n">
        <v>22.39</v>
      </c>
      <c r="J218" s="40" t="n">
        <v>0</v>
      </c>
      <c r="K218" s="46" t="n">
        <v>-100</v>
      </c>
      <c r="L218" s="40" t="n">
        <v>0</v>
      </c>
      <c r="M218" s="40" t="n">
        <v>0</v>
      </c>
      <c r="N218" s="40" t="n">
        <v>0</v>
      </c>
      <c r="O218" s="40" t="n">
        <v>0</v>
      </c>
      <c r="P218" s="40" t="n">
        <v>0</v>
      </c>
      <c r="Q218" s="40" t="n">
        <v>0</v>
      </c>
      <c r="R218" s="47" t="n"/>
      <c r="S218" s="47" t="n"/>
      <c r="T218" s="47" t="n"/>
      <c r="U218" s="47" t="n"/>
      <c r="V218" s="47" t="n"/>
      <c r="W218" s="47" t="n"/>
    </row>
    <row r="219" ht="12" customHeight="1">
      <c r="A219" s="30" t="inlineStr">
        <is>
          <t>Porto Real</t>
        </is>
      </c>
      <c r="B219" s="30" t="n">
        <v>77730729</v>
      </c>
      <c r="C219" s="30">
        <f>"48740351000408"</f>
        <v/>
      </c>
      <c r="D219" s="30" t="inlineStr">
        <is>
          <t>BRASPRESS TRANSPORTES URGENTES LTDA</t>
        </is>
      </c>
      <c r="E219" s="40" t="n">
        <v>2295.61</v>
      </c>
      <c r="F219" s="40" t="n">
        <v>5538.1</v>
      </c>
      <c r="G219" s="40" t="n">
        <v>141.25</v>
      </c>
      <c r="H219" s="40" t="n">
        <v>1275.68</v>
      </c>
      <c r="I219" s="46" t="n">
        <v>-76.97</v>
      </c>
      <c r="J219" s="40" t="n">
        <v>1717.23</v>
      </c>
      <c r="K219" s="40" t="n">
        <v>34.61</v>
      </c>
      <c r="L219" s="40" t="n">
        <v>4182.37</v>
      </c>
      <c r="M219" s="40" t="n">
        <v>143.55</v>
      </c>
      <c r="N219" s="40" t="n">
        <v>0</v>
      </c>
      <c r="O219" s="46" t="n">
        <v>-100</v>
      </c>
      <c r="P219" s="40" t="n">
        <v>72.01000000000001</v>
      </c>
      <c r="Q219" s="40" t="n">
        <v>100</v>
      </c>
      <c r="R219" s="47" t="n"/>
      <c r="S219" s="47" t="n"/>
      <c r="T219" s="47" t="n"/>
      <c r="U219" s="47" t="n"/>
      <c r="V219" s="47" t="n"/>
      <c r="W219" s="47" t="n"/>
    </row>
    <row r="220" ht="12" customHeight="1">
      <c r="A220" s="30" t="inlineStr">
        <is>
          <t>Porto Real</t>
        </is>
      </c>
      <c r="B220" s="30" t="n">
        <v>77734686</v>
      </c>
      <c r="C220" s="30">
        <f>"48740351003008"</f>
        <v/>
      </c>
      <c r="D220" s="30" t="inlineStr">
        <is>
          <t>BRASPRESS TRANSPORTES URGENTES LTDA</t>
        </is>
      </c>
      <c r="E220" s="40" t="n">
        <v>976.47</v>
      </c>
      <c r="F220" s="40" t="n">
        <v>287.19</v>
      </c>
      <c r="G220" s="46" t="n">
        <v>-70.59</v>
      </c>
      <c r="H220" s="40" t="n">
        <v>303.94</v>
      </c>
      <c r="I220" s="40" t="n">
        <v>5.83</v>
      </c>
      <c r="J220" s="40" t="n">
        <v>0</v>
      </c>
      <c r="K220" s="46" t="n">
        <v>-100</v>
      </c>
      <c r="L220" s="40" t="n">
        <v>0</v>
      </c>
      <c r="M220" s="40" t="n">
        <v>0</v>
      </c>
      <c r="N220" s="40" t="n">
        <v>0</v>
      </c>
      <c r="O220" s="40" t="n">
        <v>0</v>
      </c>
      <c r="P220" s="40" t="n">
        <v>0</v>
      </c>
      <c r="Q220" s="40" t="n">
        <v>0</v>
      </c>
      <c r="R220" s="47" t="n"/>
      <c r="S220" s="47" t="n"/>
      <c r="T220" s="47" t="n"/>
      <c r="U220" s="47" t="n"/>
      <c r="V220" s="47" t="n"/>
      <c r="W220" s="47" t="n"/>
    </row>
    <row r="221" ht="12" customHeight="1">
      <c r="A221" s="30" t="inlineStr">
        <is>
          <t>Porto Real</t>
        </is>
      </c>
      <c r="B221" s="30" t="n">
        <v>77734708</v>
      </c>
      <c r="C221" s="30">
        <f>"48740351003261"</f>
        <v/>
      </c>
      <c r="D221" s="30" t="inlineStr">
        <is>
          <t>BRASPRESS TRANSPORTES URGENTES LTDA</t>
        </is>
      </c>
      <c r="E221" s="40" t="n">
        <v>294.54</v>
      </c>
      <c r="F221" s="40" t="n">
        <v>0</v>
      </c>
      <c r="G221" s="46" t="n">
        <v>-100</v>
      </c>
      <c r="H221" s="40" t="n">
        <v>0</v>
      </c>
      <c r="I221" s="40" t="n">
        <v>0</v>
      </c>
      <c r="J221" s="40" t="n">
        <v>0</v>
      </c>
      <c r="K221" s="40" t="n">
        <v>0</v>
      </c>
      <c r="L221" s="40" t="n">
        <v>85.69</v>
      </c>
      <c r="M221" s="40" t="n">
        <v>100</v>
      </c>
      <c r="N221" s="40" t="n">
        <v>0</v>
      </c>
      <c r="O221" s="46" t="n">
        <v>-100</v>
      </c>
      <c r="P221" s="40" t="n">
        <v>0</v>
      </c>
      <c r="Q221" s="40" t="n">
        <v>0</v>
      </c>
      <c r="R221" s="47" t="n"/>
      <c r="S221" s="47" t="n"/>
      <c r="T221" s="47" t="n"/>
      <c r="U221" s="47" t="n"/>
      <c r="V221" s="47" t="n"/>
      <c r="W221" s="47" t="n"/>
    </row>
    <row r="222" ht="12" customHeight="1">
      <c r="A222" s="30" t="inlineStr">
        <is>
          <t>Porto Real</t>
        </is>
      </c>
      <c r="B222" s="30" t="n">
        <v>77742638</v>
      </c>
      <c r="C222" s="30">
        <f>"05602186000253"</f>
        <v/>
      </c>
      <c r="D222" s="30" t="inlineStr">
        <is>
          <t>TRANSNITRO LOGISTICA E TRANSPORTES DE VEICULOS LTDA</t>
        </is>
      </c>
      <c r="E222" s="40" t="n">
        <v>0</v>
      </c>
      <c r="F222" s="40" t="n">
        <v>0</v>
      </c>
      <c r="G222" s="40" t="n">
        <v>0</v>
      </c>
      <c r="H222" s="40" t="n">
        <v>0</v>
      </c>
      <c r="I222" s="40" t="n">
        <v>0</v>
      </c>
      <c r="J222" s="40" t="n">
        <v>0</v>
      </c>
      <c r="K222" s="40" t="n">
        <v>0</v>
      </c>
      <c r="L222" s="40" t="n">
        <v>0</v>
      </c>
      <c r="M222" s="40" t="n">
        <v>0</v>
      </c>
      <c r="N222" s="40" t="n">
        <v>0</v>
      </c>
      <c r="O222" s="40" t="n">
        <v>0</v>
      </c>
      <c r="P222" s="40" t="n">
        <v>0</v>
      </c>
      <c r="Q222" s="40" t="n">
        <v>0</v>
      </c>
      <c r="R222" s="47" t="n"/>
      <c r="S222" s="47" t="n"/>
      <c r="T222" s="47" t="n"/>
      <c r="U222" s="47" t="n"/>
      <c r="V222" s="47" t="n"/>
      <c r="W222" s="47" t="n"/>
    </row>
    <row r="223" ht="12" customHeight="1">
      <c r="A223" s="30" t="inlineStr">
        <is>
          <t>Porto Real</t>
        </is>
      </c>
      <c r="B223" s="30" t="n">
        <v>77785361</v>
      </c>
      <c r="C223" s="30">
        <f>"00972696000380"</f>
        <v/>
      </c>
      <c r="D223" s="30" t="inlineStr">
        <is>
          <t>V M RAMOS &amp; CIA LTDA</t>
        </is>
      </c>
      <c r="E223" s="40" t="n">
        <v>0</v>
      </c>
      <c r="F223" s="40" t="n">
        <v>0</v>
      </c>
      <c r="G223" s="40" t="n">
        <v>0</v>
      </c>
      <c r="H223" s="40" t="n">
        <v>0</v>
      </c>
      <c r="I223" s="40" t="n">
        <v>0</v>
      </c>
      <c r="J223" s="40" t="n">
        <v>0</v>
      </c>
      <c r="K223" s="40" t="n">
        <v>0</v>
      </c>
      <c r="L223" s="40" t="n">
        <v>251.62</v>
      </c>
      <c r="M223" s="40" t="n">
        <v>100</v>
      </c>
      <c r="N223" s="40" t="n">
        <v>0.71</v>
      </c>
      <c r="O223" s="46" t="n">
        <v>-99.72</v>
      </c>
      <c r="P223" s="40" t="n">
        <v>149.45</v>
      </c>
      <c r="Q223" s="40" t="n">
        <v>20949.3</v>
      </c>
      <c r="R223" s="47" t="n"/>
      <c r="S223" s="47" t="n"/>
      <c r="T223" s="47" t="n"/>
      <c r="U223" s="47" t="n"/>
      <c r="V223" s="47" t="n"/>
      <c r="W223" s="47" t="n"/>
    </row>
    <row r="224" ht="12" customHeight="1">
      <c r="A224" s="30" t="inlineStr">
        <is>
          <t>Porto Real</t>
        </is>
      </c>
      <c r="B224" s="30" t="n">
        <v>77790241</v>
      </c>
      <c r="C224" s="30">
        <f>"06957675000100"</f>
        <v/>
      </c>
      <c r="D224" s="30" t="inlineStr">
        <is>
          <t>LOG IN RIO TRANSPORTES LTDA</t>
        </is>
      </c>
      <c r="E224" s="40" t="n">
        <v>0</v>
      </c>
      <c r="F224" s="40" t="n">
        <v>0</v>
      </c>
      <c r="G224" s="40" t="n">
        <v>0</v>
      </c>
      <c r="H224" s="40" t="n">
        <v>0</v>
      </c>
      <c r="I224" s="40" t="n">
        <v>0</v>
      </c>
      <c r="J224" s="40" t="n">
        <v>0</v>
      </c>
      <c r="K224" s="40" t="n">
        <v>0</v>
      </c>
      <c r="L224" s="40" t="n">
        <v>0</v>
      </c>
      <c r="M224" s="40" t="n">
        <v>0</v>
      </c>
      <c r="N224" s="40" t="n">
        <v>0</v>
      </c>
      <c r="O224" s="40" t="n">
        <v>0</v>
      </c>
      <c r="P224" s="40" t="n">
        <v>45.5</v>
      </c>
      <c r="Q224" s="40" t="n">
        <v>100</v>
      </c>
      <c r="R224" s="47" t="n"/>
      <c r="S224" s="47" t="n"/>
      <c r="T224" s="47" t="n"/>
      <c r="U224" s="47" t="n"/>
      <c r="V224" s="47" t="n"/>
      <c r="W224" s="47" t="n"/>
    </row>
    <row r="225" ht="12" customHeight="1">
      <c r="A225" s="30" t="inlineStr">
        <is>
          <t>Porto Real</t>
        </is>
      </c>
      <c r="B225" s="30" t="n">
        <v>77807004</v>
      </c>
      <c r="C225" s="30">
        <f>"22635197000330"</f>
        <v/>
      </c>
      <c r="D225" s="30" t="inlineStr">
        <is>
          <t>TRANSFAL TRANSPORTES LTDA</t>
        </is>
      </c>
      <c r="E225" s="40" t="n">
        <v>0</v>
      </c>
      <c r="F225" s="40" t="n">
        <v>0</v>
      </c>
      <c r="G225" s="40" t="n">
        <v>0</v>
      </c>
      <c r="H225" s="40" t="n">
        <v>0</v>
      </c>
      <c r="I225" s="40" t="n">
        <v>0</v>
      </c>
      <c r="J225" s="40" t="n">
        <v>258077.42</v>
      </c>
      <c r="K225" s="40" t="n">
        <v>100</v>
      </c>
      <c r="L225" s="40" t="n">
        <v>57543.3</v>
      </c>
      <c r="M225" s="46" t="n">
        <v>-77.7</v>
      </c>
      <c r="N225" s="40" t="n">
        <v>0</v>
      </c>
      <c r="O225" s="46" t="n">
        <v>-100</v>
      </c>
      <c r="P225" s="40" t="n">
        <v>0</v>
      </c>
      <c r="Q225" s="40" t="n">
        <v>0</v>
      </c>
      <c r="R225" s="47" t="n"/>
      <c r="S225" s="47" t="n"/>
      <c r="T225" s="47" t="n"/>
      <c r="U225" s="47" t="n"/>
      <c r="V225" s="47" t="n"/>
      <c r="W225" s="47" t="n"/>
    </row>
    <row r="226" ht="12" customHeight="1">
      <c r="A226" s="30" t="inlineStr">
        <is>
          <t>Porto Real</t>
        </is>
      </c>
      <c r="B226" s="30" t="n">
        <v>77812393</v>
      </c>
      <c r="C226" s="30">
        <f>"00972696000207"</f>
        <v/>
      </c>
      <c r="D226" s="30" t="inlineStr">
        <is>
          <t>V M RAMOS &amp; CIA LTDA</t>
        </is>
      </c>
      <c r="E226" s="40" t="n">
        <v>0</v>
      </c>
      <c r="F226" s="40" t="n">
        <v>0</v>
      </c>
      <c r="G226" s="40" t="n">
        <v>0</v>
      </c>
      <c r="H226" s="40" t="n">
        <v>0</v>
      </c>
      <c r="I226" s="40" t="n">
        <v>0</v>
      </c>
      <c r="J226" s="40" t="n">
        <v>0</v>
      </c>
      <c r="K226" s="40" t="n">
        <v>0</v>
      </c>
      <c r="L226" s="40" t="n">
        <v>47.17</v>
      </c>
      <c r="M226" s="40" t="n">
        <v>100</v>
      </c>
      <c r="N226" s="40" t="n">
        <v>0</v>
      </c>
      <c r="O226" s="46" t="n">
        <v>-100</v>
      </c>
      <c r="P226" s="40" t="n">
        <v>0</v>
      </c>
      <c r="Q226" s="40" t="n">
        <v>0</v>
      </c>
      <c r="R226" s="47" t="n"/>
      <c r="S226" s="47" t="n"/>
      <c r="T226" s="47" t="n"/>
      <c r="U226" s="47" t="n"/>
      <c r="V226" s="47" t="n"/>
      <c r="W226" s="47" t="n"/>
    </row>
    <row r="227" ht="12" customHeight="1">
      <c r="A227" s="30" t="inlineStr">
        <is>
          <t>Porto Real</t>
        </is>
      </c>
      <c r="B227" s="30" t="n">
        <v>77812741</v>
      </c>
      <c r="C227" s="30">
        <f>"07003492000118"</f>
        <v/>
      </c>
      <c r="D227" s="30" t="inlineStr">
        <is>
          <t>USITEL INDUSTRIA E COMERCIO DE USINAGEM E CALDERARIA LTDA</t>
        </is>
      </c>
      <c r="E227" s="40" t="n">
        <v>0</v>
      </c>
      <c r="F227" s="40" t="n">
        <v>0</v>
      </c>
      <c r="G227" s="40" t="n">
        <v>0</v>
      </c>
      <c r="H227" s="40" t="n">
        <v>0</v>
      </c>
      <c r="I227" s="40" t="n">
        <v>0</v>
      </c>
      <c r="J227" s="40" t="n">
        <v>0</v>
      </c>
      <c r="K227" s="40" t="n">
        <v>0</v>
      </c>
      <c r="L227" s="40" t="n">
        <v>0</v>
      </c>
      <c r="M227" s="40" t="n">
        <v>0</v>
      </c>
      <c r="N227" s="40" t="n">
        <v>1356817.49</v>
      </c>
      <c r="O227" s="40" t="n">
        <v>100</v>
      </c>
      <c r="P227" s="40" t="n">
        <v>0</v>
      </c>
      <c r="Q227" s="46" t="n">
        <v>-100</v>
      </c>
      <c r="R227" s="47" t="n"/>
      <c r="S227" s="47" t="n"/>
      <c r="T227" s="47" t="n"/>
      <c r="U227" s="47" t="n"/>
      <c r="V227" s="47" t="n"/>
      <c r="W227" s="47" t="n"/>
    </row>
    <row r="228" ht="12" customHeight="1">
      <c r="A228" s="30" t="inlineStr">
        <is>
          <t>Porto Real</t>
        </is>
      </c>
      <c r="B228" s="30" t="n">
        <v>77812814</v>
      </c>
      <c r="C228" s="30">
        <f>"06371265000182"</f>
        <v/>
      </c>
      <c r="D228" s="30" t="inlineStr">
        <is>
          <t>MP 2019 TRANSPORTES LTDA</t>
        </is>
      </c>
      <c r="E228" s="40" t="n">
        <v>0</v>
      </c>
      <c r="F228" s="40" t="n">
        <v>0</v>
      </c>
      <c r="G228" s="40" t="n">
        <v>0</v>
      </c>
      <c r="H228" s="40" t="n">
        <v>0</v>
      </c>
      <c r="I228" s="40" t="n">
        <v>0</v>
      </c>
      <c r="J228" s="40" t="n">
        <v>0</v>
      </c>
      <c r="K228" s="40" t="n">
        <v>0</v>
      </c>
      <c r="L228" s="40" t="n">
        <v>2374.99</v>
      </c>
      <c r="M228" s="40" t="n">
        <v>100</v>
      </c>
      <c r="N228" s="40" t="n">
        <v>0</v>
      </c>
      <c r="O228" s="46" t="n">
        <v>-100</v>
      </c>
      <c r="P228" s="40" t="n">
        <v>0</v>
      </c>
      <c r="Q228" s="40" t="n">
        <v>0</v>
      </c>
      <c r="R228" s="47" t="n"/>
      <c r="S228" s="47" t="n"/>
      <c r="T228" s="47" t="n"/>
      <c r="U228" s="47" t="n"/>
      <c r="V228" s="47" t="n"/>
      <c r="W228" s="47" t="n"/>
    </row>
    <row r="229" ht="12" customHeight="1">
      <c r="A229" s="30" t="inlineStr">
        <is>
          <t>Porto Real</t>
        </is>
      </c>
      <c r="B229" s="30" t="n">
        <v>77836349</v>
      </c>
      <c r="C229" s="30">
        <f>"03708458000279"</f>
        <v/>
      </c>
      <c r="D229" s="30" t="inlineStr">
        <is>
          <t>REDIVIX TRANSPORTES LTDA</t>
        </is>
      </c>
      <c r="E229" s="40" t="n">
        <v>0</v>
      </c>
      <c r="F229" s="40" t="n">
        <v>0</v>
      </c>
      <c r="G229" s="40" t="n">
        <v>0</v>
      </c>
      <c r="H229" s="40" t="n">
        <v>0</v>
      </c>
      <c r="I229" s="40" t="n">
        <v>0</v>
      </c>
      <c r="J229" s="40" t="n">
        <v>106.03</v>
      </c>
      <c r="K229" s="40" t="n">
        <v>100</v>
      </c>
      <c r="L229" s="40" t="n">
        <v>842.59</v>
      </c>
      <c r="M229" s="40" t="n">
        <v>694.67</v>
      </c>
      <c r="N229" s="40" t="n">
        <v>68.81</v>
      </c>
      <c r="O229" s="46" t="n">
        <v>-91.83</v>
      </c>
      <c r="P229" s="40" t="n">
        <v>0</v>
      </c>
      <c r="Q229" s="46" t="n">
        <v>-100</v>
      </c>
      <c r="R229" s="47" t="n"/>
      <c r="S229" s="47" t="n"/>
      <c r="T229" s="47" t="n"/>
      <c r="U229" s="47" t="n"/>
      <c r="V229" s="47" t="n"/>
      <c r="W229" s="47" t="n"/>
    </row>
    <row r="230" ht="12" customHeight="1">
      <c r="A230" s="30" t="inlineStr">
        <is>
          <t>Porto Real</t>
        </is>
      </c>
      <c r="B230" s="30" t="n">
        <v>77842411</v>
      </c>
      <c r="C230" s="30">
        <f>"03197023000479"</f>
        <v/>
      </c>
      <c r="D230" s="30" t="inlineStr">
        <is>
          <t>UNIVERSAL TELECOM SA</t>
        </is>
      </c>
      <c r="E230" s="40" t="n">
        <v>0</v>
      </c>
      <c r="F230" s="40" t="n">
        <v>0</v>
      </c>
      <c r="G230" s="40" t="n">
        <v>0</v>
      </c>
      <c r="H230" s="40" t="n">
        <v>0</v>
      </c>
      <c r="I230" s="40" t="n">
        <v>0</v>
      </c>
      <c r="J230" s="40" t="n">
        <v>7020</v>
      </c>
      <c r="K230" s="40" t="n">
        <v>100</v>
      </c>
      <c r="L230" s="40" t="n">
        <v>7020</v>
      </c>
      <c r="M230" s="40" t="n">
        <v>0</v>
      </c>
      <c r="N230" s="40" t="n">
        <v>7341.74</v>
      </c>
      <c r="O230" s="40" t="n">
        <v>4.58</v>
      </c>
      <c r="P230" s="40" t="n">
        <v>4550</v>
      </c>
      <c r="Q230" s="46" t="n">
        <v>-38.03</v>
      </c>
      <c r="R230" s="47" t="n"/>
      <c r="S230" s="47" t="n"/>
      <c r="T230" s="47" t="n"/>
      <c r="U230" s="47" t="n"/>
      <c r="V230" s="47" t="n"/>
      <c r="W230" s="47" t="n"/>
    </row>
    <row r="231" ht="12" customHeight="1">
      <c r="A231" s="30" t="inlineStr">
        <is>
          <t>Porto Real</t>
        </is>
      </c>
      <c r="B231" s="30" t="n">
        <v>77843655</v>
      </c>
      <c r="C231" s="30">
        <f>"06992662000171"</f>
        <v/>
      </c>
      <c r="D231" s="30" t="inlineStr">
        <is>
          <t>SANTA HELENA DE PORTO REAL INCORPORACAO IMOB E CONSTRUTORA LTDA</t>
        </is>
      </c>
      <c r="E231" s="40" t="n">
        <v>0</v>
      </c>
      <c r="F231" s="40" t="n">
        <v>0</v>
      </c>
      <c r="G231" s="40" t="n">
        <v>0</v>
      </c>
      <c r="H231" s="40" t="n">
        <v>0</v>
      </c>
      <c r="I231" s="40" t="n">
        <v>0</v>
      </c>
      <c r="J231" s="40" t="n">
        <v>0</v>
      </c>
      <c r="K231" s="40" t="n">
        <v>0</v>
      </c>
      <c r="L231" s="40" t="n">
        <v>0</v>
      </c>
      <c r="M231" s="40" t="n">
        <v>0</v>
      </c>
      <c r="N231" s="40" t="n">
        <v>0</v>
      </c>
      <c r="O231" s="40" t="n">
        <v>0</v>
      </c>
      <c r="P231" s="40" t="n">
        <v>0</v>
      </c>
      <c r="Q231" s="40" t="n">
        <v>0</v>
      </c>
      <c r="R231" s="47" t="n"/>
      <c r="S231" s="47" t="n"/>
      <c r="T231" s="47" t="n"/>
      <c r="U231" s="47" t="n"/>
      <c r="V231" s="47" t="n"/>
      <c r="W231" s="47" t="n"/>
    </row>
    <row r="232" ht="12" customHeight="1">
      <c r="A232" s="30" t="inlineStr">
        <is>
          <t>Porto Real</t>
        </is>
      </c>
      <c r="B232" s="30" t="n">
        <v>77878734</v>
      </c>
      <c r="C232" s="30">
        <f>"07212594000143"</f>
        <v/>
      </c>
      <c r="D232" s="30" t="inlineStr">
        <is>
          <t>G MOR FABRICACAO COMERCIO E SERVICOS INDUSTRIAIS LTDA</t>
        </is>
      </c>
      <c r="E232" s="40" t="n">
        <v>4766.85</v>
      </c>
      <c r="F232" s="40" t="n">
        <v>7169.71</v>
      </c>
      <c r="G232" s="40" t="n">
        <v>50.41</v>
      </c>
      <c r="H232" s="40" t="n">
        <v>0</v>
      </c>
      <c r="I232" s="46" t="n">
        <v>-100</v>
      </c>
      <c r="J232" s="40" t="n">
        <v>0</v>
      </c>
      <c r="K232" s="40" t="n">
        <v>0</v>
      </c>
      <c r="L232" s="40" t="n">
        <v>0</v>
      </c>
      <c r="M232" s="40" t="n">
        <v>0</v>
      </c>
      <c r="N232" s="40" t="n">
        <v>0</v>
      </c>
      <c r="O232" s="40" t="n">
        <v>0</v>
      </c>
      <c r="P232" s="40" t="n">
        <v>0</v>
      </c>
      <c r="Q232" s="40" t="n">
        <v>0</v>
      </c>
      <c r="R232" s="47" t="n"/>
      <c r="S232" s="47" t="n"/>
      <c r="T232" s="47" t="n"/>
      <c r="U232" s="47" t="n"/>
      <c r="V232" s="47" t="n"/>
      <c r="W232" s="47" t="n"/>
    </row>
    <row r="233" ht="12" customHeight="1">
      <c r="A233" s="30" t="inlineStr">
        <is>
          <t>Porto Real</t>
        </is>
      </c>
      <c r="B233" s="30" t="n">
        <v>77885030</v>
      </c>
      <c r="C233" s="30">
        <f>"92644483001408"</f>
        <v/>
      </c>
      <c r="D233" s="30" t="inlineStr">
        <is>
          <t>TRANSPORTES GABARDO LTDA</t>
        </is>
      </c>
      <c r="E233" s="40" t="n">
        <v>22181984.59</v>
      </c>
      <c r="F233" s="40" t="n">
        <v>959789.5699999999</v>
      </c>
      <c r="G233" s="46" t="n">
        <v>-95.67</v>
      </c>
      <c r="H233" s="40" t="n">
        <v>808880.6</v>
      </c>
      <c r="I233" s="46" t="n">
        <v>-15.72</v>
      </c>
      <c r="J233" s="40" t="n">
        <v>173285.67</v>
      </c>
      <c r="K233" s="46" t="n">
        <v>-78.58</v>
      </c>
      <c r="L233" s="40" t="n">
        <v>1358727.64</v>
      </c>
      <c r="M233" s="40" t="n">
        <v>684.1</v>
      </c>
      <c r="N233" s="40" t="n">
        <v>14860591.08</v>
      </c>
      <c r="O233" s="40" t="n">
        <v>993.71</v>
      </c>
      <c r="P233" s="40" t="n">
        <v>937918.89</v>
      </c>
      <c r="Q233" s="46" t="n">
        <v>-93.69</v>
      </c>
      <c r="R233" s="47" t="n"/>
      <c r="S233" s="47" t="n"/>
      <c r="T233" s="47" t="n"/>
      <c r="U233" s="47" t="n"/>
      <c r="V233" s="47" t="n"/>
      <c r="W233" s="47" t="n"/>
    </row>
    <row r="234" ht="12" customHeight="1">
      <c r="A234" s="30" t="inlineStr">
        <is>
          <t>Porto Real</t>
        </is>
      </c>
      <c r="B234" s="30" t="n">
        <v>77888020</v>
      </c>
      <c r="C234" s="30">
        <f>"07268172000190"</f>
        <v/>
      </c>
      <c r="D234" s="30" t="inlineStr">
        <is>
          <t>S MARASSI NETO AGROPECUARIA ME</t>
        </is>
      </c>
      <c r="E234" s="40" t="n">
        <v>0</v>
      </c>
      <c r="F234" s="40" t="n">
        <v>0</v>
      </c>
      <c r="G234" s="40" t="n">
        <v>0</v>
      </c>
      <c r="H234" s="40" t="n">
        <v>0</v>
      </c>
      <c r="I234" s="40" t="n">
        <v>0</v>
      </c>
      <c r="J234" s="40" t="n">
        <v>0</v>
      </c>
      <c r="K234" s="40" t="n">
        <v>0</v>
      </c>
      <c r="L234" s="40" t="n">
        <v>0</v>
      </c>
      <c r="M234" s="40" t="n">
        <v>0</v>
      </c>
      <c r="N234" s="40" t="n">
        <v>0</v>
      </c>
      <c r="O234" s="40" t="n">
        <v>0</v>
      </c>
      <c r="P234" s="40" t="n">
        <v>0</v>
      </c>
      <c r="Q234" s="40" t="n">
        <v>0</v>
      </c>
      <c r="R234" s="47" t="n"/>
      <c r="S234" s="47" t="n"/>
      <c r="T234" s="47" t="n"/>
      <c r="U234" s="47" t="n"/>
      <c r="V234" s="47" t="n"/>
      <c r="W234" s="47" t="n"/>
    </row>
    <row r="235" ht="12" customHeight="1">
      <c r="A235" s="30" t="inlineStr">
        <is>
          <t>Porto Real</t>
        </is>
      </c>
      <c r="B235" s="30" t="n">
        <v>77909028</v>
      </c>
      <c r="C235" s="30">
        <f>"03558055001009"</f>
        <v/>
      </c>
      <c r="D235" s="30" t="inlineStr">
        <is>
          <t>INTERMODAL BRASIL LOGISTICA LTDA</t>
        </is>
      </c>
      <c r="E235" s="40" t="n">
        <v>0</v>
      </c>
      <c r="F235" s="40" t="n">
        <v>0</v>
      </c>
      <c r="G235" s="40" t="n">
        <v>0</v>
      </c>
      <c r="H235" s="40" t="n">
        <v>12.5</v>
      </c>
      <c r="I235" s="40" t="n">
        <v>100</v>
      </c>
      <c r="J235" s="40" t="n">
        <v>199.06</v>
      </c>
      <c r="K235" s="40" t="n">
        <v>1492.48</v>
      </c>
      <c r="L235" s="40" t="n">
        <v>0</v>
      </c>
      <c r="M235" s="46" t="n">
        <v>-100</v>
      </c>
      <c r="N235" s="40" t="n">
        <v>0</v>
      </c>
      <c r="O235" s="40" t="n">
        <v>0</v>
      </c>
      <c r="P235" s="40" t="n">
        <v>0</v>
      </c>
      <c r="Q235" s="40" t="n">
        <v>0</v>
      </c>
      <c r="R235" s="47" t="n"/>
      <c r="S235" s="47" t="n"/>
      <c r="T235" s="47" t="n"/>
      <c r="U235" s="47" t="n"/>
      <c r="V235" s="47" t="n"/>
      <c r="W235" s="47" t="n"/>
    </row>
    <row r="236" ht="12" customHeight="1">
      <c r="A236" s="30" t="inlineStr">
        <is>
          <t>Porto Real</t>
        </is>
      </c>
      <c r="B236" s="30" t="n">
        <v>77924817</v>
      </c>
      <c r="C236" s="30">
        <f>"07430035000100"</f>
        <v/>
      </c>
      <c r="D236" s="30" t="inlineStr">
        <is>
          <t>BIOTA CONSTRUCOES SERVICOS E TRANSPORTES LTDA EPP</t>
        </is>
      </c>
      <c r="E236" s="40" t="n">
        <v>0</v>
      </c>
      <c r="F236" s="40" t="n">
        <v>0</v>
      </c>
      <c r="G236" s="40" t="n">
        <v>0</v>
      </c>
      <c r="H236" s="40" t="n">
        <v>0</v>
      </c>
      <c r="I236" s="40" t="n">
        <v>0</v>
      </c>
      <c r="J236" s="40" t="n">
        <v>0</v>
      </c>
      <c r="K236" s="40" t="n">
        <v>0</v>
      </c>
      <c r="L236" s="40" t="n">
        <v>0</v>
      </c>
      <c r="M236" s="40" t="n">
        <v>0</v>
      </c>
      <c r="N236" s="40" t="n">
        <v>0</v>
      </c>
      <c r="O236" s="40" t="n">
        <v>0</v>
      </c>
      <c r="P236" s="40" t="n">
        <v>0</v>
      </c>
      <c r="Q236" s="40" t="n">
        <v>0</v>
      </c>
      <c r="R236" s="47" t="n"/>
      <c r="S236" s="47" t="n"/>
      <c r="T236" s="47" t="n"/>
      <c r="U236" s="47" t="n"/>
      <c r="V236" s="47" t="n"/>
      <c r="W236" s="47" t="n"/>
    </row>
    <row r="237" ht="12" customHeight="1">
      <c r="A237" s="30" t="inlineStr">
        <is>
          <t>Porto Real</t>
        </is>
      </c>
      <c r="B237" s="30" t="n">
        <v>77959912</v>
      </c>
      <c r="C237" s="30">
        <f>"07463749000114"</f>
        <v/>
      </c>
      <c r="D237" s="30" t="inlineStr">
        <is>
          <t>WEIDNER DO BRASIL INDUSTRIA DE PRODUTOS PLASTICOS LTDA</t>
        </is>
      </c>
      <c r="E237" s="40" t="n">
        <v>297149.26</v>
      </c>
      <c r="F237" s="40" t="n">
        <v>195173.67</v>
      </c>
      <c r="G237" s="46" t="n">
        <v>-34.32</v>
      </c>
      <c r="H237" s="40" t="n">
        <v>191847.79</v>
      </c>
      <c r="I237" s="46" t="n">
        <v>-1.7</v>
      </c>
      <c r="J237" s="40" t="n">
        <v>0</v>
      </c>
      <c r="K237" s="46" t="n">
        <v>-100</v>
      </c>
      <c r="L237" s="40" t="n">
        <v>0</v>
      </c>
      <c r="M237" s="40" t="n">
        <v>0</v>
      </c>
      <c r="N237" s="40" t="n">
        <v>115297.57</v>
      </c>
      <c r="O237" s="40" t="n">
        <v>100</v>
      </c>
      <c r="P237" s="40" t="n">
        <v>174782.32</v>
      </c>
      <c r="Q237" s="40" t="n">
        <v>51.59</v>
      </c>
      <c r="R237" s="47" t="n"/>
      <c r="S237" s="47" t="n"/>
      <c r="T237" s="47" t="n"/>
      <c r="U237" s="47" t="n"/>
      <c r="V237" s="47" t="n"/>
      <c r="W237" s="47" t="n"/>
    </row>
    <row r="238" ht="12" customHeight="1">
      <c r="A238" s="30" t="inlineStr">
        <is>
          <t>Porto Real</t>
        </is>
      </c>
      <c r="B238" s="30" t="n">
        <v>77968938</v>
      </c>
      <c r="C238" s="30">
        <f>"22447684000883"</f>
        <v/>
      </c>
      <c r="D238" s="30" t="inlineStr">
        <is>
          <t>DGRA NEL TRANSPORTES E COMERCIO LTDA</t>
        </is>
      </c>
      <c r="E238" s="40" t="n">
        <v>0</v>
      </c>
      <c r="F238" s="40" t="n">
        <v>0</v>
      </c>
      <c r="G238" s="40" t="n">
        <v>0</v>
      </c>
      <c r="H238" s="40" t="n">
        <v>25259</v>
      </c>
      <c r="I238" s="40" t="n">
        <v>100</v>
      </c>
      <c r="J238" s="40" t="n">
        <v>131716.5</v>
      </c>
      <c r="K238" s="40" t="n">
        <v>421.46</v>
      </c>
      <c r="L238" s="40" t="n">
        <v>0</v>
      </c>
      <c r="M238" s="46" t="n">
        <v>-100</v>
      </c>
      <c r="N238" s="40" t="n">
        <v>0</v>
      </c>
      <c r="O238" s="40" t="n">
        <v>0</v>
      </c>
      <c r="P238" s="40" t="n">
        <v>61928.77</v>
      </c>
      <c r="Q238" s="40" t="n">
        <v>100</v>
      </c>
      <c r="R238" s="47" t="n"/>
      <c r="S238" s="47" t="n"/>
      <c r="T238" s="47" t="n"/>
      <c r="U238" s="47" t="n"/>
      <c r="V238" s="47" t="n"/>
      <c r="W238" s="47" t="n"/>
    </row>
    <row r="239" ht="12" customHeight="1">
      <c r="A239" s="30" t="inlineStr">
        <is>
          <t>Porto Real</t>
        </is>
      </c>
      <c r="B239" s="30" t="n">
        <v>78002840</v>
      </c>
      <c r="C239" s="30">
        <f>"40432544006269"</f>
        <v/>
      </c>
      <c r="D239" s="30" t="inlineStr">
        <is>
          <t>CLARO S/A</t>
        </is>
      </c>
      <c r="E239" s="40" t="n">
        <v>2474943.67</v>
      </c>
      <c r="F239" s="40" t="n">
        <v>2226483</v>
      </c>
      <c r="G239" s="46" t="n">
        <v>-10.04</v>
      </c>
      <c r="H239" s="40" t="n">
        <v>2101002.63</v>
      </c>
      <c r="I239" s="46" t="n">
        <v>-5.64</v>
      </c>
      <c r="J239" s="40" t="n">
        <v>2123108.94</v>
      </c>
      <c r="K239" s="40" t="n">
        <v>1.05</v>
      </c>
      <c r="L239" s="40" t="n">
        <v>1763840.84</v>
      </c>
      <c r="M239" s="46" t="n">
        <v>-16.92</v>
      </c>
      <c r="N239" s="40" t="n">
        <v>1088555.77</v>
      </c>
      <c r="O239" s="46" t="n">
        <v>-38.28</v>
      </c>
      <c r="P239" s="40" t="n">
        <v>1104605.92</v>
      </c>
      <c r="Q239" s="40" t="n">
        <v>1.47</v>
      </c>
      <c r="R239" s="47" t="n"/>
      <c r="S239" s="47" t="n"/>
      <c r="T239" s="47" t="n"/>
      <c r="U239" s="47" t="n"/>
      <c r="V239" s="47" t="n"/>
      <c r="W239" s="47" t="n"/>
    </row>
    <row r="240" ht="12" customHeight="1">
      <c r="A240" s="30" t="inlineStr">
        <is>
          <t>Porto Real</t>
        </is>
      </c>
      <c r="B240" s="30" t="n">
        <v>78017961</v>
      </c>
      <c r="C240" s="30">
        <f>"07465184000104"</f>
        <v/>
      </c>
      <c r="D240" s="30" t="inlineStr">
        <is>
          <t>ROTA BM TRANSPORTES LTDA EPP</t>
        </is>
      </c>
      <c r="E240" s="40" t="n">
        <v>0</v>
      </c>
      <c r="F240" s="40" t="n">
        <v>0</v>
      </c>
      <c r="G240" s="40" t="n">
        <v>0</v>
      </c>
      <c r="H240" s="40" t="n">
        <v>0</v>
      </c>
      <c r="I240" s="40" t="n">
        <v>0</v>
      </c>
      <c r="J240" s="40" t="n">
        <v>0</v>
      </c>
      <c r="K240" s="40" t="n">
        <v>0</v>
      </c>
      <c r="L240" s="40" t="n">
        <v>0</v>
      </c>
      <c r="M240" s="40" t="n">
        <v>0</v>
      </c>
      <c r="N240" s="40" t="n">
        <v>54600</v>
      </c>
      <c r="O240" s="40" t="n">
        <v>100</v>
      </c>
      <c r="P240" s="40" t="n">
        <v>134800</v>
      </c>
      <c r="Q240" s="40" t="n">
        <v>146.89</v>
      </c>
      <c r="R240" s="47" t="n"/>
      <c r="S240" s="47" t="n"/>
      <c r="T240" s="47" t="n"/>
      <c r="U240" s="47" t="n"/>
      <c r="V240" s="47" t="n"/>
      <c r="W240" s="47" t="n"/>
    </row>
    <row r="241" ht="12" customHeight="1">
      <c r="A241" s="30" t="inlineStr">
        <is>
          <t>Porto Real</t>
        </is>
      </c>
      <c r="B241" s="30" t="n">
        <v>78022159</v>
      </c>
      <c r="C241" s="30">
        <f>"07617959000110"</f>
        <v/>
      </c>
      <c r="D241" s="30" t="inlineStr">
        <is>
          <t>THT LOGISTICA TRANSPORTES LTDA</t>
        </is>
      </c>
      <c r="E241" s="40" t="n">
        <v>35800</v>
      </c>
      <c r="F241" s="40" t="n">
        <v>0</v>
      </c>
      <c r="G241" s="46" t="n">
        <v>-100</v>
      </c>
      <c r="H241" s="40" t="n">
        <v>0</v>
      </c>
      <c r="I241" s="40" t="n">
        <v>0</v>
      </c>
      <c r="J241" s="40" t="n">
        <v>0</v>
      </c>
      <c r="K241" s="40" t="n">
        <v>0</v>
      </c>
      <c r="L241" s="40" t="n">
        <v>0</v>
      </c>
      <c r="M241" s="40" t="n">
        <v>0</v>
      </c>
      <c r="N241" s="40" t="n">
        <v>0</v>
      </c>
      <c r="O241" s="40" t="n">
        <v>0</v>
      </c>
      <c r="P241" s="40" t="n">
        <v>0</v>
      </c>
      <c r="Q241" s="40" t="n">
        <v>0</v>
      </c>
      <c r="R241" s="47" t="n"/>
      <c r="S241" s="47" t="n"/>
      <c r="T241" s="47" t="n"/>
      <c r="U241" s="47" t="n"/>
      <c r="V241" s="47" t="n"/>
      <c r="W241" s="47" t="n"/>
    </row>
    <row r="242" ht="12" customHeight="1">
      <c r="A242" s="30" t="inlineStr">
        <is>
          <t>Porto Real</t>
        </is>
      </c>
      <c r="B242" s="30" t="n">
        <v>78024623</v>
      </c>
      <c r="C242" s="30">
        <f>"02645941000450"</f>
        <v/>
      </c>
      <c r="D242" s="30" t="inlineStr">
        <is>
          <t>PLASTIC OMNIUM DO BRASIL LTDA</t>
        </is>
      </c>
      <c r="E242" s="40" t="n">
        <v>57577656.01</v>
      </c>
      <c r="F242" s="40" t="n">
        <v>49641997.43</v>
      </c>
      <c r="G242" s="46" t="n">
        <v>-13.78</v>
      </c>
      <c r="H242" s="40" t="n">
        <v>29838063.54</v>
      </c>
      <c r="I242" s="46" t="n">
        <v>-39.89</v>
      </c>
      <c r="J242" s="40" t="n">
        <v>22500146.27</v>
      </c>
      <c r="K242" s="46" t="n">
        <v>-24.59</v>
      </c>
      <c r="L242" s="40" t="n">
        <v>36205125.47</v>
      </c>
      <c r="M242" s="40" t="n">
        <v>60.91</v>
      </c>
      <c r="N242" s="40" t="n">
        <v>37819935.79</v>
      </c>
      <c r="O242" s="40" t="n">
        <v>4.46</v>
      </c>
      <c r="P242" s="40" t="n">
        <v>31128707.31</v>
      </c>
      <c r="Q242" s="46" t="n">
        <v>-17.69</v>
      </c>
      <c r="R242" s="47" t="n"/>
      <c r="S242" s="47" t="n"/>
      <c r="T242" s="47" t="n"/>
      <c r="U242" s="47" t="n"/>
      <c r="V242" s="47" t="n"/>
      <c r="W242" s="47" t="n"/>
    </row>
    <row r="243" ht="12" customHeight="1">
      <c r="A243" s="30" t="inlineStr">
        <is>
          <t>Porto Real</t>
        </is>
      </c>
      <c r="B243" s="30" t="n">
        <v>78030844</v>
      </c>
      <c r="C243" s="30">
        <f>"07714104000107"</f>
        <v/>
      </c>
      <c r="D243" s="30" t="inlineStr">
        <is>
          <t>VM OPENLINK COMUNICAÇÃO MULTIMIDIA S.A.</t>
        </is>
      </c>
      <c r="E243" s="40" t="n">
        <v>0</v>
      </c>
      <c r="F243" s="40" t="n">
        <v>0</v>
      </c>
      <c r="G243" s="40" t="n">
        <v>0</v>
      </c>
      <c r="H243" s="40" t="n">
        <v>0</v>
      </c>
      <c r="I243" s="40" t="n">
        <v>0</v>
      </c>
      <c r="J243" s="40" t="n">
        <v>189317.08</v>
      </c>
      <c r="K243" s="40" t="n">
        <v>100</v>
      </c>
      <c r="L243" s="40" t="n">
        <v>448703.27</v>
      </c>
      <c r="M243" s="40" t="n">
        <v>137.01</v>
      </c>
      <c r="N243" s="40" t="n">
        <v>510008.56</v>
      </c>
      <c r="O243" s="40" t="n">
        <v>13.66</v>
      </c>
      <c r="P243" s="40" t="n">
        <v>552610.02</v>
      </c>
      <c r="Q243" s="40" t="n">
        <v>8.35</v>
      </c>
      <c r="R243" s="47" t="n"/>
      <c r="S243" s="47" t="n"/>
      <c r="T243" s="47" t="n"/>
      <c r="U243" s="47" t="n"/>
      <c r="V243" s="47" t="n"/>
      <c r="W243" s="47" t="n"/>
    </row>
    <row r="244" ht="12" customHeight="1">
      <c r="A244" s="30" t="inlineStr">
        <is>
          <t>Porto Real</t>
        </is>
      </c>
      <c r="B244" s="30" t="n">
        <v>78041293</v>
      </c>
      <c r="C244" s="30">
        <f>"07031916000581"</f>
        <v/>
      </c>
      <c r="D244" s="30" t="inlineStr">
        <is>
          <t>VIA LACTEOS TRANSPORTES - EIRELI</t>
        </is>
      </c>
      <c r="E244" s="40" t="n">
        <v>0</v>
      </c>
      <c r="F244" s="40" t="n">
        <v>0</v>
      </c>
      <c r="G244" s="40" t="n">
        <v>0</v>
      </c>
      <c r="H244" s="40" t="n">
        <v>0</v>
      </c>
      <c r="I244" s="40" t="n">
        <v>0</v>
      </c>
      <c r="J244" s="40" t="n">
        <v>0</v>
      </c>
      <c r="K244" s="40" t="n">
        <v>0</v>
      </c>
      <c r="L244" s="40" t="n">
        <v>0</v>
      </c>
      <c r="M244" s="40" t="n">
        <v>0</v>
      </c>
      <c r="N244" s="40" t="n">
        <v>660</v>
      </c>
      <c r="O244" s="40" t="n">
        <v>100</v>
      </c>
      <c r="P244" s="40" t="n">
        <v>0</v>
      </c>
      <c r="Q244" s="46" t="n">
        <v>-100</v>
      </c>
      <c r="R244" s="47" t="n"/>
      <c r="S244" s="47" t="n"/>
      <c r="T244" s="47" t="n"/>
      <c r="U244" s="47" t="n"/>
      <c r="V244" s="47" t="n"/>
      <c r="W244" s="47" t="n"/>
    </row>
    <row r="245" ht="12" customHeight="1">
      <c r="A245" s="30" t="inlineStr">
        <is>
          <t>Porto Real</t>
        </is>
      </c>
      <c r="B245" s="30" t="n">
        <v>78107944</v>
      </c>
      <c r="C245" s="30">
        <f>"04425426000229"</f>
        <v/>
      </c>
      <c r="D245" s="30" t="inlineStr">
        <is>
          <t>RADIO E TELEVISAO MODELO PAULISTA</t>
        </is>
      </c>
      <c r="E245" s="40" t="n">
        <v>4559.11</v>
      </c>
      <c r="F245" s="40" t="n">
        <v>3028.42</v>
      </c>
      <c r="G245" s="46" t="n">
        <v>-33.57</v>
      </c>
      <c r="H245" s="40" t="n">
        <v>4335.67</v>
      </c>
      <c r="I245" s="40" t="n">
        <v>43.17</v>
      </c>
      <c r="J245" s="40" t="n">
        <v>2466.7</v>
      </c>
      <c r="K245" s="46" t="n">
        <v>-43.11</v>
      </c>
      <c r="L245" s="40" t="n">
        <v>965.28</v>
      </c>
      <c r="M245" s="46" t="n">
        <v>-60.87</v>
      </c>
      <c r="N245" s="40" t="n">
        <v>708.25</v>
      </c>
      <c r="O245" s="46" t="n">
        <v>-26.63</v>
      </c>
      <c r="P245" s="40" t="n">
        <v>546.6</v>
      </c>
      <c r="Q245" s="46" t="n">
        <v>-22.82</v>
      </c>
      <c r="R245" s="47" t="n"/>
      <c r="S245" s="47" t="n"/>
      <c r="T245" s="47" t="n"/>
      <c r="U245" s="47" t="n"/>
      <c r="V245" s="47" t="n"/>
      <c r="W245" s="47" t="n"/>
    </row>
    <row r="246" ht="12" customHeight="1">
      <c r="A246" s="30" t="inlineStr">
        <is>
          <t>Porto Real</t>
        </is>
      </c>
      <c r="B246" s="30" t="n">
        <v>78118814</v>
      </c>
      <c r="C246" s="30">
        <f>"05822091000245"</f>
        <v/>
      </c>
      <c r="D246" s="30" t="inlineStr">
        <is>
          <t>RESTAURANTE TREM AZUL DE PENEDO LTDA ME</t>
        </is>
      </c>
      <c r="E246" s="40" t="n">
        <v>0</v>
      </c>
      <c r="F246" s="40" t="n">
        <v>0</v>
      </c>
      <c r="G246" s="40" t="n">
        <v>0</v>
      </c>
      <c r="H246" s="40" t="n">
        <v>0</v>
      </c>
      <c r="I246" s="40" t="n">
        <v>0</v>
      </c>
      <c r="J246" s="40" t="n">
        <v>0</v>
      </c>
      <c r="K246" s="40" t="n">
        <v>0</v>
      </c>
      <c r="L246" s="40" t="n">
        <v>0</v>
      </c>
      <c r="M246" s="40" t="n">
        <v>0</v>
      </c>
      <c r="N246" s="40" t="n">
        <v>0</v>
      </c>
      <c r="O246" s="40" t="n">
        <v>0</v>
      </c>
      <c r="P246" s="40" t="n">
        <v>0</v>
      </c>
      <c r="Q246" s="40" t="n">
        <v>0</v>
      </c>
      <c r="R246" s="47" t="n"/>
      <c r="S246" s="47" t="n"/>
      <c r="T246" s="47" t="n"/>
      <c r="U246" s="47" t="n"/>
      <c r="V246" s="47" t="n"/>
      <c r="W246" s="47" t="n"/>
    </row>
    <row r="247" ht="12" customHeight="1">
      <c r="A247" s="30" t="inlineStr">
        <is>
          <t>Porto Real</t>
        </is>
      </c>
      <c r="B247" s="30" t="n">
        <v>78138220</v>
      </c>
      <c r="C247" s="30">
        <f>"88668298003179"</f>
        <v/>
      </c>
      <c r="D247" s="30" t="inlineStr">
        <is>
          <t>IRAPURU TRANSPORTES LTDA</t>
        </is>
      </c>
      <c r="E247" s="40" t="n">
        <v>121194.96</v>
      </c>
      <c r="F247" s="40" t="n">
        <v>245526.72</v>
      </c>
      <c r="G247" s="40" t="n">
        <v>102.59</v>
      </c>
      <c r="H247" s="40" t="n">
        <v>199004.06</v>
      </c>
      <c r="I247" s="46" t="n">
        <v>-18.95</v>
      </c>
      <c r="J247" s="40" t="n">
        <v>97460.37</v>
      </c>
      <c r="K247" s="46" t="n">
        <v>-51.03</v>
      </c>
      <c r="L247" s="40" t="n">
        <v>80444.08</v>
      </c>
      <c r="M247" s="46" t="n">
        <v>-17.46</v>
      </c>
      <c r="N247" s="40" t="n">
        <v>118268.69</v>
      </c>
      <c r="O247" s="40" t="n">
        <v>47.02</v>
      </c>
      <c r="P247" s="40" t="n">
        <v>0</v>
      </c>
      <c r="Q247" s="46" t="n">
        <v>-100</v>
      </c>
      <c r="R247" s="47" t="n"/>
      <c r="S247" s="47" t="n"/>
      <c r="T247" s="47" t="n"/>
      <c r="U247" s="47" t="n"/>
      <c r="V247" s="47" t="n"/>
      <c r="W247" s="47" t="n"/>
    </row>
    <row r="248" ht="12" customHeight="1">
      <c r="A248" s="30" t="inlineStr">
        <is>
          <t>Porto Real</t>
        </is>
      </c>
      <c r="B248" s="30" t="n">
        <v>78139587</v>
      </c>
      <c r="C248" s="30">
        <f>"26178616000302"</f>
        <v/>
      </c>
      <c r="D248" s="30" t="inlineStr">
        <is>
          <t>EMPREENDIMENTOS RODEIRO S/A</t>
        </is>
      </c>
      <c r="E248" s="40" t="n">
        <v>0</v>
      </c>
      <c r="F248" s="40" t="n">
        <v>50146.22</v>
      </c>
      <c r="G248" s="40" t="n">
        <v>100</v>
      </c>
      <c r="H248" s="40" t="n">
        <v>16193.31</v>
      </c>
      <c r="I248" s="46" t="n">
        <v>-67.70999999999999</v>
      </c>
      <c r="J248" s="40" t="n">
        <v>37991.81</v>
      </c>
      <c r="K248" s="40" t="n">
        <v>134.61</v>
      </c>
      <c r="L248" s="40" t="n">
        <v>41082.19</v>
      </c>
      <c r="M248" s="40" t="n">
        <v>8.130000000000001</v>
      </c>
      <c r="N248" s="40" t="n">
        <v>57009.45</v>
      </c>
      <c r="O248" s="40" t="n">
        <v>38.77</v>
      </c>
      <c r="P248" s="40" t="n">
        <v>100816.5</v>
      </c>
      <c r="Q248" s="40" t="n">
        <v>76.84</v>
      </c>
      <c r="R248" s="47" t="n"/>
      <c r="S248" s="47" t="n"/>
      <c r="T248" s="47" t="n"/>
      <c r="U248" s="47" t="n"/>
      <c r="V248" s="47" t="n"/>
      <c r="W248" s="47" t="n"/>
    </row>
    <row r="249" ht="12" customHeight="1">
      <c r="A249" s="30" t="inlineStr">
        <is>
          <t>Porto Real</t>
        </is>
      </c>
      <c r="B249" s="30" t="n">
        <v>78145528</v>
      </c>
      <c r="C249" s="30">
        <f>"08186591000145"</f>
        <v/>
      </c>
      <c r="D249" s="30" t="inlineStr">
        <is>
          <t>GIANNONE TRANSPORTES LTDA</t>
        </is>
      </c>
      <c r="E249" s="40" t="n">
        <v>0</v>
      </c>
      <c r="F249" s="40" t="n">
        <v>0</v>
      </c>
      <c r="G249" s="40" t="n">
        <v>0</v>
      </c>
      <c r="H249" s="40" t="n">
        <v>0</v>
      </c>
      <c r="I249" s="40" t="n">
        <v>0</v>
      </c>
      <c r="J249" s="40" t="n">
        <v>0</v>
      </c>
      <c r="K249" s="40" t="n">
        <v>0</v>
      </c>
      <c r="L249" s="40" t="n">
        <v>107.9</v>
      </c>
      <c r="M249" s="40" t="n">
        <v>100</v>
      </c>
      <c r="N249" s="40" t="n">
        <v>0</v>
      </c>
      <c r="O249" s="46" t="n">
        <v>-100</v>
      </c>
      <c r="P249" s="40" t="n">
        <v>0</v>
      </c>
      <c r="Q249" s="40" t="n">
        <v>0</v>
      </c>
      <c r="R249" s="47" t="n"/>
      <c r="S249" s="47" t="n"/>
      <c r="T249" s="47" t="n"/>
      <c r="U249" s="47" t="n"/>
      <c r="V249" s="47" t="n"/>
      <c r="W249" s="47" t="n"/>
    </row>
    <row r="250" ht="12" customHeight="1">
      <c r="A250" s="30" t="inlineStr">
        <is>
          <t>Porto Real</t>
        </is>
      </c>
      <c r="B250" s="30" t="n">
        <v>78156872</v>
      </c>
      <c r="C250" s="30">
        <f>"73939449000940"</f>
        <v/>
      </c>
      <c r="D250" s="30" t="inlineStr">
        <is>
          <t>TEX COURIER LTDA EM RECUPERACAO JUDICIAL</t>
        </is>
      </c>
      <c r="E250" s="40" t="n">
        <v>0</v>
      </c>
      <c r="F250" s="40" t="n">
        <v>0</v>
      </c>
      <c r="G250" s="40" t="n">
        <v>0</v>
      </c>
      <c r="H250" s="40" t="n">
        <v>0</v>
      </c>
      <c r="I250" s="40" t="n">
        <v>0</v>
      </c>
      <c r="J250" s="40" t="n">
        <v>2971.28</v>
      </c>
      <c r="K250" s="40" t="n">
        <v>100</v>
      </c>
      <c r="L250" s="40" t="n">
        <v>0</v>
      </c>
      <c r="M250" s="46" t="n">
        <v>-100</v>
      </c>
      <c r="N250" s="40" t="n">
        <v>0</v>
      </c>
      <c r="O250" s="40" t="n">
        <v>0</v>
      </c>
      <c r="P250" s="40" t="n">
        <v>0</v>
      </c>
      <c r="Q250" s="40" t="n">
        <v>0</v>
      </c>
      <c r="R250" s="47" t="n"/>
      <c r="S250" s="47" t="n"/>
      <c r="T250" s="47" t="n"/>
      <c r="U250" s="47" t="n"/>
      <c r="V250" s="47" t="n"/>
      <c r="W250" s="47" t="n"/>
    </row>
    <row r="251" ht="12" customHeight="1">
      <c r="A251" s="30" t="inlineStr">
        <is>
          <t>Porto Real</t>
        </is>
      </c>
      <c r="B251" s="30" t="n">
        <v>78180277</v>
      </c>
      <c r="C251" s="30">
        <f>"50351014001523"</f>
        <v/>
      </c>
      <c r="D251" s="30" t="inlineStr">
        <is>
          <t>ITOGRASS AGRICOLA LTDA</t>
        </is>
      </c>
      <c r="E251" s="40" t="n">
        <v>0</v>
      </c>
      <c r="F251" s="40" t="n">
        <v>0</v>
      </c>
      <c r="G251" s="40" t="n">
        <v>0</v>
      </c>
      <c r="H251" s="40" t="n">
        <v>0</v>
      </c>
      <c r="I251" s="40" t="n">
        <v>0</v>
      </c>
      <c r="J251" s="40" t="n">
        <v>0</v>
      </c>
      <c r="K251" s="40" t="n">
        <v>0</v>
      </c>
      <c r="L251" s="40" t="n">
        <v>0</v>
      </c>
      <c r="M251" s="40" t="n">
        <v>0</v>
      </c>
      <c r="N251" s="40" t="n">
        <v>0</v>
      </c>
      <c r="O251" s="40" t="n">
        <v>0</v>
      </c>
      <c r="P251" s="40" t="n">
        <v>0</v>
      </c>
      <c r="Q251" s="40" t="n">
        <v>0</v>
      </c>
      <c r="R251" s="47" t="n"/>
      <c r="S251" s="47" t="n"/>
      <c r="T251" s="47" t="n"/>
      <c r="U251" s="47" t="n"/>
      <c r="V251" s="47" t="n"/>
      <c r="W251" s="47" t="n"/>
    </row>
    <row r="252" ht="12" customHeight="1">
      <c r="A252" s="30" t="inlineStr">
        <is>
          <t>Porto Real</t>
        </is>
      </c>
      <c r="B252" s="30" t="n">
        <v>78191066</v>
      </c>
      <c r="C252" s="30">
        <f>"07257228000887"</f>
        <v/>
      </c>
      <c r="D252" s="30" t="inlineStr">
        <is>
          <t>RODOPLAN TRANSPORTE E PRESTACAO DE SERVICOS EIRELI</t>
        </is>
      </c>
      <c r="E252" s="40" t="n">
        <v>469927.28</v>
      </c>
      <c r="F252" s="40" t="n">
        <v>163866.37</v>
      </c>
      <c r="G252" s="46" t="n">
        <v>-65.13</v>
      </c>
      <c r="H252" s="40" t="n">
        <v>0</v>
      </c>
      <c r="I252" s="46" t="n">
        <v>-100</v>
      </c>
      <c r="J252" s="40" t="n">
        <v>0</v>
      </c>
      <c r="K252" s="40" t="n">
        <v>0</v>
      </c>
      <c r="L252" s="40" t="n">
        <v>0</v>
      </c>
      <c r="M252" s="40" t="n">
        <v>0</v>
      </c>
      <c r="N252" s="40" t="n">
        <v>0</v>
      </c>
      <c r="O252" s="40" t="n">
        <v>0</v>
      </c>
      <c r="P252" s="40" t="n">
        <v>0</v>
      </c>
      <c r="Q252" s="40" t="n">
        <v>0</v>
      </c>
      <c r="R252" s="47" t="n"/>
      <c r="S252" s="47" t="n"/>
      <c r="T252" s="47" t="n"/>
      <c r="U252" s="47" t="n"/>
      <c r="V252" s="47" t="n"/>
      <c r="W252" s="47" t="n"/>
    </row>
    <row r="253" ht="12" customHeight="1">
      <c r="A253" s="30" t="inlineStr">
        <is>
          <t>Porto Real</t>
        </is>
      </c>
      <c r="B253" s="30" t="n">
        <v>78194367</v>
      </c>
      <c r="C253" s="30">
        <f>"08168884000108"</f>
        <v/>
      </c>
      <c r="D253" s="30" t="inlineStr">
        <is>
          <t>NOVA UNIAO LOGISTICA E TRANSPORTES LTDA</t>
        </is>
      </c>
      <c r="E253" s="40" t="n">
        <v>7335.41</v>
      </c>
      <c r="F253" s="40" t="n">
        <v>3800.82</v>
      </c>
      <c r="G253" s="46" t="n">
        <v>-48.19</v>
      </c>
      <c r="H253" s="40" t="n">
        <v>0</v>
      </c>
      <c r="I253" s="46" t="n">
        <v>-100</v>
      </c>
      <c r="J253" s="40" t="n">
        <v>0</v>
      </c>
      <c r="K253" s="40" t="n">
        <v>0</v>
      </c>
      <c r="L253" s="40" t="n">
        <v>0</v>
      </c>
      <c r="M253" s="40" t="n">
        <v>0</v>
      </c>
      <c r="N253" s="40" t="n">
        <v>0</v>
      </c>
      <c r="O253" s="40" t="n">
        <v>0</v>
      </c>
      <c r="P253" s="40" t="n">
        <v>0</v>
      </c>
      <c r="Q253" s="40" t="n">
        <v>0</v>
      </c>
      <c r="R253" s="47" t="n"/>
      <c r="S253" s="47" t="n"/>
      <c r="T253" s="47" t="n"/>
      <c r="U253" s="47" t="n"/>
      <c r="V253" s="47" t="n"/>
      <c r="W253" s="47" t="n"/>
    </row>
    <row r="254" ht="12" customHeight="1">
      <c r="A254" s="30" t="inlineStr">
        <is>
          <t>Porto Real</t>
        </is>
      </c>
      <c r="B254" s="30" t="n">
        <v>78196475</v>
      </c>
      <c r="C254" s="30">
        <f>"76642743001603"</f>
        <v/>
      </c>
      <c r="D254" s="30" t="inlineStr">
        <is>
          <t>DEL POZO TRANSPORTES RODOVIARIOS LTDA</t>
        </is>
      </c>
      <c r="E254" s="40" t="n">
        <v>166775.99</v>
      </c>
      <c r="F254" s="40" t="n">
        <v>146676.02</v>
      </c>
      <c r="G254" s="46" t="n">
        <v>-12.05</v>
      </c>
      <c r="H254" s="40" t="n">
        <v>48897</v>
      </c>
      <c r="I254" s="46" t="n">
        <v>-66.66</v>
      </c>
      <c r="J254" s="40" t="n">
        <v>108732.22</v>
      </c>
      <c r="K254" s="40" t="n">
        <v>122.37</v>
      </c>
      <c r="L254" s="40" t="n">
        <v>4892</v>
      </c>
      <c r="M254" s="46" t="n">
        <v>-95.5</v>
      </c>
      <c r="N254" s="40" t="n">
        <v>2802.19</v>
      </c>
      <c r="O254" s="46" t="n">
        <v>-42.72</v>
      </c>
      <c r="P254" s="40" t="n">
        <v>314468.79</v>
      </c>
      <c r="Q254" s="40" t="n">
        <v>11122.25</v>
      </c>
      <c r="R254" s="47" t="n"/>
      <c r="S254" s="47" t="n"/>
      <c r="T254" s="47" t="n"/>
      <c r="U254" s="47" t="n"/>
      <c r="V254" s="47" t="n"/>
      <c r="W254" s="47" t="n"/>
    </row>
    <row r="255" ht="12" customHeight="1">
      <c r="A255" s="30" t="inlineStr">
        <is>
          <t>Porto Real</t>
        </is>
      </c>
      <c r="B255" s="30" t="n">
        <v>78224533</v>
      </c>
      <c r="C255" s="30">
        <f>"05132549000153"</f>
        <v/>
      </c>
      <c r="D255" s="30" t="inlineStr">
        <is>
          <t>S O DO BRASIL TELECOMUNICACOES LTDA EPP</t>
        </is>
      </c>
      <c r="E255" s="40" t="n">
        <v>100059.12</v>
      </c>
      <c r="F255" s="40" t="n">
        <v>168145.59</v>
      </c>
      <c r="G255" s="40" t="n">
        <v>68.05</v>
      </c>
      <c r="H255" s="40" t="n">
        <v>151136.98</v>
      </c>
      <c r="I255" s="46" t="n">
        <v>-10.12</v>
      </c>
      <c r="J255" s="40" t="n">
        <v>102764.14</v>
      </c>
      <c r="K255" s="46" t="n">
        <v>-32.01</v>
      </c>
      <c r="L255" s="40" t="n">
        <v>95296.92999999999</v>
      </c>
      <c r="M255" s="46" t="n">
        <v>-7.27</v>
      </c>
      <c r="N255" s="40" t="n">
        <v>95514.07000000001</v>
      </c>
      <c r="O255" s="40" t="n">
        <v>0.23</v>
      </c>
      <c r="P255" s="40" t="n">
        <v>140031.95</v>
      </c>
      <c r="Q255" s="40" t="n">
        <v>46.61</v>
      </c>
      <c r="R255" s="47" t="n"/>
      <c r="S255" s="47" t="n"/>
      <c r="T255" s="47" t="n"/>
      <c r="U255" s="47" t="n"/>
      <c r="V255" s="47" t="n"/>
      <c r="W255" s="47" t="n"/>
    </row>
    <row r="256" ht="12" customHeight="1">
      <c r="A256" s="30" t="inlineStr">
        <is>
          <t>Porto Real</t>
        </is>
      </c>
      <c r="B256" s="30" t="n">
        <v>78254831</v>
      </c>
      <c r="C256" s="30">
        <f>"87689402003572"</f>
        <v/>
      </c>
      <c r="D256" s="30" t="inlineStr">
        <is>
          <t>TRANSPORTES LUFT LTDA</t>
        </is>
      </c>
      <c r="E256" s="40" t="n">
        <v>0</v>
      </c>
      <c r="F256" s="40" t="n">
        <v>0</v>
      </c>
      <c r="G256" s="40" t="n">
        <v>0</v>
      </c>
      <c r="H256" s="40" t="n">
        <v>0</v>
      </c>
      <c r="I256" s="40" t="n">
        <v>0</v>
      </c>
      <c r="J256" s="40" t="n">
        <v>2078.84</v>
      </c>
      <c r="K256" s="40" t="n">
        <v>100</v>
      </c>
      <c r="L256" s="40" t="n">
        <v>5935.58</v>
      </c>
      <c r="M256" s="40" t="n">
        <v>185.52</v>
      </c>
      <c r="N256" s="40" t="n">
        <v>15562.69</v>
      </c>
      <c r="O256" s="40" t="n">
        <v>162.19</v>
      </c>
      <c r="P256" s="40" t="n">
        <v>14938.35</v>
      </c>
      <c r="Q256" s="46" t="n">
        <v>-4.01</v>
      </c>
      <c r="R256" s="47" t="n"/>
      <c r="S256" s="47" t="n"/>
      <c r="T256" s="47" t="n"/>
      <c r="U256" s="47" t="n"/>
      <c r="V256" s="47" t="n"/>
      <c r="W256" s="47" t="n"/>
    </row>
    <row r="257" ht="12" customHeight="1">
      <c r="A257" s="30" t="inlineStr">
        <is>
          <t>Porto Real</t>
        </is>
      </c>
      <c r="B257" s="30" t="n">
        <v>78258950</v>
      </c>
      <c r="C257" s="30">
        <f>"08219203000690"</f>
        <v/>
      </c>
      <c r="D257" s="30" t="inlineStr">
        <is>
          <t>DIRECIONAL TRANSPORTE E LOGISTICA S A</t>
        </is>
      </c>
      <c r="E257" s="40" t="n">
        <v>0</v>
      </c>
      <c r="F257" s="40" t="n">
        <v>62.49</v>
      </c>
      <c r="G257" s="40" t="n">
        <v>100</v>
      </c>
      <c r="H257" s="40" t="n">
        <v>0</v>
      </c>
      <c r="I257" s="46" t="n">
        <v>-100</v>
      </c>
      <c r="J257" s="40" t="n">
        <v>0</v>
      </c>
      <c r="K257" s="40" t="n">
        <v>0</v>
      </c>
      <c r="L257" s="40" t="n">
        <v>1372.91</v>
      </c>
      <c r="M257" s="40" t="n">
        <v>100</v>
      </c>
      <c r="N257" s="40" t="n">
        <v>0</v>
      </c>
      <c r="O257" s="46" t="n">
        <v>-100</v>
      </c>
      <c r="P257" s="40" t="n">
        <v>0</v>
      </c>
      <c r="Q257" s="40" t="n">
        <v>0</v>
      </c>
      <c r="R257" s="47" t="n"/>
      <c r="S257" s="47" t="n"/>
      <c r="T257" s="47" t="n"/>
      <c r="U257" s="47" t="n"/>
      <c r="V257" s="47" t="n"/>
      <c r="W257" s="47" t="n"/>
    </row>
    <row r="258" ht="12" customHeight="1">
      <c r="A258" s="30" t="inlineStr">
        <is>
          <t>Porto Real</t>
        </is>
      </c>
      <c r="B258" s="30" t="n">
        <v>78275650</v>
      </c>
      <c r="C258" s="30">
        <f>"07625852000113"</f>
        <v/>
      </c>
      <c r="D258" s="30" t="inlineStr">
        <is>
          <t>TELEXPERTS TELECOMUNICACOES LTDA</t>
        </is>
      </c>
      <c r="E258" s="40" t="n">
        <v>0</v>
      </c>
      <c r="F258" s="40" t="n">
        <v>0</v>
      </c>
      <c r="G258" s="40" t="n">
        <v>0</v>
      </c>
      <c r="H258" s="40" t="n">
        <v>0</v>
      </c>
      <c r="I258" s="40" t="n">
        <v>0</v>
      </c>
      <c r="J258" s="40" t="n">
        <v>0</v>
      </c>
      <c r="K258" s="40" t="n">
        <v>0</v>
      </c>
      <c r="L258" s="40" t="n">
        <v>285.3</v>
      </c>
      <c r="M258" s="40" t="n">
        <v>100</v>
      </c>
      <c r="N258" s="40" t="n">
        <v>1399.36</v>
      </c>
      <c r="O258" s="40" t="n">
        <v>390.49</v>
      </c>
      <c r="P258" s="40" t="n">
        <v>1020.92</v>
      </c>
      <c r="Q258" s="46" t="n">
        <v>-27.04</v>
      </c>
      <c r="R258" s="47" t="n"/>
      <c r="S258" s="47" t="n"/>
      <c r="T258" s="47" t="n"/>
      <c r="U258" s="47" t="n"/>
      <c r="V258" s="47" t="n"/>
      <c r="W258" s="47" t="n"/>
    </row>
    <row r="259" ht="12" customHeight="1">
      <c r="A259" s="30" t="inlineStr">
        <is>
          <t>Porto Real</t>
        </is>
      </c>
      <c r="B259" s="30" t="n">
        <v>78288841</v>
      </c>
      <c r="C259" s="30">
        <f>"75785675000516"</f>
        <v/>
      </c>
      <c r="D259" s="30" t="inlineStr">
        <is>
          <t>TRANSPORTADORA OCIANI LTDA</t>
        </is>
      </c>
      <c r="E259" s="40" t="n">
        <v>0</v>
      </c>
      <c r="F259" s="40" t="n">
        <v>0</v>
      </c>
      <c r="G259" s="40" t="n">
        <v>0</v>
      </c>
      <c r="H259" s="40" t="n">
        <v>0</v>
      </c>
      <c r="I259" s="40" t="n">
        <v>0</v>
      </c>
      <c r="J259" s="40" t="n">
        <v>0</v>
      </c>
      <c r="K259" s="40" t="n">
        <v>0</v>
      </c>
      <c r="L259" s="40" t="n">
        <v>0</v>
      </c>
      <c r="M259" s="40" t="n">
        <v>0</v>
      </c>
      <c r="N259" s="40" t="n">
        <v>0</v>
      </c>
      <c r="O259" s="40" t="n">
        <v>0</v>
      </c>
      <c r="P259" s="40" t="n">
        <v>152.45</v>
      </c>
      <c r="Q259" s="40" t="n">
        <v>100</v>
      </c>
      <c r="R259" s="47" t="n"/>
      <c r="S259" s="47" t="n"/>
      <c r="T259" s="47" t="n"/>
      <c r="U259" s="47" t="n"/>
      <c r="V259" s="47" t="n"/>
      <c r="W259" s="47" t="n"/>
    </row>
    <row r="260" ht="12" customHeight="1">
      <c r="A260" s="30" t="inlineStr">
        <is>
          <t>Porto Real</t>
        </is>
      </c>
      <c r="B260" s="30" t="n">
        <v>78290188</v>
      </c>
      <c r="C260" s="30">
        <f>"01009876000242"</f>
        <v/>
      </c>
      <c r="D260" s="30" t="inlineStr">
        <is>
          <t>FALKLAND TECNOLOGIA EM TELECOMUNICACOES S/A</t>
        </is>
      </c>
      <c r="E260" s="40" t="n">
        <v>5486.94</v>
      </c>
      <c r="F260" s="40" t="n">
        <v>6560.7</v>
      </c>
      <c r="G260" s="40" t="n">
        <v>19.57</v>
      </c>
      <c r="H260" s="40" t="n">
        <v>806.22</v>
      </c>
      <c r="I260" s="46" t="n">
        <v>-87.70999999999999</v>
      </c>
      <c r="J260" s="40" t="n">
        <v>0</v>
      </c>
      <c r="K260" s="46" t="n">
        <v>-100</v>
      </c>
      <c r="L260" s="40" t="n">
        <v>0</v>
      </c>
      <c r="M260" s="40" t="n">
        <v>0</v>
      </c>
      <c r="N260" s="40" t="n">
        <v>0</v>
      </c>
      <c r="O260" s="40" t="n">
        <v>0</v>
      </c>
      <c r="P260" s="40" t="n">
        <v>0</v>
      </c>
      <c r="Q260" s="40" t="n">
        <v>0</v>
      </c>
      <c r="R260" s="47" t="n"/>
      <c r="S260" s="47" t="n"/>
      <c r="T260" s="47" t="n"/>
      <c r="U260" s="47" t="n"/>
      <c r="V260" s="47" t="n"/>
      <c r="W260" s="47" t="n"/>
    </row>
    <row r="261" ht="12" customHeight="1">
      <c r="A261" s="30" t="inlineStr">
        <is>
          <t>Porto Real</t>
        </is>
      </c>
      <c r="B261" s="30" t="n">
        <v>78336820</v>
      </c>
      <c r="C261" s="30">
        <f>"08964218000178"</f>
        <v/>
      </c>
      <c r="D261" s="30" t="inlineStr">
        <is>
          <t>J S FERREIRA FRIGORIFICO LTDA</t>
        </is>
      </c>
      <c r="E261" s="40" t="n">
        <v>0</v>
      </c>
      <c r="F261" s="40" t="n">
        <v>0</v>
      </c>
      <c r="G261" s="40" t="n">
        <v>0</v>
      </c>
      <c r="H261" s="40" t="n">
        <v>55158.4</v>
      </c>
      <c r="I261" s="40" t="n">
        <v>100</v>
      </c>
      <c r="J261" s="40" t="n">
        <v>36784.32</v>
      </c>
      <c r="K261" s="46" t="n">
        <v>-33.31</v>
      </c>
      <c r="L261" s="40" t="n">
        <v>93168.32000000001</v>
      </c>
      <c r="M261" s="40" t="n">
        <v>153.28</v>
      </c>
      <c r="N261" s="40" t="n">
        <v>0</v>
      </c>
      <c r="O261" s="46" t="n">
        <v>-100</v>
      </c>
      <c r="P261" s="40" t="n">
        <v>64638</v>
      </c>
      <c r="Q261" s="40" t="n">
        <v>100</v>
      </c>
      <c r="R261" s="47" t="n"/>
      <c r="S261" s="47" t="n"/>
      <c r="T261" s="47" t="n"/>
      <c r="U261" s="47" t="n"/>
      <c r="V261" s="47" t="n"/>
      <c r="W261" s="47" t="n"/>
    </row>
    <row r="262" ht="12" customHeight="1">
      <c r="A262" s="30" t="inlineStr">
        <is>
          <t>Porto Real</t>
        </is>
      </c>
      <c r="B262" s="30" t="n">
        <v>78344261</v>
      </c>
      <c r="C262" s="30">
        <f>"08165642000233"</f>
        <v/>
      </c>
      <c r="D262" s="30" t="inlineStr">
        <is>
          <t>GAT LOGISTICAS LTDA</t>
        </is>
      </c>
      <c r="E262" s="40" t="n">
        <v>5992.34</v>
      </c>
      <c r="F262" s="40" t="n">
        <v>0</v>
      </c>
      <c r="G262" s="46" t="n">
        <v>-100</v>
      </c>
      <c r="H262" s="40" t="n">
        <v>305.27</v>
      </c>
      <c r="I262" s="40" t="n">
        <v>100</v>
      </c>
      <c r="J262" s="40" t="n">
        <v>0</v>
      </c>
      <c r="K262" s="46" t="n">
        <v>-100</v>
      </c>
      <c r="L262" s="40" t="n">
        <v>0</v>
      </c>
      <c r="M262" s="40" t="n">
        <v>0</v>
      </c>
      <c r="N262" s="40" t="n">
        <v>2104.85</v>
      </c>
      <c r="O262" s="40" t="n">
        <v>100</v>
      </c>
      <c r="P262" s="40" t="n">
        <v>1454.02</v>
      </c>
      <c r="Q262" s="46" t="n">
        <v>-30.92</v>
      </c>
      <c r="R262" s="47" t="n"/>
      <c r="S262" s="47" t="n"/>
      <c r="T262" s="47" t="n"/>
      <c r="U262" s="47" t="n"/>
      <c r="V262" s="47" t="n"/>
      <c r="W262" s="47" t="n"/>
    </row>
    <row r="263" ht="12" customHeight="1">
      <c r="A263" s="30" t="inlineStr">
        <is>
          <t>Porto Real</t>
        </is>
      </c>
      <c r="B263" s="30" t="n">
        <v>78349433</v>
      </c>
      <c r="C263" s="30">
        <f>"06012414000206"</f>
        <v/>
      </c>
      <c r="D263" s="30" t="inlineStr">
        <is>
          <t>POSTO SOL DA DUTRA LTDA</t>
        </is>
      </c>
      <c r="E263" s="40" t="n">
        <v>3989555.3</v>
      </c>
      <c r="F263" s="40" t="n">
        <v>2754070.81</v>
      </c>
      <c r="G263" s="46" t="n">
        <v>-30.97</v>
      </c>
      <c r="H263" s="40" t="n">
        <v>2531898.15</v>
      </c>
      <c r="I263" s="46" t="n">
        <v>-8.07</v>
      </c>
      <c r="J263" s="40" t="n">
        <v>0</v>
      </c>
      <c r="K263" s="46" t="n">
        <v>-100</v>
      </c>
      <c r="L263" s="40" t="n">
        <v>2571659.72</v>
      </c>
      <c r="M263" s="40" t="n">
        <v>100</v>
      </c>
      <c r="N263" s="40" t="n">
        <v>3419772.65</v>
      </c>
      <c r="O263" s="40" t="n">
        <v>32.98</v>
      </c>
      <c r="P263" s="40" t="n">
        <v>0</v>
      </c>
      <c r="Q263" s="46" t="n">
        <v>-100</v>
      </c>
      <c r="R263" s="47" t="n"/>
      <c r="S263" s="47" t="n"/>
      <c r="T263" s="47" t="n"/>
      <c r="U263" s="47" t="n"/>
      <c r="V263" s="47" t="n"/>
      <c r="W263" s="47" t="n"/>
    </row>
    <row r="264" ht="12" customHeight="1">
      <c r="A264" s="30" t="inlineStr">
        <is>
          <t>Porto Real</t>
        </is>
      </c>
      <c r="B264" s="30" t="n">
        <v>78351764</v>
      </c>
      <c r="C264" s="30">
        <f>"09036926000101"</f>
        <v/>
      </c>
      <c r="D264" s="30" t="inlineStr">
        <is>
          <t>RESTAURANTE PIEMONTE DE PORTO REAL LTDA</t>
        </is>
      </c>
      <c r="E264" s="40" t="n">
        <v>3235392.03</v>
      </c>
      <c r="F264" s="40" t="n">
        <v>3330026.63</v>
      </c>
      <c r="G264" s="40" t="n">
        <v>2.92</v>
      </c>
      <c r="H264" s="40" t="n">
        <v>3274044.07</v>
      </c>
      <c r="I264" s="46" t="n">
        <v>-1.68</v>
      </c>
      <c r="J264" s="40" t="n">
        <v>1558854.4</v>
      </c>
      <c r="K264" s="46" t="n">
        <v>-52.39</v>
      </c>
      <c r="L264" s="40" t="n">
        <v>1653069.36</v>
      </c>
      <c r="M264" s="40" t="n">
        <v>6.04</v>
      </c>
      <c r="N264" s="40" t="n">
        <v>2316054.22</v>
      </c>
      <c r="O264" s="40" t="n">
        <v>40.11</v>
      </c>
      <c r="P264" s="40" t="n">
        <v>1812172.69</v>
      </c>
      <c r="Q264" s="46" t="n">
        <v>-21.76</v>
      </c>
      <c r="R264" s="47" t="n"/>
      <c r="S264" s="47" t="n"/>
      <c r="T264" s="47" t="n"/>
      <c r="U264" s="47" t="n"/>
      <c r="V264" s="47" t="n"/>
      <c r="W264" s="47" t="n"/>
    </row>
    <row r="265" ht="12" customHeight="1">
      <c r="A265" s="30" t="inlineStr">
        <is>
          <t>Porto Real</t>
        </is>
      </c>
      <c r="B265" s="30" t="n">
        <v>78361336</v>
      </c>
      <c r="C265" s="30">
        <f>"08860184000414"</f>
        <v/>
      </c>
      <c r="D265" s="30" t="inlineStr">
        <is>
          <t>AGUIA BRANCA ENCOMENDAS</t>
        </is>
      </c>
      <c r="E265" s="40" t="n">
        <v>0</v>
      </c>
      <c r="F265" s="40" t="n">
        <v>401.33</v>
      </c>
      <c r="G265" s="40" t="n">
        <v>100</v>
      </c>
      <c r="H265" s="40" t="n">
        <v>798.27</v>
      </c>
      <c r="I265" s="40" t="n">
        <v>98.91</v>
      </c>
      <c r="J265" s="40" t="n">
        <v>0</v>
      </c>
      <c r="K265" s="46" t="n">
        <v>-100</v>
      </c>
      <c r="L265" s="40" t="n">
        <v>0</v>
      </c>
      <c r="M265" s="40" t="n">
        <v>0</v>
      </c>
      <c r="N265" s="40" t="n">
        <v>0</v>
      </c>
      <c r="O265" s="40" t="n">
        <v>0</v>
      </c>
      <c r="P265" s="40" t="n">
        <v>0</v>
      </c>
      <c r="Q265" s="40" t="n">
        <v>0</v>
      </c>
      <c r="R265" s="47" t="n"/>
      <c r="S265" s="47" t="n"/>
      <c r="T265" s="47" t="n"/>
      <c r="U265" s="47" t="n"/>
      <c r="V265" s="47" t="n"/>
      <c r="W265" s="47" t="n"/>
    </row>
    <row r="266" ht="12" customHeight="1">
      <c r="A266" s="30" t="inlineStr">
        <is>
          <t>Porto Real</t>
        </is>
      </c>
      <c r="B266" s="30" t="n">
        <v>78373571</v>
      </c>
      <c r="C266" s="30">
        <f>"09059609000100"</f>
        <v/>
      </c>
      <c r="D266" s="30" t="inlineStr">
        <is>
          <t>MM TRANSPORTES LOGISTICA E ARMAZENS LTDA ME</t>
        </is>
      </c>
      <c r="E266" s="40" t="n">
        <v>0</v>
      </c>
      <c r="F266" s="40" t="n">
        <v>0</v>
      </c>
      <c r="G266" s="40" t="n">
        <v>0</v>
      </c>
      <c r="H266" s="40" t="n">
        <v>0</v>
      </c>
      <c r="I266" s="40" t="n">
        <v>0</v>
      </c>
      <c r="J266" s="40" t="n">
        <v>0</v>
      </c>
      <c r="K266" s="40" t="n">
        <v>0</v>
      </c>
      <c r="L266" s="40" t="n">
        <v>0</v>
      </c>
      <c r="M266" s="40" t="n">
        <v>0</v>
      </c>
      <c r="N266" s="40" t="n">
        <v>0</v>
      </c>
      <c r="O266" s="40" t="n">
        <v>0</v>
      </c>
      <c r="P266" s="40" t="n">
        <v>5493.07</v>
      </c>
      <c r="Q266" s="40" t="n">
        <v>100</v>
      </c>
      <c r="R266" s="47" t="n"/>
      <c r="S266" s="47" t="n"/>
      <c r="T266" s="47" t="n"/>
      <c r="U266" s="47" t="n"/>
      <c r="V266" s="47" t="n"/>
      <c r="W266" s="47" t="n"/>
    </row>
    <row r="267" ht="12" customHeight="1">
      <c r="A267" s="30" t="inlineStr">
        <is>
          <t>Porto Real</t>
        </is>
      </c>
      <c r="B267" s="30" t="n">
        <v>78387548</v>
      </c>
      <c r="C267" s="30">
        <f>"09132659000176"</f>
        <v/>
      </c>
      <c r="D267" s="30" t="inlineStr">
        <is>
          <t>EMBRATEL TVSAT TELECOMUNICACOES S A</t>
        </is>
      </c>
      <c r="E267" s="40" t="n">
        <v>149201.92</v>
      </c>
      <c r="F267" s="40" t="n">
        <v>116814.66</v>
      </c>
      <c r="G267" s="46" t="n">
        <v>-21.71</v>
      </c>
      <c r="H267" s="40" t="n">
        <v>106051.46</v>
      </c>
      <c r="I267" s="46" t="n">
        <v>-9.210000000000001</v>
      </c>
      <c r="J267" s="40" t="n">
        <v>76881.87</v>
      </c>
      <c r="K267" s="46" t="n">
        <v>-27.51</v>
      </c>
      <c r="L267" s="40" t="n">
        <v>60731.25</v>
      </c>
      <c r="M267" s="46" t="n">
        <v>-21.01</v>
      </c>
      <c r="N267" s="40" t="n">
        <v>48834.28</v>
      </c>
      <c r="O267" s="46" t="n">
        <v>-19.59</v>
      </c>
      <c r="P267" s="40" t="n">
        <v>39931.38</v>
      </c>
      <c r="Q267" s="46" t="n">
        <v>-18.23</v>
      </c>
      <c r="R267" s="47" t="n"/>
      <c r="S267" s="47" t="n"/>
      <c r="T267" s="47" t="n"/>
      <c r="U267" s="47" t="n"/>
      <c r="V267" s="47" t="n"/>
      <c r="W267" s="47" t="n"/>
    </row>
    <row r="268" ht="12" customHeight="1">
      <c r="A268" s="30" t="inlineStr">
        <is>
          <t>Porto Real</t>
        </is>
      </c>
      <c r="B268" s="30" t="n">
        <v>78402687</v>
      </c>
      <c r="C268" s="30">
        <f>"04884082000640"</f>
        <v/>
      </c>
      <c r="D268" s="30" t="inlineStr">
        <is>
          <t>JADLOG LOGISTICA S.A.</t>
        </is>
      </c>
      <c r="E268" s="40" t="n">
        <v>0</v>
      </c>
      <c r="F268" s="40" t="n">
        <v>41771.52</v>
      </c>
      <c r="G268" s="40" t="n">
        <v>100</v>
      </c>
      <c r="H268" s="40" t="n">
        <v>48302.97</v>
      </c>
      <c r="I268" s="40" t="n">
        <v>15.64</v>
      </c>
      <c r="J268" s="40" t="n">
        <v>0</v>
      </c>
      <c r="K268" s="46" t="n">
        <v>-100</v>
      </c>
      <c r="L268" s="40" t="n">
        <v>0</v>
      </c>
      <c r="M268" s="40" t="n">
        <v>0</v>
      </c>
      <c r="N268" s="40" t="n">
        <v>1601.02</v>
      </c>
      <c r="O268" s="40" t="n">
        <v>100</v>
      </c>
      <c r="P268" s="40" t="n">
        <v>761.8200000000001</v>
      </c>
      <c r="Q268" s="46" t="n">
        <v>-52.42</v>
      </c>
      <c r="R268" s="47" t="n"/>
      <c r="S268" s="47" t="n"/>
      <c r="T268" s="47" t="n"/>
      <c r="U268" s="47" t="n"/>
      <c r="V268" s="47" t="n"/>
      <c r="W268" s="47" t="n"/>
    </row>
    <row r="269" ht="12" customHeight="1">
      <c r="A269" s="30" t="inlineStr">
        <is>
          <t>Porto Real</t>
        </is>
      </c>
      <c r="B269" s="30" t="n">
        <v>78419709</v>
      </c>
      <c r="C269" s="30">
        <f>"09229680000194"</f>
        <v/>
      </c>
      <c r="D269" s="30" t="inlineStr">
        <is>
          <t>MONTEIRO &amp; NASCIMENTO TRANSPORTADORA LTDA EPP</t>
        </is>
      </c>
      <c r="E269" s="40" t="n">
        <v>0</v>
      </c>
      <c r="F269" s="40" t="n">
        <v>0</v>
      </c>
      <c r="G269" s="40" t="n">
        <v>0</v>
      </c>
      <c r="H269" s="40" t="n">
        <v>901.45</v>
      </c>
      <c r="I269" s="40" t="n">
        <v>100</v>
      </c>
      <c r="J269" s="40" t="n">
        <v>801.29</v>
      </c>
      <c r="K269" s="46" t="n">
        <v>-11.11</v>
      </c>
      <c r="L269" s="40" t="n">
        <v>0</v>
      </c>
      <c r="M269" s="46" t="n">
        <v>-100</v>
      </c>
      <c r="N269" s="40" t="n">
        <v>0</v>
      </c>
      <c r="O269" s="40" t="n">
        <v>0</v>
      </c>
      <c r="P269" s="40" t="n">
        <v>0</v>
      </c>
      <c r="Q269" s="40" t="n">
        <v>0</v>
      </c>
      <c r="R269" s="47" t="n"/>
      <c r="S269" s="47" t="n"/>
      <c r="T269" s="47" t="n"/>
      <c r="U269" s="47" t="n"/>
      <c r="V269" s="47" t="n"/>
      <c r="W269" s="47" t="n"/>
    </row>
    <row r="270" ht="12" customHeight="1">
      <c r="A270" s="30" t="inlineStr">
        <is>
          <t>Porto Real</t>
        </is>
      </c>
      <c r="B270" s="30" t="n">
        <v>78489995</v>
      </c>
      <c r="C270" s="30">
        <f>"21570775000334"</f>
        <v/>
      </c>
      <c r="D270" s="30" t="inlineStr">
        <is>
          <t>PICORELLI S/A TRANSPORTES</t>
        </is>
      </c>
      <c r="E270" s="40" t="n">
        <v>0</v>
      </c>
      <c r="F270" s="40" t="n">
        <v>0</v>
      </c>
      <c r="G270" s="40" t="n">
        <v>0</v>
      </c>
      <c r="H270" s="40" t="n">
        <v>0</v>
      </c>
      <c r="I270" s="40" t="n">
        <v>0</v>
      </c>
      <c r="J270" s="40" t="n">
        <v>0</v>
      </c>
      <c r="K270" s="40" t="n">
        <v>0</v>
      </c>
      <c r="L270" s="40" t="n">
        <v>0</v>
      </c>
      <c r="M270" s="40" t="n">
        <v>0</v>
      </c>
      <c r="N270" s="40" t="n">
        <v>2135.46</v>
      </c>
      <c r="O270" s="40" t="n">
        <v>100</v>
      </c>
      <c r="P270" s="40" t="n">
        <v>0</v>
      </c>
      <c r="Q270" s="46" t="n">
        <v>-100</v>
      </c>
      <c r="R270" s="47" t="n"/>
      <c r="S270" s="47" t="n"/>
      <c r="T270" s="47" t="n"/>
      <c r="U270" s="47" t="n"/>
      <c r="V270" s="47" t="n"/>
      <c r="W270" s="47" t="n"/>
    </row>
    <row r="271" ht="12" customHeight="1">
      <c r="A271" s="30" t="inlineStr">
        <is>
          <t>Porto Real</t>
        </is>
      </c>
      <c r="B271" s="30" t="n">
        <v>78494506</v>
      </c>
      <c r="C271" s="30">
        <f>"00634453000846"</f>
        <v/>
      </c>
      <c r="D271" s="30" t="inlineStr">
        <is>
          <t>T S V TRANSPORTES RAPIDOS LTDA</t>
        </is>
      </c>
      <c r="E271" s="40" t="n">
        <v>5616.24</v>
      </c>
      <c r="F271" s="40" t="n">
        <v>802.74</v>
      </c>
      <c r="G271" s="46" t="n">
        <v>-85.70999999999999</v>
      </c>
      <c r="H271" s="40" t="n">
        <v>2454.22</v>
      </c>
      <c r="I271" s="40" t="n">
        <v>205.73</v>
      </c>
      <c r="J271" s="40" t="n">
        <v>198.65</v>
      </c>
      <c r="K271" s="46" t="n">
        <v>-91.91</v>
      </c>
      <c r="L271" s="40" t="n">
        <v>0</v>
      </c>
      <c r="M271" s="46" t="n">
        <v>-100</v>
      </c>
      <c r="N271" s="40" t="n">
        <v>112.86</v>
      </c>
      <c r="O271" s="40" t="n">
        <v>100</v>
      </c>
      <c r="P271" s="40" t="n">
        <v>466.17</v>
      </c>
      <c r="Q271" s="40" t="n">
        <v>313.05</v>
      </c>
      <c r="R271" s="47" t="n"/>
      <c r="S271" s="47" t="n"/>
      <c r="T271" s="47" t="n"/>
      <c r="U271" s="47" t="n"/>
      <c r="V271" s="47" t="n"/>
      <c r="W271" s="47" t="n"/>
    </row>
    <row r="272" ht="12" customHeight="1">
      <c r="A272" s="30" t="inlineStr">
        <is>
          <t>Porto Real</t>
        </is>
      </c>
      <c r="B272" s="30" t="n">
        <v>78498560</v>
      </c>
      <c r="C272" s="30">
        <f>"01107327000553"</f>
        <v/>
      </c>
      <c r="D272" s="30" t="inlineStr">
        <is>
          <t>BBM LOGISTICA SA</t>
        </is>
      </c>
      <c r="E272" s="40" t="n">
        <v>0</v>
      </c>
      <c r="F272" s="40" t="n">
        <v>0</v>
      </c>
      <c r="G272" s="40" t="n">
        <v>0</v>
      </c>
      <c r="H272" s="40" t="n">
        <v>0</v>
      </c>
      <c r="I272" s="40" t="n">
        <v>0</v>
      </c>
      <c r="J272" s="40" t="n">
        <v>2697.07</v>
      </c>
      <c r="K272" s="40" t="n">
        <v>100</v>
      </c>
      <c r="L272" s="40" t="n">
        <v>53572.02</v>
      </c>
      <c r="M272" s="40" t="n">
        <v>1886.3</v>
      </c>
      <c r="N272" s="40" t="n">
        <v>1514.77</v>
      </c>
      <c r="O272" s="46" t="n">
        <v>-97.17</v>
      </c>
      <c r="P272" s="40" t="n">
        <v>0</v>
      </c>
      <c r="Q272" s="46" t="n">
        <v>-100</v>
      </c>
      <c r="R272" s="47" t="n"/>
      <c r="S272" s="47" t="n"/>
      <c r="T272" s="47" t="n"/>
      <c r="U272" s="47" t="n"/>
      <c r="V272" s="47" t="n"/>
      <c r="W272" s="47" t="n"/>
    </row>
    <row r="273" ht="12" customHeight="1">
      <c r="A273" s="30" t="inlineStr">
        <is>
          <t>Porto Real</t>
        </is>
      </c>
      <c r="B273" s="30" t="n">
        <v>78498854</v>
      </c>
      <c r="C273" s="30">
        <f>"61288940004533"</f>
        <v/>
      </c>
      <c r="D273" s="30" t="inlineStr">
        <is>
          <t>GAFOR LTDA</t>
        </is>
      </c>
      <c r="E273" s="40" t="n">
        <v>559.97</v>
      </c>
      <c r="F273" s="40" t="n">
        <v>0</v>
      </c>
      <c r="G273" s="46" t="n">
        <v>-100</v>
      </c>
      <c r="H273" s="40" t="n">
        <v>0</v>
      </c>
      <c r="I273" s="40" t="n">
        <v>0</v>
      </c>
      <c r="J273" s="40" t="n">
        <v>0</v>
      </c>
      <c r="K273" s="40" t="n">
        <v>0</v>
      </c>
      <c r="L273" s="40" t="n">
        <v>0</v>
      </c>
      <c r="M273" s="40" t="n">
        <v>0</v>
      </c>
      <c r="N273" s="40" t="n">
        <v>0</v>
      </c>
      <c r="O273" s="40" t="n">
        <v>0</v>
      </c>
      <c r="P273" s="40" t="n">
        <v>0</v>
      </c>
      <c r="Q273" s="40" t="n">
        <v>0</v>
      </c>
      <c r="R273" s="47" t="n"/>
      <c r="S273" s="47" t="n"/>
      <c r="T273" s="47" t="n"/>
      <c r="U273" s="47" t="n"/>
      <c r="V273" s="47" t="n"/>
      <c r="W273" s="47" t="n"/>
    </row>
    <row r="274" ht="12" customHeight="1">
      <c r="A274" s="30" t="inlineStr">
        <is>
          <t>Porto Real</t>
        </is>
      </c>
      <c r="B274" s="30" t="n">
        <v>78528460</v>
      </c>
      <c r="C274" s="30">
        <f>"09459471000137"</f>
        <v/>
      </c>
      <c r="D274" s="30" t="inlineStr">
        <is>
          <t>PROJECT 2008 PROJETOS E CONSULTORIA LTDA</t>
        </is>
      </c>
      <c r="E274" s="40" t="n">
        <v>0</v>
      </c>
      <c r="F274" s="40" t="n">
        <v>0</v>
      </c>
      <c r="G274" s="40" t="n">
        <v>0</v>
      </c>
      <c r="H274" s="40" t="n">
        <v>0</v>
      </c>
      <c r="I274" s="40" t="n">
        <v>0</v>
      </c>
      <c r="J274" s="40" t="n">
        <v>0</v>
      </c>
      <c r="K274" s="40" t="n">
        <v>0</v>
      </c>
      <c r="L274" s="40" t="n">
        <v>0</v>
      </c>
      <c r="M274" s="40" t="n">
        <v>0</v>
      </c>
      <c r="N274" s="40" t="n">
        <v>0</v>
      </c>
      <c r="O274" s="40" t="n">
        <v>0</v>
      </c>
      <c r="P274" s="40" t="n">
        <v>0</v>
      </c>
      <c r="Q274" s="40" t="n">
        <v>0</v>
      </c>
      <c r="R274" s="47" t="n"/>
      <c r="S274" s="47" t="n"/>
      <c r="T274" s="47" t="n"/>
      <c r="U274" s="47" t="n"/>
      <c r="V274" s="47" t="n"/>
      <c r="W274" s="47" t="n"/>
    </row>
    <row r="275" ht="12" customHeight="1">
      <c r="A275" s="30" t="inlineStr">
        <is>
          <t>Porto Real</t>
        </is>
      </c>
      <c r="B275" s="30" t="n">
        <v>78536870</v>
      </c>
      <c r="C275" s="30">
        <f>"08875763000350"</f>
        <v/>
      </c>
      <c r="D275" s="30" t="inlineStr">
        <is>
          <t>AUTOLOG TRANSPORTES LOGISTICA E ARMAZENAGEM EIRELI</t>
        </is>
      </c>
      <c r="E275" s="40" t="n">
        <v>0</v>
      </c>
      <c r="F275" s="40" t="n">
        <v>0</v>
      </c>
      <c r="G275" s="40" t="n">
        <v>0</v>
      </c>
      <c r="H275" s="40" t="n">
        <v>15774.38</v>
      </c>
      <c r="I275" s="40" t="n">
        <v>100</v>
      </c>
      <c r="J275" s="40" t="n">
        <v>0</v>
      </c>
      <c r="K275" s="46" t="n">
        <v>-100</v>
      </c>
      <c r="L275" s="40" t="n">
        <v>0</v>
      </c>
      <c r="M275" s="40" t="n">
        <v>0</v>
      </c>
      <c r="N275" s="40" t="n">
        <v>0</v>
      </c>
      <c r="O275" s="40" t="n">
        <v>0</v>
      </c>
      <c r="P275" s="40" t="n">
        <v>0</v>
      </c>
      <c r="Q275" s="40" t="n">
        <v>0</v>
      </c>
      <c r="R275" s="47" t="n"/>
      <c r="S275" s="47" t="n"/>
      <c r="T275" s="47" t="n"/>
      <c r="U275" s="47" t="n"/>
      <c r="V275" s="47" t="n"/>
      <c r="W275" s="47" t="n"/>
    </row>
    <row r="276" ht="12" customHeight="1">
      <c r="A276" s="30" t="inlineStr">
        <is>
          <t>Porto Real</t>
        </is>
      </c>
      <c r="B276" s="30" t="n">
        <v>78558652</v>
      </c>
      <c r="C276" s="30">
        <f>"48539407003133"</f>
        <v/>
      </c>
      <c r="D276" s="30" t="inlineStr">
        <is>
          <t>BASF SA</t>
        </is>
      </c>
      <c r="E276" s="40" t="n">
        <v>8999064.039999999</v>
      </c>
      <c r="F276" s="40" t="n">
        <v>5908727.35</v>
      </c>
      <c r="G276" s="46" t="n">
        <v>-34.34</v>
      </c>
      <c r="H276" s="40" t="n">
        <v>4275449.25</v>
      </c>
      <c r="I276" s="46" t="n">
        <v>-27.64</v>
      </c>
      <c r="J276" s="40" t="n">
        <v>5380099.37</v>
      </c>
      <c r="K276" s="40" t="n">
        <v>25.84</v>
      </c>
      <c r="L276" s="40" t="n">
        <v>10515394.3</v>
      </c>
      <c r="M276" s="40" t="n">
        <v>95.45</v>
      </c>
      <c r="N276" s="40" t="n">
        <v>12619159.1</v>
      </c>
      <c r="O276" s="40" t="n">
        <v>20.01</v>
      </c>
      <c r="P276" s="40" t="n">
        <v>15117910.94</v>
      </c>
      <c r="Q276" s="40" t="n">
        <v>19.8</v>
      </c>
      <c r="R276" s="47" t="n"/>
      <c r="S276" s="47" t="n"/>
      <c r="T276" s="47" t="n"/>
      <c r="U276" s="47" t="n"/>
      <c r="V276" s="47" t="n"/>
      <c r="W276" s="47" t="n"/>
    </row>
    <row r="277" ht="12" customHeight="1">
      <c r="A277" s="30" t="inlineStr">
        <is>
          <t>Porto Real</t>
        </is>
      </c>
      <c r="B277" s="30" t="n">
        <v>78569751</v>
      </c>
      <c r="C277" s="30">
        <f>"10213625000195"</f>
        <v/>
      </c>
      <c r="D277" s="30" t="inlineStr">
        <is>
          <t>COZINHA INDUSTRIAL FAZBEM LTDA ME</t>
        </is>
      </c>
      <c r="E277" s="40" t="n">
        <v>0</v>
      </c>
      <c r="F277" s="40" t="n">
        <v>0</v>
      </c>
      <c r="G277" s="40" t="n">
        <v>0</v>
      </c>
      <c r="H277" s="40" t="n">
        <v>0</v>
      </c>
      <c r="I277" s="40" t="n">
        <v>0</v>
      </c>
      <c r="J277" s="40" t="n">
        <v>0</v>
      </c>
      <c r="K277" s="40" t="n">
        <v>0</v>
      </c>
      <c r="L277" s="40" t="n">
        <v>0</v>
      </c>
      <c r="M277" s="40" t="n">
        <v>0</v>
      </c>
      <c r="N277" s="40" t="n">
        <v>0</v>
      </c>
      <c r="O277" s="40" t="n">
        <v>0</v>
      </c>
      <c r="P277" s="40" t="n">
        <v>0</v>
      </c>
      <c r="Q277" s="40" t="n">
        <v>0</v>
      </c>
      <c r="R277" s="47" t="n"/>
      <c r="S277" s="47" t="n"/>
      <c r="T277" s="47" t="n"/>
      <c r="U277" s="47" t="n"/>
      <c r="V277" s="47" t="n"/>
      <c r="W277" s="47" t="n"/>
    </row>
    <row r="278" ht="12" customHeight="1">
      <c r="A278" s="30" t="inlineStr">
        <is>
          <t>Porto Real</t>
        </is>
      </c>
      <c r="B278" s="30" t="n">
        <v>78579242</v>
      </c>
      <c r="C278" s="30">
        <f>"19199348000269"</f>
        <v/>
      </c>
      <c r="D278" s="30" t="inlineStr">
        <is>
          <t>SADA TRANSPORTES E ARMAZENAGENS S/A</t>
        </is>
      </c>
      <c r="E278" s="40" t="n">
        <v>2299.19</v>
      </c>
      <c r="F278" s="40" t="n">
        <v>4104.1</v>
      </c>
      <c r="G278" s="40" t="n">
        <v>78.5</v>
      </c>
      <c r="H278" s="40" t="n">
        <v>0</v>
      </c>
      <c r="I278" s="46" t="n">
        <v>-100</v>
      </c>
      <c r="J278" s="40" t="n">
        <v>0</v>
      </c>
      <c r="K278" s="40" t="n">
        <v>0</v>
      </c>
      <c r="L278" s="40" t="n">
        <v>0</v>
      </c>
      <c r="M278" s="40" t="n">
        <v>0</v>
      </c>
      <c r="N278" s="40" t="n">
        <v>0</v>
      </c>
      <c r="O278" s="40" t="n">
        <v>0</v>
      </c>
      <c r="P278" s="40" t="n">
        <v>0</v>
      </c>
      <c r="Q278" s="40" t="n">
        <v>0</v>
      </c>
      <c r="R278" s="47" t="n"/>
      <c r="S278" s="47" t="n"/>
      <c r="T278" s="47" t="n"/>
      <c r="U278" s="47" t="n"/>
      <c r="V278" s="47" t="n"/>
      <c r="W278" s="47" t="n"/>
    </row>
    <row r="279" ht="12" customHeight="1">
      <c r="A279" s="30" t="inlineStr">
        <is>
          <t>Porto Real</t>
        </is>
      </c>
      <c r="B279" s="30" t="n">
        <v>78632020</v>
      </c>
      <c r="C279" s="30">
        <f>"02696800000629"</f>
        <v/>
      </c>
      <c r="D279" s="30" t="inlineStr">
        <is>
          <t>KENNAMETAL DO BRASIL LTDA</t>
        </is>
      </c>
      <c r="E279" s="40" t="n">
        <v>459758.26</v>
      </c>
      <c r="F279" s="40" t="n">
        <v>0</v>
      </c>
      <c r="G279" s="46" t="n">
        <v>-100</v>
      </c>
      <c r="H279" s="40" t="n">
        <v>0</v>
      </c>
      <c r="I279" s="40" t="n">
        <v>0</v>
      </c>
      <c r="J279" s="40" t="n">
        <v>0</v>
      </c>
      <c r="K279" s="40" t="n">
        <v>0</v>
      </c>
      <c r="L279" s="40" t="n">
        <v>0</v>
      </c>
      <c r="M279" s="40" t="n">
        <v>0</v>
      </c>
      <c r="N279" s="40" t="n">
        <v>0</v>
      </c>
      <c r="O279" s="40" t="n">
        <v>0</v>
      </c>
      <c r="P279" s="40" t="n">
        <v>0</v>
      </c>
      <c r="Q279" s="40" t="n">
        <v>0</v>
      </c>
      <c r="R279" s="47" t="n"/>
      <c r="S279" s="47" t="n"/>
      <c r="T279" s="47" t="n"/>
      <c r="U279" s="47" t="n"/>
      <c r="V279" s="47" t="n"/>
      <c r="W279" s="47" t="n"/>
    </row>
    <row r="280" ht="12" customHeight="1">
      <c r="A280" s="30" t="inlineStr">
        <is>
          <t>Porto Real</t>
        </is>
      </c>
      <c r="B280" s="30" t="n">
        <v>78658177</v>
      </c>
      <c r="C280" s="30">
        <f>"55064562001839"</f>
        <v/>
      </c>
      <c r="D280" s="30" t="inlineStr">
        <is>
          <t>MAQUINAS AGRICOLAS JACTO S A</t>
        </is>
      </c>
      <c r="E280" s="40" t="n">
        <v>7024163.02</v>
      </c>
      <c r="F280" s="40" t="n">
        <v>9094573.550000001</v>
      </c>
      <c r="G280" s="40" t="n">
        <v>29.48</v>
      </c>
      <c r="H280" s="40" t="n">
        <v>13117246.44</v>
      </c>
      <c r="I280" s="40" t="n">
        <v>44.23</v>
      </c>
      <c r="J280" s="40" t="n">
        <v>6891266.36</v>
      </c>
      <c r="K280" s="46" t="n">
        <v>-47.46</v>
      </c>
      <c r="L280" s="40" t="n">
        <v>10987072.29</v>
      </c>
      <c r="M280" s="40" t="n">
        <v>59.43</v>
      </c>
      <c r="N280" s="40" t="n">
        <v>10717395.18</v>
      </c>
      <c r="O280" s="46" t="n">
        <v>-2.45</v>
      </c>
      <c r="P280" s="40" t="n">
        <v>4220275.5</v>
      </c>
      <c r="Q280" s="46" t="n">
        <v>-60.62</v>
      </c>
      <c r="R280" s="47" t="n"/>
      <c r="S280" s="47" t="n"/>
      <c r="T280" s="47" t="n"/>
      <c r="U280" s="47" t="n"/>
      <c r="V280" s="47" t="n"/>
      <c r="W280" s="47" t="n"/>
    </row>
    <row r="281" ht="12" customHeight="1">
      <c r="A281" s="30" t="inlineStr">
        <is>
          <t>Porto Real</t>
        </is>
      </c>
      <c r="B281" s="30" t="n">
        <v>78659998</v>
      </c>
      <c r="C281" s="30">
        <f>"59335976000753"</f>
        <v/>
      </c>
      <c r="D281" s="30" t="inlineStr">
        <is>
          <t>PRIMESYS SOLUCOES EMPRESARIAIS S A</t>
        </is>
      </c>
      <c r="E281" s="40" t="n">
        <v>322227.9</v>
      </c>
      <c r="F281" s="40" t="n">
        <v>282058.1</v>
      </c>
      <c r="G281" s="46" t="n">
        <v>-12.47</v>
      </c>
      <c r="H281" s="40" t="n">
        <v>0</v>
      </c>
      <c r="I281" s="46" t="n">
        <v>-100</v>
      </c>
      <c r="J281" s="40" t="n">
        <v>0</v>
      </c>
      <c r="K281" s="40" t="n">
        <v>0</v>
      </c>
      <c r="L281" s="40" t="n">
        <v>0</v>
      </c>
      <c r="M281" s="40" t="n">
        <v>0</v>
      </c>
      <c r="N281" s="40" t="n">
        <v>0</v>
      </c>
      <c r="O281" s="40" t="n">
        <v>0</v>
      </c>
      <c r="P281" s="40" t="n">
        <v>0</v>
      </c>
      <c r="Q281" s="40" t="n">
        <v>0</v>
      </c>
      <c r="R281" s="47" t="n"/>
      <c r="S281" s="47" t="n"/>
      <c r="T281" s="47" t="n"/>
      <c r="U281" s="47" t="n"/>
      <c r="V281" s="47" t="n"/>
      <c r="W281" s="47" t="n"/>
    </row>
    <row r="282" ht="12" customHeight="1">
      <c r="A282" s="30" t="inlineStr">
        <is>
          <t>Porto Real</t>
        </is>
      </c>
      <c r="B282" s="30" t="n">
        <v>78676850</v>
      </c>
      <c r="C282" s="30">
        <f>"09296295000321"</f>
        <v/>
      </c>
      <c r="D282" s="30" t="inlineStr">
        <is>
          <t>AZUL LINHAS AEREAS BRASILEIRAS S A</t>
        </is>
      </c>
      <c r="E282" s="40" t="n">
        <v>221.13</v>
      </c>
      <c r="F282" s="40" t="n">
        <v>801.59</v>
      </c>
      <c r="G282" s="40" t="n">
        <v>262.5</v>
      </c>
      <c r="H282" s="40" t="n">
        <v>0</v>
      </c>
      <c r="I282" s="46" t="n">
        <v>-100</v>
      </c>
      <c r="J282" s="40" t="n">
        <v>0</v>
      </c>
      <c r="K282" s="40" t="n">
        <v>0</v>
      </c>
      <c r="L282" s="40" t="n">
        <v>0</v>
      </c>
      <c r="M282" s="40" t="n">
        <v>0</v>
      </c>
      <c r="N282" s="40" t="n">
        <v>0</v>
      </c>
      <c r="O282" s="40" t="n">
        <v>0</v>
      </c>
      <c r="P282" s="40" t="n">
        <v>0</v>
      </c>
      <c r="Q282" s="40" t="n">
        <v>0</v>
      </c>
      <c r="R282" s="47" t="n"/>
      <c r="S282" s="47" t="n"/>
      <c r="T282" s="47" t="n"/>
      <c r="U282" s="47" t="n"/>
      <c r="V282" s="47" t="n"/>
      <c r="W282" s="47" t="n"/>
    </row>
    <row r="283" ht="12" customHeight="1">
      <c r="A283" s="30" t="inlineStr">
        <is>
          <t>Porto Real</t>
        </is>
      </c>
      <c r="B283" s="30" t="n">
        <v>78708751</v>
      </c>
      <c r="C283" s="30">
        <f>"09306245000116"</f>
        <v/>
      </c>
      <c r="D283" s="30" t="inlineStr">
        <is>
          <t>PORTO REAL INDUSTRIA DE MAQUINAS E EQUIPAMENTOS LTDA</t>
        </is>
      </c>
      <c r="E283" s="40" t="n">
        <v>0</v>
      </c>
      <c r="F283" s="40" t="n">
        <v>0</v>
      </c>
      <c r="G283" s="40" t="n">
        <v>0</v>
      </c>
      <c r="H283" s="40" t="n">
        <v>0</v>
      </c>
      <c r="I283" s="40" t="n">
        <v>0</v>
      </c>
      <c r="J283" s="40" t="n">
        <v>8084.13</v>
      </c>
      <c r="K283" s="40" t="n">
        <v>100</v>
      </c>
      <c r="L283" s="40" t="n">
        <v>54294.15</v>
      </c>
      <c r="M283" s="40" t="n">
        <v>571.61</v>
      </c>
      <c r="N283" s="40" t="n">
        <v>162403.33</v>
      </c>
      <c r="O283" s="40" t="n">
        <v>199.12</v>
      </c>
      <c r="P283" s="40" t="n">
        <v>28556.72</v>
      </c>
      <c r="Q283" s="46" t="n">
        <v>-82.42</v>
      </c>
      <c r="R283" s="47" t="n"/>
      <c r="S283" s="47" t="n"/>
      <c r="T283" s="47" t="n"/>
      <c r="U283" s="47" t="n"/>
      <c r="V283" s="47" t="n"/>
      <c r="W283" s="47" t="n"/>
    </row>
    <row r="284" ht="12" customHeight="1">
      <c r="A284" s="30" t="inlineStr">
        <is>
          <t>Porto Real</t>
        </is>
      </c>
      <c r="B284" s="30" t="n">
        <v>78718021</v>
      </c>
      <c r="C284" s="30">
        <f>"74155052000416"</f>
        <v/>
      </c>
      <c r="D284" s="30" t="inlineStr">
        <is>
          <t>UPS DO BRASIL REMESSAS EXPRESSAS LTDA</t>
        </is>
      </c>
      <c r="E284" s="40" t="n">
        <v>0</v>
      </c>
      <c r="F284" s="40" t="n">
        <v>0</v>
      </c>
      <c r="G284" s="40" t="n">
        <v>0</v>
      </c>
      <c r="H284" s="40" t="n">
        <v>138.91</v>
      </c>
      <c r="I284" s="40" t="n">
        <v>100</v>
      </c>
      <c r="J284" s="40" t="n">
        <v>834.16</v>
      </c>
      <c r="K284" s="40" t="n">
        <v>500.5</v>
      </c>
      <c r="L284" s="40" t="n">
        <v>701.35</v>
      </c>
      <c r="M284" s="46" t="n">
        <v>-15.92</v>
      </c>
      <c r="N284" s="40" t="n">
        <v>803.22</v>
      </c>
      <c r="O284" s="40" t="n">
        <v>14.52</v>
      </c>
      <c r="P284" s="40" t="n">
        <v>879.86</v>
      </c>
      <c r="Q284" s="40" t="n">
        <v>9.539999999999999</v>
      </c>
      <c r="R284" s="47" t="n"/>
      <c r="S284" s="47" t="n"/>
      <c r="T284" s="47" t="n"/>
      <c r="U284" s="47" t="n"/>
      <c r="V284" s="47" t="n"/>
      <c r="W284" s="47" t="n"/>
    </row>
    <row r="285" ht="12" customHeight="1">
      <c r="A285" s="30" t="inlineStr">
        <is>
          <t>Porto Real</t>
        </is>
      </c>
      <c r="B285" s="30" t="n">
        <v>78724226</v>
      </c>
      <c r="C285" s="30">
        <f>"09452900000306"</f>
        <v/>
      </c>
      <c r="D285" s="30" t="inlineStr">
        <is>
          <t>VIX TRANSPORTES DEDICADOS LTDA</t>
        </is>
      </c>
      <c r="E285" s="40" t="n">
        <v>0</v>
      </c>
      <c r="F285" s="40" t="n">
        <v>0</v>
      </c>
      <c r="G285" s="40" t="n">
        <v>0</v>
      </c>
      <c r="H285" s="40" t="n">
        <v>0</v>
      </c>
      <c r="I285" s="40" t="n">
        <v>0</v>
      </c>
      <c r="J285" s="40" t="n">
        <v>0</v>
      </c>
      <c r="K285" s="40" t="n">
        <v>0</v>
      </c>
      <c r="L285" s="40" t="n">
        <v>0</v>
      </c>
      <c r="M285" s="40" t="n">
        <v>0</v>
      </c>
      <c r="N285" s="40" t="n">
        <v>20306.22</v>
      </c>
      <c r="O285" s="40" t="n">
        <v>100</v>
      </c>
      <c r="P285" s="40" t="n">
        <v>0</v>
      </c>
      <c r="Q285" s="46" t="n">
        <v>-100</v>
      </c>
      <c r="R285" s="47" t="n"/>
      <c r="S285" s="47" t="n"/>
      <c r="T285" s="47" t="n"/>
      <c r="U285" s="47" t="n"/>
      <c r="V285" s="47" t="n"/>
      <c r="W285" s="47" t="n"/>
    </row>
    <row r="286" ht="12" customHeight="1">
      <c r="A286" s="30" t="inlineStr">
        <is>
          <t>Porto Real</t>
        </is>
      </c>
      <c r="B286" s="30" t="n">
        <v>78728051</v>
      </c>
      <c r="C286" s="30">
        <f>"09598495000177"</f>
        <v/>
      </c>
      <c r="D286" s="30" t="inlineStr">
        <is>
          <t>GRIFFE ANALISE TECNICA E MANUTENCAO AUTOMOTIVA LTDA ME</t>
        </is>
      </c>
      <c r="E286" s="40" t="n">
        <v>0</v>
      </c>
      <c r="F286" s="40" t="n">
        <v>0</v>
      </c>
      <c r="G286" s="40" t="n">
        <v>0</v>
      </c>
      <c r="H286" s="40" t="n">
        <v>0</v>
      </c>
      <c r="I286" s="40" t="n">
        <v>0</v>
      </c>
      <c r="J286" s="40" t="n">
        <v>0</v>
      </c>
      <c r="K286" s="40" t="n">
        <v>0</v>
      </c>
      <c r="L286" s="40" t="n">
        <v>0</v>
      </c>
      <c r="M286" s="40" t="n">
        <v>0</v>
      </c>
      <c r="N286" s="40" t="n">
        <v>0</v>
      </c>
      <c r="O286" s="40" t="n">
        <v>0</v>
      </c>
      <c r="P286" s="40" t="n">
        <v>0</v>
      </c>
      <c r="Q286" s="40" t="n">
        <v>0</v>
      </c>
      <c r="R286" s="47" t="n"/>
      <c r="S286" s="47" t="n"/>
      <c r="T286" s="47" t="n"/>
      <c r="U286" s="47" t="n"/>
      <c r="V286" s="47" t="n"/>
      <c r="W286" s="47" t="n"/>
    </row>
    <row r="287" ht="12" customHeight="1">
      <c r="A287" s="30" t="inlineStr">
        <is>
          <t>Porto Real</t>
        </is>
      </c>
      <c r="B287" s="30" t="n">
        <v>78731451</v>
      </c>
      <c r="C287" s="30">
        <f>"07360468000217"</f>
        <v/>
      </c>
      <c r="D287" s="30" t="inlineStr">
        <is>
          <t>MTR LOGISTICA LTDA</t>
        </is>
      </c>
      <c r="E287" s="40" t="n">
        <v>25.45</v>
      </c>
      <c r="F287" s="40" t="n">
        <v>0</v>
      </c>
      <c r="G287" s="46" t="n">
        <v>-100</v>
      </c>
      <c r="H287" s="40" t="n">
        <v>0</v>
      </c>
      <c r="I287" s="40" t="n">
        <v>0</v>
      </c>
      <c r="J287" s="40" t="n">
        <v>0</v>
      </c>
      <c r="K287" s="40" t="n">
        <v>0</v>
      </c>
      <c r="L287" s="40" t="n">
        <v>0</v>
      </c>
      <c r="M287" s="40" t="n">
        <v>0</v>
      </c>
      <c r="N287" s="40" t="n">
        <v>0</v>
      </c>
      <c r="O287" s="40" t="n">
        <v>0</v>
      </c>
      <c r="P287" s="40" t="n">
        <v>0</v>
      </c>
      <c r="Q287" s="40" t="n">
        <v>0</v>
      </c>
      <c r="R287" s="47" t="n"/>
      <c r="S287" s="47" t="n"/>
      <c r="T287" s="47" t="n"/>
      <c r="U287" s="47" t="n"/>
      <c r="V287" s="47" t="n"/>
      <c r="W287" s="47" t="n"/>
    </row>
    <row r="288" ht="12" customHeight="1">
      <c r="A288" s="30" t="inlineStr">
        <is>
          <t>Porto Real</t>
        </is>
      </c>
      <c r="B288" s="30" t="n">
        <v>78738707</v>
      </c>
      <c r="C288" s="30">
        <f>"10774640000102"</f>
        <v/>
      </c>
      <c r="D288" s="30" t="inlineStr">
        <is>
          <t>GULI PIONEIRO COMERCIO DE PRODUTOS ALIMENTICIOS LTDA ME</t>
        </is>
      </c>
      <c r="E288" s="40" t="n">
        <v>2479639.44</v>
      </c>
      <c r="F288" s="40" t="n">
        <v>5002826</v>
      </c>
      <c r="G288" s="40" t="n">
        <v>101.76</v>
      </c>
      <c r="H288" s="40" t="n">
        <v>5978500.94</v>
      </c>
      <c r="I288" s="40" t="n">
        <v>19.5</v>
      </c>
      <c r="J288" s="40" t="n">
        <v>5497281.23</v>
      </c>
      <c r="K288" s="46" t="n">
        <v>-8.050000000000001</v>
      </c>
      <c r="L288" s="40" t="n">
        <v>3835160.41</v>
      </c>
      <c r="M288" s="46" t="n">
        <v>-30.24</v>
      </c>
      <c r="N288" s="40" t="n">
        <v>4380705.09</v>
      </c>
      <c r="O288" s="40" t="n">
        <v>14.22</v>
      </c>
      <c r="P288" s="40" t="n">
        <v>529299.16</v>
      </c>
      <c r="Q288" s="46" t="n">
        <v>-87.92</v>
      </c>
      <c r="R288" s="47" t="n"/>
      <c r="S288" s="47" t="n"/>
      <c r="T288" s="47" t="n"/>
      <c r="U288" s="47" t="n"/>
      <c r="V288" s="47" t="n"/>
      <c r="W288" s="47" t="n"/>
    </row>
    <row r="289" ht="12" customHeight="1">
      <c r="A289" s="30" t="inlineStr">
        <is>
          <t>Porto Real</t>
        </is>
      </c>
      <c r="B289" s="30" t="n">
        <v>78760702</v>
      </c>
      <c r="C289" s="30">
        <f>"10865695000128"</f>
        <v/>
      </c>
      <c r="D289" s="30" t="inlineStr">
        <is>
          <t>RESTAURANTE CELEIRO DE PORTO REAL LTDA</t>
        </is>
      </c>
      <c r="E289" s="40" t="n">
        <v>0</v>
      </c>
      <c r="F289" s="40" t="n">
        <v>0</v>
      </c>
      <c r="G289" s="40" t="n">
        <v>0</v>
      </c>
      <c r="H289" s="40" t="n">
        <v>0</v>
      </c>
      <c r="I289" s="40" t="n">
        <v>0</v>
      </c>
      <c r="J289" s="40" t="n">
        <v>0</v>
      </c>
      <c r="K289" s="40" t="n">
        <v>0</v>
      </c>
      <c r="L289" s="40" t="n">
        <v>0</v>
      </c>
      <c r="M289" s="40" t="n">
        <v>0</v>
      </c>
      <c r="N289" s="40" t="n">
        <v>0</v>
      </c>
      <c r="O289" s="40" t="n">
        <v>0</v>
      </c>
      <c r="P289" s="40" t="n">
        <v>0</v>
      </c>
      <c r="Q289" s="40" t="n">
        <v>0</v>
      </c>
      <c r="R289" s="47" t="n"/>
      <c r="S289" s="47" t="n"/>
      <c r="T289" s="47" t="n"/>
      <c r="U289" s="47" t="n"/>
      <c r="V289" s="47" t="n"/>
      <c r="W289" s="47" t="n"/>
    </row>
    <row r="290" ht="12" customHeight="1">
      <c r="A290" s="30" t="inlineStr">
        <is>
          <t>Porto Real</t>
        </is>
      </c>
      <c r="B290" s="30" t="n">
        <v>78764945</v>
      </c>
      <c r="C290" s="30">
        <f>"07408046000355"</f>
        <v/>
      </c>
      <c r="D290" s="30" t="inlineStr">
        <is>
          <t>LUBRAQUIM INDUSTRIA E COMERCIO DE LUBRIFICANTES LTDA - EM RECUPERAÇÃO JUDICIAL</t>
        </is>
      </c>
      <c r="E290" s="40" t="n">
        <v>0</v>
      </c>
      <c r="F290" s="40" t="n">
        <v>0</v>
      </c>
      <c r="G290" s="40" t="n">
        <v>0</v>
      </c>
      <c r="H290" s="40" t="n">
        <v>0</v>
      </c>
      <c r="I290" s="40" t="n">
        <v>0</v>
      </c>
      <c r="J290" s="40" t="n">
        <v>0</v>
      </c>
      <c r="K290" s="40" t="n">
        <v>0</v>
      </c>
      <c r="L290" s="40" t="n">
        <v>0</v>
      </c>
      <c r="M290" s="40" t="n">
        <v>0</v>
      </c>
      <c r="N290" s="40" t="n">
        <v>5784436.3</v>
      </c>
      <c r="O290" s="40" t="n">
        <v>100</v>
      </c>
      <c r="P290" s="40" t="n">
        <v>0</v>
      </c>
      <c r="Q290" s="46" t="n">
        <v>-100</v>
      </c>
      <c r="R290" s="47" t="n"/>
      <c r="S290" s="47" t="n"/>
      <c r="T290" s="47" t="n"/>
      <c r="U290" s="47" t="n"/>
      <c r="V290" s="47" t="n"/>
      <c r="W290" s="47" t="n"/>
    </row>
    <row r="291" ht="12" customHeight="1">
      <c r="A291" s="30" t="inlineStr">
        <is>
          <t>Porto Real</t>
        </is>
      </c>
      <c r="B291" s="30" t="n">
        <v>78776323</v>
      </c>
      <c r="C291" s="30">
        <f>"03098929000436"</f>
        <v/>
      </c>
      <c r="D291" s="30" t="inlineStr">
        <is>
          <t>SETE LAGOAS TRANSPORTES LTDA ME</t>
        </is>
      </c>
      <c r="E291" s="40" t="n">
        <v>0</v>
      </c>
      <c r="F291" s="40" t="n">
        <v>0</v>
      </c>
      <c r="G291" s="40" t="n">
        <v>0</v>
      </c>
      <c r="H291" s="40" t="n">
        <v>6250.58</v>
      </c>
      <c r="I291" s="40" t="n">
        <v>100</v>
      </c>
      <c r="J291" s="40" t="n">
        <v>25723</v>
      </c>
      <c r="K291" s="40" t="n">
        <v>311.53</v>
      </c>
      <c r="L291" s="40" t="n">
        <v>4200</v>
      </c>
      <c r="M291" s="46" t="n">
        <v>-83.67</v>
      </c>
      <c r="N291" s="40" t="n">
        <v>4000</v>
      </c>
      <c r="O291" s="46" t="n">
        <v>-4.76</v>
      </c>
      <c r="P291" s="40" t="n">
        <v>0</v>
      </c>
      <c r="Q291" s="46" t="n">
        <v>-100</v>
      </c>
      <c r="R291" s="47" t="n"/>
      <c r="S291" s="47" t="n"/>
      <c r="T291" s="47" t="n"/>
      <c r="U291" s="47" t="n"/>
      <c r="V291" s="47" t="n"/>
      <c r="W291" s="47" t="n"/>
    </row>
    <row r="292" ht="12" customHeight="1">
      <c r="A292" s="30" t="inlineStr">
        <is>
          <t>Porto Real</t>
        </is>
      </c>
      <c r="B292" s="30" t="n">
        <v>78795590</v>
      </c>
      <c r="C292" s="30">
        <f>"55753578000534"</f>
        <v/>
      </c>
      <c r="D292" s="30" t="inlineStr">
        <is>
          <t>ADEMIR COMERCIO DE VEICULOS E TRANSPORTADORA LTDA</t>
        </is>
      </c>
      <c r="E292" s="40" t="n">
        <v>3171</v>
      </c>
      <c r="F292" s="40" t="n">
        <v>0</v>
      </c>
      <c r="G292" s="46" t="n">
        <v>-100</v>
      </c>
      <c r="H292" s="40" t="n">
        <v>96686.63</v>
      </c>
      <c r="I292" s="40" t="n">
        <v>100</v>
      </c>
      <c r="J292" s="40" t="n">
        <v>0</v>
      </c>
      <c r="K292" s="46" t="n">
        <v>-100</v>
      </c>
      <c r="L292" s="40" t="n">
        <v>201637.49</v>
      </c>
      <c r="M292" s="40" t="n">
        <v>100</v>
      </c>
      <c r="N292" s="40" t="n">
        <v>798415.8100000001</v>
      </c>
      <c r="O292" s="40" t="n">
        <v>295.97</v>
      </c>
      <c r="P292" s="40" t="n">
        <v>920476.88</v>
      </c>
      <c r="Q292" s="40" t="n">
        <v>15.29</v>
      </c>
      <c r="R292" s="47" t="n"/>
      <c r="S292" s="47" t="n"/>
      <c r="T292" s="47" t="n"/>
      <c r="U292" s="47" t="n"/>
      <c r="V292" s="47" t="n"/>
      <c r="W292" s="47" t="n"/>
    </row>
    <row r="293" ht="12" customHeight="1">
      <c r="A293" s="30" t="inlineStr">
        <is>
          <t>Porto Real</t>
        </is>
      </c>
      <c r="B293" s="30" t="n">
        <v>78813261</v>
      </c>
      <c r="C293" s="30">
        <f>"06238738000330"</f>
        <v/>
      </c>
      <c r="D293" s="30" t="inlineStr">
        <is>
          <t>ACOLOG SERVICOS DE TRANSPORTE E LOGISTICA LTDA</t>
        </is>
      </c>
      <c r="E293" s="40" t="n">
        <v>121586.2</v>
      </c>
      <c r="F293" s="40" t="n">
        <v>610596.74</v>
      </c>
      <c r="G293" s="40" t="n">
        <v>402.19</v>
      </c>
      <c r="H293" s="40" t="n">
        <v>932494.1800000001</v>
      </c>
      <c r="I293" s="40" t="n">
        <v>52.72</v>
      </c>
      <c r="J293" s="40" t="n">
        <v>984551.3</v>
      </c>
      <c r="K293" s="40" t="n">
        <v>5.58</v>
      </c>
      <c r="L293" s="40" t="n">
        <v>1427809.02</v>
      </c>
      <c r="M293" s="40" t="n">
        <v>45.02</v>
      </c>
      <c r="N293" s="40" t="n">
        <v>1287067.17</v>
      </c>
      <c r="O293" s="46" t="n">
        <v>-9.859999999999999</v>
      </c>
      <c r="P293" s="40" t="n">
        <v>1595324.26</v>
      </c>
      <c r="Q293" s="40" t="n">
        <v>23.95</v>
      </c>
      <c r="R293" s="47" t="n"/>
      <c r="S293" s="47" t="n"/>
      <c r="T293" s="47" t="n"/>
      <c r="U293" s="47" t="n"/>
      <c r="V293" s="47" t="n"/>
      <c r="W293" s="47" t="n"/>
    </row>
    <row r="294" ht="12" customHeight="1">
      <c r="A294" s="30" t="inlineStr">
        <is>
          <t>Porto Real</t>
        </is>
      </c>
      <c r="B294" s="30" t="n">
        <v>78815345</v>
      </c>
      <c r="C294" s="30">
        <f>"10924680000193"</f>
        <v/>
      </c>
      <c r="D294" s="30" t="inlineStr">
        <is>
          <t>JL TRANSPORTES DIESEL LTDA</t>
        </is>
      </c>
      <c r="E294" s="40" t="n">
        <v>0</v>
      </c>
      <c r="F294" s="40" t="n">
        <v>0</v>
      </c>
      <c r="G294" s="40" t="n">
        <v>0</v>
      </c>
      <c r="H294" s="40" t="n">
        <v>0</v>
      </c>
      <c r="I294" s="40" t="n">
        <v>0</v>
      </c>
      <c r="J294" s="40" t="n">
        <v>0</v>
      </c>
      <c r="K294" s="40" t="n">
        <v>0</v>
      </c>
      <c r="L294" s="40" t="n">
        <v>118338.87</v>
      </c>
      <c r="M294" s="40" t="n">
        <v>100</v>
      </c>
      <c r="N294" s="40" t="n">
        <v>0</v>
      </c>
      <c r="O294" s="46" t="n">
        <v>-100</v>
      </c>
      <c r="P294" s="40" t="n">
        <v>0</v>
      </c>
      <c r="Q294" s="40" t="n">
        <v>0</v>
      </c>
      <c r="R294" s="47" t="n"/>
      <c r="S294" s="47" t="n"/>
      <c r="T294" s="47" t="n"/>
      <c r="U294" s="47" t="n"/>
      <c r="V294" s="47" t="n"/>
      <c r="W294" s="47" t="n"/>
    </row>
    <row r="295" ht="12" customHeight="1">
      <c r="A295" s="30" t="inlineStr">
        <is>
          <t>Porto Real</t>
        </is>
      </c>
      <c r="B295" s="30" t="n">
        <v>78839910</v>
      </c>
      <c r="C295" s="30">
        <f>"04767210000160"</f>
        <v/>
      </c>
      <c r="D295" s="30" t="inlineStr">
        <is>
          <t>TRANSPORTO TRANSPORTES LTDA</t>
        </is>
      </c>
      <c r="E295" s="40" t="n">
        <v>0</v>
      </c>
      <c r="F295" s="40" t="n">
        <v>0</v>
      </c>
      <c r="G295" s="40" t="n">
        <v>0</v>
      </c>
      <c r="H295" s="40" t="n">
        <v>0</v>
      </c>
      <c r="I295" s="40" t="n">
        <v>0</v>
      </c>
      <c r="J295" s="40" t="n">
        <v>0</v>
      </c>
      <c r="K295" s="40" t="n">
        <v>0</v>
      </c>
      <c r="L295" s="40" t="n">
        <v>0</v>
      </c>
      <c r="M295" s="40" t="n">
        <v>0</v>
      </c>
      <c r="N295" s="40" t="n">
        <v>0</v>
      </c>
      <c r="O295" s="40" t="n">
        <v>0</v>
      </c>
      <c r="P295" s="40" t="n">
        <v>0</v>
      </c>
      <c r="Q295" s="40" t="n">
        <v>0</v>
      </c>
      <c r="R295" s="47" t="n"/>
      <c r="S295" s="47" t="n"/>
      <c r="T295" s="47" t="n"/>
      <c r="U295" s="47" t="n"/>
      <c r="V295" s="47" t="n"/>
      <c r="W295" s="47" t="n"/>
    </row>
    <row r="296" ht="12" customHeight="1">
      <c r="A296" s="30" t="inlineStr">
        <is>
          <t>Porto Real</t>
        </is>
      </c>
      <c r="B296" s="30" t="n">
        <v>78845988</v>
      </c>
      <c r="C296" s="30">
        <f>"48740351010390"</f>
        <v/>
      </c>
      <c r="D296" s="30" t="inlineStr">
        <is>
          <t>BRASPRESS TRANSPORTES URGENTES LTDA</t>
        </is>
      </c>
      <c r="E296" s="40" t="n">
        <v>114.3</v>
      </c>
      <c r="F296" s="40" t="n">
        <v>0</v>
      </c>
      <c r="G296" s="46" t="n">
        <v>-100</v>
      </c>
      <c r="H296" s="40" t="n">
        <v>0</v>
      </c>
      <c r="I296" s="40" t="n">
        <v>0</v>
      </c>
      <c r="J296" s="40" t="n">
        <v>113.28</v>
      </c>
      <c r="K296" s="40" t="n">
        <v>100</v>
      </c>
      <c r="L296" s="40" t="n">
        <v>547.53</v>
      </c>
      <c r="M296" s="40" t="n">
        <v>383.34</v>
      </c>
      <c r="N296" s="40" t="n">
        <v>0</v>
      </c>
      <c r="O296" s="46" t="n">
        <v>-100</v>
      </c>
      <c r="P296" s="40" t="n">
        <v>0</v>
      </c>
      <c r="Q296" s="40" t="n">
        <v>0</v>
      </c>
      <c r="R296" s="47" t="n"/>
      <c r="S296" s="47" t="n"/>
      <c r="T296" s="47" t="n"/>
      <c r="U296" s="47" t="n"/>
      <c r="V296" s="47" t="n"/>
      <c r="W296" s="47" t="n"/>
    </row>
    <row r="297" ht="12" customHeight="1">
      <c r="A297" s="30" t="inlineStr">
        <is>
          <t>Porto Real</t>
        </is>
      </c>
      <c r="B297" s="30" t="n">
        <v>78891777</v>
      </c>
      <c r="C297" s="30">
        <f>"09662364000292"</f>
        <v/>
      </c>
      <c r="D297" s="30" t="inlineStr">
        <is>
          <t>RONIFARIA COMERCIO VAREJISTA DE GAS LIQUEFEITO DE PETROLEO GLP LTDA ME</t>
        </is>
      </c>
      <c r="E297" s="40" t="n">
        <v>0</v>
      </c>
      <c r="F297" s="40" t="n">
        <v>0</v>
      </c>
      <c r="G297" s="40" t="n">
        <v>0</v>
      </c>
      <c r="H297" s="40" t="n">
        <v>0</v>
      </c>
      <c r="I297" s="40" t="n">
        <v>0</v>
      </c>
      <c r="J297" s="40" t="n">
        <v>0</v>
      </c>
      <c r="K297" s="40" t="n">
        <v>0</v>
      </c>
      <c r="L297" s="40" t="n">
        <v>0</v>
      </c>
      <c r="M297" s="40" t="n">
        <v>0</v>
      </c>
      <c r="N297" s="40" t="n">
        <v>0</v>
      </c>
      <c r="O297" s="40" t="n">
        <v>0</v>
      </c>
      <c r="P297" s="40" t="n">
        <v>0</v>
      </c>
      <c r="Q297" s="40" t="n">
        <v>0</v>
      </c>
      <c r="R297" s="47" t="n"/>
      <c r="S297" s="47" t="n"/>
      <c r="T297" s="47" t="n"/>
      <c r="U297" s="47" t="n"/>
      <c r="V297" s="47" t="n"/>
      <c r="W297" s="47" t="n"/>
    </row>
    <row r="298" ht="12" customHeight="1">
      <c r="A298" s="30" t="inlineStr">
        <is>
          <t>Porto Real</t>
        </is>
      </c>
      <c r="B298" s="30" t="n">
        <v>78902086</v>
      </c>
      <c r="C298" s="30">
        <f>"32492373004020"</f>
        <v/>
      </c>
      <c r="D298" s="30" t="inlineStr">
        <is>
          <t>TRANSPORTE EXCELSIOR LTDA</t>
        </is>
      </c>
      <c r="E298" s="40" t="n">
        <v>12263199.45</v>
      </c>
      <c r="F298" s="40" t="n">
        <v>0</v>
      </c>
      <c r="G298" s="46" t="n">
        <v>-100</v>
      </c>
      <c r="H298" s="40" t="n">
        <v>0</v>
      </c>
      <c r="I298" s="40" t="n">
        <v>0</v>
      </c>
      <c r="J298" s="40" t="n">
        <v>0</v>
      </c>
      <c r="K298" s="40" t="n">
        <v>0</v>
      </c>
      <c r="L298" s="40" t="n">
        <v>0</v>
      </c>
      <c r="M298" s="40" t="n">
        <v>0</v>
      </c>
      <c r="N298" s="40" t="n">
        <v>0</v>
      </c>
      <c r="O298" s="40" t="n">
        <v>0</v>
      </c>
      <c r="P298" s="40" t="n">
        <v>0</v>
      </c>
      <c r="Q298" s="40" t="n">
        <v>0</v>
      </c>
      <c r="R298" s="47" t="n"/>
      <c r="S298" s="47" t="n"/>
      <c r="T298" s="47" t="n"/>
      <c r="U298" s="47" t="n"/>
      <c r="V298" s="47" t="n"/>
      <c r="W298" s="47" t="n"/>
    </row>
    <row r="299" ht="12" customHeight="1">
      <c r="A299" s="30" t="inlineStr">
        <is>
          <t>Porto Real</t>
        </is>
      </c>
      <c r="B299" s="30" t="n">
        <v>78926279</v>
      </c>
      <c r="C299" s="30">
        <f>"21312434000440"</f>
        <v/>
      </c>
      <c r="D299" s="30" t="inlineStr">
        <is>
          <t>METALURGICA LORENA LTDA</t>
        </is>
      </c>
      <c r="E299" s="40" t="n">
        <v>0</v>
      </c>
      <c r="F299" s="40" t="n">
        <v>0</v>
      </c>
      <c r="G299" s="40" t="n">
        <v>0</v>
      </c>
      <c r="H299" s="40" t="n">
        <v>0</v>
      </c>
      <c r="I299" s="40" t="n">
        <v>0</v>
      </c>
      <c r="J299" s="40" t="n">
        <v>0</v>
      </c>
      <c r="K299" s="40" t="n">
        <v>0</v>
      </c>
      <c r="L299" s="40" t="n">
        <v>100700.78</v>
      </c>
      <c r="M299" s="40" t="n">
        <v>100</v>
      </c>
      <c r="N299" s="40" t="n">
        <v>214557.34</v>
      </c>
      <c r="O299" s="40" t="n">
        <v>113.06</v>
      </c>
      <c r="P299" s="40" t="n">
        <v>6106</v>
      </c>
      <c r="Q299" s="46" t="n">
        <v>-97.15000000000001</v>
      </c>
      <c r="R299" s="47" t="n"/>
      <c r="S299" s="47" t="n"/>
      <c r="T299" s="47" t="n"/>
      <c r="U299" s="47" t="n"/>
      <c r="V299" s="47" t="n"/>
      <c r="W299" s="47" t="n"/>
    </row>
    <row r="300" ht="12" customHeight="1">
      <c r="A300" s="30" t="inlineStr">
        <is>
          <t>Porto Real</t>
        </is>
      </c>
      <c r="B300" s="30" t="n">
        <v>78943742</v>
      </c>
      <c r="C300" s="30">
        <f>"79942140002697"</f>
        <v/>
      </c>
      <c r="D300" s="30" t="inlineStr">
        <is>
          <t>TRANSMAGNA TRANSPORTES EIRELI</t>
        </is>
      </c>
      <c r="E300" s="40" t="n">
        <v>0</v>
      </c>
      <c r="F300" s="40" t="n">
        <v>0</v>
      </c>
      <c r="G300" s="40" t="n">
        <v>0</v>
      </c>
      <c r="H300" s="40" t="n">
        <v>16</v>
      </c>
      <c r="I300" s="40" t="n">
        <v>100</v>
      </c>
      <c r="J300" s="40" t="n">
        <v>0</v>
      </c>
      <c r="K300" s="46" t="n">
        <v>-100</v>
      </c>
      <c r="L300" s="40" t="n">
        <v>0</v>
      </c>
      <c r="M300" s="40" t="n">
        <v>0</v>
      </c>
      <c r="N300" s="40" t="n">
        <v>0</v>
      </c>
      <c r="O300" s="40" t="n">
        <v>0</v>
      </c>
      <c r="P300" s="40" t="n">
        <v>0</v>
      </c>
      <c r="Q300" s="40" t="n">
        <v>0</v>
      </c>
      <c r="R300" s="47" t="n"/>
      <c r="S300" s="47" t="n"/>
      <c r="T300" s="47" t="n"/>
      <c r="U300" s="47" t="n"/>
      <c r="V300" s="47" t="n"/>
      <c r="W300" s="47" t="n"/>
    </row>
    <row r="301" ht="12" customHeight="1">
      <c r="A301" s="30" t="inlineStr">
        <is>
          <t>Porto Real</t>
        </is>
      </c>
      <c r="B301" s="30" t="n">
        <v>78956070</v>
      </c>
      <c r="C301" s="30">
        <f>"10992167000210"</f>
        <v/>
      </c>
      <c r="D301" s="30" t="inlineStr">
        <is>
          <t>METAR LOGISTICA LTDA</t>
        </is>
      </c>
      <c r="E301" s="40" t="n">
        <v>0</v>
      </c>
      <c r="F301" s="40" t="n">
        <v>1421.27</v>
      </c>
      <c r="G301" s="40" t="n">
        <v>100</v>
      </c>
      <c r="H301" s="40" t="n">
        <v>4860.95</v>
      </c>
      <c r="I301" s="40" t="n">
        <v>242.01</v>
      </c>
      <c r="J301" s="40" t="n">
        <v>2175.34</v>
      </c>
      <c r="K301" s="46" t="n">
        <v>-55.25</v>
      </c>
      <c r="L301" s="40" t="n">
        <v>2264.42</v>
      </c>
      <c r="M301" s="40" t="n">
        <v>4.09</v>
      </c>
      <c r="N301" s="40" t="n">
        <v>1527.33</v>
      </c>
      <c r="O301" s="46" t="n">
        <v>-32.55</v>
      </c>
      <c r="P301" s="40" t="n">
        <v>699.0599999999999</v>
      </c>
      <c r="Q301" s="46" t="n">
        <v>-54.23</v>
      </c>
      <c r="R301" s="47" t="n"/>
      <c r="S301" s="47" t="n"/>
      <c r="T301" s="47" t="n"/>
      <c r="U301" s="47" t="n"/>
      <c r="V301" s="47" t="n"/>
      <c r="W301" s="47" t="n"/>
    </row>
    <row r="302" ht="12" customHeight="1">
      <c r="A302" s="30" t="inlineStr">
        <is>
          <t>Porto Real</t>
        </is>
      </c>
      <c r="B302" s="30" t="n">
        <v>78981180</v>
      </c>
      <c r="C302" s="30">
        <f>"68979111000630"</f>
        <v/>
      </c>
      <c r="D302" s="30" t="inlineStr">
        <is>
          <t>PARADISO GIOVANELLA TRANSPORTES LTDA</t>
        </is>
      </c>
      <c r="E302" s="40" t="n">
        <v>16214.4</v>
      </c>
      <c r="F302" s="40" t="n">
        <v>29145.32</v>
      </c>
      <c r="G302" s="40" t="n">
        <v>79.75</v>
      </c>
      <c r="H302" s="40" t="n">
        <v>0</v>
      </c>
      <c r="I302" s="46" t="n">
        <v>-100</v>
      </c>
      <c r="J302" s="40" t="n">
        <v>1017053.79</v>
      </c>
      <c r="K302" s="40" t="n">
        <v>100</v>
      </c>
      <c r="L302" s="40" t="n">
        <v>2313572.93</v>
      </c>
      <c r="M302" s="40" t="n">
        <v>127.48</v>
      </c>
      <c r="N302" s="40" t="n">
        <v>12014364.45</v>
      </c>
      <c r="O302" s="40" t="n">
        <v>419.3</v>
      </c>
      <c r="P302" s="40" t="n">
        <v>13469484.08</v>
      </c>
      <c r="Q302" s="40" t="n">
        <v>12.11</v>
      </c>
      <c r="R302" s="47" t="n"/>
      <c r="S302" s="47" t="n"/>
      <c r="T302" s="47" t="n"/>
      <c r="U302" s="47" t="n"/>
      <c r="V302" s="47" t="n"/>
      <c r="W302" s="47" t="n"/>
    </row>
    <row r="303" ht="12" customHeight="1">
      <c r="A303" s="30" t="inlineStr">
        <is>
          <t>Porto Real</t>
        </is>
      </c>
      <c r="B303" s="30" t="n">
        <v>78991674</v>
      </c>
      <c r="C303" s="30">
        <f>"01778972000336"</f>
        <v/>
      </c>
      <c r="D303" s="30" t="inlineStr">
        <is>
          <t>AMERICA NET LTDA</t>
        </is>
      </c>
      <c r="E303" s="40" t="n">
        <v>0</v>
      </c>
      <c r="F303" s="40" t="n">
        <v>0</v>
      </c>
      <c r="G303" s="40" t="n">
        <v>0</v>
      </c>
      <c r="H303" s="40" t="n">
        <v>0</v>
      </c>
      <c r="I303" s="40" t="n">
        <v>0</v>
      </c>
      <c r="J303" s="40" t="n">
        <v>0</v>
      </c>
      <c r="K303" s="40" t="n">
        <v>0</v>
      </c>
      <c r="L303" s="40" t="n">
        <v>1330.29</v>
      </c>
      <c r="M303" s="40" t="n">
        <v>100</v>
      </c>
      <c r="N303" s="40" t="n">
        <v>3649.44</v>
      </c>
      <c r="O303" s="40" t="n">
        <v>174.33</v>
      </c>
      <c r="P303" s="40" t="n">
        <v>0</v>
      </c>
      <c r="Q303" s="46" t="n">
        <v>-100</v>
      </c>
      <c r="R303" s="47" t="n"/>
      <c r="S303" s="47" t="n"/>
      <c r="T303" s="47" t="n"/>
      <c r="U303" s="47" t="n"/>
      <c r="V303" s="47" t="n"/>
      <c r="W303" s="47" t="n"/>
    </row>
    <row r="304" ht="12" customHeight="1">
      <c r="A304" s="30" t="inlineStr">
        <is>
          <t>Porto Real</t>
        </is>
      </c>
      <c r="B304" s="30" t="n">
        <v>78998105</v>
      </c>
      <c r="C304" s="30">
        <f>"04505306000231"</f>
        <v/>
      </c>
      <c r="D304" s="30" t="inlineStr">
        <is>
          <t>CONCRETEIRA PP DE RESENDE LTDA</t>
        </is>
      </c>
      <c r="E304" s="40" t="n">
        <v>0</v>
      </c>
      <c r="F304" s="40" t="n">
        <v>0</v>
      </c>
      <c r="G304" s="40" t="n">
        <v>0</v>
      </c>
      <c r="H304" s="40" t="n">
        <v>0</v>
      </c>
      <c r="I304" s="40" t="n">
        <v>0</v>
      </c>
      <c r="J304" s="40" t="n">
        <v>0</v>
      </c>
      <c r="K304" s="40" t="n">
        <v>0</v>
      </c>
      <c r="L304" s="40" t="n">
        <v>33656.77</v>
      </c>
      <c r="M304" s="40" t="n">
        <v>100</v>
      </c>
      <c r="N304" s="40" t="n">
        <v>80446.7</v>
      </c>
      <c r="O304" s="40" t="n">
        <v>139.02</v>
      </c>
      <c r="P304" s="40" t="n">
        <v>0</v>
      </c>
      <c r="Q304" s="46" t="n">
        <v>-100</v>
      </c>
      <c r="R304" s="47" t="n"/>
      <c r="S304" s="47" t="n"/>
      <c r="T304" s="47" t="n"/>
      <c r="U304" s="47" t="n"/>
      <c r="V304" s="47" t="n"/>
      <c r="W304" s="47" t="n"/>
    </row>
    <row r="305" ht="12" customHeight="1">
      <c r="A305" s="30" t="inlineStr">
        <is>
          <t>Porto Real</t>
        </is>
      </c>
      <c r="B305" s="30" t="n">
        <v>78998121</v>
      </c>
      <c r="C305" s="30">
        <f>"01489122000407"</f>
        <v/>
      </c>
      <c r="D305" s="30" t="inlineStr">
        <is>
          <t>TJ4 TRANSPORTES EIRELI</t>
        </is>
      </c>
      <c r="E305" s="40" t="n">
        <v>0</v>
      </c>
      <c r="F305" s="40" t="n">
        <v>0</v>
      </c>
      <c r="G305" s="40" t="n">
        <v>0</v>
      </c>
      <c r="H305" s="40" t="n">
        <v>0</v>
      </c>
      <c r="I305" s="40" t="n">
        <v>0</v>
      </c>
      <c r="J305" s="40" t="n">
        <v>0</v>
      </c>
      <c r="K305" s="40" t="n">
        <v>0</v>
      </c>
      <c r="L305" s="40" t="n">
        <v>0</v>
      </c>
      <c r="M305" s="40" t="n">
        <v>0</v>
      </c>
      <c r="N305" s="40" t="n">
        <v>82.8</v>
      </c>
      <c r="O305" s="40" t="n">
        <v>100</v>
      </c>
      <c r="P305" s="40" t="n">
        <v>0</v>
      </c>
      <c r="Q305" s="46" t="n">
        <v>-100</v>
      </c>
      <c r="R305" s="47" t="n"/>
      <c r="S305" s="47" t="n"/>
      <c r="T305" s="47" t="n"/>
      <c r="U305" s="47" t="n"/>
      <c r="V305" s="47" t="n"/>
      <c r="W305" s="47" t="n"/>
    </row>
    <row r="306" ht="12" customHeight="1">
      <c r="A306" s="30" t="inlineStr">
        <is>
          <t>Porto Real</t>
        </is>
      </c>
      <c r="B306" s="30" t="n">
        <v>79078271</v>
      </c>
      <c r="C306" s="30">
        <f>"11994094000188"</f>
        <v/>
      </c>
      <c r="D306" s="30" t="inlineStr">
        <is>
          <t>HJ MERCADINHO &amp; PEIXARIA LTDA ME</t>
        </is>
      </c>
      <c r="E306" s="40" t="n">
        <v>0</v>
      </c>
      <c r="F306" s="40" t="n">
        <v>0</v>
      </c>
      <c r="G306" s="40" t="n">
        <v>0</v>
      </c>
      <c r="H306" s="40" t="n">
        <v>0</v>
      </c>
      <c r="I306" s="40" t="n">
        <v>0</v>
      </c>
      <c r="J306" s="40" t="n">
        <v>0</v>
      </c>
      <c r="K306" s="40" t="n">
        <v>0</v>
      </c>
      <c r="L306" s="40" t="n">
        <v>0</v>
      </c>
      <c r="M306" s="40" t="n">
        <v>0</v>
      </c>
      <c r="N306" s="40" t="n">
        <v>0</v>
      </c>
      <c r="O306" s="40" t="n">
        <v>0</v>
      </c>
      <c r="P306" s="40" t="n">
        <v>0</v>
      </c>
      <c r="Q306" s="40" t="n">
        <v>0</v>
      </c>
      <c r="R306" s="47" t="n"/>
      <c r="S306" s="47" t="n"/>
      <c r="T306" s="47" t="n"/>
      <c r="U306" s="47" t="n"/>
      <c r="V306" s="47" t="n"/>
      <c r="W306" s="47" t="n"/>
    </row>
    <row r="307" ht="12" customHeight="1">
      <c r="A307" s="30" t="inlineStr">
        <is>
          <t>Porto Real</t>
        </is>
      </c>
      <c r="B307" s="30" t="n">
        <v>79082350</v>
      </c>
      <c r="C307" s="30">
        <f>"12004913000165"</f>
        <v/>
      </c>
      <c r="D307" s="30" t="inlineStr">
        <is>
          <t>THIBER SERVICOS INDUSTRIAIS EIRELI EPP</t>
        </is>
      </c>
      <c r="E307" s="40" t="n">
        <v>0</v>
      </c>
      <c r="F307" s="40" t="n">
        <v>8065.6</v>
      </c>
      <c r="G307" s="40" t="n">
        <v>100</v>
      </c>
      <c r="H307" s="40" t="n">
        <v>40434.53</v>
      </c>
      <c r="I307" s="40" t="n">
        <v>401.32</v>
      </c>
      <c r="J307" s="40" t="n">
        <v>0</v>
      </c>
      <c r="K307" s="46" t="n">
        <v>-100</v>
      </c>
      <c r="L307" s="40" t="n">
        <v>48446.71</v>
      </c>
      <c r="M307" s="40" t="n">
        <v>100</v>
      </c>
      <c r="N307" s="40" t="n">
        <v>0</v>
      </c>
      <c r="O307" s="46" t="n">
        <v>-100</v>
      </c>
      <c r="P307" s="40" t="n">
        <v>0</v>
      </c>
      <c r="Q307" s="40" t="n">
        <v>0</v>
      </c>
      <c r="R307" s="47" t="n"/>
      <c r="S307" s="47" t="n"/>
      <c r="T307" s="47" t="n"/>
      <c r="U307" s="47" t="n"/>
      <c r="V307" s="47" t="n"/>
      <c r="W307" s="47" t="n"/>
    </row>
    <row r="308" ht="12" customHeight="1">
      <c r="A308" s="30" t="inlineStr">
        <is>
          <t>Porto Real</t>
        </is>
      </c>
      <c r="B308" s="30" t="n">
        <v>79111678</v>
      </c>
      <c r="C308" s="30">
        <f>"60157377000504"</f>
        <v/>
      </c>
      <c r="D308" s="30" t="inlineStr">
        <is>
          <t>TRANS WELL S EXPRESSO RODOVIARIO EIRELI</t>
        </is>
      </c>
      <c r="E308" s="40" t="n">
        <v>0</v>
      </c>
      <c r="F308" s="40" t="n">
        <v>0</v>
      </c>
      <c r="G308" s="40" t="n">
        <v>0</v>
      </c>
      <c r="H308" s="40" t="n">
        <v>94.91</v>
      </c>
      <c r="I308" s="40" t="n">
        <v>100</v>
      </c>
      <c r="J308" s="40" t="n">
        <v>138.51</v>
      </c>
      <c r="K308" s="40" t="n">
        <v>45.94</v>
      </c>
      <c r="L308" s="40" t="n">
        <v>0</v>
      </c>
      <c r="M308" s="46" t="n">
        <v>-100</v>
      </c>
      <c r="N308" s="40" t="n">
        <v>0</v>
      </c>
      <c r="O308" s="40" t="n">
        <v>0</v>
      </c>
      <c r="P308" s="40" t="n">
        <v>0</v>
      </c>
      <c r="Q308" s="40" t="n">
        <v>0</v>
      </c>
      <c r="R308" s="47" t="n"/>
      <c r="S308" s="47" t="n"/>
      <c r="T308" s="47" t="n"/>
      <c r="U308" s="47" t="n"/>
      <c r="V308" s="47" t="n"/>
      <c r="W308" s="47" t="n"/>
    </row>
    <row r="309" ht="12" customHeight="1">
      <c r="A309" s="30" t="inlineStr">
        <is>
          <t>Porto Real</t>
        </is>
      </c>
      <c r="B309" s="30" t="n">
        <v>79121320</v>
      </c>
      <c r="C309" s="30">
        <f>"12186855000138"</f>
        <v/>
      </c>
      <c r="D309" s="30" t="inlineStr">
        <is>
          <t>K LOG TRANSPORTES EIRELI</t>
        </is>
      </c>
      <c r="E309" s="40" t="n">
        <v>0</v>
      </c>
      <c r="F309" s="40" t="n">
        <v>3026.61</v>
      </c>
      <c r="G309" s="40" t="n">
        <v>100</v>
      </c>
      <c r="H309" s="40" t="n">
        <v>75148.49000000001</v>
      </c>
      <c r="I309" s="40" t="n">
        <v>2382.93</v>
      </c>
      <c r="J309" s="40" t="n">
        <v>72653.2</v>
      </c>
      <c r="K309" s="46" t="n">
        <v>-3.32</v>
      </c>
      <c r="L309" s="40" t="n">
        <v>57454.38</v>
      </c>
      <c r="M309" s="46" t="n">
        <v>-20.92</v>
      </c>
      <c r="N309" s="40" t="n">
        <v>0</v>
      </c>
      <c r="O309" s="46" t="n">
        <v>-100</v>
      </c>
      <c r="P309" s="40" t="n">
        <v>0</v>
      </c>
      <c r="Q309" s="40" t="n">
        <v>0</v>
      </c>
      <c r="R309" s="47" t="n"/>
      <c r="S309" s="47" t="n"/>
      <c r="T309" s="47" t="n"/>
      <c r="U309" s="47" t="n"/>
      <c r="V309" s="47" t="n"/>
      <c r="W309" s="47" t="n"/>
    </row>
    <row r="310" ht="12" customHeight="1">
      <c r="A310" s="30" t="inlineStr">
        <is>
          <t>Porto Real</t>
        </is>
      </c>
      <c r="B310" s="30" t="n">
        <v>79134961</v>
      </c>
      <c r="C310" s="30">
        <f>"06264796000257"</f>
        <v/>
      </c>
      <c r="D310" s="30" t="inlineStr">
        <is>
          <t>J T TRANSPORTES LTDA ME</t>
        </is>
      </c>
      <c r="E310" s="40" t="n">
        <v>0</v>
      </c>
      <c r="F310" s="40" t="n">
        <v>0</v>
      </c>
      <c r="G310" s="40" t="n">
        <v>0</v>
      </c>
      <c r="H310" s="40" t="n">
        <v>0</v>
      </c>
      <c r="I310" s="40" t="n">
        <v>0</v>
      </c>
      <c r="J310" s="40" t="n">
        <v>0</v>
      </c>
      <c r="K310" s="40" t="n">
        <v>0</v>
      </c>
      <c r="L310" s="40" t="n">
        <v>0</v>
      </c>
      <c r="M310" s="40" t="n">
        <v>0</v>
      </c>
      <c r="N310" s="40" t="n">
        <v>22920.24</v>
      </c>
      <c r="O310" s="40" t="n">
        <v>100</v>
      </c>
      <c r="P310" s="40" t="n">
        <v>41435.07</v>
      </c>
      <c r="Q310" s="40" t="n">
        <v>80.78</v>
      </c>
      <c r="R310" s="47" t="n"/>
      <c r="S310" s="47" t="n"/>
      <c r="T310" s="47" t="n"/>
      <c r="U310" s="47" t="n"/>
      <c r="V310" s="47" t="n"/>
      <c r="W310" s="47" t="n"/>
    </row>
    <row r="311" ht="12" customHeight="1">
      <c r="A311" s="30" t="inlineStr">
        <is>
          <t>Porto Real</t>
        </is>
      </c>
      <c r="B311" s="30" t="n">
        <v>79145149</v>
      </c>
      <c r="C311" s="30">
        <f>"12392614000145"</f>
        <v/>
      </c>
      <c r="D311" s="30" t="inlineStr">
        <is>
          <t>L A MARASSI MERCEARIA LTDA</t>
        </is>
      </c>
      <c r="E311" s="40" t="n">
        <v>2512806</v>
      </c>
      <c r="F311" s="40" t="n">
        <v>3130815.21</v>
      </c>
      <c r="G311" s="40" t="n">
        <v>24.59</v>
      </c>
      <c r="H311" s="40" t="n">
        <v>2816451</v>
      </c>
      <c r="I311" s="46" t="n">
        <v>-10.04</v>
      </c>
      <c r="J311" s="40" t="n">
        <v>3288695.32</v>
      </c>
      <c r="K311" s="40" t="n">
        <v>16.77</v>
      </c>
      <c r="L311" s="40" t="n">
        <v>1065917.37</v>
      </c>
      <c r="M311" s="46" t="n">
        <v>-67.59</v>
      </c>
      <c r="N311" s="40" t="n">
        <v>4177276.58</v>
      </c>
      <c r="O311" s="40" t="n">
        <v>291.89</v>
      </c>
      <c r="P311" s="40" t="n">
        <v>5752072.65</v>
      </c>
      <c r="Q311" s="40" t="n">
        <v>37.7</v>
      </c>
      <c r="R311" s="47" t="n"/>
      <c r="S311" s="47" t="n"/>
      <c r="T311" s="47" t="n"/>
      <c r="U311" s="47" t="n"/>
      <c r="V311" s="47" t="n"/>
      <c r="W311" s="47" t="n"/>
    </row>
    <row r="312" ht="12" customHeight="1">
      <c r="A312" s="30" t="inlineStr">
        <is>
          <t>Porto Real</t>
        </is>
      </c>
      <c r="B312" s="30" t="n">
        <v>79146641</v>
      </c>
      <c r="C312" s="30">
        <f>"60960473001304"</f>
        <v/>
      </c>
      <c r="D312" s="30" t="inlineStr">
        <is>
          <t>RODOGARCIA TRANSPORTES RODOVIARIOS LTDA</t>
        </is>
      </c>
      <c r="E312" s="40" t="n">
        <v>0</v>
      </c>
      <c r="F312" s="40" t="n">
        <v>1950</v>
      </c>
      <c r="G312" s="40" t="n">
        <v>100</v>
      </c>
      <c r="H312" s="40" t="n">
        <v>2583.33</v>
      </c>
      <c r="I312" s="40" t="n">
        <v>32.48</v>
      </c>
      <c r="J312" s="40" t="n">
        <v>0</v>
      </c>
      <c r="K312" s="46" t="n">
        <v>-100</v>
      </c>
      <c r="L312" s="40" t="n">
        <v>760</v>
      </c>
      <c r="M312" s="40" t="n">
        <v>100</v>
      </c>
      <c r="N312" s="40" t="n">
        <v>0</v>
      </c>
      <c r="O312" s="46" t="n">
        <v>-100</v>
      </c>
      <c r="P312" s="40" t="n">
        <v>0</v>
      </c>
      <c r="Q312" s="40" t="n">
        <v>0</v>
      </c>
      <c r="R312" s="47" t="n"/>
      <c r="S312" s="47" t="n"/>
      <c r="T312" s="47" t="n"/>
      <c r="U312" s="47" t="n"/>
      <c r="V312" s="47" t="n"/>
      <c r="W312" s="47" t="n"/>
    </row>
    <row r="313" ht="12" customHeight="1">
      <c r="A313" s="30" t="inlineStr">
        <is>
          <t>Porto Real</t>
        </is>
      </c>
      <c r="B313" s="30" t="n">
        <v>79158836</v>
      </c>
      <c r="C313" s="30">
        <f>"12445480000183"</f>
        <v/>
      </c>
      <c r="D313" s="30" t="inlineStr">
        <is>
          <t>BARRA LOG TRANSPORTES LTDA M E</t>
        </is>
      </c>
      <c r="E313" s="40" t="n">
        <v>0</v>
      </c>
      <c r="F313" s="40" t="n">
        <v>0</v>
      </c>
      <c r="G313" s="40" t="n">
        <v>0</v>
      </c>
      <c r="H313" s="40" t="n">
        <v>0</v>
      </c>
      <c r="I313" s="40" t="n">
        <v>0</v>
      </c>
      <c r="J313" s="40" t="n">
        <v>81.62</v>
      </c>
      <c r="K313" s="40" t="n">
        <v>100</v>
      </c>
      <c r="L313" s="40" t="n">
        <v>0</v>
      </c>
      <c r="M313" s="46" t="n">
        <v>-100</v>
      </c>
      <c r="N313" s="40" t="n">
        <v>2705.71</v>
      </c>
      <c r="O313" s="40" t="n">
        <v>100</v>
      </c>
      <c r="P313" s="40" t="n">
        <v>0</v>
      </c>
      <c r="Q313" s="46" t="n">
        <v>-100</v>
      </c>
      <c r="R313" s="47" t="n"/>
      <c r="S313" s="47" t="n"/>
      <c r="T313" s="47" t="n"/>
      <c r="U313" s="47" t="n"/>
      <c r="V313" s="47" t="n"/>
      <c r="W313" s="47" t="n"/>
    </row>
    <row r="314" ht="12" customHeight="1">
      <c r="A314" s="30" t="inlineStr">
        <is>
          <t>Porto Real</t>
        </is>
      </c>
      <c r="B314" s="30" t="n">
        <v>79177857</v>
      </c>
      <c r="C314" s="30">
        <f>"75627836000705"</f>
        <v/>
      </c>
      <c r="D314" s="30" t="inlineStr">
        <is>
          <t>JALOTO TRANSPORTES LTDA</t>
        </is>
      </c>
      <c r="E314" s="40" t="n">
        <v>143153.72</v>
      </c>
      <c r="F314" s="40" t="n">
        <v>173852.61</v>
      </c>
      <c r="G314" s="40" t="n">
        <v>21.44</v>
      </c>
      <c r="H314" s="40" t="n">
        <v>0</v>
      </c>
      <c r="I314" s="46" t="n">
        <v>-100</v>
      </c>
      <c r="J314" s="40" t="n">
        <v>79147.22</v>
      </c>
      <c r="K314" s="40" t="n">
        <v>100</v>
      </c>
      <c r="L314" s="40" t="n">
        <v>172738.92</v>
      </c>
      <c r="M314" s="40" t="n">
        <v>118.25</v>
      </c>
      <c r="N314" s="40" t="n">
        <v>632355.51</v>
      </c>
      <c r="O314" s="40" t="n">
        <v>266.08</v>
      </c>
      <c r="P314" s="40" t="n">
        <v>512139.21</v>
      </c>
      <c r="Q314" s="46" t="n">
        <v>-19.01</v>
      </c>
      <c r="R314" s="47" t="n"/>
      <c r="S314" s="47" t="n"/>
      <c r="T314" s="47" t="n"/>
      <c r="U314" s="47" t="n"/>
      <c r="V314" s="47" t="n"/>
      <c r="W314" s="47" t="n"/>
    </row>
    <row r="315" ht="12" customHeight="1">
      <c r="A315" s="30" t="inlineStr">
        <is>
          <t>Porto Real</t>
        </is>
      </c>
      <c r="B315" s="30" t="n">
        <v>79208159</v>
      </c>
      <c r="C315" s="30">
        <f>"12539501000120"</f>
        <v/>
      </c>
      <c r="D315" s="30" t="inlineStr">
        <is>
          <t>AUGURI DE PORTO REAL RESTAURANTE LTDA</t>
        </is>
      </c>
      <c r="E315" s="40" t="n">
        <v>0</v>
      </c>
      <c r="F315" s="40" t="n">
        <v>0</v>
      </c>
      <c r="G315" s="40" t="n">
        <v>0</v>
      </c>
      <c r="H315" s="40" t="n">
        <v>0</v>
      </c>
      <c r="I315" s="40" t="n">
        <v>0</v>
      </c>
      <c r="J315" s="40" t="n">
        <v>0</v>
      </c>
      <c r="K315" s="40" t="n">
        <v>0</v>
      </c>
      <c r="L315" s="40" t="n">
        <v>0</v>
      </c>
      <c r="M315" s="40" t="n">
        <v>0</v>
      </c>
      <c r="N315" s="40" t="n">
        <v>0</v>
      </c>
      <c r="O315" s="40" t="n">
        <v>0</v>
      </c>
      <c r="P315" s="40" t="n">
        <v>0</v>
      </c>
      <c r="Q315" s="40" t="n">
        <v>0</v>
      </c>
      <c r="R315" s="47" t="n"/>
      <c r="S315" s="47" t="n"/>
      <c r="T315" s="47" t="n"/>
      <c r="U315" s="47" t="n"/>
      <c r="V315" s="47" t="n"/>
      <c r="W315" s="47" t="n"/>
    </row>
    <row r="316" ht="12" customHeight="1">
      <c r="A316" s="30" t="inlineStr">
        <is>
          <t>Porto Real</t>
        </is>
      </c>
      <c r="B316" s="30" t="n">
        <v>79213160</v>
      </c>
      <c r="C316" s="30">
        <f>"52548435015524"</f>
        <v/>
      </c>
      <c r="D316" s="30" t="inlineStr">
        <is>
          <t>JSL S/A</t>
        </is>
      </c>
      <c r="E316" s="40" t="n">
        <v>94674.06</v>
      </c>
      <c r="F316" s="40" t="n">
        <v>43765.33</v>
      </c>
      <c r="G316" s="46" t="n">
        <v>-53.77</v>
      </c>
      <c r="H316" s="40" t="n">
        <v>0</v>
      </c>
      <c r="I316" s="46" t="n">
        <v>-100</v>
      </c>
      <c r="J316" s="40" t="n">
        <v>133354.99</v>
      </c>
      <c r="K316" s="40" t="n">
        <v>100</v>
      </c>
      <c r="L316" s="40" t="n">
        <v>281511.76</v>
      </c>
      <c r="M316" s="40" t="n">
        <v>111.1</v>
      </c>
      <c r="N316" s="40" t="n">
        <v>306238.03</v>
      </c>
      <c r="O316" s="40" t="n">
        <v>8.779999999999999</v>
      </c>
      <c r="P316" s="40" t="n">
        <v>1629411.37</v>
      </c>
      <c r="Q316" s="40" t="n">
        <v>432.07</v>
      </c>
      <c r="R316" s="47" t="n"/>
      <c r="S316" s="47" t="n"/>
      <c r="T316" s="47" t="n"/>
      <c r="U316" s="47" t="n"/>
      <c r="V316" s="47" t="n"/>
      <c r="W316" s="47" t="n"/>
    </row>
    <row r="317" ht="12" customHeight="1">
      <c r="A317" s="30" t="inlineStr">
        <is>
          <t>Porto Real</t>
        </is>
      </c>
      <c r="B317" s="30" t="n">
        <v>79214043</v>
      </c>
      <c r="C317" s="30">
        <f>"11755795000245"</f>
        <v/>
      </c>
      <c r="D317" s="30" t="inlineStr">
        <is>
          <t>WM TRANSPORTADORA DE COMBUSTIVEL E CARGAS LTDA</t>
        </is>
      </c>
      <c r="E317" s="40" t="n">
        <v>0</v>
      </c>
      <c r="F317" s="40" t="n">
        <v>1081.69</v>
      </c>
      <c r="G317" s="40" t="n">
        <v>100</v>
      </c>
      <c r="H317" s="40" t="n">
        <v>0</v>
      </c>
      <c r="I317" s="46" t="n">
        <v>-100</v>
      </c>
      <c r="J317" s="40" t="n">
        <v>0</v>
      </c>
      <c r="K317" s="40" t="n">
        <v>0</v>
      </c>
      <c r="L317" s="40" t="n">
        <v>0</v>
      </c>
      <c r="M317" s="40" t="n">
        <v>0</v>
      </c>
      <c r="N317" s="40" t="n">
        <v>0</v>
      </c>
      <c r="O317" s="40" t="n">
        <v>0</v>
      </c>
      <c r="P317" s="40" t="n">
        <v>0</v>
      </c>
      <c r="Q317" s="40" t="n">
        <v>0</v>
      </c>
      <c r="R317" s="47" t="n"/>
      <c r="S317" s="47" t="n"/>
      <c r="T317" s="47" t="n"/>
      <c r="U317" s="47" t="n"/>
      <c r="V317" s="47" t="n"/>
      <c r="W317" s="47" t="n"/>
    </row>
    <row r="318" ht="12" customHeight="1">
      <c r="A318" s="30" t="inlineStr">
        <is>
          <t>Porto Real</t>
        </is>
      </c>
      <c r="B318" s="30" t="n">
        <v>79219541</v>
      </c>
      <c r="C318" s="30">
        <f>"52548435009630"</f>
        <v/>
      </c>
      <c r="D318" s="30" t="inlineStr">
        <is>
          <t>JSL S/A</t>
        </is>
      </c>
      <c r="E318" s="40" t="n">
        <v>29646.73</v>
      </c>
      <c r="F318" s="40" t="n">
        <v>99567.94</v>
      </c>
      <c r="G318" s="40" t="n">
        <v>235.85</v>
      </c>
      <c r="H318" s="40" t="n">
        <v>0</v>
      </c>
      <c r="I318" s="46" t="n">
        <v>-100</v>
      </c>
      <c r="J318" s="40" t="n">
        <v>0</v>
      </c>
      <c r="K318" s="40" t="n">
        <v>0</v>
      </c>
      <c r="L318" s="40" t="n">
        <v>0</v>
      </c>
      <c r="M318" s="40" t="n">
        <v>0</v>
      </c>
      <c r="N318" s="40" t="n">
        <v>0</v>
      </c>
      <c r="O318" s="40" t="n">
        <v>0</v>
      </c>
      <c r="P318" s="40" t="n">
        <v>0</v>
      </c>
      <c r="Q318" s="40" t="n">
        <v>0</v>
      </c>
      <c r="R318" s="47" t="n"/>
      <c r="S318" s="47" t="n"/>
      <c r="T318" s="47" t="n"/>
      <c r="U318" s="47" t="n"/>
      <c r="V318" s="47" t="n"/>
      <c r="W318" s="47" t="n"/>
    </row>
    <row r="319" ht="12" customHeight="1">
      <c r="A319" s="30" t="inlineStr">
        <is>
          <t>Porto Real</t>
        </is>
      </c>
      <c r="B319" s="30" t="n">
        <v>79220035</v>
      </c>
      <c r="C319" s="30">
        <f>"12744404000179"</f>
        <v/>
      </c>
      <c r="D319" s="30" t="inlineStr">
        <is>
          <t>MUNDIAL DISTRIBUIDORA DE PRODUTOS DE CONSUMO LTDA</t>
        </is>
      </c>
      <c r="E319" s="40" t="n">
        <v>10106462.89</v>
      </c>
      <c r="F319" s="40" t="n">
        <v>11372724.14</v>
      </c>
      <c r="G319" s="40" t="n">
        <v>12.53</v>
      </c>
      <c r="H319" s="40" t="n">
        <v>10517731.51</v>
      </c>
      <c r="I319" s="46" t="n">
        <v>-7.52</v>
      </c>
      <c r="J319" s="40" t="n">
        <v>0</v>
      </c>
      <c r="K319" s="46" t="n">
        <v>-100</v>
      </c>
      <c r="L319" s="40" t="n">
        <v>0</v>
      </c>
      <c r="M319" s="40" t="n">
        <v>0</v>
      </c>
      <c r="N319" s="40" t="n">
        <v>0</v>
      </c>
      <c r="O319" s="40" t="n">
        <v>0</v>
      </c>
      <c r="P319" s="40" t="n">
        <v>0</v>
      </c>
      <c r="Q319" s="40" t="n">
        <v>0</v>
      </c>
      <c r="R319" s="47" t="n"/>
      <c r="S319" s="47" t="n"/>
      <c r="T319" s="47" t="n"/>
      <c r="U319" s="47" t="n"/>
      <c r="V319" s="47" t="n"/>
      <c r="W319" s="47" t="n"/>
    </row>
    <row r="320" ht="12" customHeight="1">
      <c r="A320" s="30" t="inlineStr">
        <is>
          <t>Porto Real</t>
        </is>
      </c>
      <c r="B320" s="30" t="n">
        <v>79229482</v>
      </c>
      <c r="C320" s="30">
        <f>"00972696000703"</f>
        <v/>
      </c>
      <c r="D320" s="30" t="inlineStr">
        <is>
          <t>V M RAMOS &amp; CIA LTDA</t>
        </is>
      </c>
      <c r="E320" s="40" t="n">
        <v>52</v>
      </c>
      <c r="F320" s="40" t="n">
        <v>0</v>
      </c>
      <c r="G320" s="46" t="n">
        <v>-100</v>
      </c>
      <c r="H320" s="40" t="n">
        <v>0</v>
      </c>
      <c r="I320" s="40" t="n">
        <v>0</v>
      </c>
      <c r="J320" s="40" t="n">
        <v>0</v>
      </c>
      <c r="K320" s="40" t="n">
        <v>0</v>
      </c>
      <c r="L320" s="40" t="n">
        <v>0</v>
      </c>
      <c r="M320" s="40" t="n">
        <v>0</v>
      </c>
      <c r="N320" s="40" t="n">
        <v>788310.47</v>
      </c>
      <c r="O320" s="40" t="n">
        <v>100</v>
      </c>
      <c r="P320" s="40" t="n">
        <v>1230117.06</v>
      </c>
      <c r="Q320" s="40" t="n">
        <v>56.04</v>
      </c>
      <c r="R320" s="47" t="n"/>
      <c r="S320" s="47" t="n"/>
      <c r="T320" s="47" t="n"/>
      <c r="U320" s="47" t="n"/>
      <c r="V320" s="47" t="n"/>
      <c r="W320" s="47" t="n"/>
    </row>
    <row r="321" ht="12" customHeight="1">
      <c r="A321" s="30" t="inlineStr">
        <is>
          <t>Porto Real</t>
        </is>
      </c>
      <c r="B321" s="30" t="n">
        <v>79249386</v>
      </c>
      <c r="C321" s="30">
        <f>"04070247000135"</f>
        <v/>
      </c>
      <c r="D321" s="30" t="inlineStr">
        <is>
          <t>VIXGAS EIRELI</t>
        </is>
      </c>
      <c r="E321" s="40" t="n">
        <v>0</v>
      </c>
      <c r="F321" s="40" t="n">
        <v>0</v>
      </c>
      <c r="G321" s="40" t="n">
        <v>0</v>
      </c>
      <c r="H321" s="40" t="n">
        <v>428146.4</v>
      </c>
      <c r="I321" s="40" t="n">
        <v>100</v>
      </c>
      <c r="J321" s="40" t="n">
        <v>381447</v>
      </c>
      <c r="K321" s="46" t="n">
        <v>-10.91</v>
      </c>
      <c r="L321" s="40" t="n">
        <v>0</v>
      </c>
      <c r="M321" s="46" t="n">
        <v>-100</v>
      </c>
      <c r="N321" s="40" t="n">
        <v>0</v>
      </c>
      <c r="O321" s="40" t="n">
        <v>0</v>
      </c>
      <c r="P321" s="40" t="n">
        <v>0</v>
      </c>
      <c r="Q321" s="40" t="n">
        <v>0</v>
      </c>
      <c r="R321" s="47" t="n"/>
      <c r="S321" s="47" t="n"/>
      <c r="T321" s="47" t="n"/>
      <c r="U321" s="47" t="n"/>
      <c r="V321" s="47" t="n"/>
      <c r="W321" s="47" t="n"/>
    </row>
    <row r="322" ht="12" customHeight="1">
      <c r="A322" s="30" t="inlineStr">
        <is>
          <t>Porto Real</t>
        </is>
      </c>
      <c r="B322" s="30" t="n">
        <v>79259730</v>
      </c>
      <c r="C322" s="30">
        <f>"07677731000549"</f>
        <v/>
      </c>
      <c r="D322" s="30" t="inlineStr">
        <is>
          <t>AUTOPORT TRANSPORTES E LOGISTICA LTDA</t>
        </is>
      </c>
      <c r="E322" s="40" t="n">
        <v>19768857.26</v>
      </c>
      <c r="F322" s="40" t="n">
        <v>17766569.04</v>
      </c>
      <c r="G322" s="46" t="n">
        <v>-10.13</v>
      </c>
      <c r="H322" s="40" t="n">
        <v>19268491.64</v>
      </c>
      <c r="I322" s="40" t="n">
        <v>8.449999999999999</v>
      </c>
      <c r="J322" s="40" t="n">
        <v>12219319.41</v>
      </c>
      <c r="K322" s="46" t="n">
        <v>-36.58</v>
      </c>
      <c r="L322" s="40" t="n">
        <v>30590011.77</v>
      </c>
      <c r="M322" s="40" t="n">
        <v>150.34</v>
      </c>
      <c r="N322" s="40" t="n">
        <v>66861640.17</v>
      </c>
      <c r="O322" s="40" t="n">
        <v>118.57</v>
      </c>
      <c r="P322" s="40" t="n">
        <v>43800954.77</v>
      </c>
      <c r="Q322" s="46" t="n">
        <v>-34.49</v>
      </c>
      <c r="R322" s="47" t="n"/>
      <c r="S322" s="47" t="n"/>
      <c r="T322" s="47" t="n"/>
      <c r="U322" s="47" t="n"/>
      <c r="V322" s="47" t="n"/>
      <c r="W322" s="47" t="n"/>
    </row>
    <row r="323" ht="12" customHeight="1">
      <c r="A323" s="30" t="inlineStr">
        <is>
          <t>Porto Real</t>
        </is>
      </c>
      <c r="B323" s="30" t="n">
        <v>79274321</v>
      </c>
      <c r="C323" s="30">
        <f>"13019479000150"</f>
        <v/>
      </c>
      <c r="D323" s="30" t="inlineStr">
        <is>
          <t>LINOS EXPRESS TRANSPORTES LTDA ME</t>
        </is>
      </c>
      <c r="E323" s="40" t="n">
        <v>0</v>
      </c>
      <c r="F323" s="40" t="n">
        <v>0</v>
      </c>
      <c r="G323" s="40" t="n">
        <v>0</v>
      </c>
      <c r="H323" s="40" t="n">
        <v>0</v>
      </c>
      <c r="I323" s="40" t="n">
        <v>0</v>
      </c>
      <c r="J323" s="40" t="n">
        <v>0</v>
      </c>
      <c r="K323" s="40" t="n">
        <v>0</v>
      </c>
      <c r="L323" s="40" t="n">
        <v>0</v>
      </c>
      <c r="M323" s="40" t="n">
        <v>0</v>
      </c>
      <c r="N323" s="40" t="n">
        <v>39.5</v>
      </c>
      <c r="O323" s="40" t="n">
        <v>100</v>
      </c>
      <c r="P323" s="40" t="n">
        <v>0.01</v>
      </c>
      <c r="Q323" s="46" t="n">
        <v>-99.97</v>
      </c>
      <c r="R323" s="47" t="n"/>
      <c r="S323" s="47" t="n"/>
      <c r="T323" s="47" t="n"/>
      <c r="U323" s="47" t="n"/>
      <c r="V323" s="47" t="n"/>
      <c r="W323" s="47" t="n"/>
    </row>
    <row r="324" ht="12" customHeight="1">
      <c r="A324" s="30" t="inlineStr">
        <is>
          <t>Porto Real</t>
        </is>
      </c>
      <c r="B324" s="30" t="n">
        <v>79280178</v>
      </c>
      <c r="C324" s="30">
        <f>"13114148000107"</f>
        <v/>
      </c>
      <c r="D324" s="30" t="inlineStr">
        <is>
          <t>TRANSPAX ARMAZENS GERAIS LTDA</t>
        </is>
      </c>
      <c r="E324" s="40" t="n">
        <v>870926.83</v>
      </c>
      <c r="F324" s="40" t="n">
        <v>796826.53</v>
      </c>
      <c r="G324" s="46" t="n">
        <v>-8.51</v>
      </c>
      <c r="H324" s="40" t="n">
        <v>349824.03</v>
      </c>
      <c r="I324" s="46" t="n">
        <v>-56.1</v>
      </c>
      <c r="J324" s="40" t="n">
        <v>242025.63</v>
      </c>
      <c r="K324" s="46" t="n">
        <v>-30.82</v>
      </c>
      <c r="L324" s="40" t="n">
        <v>663704.6</v>
      </c>
      <c r="M324" s="40" t="n">
        <v>174.23</v>
      </c>
      <c r="N324" s="40" t="n">
        <v>2132444.75</v>
      </c>
      <c r="O324" s="40" t="n">
        <v>221.29</v>
      </c>
      <c r="P324" s="40" t="n">
        <v>241888.48</v>
      </c>
      <c r="Q324" s="46" t="n">
        <v>-88.66</v>
      </c>
      <c r="R324" s="47" t="n"/>
      <c r="S324" s="47" t="n"/>
      <c r="T324" s="47" t="n"/>
      <c r="U324" s="47" t="n"/>
      <c r="V324" s="47" t="n"/>
      <c r="W324" s="47" t="n"/>
    </row>
    <row r="325" ht="12" customHeight="1">
      <c r="A325" s="30" t="inlineStr">
        <is>
          <t>Porto Real</t>
        </is>
      </c>
      <c r="B325" s="30" t="n">
        <v>79285668</v>
      </c>
      <c r="C325" s="30">
        <f>"13108419000103"</f>
        <v/>
      </c>
      <c r="D325" s="30" t="inlineStr">
        <is>
          <t>ANDRISSULL TRANSPORTES LTDA</t>
        </is>
      </c>
      <c r="E325" s="40" t="n">
        <v>0</v>
      </c>
      <c r="F325" s="40" t="n">
        <v>0</v>
      </c>
      <c r="G325" s="40" t="n">
        <v>0</v>
      </c>
      <c r="H325" s="40" t="n">
        <v>0</v>
      </c>
      <c r="I325" s="40" t="n">
        <v>0</v>
      </c>
      <c r="J325" s="40" t="n">
        <v>0</v>
      </c>
      <c r="K325" s="40" t="n">
        <v>0</v>
      </c>
      <c r="L325" s="40" t="n">
        <v>0</v>
      </c>
      <c r="M325" s="40" t="n">
        <v>0</v>
      </c>
      <c r="N325" s="40" t="n">
        <v>0</v>
      </c>
      <c r="O325" s="40" t="n">
        <v>0</v>
      </c>
      <c r="P325" s="40" t="n">
        <v>0</v>
      </c>
      <c r="Q325" s="40" t="n">
        <v>0</v>
      </c>
      <c r="R325" s="47" t="n"/>
      <c r="S325" s="47" t="n"/>
      <c r="T325" s="47" t="n"/>
      <c r="U325" s="47" t="n"/>
      <c r="V325" s="47" t="n"/>
      <c r="W325" s="47" t="n"/>
    </row>
    <row r="326" ht="12" customHeight="1">
      <c r="A326" s="30" t="inlineStr">
        <is>
          <t>Porto Real</t>
        </is>
      </c>
      <c r="B326" s="30" t="n">
        <v>79287415</v>
      </c>
      <c r="C326" s="30">
        <f>"10982448000292"</f>
        <v/>
      </c>
      <c r="D326" s="30" t="inlineStr">
        <is>
          <t>RODOLEVE TRANSPORTES LTDA ME</t>
        </is>
      </c>
      <c r="E326" s="40" t="n">
        <v>0</v>
      </c>
      <c r="F326" s="40" t="n">
        <v>0.01</v>
      </c>
      <c r="G326" s="40" t="n">
        <v>100</v>
      </c>
      <c r="H326" s="40" t="n">
        <v>1</v>
      </c>
      <c r="I326" s="40" t="n">
        <v>9900</v>
      </c>
      <c r="J326" s="40" t="n">
        <v>0</v>
      </c>
      <c r="K326" s="46" t="n">
        <v>-100</v>
      </c>
      <c r="L326" s="40" t="n">
        <v>0</v>
      </c>
      <c r="M326" s="40" t="n">
        <v>0</v>
      </c>
      <c r="N326" s="40" t="n">
        <v>0</v>
      </c>
      <c r="O326" s="40" t="n">
        <v>0</v>
      </c>
      <c r="P326" s="40" t="n">
        <v>0</v>
      </c>
      <c r="Q326" s="40" t="n">
        <v>0</v>
      </c>
      <c r="R326" s="47" t="n"/>
      <c r="S326" s="47" t="n"/>
      <c r="T326" s="47" t="n"/>
      <c r="U326" s="47" t="n"/>
      <c r="V326" s="47" t="n"/>
      <c r="W326" s="47" t="n"/>
    </row>
    <row r="327" ht="12" customHeight="1">
      <c r="A327" s="30" t="inlineStr">
        <is>
          <t>Porto Real</t>
        </is>
      </c>
      <c r="B327" s="30" t="n">
        <v>79294144</v>
      </c>
      <c r="C327" s="30">
        <f>"13205759000152"</f>
        <v/>
      </c>
      <c r="D327" s="30" t="inlineStr">
        <is>
          <t>JLF BM TRANSPORTES LTDA ME</t>
        </is>
      </c>
      <c r="E327" s="40" t="n">
        <v>1096145.92</v>
      </c>
      <c r="F327" s="40" t="n">
        <v>1059042.14</v>
      </c>
      <c r="G327" s="46" t="n">
        <v>-3.38</v>
      </c>
      <c r="H327" s="40" t="n">
        <v>0</v>
      </c>
      <c r="I327" s="46" t="n">
        <v>-100</v>
      </c>
      <c r="J327" s="40" t="n">
        <v>0</v>
      </c>
      <c r="K327" s="40" t="n">
        <v>0</v>
      </c>
      <c r="L327" s="40" t="n">
        <v>0</v>
      </c>
      <c r="M327" s="40" t="n">
        <v>0</v>
      </c>
      <c r="N327" s="40" t="n">
        <v>0</v>
      </c>
      <c r="O327" s="40" t="n">
        <v>0</v>
      </c>
      <c r="P327" s="40" t="n">
        <v>0</v>
      </c>
      <c r="Q327" s="40" t="n">
        <v>0</v>
      </c>
      <c r="R327" s="47" t="n"/>
      <c r="S327" s="47" t="n"/>
      <c r="T327" s="47" t="n"/>
      <c r="U327" s="47" t="n"/>
      <c r="V327" s="47" t="n"/>
      <c r="W327" s="47" t="n"/>
    </row>
    <row r="328" ht="12" customHeight="1">
      <c r="A328" s="30" t="inlineStr">
        <is>
          <t>Porto Real</t>
        </is>
      </c>
      <c r="B328" s="30" t="n">
        <v>79312851</v>
      </c>
      <c r="C328" s="30">
        <f>"13285658000139"</f>
        <v/>
      </c>
      <c r="D328" s="30" t="inlineStr">
        <is>
          <t>MILLER INDUSTRIA MECANICA LTDA ME</t>
        </is>
      </c>
      <c r="E328" s="40" t="n">
        <v>798278.02</v>
      </c>
      <c r="F328" s="40" t="n">
        <v>1134912.27</v>
      </c>
      <c r="G328" s="40" t="n">
        <v>42.17</v>
      </c>
      <c r="H328" s="40" t="n">
        <v>16430.72</v>
      </c>
      <c r="I328" s="46" t="n">
        <v>-98.55</v>
      </c>
      <c r="J328" s="40" t="n">
        <v>857722.5699999999</v>
      </c>
      <c r="K328" s="40" t="n">
        <v>5120.24</v>
      </c>
      <c r="L328" s="40" t="n">
        <v>3452835.16</v>
      </c>
      <c r="M328" s="40" t="n">
        <v>302.56</v>
      </c>
      <c r="N328" s="40" t="n">
        <v>4051494.95</v>
      </c>
      <c r="O328" s="40" t="n">
        <v>17.34</v>
      </c>
      <c r="P328" s="40" t="n">
        <v>5661591.81</v>
      </c>
      <c r="Q328" s="40" t="n">
        <v>39.74</v>
      </c>
      <c r="R328" s="47" t="n"/>
      <c r="S328" s="47" t="n"/>
      <c r="T328" s="47" t="n"/>
      <c r="U328" s="47" t="n"/>
      <c r="V328" s="47" t="n"/>
      <c r="W328" s="47" t="n"/>
    </row>
    <row r="329" ht="12" customHeight="1">
      <c r="A329" s="30" t="inlineStr">
        <is>
          <t>Porto Real</t>
        </is>
      </c>
      <c r="B329" s="30" t="n">
        <v>79317250</v>
      </c>
      <c r="C329" s="30">
        <f>"13113988000147"</f>
        <v/>
      </c>
      <c r="D329" s="30" t="inlineStr">
        <is>
          <t>AMS EMPREENDIMENTOS E INCORPORACOES EIRELI EPP</t>
        </is>
      </c>
      <c r="E329" s="40" t="n">
        <v>0</v>
      </c>
      <c r="F329" s="40" t="n">
        <v>0</v>
      </c>
      <c r="G329" s="40" t="n">
        <v>0</v>
      </c>
      <c r="H329" s="40" t="n">
        <v>0</v>
      </c>
      <c r="I329" s="40" t="n">
        <v>0</v>
      </c>
      <c r="J329" s="40" t="n">
        <v>0</v>
      </c>
      <c r="K329" s="40" t="n">
        <v>0</v>
      </c>
      <c r="L329" s="40" t="n">
        <v>0</v>
      </c>
      <c r="M329" s="40" t="n">
        <v>0</v>
      </c>
      <c r="N329" s="40" t="n">
        <v>0</v>
      </c>
      <c r="O329" s="40" t="n">
        <v>0</v>
      </c>
      <c r="P329" s="40" t="n">
        <v>0</v>
      </c>
      <c r="Q329" s="40" t="n">
        <v>0</v>
      </c>
      <c r="R329" s="47" t="n"/>
      <c r="S329" s="47" t="n"/>
      <c r="T329" s="47" t="n"/>
      <c r="U329" s="47" t="n"/>
      <c r="V329" s="47" t="n"/>
      <c r="W329" s="47" t="n"/>
    </row>
    <row r="330" ht="12" customHeight="1">
      <c r="A330" s="30" t="inlineStr">
        <is>
          <t>Porto Real</t>
        </is>
      </c>
      <c r="B330" s="30" t="n">
        <v>79329797</v>
      </c>
      <c r="C330" s="30">
        <f>"03615415000753"</f>
        <v/>
      </c>
      <c r="D330" s="30" t="inlineStr">
        <is>
          <t>CTS - COOPERATIVA DE TRANSPORTES DE SOROCABA E REGIAO</t>
        </is>
      </c>
      <c r="E330" s="40" t="n">
        <v>1380.19</v>
      </c>
      <c r="F330" s="40" t="n">
        <v>0</v>
      </c>
      <c r="G330" s="46" t="n">
        <v>-100</v>
      </c>
      <c r="H330" s="40" t="n">
        <v>0</v>
      </c>
      <c r="I330" s="40" t="n">
        <v>0</v>
      </c>
      <c r="J330" s="40" t="n">
        <v>0</v>
      </c>
      <c r="K330" s="40" t="n">
        <v>0</v>
      </c>
      <c r="L330" s="40" t="n">
        <v>0</v>
      </c>
      <c r="M330" s="40" t="n">
        <v>0</v>
      </c>
      <c r="N330" s="40" t="n">
        <v>0</v>
      </c>
      <c r="O330" s="40" t="n">
        <v>0</v>
      </c>
      <c r="P330" s="40" t="n">
        <v>0</v>
      </c>
      <c r="Q330" s="40" t="n">
        <v>0</v>
      </c>
      <c r="R330" s="47" t="n"/>
      <c r="S330" s="47" t="n"/>
      <c r="T330" s="47" t="n"/>
      <c r="U330" s="47" t="n"/>
      <c r="V330" s="47" t="n"/>
      <c r="W330" s="47" t="n"/>
    </row>
    <row r="331" ht="12" customHeight="1">
      <c r="A331" s="30" t="inlineStr">
        <is>
          <t>Porto Real</t>
        </is>
      </c>
      <c r="B331" s="30" t="n">
        <v>79338931</v>
      </c>
      <c r="C331" s="30">
        <f>"13461436000120"</f>
        <v/>
      </c>
      <c r="D331" s="30" t="inlineStr">
        <is>
          <t>AUDAX LOGISTICA TRANSPORTES &amp; TURISMO LTDA</t>
        </is>
      </c>
      <c r="E331" s="40" t="n">
        <v>0</v>
      </c>
      <c r="F331" s="40" t="n">
        <v>0</v>
      </c>
      <c r="G331" s="40" t="n">
        <v>0</v>
      </c>
      <c r="H331" s="40" t="n">
        <v>0</v>
      </c>
      <c r="I331" s="40" t="n">
        <v>0</v>
      </c>
      <c r="J331" s="40" t="n">
        <v>0</v>
      </c>
      <c r="K331" s="40" t="n">
        <v>0</v>
      </c>
      <c r="L331" s="40" t="n">
        <v>1396.8</v>
      </c>
      <c r="M331" s="40" t="n">
        <v>100</v>
      </c>
      <c r="N331" s="40" t="n">
        <v>0</v>
      </c>
      <c r="O331" s="46" t="n">
        <v>-100</v>
      </c>
      <c r="P331" s="40" t="n">
        <v>0</v>
      </c>
      <c r="Q331" s="40" t="n">
        <v>0</v>
      </c>
      <c r="R331" s="47" t="n"/>
      <c r="S331" s="47" t="n"/>
      <c r="T331" s="47" t="n"/>
      <c r="U331" s="47" t="n"/>
      <c r="V331" s="47" t="n"/>
      <c r="W331" s="47" t="n"/>
    </row>
    <row r="332" ht="12" customHeight="1">
      <c r="A332" s="30" t="inlineStr">
        <is>
          <t>Porto Real</t>
        </is>
      </c>
      <c r="B332" s="30" t="n">
        <v>79345091</v>
      </c>
      <c r="C332" s="30">
        <f>"48740351012252"</f>
        <v/>
      </c>
      <c r="D332" s="30" t="inlineStr">
        <is>
          <t>BRASPRESS TRANSPORTES URGENTES LTDA</t>
        </is>
      </c>
      <c r="E332" s="40" t="n">
        <v>0</v>
      </c>
      <c r="F332" s="40" t="n">
        <v>715.64</v>
      </c>
      <c r="G332" s="40" t="n">
        <v>100</v>
      </c>
      <c r="H332" s="40" t="n">
        <v>490.12</v>
      </c>
      <c r="I332" s="46" t="n">
        <v>-31.51</v>
      </c>
      <c r="J332" s="40" t="n">
        <v>494.36</v>
      </c>
      <c r="K332" s="40" t="n">
        <v>0.87</v>
      </c>
      <c r="L332" s="40" t="n">
        <v>91.58</v>
      </c>
      <c r="M332" s="46" t="n">
        <v>-81.48</v>
      </c>
      <c r="N332" s="40" t="n">
        <v>17791.93</v>
      </c>
      <c r="O332" s="40" t="n">
        <v>19327.75</v>
      </c>
      <c r="P332" s="40" t="n">
        <v>21327.66</v>
      </c>
      <c r="Q332" s="40" t="n">
        <v>19.87</v>
      </c>
      <c r="R332" s="47" t="n"/>
      <c r="S332" s="47" t="n"/>
      <c r="T332" s="47" t="n"/>
      <c r="U332" s="47" t="n"/>
      <c r="V332" s="47" t="n"/>
      <c r="W332" s="47" t="n"/>
    </row>
    <row r="333" ht="12" customHeight="1">
      <c r="A333" s="30" t="inlineStr">
        <is>
          <t>Porto Real</t>
        </is>
      </c>
      <c r="B333" s="30" t="n">
        <v>79349186</v>
      </c>
      <c r="C333" s="30">
        <f>"05999296000381"</f>
        <v/>
      </c>
      <c r="D333" s="30" t="inlineStr">
        <is>
          <t>MTB-INTERNATIONAL LTDA</t>
        </is>
      </c>
      <c r="E333" s="40" t="n">
        <v>472197.49</v>
      </c>
      <c r="F333" s="40" t="n">
        <v>171020.18</v>
      </c>
      <c r="G333" s="46" t="n">
        <v>-63.78</v>
      </c>
      <c r="H333" s="40" t="n">
        <v>0</v>
      </c>
      <c r="I333" s="46" t="n">
        <v>-100</v>
      </c>
      <c r="J333" s="40" t="n">
        <v>0</v>
      </c>
      <c r="K333" s="40" t="n">
        <v>0</v>
      </c>
      <c r="L333" s="40" t="n">
        <v>0</v>
      </c>
      <c r="M333" s="40" t="n">
        <v>0</v>
      </c>
      <c r="N333" s="40" t="n">
        <v>0</v>
      </c>
      <c r="O333" s="40" t="n">
        <v>0</v>
      </c>
      <c r="P333" s="40" t="n">
        <v>0</v>
      </c>
      <c r="Q333" s="40" t="n">
        <v>0</v>
      </c>
      <c r="R333" s="47" t="n"/>
      <c r="S333" s="47" t="n"/>
      <c r="T333" s="47" t="n"/>
      <c r="U333" s="47" t="n"/>
      <c r="V333" s="47" t="n"/>
      <c r="W333" s="47" t="n"/>
    </row>
    <row r="334" ht="12" customHeight="1">
      <c r="A334" s="30" t="inlineStr">
        <is>
          <t>Porto Real</t>
        </is>
      </c>
      <c r="B334" s="30" t="n">
        <v>79358630</v>
      </c>
      <c r="C334" s="30">
        <f>"08022054000160"</f>
        <v/>
      </c>
      <c r="D334" s="30" t="inlineStr">
        <is>
          <t>OSTARA TELECOMUNICACOES LTDA</t>
        </is>
      </c>
      <c r="E334" s="40" t="n">
        <v>0</v>
      </c>
      <c r="F334" s="40" t="n">
        <v>0</v>
      </c>
      <c r="G334" s="40" t="n">
        <v>0</v>
      </c>
      <c r="H334" s="40" t="n">
        <v>0</v>
      </c>
      <c r="I334" s="40" t="n">
        <v>0</v>
      </c>
      <c r="J334" s="40" t="n">
        <v>208.96</v>
      </c>
      <c r="K334" s="40" t="n">
        <v>100</v>
      </c>
      <c r="L334" s="40" t="n">
        <v>0</v>
      </c>
      <c r="M334" s="46" t="n">
        <v>-100</v>
      </c>
      <c r="N334" s="40" t="n">
        <v>0</v>
      </c>
      <c r="O334" s="40" t="n">
        <v>0</v>
      </c>
      <c r="P334" s="40" t="n">
        <v>0</v>
      </c>
      <c r="Q334" s="40" t="n">
        <v>0</v>
      </c>
      <c r="R334" s="47" t="n"/>
      <c r="S334" s="47" t="n"/>
      <c r="T334" s="47" t="n"/>
      <c r="U334" s="47" t="n"/>
      <c r="V334" s="47" t="n"/>
      <c r="W334" s="47" t="n"/>
    </row>
    <row r="335" ht="12" customHeight="1">
      <c r="A335" s="30" t="inlineStr">
        <is>
          <t>Porto Real</t>
        </is>
      </c>
      <c r="B335" s="30" t="n">
        <v>79360651</v>
      </c>
      <c r="C335" s="30">
        <f>"19451038003477"</f>
        <v/>
      </c>
      <c r="D335" s="30" t="inlineStr">
        <is>
          <t>RODOVIARIO CAMILO DOS SANTOS FILHO LTDA</t>
        </is>
      </c>
      <c r="E335" s="40" t="n">
        <v>36543.97</v>
      </c>
      <c r="F335" s="40" t="n">
        <v>4071.55</v>
      </c>
      <c r="G335" s="46" t="n">
        <v>-88.86</v>
      </c>
      <c r="H335" s="40" t="n">
        <v>1056.4</v>
      </c>
      <c r="I335" s="46" t="n">
        <v>-74.05</v>
      </c>
      <c r="J335" s="40" t="n">
        <v>0</v>
      </c>
      <c r="K335" s="46" t="n">
        <v>-100</v>
      </c>
      <c r="L335" s="40" t="n">
        <v>0</v>
      </c>
      <c r="M335" s="40" t="n">
        <v>0</v>
      </c>
      <c r="N335" s="40" t="n">
        <v>0</v>
      </c>
      <c r="O335" s="40" t="n">
        <v>0</v>
      </c>
      <c r="P335" s="40" t="n">
        <v>1551.76</v>
      </c>
      <c r="Q335" s="40" t="n">
        <v>100</v>
      </c>
      <c r="R335" s="47" t="n"/>
      <c r="S335" s="47" t="n"/>
      <c r="T335" s="47" t="n"/>
      <c r="U335" s="47" t="n"/>
      <c r="V335" s="47" t="n"/>
      <c r="W335" s="47" t="n"/>
    </row>
    <row r="336" ht="12" customHeight="1">
      <c r="A336" s="30" t="inlineStr">
        <is>
          <t>Porto Real</t>
        </is>
      </c>
      <c r="B336" s="30" t="n">
        <v>79373095</v>
      </c>
      <c r="C336" s="30">
        <f>"13647980000160"</f>
        <v/>
      </c>
      <c r="D336" s="30" t="inlineStr">
        <is>
          <t>PROGRESSO ARMAZENS E LOGISTICA EIRELI EPP</t>
        </is>
      </c>
      <c r="E336" s="40" t="n">
        <v>0</v>
      </c>
      <c r="F336" s="40" t="n">
        <v>102712.25</v>
      </c>
      <c r="G336" s="40" t="n">
        <v>100</v>
      </c>
      <c r="H336" s="40" t="n">
        <v>30722.93</v>
      </c>
      <c r="I336" s="46" t="n">
        <v>-70.09</v>
      </c>
      <c r="J336" s="40" t="n">
        <v>34440.96</v>
      </c>
      <c r="K336" s="40" t="n">
        <v>12.1</v>
      </c>
      <c r="L336" s="40" t="n">
        <v>0</v>
      </c>
      <c r="M336" s="46" t="n">
        <v>-100</v>
      </c>
      <c r="N336" s="40" t="n">
        <v>0</v>
      </c>
      <c r="O336" s="40" t="n">
        <v>0</v>
      </c>
      <c r="P336" s="40" t="n">
        <v>0</v>
      </c>
      <c r="Q336" s="40" t="n">
        <v>0</v>
      </c>
      <c r="R336" s="47" t="n"/>
      <c r="S336" s="47" t="n"/>
      <c r="T336" s="47" t="n"/>
      <c r="U336" s="47" t="n"/>
      <c r="V336" s="47" t="n"/>
      <c r="W336" s="47" t="n"/>
    </row>
    <row r="337" ht="12" customHeight="1">
      <c r="A337" s="30" t="inlineStr">
        <is>
          <t>Porto Real</t>
        </is>
      </c>
      <c r="B337" s="30" t="n">
        <v>79374792</v>
      </c>
      <c r="C337" s="30">
        <f>"13656859000103"</f>
        <v/>
      </c>
      <c r="D337" s="30" t="inlineStr">
        <is>
          <t>RESTAURANTE CARVALHO&amp;PINESCHI LTDA ME</t>
        </is>
      </c>
      <c r="E337" s="40" t="n">
        <v>0</v>
      </c>
      <c r="F337" s="40" t="n">
        <v>0</v>
      </c>
      <c r="G337" s="40" t="n">
        <v>0</v>
      </c>
      <c r="H337" s="40" t="n">
        <v>0</v>
      </c>
      <c r="I337" s="40" t="n">
        <v>0</v>
      </c>
      <c r="J337" s="40" t="n">
        <v>0</v>
      </c>
      <c r="K337" s="40" t="n">
        <v>0</v>
      </c>
      <c r="L337" s="40" t="n">
        <v>0</v>
      </c>
      <c r="M337" s="40" t="n">
        <v>0</v>
      </c>
      <c r="N337" s="40" t="n">
        <v>0</v>
      </c>
      <c r="O337" s="40" t="n">
        <v>0</v>
      </c>
      <c r="P337" s="40" t="n">
        <v>0</v>
      </c>
      <c r="Q337" s="40" t="n">
        <v>0</v>
      </c>
      <c r="R337" s="47" t="n"/>
      <c r="S337" s="47" t="n"/>
      <c r="T337" s="47" t="n"/>
      <c r="U337" s="47" t="n"/>
      <c r="V337" s="47" t="n"/>
      <c r="W337" s="47" t="n"/>
    </row>
    <row r="338" ht="12" customHeight="1">
      <c r="A338" s="30" t="inlineStr">
        <is>
          <t>Porto Real</t>
        </is>
      </c>
      <c r="B338" s="30" t="n">
        <v>79395595</v>
      </c>
      <c r="C338" s="30">
        <f>"13725103000160"</f>
        <v/>
      </c>
      <c r="D338" s="30" t="inlineStr">
        <is>
          <t>INTALOG LOGISTICA TRANSPORTES LTDA</t>
        </is>
      </c>
      <c r="E338" s="40" t="n">
        <v>757363.42</v>
      </c>
      <c r="F338" s="40" t="n">
        <v>721256.23</v>
      </c>
      <c r="G338" s="46" t="n">
        <v>-4.77</v>
      </c>
      <c r="H338" s="40" t="n">
        <v>156179.82</v>
      </c>
      <c r="I338" s="46" t="n">
        <v>-78.34999999999999</v>
      </c>
      <c r="J338" s="40" t="n">
        <v>0</v>
      </c>
      <c r="K338" s="46" t="n">
        <v>-100</v>
      </c>
      <c r="L338" s="40" t="n">
        <v>4390.14</v>
      </c>
      <c r="M338" s="40" t="n">
        <v>100</v>
      </c>
      <c r="N338" s="40" t="n">
        <v>0</v>
      </c>
      <c r="O338" s="46" t="n">
        <v>-100</v>
      </c>
      <c r="P338" s="40" t="n">
        <v>7709.23</v>
      </c>
      <c r="Q338" s="40" t="n">
        <v>100</v>
      </c>
      <c r="R338" s="47" t="n"/>
      <c r="S338" s="47" t="n"/>
      <c r="T338" s="47" t="n"/>
      <c r="U338" s="47" t="n"/>
      <c r="V338" s="47" t="n"/>
      <c r="W338" s="47" t="n"/>
    </row>
    <row r="339" ht="12" customHeight="1">
      <c r="A339" s="30" t="inlineStr">
        <is>
          <t>Porto Real</t>
        </is>
      </c>
      <c r="B339" s="30" t="n">
        <v>79402605</v>
      </c>
      <c r="C339" s="30">
        <f>"13742011000199"</f>
        <v/>
      </c>
      <c r="D339" s="30" t="inlineStr">
        <is>
          <t>TRANSLUC TRANSPORTES E SERVICOS EIRELI EPP</t>
        </is>
      </c>
      <c r="E339" s="40" t="n">
        <v>16887</v>
      </c>
      <c r="F339" s="40" t="n">
        <v>272189.52</v>
      </c>
      <c r="G339" s="40" t="n">
        <v>1511.83</v>
      </c>
      <c r="H339" s="40" t="n">
        <v>315999.69</v>
      </c>
      <c r="I339" s="40" t="n">
        <v>16.1</v>
      </c>
      <c r="J339" s="40" t="n">
        <v>356607.77</v>
      </c>
      <c r="K339" s="40" t="n">
        <v>12.85</v>
      </c>
      <c r="L339" s="40" t="n">
        <v>431164.35</v>
      </c>
      <c r="M339" s="40" t="n">
        <v>20.91</v>
      </c>
      <c r="N339" s="40" t="n">
        <v>366184.4</v>
      </c>
      <c r="O339" s="46" t="n">
        <v>-15.07</v>
      </c>
      <c r="P339" s="40" t="n">
        <v>0</v>
      </c>
      <c r="Q339" s="46" t="n">
        <v>-100</v>
      </c>
      <c r="R339" s="47" t="n"/>
      <c r="S339" s="47" t="n"/>
      <c r="T339" s="47" t="n"/>
      <c r="U339" s="47" t="n"/>
      <c r="V339" s="47" t="n"/>
      <c r="W339" s="47" t="n"/>
    </row>
    <row r="340" ht="12" customHeight="1">
      <c r="A340" s="30" t="inlineStr">
        <is>
          <t>Porto Real</t>
        </is>
      </c>
      <c r="B340" s="30" t="n">
        <v>79438073</v>
      </c>
      <c r="C340" s="30">
        <f>"13993184000180"</f>
        <v/>
      </c>
      <c r="D340" s="30" t="inlineStr">
        <is>
          <t>MINI-MERCADO GCNE LTDA</t>
        </is>
      </c>
      <c r="E340" s="40" t="n">
        <v>0</v>
      </c>
      <c r="F340" s="40" t="n">
        <v>0</v>
      </c>
      <c r="G340" s="40" t="n">
        <v>0</v>
      </c>
      <c r="H340" s="40" t="n">
        <v>0</v>
      </c>
      <c r="I340" s="40" t="n">
        <v>0</v>
      </c>
      <c r="J340" s="40" t="n">
        <v>0</v>
      </c>
      <c r="K340" s="40" t="n">
        <v>0</v>
      </c>
      <c r="L340" s="40" t="n">
        <v>0</v>
      </c>
      <c r="M340" s="40" t="n">
        <v>0</v>
      </c>
      <c r="N340" s="40" t="n">
        <v>0</v>
      </c>
      <c r="O340" s="40" t="n">
        <v>0</v>
      </c>
      <c r="P340" s="40" t="n">
        <v>0</v>
      </c>
      <c r="Q340" s="40" t="n">
        <v>0</v>
      </c>
      <c r="R340" s="47" t="n"/>
      <c r="S340" s="47" t="n"/>
      <c r="T340" s="47" t="n"/>
      <c r="U340" s="47" t="n"/>
      <c r="V340" s="47" t="n"/>
      <c r="W340" s="47" t="n"/>
    </row>
    <row r="341" ht="12" customHeight="1">
      <c r="A341" s="30" t="inlineStr">
        <is>
          <t>Porto Real</t>
        </is>
      </c>
      <c r="B341" s="30" t="n">
        <v>79438111</v>
      </c>
      <c r="C341" s="30">
        <f>"49025695000660"</f>
        <v/>
      </c>
      <c r="D341" s="30" t="inlineStr">
        <is>
          <t>JD COCENZO &amp; CIA LTDA</t>
        </is>
      </c>
      <c r="E341" s="40" t="n">
        <v>0</v>
      </c>
      <c r="F341" s="40" t="n">
        <v>0</v>
      </c>
      <c r="G341" s="40" t="n">
        <v>0</v>
      </c>
      <c r="H341" s="40" t="n">
        <v>0</v>
      </c>
      <c r="I341" s="40" t="n">
        <v>0</v>
      </c>
      <c r="J341" s="40" t="n">
        <v>500</v>
      </c>
      <c r="K341" s="40" t="n">
        <v>100</v>
      </c>
      <c r="L341" s="40" t="n">
        <v>0</v>
      </c>
      <c r="M341" s="46" t="n">
        <v>-100</v>
      </c>
      <c r="N341" s="40" t="n">
        <v>0</v>
      </c>
      <c r="O341" s="40" t="n">
        <v>0</v>
      </c>
      <c r="P341" s="40" t="n">
        <v>0</v>
      </c>
      <c r="Q341" s="40" t="n">
        <v>0</v>
      </c>
      <c r="R341" s="47" t="n"/>
      <c r="S341" s="47" t="n"/>
      <c r="T341" s="47" t="n"/>
      <c r="U341" s="47" t="n"/>
      <c r="V341" s="47" t="n"/>
      <c r="W341" s="47" t="n"/>
    </row>
    <row r="342" ht="12" customHeight="1">
      <c r="A342" s="30" t="inlineStr">
        <is>
          <t>Porto Real</t>
        </is>
      </c>
      <c r="B342" s="30" t="n">
        <v>79442127</v>
      </c>
      <c r="C342" s="30">
        <f>"14040097000170"</f>
        <v/>
      </c>
      <c r="D342" s="30" t="inlineStr">
        <is>
          <t>COMERCIO DE CEREAIS E PRODUTOS ALIMENTICIOS DOIS AMIGOS LTDA EPP</t>
        </is>
      </c>
      <c r="E342" s="40" t="n">
        <v>0</v>
      </c>
      <c r="F342" s="40" t="n">
        <v>0</v>
      </c>
      <c r="G342" s="40" t="n">
        <v>0</v>
      </c>
      <c r="H342" s="40" t="n">
        <v>0</v>
      </c>
      <c r="I342" s="40" t="n">
        <v>0</v>
      </c>
      <c r="J342" s="40" t="n">
        <v>0</v>
      </c>
      <c r="K342" s="40" t="n">
        <v>0</v>
      </c>
      <c r="L342" s="40" t="n">
        <v>0</v>
      </c>
      <c r="M342" s="40" t="n">
        <v>0</v>
      </c>
      <c r="N342" s="40" t="n">
        <v>0</v>
      </c>
      <c r="O342" s="40" t="n">
        <v>0</v>
      </c>
      <c r="P342" s="40" t="n">
        <v>0</v>
      </c>
      <c r="Q342" s="40" t="n">
        <v>0</v>
      </c>
      <c r="R342" s="47" t="n"/>
      <c r="S342" s="47" t="n"/>
      <c r="T342" s="47" t="n"/>
      <c r="U342" s="47" t="n"/>
      <c r="V342" s="47" t="n"/>
      <c r="W342" s="47" t="n"/>
    </row>
    <row r="343" ht="12" customHeight="1">
      <c r="A343" s="30" t="inlineStr">
        <is>
          <t>Porto Real</t>
        </is>
      </c>
      <c r="B343" s="30" t="n">
        <v>79451789</v>
      </c>
      <c r="C343" s="30">
        <f>"14097258000162"</f>
        <v/>
      </c>
      <c r="D343" s="30" t="inlineStr">
        <is>
          <t>MW COMERCIO E SERVICOS DE CONSTRUCOES LTDA-EPP</t>
        </is>
      </c>
      <c r="E343" s="40" t="n">
        <v>0</v>
      </c>
      <c r="F343" s="40" t="n">
        <v>0</v>
      </c>
      <c r="G343" s="40" t="n">
        <v>0</v>
      </c>
      <c r="H343" s="40" t="n">
        <v>0</v>
      </c>
      <c r="I343" s="40" t="n">
        <v>0</v>
      </c>
      <c r="J343" s="40" t="n">
        <v>0</v>
      </c>
      <c r="K343" s="40" t="n">
        <v>0</v>
      </c>
      <c r="L343" s="40" t="n">
        <v>0</v>
      </c>
      <c r="M343" s="40" t="n">
        <v>0</v>
      </c>
      <c r="N343" s="40" t="n">
        <v>0</v>
      </c>
      <c r="O343" s="40" t="n">
        <v>0</v>
      </c>
      <c r="P343" s="40" t="n">
        <v>0</v>
      </c>
      <c r="Q343" s="40" t="n">
        <v>0</v>
      </c>
      <c r="R343" s="47" t="n"/>
      <c r="S343" s="47" t="n"/>
      <c r="T343" s="47" t="n"/>
      <c r="U343" s="47" t="n"/>
      <c r="V343" s="47" t="n"/>
      <c r="W343" s="47" t="n"/>
    </row>
    <row r="344" ht="12" customHeight="1">
      <c r="A344" s="30" t="inlineStr">
        <is>
          <t>Porto Real</t>
        </is>
      </c>
      <c r="B344" s="30" t="n">
        <v>79488780</v>
      </c>
      <c r="C344" s="30">
        <f>"75553115002660"</f>
        <v/>
      </c>
      <c r="D344" s="30" t="inlineStr">
        <is>
          <t>TRANSPORTE RODOVIARIO DE CARGAS ZAPPELLINI LTDA</t>
        </is>
      </c>
      <c r="E344" s="40" t="n">
        <v>0</v>
      </c>
      <c r="F344" s="40" t="n">
        <v>0</v>
      </c>
      <c r="G344" s="40" t="n">
        <v>0</v>
      </c>
      <c r="H344" s="40" t="n">
        <v>0</v>
      </c>
      <c r="I344" s="40" t="n">
        <v>0</v>
      </c>
      <c r="J344" s="40" t="n">
        <v>0</v>
      </c>
      <c r="K344" s="40" t="n">
        <v>0</v>
      </c>
      <c r="L344" s="40" t="n">
        <v>0</v>
      </c>
      <c r="M344" s="40" t="n">
        <v>0</v>
      </c>
      <c r="N344" s="40" t="n">
        <v>0</v>
      </c>
      <c r="O344" s="40" t="n">
        <v>0</v>
      </c>
      <c r="P344" s="40" t="n">
        <v>5300</v>
      </c>
      <c r="Q344" s="40" t="n">
        <v>100</v>
      </c>
      <c r="R344" s="47" t="n"/>
      <c r="S344" s="47" t="n"/>
      <c r="T344" s="47" t="n"/>
      <c r="U344" s="47" t="n"/>
      <c r="V344" s="47" t="n"/>
      <c r="W344" s="47" t="n"/>
    </row>
    <row r="345" ht="12" customHeight="1">
      <c r="A345" s="30" t="inlineStr">
        <is>
          <t>Porto Real</t>
        </is>
      </c>
      <c r="B345" s="30" t="n">
        <v>79508101</v>
      </c>
      <c r="C345" s="30">
        <f>"41717984000537"</f>
        <v/>
      </c>
      <c r="D345" s="30" t="inlineStr">
        <is>
          <t>J M LOCACAO E LOGISTICA DE JUIZ DE FORA LTDA EPP</t>
        </is>
      </c>
      <c r="E345" s="40" t="n">
        <v>0</v>
      </c>
      <c r="F345" s="40" t="n">
        <v>0</v>
      </c>
      <c r="G345" s="40" t="n">
        <v>0</v>
      </c>
      <c r="H345" s="40" t="n">
        <v>0</v>
      </c>
      <c r="I345" s="40" t="n">
        <v>0</v>
      </c>
      <c r="J345" s="40" t="n">
        <v>0</v>
      </c>
      <c r="K345" s="40" t="n">
        <v>0</v>
      </c>
      <c r="L345" s="40" t="n">
        <v>0</v>
      </c>
      <c r="M345" s="40" t="n">
        <v>0</v>
      </c>
      <c r="N345" s="40" t="n">
        <v>0</v>
      </c>
      <c r="O345" s="40" t="n">
        <v>0</v>
      </c>
      <c r="P345" s="40" t="n">
        <v>2468.75</v>
      </c>
      <c r="Q345" s="40" t="n">
        <v>100</v>
      </c>
      <c r="R345" s="47" t="n"/>
      <c r="S345" s="47" t="n"/>
      <c r="T345" s="47" t="n"/>
      <c r="U345" s="47" t="n"/>
      <c r="V345" s="47" t="n"/>
      <c r="W345" s="47" t="n"/>
    </row>
    <row r="346" ht="12" customHeight="1">
      <c r="A346" s="30" t="inlineStr">
        <is>
          <t>Porto Real</t>
        </is>
      </c>
      <c r="B346" s="30" t="n">
        <v>79510157</v>
      </c>
      <c r="C346" s="30">
        <f>"14130987000173"</f>
        <v/>
      </c>
      <c r="D346" s="30" t="inlineStr">
        <is>
          <t>LOKKAR RENTAR CAR LTDA EPP</t>
        </is>
      </c>
      <c r="E346" s="40" t="n">
        <v>0</v>
      </c>
      <c r="F346" s="40" t="n">
        <v>0</v>
      </c>
      <c r="G346" s="40" t="n">
        <v>0</v>
      </c>
      <c r="H346" s="40" t="n">
        <v>0</v>
      </c>
      <c r="I346" s="40" t="n">
        <v>0</v>
      </c>
      <c r="J346" s="40" t="n">
        <v>0</v>
      </c>
      <c r="K346" s="40" t="n">
        <v>0</v>
      </c>
      <c r="L346" s="40" t="n">
        <v>0</v>
      </c>
      <c r="M346" s="40" t="n">
        <v>0</v>
      </c>
      <c r="N346" s="40" t="n">
        <v>38737</v>
      </c>
      <c r="O346" s="40" t="n">
        <v>100</v>
      </c>
      <c r="P346" s="40" t="n">
        <v>0</v>
      </c>
      <c r="Q346" s="46" t="n">
        <v>-100</v>
      </c>
      <c r="R346" s="47" t="n"/>
      <c r="S346" s="47" t="n"/>
      <c r="T346" s="47" t="n"/>
      <c r="U346" s="47" t="n"/>
      <c r="V346" s="47" t="n"/>
      <c r="W346" s="47" t="n"/>
    </row>
    <row r="347" ht="12" customHeight="1">
      <c r="A347" s="30" t="inlineStr">
        <is>
          <t>Porto Real</t>
        </is>
      </c>
      <c r="B347" s="30" t="n">
        <v>79510688</v>
      </c>
      <c r="C347" s="30">
        <f>"10839911000322"</f>
        <v/>
      </c>
      <c r="D347" s="30" t="inlineStr">
        <is>
          <t>TG LOGISTICA E TRANSPORTES LTDA</t>
        </is>
      </c>
      <c r="E347" s="40" t="n">
        <v>0</v>
      </c>
      <c r="F347" s="40" t="n">
        <v>0</v>
      </c>
      <c r="G347" s="40" t="n">
        <v>0</v>
      </c>
      <c r="H347" s="40" t="n">
        <v>0</v>
      </c>
      <c r="I347" s="40" t="n">
        <v>0</v>
      </c>
      <c r="J347" s="40" t="n">
        <v>0</v>
      </c>
      <c r="K347" s="40" t="n">
        <v>0</v>
      </c>
      <c r="L347" s="40" t="n">
        <v>0</v>
      </c>
      <c r="M347" s="40" t="n">
        <v>0</v>
      </c>
      <c r="N347" s="40" t="n">
        <v>4029.27</v>
      </c>
      <c r="O347" s="40" t="n">
        <v>100</v>
      </c>
      <c r="P347" s="40" t="n">
        <v>0</v>
      </c>
      <c r="Q347" s="46" t="n">
        <v>-100</v>
      </c>
      <c r="R347" s="47" t="n"/>
      <c r="S347" s="47" t="n"/>
      <c r="T347" s="47" t="n"/>
      <c r="U347" s="47" t="n"/>
      <c r="V347" s="47" t="n"/>
      <c r="W347" s="47" t="n"/>
    </row>
    <row r="348" ht="12" customHeight="1">
      <c r="A348" s="30" t="inlineStr">
        <is>
          <t>Porto Real</t>
        </is>
      </c>
      <c r="B348" s="30" t="n">
        <v>79517518</v>
      </c>
      <c r="C348" s="30">
        <f>"01178298001592"</f>
        <v/>
      </c>
      <c r="D348" s="30" t="inlineStr">
        <is>
          <t>FAURECIA AUTOMOTIVE DO BRASIL LTDA</t>
        </is>
      </c>
      <c r="E348" s="40" t="n">
        <v>0</v>
      </c>
      <c r="F348" s="40" t="n">
        <v>0</v>
      </c>
      <c r="G348" s="40" t="n">
        <v>0</v>
      </c>
      <c r="H348" s="40" t="n">
        <v>0</v>
      </c>
      <c r="I348" s="40" t="n">
        <v>0</v>
      </c>
      <c r="J348" s="40" t="n">
        <v>0</v>
      </c>
      <c r="K348" s="40" t="n">
        <v>0</v>
      </c>
      <c r="L348" s="40" t="n">
        <v>0</v>
      </c>
      <c r="M348" s="40" t="n">
        <v>0</v>
      </c>
      <c r="N348" s="40" t="n">
        <v>0</v>
      </c>
      <c r="O348" s="40" t="n">
        <v>0</v>
      </c>
      <c r="P348" s="40" t="n">
        <v>0</v>
      </c>
      <c r="Q348" s="40" t="n">
        <v>0</v>
      </c>
      <c r="R348" s="47" t="n"/>
      <c r="S348" s="47" t="n"/>
      <c r="T348" s="47" t="n"/>
      <c r="U348" s="47" t="n"/>
      <c r="V348" s="47" t="n"/>
      <c r="W348" s="47" t="n"/>
    </row>
    <row r="349" ht="12" customHeight="1">
      <c r="A349" s="30" t="inlineStr">
        <is>
          <t>Porto Real</t>
        </is>
      </c>
      <c r="B349" s="30" t="n">
        <v>79541575</v>
      </c>
      <c r="C349" s="30">
        <f>"04915315001434"</f>
        <v/>
      </c>
      <c r="D349" s="30" t="inlineStr">
        <is>
          <t>VENTANA SERRA DO BRASIL AGENCIAMENTO DE CARGAS LTDA</t>
        </is>
      </c>
      <c r="E349" s="40" t="n">
        <v>0</v>
      </c>
      <c r="F349" s="40" t="n">
        <v>0</v>
      </c>
      <c r="G349" s="40" t="n">
        <v>0</v>
      </c>
      <c r="H349" s="40" t="n">
        <v>0</v>
      </c>
      <c r="I349" s="40" t="n">
        <v>0</v>
      </c>
      <c r="J349" s="40" t="n">
        <v>0</v>
      </c>
      <c r="K349" s="40" t="n">
        <v>0</v>
      </c>
      <c r="L349" s="40" t="n">
        <v>0</v>
      </c>
      <c r="M349" s="40" t="n">
        <v>0</v>
      </c>
      <c r="N349" s="40" t="n">
        <v>1600.19</v>
      </c>
      <c r="O349" s="40" t="n">
        <v>100</v>
      </c>
      <c r="P349" s="40" t="n">
        <v>4068.17</v>
      </c>
      <c r="Q349" s="40" t="n">
        <v>154.23</v>
      </c>
      <c r="R349" s="47" t="n"/>
      <c r="S349" s="47" t="n"/>
      <c r="T349" s="47" t="n"/>
      <c r="U349" s="47" t="n"/>
      <c r="V349" s="47" t="n"/>
      <c r="W349" s="47" t="n"/>
    </row>
    <row r="350" ht="12" customHeight="1">
      <c r="A350" s="30" t="inlineStr">
        <is>
          <t>Porto Real</t>
        </is>
      </c>
      <c r="B350" s="30" t="n">
        <v>79577928</v>
      </c>
      <c r="C350" s="30">
        <f>"02308873000515"</f>
        <v/>
      </c>
      <c r="D350" s="30" t="inlineStr">
        <is>
          <t>FAURECIA EMISSIONS CONTROL TECHONOLOGIES DO BRASIL S A</t>
        </is>
      </c>
      <c r="E350" s="40" t="n">
        <v>15819529.46</v>
      </c>
      <c r="F350" s="40" t="n">
        <v>854078.71</v>
      </c>
      <c r="G350" s="46" t="n">
        <v>-94.59999999999999</v>
      </c>
      <c r="H350" s="40" t="n">
        <v>0</v>
      </c>
      <c r="I350" s="46" t="n">
        <v>-100</v>
      </c>
      <c r="J350" s="40" t="n">
        <v>0</v>
      </c>
      <c r="K350" s="40" t="n">
        <v>0</v>
      </c>
      <c r="L350" s="40" t="n">
        <v>0</v>
      </c>
      <c r="M350" s="40" t="n">
        <v>0</v>
      </c>
      <c r="N350" s="40" t="n">
        <v>0</v>
      </c>
      <c r="O350" s="40" t="n">
        <v>0</v>
      </c>
      <c r="P350" s="40" t="n">
        <v>0</v>
      </c>
      <c r="Q350" s="40" t="n">
        <v>0</v>
      </c>
      <c r="R350" s="47" t="n"/>
      <c r="S350" s="47" t="n"/>
      <c r="T350" s="47" t="n"/>
      <c r="U350" s="47" t="n"/>
      <c r="V350" s="47" t="n"/>
      <c r="W350" s="47" t="n"/>
    </row>
    <row r="351" ht="12" customHeight="1">
      <c r="A351" s="30" t="inlineStr">
        <is>
          <t>Porto Real</t>
        </is>
      </c>
      <c r="B351" s="30" t="n">
        <v>79582980</v>
      </c>
      <c r="C351" s="30">
        <f>"78815958001280"</f>
        <v/>
      </c>
      <c r="D351" s="30" t="inlineStr">
        <is>
          <t>JOSE OSVALDO DE OLIVEIRA EIRELI</t>
        </is>
      </c>
      <c r="E351" s="40" t="n">
        <v>269.6</v>
      </c>
      <c r="F351" s="40" t="n">
        <v>140</v>
      </c>
      <c r="G351" s="46" t="n">
        <v>-48.07</v>
      </c>
      <c r="H351" s="40" t="n">
        <v>0</v>
      </c>
      <c r="I351" s="46" t="n">
        <v>-100</v>
      </c>
      <c r="J351" s="40" t="n">
        <v>0</v>
      </c>
      <c r="K351" s="40" t="n">
        <v>0</v>
      </c>
      <c r="L351" s="40" t="n">
        <v>53.32</v>
      </c>
      <c r="M351" s="40" t="n">
        <v>100</v>
      </c>
      <c r="N351" s="40" t="n">
        <v>297.31</v>
      </c>
      <c r="O351" s="40" t="n">
        <v>457.6</v>
      </c>
      <c r="P351" s="40" t="n">
        <v>105.31</v>
      </c>
      <c r="Q351" s="46" t="n">
        <v>-64.58</v>
      </c>
      <c r="R351" s="47" t="n"/>
      <c r="S351" s="47" t="n"/>
      <c r="T351" s="47" t="n"/>
      <c r="U351" s="47" t="n"/>
      <c r="V351" s="47" t="n"/>
      <c r="W351" s="47" t="n"/>
    </row>
    <row r="352" ht="12" customHeight="1">
      <c r="A352" s="30" t="inlineStr">
        <is>
          <t>Porto Real</t>
        </is>
      </c>
      <c r="B352" s="30" t="n">
        <v>79585556</v>
      </c>
      <c r="C352" s="30">
        <f>"09913147000490"</f>
        <v/>
      </c>
      <c r="D352" s="30" t="inlineStr">
        <is>
          <t>FL LOGISTICA BRASIL LTDA</t>
        </is>
      </c>
      <c r="E352" s="40" t="n">
        <v>1770969.68</v>
      </c>
      <c r="F352" s="40" t="n">
        <v>0</v>
      </c>
      <c r="G352" s="46" t="n">
        <v>-100</v>
      </c>
      <c r="H352" s="40" t="n">
        <v>0</v>
      </c>
      <c r="I352" s="40" t="n">
        <v>0</v>
      </c>
      <c r="J352" s="40" t="n">
        <v>0</v>
      </c>
      <c r="K352" s="40" t="n">
        <v>0</v>
      </c>
      <c r="L352" s="40" t="n">
        <v>0</v>
      </c>
      <c r="M352" s="40" t="n">
        <v>0</v>
      </c>
      <c r="N352" s="40" t="n">
        <v>0</v>
      </c>
      <c r="O352" s="40" t="n">
        <v>0</v>
      </c>
      <c r="P352" s="40" t="n">
        <v>0</v>
      </c>
      <c r="Q352" s="40" t="n">
        <v>0</v>
      </c>
      <c r="R352" s="47" t="n"/>
      <c r="S352" s="47" t="n"/>
      <c r="T352" s="47" t="n"/>
      <c r="U352" s="47" t="n"/>
      <c r="V352" s="47" t="n"/>
      <c r="W352" s="47" t="n"/>
    </row>
    <row r="353" ht="12" customHeight="1">
      <c r="A353" s="30" t="inlineStr">
        <is>
          <t>Porto Real</t>
        </is>
      </c>
      <c r="B353" s="30" t="n">
        <v>79585564</v>
      </c>
      <c r="C353" s="30">
        <f>"10665151000201"</f>
        <v/>
      </c>
      <c r="D353" s="30" t="inlineStr">
        <is>
          <t>SAMM SOCIEDADE DE ATIVIDADES EM MULTIMIDIA LTDA</t>
        </is>
      </c>
      <c r="E353" s="40" t="n">
        <v>0</v>
      </c>
      <c r="F353" s="40" t="n">
        <v>0</v>
      </c>
      <c r="G353" s="40" t="n">
        <v>0</v>
      </c>
      <c r="H353" s="40" t="n">
        <v>0</v>
      </c>
      <c r="I353" s="40" t="n">
        <v>0</v>
      </c>
      <c r="J353" s="40" t="n">
        <v>0</v>
      </c>
      <c r="K353" s="40" t="n">
        <v>0</v>
      </c>
      <c r="L353" s="40" t="n">
        <v>0</v>
      </c>
      <c r="M353" s="40" t="n">
        <v>0</v>
      </c>
      <c r="N353" s="40" t="n">
        <v>0</v>
      </c>
      <c r="O353" s="40" t="n">
        <v>0</v>
      </c>
      <c r="P353" s="40" t="n">
        <v>90814.71000000001</v>
      </c>
      <c r="Q353" s="40" t="n">
        <v>100</v>
      </c>
      <c r="R353" s="47" t="n"/>
      <c r="S353" s="47" t="n"/>
      <c r="T353" s="47" t="n"/>
      <c r="U353" s="47" t="n"/>
      <c r="V353" s="47" t="n"/>
      <c r="W353" s="47" t="n"/>
    </row>
    <row r="354" ht="12" customHeight="1">
      <c r="A354" s="30" t="inlineStr">
        <is>
          <t>Porto Real</t>
        </is>
      </c>
      <c r="B354" s="30" t="n">
        <v>79591483</v>
      </c>
      <c r="C354" s="30">
        <f>"10831856000243"</f>
        <v/>
      </c>
      <c r="D354" s="30" t="inlineStr">
        <is>
          <t>TFA - LOGISTICA LTDA - EPP</t>
        </is>
      </c>
      <c r="E354" s="40" t="n">
        <v>50047.94</v>
      </c>
      <c r="F354" s="40" t="n">
        <v>112607.5</v>
      </c>
      <c r="G354" s="40" t="n">
        <v>125</v>
      </c>
      <c r="H354" s="40" t="n">
        <v>0</v>
      </c>
      <c r="I354" s="46" t="n">
        <v>-100</v>
      </c>
      <c r="J354" s="40" t="n">
        <v>0</v>
      </c>
      <c r="K354" s="40" t="n">
        <v>0</v>
      </c>
      <c r="L354" s="40" t="n">
        <v>0</v>
      </c>
      <c r="M354" s="40" t="n">
        <v>0</v>
      </c>
      <c r="N354" s="40" t="n">
        <v>0</v>
      </c>
      <c r="O354" s="40" t="n">
        <v>0</v>
      </c>
      <c r="P354" s="40" t="n">
        <v>0</v>
      </c>
      <c r="Q354" s="40" t="n">
        <v>0</v>
      </c>
      <c r="R354" s="47" t="n"/>
      <c r="S354" s="47" t="n"/>
      <c r="T354" s="47" t="n"/>
      <c r="U354" s="47" t="n"/>
      <c r="V354" s="47" t="n"/>
      <c r="W354" s="47" t="n"/>
    </row>
    <row r="355" ht="12" customHeight="1">
      <c r="A355" s="30" t="inlineStr">
        <is>
          <t>Porto Real</t>
        </is>
      </c>
      <c r="B355" s="30" t="n">
        <v>79611638</v>
      </c>
      <c r="C355" s="30">
        <f>"12097576000106"</f>
        <v/>
      </c>
      <c r="D355" s="30" t="inlineStr">
        <is>
          <t>LIXOLIMPO SUL FLUMINENSE LTDA</t>
        </is>
      </c>
      <c r="E355" s="40" t="n">
        <v>0</v>
      </c>
      <c r="F355" s="40" t="n">
        <v>0</v>
      </c>
      <c r="G355" s="40" t="n">
        <v>0</v>
      </c>
      <c r="H355" s="40" t="n">
        <v>0</v>
      </c>
      <c r="I355" s="40" t="n">
        <v>0</v>
      </c>
      <c r="J355" s="40" t="n">
        <v>0</v>
      </c>
      <c r="K355" s="40" t="n">
        <v>0</v>
      </c>
      <c r="L355" s="40" t="n">
        <v>0</v>
      </c>
      <c r="M355" s="40" t="n">
        <v>0</v>
      </c>
      <c r="N355" s="40" t="n">
        <v>0</v>
      </c>
      <c r="O355" s="40" t="n">
        <v>0</v>
      </c>
      <c r="P355" s="40" t="n">
        <v>0</v>
      </c>
      <c r="Q355" s="40" t="n">
        <v>0</v>
      </c>
      <c r="R355" s="47" t="n"/>
      <c r="S355" s="47" t="n"/>
      <c r="T355" s="47" t="n"/>
      <c r="U355" s="47" t="n"/>
      <c r="V355" s="47" t="n"/>
      <c r="W355" s="47" t="n"/>
    </row>
    <row r="356" ht="12" customHeight="1">
      <c r="A356" s="30" t="inlineStr">
        <is>
          <t>Porto Real</t>
        </is>
      </c>
      <c r="B356" s="30" t="n">
        <v>79619523</v>
      </c>
      <c r="C356" s="30">
        <f>"15137700000108"</f>
        <v/>
      </c>
      <c r="D356" s="30" t="inlineStr">
        <is>
          <t>FONSECA E ALMEIDA COMERCIO E SERVICOS LTDA ME</t>
        </is>
      </c>
      <c r="E356" s="40" t="n">
        <v>0</v>
      </c>
      <c r="F356" s="40" t="n">
        <v>0</v>
      </c>
      <c r="G356" s="40" t="n">
        <v>0</v>
      </c>
      <c r="H356" s="40" t="n">
        <v>0</v>
      </c>
      <c r="I356" s="40" t="n">
        <v>0</v>
      </c>
      <c r="J356" s="40" t="n">
        <v>0</v>
      </c>
      <c r="K356" s="40" t="n">
        <v>0</v>
      </c>
      <c r="L356" s="40" t="n">
        <v>0</v>
      </c>
      <c r="M356" s="40" t="n">
        <v>0</v>
      </c>
      <c r="N356" s="40" t="n">
        <v>0</v>
      </c>
      <c r="O356" s="40" t="n">
        <v>0</v>
      </c>
      <c r="P356" s="40" t="n">
        <v>0</v>
      </c>
      <c r="Q356" s="40" t="n">
        <v>0</v>
      </c>
      <c r="R356" s="47" t="n"/>
      <c r="S356" s="47" t="n"/>
      <c r="T356" s="47" t="n"/>
      <c r="U356" s="47" t="n"/>
      <c r="V356" s="47" t="n"/>
      <c r="W356" s="47" t="n"/>
    </row>
    <row r="357" ht="12" customHeight="1">
      <c r="A357" s="30" t="inlineStr">
        <is>
          <t>Porto Real</t>
        </is>
      </c>
      <c r="B357" s="30" t="n">
        <v>79626945</v>
      </c>
      <c r="C357" s="30">
        <f>"03717227002941"</f>
        <v/>
      </c>
      <c r="D357" s="30" t="inlineStr">
        <is>
          <t>NIPPONFLEX INDUSTRIA E COMERCIO DE COLCHOES LTDA</t>
        </is>
      </c>
      <c r="E357" s="40" t="n">
        <v>5362310.03</v>
      </c>
      <c r="F357" s="40" t="n">
        <v>6991516.71</v>
      </c>
      <c r="G357" s="40" t="n">
        <v>30.38</v>
      </c>
      <c r="H357" s="40" t="n">
        <v>5595684</v>
      </c>
      <c r="I357" s="46" t="n">
        <v>-19.96</v>
      </c>
      <c r="J357" s="40" t="n">
        <v>2822906.44</v>
      </c>
      <c r="K357" s="46" t="n">
        <v>-49.55</v>
      </c>
      <c r="L357" s="40" t="n">
        <v>2708282.46</v>
      </c>
      <c r="M357" s="46" t="n">
        <v>-4.06</v>
      </c>
      <c r="N357" s="40" t="n">
        <v>1911934.33</v>
      </c>
      <c r="O357" s="46" t="n">
        <v>-29.4</v>
      </c>
      <c r="P357" s="40" t="n">
        <v>1427929.77</v>
      </c>
      <c r="Q357" s="46" t="n">
        <v>-25.31</v>
      </c>
      <c r="R357" s="47" t="n"/>
      <c r="S357" s="47" t="n"/>
      <c r="T357" s="47" t="n"/>
      <c r="U357" s="47" t="n"/>
      <c r="V357" s="47" t="n"/>
      <c r="W357" s="47" t="n"/>
    </row>
    <row r="358" ht="12" customHeight="1">
      <c r="A358" s="30" t="inlineStr">
        <is>
          <t>Porto Real</t>
        </is>
      </c>
      <c r="B358" s="30" t="n">
        <v>79632511</v>
      </c>
      <c r="C358" s="30">
        <f>"02160284000613"</f>
        <v/>
      </c>
      <c r="D358" s="30" t="inlineStr">
        <is>
          <t>IPA - INDUSTRIA DE PRODUTOS AUTOMOTIVOS RGS LTDA</t>
        </is>
      </c>
      <c r="E358" s="40" t="n">
        <v>20464367.27</v>
      </c>
      <c r="F358" s="40" t="n">
        <v>22892086.2</v>
      </c>
      <c r="G358" s="40" t="n">
        <v>11.86</v>
      </c>
      <c r="H358" s="40" t="n">
        <v>11137705.04</v>
      </c>
      <c r="I358" s="46" t="n">
        <v>-51.35</v>
      </c>
      <c r="J358" s="40" t="n">
        <v>0</v>
      </c>
      <c r="K358" s="46" t="n">
        <v>-100</v>
      </c>
      <c r="L358" s="40" t="n">
        <v>0</v>
      </c>
      <c r="M358" s="40" t="n">
        <v>0</v>
      </c>
      <c r="N358" s="40" t="n">
        <v>0</v>
      </c>
      <c r="O358" s="40" t="n">
        <v>0</v>
      </c>
      <c r="P358" s="40" t="n">
        <v>0</v>
      </c>
      <c r="Q358" s="40" t="n">
        <v>0</v>
      </c>
      <c r="R358" s="47" t="n"/>
      <c r="S358" s="47" t="n"/>
      <c r="T358" s="47" t="n"/>
      <c r="U358" s="47" t="n"/>
      <c r="V358" s="47" t="n"/>
      <c r="W358" s="47" t="n"/>
    </row>
    <row r="359" ht="12" customHeight="1">
      <c r="A359" s="30" t="inlineStr">
        <is>
          <t>Porto Real</t>
        </is>
      </c>
      <c r="B359" s="30" t="n">
        <v>79639990</v>
      </c>
      <c r="C359" s="30">
        <f>"04605519000235"</f>
        <v/>
      </c>
      <c r="D359" s="30" t="inlineStr">
        <is>
          <t>TRANS TRUCK LOGISTICA E TRANSPORTES LTDA</t>
        </is>
      </c>
      <c r="E359" s="40" t="n">
        <v>0</v>
      </c>
      <c r="F359" s="40" t="n">
        <v>0.02</v>
      </c>
      <c r="G359" s="40" t="n">
        <v>100</v>
      </c>
      <c r="H359" s="40" t="n">
        <v>0</v>
      </c>
      <c r="I359" s="46" t="n">
        <v>-100</v>
      </c>
      <c r="J359" s="40" t="n">
        <v>0</v>
      </c>
      <c r="K359" s="40" t="n">
        <v>0</v>
      </c>
      <c r="L359" s="40" t="n">
        <v>0</v>
      </c>
      <c r="M359" s="40" t="n">
        <v>0</v>
      </c>
      <c r="N359" s="40" t="n">
        <v>0</v>
      </c>
      <c r="O359" s="40" t="n">
        <v>0</v>
      </c>
      <c r="P359" s="40" t="n">
        <v>0</v>
      </c>
      <c r="Q359" s="40" t="n">
        <v>0</v>
      </c>
      <c r="R359" s="47" t="n"/>
      <c r="S359" s="47" t="n"/>
      <c r="T359" s="47" t="n"/>
      <c r="U359" s="47" t="n"/>
      <c r="V359" s="47" t="n"/>
      <c r="W359" s="47" t="n"/>
    </row>
    <row r="360" ht="12" customHeight="1">
      <c r="A360" s="30" t="inlineStr">
        <is>
          <t>Porto Real</t>
        </is>
      </c>
      <c r="B360" s="30" t="n">
        <v>79658421</v>
      </c>
      <c r="C360" s="30">
        <f>"09294007000138"</f>
        <v/>
      </c>
      <c r="D360" s="30" t="inlineStr">
        <is>
          <t>SPEEDNET PROVEDOR DE ACESSO A INTERNET LTDA</t>
        </is>
      </c>
      <c r="E360" s="40" t="n">
        <v>0</v>
      </c>
      <c r="F360" s="40" t="n">
        <v>0</v>
      </c>
      <c r="G360" s="40" t="n">
        <v>0</v>
      </c>
      <c r="H360" s="40" t="n">
        <v>0</v>
      </c>
      <c r="I360" s="40" t="n">
        <v>0</v>
      </c>
      <c r="J360" s="40" t="n">
        <v>0</v>
      </c>
      <c r="K360" s="40" t="n">
        <v>0</v>
      </c>
      <c r="L360" s="40" t="n">
        <v>0</v>
      </c>
      <c r="M360" s="40" t="n">
        <v>0</v>
      </c>
      <c r="N360" s="40" t="n">
        <v>0</v>
      </c>
      <c r="O360" s="40" t="n">
        <v>0</v>
      </c>
      <c r="P360" s="40" t="n">
        <v>32763.88</v>
      </c>
      <c r="Q360" s="40" t="n">
        <v>100</v>
      </c>
      <c r="R360" s="47" t="n"/>
      <c r="S360" s="47" t="n"/>
      <c r="T360" s="47" t="n"/>
      <c r="U360" s="47" t="n"/>
      <c r="V360" s="47" t="n"/>
      <c r="W360" s="47" t="n"/>
    </row>
    <row r="361" ht="12" customHeight="1">
      <c r="A361" s="30" t="inlineStr">
        <is>
          <t>Porto Real</t>
        </is>
      </c>
      <c r="B361" s="30" t="n">
        <v>79661775</v>
      </c>
      <c r="C361" s="30">
        <f>"15598081000140"</f>
        <v/>
      </c>
      <c r="D361" s="30" t="inlineStr">
        <is>
          <t>RAIMUNDO OLIVEIRA BARNABE ME</t>
        </is>
      </c>
      <c r="E361" s="40" t="n">
        <v>0</v>
      </c>
      <c r="F361" s="40" t="n">
        <v>0</v>
      </c>
      <c r="G361" s="40" t="n">
        <v>0</v>
      </c>
      <c r="H361" s="40" t="n">
        <v>0</v>
      </c>
      <c r="I361" s="40" t="n">
        <v>0</v>
      </c>
      <c r="J361" s="40" t="n">
        <v>0</v>
      </c>
      <c r="K361" s="40" t="n">
        <v>0</v>
      </c>
      <c r="L361" s="40" t="n">
        <v>0</v>
      </c>
      <c r="M361" s="40" t="n">
        <v>0</v>
      </c>
      <c r="N361" s="40" t="n">
        <v>0</v>
      </c>
      <c r="O361" s="40" t="n">
        <v>0</v>
      </c>
      <c r="P361" s="40" t="n">
        <v>0</v>
      </c>
      <c r="Q361" s="40" t="n">
        <v>0</v>
      </c>
      <c r="R361" s="47" t="n"/>
      <c r="S361" s="47" t="n"/>
      <c r="T361" s="47" t="n"/>
      <c r="U361" s="47" t="n"/>
      <c r="V361" s="47" t="n"/>
      <c r="W361" s="47" t="n"/>
    </row>
    <row r="362" ht="12" customHeight="1">
      <c r="A362" s="30" t="inlineStr">
        <is>
          <t>Porto Real</t>
        </is>
      </c>
      <c r="B362" s="30" t="n">
        <v>79665479</v>
      </c>
      <c r="C362" s="30">
        <f>"09354773000221"</f>
        <v/>
      </c>
      <c r="D362" s="30" t="inlineStr">
        <is>
          <t>PREMAX ENGENHARIA E COMERCIO LTDA</t>
        </is>
      </c>
      <c r="E362" s="40" t="n">
        <v>0</v>
      </c>
      <c r="F362" s="40" t="n">
        <v>0</v>
      </c>
      <c r="G362" s="40" t="n">
        <v>0</v>
      </c>
      <c r="H362" s="40" t="n">
        <v>0</v>
      </c>
      <c r="I362" s="40" t="n">
        <v>0</v>
      </c>
      <c r="J362" s="40" t="n">
        <v>0</v>
      </c>
      <c r="K362" s="40" t="n">
        <v>0</v>
      </c>
      <c r="L362" s="40" t="n">
        <v>1330</v>
      </c>
      <c r="M362" s="40" t="n">
        <v>100</v>
      </c>
      <c r="N362" s="40" t="n">
        <v>2450</v>
      </c>
      <c r="O362" s="40" t="n">
        <v>84.20999999999999</v>
      </c>
      <c r="P362" s="40" t="n">
        <v>0</v>
      </c>
      <c r="Q362" s="46" t="n">
        <v>-100</v>
      </c>
      <c r="R362" s="47" t="n"/>
      <c r="S362" s="47" t="n"/>
      <c r="T362" s="47" t="n"/>
      <c r="U362" s="47" t="n"/>
      <c r="V362" s="47" t="n"/>
      <c r="W362" s="47" t="n"/>
    </row>
    <row r="363" ht="12" customHeight="1">
      <c r="A363" s="30" t="inlineStr">
        <is>
          <t>Porto Real</t>
        </is>
      </c>
      <c r="B363" s="30" t="n">
        <v>79669954</v>
      </c>
      <c r="C363" s="30">
        <f>"72039647000138"</f>
        <v/>
      </c>
      <c r="D363" s="30" t="inlineStr">
        <is>
          <t>AMBI RIO BENEFICIAMENTO DE RESIDUOS E COMERCIO DE INSUMOS INDU</t>
        </is>
      </c>
      <c r="E363" s="40" t="n">
        <v>0</v>
      </c>
      <c r="F363" s="40" t="n">
        <v>0</v>
      </c>
      <c r="G363" s="40" t="n">
        <v>0</v>
      </c>
      <c r="H363" s="40" t="n">
        <v>0</v>
      </c>
      <c r="I363" s="40" t="n">
        <v>0</v>
      </c>
      <c r="J363" s="40" t="n">
        <v>0</v>
      </c>
      <c r="K363" s="40" t="n">
        <v>0</v>
      </c>
      <c r="L363" s="40" t="n">
        <v>0</v>
      </c>
      <c r="M363" s="40" t="n">
        <v>0</v>
      </c>
      <c r="N363" s="40" t="n">
        <v>0</v>
      </c>
      <c r="O363" s="40" t="n">
        <v>0</v>
      </c>
      <c r="P363" s="40" t="n">
        <v>0</v>
      </c>
      <c r="Q363" s="40" t="n">
        <v>0</v>
      </c>
      <c r="R363" s="47" t="n"/>
      <c r="S363" s="47" t="n"/>
      <c r="T363" s="47" t="n"/>
      <c r="U363" s="47" t="n"/>
      <c r="V363" s="47" t="n"/>
      <c r="W363" s="47" t="n"/>
    </row>
    <row r="364" ht="12" customHeight="1">
      <c r="A364" s="30" t="inlineStr">
        <is>
          <t>Porto Real</t>
        </is>
      </c>
      <c r="B364" s="30" t="n">
        <v>79673692</v>
      </c>
      <c r="C364" s="30">
        <f>"08873020000260"</f>
        <v/>
      </c>
      <c r="D364" s="30" t="inlineStr">
        <is>
          <t>METALIMPEX DO BRASIL LTDA</t>
        </is>
      </c>
      <c r="E364" s="40" t="n">
        <v>9777585.949999999</v>
      </c>
      <c r="F364" s="40" t="n">
        <v>0</v>
      </c>
      <c r="G364" s="46" t="n">
        <v>-100</v>
      </c>
      <c r="H364" s="40" t="n">
        <v>0</v>
      </c>
      <c r="I364" s="40" t="n">
        <v>0</v>
      </c>
      <c r="J364" s="40" t="n">
        <v>0</v>
      </c>
      <c r="K364" s="40" t="n">
        <v>0</v>
      </c>
      <c r="L364" s="40" t="n">
        <v>0</v>
      </c>
      <c r="M364" s="40" t="n">
        <v>0</v>
      </c>
      <c r="N364" s="40" t="n">
        <v>0</v>
      </c>
      <c r="O364" s="40" t="n">
        <v>0</v>
      </c>
      <c r="P364" s="40" t="n">
        <v>0</v>
      </c>
      <c r="Q364" s="40" t="n">
        <v>0</v>
      </c>
      <c r="R364" s="47" t="n"/>
      <c r="S364" s="47" t="n"/>
      <c r="T364" s="47" t="n"/>
      <c r="U364" s="47" t="n"/>
      <c r="V364" s="47" t="n"/>
      <c r="W364" s="47" t="n"/>
    </row>
    <row r="365" ht="12" customHeight="1">
      <c r="A365" s="30" t="inlineStr">
        <is>
          <t>Porto Real</t>
        </is>
      </c>
      <c r="B365" s="30" t="n">
        <v>79676365</v>
      </c>
      <c r="C365" s="30">
        <f>"59105262002026"</f>
        <v/>
      </c>
      <c r="D365" s="30" t="inlineStr">
        <is>
          <t>TRANSAUTO TRANSPORTES ESPECIALIZADOS DE AUTOMOVEIS S A</t>
        </is>
      </c>
      <c r="E365" s="40" t="n">
        <v>31871770.03</v>
      </c>
      <c r="F365" s="40" t="n">
        <v>1410</v>
      </c>
      <c r="G365" s="46" t="n">
        <v>-100</v>
      </c>
      <c r="H365" s="40" t="n">
        <v>200</v>
      </c>
      <c r="I365" s="46" t="n">
        <v>-85.81999999999999</v>
      </c>
      <c r="J365" s="40" t="n">
        <v>7990</v>
      </c>
      <c r="K365" s="40" t="n">
        <v>3895</v>
      </c>
      <c r="L365" s="40" t="n">
        <v>66820</v>
      </c>
      <c r="M365" s="40" t="n">
        <v>736.3</v>
      </c>
      <c r="N365" s="40" t="n">
        <v>17580</v>
      </c>
      <c r="O365" s="46" t="n">
        <v>-73.69</v>
      </c>
      <c r="P365" s="40" t="n">
        <v>26630</v>
      </c>
      <c r="Q365" s="40" t="n">
        <v>51.48</v>
      </c>
      <c r="R365" s="47" t="n"/>
      <c r="S365" s="47" t="n"/>
      <c r="T365" s="47" t="n"/>
      <c r="U365" s="47" t="n"/>
      <c r="V365" s="47" t="n"/>
      <c r="W365" s="47" t="n"/>
    </row>
    <row r="366" ht="12" customHeight="1">
      <c r="A366" s="30" t="inlineStr">
        <is>
          <t>Porto Real</t>
        </is>
      </c>
      <c r="B366" s="30" t="n">
        <v>79743640</v>
      </c>
      <c r="C366" s="30">
        <f>"16758051000117"</f>
        <v/>
      </c>
      <c r="D366" s="30" t="inlineStr">
        <is>
          <t>EXPRESSO TRANSPORTADORA CELTON LTDA ME</t>
        </is>
      </c>
      <c r="E366" s="40" t="n">
        <v>496788.49</v>
      </c>
      <c r="F366" s="40" t="n">
        <v>1625039.13</v>
      </c>
      <c r="G366" s="40" t="n">
        <v>227.11</v>
      </c>
      <c r="H366" s="40" t="n">
        <v>2191136.5</v>
      </c>
      <c r="I366" s="40" t="n">
        <v>34.84</v>
      </c>
      <c r="J366" s="40" t="n">
        <v>2240964.5</v>
      </c>
      <c r="K366" s="40" t="n">
        <v>2.27</v>
      </c>
      <c r="L366" s="40" t="n">
        <v>2248918.28</v>
      </c>
      <c r="M366" s="40" t="n">
        <v>0.35</v>
      </c>
      <c r="N366" s="40" t="n">
        <v>2412375.22</v>
      </c>
      <c r="O366" s="40" t="n">
        <v>7.27</v>
      </c>
      <c r="P366" s="40" t="n">
        <v>2228809.8</v>
      </c>
      <c r="Q366" s="46" t="n">
        <v>-7.61</v>
      </c>
      <c r="R366" s="47" t="n"/>
      <c r="S366" s="47" t="n"/>
      <c r="T366" s="47" t="n"/>
      <c r="U366" s="47" t="n"/>
      <c r="V366" s="47" t="n"/>
      <c r="W366" s="47" t="n"/>
    </row>
    <row r="367" ht="12" customHeight="1">
      <c r="A367" s="30" t="inlineStr">
        <is>
          <t>Porto Real</t>
        </is>
      </c>
      <c r="B367" s="30" t="n">
        <v>79746428</v>
      </c>
      <c r="C367" s="30">
        <f>"16783986000153"</f>
        <v/>
      </c>
      <c r="D367" s="30" t="inlineStr">
        <is>
          <t>OLIVEIRA E GRACIANI PADARIA LTDA ME - ME</t>
        </is>
      </c>
      <c r="E367" s="40" t="n">
        <v>0</v>
      </c>
      <c r="F367" s="40" t="n">
        <v>0</v>
      </c>
      <c r="G367" s="40" t="n">
        <v>0</v>
      </c>
      <c r="H367" s="40" t="n">
        <v>0</v>
      </c>
      <c r="I367" s="40" t="n">
        <v>0</v>
      </c>
      <c r="J367" s="40" t="n">
        <v>0</v>
      </c>
      <c r="K367" s="40" t="n">
        <v>0</v>
      </c>
      <c r="L367" s="40" t="n">
        <v>0</v>
      </c>
      <c r="M367" s="40" t="n">
        <v>0</v>
      </c>
      <c r="N367" s="40" t="n">
        <v>0</v>
      </c>
      <c r="O367" s="40" t="n">
        <v>0</v>
      </c>
      <c r="P367" s="40" t="n">
        <v>0</v>
      </c>
      <c r="Q367" s="40" t="n">
        <v>0</v>
      </c>
      <c r="R367" s="47" t="n"/>
      <c r="S367" s="47" t="n"/>
      <c r="T367" s="47" t="n"/>
      <c r="U367" s="47" t="n"/>
      <c r="V367" s="47" t="n"/>
      <c r="W367" s="47" t="n"/>
    </row>
    <row r="368" ht="12" customHeight="1">
      <c r="A368" s="30" t="inlineStr">
        <is>
          <t>Porto Real</t>
        </is>
      </c>
      <c r="B368" s="30" t="n">
        <v>79757055</v>
      </c>
      <c r="C368" s="30">
        <f>"20468310010024"</f>
        <v/>
      </c>
      <c r="D368" s="30" t="inlineStr">
        <is>
          <t>TORA TRANSPORTES INDUSTRIAIS LTDA</t>
        </is>
      </c>
      <c r="E368" s="40" t="n">
        <v>11109102.98</v>
      </c>
      <c r="F368" s="40" t="n">
        <v>18857454.96</v>
      </c>
      <c r="G368" s="40" t="n">
        <v>69.75</v>
      </c>
      <c r="H368" s="40" t="n">
        <v>17062683.22</v>
      </c>
      <c r="I368" s="46" t="n">
        <v>-9.52</v>
      </c>
      <c r="J368" s="40" t="n">
        <v>14509264.18</v>
      </c>
      <c r="K368" s="46" t="n">
        <v>-14.96</v>
      </c>
      <c r="L368" s="40" t="n">
        <v>13040590.81</v>
      </c>
      <c r="M368" s="46" t="n">
        <v>-10.12</v>
      </c>
      <c r="N368" s="40" t="n">
        <v>15373049.91</v>
      </c>
      <c r="O368" s="40" t="n">
        <v>17.89</v>
      </c>
      <c r="P368" s="40" t="n">
        <v>21543099.4</v>
      </c>
      <c r="Q368" s="40" t="n">
        <v>40.14</v>
      </c>
      <c r="R368" s="47" t="n"/>
      <c r="S368" s="47" t="n"/>
      <c r="T368" s="47" t="n"/>
      <c r="U368" s="47" t="n"/>
      <c r="V368" s="47" t="n"/>
      <c r="W368" s="47" t="n"/>
    </row>
    <row r="369" ht="12" customHeight="1">
      <c r="A369" s="30" t="inlineStr">
        <is>
          <t>Porto Real</t>
        </is>
      </c>
      <c r="B369" s="30" t="n">
        <v>79762172</v>
      </c>
      <c r="C369" s="36">
        <f>"01178298001754"</f>
        <v/>
      </c>
      <c r="D369" s="30" t="inlineStr">
        <is>
          <t>FAURECIA AUTOMOTIVE DO BRASIL LTDA</t>
        </is>
      </c>
      <c r="E369" s="48" t="n">
        <v>47249525.92</v>
      </c>
      <c r="F369" s="48" t="n">
        <v>77885781.28</v>
      </c>
      <c r="G369" s="48" t="n">
        <v>64.84</v>
      </c>
      <c r="H369" s="48" t="n">
        <v>35428106.9</v>
      </c>
      <c r="I369" s="49" t="n">
        <v>-54.51</v>
      </c>
      <c r="J369" s="48" t="n">
        <v>22897933.54</v>
      </c>
      <c r="K369" s="49" t="n">
        <v>-35.37</v>
      </c>
      <c r="L369" s="48" t="n">
        <v>34438663.01</v>
      </c>
      <c r="M369" s="48" t="n">
        <v>50.4</v>
      </c>
      <c r="N369" s="48" t="n">
        <v>17803459.05</v>
      </c>
      <c r="O369" s="49" t="n">
        <v>-48.3</v>
      </c>
      <c r="P369" s="48" t="n">
        <v>8143333.34</v>
      </c>
      <c r="Q369" s="49" t="n">
        <v>-54.26</v>
      </c>
      <c r="R369" s="47" t="n"/>
      <c r="S369" s="47" t="n"/>
      <c r="T369" s="47" t="n"/>
      <c r="U369" s="47" t="n"/>
      <c r="V369" s="47" t="n"/>
      <c r="W369" s="47" t="n"/>
    </row>
    <row r="370" ht="11.25" customHeight="1">
      <c r="A370" s="30" t="inlineStr">
        <is>
          <t>Porto Real</t>
        </is>
      </c>
      <c r="B370" s="30" t="n">
        <v>79777242</v>
      </c>
      <c r="C370" s="30">
        <f>"01980411000153"</f>
        <v/>
      </c>
      <c r="D370" s="30" t="inlineStr">
        <is>
          <t>PADARIA TEIXEIRA MENDONCA LTDA ME</t>
        </is>
      </c>
      <c r="E370" s="40" t="n">
        <v>0</v>
      </c>
      <c r="F370" s="40" t="n">
        <v>0</v>
      </c>
      <c r="G370" s="40" t="n">
        <v>0</v>
      </c>
      <c r="H370" s="40" t="n">
        <v>0</v>
      </c>
      <c r="I370" s="40" t="n">
        <v>0</v>
      </c>
      <c r="J370" s="40" t="n">
        <v>0</v>
      </c>
      <c r="K370" s="40" t="n">
        <v>0</v>
      </c>
      <c r="L370" s="40" t="n">
        <v>0</v>
      </c>
      <c r="M370" s="40" t="n">
        <v>0</v>
      </c>
      <c r="N370" s="40" t="n">
        <v>0</v>
      </c>
      <c r="O370" s="40" t="n">
        <v>0</v>
      </c>
      <c r="P370" s="40" t="n">
        <v>0</v>
      </c>
      <c r="Q370" s="40" t="n">
        <v>0</v>
      </c>
      <c r="R370" s="47" t="n"/>
      <c r="S370" s="47" t="n"/>
      <c r="T370" s="47" t="n"/>
      <c r="U370" s="47" t="n"/>
      <c r="V370" s="47" t="n"/>
      <c r="W370" s="47" t="n"/>
    </row>
    <row r="371" ht="11.25" customHeight="1">
      <c r="A371" s="30" t="inlineStr">
        <is>
          <t>Porto Real</t>
        </is>
      </c>
      <c r="B371" s="30" t="n">
        <v>79788759</v>
      </c>
      <c r="C371" s="30">
        <f>"00173639000179"</f>
        <v/>
      </c>
      <c r="D371" s="30" t="inlineStr">
        <is>
          <t>M H S MACHADO COUTINHO ME</t>
        </is>
      </c>
      <c r="E371" s="40" t="n">
        <v>0</v>
      </c>
      <c r="F371" s="40" t="n">
        <v>0</v>
      </c>
      <c r="G371" s="40" t="n">
        <v>0</v>
      </c>
      <c r="H371" s="40" t="n">
        <v>0</v>
      </c>
      <c r="I371" s="40" t="n">
        <v>0</v>
      </c>
      <c r="J371" s="40" t="n">
        <v>0</v>
      </c>
      <c r="K371" s="40" t="n">
        <v>0</v>
      </c>
      <c r="L371" s="40" t="n">
        <v>0</v>
      </c>
      <c r="M371" s="40" t="n">
        <v>0</v>
      </c>
      <c r="N371" s="40" t="n">
        <v>0</v>
      </c>
      <c r="O371" s="40" t="n">
        <v>0</v>
      </c>
      <c r="P371" s="40" t="n">
        <v>0</v>
      </c>
      <c r="Q371" s="40" t="n">
        <v>0</v>
      </c>
      <c r="R371" s="47" t="n"/>
      <c r="S371" s="47" t="n"/>
      <c r="T371" s="47" t="n"/>
      <c r="U371" s="47" t="n"/>
      <c r="V371" s="47" t="n"/>
      <c r="W371" s="47" t="n"/>
    </row>
    <row r="372" ht="11.25" customHeight="1">
      <c r="A372" s="30" t="inlineStr">
        <is>
          <t>Porto Real</t>
        </is>
      </c>
      <c r="B372" s="30" t="n">
        <v>79798460</v>
      </c>
      <c r="C372" s="30">
        <f>"05597965000470"</f>
        <v/>
      </c>
      <c r="D372" s="30" t="inlineStr">
        <is>
          <t>KR TRANSPORTES E LOGISTICA LTDA</t>
        </is>
      </c>
      <c r="E372" s="40" t="n">
        <v>0</v>
      </c>
      <c r="F372" s="40" t="n">
        <v>0</v>
      </c>
      <c r="G372" s="40" t="n">
        <v>0</v>
      </c>
      <c r="H372" s="40" t="n">
        <v>0</v>
      </c>
      <c r="I372" s="40" t="n">
        <v>0</v>
      </c>
      <c r="J372" s="40" t="n">
        <v>0</v>
      </c>
      <c r="K372" s="40" t="n">
        <v>0</v>
      </c>
      <c r="L372" s="40" t="n">
        <v>0</v>
      </c>
      <c r="M372" s="40" t="n">
        <v>0</v>
      </c>
      <c r="N372" s="40" t="n">
        <v>54.49</v>
      </c>
      <c r="O372" s="40" t="n">
        <v>100</v>
      </c>
      <c r="P372" s="40" t="n">
        <v>86.86</v>
      </c>
      <c r="Q372" s="40" t="n">
        <v>59.41</v>
      </c>
      <c r="R372" s="47" t="n"/>
      <c r="S372" s="47" t="n"/>
      <c r="T372" s="47" t="n"/>
      <c r="U372" s="47" t="n"/>
      <c r="V372" s="47" t="n"/>
      <c r="W372" s="47" t="n"/>
    </row>
    <row r="373" ht="11.25" customHeight="1">
      <c r="A373" s="30" t="inlineStr">
        <is>
          <t>Porto Real</t>
        </is>
      </c>
      <c r="B373" s="30" t="n">
        <v>79810169</v>
      </c>
      <c r="C373" s="30">
        <f>"01838723041311"</f>
        <v/>
      </c>
      <c r="D373" s="30" t="inlineStr">
        <is>
          <t>BRF S A</t>
        </is>
      </c>
      <c r="E373" s="40" t="n">
        <v>0</v>
      </c>
      <c r="F373" s="40" t="n">
        <v>0</v>
      </c>
      <c r="G373" s="40" t="n">
        <v>0</v>
      </c>
      <c r="H373" s="40" t="n">
        <v>0</v>
      </c>
      <c r="I373" s="40" t="n">
        <v>0</v>
      </c>
      <c r="J373" s="40" t="n">
        <v>0</v>
      </c>
      <c r="K373" s="40" t="n">
        <v>0</v>
      </c>
      <c r="L373" s="40" t="n">
        <v>0</v>
      </c>
      <c r="M373" s="40" t="n">
        <v>0</v>
      </c>
      <c r="N373" s="40" t="n">
        <v>27093.36</v>
      </c>
      <c r="O373" s="40" t="n">
        <v>100</v>
      </c>
      <c r="P373" s="40" t="n">
        <v>206248.99</v>
      </c>
      <c r="Q373" s="40" t="n">
        <v>661.25</v>
      </c>
      <c r="R373" s="47" t="n"/>
      <c r="S373" s="47" t="n"/>
      <c r="T373" s="47" t="n"/>
      <c r="U373" s="47" t="n"/>
      <c r="V373" s="47" t="n"/>
      <c r="W373" s="47" t="n"/>
    </row>
    <row r="374" ht="11.25" customHeight="1">
      <c r="A374" s="30" t="inlineStr">
        <is>
          <t>Porto Real</t>
        </is>
      </c>
      <c r="B374" s="30" t="n">
        <v>79816930</v>
      </c>
      <c r="C374" s="30">
        <f>"05423963013361"</f>
        <v/>
      </c>
      <c r="D374" s="30" t="inlineStr">
        <is>
          <t>OI MOVEL S.A. - EM RECUPERACAO JUDICIAL</t>
        </is>
      </c>
      <c r="E374" s="40" t="n">
        <v>360922.8</v>
      </c>
      <c r="F374" s="40" t="n">
        <v>329276.35</v>
      </c>
      <c r="G374" s="46" t="n">
        <v>-8.77</v>
      </c>
      <c r="H374" s="40" t="n">
        <v>298541.12</v>
      </c>
      <c r="I374" s="46" t="n">
        <v>-9.33</v>
      </c>
      <c r="J374" s="40" t="n">
        <v>303021.05</v>
      </c>
      <c r="K374" s="40" t="n">
        <v>1.5</v>
      </c>
      <c r="L374" s="40" t="n">
        <v>316400.78</v>
      </c>
      <c r="M374" s="40" t="n">
        <v>4.42</v>
      </c>
      <c r="N374" s="40" t="n">
        <v>25626.45</v>
      </c>
      <c r="O374" s="46" t="n">
        <v>-91.90000000000001</v>
      </c>
      <c r="P374" s="40" t="n">
        <v>0</v>
      </c>
      <c r="Q374" s="46" t="n">
        <v>-100</v>
      </c>
      <c r="R374" s="47" t="n"/>
      <c r="S374" s="47" t="n"/>
      <c r="T374" s="47" t="n"/>
      <c r="U374" s="47" t="n"/>
      <c r="V374" s="47" t="n"/>
      <c r="W374" s="47" t="n"/>
    </row>
    <row r="375" ht="11.25" customHeight="1">
      <c r="A375" s="30" t="inlineStr">
        <is>
          <t>Porto Real</t>
        </is>
      </c>
      <c r="B375" s="30" t="n">
        <v>79825719</v>
      </c>
      <c r="C375" s="30">
        <f>"11040609000100"</f>
        <v/>
      </c>
      <c r="D375" s="30" t="inlineStr">
        <is>
          <t>H D LOG TRANSPORTES LTDA ME</t>
        </is>
      </c>
      <c r="E375" s="40" t="n">
        <v>0</v>
      </c>
      <c r="F375" s="40" t="n">
        <v>0</v>
      </c>
      <c r="G375" s="40" t="n">
        <v>0</v>
      </c>
      <c r="H375" s="40" t="n">
        <v>0</v>
      </c>
      <c r="I375" s="40" t="n">
        <v>0</v>
      </c>
      <c r="J375" s="40" t="n">
        <v>0</v>
      </c>
      <c r="K375" s="40" t="n">
        <v>0</v>
      </c>
      <c r="L375" s="40" t="n">
        <v>0</v>
      </c>
      <c r="M375" s="40" t="n">
        <v>0</v>
      </c>
      <c r="N375" s="40" t="n">
        <v>105.61</v>
      </c>
      <c r="O375" s="40" t="n">
        <v>100</v>
      </c>
      <c r="P375" s="40" t="n">
        <v>402.55</v>
      </c>
      <c r="Q375" s="40" t="n">
        <v>281.17</v>
      </c>
      <c r="R375" s="47" t="n"/>
      <c r="S375" s="47" t="n"/>
      <c r="T375" s="47" t="n"/>
      <c r="U375" s="47" t="n"/>
      <c r="V375" s="47" t="n"/>
      <c r="W375" s="47" t="n"/>
    </row>
    <row r="376" ht="11.25" customHeight="1">
      <c r="A376" s="30" t="inlineStr">
        <is>
          <t>Porto Real</t>
        </is>
      </c>
      <c r="B376" s="30" t="n">
        <v>79832049</v>
      </c>
      <c r="C376" s="30">
        <f>"17354841000108"</f>
        <v/>
      </c>
      <c r="D376" s="30" t="inlineStr">
        <is>
          <t>TRANSPAX TRANSPORTADORA LTDA</t>
        </is>
      </c>
      <c r="E376" s="40" t="n">
        <v>137098.16</v>
      </c>
      <c r="F376" s="40" t="n">
        <v>256212.44</v>
      </c>
      <c r="G376" s="40" t="n">
        <v>86.88</v>
      </c>
      <c r="H376" s="40" t="n">
        <v>1756105.24</v>
      </c>
      <c r="I376" s="40" t="n">
        <v>585.41</v>
      </c>
      <c r="J376" s="40" t="n">
        <v>865955.48</v>
      </c>
      <c r="K376" s="46" t="n">
        <v>-50.69</v>
      </c>
      <c r="L376" s="40" t="n">
        <v>4625634</v>
      </c>
      <c r="M376" s="40" t="n">
        <v>434.17</v>
      </c>
      <c r="N376" s="40" t="n">
        <v>11324801.77</v>
      </c>
      <c r="O376" s="40" t="n">
        <v>144.83</v>
      </c>
      <c r="P376" s="40" t="n">
        <v>5752530.27</v>
      </c>
      <c r="Q376" s="46" t="n">
        <v>-49.2</v>
      </c>
      <c r="R376" s="47" t="n"/>
      <c r="S376" s="47" t="n"/>
      <c r="T376" s="47" t="n"/>
      <c r="U376" s="47" t="n"/>
      <c r="V376" s="47" t="n"/>
      <c r="W376" s="47" t="n"/>
    </row>
    <row r="377" ht="11.25" customHeight="1">
      <c r="A377" s="30" t="inlineStr">
        <is>
          <t>Porto Real</t>
        </is>
      </c>
      <c r="B377" s="30" t="n">
        <v>79835862</v>
      </c>
      <c r="C377" s="30">
        <f>"02351144003648"</f>
        <v/>
      </c>
      <c r="D377" s="30" t="inlineStr">
        <is>
          <t>TEGMA GESTAO LOGISTICA S/A</t>
        </is>
      </c>
      <c r="E377" s="40" t="n">
        <v>391784.99</v>
      </c>
      <c r="F377" s="40" t="n">
        <v>448820.59</v>
      </c>
      <c r="G377" s="40" t="n">
        <v>14.56</v>
      </c>
      <c r="H377" s="40" t="n">
        <v>588782.8199999999</v>
      </c>
      <c r="I377" s="40" t="n">
        <v>31.18</v>
      </c>
      <c r="J377" s="40" t="n">
        <v>387012.13</v>
      </c>
      <c r="K377" s="46" t="n">
        <v>-34.27</v>
      </c>
      <c r="L377" s="40" t="n">
        <v>2311080.14</v>
      </c>
      <c r="M377" s="40" t="n">
        <v>497.16</v>
      </c>
      <c r="N377" s="40" t="n">
        <v>3356972.05</v>
      </c>
      <c r="O377" s="40" t="n">
        <v>45.26</v>
      </c>
      <c r="P377" s="40" t="n">
        <v>2974007.4</v>
      </c>
      <c r="Q377" s="46" t="n">
        <v>-11.41</v>
      </c>
      <c r="R377" s="47" t="n"/>
      <c r="S377" s="47" t="n"/>
      <c r="T377" s="47" t="n"/>
      <c r="U377" s="47" t="n"/>
      <c r="V377" s="47" t="n"/>
      <c r="W377" s="47" t="n"/>
    </row>
    <row r="378" ht="11.25" customHeight="1">
      <c r="A378" s="30" t="inlineStr">
        <is>
          <t>Porto Real</t>
        </is>
      </c>
      <c r="B378" s="30" t="n">
        <v>79852120</v>
      </c>
      <c r="C378" s="30">
        <f>"09174577000780"</f>
        <v/>
      </c>
      <c r="D378" s="30" t="inlineStr">
        <is>
          <t>BCUBE LOGISTIC LTDA</t>
        </is>
      </c>
      <c r="E378" s="40" t="n">
        <v>3214.4</v>
      </c>
      <c r="F378" s="40" t="n">
        <v>1191.88</v>
      </c>
      <c r="G378" s="46" t="n">
        <v>-62.92</v>
      </c>
      <c r="H378" s="40" t="n">
        <v>0</v>
      </c>
      <c r="I378" s="46" t="n">
        <v>-100</v>
      </c>
      <c r="J378" s="40" t="n">
        <v>0</v>
      </c>
      <c r="K378" s="40" t="n">
        <v>0</v>
      </c>
      <c r="L378" s="40" t="n">
        <v>0</v>
      </c>
      <c r="M378" s="40" t="n">
        <v>0</v>
      </c>
      <c r="N378" s="40" t="n">
        <v>0</v>
      </c>
      <c r="O378" s="40" t="n">
        <v>0</v>
      </c>
      <c r="P378" s="40" t="n">
        <v>0</v>
      </c>
      <c r="Q378" s="40" t="n">
        <v>0</v>
      </c>
      <c r="R378" s="47" t="n"/>
      <c r="S378" s="47" t="n"/>
      <c r="T378" s="47" t="n"/>
      <c r="U378" s="47" t="n"/>
      <c r="V378" s="47" t="n"/>
      <c r="W378" s="47" t="n"/>
    </row>
    <row r="379" ht="11.25" customHeight="1">
      <c r="A379" s="30" t="inlineStr">
        <is>
          <t>Porto Real</t>
        </is>
      </c>
      <c r="B379" s="30" t="n">
        <v>79858226</v>
      </c>
      <c r="C379" s="30">
        <f>"49243124000430"</f>
        <v/>
      </c>
      <c r="D379" s="30" t="inlineStr">
        <is>
          <t>TRANSMORENO TRANSPORTE E LOGISTICA LTDA</t>
        </is>
      </c>
      <c r="E379" s="40" t="n">
        <v>2386.6</v>
      </c>
      <c r="F379" s="40" t="n">
        <v>9831.16</v>
      </c>
      <c r="G379" s="40" t="n">
        <v>311.93</v>
      </c>
      <c r="H379" s="40" t="n">
        <v>4029.76</v>
      </c>
      <c r="I379" s="46" t="n">
        <v>-59.01</v>
      </c>
      <c r="J379" s="40" t="n">
        <v>2546775.67</v>
      </c>
      <c r="K379" s="40" t="n">
        <v>63099.19</v>
      </c>
      <c r="L379" s="40" t="n">
        <v>39874242.82</v>
      </c>
      <c r="M379" s="40" t="n">
        <v>1465.68</v>
      </c>
      <c r="N379" s="40" t="n">
        <v>800918.3100000001</v>
      </c>
      <c r="O379" s="46" t="n">
        <v>-97.98999999999999</v>
      </c>
      <c r="P379" s="40" t="n">
        <v>2866.24</v>
      </c>
      <c r="Q379" s="46" t="n">
        <v>-99.64</v>
      </c>
      <c r="R379" s="47" t="n"/>
      <c r="S379" s="47" t="n"/>
      <c r="T379" s="47" t="n"/>
      <c r="U379" s="47" t="n"/>
      <c r="V379" s="47" t="n"/>
      <c r="W379" s="47" t="n"/>
    </row>
    <row r="380" ht="11.25" customHeight="1">
      <c r="A380" s="30" t="inlineStr">
        <is>
          <t>Porto Real</t>
        </is>
      </c>
      <c r="B380" s="30" t="n">
        <v>79869988</v>
      </c>
      <c r="C380" s="30">
        <f>"60541240000710"</f>
        <v/>
      </c>
      <c r="D380" s="30" t="inlineStr">
        <is>
          <t>TECNOLOG TRANSPORTES RODO AEREO E LOGISTICA LTDA</t>
        </is>
      </c>
      <c r="E380" s="40" t="n">
        <v>0</v>
      </c>
      <c r="F380" s="40" t="n">
        <v>0</v>
      </c>
      <c r="G380" s="40" t="n">
        <v>0</v>
      </c>
      <c r="H380" s="40" t="n">
        <v>0</v>
      </c>
      <c r="I380" s="40" t="n">
        <v>0</v>
      </c>
      <c r="J380" s="40" t="n">
        <v>0</v>
      </c>
      <c r="K380" s="40" t="n">
        <v>0</v>
      </c>
      <c r="L380" s="40" t="n">
        <v>858.5</v>
      </c>
      <c r="M380" s="40" t="n">
        <v>100</v>
      </c>
      <c r="N380" s="40" t="n">
        <v>0</v>
      </c>
      <c r="O380" s="46" t="n">
        <v>-100</v>
      </c>
      <c r="P380" s="40" t="n">
        <v>0</v>
      </c>
      <c r="Q380" s="40" t="n">
        <v>0</v>
      </c>
      <c r="R380" s="47" t="n"/>
      <c r="S380" s="47" t="n"/>
      <c r="T380" s="47" t="n"/>
      <c r="U380" s="47" t="n"/>
      <c r="V380" s="47" t="n"/>
      <c r="W380" s="47" t="n"/>
    </row>
    <row r="381" ht="11.25" customHeight="1">
      <c r="A381" s="30" t="inlineStr">
        <is>
          <t>Porto Real</t>
        </is>
      </c>
      <c r="B381" s="30" t="n">
        <v>79886602</v>
      </c>
      <c r="C381" s="30">
        <f>"16734288000168"</f>
        <v/>
      </c>
      <c r="D381" s="30" t="inlineStr">
        <is>
          <t>RT MULTI SERVICE LTDA ME</t>
        </is>
      </c>
      <c r="E381" s="40" t="n">
        <v>0</v>
      </c>
      <c r="F381" s="40" t="n">
        <v>0</v>
      </c>
      <c r="G381" s="40" t="n">
        <v>0</v>
      </c>
      <c r="H381" s="40" t="n">
        <v>0</v>
      </c>
      <c r="I381" s="40" t="n">
        <v>0</v>
      </c>
      <c r="J381" s="40" t="n">
        <v>0</v>
      </c>
      <c r="K381" s="40" t="n">
        <v>0</v>
      </c>
      <c r="L381" s="40" t="n">
        <v>0</v>
      </c>
      <c r="M381" s="40" t="n">
        <v>0</v>
      </c>
      <c r="N381" s="40" t="n">
        <v>0</v>
      </c>
      <c r="O381" s="40" t="n">
        <v>0</v>
      </c>
      <c r="P381" s="40" t="n">
        <v>106343.27</v>
      </c>
      <c r="Q381" s="40" t="n">
        <v>100</v>
      </c>
      <c r="R381" s="47" t="n"/>
      <c r="S381" s="47" t="n"/>
      <c r="T381" s="47" t="n"/>
      <c r="U381" s="47" t="n"/>
      <c r="V381" s="47" t="n"/>
      <c r="W381" s="47" t="n"/>
    </row>
    <row r="382" ht="11.25" customHeight="1">
      <c r="A382" s="30" t="inlineStr">
        <is>
          <t>Porto Real</t>
        </is>
      </c>
      <c r="B382" s="30" t="n">
        <v>79918768</v>
      </c>
      <c r="C382" s="30">
        <f>"17636490000110"</f>
        <v/>
      </c>
      <c r="D382" s="30" t="inlineStr">
        <is>
          <t>TMA TRANSPORTE LOTACAO E LOGISTICA LTDA</t>
        </is>
      </c>
      <c r="E382" s="40" t="n">
        <v>0</v>
      </c>
      <c r="F382" s="40" t="n">
        <v>0</v>
      </c>
      <c r="G382" s="40" t="n">
        <v>0</v>
      </c>
      <c r="H382" s="40" t="n">
        <v>454.29</v>
      </c>
      <c r="I382" s="40" t="n">
        <v>100</v>
      </c>
      <c r="J382" s="40" t="n">
        <v>352.71</v>
      </c>
      <c r="K382" s="46" t="n">
        <v>-22.36</v>
      </c>
      <c r="L382" s="40" t="n">
        <v>0</v>
      </c>
      <c r="M382" s="46" t="n">
        <v>-100</v>
      </c>
      <c r="N382" s="40" t="n">
        <v>0</v>
      </c>
      <c r="O382" s="40" t="n">
        <v>0</v>
      </c>
      <c r="P382" s="40" t="n">
        <v>0</v>
      </c>
      <c r="Q382" s="40" t="n">
        <v>0</v>
      </c>
      <c r="R382" s="47" t="n"/>
      <c r="S382" s="47" t="n"/>
      <c r="T382" s="47" t="n"/>
      <c r="U382" s="47" t="n"/>
      <c r="V382" s="47" t="n"/>
      <c r="W382" s="47" t="n"/>
    </row>
    <row r="383" ht="11.25" customHeight="1">
      <c r="A383" s="30" t="inlineStr">
        <is>
          <t>Porto Real</t>
        </is>
      </c>
      <c r="B383" s="30" t="n">
        <v>79920746</v>
      </c>
      <c r="C383" s="30">
        <f>"17902247000104"</f>
        <v/>
      </c>
      <c r="D383" s="30" t="inlineStr">
        <is>
          <t>LAFE DISTRIBUIDORA DE DOCES LTDA - ME</t>
        </is>
      </c>
      <c r="E383" s="40" t="n">
        <v>0</v>
      </c>
      <c r="F383" s="40" t="n">
        <v>0</v>
      </c>
      <c r="G383" s="40" t="n">
        <v>0</v>
      </c>
      <c r="H383" s="40" t="n">
        <v>0</v>
      </c>
      <c r="I383" s="40" t="n">
        <v>0</v>
      </c>
      <c r="J383" s="40" t="n">
        <v>0</v>
      </c>
      <c r="K383" s="40" t="n">
        <v>0</v>
      </c>
      <c r="L383" s="40" t="n">
        <v>0</v>
      </c>
      <c r="M383" s="40" t="n">
        <v>0</v>
      </c>
      <c r="N383" s="40" t="n">
        <v>0</v>
      </c>
      <c r="O383" s="40" t="n">
        <v>0</v>
      </c>
      <c r="P383" s="40" t="n">
        <v>0</v>
      </c>
      <c r="Q383" s="40" t="n">
        <v>0</v>
      </c>
      <c r="R383" s="47" t="n"/>
      <c r="S383" s="47" t="n"/>
      <c r="T383" s="47" t="n"/>
      <c r="U383" s="47" t="n"/>
      <c r="V383" s="47" t="n"/>
      <c r="W383" s="47" t="n"/>
    </row>
    <row r="384" ht="11.25" customHeight="1">
      <c r="A384" s="30" t="inlineStr">
        <is>
          <t>Porto Real</t>
        </is>
      </c>
      <c r="B384" s="30" t="n">
        <v>79953911</v>
      </c>
      <c r="C384" s="30">
        <f>"18410271000180"</f>
        <v/>
      </c>
      <c r="D384" s="30" t="inlineStr">
        <is>
          <t>EXPRESSO GIBB TRANSPORTES EIRELI</t>
        </is>
      </c>
      <c r="E384" s="40" t="n">
        <v>0</v>
      </c>
      <c r="F384" s="40" t="n">
        <v>518.92</v>
      </c>
      <c r="G384" s="40" t="n">
        <v>100</v>
      </c>
      <c r="H384" s="40" t="n">
        <v>0</v>
      </c>
      <c r="I384" s="46" t="n">
        <v>-100</v>
      </c>
      <c r="J384" s="40" t="n">
        <v>0</v>
      </c>
      <c r="K384" s="40" t="n">
        <v>0</v>
      </c>
      <c r="L384" s="40" t="n">
        <v>0</v>
      </c>
      <c r="M384" s="40" t="n">
        <v>0</v>
      </c>
      <c r="N384" s="40" t="n">
        <v>0</v>
      </c>
      <c r="O384" s="40" t="n">
        <v>0</v>
      </c>
      <c r="P384" s="40" t="n">
        <v>0</v>
      </c>
      <c r="Q384" s="40" t="n">
        <v>0</v>
      </c>
      <c r="R384" s="47" t="n"/>
      <c r="S384" s="47" t="n"/>
      <c r="T384" s="47" t="n"/>
      <c r="U384" s="47" t="n"/>
      <c r="V384" s="47" t="n"/>
      <c r="W384" s="47" t="n"/>
    </row>
    <row r="385" ht="11.25" customHeight="1">
      <c r="A385" s="30" t="inlineStr">
        <is>
          <t>Porto Real</t>
        </is>
      </c>
      <c r="B385" s="30" t="n">
        <v>79958743</v>
      </c>
      <c r="C385" s="30">
        <f>"06998179000102"</f>
        <v/>
      </c>
      <c r="D385" s="30" t="inlineStr">
        <is>
          <t>LMT EMPREENDIMENTOS IMOBILIARIOS E PARTICIPACOES LTDA</t>
        </is>
      </c>
      <c r="E385" s="40" t="n">
        <v>0</v>
      </c>
      <c r="F385" s="40" t="n">
        <v>0</v>
      </c>
      <c r="G385" s="40" t="n">
        <v>0</v>
      </c>
      <c r="H385" s="40" t="n">
        <v>0</v>
      </c>
      <c r="I385" s="40" t="n">
        <v>0</v>
      </c>
      <c r="J385" s="40" t="n">
        <v>0</v>
      </c>
      <c r="K385" s="40" t="n">
        <v>0</v>
      </c>
      <c r="L385" s="40" t="n">
        <v>0</v>
      </c>
      <c r="M385" s="40" t="n">
        <v>0</v>
      </c>
      <c r="N385" s="40" t="n">
        <v>0</v>
      </c>
      <c r="O385" s="40" t="n">
        <v>0</v>
      </c>
      <c r="P385" s="40" t="n">
        <v>0</v>
      </c>
      <c r="Q385" s="40" t="n">
        <v>0</v>
      </c>
      <c r="R385" s="47" t="n"/>
      <c r="S385" s="47" t="n"/>
      <c r="T385" s="47" t="n"/>
      <c r="U385" s="47" t="n"/>
      <c r="V385" s="47" t="n"/>
      <c r="W385" s="47" t="n"/>
    </row>
    <row r="386" ht="11.25" customHeight="1">
      <c r="A386" s="30" t="inlineStr">
        <is>
          <t>Porto Real</t>
        </is>
      </c>
      <c r="B386" s="30" t="n">
        <v>79969265</v>
      </c>
      <c r="C386" s="30">
        <f>"02905110054724"</f>
        <v/>
      </c>
      <c r="D386" s="30" t="inlineStr">
        <is>
          <t>GR SERVICOS E ALIMENTACAO LTDA</t>
        </is>
      </c>
      <c r="E386" s="40" t="n">
        <v>0</v>
      </c>
      <c r="F386" s="40" t="n">
        <v>0</v>
      </c>
      <c r="G386" s="40" t="n">
        <v>0</v>
      </c>
      <c r="H386" s="40" t="n">
        <v>0</v>
      </c>
      <c r="I386" s="40" t="n">
        <v>0</v>
      </c>
      <c r="J386" s="40" t="n">
        <v>0</v>
      </c>
      <c r="K386" s="40" t="n">
        <v>0</v>
      </c>
      <c r="L386" s="40" t="n">
        <v>0</v>
      </c>
      <c r="M386" s="40" t="n">
        <v>0</v>
      </c>
      <c r="N386" s="40" t="n">
        <v>0</v>
      </c>
      <c r="O386" s="40" t="n">
        <v>0</v>
      </c>
      <c r="P386" s="40" t="n">
        <v>0</v>
      </c>
      <c r="Q386" s="40" t="n">
        <v>0</v>
      </c>
      <c r="R386" s="47" t="n"/>
      <c r="S386" s="47" t="n"/>
      <c r="T386" s="47" t="n"/>
      <c r="U386" s="47" t="n"/>
      <c r="V386" s="47" t="n"/>
      <c r="W386" s="47" t="n"/>
    </row>
    <row r="387" ht="11.25" customHeight="1">
      <c r="A387" s="30" t="inlineStr">
        <is>
          <t>Porto Real</t>
        </is>
      </c>
      <c r="B387" s="30" t="n">
        <v>79988073</v>
      </c>
      <c r="C387" s="30">
        <f>"18674775000108"</f>
        <v/>
      </c>
      <c r="D387" s="30" t="inlineStr">
        <is>
          <t>M S DE ALMEIDA TRANSPORTES - ME</t>
        </is>
      </c>
      <c r="E387" s="40" t="n">
        <v>0</v>
      </c>
      <c r="F387" s="40" t="n">
        <v>0</v>
      </c>
      <c r="G387" s="40" t="n">
        <v>0</v>
      </c>
      <c r="H387" s="40" t="n">
        <v>0</v>
      </c>
      <c r="I387" s="40" t="n">
        <v>0</v>
      </c>
      <c r="J387" s="40" t="n">
        <v>125</v>
      </c>
      <c r="K387" s="40" t="n">
        <v>100</v>
      </c>
      <c r="L387" s="40" t="n">
        <v>0</v>
      </c>
      <c r="M387" s="46" t="n">
        <v>-100</v>
      </c>
      <c r="N387" s="40" t="n">
        <v>0</v>
      </c>
      <c r="O387" s="40" t="n">
        <v>0</v>
      </c>
      <c r="P387" s="40" t="n">
        <v>0</v>
      </c>
      <c r="Q387" s="40" t="n">
        <v>0</v>
      </c>
      <c r="R387" s="47" t="n"/>
      <c r="S387" s="47" t="n"/>
      <c r="T387" s="47" t="n"/>
      <c r="U387" s="47" t="n"/>
      <c r="V387" s="47" t="n"/>
      <c r="W387" s="47" t="n"/>
    </row>
    <row r="388" ht="11.25" customHeight="1">
      <c r="A388" s="30" t="inlineStr">
        <is>
          <t>Porto Real</t>
        </is>
      </c>
      <c r="B388" s="30" t="n">
        <v>80046561</v>
      </c>
      <c r="C388" s="30">
        <f>"33050071000158"</f>
        <v/>
      </c>
      <c r="D388" s="30" t="inlineStr">
        <is>
          <t>AMPLA ENERGIA E SERVICOS S.A.</t>
        </is>
      </c>
      <c r="E388" s="40" t="n">
        <v>44198636.25</v>
      </c>
      <c r="F388" s="40" t="n">
        <v>56721497.69</v>
      </c>
      <c r="G388" s="40" t="n">
        <v>28.33</v>
      </c>
      <c r="H388" s="40" t="n">
        <v>61409473.33</v>
      </c>
      <c r="I388" s="40" t="n">
        <v>8.26</v>
      </c>
      <c r="J388" s="40" t="n">
        <v>56658761.19</v>
      </c>
      <c r="K388" s="46" t="n">
        <v>-7.74</v>
      </c>
      <c r="L388" s="40" t="n">
        <v>40683068.12</v>
      </c>
      <c r="M388" s="46" t="n">
        <v>-28.2</v>
      </c>
      <c r="N388" s="40" t="n">
        <v>77301146.84999999</v>
      </c>
      <c r="O388" s="40" t="n">
        <v>90.01000000000001</v>
      </c>
      <c r="P388" s="40" t="n">
        <v>58261402.26</v>
      </c>
      <c r="Q388" s="46" t="n">
        <v>-24.63</v>
      </c>
      <c r="R388" s="47" t="n"/>
      <c r="S388" s="47" t="n"/>
      <c r="T388" s="47" t="n"/>
      <c r="U388" s="47" t="n"/>
      <c r="V388" s="47" t="n"/>
      <c r="W388" s="47" t="n"/>
    </row>
    <row r="389" ht="11.25" customHeight="1">
      <c r="A389" s="30" t="inlineStr">
        <is>
          <t>Porto Real</t>
        </is>
      </c>
      <c r="B389" s="30" t="n">
        <v>80525745</v>
      </c>
      <c r="C389" s="30">
        <f>"29453826000198"</f>
        <v/>
      </c>
      <c r="D389" s="30" t="inlineStr">
        <is>
          <t>TRANSPORTE GENEROSO LTDA</t>
        </is>
      </c>
      <c r="E389" s="40" t="n">
        <v>173974.69</v>
      </c>
      <c r="F389" s="40" t="n">
        <v>11919.09</v>
      </c>
      <c r="G389" s="46" t="n">
        <v>-93.15000000000001</v>
      </c>
      <c r="H389" s="40" t="n">
        <v>19363.02</v>
      </c>
      <c r="I389" s="40" t="n">
        <v>62.45</v>
      </c>
      <c r="J389" s="40" t="n">
        <v>29129.78</v>
      </c>
      <c r="K389" s="40" t="n">
        <v>50.44</v>
      </c>
      <c r="L389" s="40" t="n">
        <v>35089.29</v>
      </c>
      <c r="M389" s="40" t="n">
        <v>20.46</v>
      </c>
      <c r="N389" s="40" t="n">
        <v>30123.78</v>
      </c>
      <c r="O389" s="46" t="n">
        <v>-14.15</v>
      </c>
      <c r="P389" s="40" t="n">
        <v>29589.85</v>
      </c>
      <c r="Q389" s="46" t="n">
        <v>-1.77</v>
      </c>
      <c r="R389" s="47" t="n"/>
      <c r="S389" s="47" t="n"/>
      <c r="T389" s="47" t="n"/>
      <c r="U389" s="47" t="n"/>
      <c r="V389" s="47" t="n"/>
      <c r="W389" s="47" t="n"/>
    </row>
    <row r="390" ht="11.25" customHeight="1">
      <c r="A390" s="30" t="inlineStr">
        <is>
          <t>Porto Real</t>
        </is>
      </c>
      <c r="B390" s="30" t="n">
        <v>80530838</v>
      </c>
      <c r="C390" s="30">
        <f>"29291184000178"</f>
        <v/>
      </c>
      <c r="D390" s="30" t="inlineStr">
        <is>
          <t>TRANSPORTES TONIATO LTDA</t>
        </is>
      </c>
      <c r="E390" s="40" t="n">
        <v>123084.29</v>
      </c>
      <c r="F390" s="40" t="n">
        <v>13849.28</v>
      </c>
      <c r="G390" s="46" t="n">
        <v>-88.75</v>
      </c>
      <c r="H390" s="40" t="n">
        <v>5955.28</v>
      </c>
      <c r="I390" s="46" t="n">
        <v>-57</v>
      </c>
      <c r="J390" s="40" t="n">
        <v>1915.28</v>
      </c>
      <c r="K390" s="46" t="n">
        <v>-67.84</v>
      </c>
      <c r="L390" s="40" t="n">
        <v>7273.13</v>
      </c>
      <c r="M390" s="40" t="n">
        <v>279.74</v>
      </c>
      <c r="N390" s="40" t="n">
        <v>3625.18</v>
      </c>
      <c r="O390" s="46" t="n">
        <v>-50.16</v>
      </c>
      <c r="P390" s="40" t="n">
        <v>1247.87</v>
      </c>
      <c r="Q390" s="46" t="n">
        <v>-65.58</v>
      </c>
      <c r="R390" s="47" t="n"/>
      <c r="S390" s="47" t="n"/>
      <c r="T390" s="47" t="n"/>
      <c r="U390" s="47" t="n"/>
      <c r="V390" s="47" t="n"/>
      <c r="W390" s="47" t="n"/>
    </row>
    <row r="391" ht="11.25" customHeight="1">
      <c r="A391" s="30" t="inlineStr">
        <is>
          <t>Porto Real</t>
        </is>
      </c>
      <c r="B391" s="30" t="n">
        <v>80593449</v>
      </c>
      <c r="C391" s="30">
        <f>"31452667000159"</f>
        <v/>
      </c>
      <c r="D391" s="30" t="inlineStr">
        <is>
          <t>SOCIEDADE AGRICOLA E INDUSTRIAL FONTANEZZI LTDA</t>
        </is>
      </c>
      <c r="E391" s="40" t="n">
        <v>0</v>
      </c>
      <c r="F391" s="40" t="n">
        <v>0</v>
      </c>
      <c r="G391" s="40" t="n">
        <v>0</v>
      </c>
      <c r="H391" s="40" t="n">
        <v>0</v>
      </c>
      <c r="I391" s="40" t="n">
        <v>0</v>
      </c>
      <c r="J391" s="40" t="n">
        <v>0</v>
      </c>
      <c r="K391" s="40" t="n">
        <v>0</v>
      </c>
      <c r="L391" s="40" t="n">
        <v>0</v>
      </c>
      <c r="M391" s="40" t="n">
        <v>0</v>
      </c>
      <c r="N391" s="40" t="n">
        <v>0</v>
      </c>
      <c r="O391" s="40" t="n">
        <v>0</v>
      </c>
      <c r="P391" s="40" t="n">
        <v>0</v>
      </c>
      <c r="Q391" s="40" t="n">
        <v>0</v>
      </c>
      <c r="R391" s="47" t="n"/>
      <c r="S391" s="47" t="n"/>
      <c r="T391" s="47" t="n"/>
      <c r="U391" s="47" t="n"/>
      <c r="V391" s="47" t="n"/>
      <c r="W391" s="47" t="n"/>
    </row>
    <row r="392" ht="11.25" customHeight="1">
      <c r="A392" s="30" t="inlineStr">
        <is>
          <t>Porto Real</t>
        </is>
      </c>
      <c r="B392" s="30" t="n">
        <v>80735936</v>
      </c>
      <c r="C392" s="30">
        <f>"49930514002693"</f>
        <v/>
      </c>
      <c r="D392" s="30" t="inlineStr">
        <is>
          <t>SODEXO DO BRASIL COMERCIAL S A</t>
        </is>
      </c>
      <c r="E392" s="40" t="n">
        <v>0</v>
      </c>
      <c r="F392" s="40" t="n">
        <v>0</v>
      </c>
      <c r="G392" s="40" t="n">
        <v>0</v>
      </c>
      <c r="H392" s="40" t="n">
        <v>0</v>
      </c>
      <c r="I392" s="40" t="n">
        <v>0</v>
      </c>
      <c r="J392" s="40" t="n">
        <v>44232.21</v>
      </c>
      <c r="K392" s="40" t="n">
        <v>100</v>
      </c>
      <c r="L392" s="40" t="n">
        <v>321117.37</v>
      </c>
      <c r="M392" s="40" t="n">
        <v>625.98</v>
      </c>
      <c r="N392" s="40" t="n">
        <v>321001.76</v>
      </c>
      <c r="O392" s="46" t="n">
        <v>-0.04</v>
      </c>
      <c r="P392" s="40" t="n">
        <v>735573.78</v>
      </c>
      <c r="Q392" s="40" t="n">
        <v>129.15</v>
      </c>
      <c r="R392" s="47" t="n"/>
      <c r="S392" s="47" t="n"/>
      <c r="T392" s="47" t="n"/>
      <c r="U392" s="47" t="n"/>
      <c r="V392" s="47" t="n"/>
      <c r="W392" s="47" t="n"/>
    </row>
    <row r="393" ht="11.25" customHeight="1">
      <c r="A393" s="30" t="inlineStr">
        <is>
          <t>Porto Real</t>
        </is>
      </c>
      <c r="B393" s="30" t="n">
        <v>80829795</v>
      </c>
      <c r="C393" s="30">
        <f>"32404063000108"</f>
        <v/>
      </c>
      <c r="D393" s="30" t="inlineStr">
        <is>
          <t>VIACAO PROGRESSO E TURISMO S/A</t>
        </is>
      </c>
      <c r="E393" s="40" t="n">
        <v>820.9</v>
      </c>
      <c r="F393" s="40" t="n">
        <v>0</v>
      </c>
      <c r="G393" s="46" t="n">
        <v>-100</v>
      </c>
      <c r="H393" s="40" t="n">
        <v>0</v>
      </c>
      <c r="I393" s="40" t="n">
        <v>0</v>
      </c>
      <c r="J393" s="40" t="n">
        <v>0</v>
      </c>
      <c r="K393" s="40" t="n">
        <v>0</v>
      </c>
      <c r="L393" s="40" t="n">
        <v>0</v>
      </c>
      <c r="M393" s="40" t="n">
        <v>0</v>
      </c>
      <c r="N393" s="40" t="n">
        <v>0</v>
      </c>
      <c r="O393" s="40" t="n">
        <v>0</v>
      </c>
      <c r="P393" s="40" t="n">
        <v>0</v>
      </c>
      <c r="Q393" s="40" t="n">
        <v>0</v>
      </c>
      <c r="R393" s="47" t="n"/>
      <c r="S393" s="47" t="n"/>
      <c r="T393" s="47" t="n"/>
      <c r="U393" s="47" t="n"/>
      <c r="V393" s="47" t="n"/>
      <c r="W393" s="47" t="n"/>
    </row>
    <row r="394" ht="11.25" customHeight="1">
      <c r="A394" s="30" t="inlineStr">
        <is>
          <t>Porto Real</t>
        </is>
      </c>
      <c r="B394" s="30" t="n">
        <v>81239592</v>
      </c>
      <c r="C394" s="30">
        <f>"58890252000202"</f>
        <v/>
      </c>
      <c r="D394" s="30" t="inlineStr">
        <is>
          <t>DHL EXPRESS BRASIL LTDA</t>
        </is>
      </c>
      <c r="E394" s="40" t="n">
        <v>5282.02</v>
      </c>
      <c r="F394" s="40" t="n">
        <v>4054.43</v>
      </c>
      <c r="G394" s="46" t="n">
        <v>-23.24</v>
      </c>
      <c r="H394" s="40" t="n">
        <v>39.35</v>
      </c>
      <c r="I394" s="46" t="n">
        <v>-99.03</v>
      </c>
      <c r="J394" s="40" t="n">
        <v>2441.58</v>
      </c>
      <c r="K394" s="40" t="n">
        <v>6104.78</v>
      </c>
      <c r="L394" s="40" t="n">
        <v>1475.66</v>
      </c>
      <c r="M394" s="46" t="n">
        <v>-39.56</v>
      </c>
      <c r="N394" s="40" t="n">
        <v>9179.129999999999</v>
      </c>
      <c r="O394" s="40" t="n">
        <v>522.04</v>
      </c>
      <c r="P394" s="40" t="n">
        <v>27118.29</v>
      </c>
      <c r="Q394" s="40" t="n">
        <v>195.43</v>
      </c>
      <c r="R394" s="47" t="n"/>
      <c r="S394" s="47" t="n"/>
      <c r="T394" s="47" t="n"/>
      <c r="U394" s="47" t="n"/>
      <c r="V394" s="47" t="n"/>
      <c r="W394" s="47" t="n"/>
    </row>
    <row r="395" ht="11.25" customHeight="1">
      <c r="A395" s="30" t="inlineStr">
        <is>
          <t>Porto Real</t>
        </is>
      </c>
      <c r="B395" s="30" t="n">
        <v>81258872</v>
      </c>
      <c r="C395" s="30">
        <f>"87183570000738"</f>
        <v/>
      </c>
      <c r="D395" s="30" t="inlineStr">
        <is>
          <t>TRANSPORTADORA MINUANO LTDA</t>
        </is>
      </c>
      <c r="E395" s="40" t="n">
        <v>0</v>
      </c>
      <c r="F395" s="40" t="n">
        <v>0</v>
      </c>
      <c r="G395" s="40" t="n">
        <v>0</v>
      </c>
      <c r="H395" s="40" t="n">
        <v>281.81</v>
      </c>
      <c r="I395" s="40" t="n">
        <v>100</v>
      </c>
      <c r="J395" s="40" t="n">
        <v>101.19</v>
      </c>
      <c r="K395" s="46" t="n">
        <v>-64.09</v>
      </c>
      <c r="L395" s="40" t="n">
        <v>357.2</v>
      </c>
      <c r="M395" s="40" t="n">
        <v>253</v>
      </c>
      <c r="N395" s="40" t="n">
        <v>77.29000000000001</v>
      </c>
      <c r="O395" s="46" t="n">
        <v>-78.36</v>
      </c>
      <c r="P395" s="40" t="n">
        <v>0</v>
      </c>
      <c r="Q395" s="46" t="n">
        <v>-100</v>
      </c>
      <c r="R395" s="47" t="n"/>
      <c r="S395" s="47" t="n"/>
      <c r="T395" s="47" t="n"/>
      <c r="U395" s="47" t="n"/>
      <c r="V395" s="47" t="n"/>
      <c r="W395" s="47" t="n"/>
    </row>
    <row r="396" ht="11.25" customHeight="1">
      <c r="A396" s="30" t="inlineStr">
        <is>
          <t>Porto Real</t>
        </is>
      </c>
      <c r="B396" s="30" t="n">
        <v>81330174</v>
      </c>
      <c r="C396" s="30">
        <f>"02905110001957"</f>
        <v/>
      </c>
      <c r="D396" s="30" t="inlineStr">
        <is>
          <t>GR SERVICOS E ALIMENTACAO LTDA</t>
        </is>
      </c>
      <c r="E396" s="40" t="n">
        <v>3698280.18</v>
      </c>
      <c r="F396" s="40" t="n">
        <v>4201449.74</v>
      </c>
      <c r="G396" s="40" t="n">
        <v>13.61</v>
      </c>
      <c r="H396" s="40" t="n">
        <v>3288058.31</v>
      </c>
      <c r="I396" s="46" t="n">
        <v>-21.74</v>
      </c>
      <c r="J396" s="40" t="n">
        <v>2874900.28</v>
      </c>
      <c r="K396" s="46" t="n">
        <v>-12.57</v>
      </c>
      <c r="L396" s="40" t="n">
        <v>3070607.16</v>
      </c>
      <c r="M396" s="40" t="n">
        <v>6.81</v>
      </c>
      <c r="N396" s="40" t="n">
        <v>6519802.63</v>
      </c>
      <c r="O396" s="40" t="n">
        <v>112.33</v>
      </c>
      <c r="P396" s="40" t="n">
        <v>7995933.99</v>
      </c>
      <c r="Q396" s="40" t="n">
        <v>22.64</v>
      </c>
      <c r="R396" s="47" t="n"/>
      <c r="S396" s="47" t="n"/>
      <c r="T396" s="47" t="n"/>
      <c r="U396" s="47" t="n"/>
      <c r="V396" s="47" t="n"/>
      <c r="W396" s="47" t="n"/>
    </row>
    <row r="397" ht="11.25" customHeight="1">
      <c r="A397" s="30" t="inlineStr">
        <is>
          <t>Porto Real</t>
        </is>
      </c>
      <c r="B397" s="30" t="n">
        <v>81592578</v>
      </c>
      <c r="C397" s="30">
        <f>"61190096000354"</f>
        <v/>
      </c>
      <c r="D397" s="30" t="inlineStr">
        <is>
          <t>EUROFARMA LABORATORIOS S/A</t>
        </is>
      </c>
      <c r="E397" s="40" t="n">
        <v>0</v>
      </c>
      <c r="F397" s="40" t="n">
        <v>0</v>
      </c>
      <c r="G397" s="40" t="n">
        <v>0</v>
      </c>
      <c r="H397" s="40" t="n">
        <v>21861411.42</v>
      </c>
      <c r="I397" s="40" t="n">
        <v>100</v>
      </c>
      <c r="J397" s="40" t="n">
        <v>13184377.35</v>
      </c>
      <c r="K397" s="46" t="n">
        <v>-39.69</v>
      </c>
      <c r="L397" s="40" t="n">
        <v>15330975.52</v>
      </c>
      <c r="M397" s="40" t="n">
        <v>16.28</v>
      </c>
      <c r="N397" s="40" t="n">
        <v>0</v>
      </c>
      <c r="O397" s="46" t="n">
        <v>-100</v>
      </c>
      <c r="P397" s="40" t="n">
        <v>0</v>
      </c>
      <c r="Q397" s="40" t="n">
        <v>0</v>
      </c>
      <c r="R397" s="47" t="n"/>
      <c r="S397" s="47" t="n"/>
      <c r="T397" s="47" t="n"/>
      <c r="U397" s="47" t="n"/>
      <c r="V397" s="47" t="n"/>
      <c r="W397" s="47" t="n"/>
    </row>
    <row r="398" ht="11.25" customHeight="1">
      <c r="A398" s="30" t="inlineStr">
        <is>
          <t>Porto Real</t>
        </is>
      </c>
      <c r="B398" s="30" t="n">
        <v>81613419</v>
      </c>
      <c r="C398" s="30">
        <f>"33841370000100"</f>
        <v/>
      </c>
      <c r="D398" s="30" t="inlineStr">
        <is>
          <t>TRANSPORTADORA PEDRO ERNESTO LTDA EPP</t>
        </is>
      </c>
      <c r="E398" s="40" t="n">
        <v>0</v>
      </c>
      <c r="F398" s="40" t="n">
        <v>0</v>
      </c>
      <c r="G398" s="40" t="n">
        <v>0</v>
      </c>
      <c r="H398" s="40" t="n">
        <v>0</v>
      </c>
      <c r="I398" s="40" t="n">
        <v>0</v>
      </c>
      <c r="J398" s="40" t="n">
        <v>0</v>
      </c>
      <c r="K398" s="40" t="n">
        <v>0</v>
      </c>
      <c r="L398" s="40" t="n">
        <v>0</v>
      </c>
      <c r="M398" s="40" t="n">
        <v>0</v>
      </c>
      <c r="N398" s="40" t="n">
        <v>0</v>
      </c>
      <c r="O398" s="40" t="n">
        <v>0</v>
      </c>
      <c r="P398" s="40" t="n">
        <v>22210.1</v>
      </c>
      <c r="Q398" s="40" t="n">
        <v>100</v>
      </c>
      <c r="R398" s="47" t="n"/>
      <c r="S398" s="47" t="n"/>
      <c r="T398" s="47" t="n"/>
      <c r="U398" s="47" t="n"/>
      <c r="V398" s="47" t="n"/>
      <c r="W398" s="47" t="n"/>
    </row>
    <row r="399" ht="11.25" customHeight="1">
      <c r="A399" s="30" t="inlineStr">
        <is>
          <t>Porto Real</t>
        </is>
      </c>
      <c r="B399" s="30" t="n">
        <v>81613524</v>
      </c>
      <c r="C399" s="30">
        <f>"34028316000294"</f>
        <v/>
      </c>
      <c r="D399" s="30" t="inlineStr">
        <is>
          <t>EMPRESA BRASILEIRA DE CORREIOS E TELEGRAFOS</t>
        </is>
      </c>
      <c r="E399" s="40" t="n">
        <v>1097.33</v>
      </c>
      <c r="F399" s="40" t="n">
        <v>1404.14</v>
      </c>
      <c r="G399" s="40" t="n">
        <v>27.96</v>
      </c>
      <c r="H399" s="40" t="n">
        <v>7197.43</v>
      </c>
      <c r="I399" s="40" t="n">
        <v>412.59</v>
      </c>
      <c r="J399" s="40" t="n">
        <v>5436.78</v>
      </c>
      <c r="K399" s="46" t="n">
        <v>-24.46</v>
      </c>
      <c r="L399" s="40" t="n">
        <v>5006.61</v>
      </c>
      <c r="M399" s="46" t="n">
        <v>-7.91</v>
      </c>
      <c r="N399" s="40" t="n">
        <v>4542.81</v>
      </c>
      <c r="O399" s="46" t="n">
        <v>-9.26</v>
      </c>
      <c r="P399" s="40" t="n">
        <v>4188.31</v>
      </c>
      <c r="Q399" s="46" t="n">
        <v>-7.8</v>
      </c>
      <c r="R399" s="47" t="n"/>
      <c r="S399" s="47" t="n"/>
      <c r="T399" s="47" t="n"/>
      <c r="U399" s="47" t="n"/>
      <c r="V399" s="47" t="n"/>
      <c r="W399" s="47" t="n"/>
    </row>
    <row r="400" ht="11.25" customHeight="1">
      <c r="A400" s="30" t="inlineStr">
        <is>
          <t>Porto Real</t>
        </is>
      </c>
      <c r="B400" s="30" t="n">
        <v>81680469</v>
      </c>
      <c r="C400" s="30">
        <f>"33000118000179"</f>
        <v/>
      </c>
      <c r="D400" s="30" t="inlineStr">
        <is>
          <t>TELEMAR NORTE LESTE S/A EM RECUPERACAO JUDICIAL</t>
        </is>
      </c>
      <c r="E400" s="40" t="n">
        <v>1584889.3</v>
      </c>
      <c r="F400" s="40" t="n">
        <v>1259010.48</v>
      </c>
      <c r="G400" s="46" t="n">
        <v>-20.56</v>
      </c>
      <c r="H400" s="40" t="n">
        <v>1031198.81</v>
      </c>
      <c r="I400" s="46" t="n">
        <v>-18.09</v>
      </c>
      <c r="J400" s="40" t="n">
        <v>860989.0600000001</v>
      </c>
      <c r="K400" s="46" t="n">
        <v>-16.51</v>
      </c>
      <c r="L400" s="40" t="n">
        <v>240334.69</v>
      </c>
      <c r="M400" s="46" t="n">
        <v>-72.09</v>
      </c>
      <c r="N400" s="40" t="n">
        <v>0</v>
      </c>
      <c r="O400" s="46" t="n">
        <v>-100</v>
      </c>
      <c r="P400" s="40" t="n">
        <v>0</v>
      </c>
      <c r="Q400" s="40" t="n">
        <v>0</v>
      </c>
      <c r="R400" s="47" t="n"/>
      <c r="S400" s="47" t="n"/>
      <c r="T400" s="47" t="n"/>
      <c r="U400" s="47" t="n"/>
      <c r="V400" s="47" t="n"/>
      <c r="W400" s="47" t="n"/>
    </row>
    <row r="401" ht="11.25" customHeight="1">
      <c r="A401" s="30" t="inlineStr">
        <is>
          <t>Porto Real</t>
        </is>
      </c>
      <c r="B401" s="30" t="n">
        <v>81760179</v>
      </c>
      <c r="C401" s="30">
        <f>"61084018005253"</f>
        <v/>
      </c>
      <c r="D401" s="30" t="inlineStr">
        <is>
          <t>VIACAO COMETA S/A</t>
        </is>
      </c>
      <c r="E401" s="40" t="n">
        <v>0</v>
      </c>
      <c r="F401" s="40" t="n">
        <v>0</v>
      </c>
      <c r="G401" s="40" t="n">
        <v>0</v>
      </c>
      <c r="H401" s="40" t="n">
        <v>0</v>
      </c>
      <c r="I401" s="40" t="n">
        <v>0</v>
      </c>
      <c r="J401" s="40" t="n">
        <v>0</v>
      </c>
      <c r="K401" s="40" t="n">
        <v>0</v>
      </c>
      <c r="L401" s="40" t="n">
        <v>0</v>
      </c>
      <c r="M401" s="40" t="n">
        <v>0</v>
      </c>
      <c r="N401" s="40" t="n">
        <v>0</v>
      </c>
      <c r="O401" s="40" t="n">
        <v>0</v>
      </c>
      <c r="P401" s="40" t="n">
        <v>6000</v>
      </c>
      <c r="Q401" s="40" t="n">
        <v>100</v>
      </c>
      <c r="R401" s="47" t="n"/>
      <c r="S401" s="47" t="n"/>
      <c r="T401" s="47" t="n"/>
      <c r="U401" s="47" t="n"/>
      <c r="V401" s="47" t="n"/>
      <c r="W401" s="47" t="n"/>
    </row>
    <row r="402" ht="11.25" customHeight="1">
      <c r="A402" s="30" t="inlineStr">
        <is>
          <t>Porto Real</t>
        </is>
      </c>
      <c r="B402" s="30" t="n">
        <v>81825017</v>
      </c>
      <c r="C402" s="30">
        <f>"33337007000152"</f>
        <v/>
      </c>
      <c r="D402" s="30" t="inlineStr">
        <is>
          <t>UTIL - UNIAO TRANSPORTE INTERESTADUAL DE LUXO LTDA</t>
        </is>
      </c>
      <c r="E402" s="40" t="n">
        <v>0</v>
      </c>
      <c r="F402" s="40" t="n">
        <v>843.6</v>
      </c>
      <c r="G402" s="40" t="n">
        <v>100</v>
      </c>
      <c r="H402" s="40" t="n">
        <v>86.05</v>
      </c>
      <c r="I402" s="46" t="n">
        <v>-89.8</v>
      </c>
      <c r="J402" s="40" t="n">
        <v>0</v>
      </c>
      <c r="K402" s="46" t="n">
        <v>-100</v>
      </c>
      <c r="L402" s="40" t="n">
        <v>0</v>
      </c>
      <c r="M402" s="40" t="n">
        <v>0</v>
      </c>
      <c r="N402" s="40" t="n">
        <v>0</v>
      </c>
      <c r="O402" s="40" t="n">
        <v>0</v>
      </c>
      <c r="P402" s="40" t="n">
        <v>0</v>
      </c>
      <c r="Q402" s="40" t="n">
        <v>0</v>
      </c>
      <c r="R402" s="47" t="n"/>
      <c r="S402" s="47" t="n"/>
      <c r="T402" s="47" t="n"/>
      <c r="U402" s="47" t="n"/>
      <c r="V402" s="47" t="n"/>
      <c r="W402" s="47" t="n"/>
    </row>
    <row r="403" ht="11.25" customHeight="1">
      <c r="A403" s="30" t="inlineStr">
        <is>
          <t>Porto Real</t>
        </is>
      </c>
      <c r="B403" s="30" t="n">
        <v>81832331</v>
      </c>
      <c r="C403" s="30">
        <f>"43025774000503"</f>
        <v/>
      </c>
      <c r="D403" s="30" t="inlineStr">
        <is>
          <t>RODOVIARIO BEDIN LTDA</t>
        </is>
      </c>
      <c r="E403" s="40" t="n">
        <v>0</v>
      </c>
      <c r="F403" s="40" t="n">
        <v>1016.12</v>
      </c>
      <c r="G403" s="40" t="n">
        <v>100</v>
      </c>
      <c r="H403" s="40" t="n">
        <v>0</v>
      </c>
      <c r="I403" s="46" t="n">
        <v>-100</v>
      </c>
      <c r="J403" s="40" t="n">
        <v>0</v>
      </c>
      <c r="K403" s="40" t="n">
        <v>0</v>
      </c>
      <c r="L403" s="40" t="n">
        <v>0</v>
      </c>
      <c r="M403" s="40" t="n">
        <v>0</v>
      </c>
      <c r="N403" s="40" t="n">
        <v>389.96</v>
      </c>
      <c r="O403" s="40" t="n">
        <v>100</v>
      </c>
      <c r="P403" s="40" t="n">
        <v>1246.84</v>
      </c>
      <c r="Q403" s="40" t="n">
        <v>219.74</v>
      </c>
      <c r="R403" s="47" t="n"/>
      <c r="S403" s="47" t="n"/>
      <c r="T403" s="47" t="n"/>
      <c r="U403" s="47" t="n"/>
      <c r="V403" s="47" t="n"/>
      <c r="W403" s="47" t="n"/>
    </row>
    <row r="404" ht="11.25" customHeight="1">
      <c r="A404" s="30" t="inlineStr">
        <is>
          <t>Porto Real</t>
        </is>
      </c>
      <c r="B404" s="30" t="n">
        <v>81853053</v>
      </c>
      <c r="C404" s="30">
        <f>"17463456000271"</f>
        <v/>
      </c>
      <c r="D404" s="30" t="inlineStr">
        <is>
          <t>PATRUS TRANSPORTES LTDA</t>
        </is>
      </c>
      <c r="E404" s="40" t="n">
        <v>429.61</v>
      </c>
      <c r="F404" s="40" t="n">
        <v>792.41</v>
      </c>
      <c r="G404" s="40" t="n">
        <v>84.45</v>
      </c>
      <c r="H404" s="40" t="n">
        <v>1215.9</v>
      </c>
      <c r="I404" s="40" t="n">
        <v>53.44</v>
      </c>
      <c r="J404" s="40" t="n">
        <v>792</v>
      </c>
      <c r="K404" s="46" t="n">
        <v>-34.86</v>
      </c>
      <c r="L404" s="40" t="n">
        <v>424.96</v>
      </c>
      <c r="M404" s="46" t="n">
        <v>-46.34</v>
      </c>
      <c r="N404" s="40" t="n">
        <v>688.45</v>
      </c>
      <c r="O404" s="40" t="n">
        <v>62</v>
      </c>
      <c r="P404" s="40" t="n">
        <v>518.97</v>
      </c>
      <c r="Q404" s="46" t="n">
        <v>-24.62</v>
      </c>
      <c r="R404" s="47" t="n"/>
      <c r="S404" s="47" t="n"/>
      <c r="T404" s="47" t="n"/>
      <c r="U404" s="47" t="n"/>
      <c r="V404" s="47" t="n"/>
      <c r="W404" s="47" t="n"/>
    </row>
    <row r="405" ht="11.25" customHeight="1">
      <c r="A405" s="30" t="inlineStr">
        <is>
          <t>Porto Real</t>
        </is>
      </c>
      <c r="B405" s="30" t="n">
        <v>81919852</v>
      </c>
      <c r="C405" s="30">
        <f>"76728385000412"</f>
        <v/>
      </c>
      <c r="D405" s="30" t="inlineStr">
        <is>
          <t>TRANSPORTES DIAMANTE LTDA</t>
        </is>
      </c>
      <c r="E405" s="40" t="n">
        <v>0.13</v>
      </c>
      <c r="F405" s="40" t="n">
        <v>0</v>
      </c>
      <c r="G405" s="46" t="n">
        <v>-100</v>
      </c>
      <c r="H405" s="40" t="n">
        <v>0</v>
      </c>
      <c r="I405" s="40" t="n">
        <v>0</v>
      </c>
      <c r="J405" s="40" t="n">
        <v>0</v>
      </c>
      <c r="K405" s="40" t="n">
        <v>0</v>
      </c>
      <c r="L405" s="40" t="n">
        <v>0</v>
      </c>
      <c r="M405" s="40" t="n">
        <v>0</v>
      </c>
      <c r="N405" s="40" t="n">
        <v>0</v>
      </c>
      <c r="O405" s="40" t="n">
        <v>0</v>
      </c>
      <c r="P405" s="40" t="n">
        <v>0</v>
      </c>
      <c r="Q405" s="40" t="n">
        <v>0</v>
      </c>
      <c r="R405" s="47" t="n"/>
      <c r="S405" s="47" t="n"/>
      <c r="T405" s="47" t="n"/>
      <c r="U405" s="47" t="n"/>
      <c r="V405" s="47" t="n"/>
      <c r="W405" s="47" t="n"/>
    </row>
    <row r="406" ht="11.25" customHeight="1">
      <c r="A406" s="30" t="inlineStr">
        <is>
          <t>Porto Real</t>
        </is>
      </c>
      <c r="B406" s="30" t="n">
        <v>81923930</v>
      </c>
      <c r="C406" s="30">
        <f>"29863420000426"</f>
        <v/>
      </c>
      <c r="D406" s="30" t="inlineStr">
        <is>
          <t>EXPRESSO PREDILETO, TRANSPORTES, LOGISTICA E ARMAZENAGEM LTDA EPP</t>
        </is>
      </c>
      <c r="E406" s="40" t="n">
        <v>0</v>
      </c>
      <c r="F406" s="40" t="n">
        <v>5769.85</v>
      </c>
      <c r="G406" s="40" t="n">
        <v>100</v>
      </c>
      <c r="H406" s="40" t="n">
        <v>559.38</v>
      </c>
      <c r="I406" s="46" t="n">
        <v>-90.31</v>
      </c>
      <c r="J406" s="40" t="n">
        <v>0</v>
      </c>
      <c r="K406" s="46" t="n">
        <v>-100</v>
      </c>
      <c r="L406" s="40" t="n">
        <v>0</v>
      </c>
      <c r="M406" s="40" t="n">
        <v>0</v>
      </c>
      <c r="N406" s="40" t="n">
        <v>0</v>
      </c>
      <c r="O406" s="40" t="n">
        <v>0</v>
      </c>
      <c r="P406" s="40" t="n">
        <v>0</v>
      </c>
      <c r="Q406" s="40" t="n">
        <v>0</v>
      </c>
      <c r="R406" s="47" t="n"/>
      <c r="S406" s="47" t="n"/>
      <c r="T406" s="47" t="n"/>
      <c r="U406" s="47" t="n"/>
      <c r="V406" s="47" t="n"/>
      <c r="W406" s="47" t="n"/>
    </row>
    <row r="407" ht="11.25" customHeight="1">
      <c r="A407" s="30" t="inlineStr">
        <is>
          <t>Porto Real</t>
        </is>
      </c>
      <c r="B407" s="30" t="n">
        <v>81926743</v>
      </c>
      <c r="C407" s="30">
        <f>"20147617001113"</f>
        <v/>
      </c>
      <c r="D407" s="30" t="inlineStr">
        <is>
          <t>JAMEF TRANSPORTES EIRELI</t>
        </is>
      </c>
      <c r="E407" s="40" t="n">
        <v>1463.31</v>
      </c>
      <c r="F407" s="40" t="n">
        <v>1395.43</v>
      </c>
      <c r="G407" s="46" t="n">
        <v>-4.64</v>
      </c>
      <c r="H407" s="40" t="n">
        <v>1203.67</v>
      </c>
      <c r="I407" s="46" t="n">
        <v>-13.74</v>
      </c>
      <c r="J407" s="40" t="n">
        <v>3816.32</v>
      </c>
      <c r="K407" s="40" t="n">
        <v>217.06</v>
      </c>
      <c r="L407" s="40" t="n">
        <v>3191.92</v>
      </c>
      <c r="M407" s="46" t="n">
        <v>-16.36</v>
      </c>
      <c r="N407" s="40" t="n">
        <v>2011.32</v>
      </c>
      <c r="O407" s="46" t="n">
        <v>-36.99</v>
      </c>
      <c r="P407" s="40" t="n">
        <v>5429.44</v>
      </c>
      <c r="Q407" s="40" t="n">
        <v>169.94</v>
      </c>
      <c r="R407" s="47" t="n"/>
      <c r="S407" s="47" t="n"/>
      <c r="T407" s="47" t="n"/>
      <c r="U407" s="47" t="n"/>
      <c r="V407" s="47" t="n"/>
      <c r="W407" s="47" t="n"/>
    </row>
    <row r="408" ht="11.25" customHeight="1">
      <c r="A408" s="30" t="inlineStr">
        <is>
          <t>Porto Real</t>
        </is>
      </c>
      <c r="B408" s="30" t="n">
        <v>82496904</v>
      </c>
      <c r="C408" s="30">
        <f>"28120046000163"</f>
        <v/>
      </c>
      <c r="D408" s="30" t="inlineStr">
        <is>
          <t>SHIP'S MOTEL LTDA</t>
        </is>
      </c>
      <c r="E408" s="40" t="n">
        <v>0</v>
      </c>
      <c r="F408" s="40" t="n">
        <v>6100</v>
      </c>
      <c r="G408" s="40" t="n">
        <v>100</v>
      </c>
      <c r="H408" s="40" t="n">
        <v>0</v>
      </c>
      <c r="I408" s="46" t="n">
        <v>-100</v>
      </c>
      <c r="J408" s="40" t="n">
        <v>0</v>
      </c>
      <c r="K408" s="40" t="n">
        <v>0</v>
      </c>
      <c r="L408" s="40" t="n">
        <v>0</v>
      </c>
      <c r="M408" s="40" t="n">
        <v>0</v>
      </c>
      <c r="N408" s="40" t="n">
        <v>0</v>
      </c>
      <c r="O408" s="40" t="n">
        <v>0</v>
      </c>
      <c r="P408" s="40" t="n">
        <v>0</v>
      </c>
      <c r="Q408" s="40" t="n">
        <v>0</v>
      </c>
      <c r="R408" s="47" t="n"/>
      <c r="S408" s="47" t="n"/>
      <c r="T408" s="47" t="n"/>
      <c r="U408" s="47" t="n"/>
      <c r="V408" s="47" t="n"/>
      <c r="W408" s="47" t="n"/>
    </row>
    <row r="409" ht="11.25" customHeight="1">
      <c r="A409" s="30" t="inlineStr">
        <is>
          <t>Porto Real</t>
        </is>
      </c>
      <c r="B409" s="30" t="n">
        <v>82628878</v>
      </c>
      <c r="C409" s="30">
        <f>"28670958000109"</f>
        <v/>
      </c>
      <c r="D409" s="30" t="inlineStr">
        <is>
          <t>VIACAO CIDADE DO ACO LTDA</t>
        </is>
      </c>
      <c r="E409" s="40" t="n">
        <v>21490.4</v>
      </c>
      <c r="F409" s="40" t="n">
        <v>21103.84</v>
      </c>
      <c r="G409" s="46" t="n">
        <v>-1.8</v>
      </c>
      <c r="H409" s="40" t="n">
        <v>21241.36</v>
      </c>
      <c r="I409" s="40" t="n">
        <v>0.65</v>
      </c>
      <c r="J409" s="40" t="n">
        <v>4469</v>
      </c>
      <c r="K409" s="46" t="n">
        <v>-78.95999999999999</v>
      </c>
      <c r="L409" s="40" t="n">
        <v>0</v>
      </c>
      <c r="M409" s="46" t="n">
        <v>-100</v>
      </c>
      <c r="N409" s="40" t="n">
        <v>0</v>
      </c>
      <c r="O409" s="40" t="n">
        <v>0</v>
      </c>
      <c r="P409" s="40" t="n">
        <v>0</v>
      </c>
      <c r="Q409" s="40" t="n">
        <v>0</v>
      </c>
      <c r="R409" s="47" t="n"/>
      <c r="S409" s="47" t="n"/>
      <c r="T409" s="47" t="n"/>
      <c r="U409" s="47" t="n"/>
      <c r="V409" s="47" t="n"/>
      <c r="W409" s="47" t="n"/>
    </row>
    <row r="410" ht="11.25" customHeight="1">
      <c r="A410" s="30" t="inlineStr">
        <is>
          <t>Porto Real</t>
        </is>
      </c>
      <c r="B410" s="30" t="n">
        <v>82633421</v>
      </c>
      <c r="C410" s="30">
        <f>"29291184000844"</f>
        <v/>
      </c>
      <c r="D410" s="30" t="inlineStr">
        <is>
          <t>TRANSPORTES TONIATO LTDA</t>
        </is>
      </c>
      <c r="E410" s="40" t="n">
        <v>537685.26</v>
      </c>
      <c r="F410" s="40" t="n">
        <v>529297.4399999999</v>
      </c>
      <c r="G410" s="46" t="n">
        <v>-1.56</v>
      </c>
      <c r="H410" s="40" t="n">
        <v>448251.7</v>
      </c>
      <c r="I410" s="46" t="n">
        <v>-15.31</v>
      </c>
      <c r="J410" s="40" t="n">
        <v>330751.17</v>
      </c>
      <c r="K410" s="46" t="n">
        <v>-26.21</v>
      </c>
      <c r="L410" s="40" t="n">
        <v>364785.47</v>
      </c>
      <c r="M410" s="40" t="n">
        <v>10.29</v>
      </c>
      <c r="N410" s="40" t="n">
        <v>328425.19</v>
      </c>
      <c r="O410" s="46" t="n">
        <v>-9.970000000000001</v>
      </c>
      <c r="P410" s="40" t="n">
        <v>390017.39</v>
      </c>
      <c r="Q410" s="40" t="n">
        <v>18.75</v>
      </c>
      <c r="R410" s="47" t="n"/>
      <c r="S410" s="47" t="n"/>
      <c r="T410" s="47" t="n"/>
      <c r="U410" s="47" t="n"/>
      <c r="V410" s="47" t="n"/>
      <c r="W410" s="47" t="n"/>
    </row>
    <row r="411" ht="11.25" customHeight="1">
      <c r="A411" s="30" t="inlineStr">
        <is>
          <t>Porto Real</t>
        </is>
      </c>
      <c r="B411" s="30" t="n">
        <v>82669949</v>
      </c>
      <c r="C411" s="30">
        <f>"28372613000179"</f>
        <v/>
      </c>
      <c r="D411" s="30" t="inlineStr">
        <is>
          <t>QUIMINVEST INDUSTRIA E COMERCIO LTDA</t>
        </is>
      </c>
      <c r="E411" s="40" t="n">
        <v>28569441.35</v>
      </c>
      <c r="F411" s="40" t="n">
        <v>37166737.54</v>
      </c>
      <c r="G411" s="40" t="n">
        <v>30.09</v>
      </c>
      <c r="H411" s="40" t="n">
        <v>26583005.07</v>
      </c>
      <c r="I411" s="46" t="n">
        <v>-28.48</v>
      </c>
      <c r="J411" s="40" t="n">
        <v>26495901.36</v>
      </c>
      <c r="K411" s="46" t="n">
        <v>-0.33</v>
      </c>
      <c r="L411" s="40" t="n">
        <v>35905315.49</v>
      </c>
      <c r="M411" s="40" t="n">
        <v>35.51</v>
      </c>
      <c r="N411" s="40" t="n">
        <v>34287052.61</v>
      </c>
      <c r="O411" s="46" t="n">
        <v>-4.51</v>
      </c>
      <c r="P411" s="40" t="n">
        <v>36816033.9</v>
      </c>
      <c r="Q411" s="40" t="n">
        <v>7.38</v>
      </c>
      <c r="R411" s="47" t="n"/>
      <c r="S411" s="47" t="n"/>
      <c r="T411" s="47" t="n"/>
      <c r="U411" s="47" t="n"/>
      <c r="V411" s="47" t="n"/>
      <c r="W411" s="47" t="n"/>
    </row>
    <row r="412" ht="11.25" customHeight="1">
      <c r="A412" s="30" t="inlineStr">
        <is>
          <t>Porto Real</t>
        </is>
      </c>
      <c r="B412" s="30" t="n">
        <v>82746978</v>
      </c>
      <c r="C412" s="30">
        <f>"31045354000186"</f>
        <v/>
      </c>
      <c r="D412" s="30" t="inlineStr">
        <is>
          <t>LATICINIOS PEDRA SELADA LTDA</t>
        </is>
      </c>
      <c r="E412" s="40" t="n">
        <v>167582.11</v>
      </c>
      <c r="F412" s="40" t="n">
        <v>150340.71</v>
      </c>
      <c r="G412" s="46" t="n">
        <v>-10.29</v>
      </c>
      <c r="H412" s="40" t="n">
        <v>113573.12</v>
      </c>
      <c r="I412" s="46" t="n">
        <v>-24.46</v>
      </c>
      <c r="J412" s="40" t="n">
        <v>88521.23</v>
      </c>
      <c r="K412" s="46" t="n">
        <v>-22.06</v>
      </c>
      <c r="L412" s="40" t="n">
        <v>103987.26</v>
      </c>
      <c r="M412" s="40" t="n">
        <v>17.47</v>
      </c>
      <c r="N412" s="40" t="n">
        <v>56878.35</v>
      </c>
      <c r="O412" s="46" t="n">
        <v>-45.3</v>
      </c>
      <c r="P412" s="40" t="n">
        <v>51633.39</v>
      </c>
      <c r="Q412" s="46" t="n">
        <v>-9.220000000000001</v>
      </c>
      <c r="R412" s="47" t="n"/>
      <c r="S412" s="47" t="n"/>
      <c r="T412" s="47" t="n"/>
      <c r="U412" s="47" t="n"/>
      <c r="V412" s="47" t="n"/>
      <c r="W412" s="47" t="n"/>
    </row>
    <row r="413" ht="11.25" customHeight="1">
      <c r="A413" s="30" t="inlineStr">
        <is>
          <t>Porto Real</t>
        </is>
      </c>
      <c r="B413" s="30" t="n">
        <v>82754490</v>
      </c>
      <c r="C413" s="30">
        <f>"42310177002005"</f>
        <v/>
      </c>
      <c r="D413" s="30" t="inlineStr">
        <is>
          <t>TROPICAL TRANSPORTES IPIRANGA LTDA</t>
        </is>
      </c>
      <c r="E413" s="40" t="n">
        <v>0</v>
      </c>
      <c r="F413" s="40" t="n">
        <v>0</v>
      </c>
      <c r="G413" s="40" t="n">
        <v>0</v>
      </c>
      <c r="H413" s="40" t="n">
        <v>7397.45</v>
      </c>
      <c r="I413" s="40" t="n">
        <v>100</v>
      </c>
      <c r="J413" s="40" t="n">
        <v>1118.96</v>
      </c>
      <c r="K413" s="46" t="n">
        <v>-84.87</v>
      </c>
      <c r="L413" s="40" t="n">
        <v>0</v>
      </c>
      <c r="M413" s="46" t="n">
        <v>-100</v>
      </c>
      <c r="N413" s="40" t="n">
        <v>0</v>
      </c>
      <c r="O413" s="40" t="n">
        <v>0</v>
      </c>
      <c r="P413" s="40" t="n">
        <v>0</v>
      </c>
      <c r="Q413" s="40" t="n">
        <v>0</v>
      </c>
      <c r="R413" s="47" t="n"/>
      <c r="S413" s="47" t="n"/>
      <c r="T413" s="47" t="n"/>
      <c r="U413" s="47" t="n"/>
      <c r="V413" s="47" t="n"/>
      <c r="W413" s="47" t="n"/>
    </row>
    <row r="414" ht="11.25" customHeight="1">
      <c r="A414" s="30" t="inlineStr">
        <is>
          <t>Porto Real</t>
        </is>
      </c>
      <c r="B414" s="30" t="n">
        <v>83119470</v>
      </c>
      <c r="C414" s="30">
        <f>"44191880000287"</f>
        <v/>
      </c>
      <c r="D414" s="30" t="inlineStr">
        <is>
          <t>TRANSPORTADORA AJOFER LTDA</t>
        </is>
      </c>
      <c r="E414" s="40" t="n">
        <v>1943.24</v>
      </c>
      <c r="F414" s="40" t="n">
        <v>764.8200000000001</v>
      </c>
      <c r="G414" s="46" t="n">
        <v>-60.64</v>
      </c>
      <c r="H414" s="40" t="n">
        <v>446.39</v>
      </c>
      <c r="I414" s="46" t="n">
        <v>-41.63</v>
      </c>
      <c r="J414" s="40" t="n">
        <v>511.57</v>
      </c>
      <c r="K414" s="40" t="n">
        <v>14.6</v>
      </c>
      <c r="L414" s="40" t="n">
        <v>593.63</v>
      </c>
      <c r="M414" s="40" t="n">
        <v>16.04</v>
      </c>
      <c r="N414" s="40" t="n">
        <v>221.86</v>
      </c>
      <c r="O414" s="46" t="n">
        <v>-62.63</v>
      </c>
      <c r="P414" s="40" t="n">
        <v>0</v>
      </c>
      <c r="Q414" s="46" t="n">
        <v>-100</v>
      </c>
      <c r="R414" s="47" t="n"/>
      <c r="S414" s="47" t="n"/>
      <c r="T414" s="47" t="n"/>
      <c r="U414" s="47" t="n"/>
      <c r="V414" s="47" t="n"/>
      <c r="W414" s="47" t="n"/>
    </row>
    <row r="415" ht="11.25" customHeight="1">
      <c r="A415" s="30" t="inlineStr">
        <is>
          <t>Porto Real</t>
        </is>
      </c>
      <c r="B415" s="30" t="n">
        <v>83649569</v>
      </c>
      <c r="C415" s="30">
        <f>"21562418000324"</f>
        <v/>
      </c>
      <c r="D415" s="30" t="inlineStr">
        <is>
          <t>COOPERATIVA TRANSPORTADORA DE PETROLEO E DERIVADOS LTDA</t>
        </is>
      </c>
      <c r="E415" s="40" t="n">
        <v>0</v>
      </c>
      <c r="F415" s="40" t="n">
        <v>0</v>
      </c>
      <c r="G415" s="40" t="n">
        <v>0</v>
      </c>
      <c r="H415" s="40" t="n">
        <v>34155.48</v>
      </c>
      <c r="I415" s="40" t="n">
        <v>100</v>
      </c>
      <c r="J415" s="40" t="n">
        <v>0</v>
      </c>
      <c r="K415" s="46" t="n">
        <v>-100</v>
      </c>
      <c r="L415" s="40" t="n">
        <v>82423.12</v>
      </c>
      <c r="M415" s="40" t="n">
        <v>100</v>
      </c>
      <c r="N415" s="40" t="n">
        <v>123049.28</v>
      </c>
      <c r="O415" s="40" t="n">
        <v>49.29</v>
      </c>
      <c r="P415" s="40" t="n">
        <v>15897.42</v>
      </c>
      <c r="Q415" s="46" t="n">
        <v>-87.08</v>
      </c>
      <c r="R415" s="47" t="n"/>
      <c r="S415" s="47" t="n"/>
      <c r="T415" s="47" t="n"/>
      <c r="U415" s="47" t="n"/>
      <c r="V415" s="47" t="n"/>
      <c r="W415" s="47" t="n"/>
    </row>
    <row r="416" ht="11.25" customHeight="1">
      <c r="A416" s="30" t="inlineStr">
        <is>
          <t>Porto Real</t>
        </is>
      </c>
      <c r="B416" s="30" t="n">
        <v>83664401</v>
      </c>
      <c r="C416" s="30">
        <f>"43035146001157"</f>
        <v/>
      </c>
      <c r="D416" s="30" t="inlineStr">
        <is>
          <t>PROTEGE SOCIEDADE ANONIMA PROTECAO E TRANSPORTE DE VALORES</t>
        </is>
      </c>
      <c r="E416" s="40" t="n">
        <v>0</v>
      </c>
      <c r="F416" s="40" t="n">
        <v>0</v>
      </c>
      <c r="G416" s="40" t="n">
        <v>0</v>
      </c>
      <c r="H416" s="40" t="n">
        <v>0</v>
      </c>
      <c r="I416" s="40" t="n">
        <v>0</v>
      </c>
      <c r="J416" s="40" t="n">
        <v>0</v>
      </c>
      <c r="K416" s="40" t="n">
        <v>0</v>
      </c>
      <c r="L416" s="40" t="n">
        <v>0</v>
      </c>
      <c r="M416" s="40" t="n">
        <v>0</v>
      </c>
      <c r="N416" s="40" t="n">
        <v>167695.69</v>
      </c>
      <c r="O416" s="40" t="n">
        <v>100</v>
      </c>
      <c r="P416" s="40" t="n">
        <v>0</v>
      </c>
      <c r="Q416" s="46" t="n">
        <v>-100</v>
      </c>
      <c r="R416" s="47" t="n"/>
      <c r="S416" s="47" t="n"/>
      <c r="T416" s="47" t="n"/>
      <c r="U416" s="47" t="n"/>
      <c r="V416" s="47" t="n"/>
      <c r="W416" s="47" t="n"/>
    </row>
    <row r="417" ht="11.25" customHeight="1">
      <c r="A417" s="30" t="inlineStr">
        <is>
          <t>Porto Real</t>
        </is>
      </c>
      <c r="B417" s="30" t="n">
        <v>83699205</v>
      </c>
      <c r="C417" s="30">
        <f>"61139432000253"</f>
        <v/>
      </c>
      <c r="D417" s="30" t="inlineStr">
        <is>
          <t>TRANSPORTES DELLA VOLPE S A COMERCIO E INDUSTRIA</t>
        </is>
      </c>
      <c r="E417" s="40" t="n">
        <v>0</v>
      </c>
      <c r="F417" s="40" t="n">
        <v>0</v>
      </c>
      <c r="G417" s="40" t="n">
        <v>0</v>
      </c>
      <c r="H417" s="40" t="n">
        <v>86161.32000000001</v>
      </c>
      <c r="I417" s="40" t="n">
        <v>100</v>
      </c>
      <c r="J417" s="40" t="n">
        <v>474498.85</v>
      </c>
      <c r="K417" s="40" t="n">
        <v>450.71</v>
      </c>
      <c r="L417" s="40" t="n">
        <v>96523.37</v>
      </c>
      <c r="M417" s="46" t="n">
        <v>-79.66</v>
      </c>
      <c r="N417" s="40" t="n">
        <v>2108.96</v>
      </c>
      <c r="O417" s="46" t="n">
        <v>-97.81999999999999</v>
      </c>
      <c r="P417" s="40" t="n">
        <v>0</v>
      </c>
      <c r="Q417" s="46" t="n">
        <v>-100</v>
      </c>
      <c r="R417" s="47" t="n"/>
      <c r="S417" s="47" t="n"/>
      <c r="T417" s="47" t="n"/>
      <c r="U417" s="47" t="n"/>
      <c r="V417" s="47" t="n"/>
      <c r="W417" s="47" t="n"/>
    </row>
    <row r="418" ht="11.25" customHeight="1">
      <c r="A418" s="30" t="inlineStr">
        <is>
          <t>Porto Real</t>
        </is>
      </c>
      <c r="B418" s="30" t="n">
        <v>83778563</v>
      </c>
      <c r="C418" s="30">
        <f>"30317762000187"</f>
        <v/>
      </c>
      <c r="D418" s="30" t="inlineStr">
        <is>
          <t>TRANSPORTE GRANDE ORIENTE LTDA</t>
        </is>
      </c>
      <c r="E418" s="40" t="n">
        <v>0</v>
      </c>
      <c r="F418" s="40" t="n">
        <v>0</v>
      </c>
      <c r="G418" s="40" t="n">
        <v>0</v>
      </c>
      <c r="H418" s="40" t="n">
        <v>0</v>
      </c>
      <c r="I418" s="40" t="n">
        <v>0</v>
      </c>
      <c r="J418" s="40" t="n">
        <v>2716</v>
      </c>
      <c r="K418" s="40" t="n">
        <v>100</v>
      </c>
      <c r="L418" s="40" t="n">
        <v>0</v>
      </c>
      <c r="M418" s="46" t="n">
        <v>-100</v>
      </c>
      <c r="N418" s="40" t="n">
        <v>0</v>
      </c>
      <c r="O418" s="40" t="n">
        <v>0</v>
      </c>
      <c r="P418" s="40" t="n">
        <v>0</v>
      </c>
      <c r="Q418" s="40" t="n">
        <v>0</v>
      </c>
      <c r="R418" s="47" t="n"/>
      <c r="S418" s="47" t="n"/>
      <c r="T418" s="47" t="n"/>
      <c r="U418" s="47" t="n"/>
      <c r="V418" s="47" t="n"/>
      <c r="W418" s="47" t="n"/>
    </row>
    <row r="419" ht="11.25" customHeight="1">
      <c r="A419" s="30" t="inlineStr">
        <is>
          <t>Porto Real</t>
        </is>
      </c>
      <c r="B419" s="30" t="n">
        <v>83788658</v>
      </c>
      <c r="C419" s="30">
        <f>"29453826000279"</f>
        <v/>
      </c>
      <c r="D419" s="30" t="inlineStr">
        <is>
          <t>TRANSPORTE GENEROSO LTDA</t>
        </is>
      </c>
      <c r="E419" s="40" t="n">
        <v>0</v>
      </c>
      <c r="F419" s="40" t="n">
        <v>0</v>
      </c>
      <c r="G419" s="40" t="n">
        <v>0</v>
      </c>
      <c r="H419" s="40" t="n">
        <v>2.13</v>
      </c>
      <c r="I419" s="40" t="n">
        <v>100</v>
      </c>
      <c r="J419" s="40" t="n">
        <v>0</v>
      </c>
      <c r="K419" s="46" t="n">
        <v>-100</v>
      </c>
      <c r="L419" s="40" t="n">
        <v>0</v>
      </c>
      <c r="M419" s="40" t="n">
        <v>0</v>
      </c>
      <c r="N419" s="40" t="n">
        <v>0</v>
      </c>
      <c r="O419" s="40" t="n">
        <v>0</v>
      </c>
      <c r="P419" s="40" t="n">
        <v>0</v>
      </c>
      <c r="Q419" s="40" t="n">
        <v>0</v>
      </c>
      <c r="R419" s="47" t="n"/>
      <c r="S419" s="47" t="n"/>
      <c r="T419" s="47" t="n"/>
      <c r="U419" s="47" t="n"/>
      <c r="V419" s="47" t="n"/>
      <c r="W419" s="47" t="n"/>
    </row>
    <row r="420" ht="11.25" customHeight="1">
      <c r="A420" s="30" t="inlineStr">
        <is>
          <t>Porto Real</t>
        </is>
      </c>
      <c r="B420" s="30" t="n">
        <v>83790059</v>
      </c>
      <c r="C420" s="30">
        <f>"76104397000719"</f>
        <v/>
      </c>
      <c r="D420" s="30" t="inlineStr">
        <is>
          <t>TRANSPORTADORA SULISTA SA</t>
        </is>
      </c>
      <c r="E420" s="40" t="n">
        <v>17002</v>
      </c>
      <c r="F420" s="40" t="n">
        <v>27333.75</v>
      </c>
      <c r="G420" s="40" t="n">
        <v>60.77</v>
      </c>
      <c r="H420" s="40" t="n">
        <v>0</v>
      </c>
      <c r="I420" s="46" t="n">
        <v>-100</v>
      </c>
      <c r="J420" s="40" t="n">
        <v>0</v>
      </c>
      <c r="K420" s="40" t="n">
        <v>0</v>
      </c>
      <c r="L420" s="40" t="n">
        <v>0</v>
      </c>
      <c r="M420" s="40" t="n">
        <v>0</v>
      </c>
      <c r="N420" s="40" t="n">
        <v>0</v>
      </c>
      <c r="O420" s="40" t="n">
        <v>0</v>
      </c>
      <c r="P420" s="40" t="n">
        <v>0</v>
      </c>
      <c r="Q420" s="40" t="n">
        <v>0</v>
      </c>
      <c r="R420" s="47" t="n"/>
      <c r="S420" s="47" t="n"/>
      <c r="T420" s="47" t="n"/>
      <c r="U420" s="47" t="n"/>
      <c r="V420" s="47" t="n"/>
      <c r="W420" s="47" t="n"/>
    </row>
    <row r="421" ht="11.25" customHeight="1">
      <c r="A421" s="30" t="inlineStr">
        <is>
          <t>Porto Real</t>
        </is>
      </c>
      <c r="B421" s="30" t="n">
        <v>83798726</v>
      </c>
      <c r="C421" s="30">
        <f>"19199348001311"</f>
        <v/>
      </c>
      <c r="D421" s="30" t="inlineStr">
        <is>
          <t>SADA TRANSPORTES E ARMAZENAGENS S/A</t>
        </is>
      </c>
      <c r="E421" s="40" t="n">
        <v>36554.03</v>
      </c>
      <c r="F421" s="40" t="n">
        <v>4844</v>
      </c>
      <c r="G421" s="46" t="n">
        <v>-86.75</v>
      </c>
      <c r="H421" s="40" t="n">
        <v>0</v>
      </c>
      <c r="I421" s="46" t="n">
        <v>-100</v>
      </c>
      <c r="J421" s="40" t="n">
        <v>1219.82</v>
      </c>
      <c r="K421" s="40" t="n">
        <v>100</v>
      </c>
      <c r="L421" s="40" t="n">
        <v>0</v>
      </c>
      <c r="M421" s="46" t="n">
        <v>-100</v>
      </c>
      <c r="N421" s="40" t="n">
        <v>4791.68</v>
      </c>
      <c r="O421" s="40" t="n">
        <v>100</v>
      </c>
      <c r="P421" s="40" t="n">
        <v>0</v>
      </c>
      <c r="Q421" s="46" t="n">
        <v>-100</v>
      </c>
      <c r="R421" s="47" t="n"/>
      <c r="S421" s="47" t="n"/>
      <c r="T421" s="47" t="n"/>
      <c r="U421" s="47" t="n"/>
      <c r="V421" s="47" t="n"/>
      <c r="W421" s="47" t="n"/>
    </row>
    <row r="422" ht="11.25" customHeight="1">
      <c r="A422" s="30" t="inlineStr">
        <is>
          <t>Porto Real</t>
        </is>
      </c>
      <c r="B422" s="30" t="n">
        <v>83824840</v>
      </c>
      <c r="C422" s="30">
        <f>"33542531000165"</f>
        <v/>
      </c>
      <c r="D422" s="30" t="inlineStr">
        <is>
          <t>VIACAO SAMPAIO LTDA</t>
        </is>
      </c>
      <c r="E422" s="40" t="n">
        <v>0</v>
      </c>
      <c r="F422" s="40" t="n">
        <v>40.27</v>
      </c>
      <c r="G422" s="40" t="n">
        <v>100</v>
      </c>
      <c r="H422" s="40" t="n">
        <v>0</v>
      </c>
      <c r="I422" s="46" t="n">
        <v>-100</v>
      </c>
      <c r="J422" s="40" t="n">
        <v>0</v>
      </c>
      <c r="K422" s="40" t="n">
        <v>0</v>
      </c>
      <c r="L422" s="40" t="n">
        <v>0</v>
      </c>
      <c r="M422" s="40" t="n">
        <v>0</v>
      </c>
      <c r="N422" s="40" t="n">
        <v>0</v>
      </c>
      <c r="O422" s="40" t="n">
        <v>0</v>
      </c>
      <c r="P422" s="40" t="n">
        <v>0</v>
      </c>
      <c r="Q422" s="40" t="n">
        <v>0</v>
      </c>
      <c r="R422" s="47" t="n"/>
      <c r="S422" s="47" t="n"/>
      <c r="T422" s="47" t="n"/>
      <c r="U422" s="47" t="n"/>
      <c r="V422" s="47" t="n"/>
      <c r="W422" s="47" t="n"/>
    </row>
    <row r="423" ht="11.25" customHeight="1">
      <c r="A423" s="30" t="inlineStr">
        <is>
          <t>Porto Real</t>
        </is>
      </c>
      <c r="B423" s="30" t="n">
        <v>83858664</v>
      </c>
      <c r="C423" s="30">
        <f>"29108107000130"</f>
        <v/>
      </c>
      <c r="D423" s="30" t="inlineStr">
        <is>
          <t>SOLAZER TRANSPORTES E TURISMO LTDA</t>
        </is>
      </c>
      <c r="E423" s="40" t="n">
        <v>18456506.12</v>
      </c>
      <c r="F423" s="40" t="n">
        <v>826846.08</v>
      </c>
      <c r="G423" s="46" t="n">
        <v>-95.52</v>
      </c>
      <c r="H423" s="40" t="n">
        <v>58300.86</v>
      </c>
      <c r="I423" s="46" t="n">
        <v>-92.95</v>
      </c>
      <c r="J423" s="40" t="n">
        <v>15369.33</v>
      </c>
      <c r="K423" s="46" t="n">
        <v>-73.64</v>
      </c>
      <c r="L423" s="40" t="n">
        <v>32958.46</v>
      </c>
      <c r="M423" s="40" t="n">
        <v>114.44</v>
      </c>
      <c r="N423" s="40" t="n">
        <v>97086.13</v>
      </c>
      <c r="O423" s="40" t="n">
        <v>194.57</v>
      </c>
      <c r="P423" s="40" t="n">
        <v>422270.69</v>
      </c>
      <c r="Q423" s="40" t="n">
        <v>334.94</v>
      </c>
      <c r="R423" s="47" t="n"/>
      <c r="S423" s="47" t="n"/>
      <c r="T423" s="47" t="n"/>
      <c r="U423" s="47" t="n"/>
      <c r="V423" s="47" t="n"/>
      <c r="W423" s="47" t="n"/>
    </row>
    <row r="424" ht="11.25" customHeight="1">
      <c r="A424" s="30" t="inlineStr">
        <is>
          <t>Porto Real</t>
        </is>
      </c>
      <c r="B424" s="30" t="n">
        <v>83869194</v>
      </c>
      <c r="C424" s="30">
        <f>"60860087001413"</f>
        <v/>
      </c>
      <c r="D424" s="30" t="inlineStr">
        <is>
          <t>BRINK"S SEGURANCA E TRANSPORTE DE VALORES LTDA</t>
        </is>
      </c>
      <c r="E424" s="40" t="n">
        <v>13590.57</v>
      </c>
      <c r="F424" s="40" t="n">
        <v>13812.51</v>
      </c>
      <c r="G424" s="40" t="n">
        <v>1.63</v>
      </c>
      <c r="H424" s="40" t="n">
        <v>13014.41</v>
      </c>
      <c r="I424" s="46" t="n">
        <v>-5.78</v>
      </c>
      <c r="J424" s="40" t="n">
        <v>14792.03</v>
      </c>
      <c r="K424" s="40" t="n">
        <v>13.66</v>
      </c>
      <c r="L424" s="40" t="n">
        <v>12854.02</v>
      </c>
      <c r="M424" s="46" t="n">
        <v>-13.1</v>
      </c>
      <c r="N424" s="40" t="n">
        <v>15946.89</v>
      </c>
      <c r="O424" s="40" t="n">
        <v>24.06</v>
      </c>
      <c r="P424" s="40" t="n">
        <v>29512.4</v>
      </c>
      <c r="Q424" s="40" t="n">
        <v>85.06999999999999</v>
      </c>
      <c r="R424" s="47" t="n"/>
      <c r="S424" s="47" t="n"/>
      <c r="T424" s="47" t="n"/>
      <c r="U424" s="47" t="n"/>
      <c r="V424" s="47" t="n"/>
      <c r="W424" s="47" t="n"/>
    </row>
    <row r="425" ht="11.25" customHeight="1">
      <c r="A425" s="30" t="inlineStr">
        <is>
          <t>Porto Real</t>
        </is>
      </c>
      <c r="B425" s="30" t="n">
        <v>83883332</v>
      </c>
      <c r="C425" s="30">
        <f>"28672996000605"</f>
        <v/>
      </c>
      <c r="D425" s="30" t="inlineStr">
        <is>
          <t>COOPERATIVA AGRO PECUARIA DE BARRA MANSA LTDA</t>
        </is>
      </c>
      <c r="E425" s="40" t="n">
        <v>669194.5600000001</v>
      </c>
      <c r="F425" s="40" t="n">
        <v>551625.8</v>
      </c>
      <c r="G425" s="46" t="n">
        <v>-17.57</v>
      </c>
      <c r="H425" s="40" t="n">
        <v>489659.5</v>
      </c>
      <c r="I425" s="46" t="n">
        <v>-11.23</v>
      </c>
      <c r="J425" s="40" t="n">
        <v>678091.03</v>
      </c>
      <c r="K425" s="40" t="n">
        <v>38.48</v>
      </c>
      <c r="L425" s="40" t="n">
        <v>853833.13</v>
      </c>
      <c r="M425" s="40" t="n">
        <v>25.92</v>
      </c>
      <c r="N425" s="40" t="n">
        <v>1694708.69</v>
      </c>
      <c r="O425" s="40" t="n">
        <v>98.48</v>
      </c>
      <c r="P425" s="40" t="n">
        <v>2005536.78</v>
      </c>
      <c r="Q425" s="40" t="n">
        <v>18.34</v>
      </c>
      <c r="R425" s="47" t="n"/>
      <c r="S425" s="47" t="n"/>
      <c r="T425" s="47" t="n"/>
      <c r="U425" s="47" t="n"/>
      <c r="V425" s="47" t="n"/>
      <c r="W425" s="47" t="n"/>
    </row>
    <row r="426" ht="11.25" customHeight="1">
      <c r="A426" s="30" t="inlineStr">
        <is>
          <t>Porto Real</t>
        </is>
      </c>
      <c r="B426" s="30" t="n">
        <v>83883650</v>
      </c>
      <c r="C426" s="30">
        <f>"32590788000120"</f>
        <v/>
      </c>
      <c r="D426" s="30" t="inlineStr">
        <is>
          <t>BARRA SUL METAIS LTDA ME</t>
        </is>
      </c>
      <c r="E426" s="40" t="n">
        <v>401904.2</v>
      </c>
      <c r="F426" s="40" t="n">
        <v>0</v>
      </c>
      <c r="G426" s="46" t="n">
        <v>-100</v>
      </c>
      <c r="H426" s="40" t="n">
        <v>0</v>
      </c>
      <c r="I426" s="40" t="n">
        <v>0</v>
      </c>
      <c r="J426" s="40" t="n">
        <v>0</v>
      </c>
      <c r="K426" s="40" t="n">
        <v>0</v>
      </c>
      <c r="L426" s="40" t="n">
        <v>0</v>
      </c>
      <c r="M426" s="40" t="n">
        <v>0</v>
      </c>
      <c r="N426" s="40" t="n">
        <v>0</v>
      </c>
      <c r="O426" s="40" t="n">
        <v>0</v>
      </c>
      <c r="P426" s="40" t="n">
        <v>0</v>
      </c>
      <c r="Q426" s="40" t="n">
        <v>0</v>
      </c>
      <c r="R426" s="47" t="n"/>
      <c r="S426" s="47" t="n"/>
      <c r="T426" s="47" t="n"/>
      <c r="U426" s="47" t="n"/>
      <c r="V426" s="47" t="n"/>
      <c r="W426" s="47" t="n"/>
    </row>
    <row r="427" ht="11.25" customHeight="1">
      <c r="A427" s="30" t="inlineStr">
        <is>
          <t>Porto Real</t>
        </is>
      </c>
      <c r="B427" s="30" t="n">
        <v>83894377</v>
      </c>
      <c r="C427" s="30">
        <f>"52438082002360"</f>
        <v/>
      </c>
      <c r="D427" s="30" t="inlineStr">
        <is>
          <t>EXPRESSO MIRASSOL LTDA</t>
        </is>
      </c>
      <c r="E427" s="40" t="n">
        <v>223932.25</v>
      </c>
      <c r="F427" s="40" t="n">
        <v>0</v>
      </c>
      <c r="G427" s="46" t="n">
        <v>-100</v>
      </c>
      <c r="H427" s="40" t="n">
        <v>0</v>
      </c>
      <c r="I427" s="40" t="n">
        <v>0</v>
      </c>
      <c r="J427" s="40" t="n">
        <v>0</v>
      </c>
      <c r="K427" s="40" t="n">
        <v>0</v>
      </c>
      <c r="L427" s="40" t="n">
        <v>0</v>
      </c>
      <c r="M427" s="40" t="n">
        <v>0</v>
      </c>
      <c r="N427" s="40" t="n">
        <v>0</v>
      </c>
      <c r="O427" s="40" t="n">
        <v>0</v>
      </c>
      <c r="P427" s="40" t="n">
        <v>0</v>
      </c>
      <c r="Q427" s="40" t="n">
        <v>0</v>
      </c>
      <c r="R427" s="47" t="n"/>
      <c r="S427" s="47" t="n"/>
      <c r="T427" s="47" t="n"/>
      <c r="U427" s="47" t="n"/>
      <c r="V427" s="47" t="n"/>
      <c r="W427" s="47" t="n"/>
    </row>
    <row r="428" ht="11.25" customHeight="1">
      <c r="A428" s="30" t="inlineStr">
        <is>
          <t>Porto Real</t>
        </is>
      </c>
      <c r="B428" s="30" t="n">
        <v>83918748</v>
      </c>
      <c r="C428" s="30">
        <f>"31096068000301"</f>
        <v/>
      </c>
      <c r="D428" s="30" t="inlineStr">
        <is>
          <t>MULTITERMINAIS ALFANDEGADOS DO BRASIL S A</t>
        </is>
      </c>
      <c r="E428" s="40" t="n">
        <v>2698.42</v>
      </c>
      <c r="F428" s="40" t="n">
        <v>0</v>
      </c>
      <c r="G428" s="46" t="n">
        <v>-100</v>
      </c>
      <c r="H428" s="40" t="n">
        <v>0</v>
      </c>
      <c r="I428" s="40" t="n">
        <v>0</v>
      </c>
      <c r="J428" s="40" t="n">
        <v>0</v>
      </c>
      <c r="K428" s="40" t="n">
        <v>0</v>
      </c>
      <c r="L428" s="40" t="n">
        <v>0</v>
      </c>
      <c r="M428" s="40" t="n">
        <v>0</v>
      </c>
      <c r="N428" s="40" t="n">
        <v>0</v>
      </c>
      <c r="O428" s="40" t="n">
        <v>0</v>
      </c>
      <c r="P428" s="40" t="n">
        <v>0</v>
      </c>
      <c r="Q428" s="40" t="n">
        <v>0</v>
      </c>
      <c r="R428" s="47" t="n"/>
      <c r="S428" s="47" t="n"/>
      <c r="T428" s="47" t="n"/>
      <c r="U428" s="47" t="n"/>
      <c r="V428" s="47" t="n"/>
      <c r="W428" s="47" t="n"/>
    </row>
    <row r="429" ht="11.25" customHeight="1">
      <c r="A429" s="30" t="inlineStr">
        <is>
          <t>Porto Real</t>
        </is>
      </c>
      <c r="B429" s="30" t="n">
        <v>84089109</v>
      </c>
      <c r="C429" s="30">
        <f>"17191172000516"</f>
        <v/>
      </c>
      <c r="D429" s="30" t="inlineStr">
        <is>
          <t>EMPRESA DE TRANSPORTES MARTINS LTDA</t>
        </is>
      </c>
      <c r="E429" s="40" t="n">
        <v>0</v>
      </c>
      <c r="F429" s="40" t="n">
        <v>0</v>
      </c>
      <c r="G429" s="40" t="n">
        <v>0</v>
      </c>
      <c r="H429" s="40" t="n">
        <v>510.05</v>
      </c>
      <c r="I429" s="40" t="n">
        <v>100</v>
      </c>
      <c r="J429" s="40" t="n">
        <v>511.26</v>
      </c>
      <c r="K429" s="40" t="n">
        <v>0.24</v>
      </c>
      <c r="L429" s="40" t="n">
        <v>0</v>
      </c>
      <c r="M429" s="46" t="n">
        <v>-100</v>
      </c>
      <c r="N429" s="40" t="n">
        <v>0</v>
      </c>
      <c r="O429" s="40" t="n">
        <v>0</v>
      </c>
      <c r="P429" s="40" t="n">
        <v>5989.64</v>
      </c>
      <c r="Q429" s="40" t="n">
        <v>100</v>
      </c>
      <c r="R429" s="47" t="n"/>
      <c r="S429" s="47" t="n"/>
      <c r="T429" s="47" t="n"/>
      <c r="U429" s="47" t="n"/>
      <c r="V429" s="47" t="n"/>
      <c r="W429" s="47" t="n"/>
    </row>
    <row r="430" ht="11.25" customHeight="1">
      <c r="A430" s="30" t="inlineStr">
        <is>
          <t>Porto Real</t>
        </is>
      </c>
      <c r="B430" s="30" t="n">
        <v>84089311</v>
      </c>
      <c r="C430" s="30">
        <f>"28679017000136"</f>
        <v/>
      </c>
      <c r="D430" s="30" t="inlineStr">
        <is>
          <t>VIACAO FALCAO LTDA</t>
        </is>
      </c>
      <c r="E430" s="40" t="n">
        <v>44581.35</v>
      </c>
      <c r="F430" s="40" t="n">
        <v>0</v>
      </c>
      <c r="G430" s="46" t="n">
        <v>-100</v>
      </c>
      <c r="H430" s="40" t="n">
        <v>0</v>
      </c>
      <c r="I430" s="40" t="n">
        <v>0</v>
      </c>
      <c r="J430" s="40" t="n">
        <v>0</v>
      </c>
      <c r="K430" s="40" t="n">
        <v>0</v>
      </c>
      <c r="L430" s="40" t="n">
        <v>275203.1</v>
      </c>
      <c r="M430" s="40" t="n">
        <v>100</v>
      </c>
      <c r="N430" s="40" t="n">
        <v>673620.15</v>
      </c>
      <c r="O430" s="40" t="n">
        <v>144.77</v>
      </c>
      <c r="P430" s="40" t="n">
        <v>945641.25</v>
      </c>
      <c r="Q430" s="40" t="n">
        <v>40.38</v>
      </c>
      <c r="R430" s="47" t="n"/>
      <c r="S430" s="47" t="n"/>
      <c r="T430" s="47" t="n"/>
      <c r="U430" s="47" t="n"/>
      <c r="V430" s="47" t="n"/>
      <c r="W430" s="47" t="n"/>
    </row>
    <row r="431" ht="11.25" customHeight="1">
      <c r="A431" s="30" t="inlineStr">
        <is>
          <t>Porto Real</t>
        </is>
      </c>
      <c r="B431" s="30" t="n">
        <v>84089478</v>
      </c>
      <c r="C431" s="30">
        <f>"45199510000844"</f>
        <v/>
      </c>
      <c r="D431" s="30" t="inlineStr">
        <is>
          <t>TRANSPORTADORA SOBERANA LTDA</t>
        </is>
      </c>
      <c r="E431" s="40" t="n">
        <v>85085</v>
      </c>
      <c r="F431" s="40" t="n">
        <v>95731.02</v>
      </c>
      <c r="G431" s="40" t="n">
        <v>12.51</v>
      </c>
      <c r="H431" s="40" t="n">
        <v>0</v>
      </c>
      <c r="I431" s="46" t="n">
        <v>-100</v>
      </c>
      <c r="J431" s="40" t="n">
        <v>0</v>
      </c>
      <c r="K431" s="40" t="n">
        <v>0</v>
      </c>
      <c r="L431" s="40" t="n">
        <v>0</v>
      </c>
      <c r="M431" s="40" t="n">
        <v>0</v>
      </c>
      <c r="N431" s="40" t="n">
        <v>0</v>
      </c>
      <c r="O431" s="40" t="n">
        <v>0</v>
      </c>
      <c r="P431" s="40" t="n">
        <v>0</v>
      </c>
      <c r="Q431" s="40" t="n">
        <v>0</v>
      </c>
      <c r="R431" s="47" t="n"/>
      <c r="S431" s="47" t="n"/>
      <c r="T431" s="47" t="n"/>
      <c r="U431" s="47" t="n"/>
      <c r="V431" s="47" t="n"/>
      <c r="W431" s="47" t="n"/>
    </row>
    <row r="432" ht="11.25" customHeight="1">
      <c r="A432" s="30" t="inlineStr">
        <is>
          <t>Porto Real</t>
        </is>
      </c>
      <c r="B432" s="30" t="n">
        <v>84118036</v>
      </c>
      <c r="C432" s="30">
        <f>"29813896000100"</f>
        <v/>
      </c>
      <c r="D432" s="30" t="inlineStr">
        <is>
          <t>RADIO DIFUSORA PORTO REAL LTDA</t>
        </is>
      </c>
      <c r="E432" s="40" t="n">
        <v>0</v>
      </c>
      <c r="F432" s="40" t="n">
        <v>0</v>
      </c>
      <c r="G432" s="40" t="n">
        <v>0</v>
      </c>
      <c r="H432" s="40" t="n">
        <v>0</v>
      </c>
      <c r="I432" s="40" t="n">
        <v>0</v>
      </c>
      <c r="J432" s="40" t="n">
        <v>0</v>
      </c>
      <c r="K432" s="40" t="n">
        <v>0</v>
      </c>
      <c r="L432" s="40" t="n">
        <v>0</v>
      </c>
      <c r="M432" s="40" t="n">
        <v>0</v>
      </c>
      <c r="N432" s="40" t="n">
        <v>0</v>
      </c>
      <c r="O432" s="40" t="n">
        <v>0</v>
      </c>
      <c r="P432" s="40" t="n">
        <v>0</v>
      </c>
      <c r="Q432" s="40" t="n">
        <v>0</v>
      </c>
      <c r="R432" s="47" t="n"/>
      <c r="S432" s="47" t="n"/>
      <c r="T432" s="47" t="n"/>
      <c r="U432" s="47" t="n"/>
      <c r="V432" s="47" t="n"/>
      <c r="W432" s="47" t="n"/>
    </row>
    <row r="433" ht="11.25" customHeight="1">
      <c r="A433" s="30" t="inlineStr">
        <is>
          <t>Porto Real</t>
        </is>
      </c>
      <c r="B433" s="30" t="n">
        <v>84325767</v>
      </c>
      <c r="C433" s="30">
        <f>"40160558000159"</f>
        <v/>
      </c>
      <c r="D433" s="30" t="inlineStr">
        <is>
          <t>TRANSPORTE E TURISMO REAL BRASIL LTDA</t>
        </is>
      </c>
      <c r="E433" s="40" t="n">
        <v>0</v>
      </c>
      <c r="F433" s="40" t="n">
        <v>0</v>
      </c>
      <c r="G433" s="40" t="n">
        <v>0</v>
      </c>
      <c r="H433" s="40" t="n">
        <v>1800</v>
      </c>
      <c r="I433" s="40" t="n">
        <v>100</v>
      </c>
      <c r="J433" s="40" t="n">
        <v>0</v>
      </c>
      <c r="K433" s="46" t="n">
        <v>-100</v>
      </c>
      <c r="L433" s="40" t="n">
        <v>0</v>
      </c>
      <c r="M433" s="40" t="n">
        <v>0</v>
      </c>
      <c r="N433" s="40" t="n">
        <v>0</v>
      </c>
      <c r="O433" s="40" t="n">
        <v>0</v>
      </c>
      <c r="P433" s="40" t="n">
        <v>0</v>
      </c>
      <c r="Q433" s="40" t="n">
        <v>0</v>
      </c>
      <c r="R433" s="47" t="n"/>
      <c r="S433" s="47" t="n"/>
      <c r="T433" s="47" t="n"/>
      <c r="U433" s="47" t="n"/>
      <c r="V433" s="47" t="n"/>
      <c r="W433" s="47" t="n"/>
    </row>
    <row r="434" ht="11.25" customHeight="1">
      <c r="A434" s="30" t="inlineStr">
        <is>
          <t>Porto Real</t>
        </is>
      </c>
      <c r="B434" s="30" t="n">
        <v>84326941</v>
      </c>
      <c r="C434" s="30">
        <f>"32438772000449"</f>
        <v/>
      </c>
      <c r="D434" s="30" t="inlineStr">
        <is>
          <t>TRANSPORTADORA JOLIVAN LTDA</t>
        </is>
      </c>
      <c r="E434" s="40" t="n">
        <v>0</v>
      </c>
      <c r="F434" s="40" t="n">
        <v>0</v>
      </c>
      <c r="G434" s="40" t="n">
        <v>0</v>
      </c>
      <c r="H434" s="40" t="n">
        <v>0</v>
      </c>
      <c r="I434" s="40" t="n">
        <v>0</v>
      </c>
      <c r="J434" s="40" t="n">
        <v>0</v>
      </c>
      <c r="K434" s="40" t="n">
        <v>0</v>
      </c>
      <c r="L434" s="40" t="n">
        <v>0</v>
      </c>
      <c r="M434" s="40" t="n">
        <v>0</v>
      </c>
      <c r="N434" s="40" t="n">
        <v>8094.34</v>
      </c>
      <c r="O434" s="40" t="n">
        <v>100</v>
      </c>
      <c r="P434" s="40" t="n">
        <v>0</v>
      </c>
      <c r="Q434" s="46" t="n">
        <v>-100</v>
      </c>
      <c r="R434" s="47" t="n"/>
      <c r="S434" s="47" t="n"/>
      <c r="T434" s="47" t="n"/>
      <c r="U434" s="47" t="n"/>
      <c r="V434" s="47" t="n"/>
      <c r="W434" s="47" t="n"/>
    </row>
    <row r="435" ht="11.25" customHeight="1">
      <c r="A435" s="30" t="inlineStr">
        <is>
          <t>Porto Real</t>
        </is>
      </c>
      <c r="B435" s="30" t="n">
        <v>84326992</v>
      </c>
      <c r="C435" s="30">
        <f>"32314247000179"</f>
        <v/>
      </c>
      <c r="D435" s="30" t="inlineStr">
        <is>
          <t>MTD TRANSPORTES LTDA</t>
        </is>
      </c>
      <c r="E435" s="40" t="n">
        <v>0</v>
      </c>
      <c r="F435" s="40" t="n">
        <v>0</v>
      </c>
      <c r="G435" s="40" t="n">
        <v>0</v>
      </c>
      <c r="H435" s="40" t="n">
        <v>0</v>
      </c>
      <c r="I435" s="40" t="n">
        <v>0</v>
      </c>
      <c r="J435" s="40" t="n">
        <v>0</v>
      </c>
      <c r="K435" s="40" t="n">
        <v>0</v>
      </c>
      <c r="L435" s="40" t="n">
        <v>0</v>
      </c>
      <c r="M435" s="40" t="n">
        <v>0</v>
      </c>
      <c r="N435" s="40" t="n">
        <v>40</v>
      </c>
      <c r="O435" s="40" t="n">
        <v>100</v>
      </c>
      <c r="P435" s="40" t="n">
        <v>0</v>
      </c>
      <c r="Q435" s="46" t="n">
        <v>-100</v>
      </c>
      <c r="R435" s="47" t="n"/>
      <c r="S435" s="47" t="n"/>
      <c r="T435" s="47" t="n"/>
      <c r="U435" s="47" t="n"/>
      <c r="V435" s="47" t="n"/>
      <c r="W435" s="47" t="n"/>
    </row>
    <row r="436" ht="11.25" customHeight="1">
      <c r="A436" s="30" t="inlineStr">
        <is>
          <t>Porto Real</t>
        </is>
      </c>
      <c r="B436" s="30" t="n">
        <v>84327093</v>
      </c>
      <c r="C436" s="30">
        <f>"66199068000311"</f>
        <v/>
      </c>
      <c r="D436" s="30" t="inlineStr">
        <is>
          <t>RAPIDO ALEM PARAIBA LTDA</t>
        </is>
      </c>
      <c r="E436" s="40" t="n">
        <v>0</v>
      </c>
      <c r="F436" s="40" t="n">
        <v>148</v>
      </c>
      <c r="G436" s="40" t="n">
        <v>100</v>
      </c>
      <c r="H436" s="40" t="n">
        <v>0</v>
      </c>
      <c r="I436" s="46" t="n">
        <v>-100</v>
      </c>
      <c r="J436" s="40" t="n">
        <v>0</v>
      </c>
      <c r="K436" s="40" t="n">
        <v>0</v>
      </c>
      <c r="L436" s="40" t="n">
        <v>75</v>
      </c>
      <c r="M436" s="40" t="n">
        <v>100</v>
      </c>
      <c r="N436" s="40" t="n">
        <v>0</v>
      </c>
      <c r="O436" s="46" t="n">
        <v>-100</v>
      </c>
      <c r="P436" s="40" t="n">
        <v>345.24</v>
      </c>
      <c r="Q436" s="40" t="n">
        <v>100</v>
      </c>
      <c r="R436" s="47" t="n"/>
      <c r="S436" s="47" t="n"/>
      <c r="T436" s="47" t="n"/>
      <c r="U436" s="47" t="n"/>
      <c r="V436" s="47" t="n"/>
      <c r="W436" s="47" t="n"/>
    </row>
    <row r="437" ht="11.25" customHeight="1">
      <c r="A437" s="30" t="inlineStr">
        <is>
          <t>Porto Real</t>
        </is>
      </c>
      <c r="B437" s="30" t="n">
        <v>84327565</v>
      </c>
      <c r="C437" s="30">
        <f>"19451038000370"</f>
        <v/>
      </c>
      <c r="D437" s="30" t="inlineStr">
        <is>
          <t>RODOVIARIO CAMILO DOS SANTOS FILHO LTDA</t>
        </is>
      </c>
      <c r="E437" s="40" t="n">
        <v>0</v>
      </c>
      <c r="F437" s="40" t="n">
        <v>0</v>
      </c>
      <c r="G437" s="40" t="n">
        <v>0</v>
      </c>
      <c r="H437" s="40" t="n">
        <v>944.04</v>
      </c>
      <c r="I437" s="40" t="n">
        <v>100</v>
      </c>
      <c r="J437" s="40" t="n">
        <v>80.20999999999999</v>
      </c>
      <c r="K437" s="46" t="n">
        <v>-91.5</v>
      </c>
      <c r="L437" s="40" t="n">
        <v>2373.95</v>
      </c>
      <c r="M437" s="40" t="n">
        <v>2859.67</v>
      </c>
      <c r="N437" s="40" t="n">
        <v>1468.3</v>
      </c>
      <c r="O437" s="46" t="n">
        <v>-38.15</v>
      </c>
      <c r="P437" s="40" t="n">
        <v>1264.56</v>
      </c>
      <c r="Q437" s="46" t="n">
        <v>-13.88</v>
      </c>
      <c r="R437" s="47" t="n"/>
      <c r="S437" s="47" t="n"/>
      <c r="T437" s="47" t="n"/>
      <c r="U437" s="47" t="n"/>
      <c r="V437" s="47" t="n"/>
      <c r="W437" s="47" t="n"/>
    </row>
    <row r="438" ht="11.25" customHeight="1">
      <c r="A438" s="30" t="inlineStr">
        <is>
          <t>Porto Real</t>
        </is>
      </c>
      <c r="B438" s="30" t="n">
        <v>84328596</v>
      </c>
      <c r="C438" s="30">
        <f>"58581653000272"</f>
        <v/>
      </c>
      <c r="D438" s="30" t="inlineStr">
        <is>
          <t>VITRASA TRANSPORTES LTDA</t>
        </is>
      </c>
      <c r="E438" s="40" t="n">
        <v>0</v>
      </c>
      <c r="F438" s="40" t="n">
        <v>0</v>
      </c>
      <c r="G438" s="40" t="n">
        <v>0</v>
      </c>
      <c r="H438" s="40" t="n">
        <v>6000</v>
      </c>
      <c r="I438" s="40" t="n">
        <v>100</v>
      </c>
      <c r="J438" s="40" t="n">
        <v>0</v>
      </c>
      <c r="K438" s="46" t="n">
        <v>-100</v>
      </c>
      <c r="L438" s="40" t="n">
        <v>3636.36</v>
      </c>
      <c r="M438" s="40" t="n">
        <v>100</v>
      </c>
      <c r="N438" s="40" t="n">
        <v>21012.3</v>
      </c>
      <c r="O438" s="40" t="n">
        <v>477.84</v>
      </c>
      <c r="P438" s="40" t="n">
        <v>0</v>
      </c>
      <c r="Q438" s="46" t="n">
        <v>-100</v>
      </c>
      <c r="R438" s="47" t="n"/>
      <c r="S438" s="47" t="n"/>
      <c r="T438" s="47" t="n"/>
      <c r="U438" s="47" t="n"/>
      <c r="V438" s="47" t="n"/>
      <c r="W438" s="47" t="n"/>
    </row>
    <row r="439" ht="11.25" customHeight="1">
      <c r="A439" s="30" t="inlineStr">
        <is>
          <t>Porto Real</t>
        </is>
      </c>
      <c r="B439" s="30" t="n">
        <v>84372021</v>
      </c>
      <c r="C439" s="30">
        <f>"36510683000174"</f>
        <v/>
      </c>
      <c r="D439" s="30" t="inlineStr">
        <is>
          <t>KATIA PINESCHI FERREIRA</t>
        </is>
      </c>
      <c r="E439" s="40" t="n">
        <v>0</v>
      </c>
      <c r="F439" s="40" t="n">
        <v>0</v>
      </c>
      <c r="G439" s="40" t="n">
        <v>0</v>
      </c>
      <c r="H439" s="40" t="n">
        <v>0</v>
      </c>
      <c r="I439" s="40" t="n">
        <v>0</v>
      </c>
      <c r="J439" s="40" t="n">
        <v>0</v>
      </c>
      <c r="K439" s="40" t="n">
        <v>0</v>
      </c>
      <c r="L439" s="40" t="n">
        <v>0</v>
      </c>
      <c r="M439" s="40" t="n">
        <v>0</v>
      </c>
      <c r="N439" s="40" t="n">
        <v>0</v>
      </c>
      <c r="O439" s="40" t="n">
        <v>0</v>
      </c>
      <c r="P439" s="40" t="n">
        <v>0</v>
      </c>
      <c r="Q439" s="40" t="n">
        <v>0</v>
      </c>
      <c r="R439" s="47" t="n"/>
      <c r="S439" s="47" t="n"/>
      <c r="T439" s="47" t="n"/>
      <c r="U439" s="47" t="n"/>
      <c r="V439" s="47" t="n"/>
      <c r="W439" s="47" t="n"/>
    </row>
    <row r="440" ht="11.25" customHeight="1">
      <c r="A440" s="30" t="inlineStr">
        <is>
          <t>Porto Real</t>
        </is>
      </c>
      <c r="B440" s="30" t="n">
        <v>84511161</v>
      </c>
      <c r="C440" s="30">
        <f>"28816270000194"</f>
        <v/>
      </c>
      <c r="D440" s="30" t="inlineStr">
        <is>
          <t>DOCE RIO FRETAMENTO E TURISMO LTDA</t>
        </is>
      </c>
      <c r="E440" s="40" t="n">
        <v>0</v>
      </c>
      <c r="F440" s="40" t="n">
        <v>0</v>
      </c>
      <c r="G440" s="40" t="n">
        <v>0</v>
      </c>
      <c r="H440" s="40" t="n">
        <v>1900</v>
      </c>
      <c r="I440" s="40" t="n">
        <v>100</v>
      </c>
      <c r="J440" s="40" t="n">
        <v>0</v>
      </c>
      <c r="K440" s="46" t="n">
        <v>-100</v>
      </c>
      <c r="L440" s="40" t="n">
        <v>0</v>
      </c>
      <c r="M440" s="40" t="n">
        <v>0</v>
      </c>
      <c r="N440" s="40" t="n">
        <v>0</v>
      </c>
      <c r="O440" s="40" t="n">
        <v>0</v>
      </c>
      <c r="P440" s="40" t="n">
        <v>0</v>
      </c>
      <c r="Q440" s="40" t="n">
        <v>0</v>
      </c>
      <c r="R440" s="47" t="n"/>
      <c r="S440" s="47" t="n"/>
      <c r="T440" s="47" t="n"/>
      <c r="U440" s="47" t="n"/>
      <c r="V440" s="47" t="n"/>
      <c r="W440" s="47" t="n"/>
    </row>
    <row r="441" ht="11.25" customHeight="1">
      <c r="A441" s="30" t="inlineStr">
        <is>
          <t>Porto Real</t>
        </is>
      </c>
      <c r="B441" s="30" t="n">
        <v>84511277</v>
      </c>
      <c r="C441" s="30">
        <f>"40433401000150"</f>
        <v/>
      </c>
      <c r="D441" s="30" t="inlineStr">
        <is>
          <t>BWA TRANSPORTES ESPECIALIZADOS LTDA</t>
        </is>
      </c>
      <c r="E441" s="40" t="n">
        <v>13447</v>
      </c>
      <c r="F441" s="40" t="n">
        <v>2554.74</v>
      </c>
      <c r="G441" s="46" t="n">
        <v>-81</v>
      </c>
      <c r="H441" s="40" t="n">
        <v>8716</v>
      </c>
      <c r="I441" s="40" t="n">
        <v>241.17</v>
      </c>
      <c r="J441" s="40" t="n">
        <v>0</v>
      </c>
      <c r="K441" s="46" t="n">
        <v>-100</v>
      </c>
      <c r="L441" s="40" t="n">
        <v>0</v>
      </c>
      <c r="M441" s="40" t="n">
        <v>0</v>
      </c>
      <c r="N441" s="40" t="n">
        <v>0</v>
      </c>
      <c r="O441" s="40" t="n">
        <v>0</v>
      </c>
      <c r="P441" s="40" t="n">
        <v>0</v>
      </c>
      <c r="Q441" s="40" t="n">
        <v>0</v>
      </c>
      <c r="R441" s="47" t="n"/>
      <c r="S441" s="47" t="n"/>
      <c r="T441" s="47" t="n"/>
      <c r="U441" s="47" t="n"/>
      <c r="V441" s="47" t="n"/>
      <c r="W441" s="47" t="n"/>
    </row>
    <row r="442" ht="11.25" customHeight="1">
      <c r="A442" s="30" t="inlineStr">
        <is>
          <t>Porto Real</t>
        </is>
      </c>
      <c r="B442" s="30" t="n">
        <v>84701254</v>
      </c>
      <c r="C442" s="30">
        <f>"17689837000273"</f>
        <v/>
      </c>
      <c r="D442" s="30" t="inlineStr">
        <is>
          <t>IBOR TRANSPORTE RODOVIARIO LTDA</t>
        </is>
      </c>
      <c r="E442" s="40" t="n">
        <v>38411.5</v>
      </c>
      <c r="F442" s="40" t="n">
        <v>0</v>
      </c>
      <c r="G442" s="46" t="n">
        <v>-100</v>
      </c>
      <c r="H442" s="40" t="n">
        <v>0</v>
      </c>
      <c r="I442" s="40" t="n">
        <v>0</v>
      </c>
      <c r="J442" s="40" t="n">
        <v>11.36</v>
      </c>
      <c r="K442" s="40" t="n">
        <v>100</v>
      </c>
      <c r="L442" s="40" t="n">
        <v>9422.690000000001</v>
      </c>
      <c r="M442" s="40" t="n">
        <v>82846.21000000001</v>
      </c>
      <c r="N442" s="40" t="n">
        <v>0</v>
      </c>
      <c r="O442" s="46" t="n">
        <v>-100</v>
      </c>
      <c r="P442" s="40" t="n">
        <v>0</v>
      </c>
      <c r="Q442" s="40" t="n">
        <v>0</v>
      </c>
      <c r="R442" s="47" t="n"/>
      <c r="S442" s="47" t="n"/>
      <c r="T442" s="47" t="n"/>
      <c r="U442" s="47" t="n"/>
      <c r="V442" s="47" t="n"/>
      <c r="W442" s="47" t="n"/>
    </row>
    <row r="443" ht="11.25" customHeight="1">
      <c r="A443" s="30" t="inlineStr">
        <is>
          <t>Porto Real</t>
        </is>
      </c>
      <c r="B443" s="30" t="n">
        <v>84702013</v>
      </c>
      <c r="C443" s="30">
        <f>"43035146002129"</f>
        <v/>
      </c>
      <c r="D443" s="30" t="inlineStr">
        <is>
          <t>PROTEGE SOCIEDADE ANONIMA PROTECAO E TRANSPORTE DE VALORES</t>
        </is>
      </c>
      <c r="E443" s="40" t="n">
        <v>18441.75</v>
      </c>
      <c r="F443" s="40" t="n">
        <v>44875.9</v>
      </c>
      <c r="G443" s="40" t="n">
        <v>143.34</v>
      </c>
      <c r="H443" s="40" t="n">
        <v>45223.25</v>
      </c>
      <c r="I443" s="40" t="n">
        <v>0.77</v>
      </c>
      <c r="J443" s="40" t="n">
        <v>42078.95</v>
      </c>
      <c r="K443" s="46" t="n">
        <v>-6.95</v>
      </c>
      <c r="L443" s="40" t="n">
        <v>43442.18</v>
      </c>
      <c r="M443" s="40" t="n">
        <v>3.24</v>
      </c>
      <c r="N443" s="40" t="n">
        <v>68629.09</v>
      </c>
      <c r="O443" s="40" t="n">
        <v>57.98</v>
      </c>
      <c r="P443" s="40" t="n">
        <v>707668.9399999999</v>
      </c>
      <c r="Q443" s="40" t="n">
        <v>931.15</v>
      </c>
      <c r="R443" s="47" t="n"/>
      <c r="S443" s="47" t="n"/>
      <c r="T443" s="47" t="n"/>
      <c r="U443" s="47" t="n"/>
      <c r="V443" s="47" t="n"/>
      <c r="W443" s="47" t="n"/>
    </row>
    <row r="444" ht="11.25" customHeight="1">
      <c r="A444" s="30" t="inlineStr">
        <is>
          <t>Porto Real</t>
        </is>
      </c>
      <c r="B444" s="30" t="n">
        <v>84781193</v>
      </c>
      <c r="C444" s="30">
        <f>"01695370000153"</f>
        <v/>
      </c>
      <c r="D444" s="30" t="inlineStr">
        <is>
          <t>CEG RIO S/A</t>
        </is>
      </c>
      <c r="E444" s="40" t="n">
        <v>60940306.43</v>
      </c>
      <c r="F444" s="40" t="n">
        <v>90908536.41</v>
      </c>
      <c r="G444" s="40" t="n">
        <v>49.18</v>
      </c>
      <c r="H444" s="40" t="n">
        <v>104605213.59</v>
      </c>
      <c r="I444" s="40" t="n">
        <v>15.07</v>
      </c>
      <c r="J444" s="40" t="n">
        <v>82707765.70999999</v>
      </c>
      <c r="K444" s="46" t="n">
        <v>-20.93</v>
      </c>
      <c r="L444" s="40" t="n">
        <v>114635648.11</v>
      </c>
      <c r="M444" s="40" t="n">
        <v>38.6</v>
      </c>
      <c r="N444" s="40" t="n">
        <v>169488410.17</v>
      </c>
      <c r="O444" s="40" t="n">
        <v>47.85</v>
      </c>
      <c r="P444" s="40" t="n">
        <v>144545642.11</v>
      </c>
      <c r="Q444" s="46" t="n">
        <v>-14.72</v>
      </c>
      <c r="R444" s="47" t="n"/>
      <c r="S444" s="47" t="n"/>
      <c r="T444" s="47" t="n"/>
      <c r="U444" s="47" t="n"/>
      <c r="V444" s="47" t="n"/>
      <c r="W444" s="47" t="n"/>
    </row>
    <row r="445" ht="11.25" customHeight="1">
      <c r="A445" s="30" t="inlineStr">
        <is>
          <t>Porto Real</t>
        </is>
      </c>
      <c r="B445" s="30" t="n">
        <v>84984388</v>
      </c>
      <c r="C445" s="30">
        <f>"39759667000108"</f>
        <v/>
      </c>
      <c r="D445" s="30" t="inlineStr">
        <is>
          <t>IRMAOS SOARES OLIVEIRA LTDA</t>
        </is>
      </c>
      <c r="E445" s="40" t="n">
        <v>191319.67</v>
      </c>
      <c r="F445" s="40" t="n">
        <v>229761.22</v>
      </c>
      <c r="G445" s="40" t="n">
        <v>20.09</v>
      </c>
      <c r="H445" s="40" t="n">
        <v>306856.93</v>
      </c>
      <c r="I445" s="40" t="n">
        <v>33.55</v>
      </c>
      <c r="J445" s="40" t="n">
        <v>93172.46000000001</v>
      </c>
      <c r="K445" s="46" t="n">
        <v>-69.64</v>
      </c>
      <c r="L445" s="40" t="n">
        <v>0</v>
      </c>
      <c r="M445" s="46" t="n">
        <v>-100</v>
      </c>
      <c r="N445" s="40" t="n">
        <v>0</v>
      </c>
      <c r="O445" s="40" t="n">
        <v>0</v>
      </c>
      <c r="P445" s="40" t="n">
        <v>0</v>
      </c>
      <c r="Q445" s="40" t="n">
        <v>0</v>
      </c>
      <c r="R445" s="47" t="n"/>
      <c r="S445" s="47" t="n"/>
      <c r="T445" s="47" t="n"/>
      <c r="U445" s="47" t="n"/>
      <c r="V445" s="47" t="n"/>
      <c r="W445" s="47" t="n"/>
    </row>
    <row r="446" ht="11.25" customHeight="1">
      <c r="A446" s="30" t="inlineStr">
        <is>
          <t>Porto Real</t>
        </is>
      </c>
      <c r="B446" s="30" t="n">
        <v>85103687</v>
      </c>
      <c r="C446" s="30">
        <f>"39205679000190"</f>
        <v/>
      </c>
      <c r="D446" s="30" t="inlineStr">
        <is>
          <t>PENEDO TRANSPORTES EIRELI EPP</t>
        </is>
      </c>
      <c r="E446" s="40" t="n">
        <v>59353.06</v>
      </c>
      <c r="F446" s="40" t="n">
        <v>0</v>
      </c>
      <c r="G446" s="46" t="n">
        <v>-100</v>
      </c>
      <c r="H446" s="40" t="n">
        <v>0</v>
      </c>
      <c r="I446" s="40" t="n">
        <v>0</v>
      </c>
      <c r="J446" s="40" t="n">
        <v>0</v>
      </c>
      <c r="K446" s="40" t="n">
        <v>0</v>
      </c>
      <c r="L446" s="40" t="n">
        <v>0</v>
      </c>
      <c r="M446" s="40" t="n">
        <v>0</v>
      </c>
      <c r="N446" s="40" t="n">
        <v>0</v>
      </c>
      <c r="O446" s="40" t="n">
        <v>0</v>
      </c>
      <c r="P446" s="40" t="n">
        <v>0</v>
      </c>
      <c r="Q446" s="40" t="n">
        <v>0</v>
      </c>
      <c r="R446" s="47" t="n"/>
      <c r="S446" s="47" t="n"/>
      <c r="T446" s="47" t="n"/>
      <c r="U446" s="47" t="n"/>
      <c r="V446" s="47" t="n"/>
      <c r="W446" s="47" t="n"/>
    </row>
    <row r="447" ht="11.25" customHeight="1">
      <c r="A447" s="30" t="inlineStr">
        <is>
          <t>Porto Real</t>
        </is>
      </c>
      <c r="B447" s="30" t="n">
        <v>85105507</v>
      </c>
      <c r="C447" s="30">
        <f>"66199068000400"</f>
        <v/>
      </c>
      <c r="D447" s="30" t="inlineStr">
        <is>
          <t>RAPIDO ALEM PARAIBA LTDA</t>
        </is>
      </c>
      <c r="E447" s="40" t="n">
        <v>957</v>
      </c>
      <c r="F447" s="40" t="n">
        <v>312</v>
      </c>
      <c r="G447" s="46" t="n">
        <v>-67.40000000000001</v>
      </c>
      <c r="H447" s="40" t="n">
        <v>0</v>
      </c>
      <c r="I447" s="46" t="n">
        <v>-100</v>
      </c>
      <c r="J447" s="40" t="n">
        <v>0</v>
      </c>
      <c r="K447" s="40" t="n">
        <v>0</v>
      </c>
      <c r="L447" s="40" t="n">
        <v>0</v>
      </c>
      <c r="M447" s="40" t="n">
        <v>0</v>
      </c>
      <c r="N447" s="40" t="n">
        <v>0</v>
      </c>
      <c r="O447" s="40" t="n">
        <v>0</v>
      </c>
      <c r="P447" s="40" t="n">
        <v>0</v>
      </c>
      <c r="Q447" s="40" t="n">
        <v>0</v>
      </c>
      <c r="R447" s="47" t="n"/>
      <c r="S447" s="47" t="n"/>
      <c r="T447" s="47" t="n"/>
      <c r="U447" s="47" t="n"/>
      <c r="V447" s="47" t="n"/>
      <c r="W447" s="47" t="n"/>
    </row>
    <row r="448" ht="11.25" customHeight="1">
      <c r="A448" s="30" t="inlineStr">
        <is>
          <t>Porto Real</t>
        </is>
      </c>
      <c r="B448" s="30" t="n">
        <v>85206672</v>
      </c>
      <c r="C448" s="30">
        <f>"88009030000452"</f>
        <v/>
      </c>
      <c r="D448" s="30" t="inlineStr">
        <is>
          <t>MODULAR TRANSPORTES LTDA</t>
        </is>
      </c>
      <c r="E448" s="40" t="n">
        <v>0</v>
      </c>
      <c r="F448" s="40" t="n">
        <v>205.19</v>
      </c>
      <c r="G448" s="40" t="n">
        <v>100</v>
      </c>
      <c r="H448" s="40" t="n">
        <v>280615.5</v>
      </c>
      <c r="I448" s="40" t="n">
        <v>136658.86</v>
      </c>
      <c r="J448" s="40" t="n">
        <v>782052.42</v>
      </c>
      <c r="K448" s="40" t="n">
        <v>178.69</v>
      </c>
      <c r="L448" s="40" t="n">
        <v>696457.13</v>
      </c>
      <c r="M448" s="46" t="n">
        <v>-10.94</v>
      </c>
      <c r="N448" s="40" t="n">
        <v>623607.36</v>
      </c>
      <c r="O448" s="46" t="n">
        <v>-10.46</v>
      </c>
      <c r="P448" s="40" t="n">
        <v>77350.21000000001</v>
      </c>
      <c r="Q448" s="46" t="n">
        <v>-87.59999999999999</v>
      </c>
      <c r="R448" s="47" t="n"/>
      <c r="S448" s="47" t="n"/>
      <c r="T448" s="47" t="n"/>
      <c r="U448" s="47" t="n"/>
      <c r="V448" s="47" t="n"/>
      <c r="W448" s="47" t="n"/>
    </row>
    <row r="449" ht="11.25" customHeight="1">
      <c r="A449" s="30" t="inlineStr">
        <is>
          <t>Porto Real</t>
        </is>
      </c>
      <c r="B449" s="30" t="n">
        <v>85208527</v>
      </c>
      <c r="C449" s="30">
        <f>"23864838000633"</f>
        <v/>
      </c>
      <c r="D449" s="30" t="inlineStr">
        <is>
          <t>MOVVI LOGISTICA LTDA</t>
        </is>
      </c>
      <c r="E449" s="40" t="n">
        <v>104.86</v>
      </c>
      <c r="F449" s="40" t="n">
        <v>2215</v>
      </c>
      <c r="G449" s="40" t="n">
        <v>2012.34</v>
      </c>
      <c r="H449" s="40" t="n">
        <v>87.06</v>
      </c>
      <c r="I449" s="46" t="n">
        <v>-96.06999999999999</v>
      </c>
      <c r="J449" s="40" t="n">
        <v>613.03</v>
      </c>
      <c r="K449" s="40" t="n">
        <v>604.15</v>
      </c>
      <c r="L449" s="40" t="n">
        <v>149.12</v>
      </c>
      <c r="M449" s="46" t="n">
        <v>-75.67</v>
      </c>
      <c r="N449" s="40" t="n">
        <v>428.31</v>
      </c>
      <c r="O449" s="40" t="n">
        <v>187.23</v>
      </c>
      <c r="P449" s="40" t="n">
        <v>163.74</v>
      </c>
      <c r="Q449" s="46" t="n">
        <v>-61.77</v>
      </c>
      <c r="R449" s="47" t="n"/>
      <c r="S449" s="47" t="n"/>
      <c r="T449" s="47" t="n"/>
      <c r="U449" s="47" t="n"/>
      <c r="V449" s="47" t="n"/>
      <c r="W449" s="47" t="n"/>
    </row>
    <row r="450" ht="11.25" customHeight="1">
      <c r="A450" s="30" t="inlineStr">
        <is>
          <t>Porto Real</t>
        </is>
      </c>
      <c r="B450" s="30" t="n">
        <v>85297848</v>
      </c>
      <c r="C450" s="30">
        <f>"02667694000221"</f>
        <v/>
      </c>
      <c r="D450" s="30" t="inlineStr">
        <is>
          <t>TELMEX DO BRASIL S/A</t>
        </is>
      </c>
      <c r="E450" s="40" t="n">
        <v>0</v>
      </c>
      <c r="F450" s="40" t="n">
        <v>0</v>
      </c>
      <c r="G450" s="40" t="n">
        <v>0</v>
      </c>
      <c r="H450" s="40" t="n">
        <v>730307.78</v>
      </c>
      <c r="I450" s="40" t="n">
        <v>100</v>
      </c>
      <c r="J450" s="40" t="n">
        <v>1234741.91</v>
      </c>
      <c r="K450" s="40" t="n">
        <v>69.06999999999999</v>
      </c>
      <c r="L450" s="40" t="n">
        <v>441277.46</v>
      </c>
      <c r="M450" s="46" t="n">
        <v>-64.26000000000001</v>
      </c>
      <c r="N450" s="40" t="n">
        <v>256676.12</v>
      </c>
      <c r="O450" s="46" t="n">
        <v>-41.83</v>
      </c>
      <c r="P450" s="40" t="n">
        <v>232513.2</v>
      </c>
      <c r="Q450" s="46" t="n">
        <v>-9.41</v>
      </c>
      <c r="R450" s="47" t="n"/>
      <c r="S450" s="47" t="n"/>
      <c r="T450" s="47" t="n"/>
      <c r="U450" s="47" t="n"/>
      <c r="V450" s="47" t="n"/>
      <c r="W450" s="47" t="n"/>
    </row>
    <row r="451" ht="11.25" customHeight="1">
      <c r="A451" s="30" t="inlineStr">
        <is>
          <t>Porto Real</t>
        </is>
      </c>
      <c r="B451" s="30" t="n">
        <v>85366386</v>
      </c>
      <c r="C451" s="30">
        <f>"90434000120"</f>
        <v/>
      </c>
      <c r="D451" s="30" t="inlineStr">
        <is>
          <t>ALEXANDRE DOS SANTOS CAMPOS</t>
        </is>
      </c>
      <c r="E451" s="40" t="n">
        <v>0</v>
      </c>
      <c r="F451" s="40" t="n">
        <v>0</v>
      </c>
      <c r="G451" s="40" t="n">
        <v>0</v>
      </c>
      <c r="H451" s="40" t="n">
        <v>0</v>
      </c>
      <c r="I451" s="40" t="n">
        <v>0</v>
      </c>
      <c r="J451" s="40" t="n">
        <v>0</v>
      </c>
      <c r="K451" s="40" t="n">
        <v>0</v>
      </c>
      <c r="L451" s="40" t="n">
        <v>0</v>
      </c>
      <c r="M451" s="40" t="n">
        <v>0</v>
      </c>
      <c r="N451" s="40" t="n">
        <v>0</v>
      </c>
      <c r="O451" s="40" t="n">
        <v>0</v>
      </c>
      <c r="P451" s="40" t="n">
        <v>0</v>
      </c>
      <c r="Q451" s="40" t="n">
        <v>0</v>
      </c>
      <c r="R451" s="47" t="n"/>
      <c r="S451" s="47" t="n"/>
      <c r="T451" s="47" t="n"/>
      <c r="U451" s="47" t="n"/>
      <c r="V451" s="47" t="n"/>
      <c r="W451" s="47" t="n"/>
    </row>
    <row r="452" ht="11.25" customHeight="1">
      <c r="A452" s="30" t="inlineStr">
        <is>
          <t>Porto Real</t>
        </is>
      </c>
      <c r="B452" s="30" t="n">
        <v>85390449</v>
      </c>
      <c r="C452" s="30">
        <f>"17428731005447"</f>
        <v/>
      </c>
      <c r="D452" s="30" t="inlineStr">
        <is>
          <t>PROSEGUR BRASIL S/A</t>
        </is>
      </c>
      <c r="E452" s="40" t="n">
        <v>0</v>
      </c>
      <c r="F452" s="40" t="n">
        <v>0</v>
      </c>
      <c r="G452" s="40" t="n">
        <v>0</v>
      </c>
      <c r="H452" s="40" t="n">
        <v>0</v>
      </c>
      <c r="I452" s="40" t="n">
        <v>0</v>
      </c>
      <c r="J452" s="40" t="n">
        <v>3594.94</v>
      </c>
      <c r="K452" s="40" t="n">
        <v>100</v>
      </c>
      <c r="L452" s="40" t="n">
        <v>0</v>
      </c>
      <c r="M452" s="46" t="n">
        <v>-100</v>
      </c>
      <c r="N452" s="40" t="n">
        <v>0</v>
      </c>
      <c r="O452" s="40" t="n">
        <v>0</v>
      </c>
      <c r="P452" s="40" t="n">
        <v>0</v>
      </c>
      <c r="Q452" s="40" t="n">
        <v>0</v>
      </c>
      <c r="R452" s="47" t="n"/>
      <c r="S452" s="47" t="n"/>
      <c r="T452" s="47" t="n"/>
      <c r="U452" s="47" t="n"/>
      <c r="V452" s="47" t="n"/>
      <c r="W452" s="47" t="n"/>
    </row>
    <row r="453" ht="11.25" customHeight="1">
      <c r="A453" s="30" t="inlineStr">
        <is>
          <t>Porto Real</t>
        </is>
      </c>
      <c r="B453" s="30" t="n">
        <v>85390465</v>
      </c>
      <c r="C453" s="30">
        <f>"17428731005609"</f>
        <v/>
      </c>
      <c r="D453" s="30" t="inlineStr">
        <is>
          <t>PROSEGUR BRASIL S/A</t>
        </is>
      </c>
      <c r="E453" s="40" t="n">
        <v>190493.56</v>
      </c>
      <c r="F453" s="40" t="n">
        <v>148058.86</v>
      </c>
      <c r="G453" s="46" t="n">
        <v>-22.28</v>
      </c>
      <c r="H453" s="40" t="n">
        <v>156795.25</v>
      </c>
      <c r="I453" s="40" t="n">
        <v>5.9</v>
      </c>
      <c r="J453" s="40" t="n">
        <v>143936.98</v>
      </c>
      <c r="K453" s="46" t="n">
        <v>-8.199999999999999</v>
      </c>
      <c r="L453" s="40" t="n">
        <v>135433.76</v>
      </c>
      <c r="M453" s="46" t="n">
        <v>-5.91</v>
      </c>
      <c r="N453" s="40" t="n">
        <v>31669.43</v>
      </c>
      <c r="O453" s="46" t="n">
        <v>-76.62</v>
      </c>
      <c r="P453" s="40" t="n">
        <v>147172.78</v>
      </c>
      <c r="Q453" s="40" t="n">
        <v>364.72</v>
      </c>
      <c r="R453" s="47" t="n"/>
      <c r="S453" s="47" t="n"/>
      <c r="T453" s="47" t="n"/>
      <c r="U453" s="47" t="n"/>
      <c r="V453" s="47" t="n"/>
      <c r="W453" s="47" t="n"/>
    </row>
    <row r="454" ht="11.25" customHeight="1">
      <c r="A454" s="30" t="inlineStr">
        <is>
          <t>Porto Real</t>
        </is>
      </c>
      <c r="B454" s="30" t="n">
        <v>85440357</v>
      </c>
      <c r="C454" s="30">
        <f>"55184691000201"</f>
        <v/>
      </c>
      <c r="D454" s="30" t="inlineStr">
        <is>
          <t>TRANSPORTADORA JULE LTDA</t>
        </is>
      </c>
      <c r="E454" s="40" t="n">
        <v>373492.66</v>
      </c>
      <c r="F454" s="40" t="n">
        <v>93412.60000000001</v>
      </c>
      <c r="G454" s="46" t="n">
        <v>-74.98999999999999</v>
      </c>
      <c r="H454" s="40" t="n">
        <v>17988.85</v>
      </c>
      <c r="I454" s="46" t="n">
        <v>-80.73999999999999</v>
      </c>
      <c r="J454" s="40" t="n">
        <v>191867.36</v>
      </c>
      <c r="K454" s="40" t="n">
        <v>966.59</v>
      </c>
      <c r="L454" s="40" t="n">
        <v>78070.03999999999</v>
      </c>
      <c r="M454" s="46" t="n">
        <v>-59.31</v>
      </c>
      <c r="N454" s="40" t="n">
        <v>2778.39</v>
      </c>
      <c r="O454" s="46" t="n">
        <v>-96.44</v>
      </c>
      <c r="P454" s="40" t="n">
        <v>95843.3</v>
      </c>
      <c r="Q454" s="40" t="n">
        <v>3349.6</v>
      </c>
      <c r="R454" s="47" t="n"/>
      <c r="S454" s="47" t="n"/>
      <c r="T454" s="47" t="n"/>
      <c r="U454" s="47" t="n"/>
      <c r="V454" s="47" t="n"/>
      <c r="W454" s="47" t="n"/>
    </row>
    <row r="455" ht="11.25" customHeight="1">
      <c r="A455" s="30" t="inlineStr">
        <is>
          <t>Porto Real</t>
        </is>
      </c>
      <c r="B455" s="30" t="n">
        <v>85454455</v>
      </c>
      <c r="C455" s="30">
        <f>"00468285000190"</f>
        <v/>
      </c>
      <c r="D455" s="30" t="inlineStr">
        <is>
          <t>TRANZIRAN TRANSPORTES EIRELI</t>
        </is>
      </c>
      <c r="E455" s="40" t="n">
        <v>0</v>
      </c>
      <c r="F455" s="40" t="n">
        <v>0</v>
      </c>
      <c r="G455" s="40" t="n">
        <v>0</v>
      </c>
      <c r="H455" s="40" t="n">
        <v>0</v>
      </c>
      <c r="I455" s="40" t="n">
        <v>0</v>
      </c>
      <c r="J455" s="40" t="n">
        <v>30847.31</v>
      </c>
      <c r="K455" s="40" t="n">
        <v>100</v>
      </c>
      <c r="L455" s="40" t="n">
        <v>5469.04</v>
      </c>
      <c r="M455" s="46" t="n">
        <v>-82.27</v>
      </c>
      <c r="N455" s="40" t="n">
        <v>20188.26</v>
      </c>
      <c r="O455" s="40" t="n">
        <v>269.14</v>
      </c>
      <c r="P455" s="40" t="n">
        <v>0</v>
      </c>
      <c r="Q455" s="46" t="n">
        <v>-100</v>
      </c>
      <c r="R455" s="47" t="n"/>
      <c r="S455" s="47" t="n"/>
      <c r="T455" s="47" t="n"/>
      <c r="U455" s="47" t="n"/>
      <c r="V455" s="47" t="n"/>
      <c r="W455" s="47" t="n"/>
    </row>
    <row r="456" ht="11.25" customHeight="1">
      <c r="A456" s="30" t="inlineStr">
        <is>
          <t>Porto Real</t>
        </is>
      </c>
      <c r="B456" s="30" t="n">
        <v>85454684</v>
      </c>
      <c r="C456" s="30">
        <f>"81800849001032"</f>
        <v/>
      </c>
      <c r="D456" s="30" t="inlineStr">
        <is>
          <t>COTRESC COOPERATIVA DE TRANSPORTE DE CARGAS DO ESTADO DE SC LTDA</t>
        </is>
      </c>
      <c r="E456" s="40" t="n">
        <v>0</v>
      </c>
      <c r="F456" s="40" t="n">
        <v>0</v>
      </c>
      <c r="G456" s="40" t="n">
        <v>0</v>
      </c>
      <c r="H456" s="40" t="n">
        <v>2832.88</v>
      </c>
      <c r="I456" s="40" t="n">
        <v>100</v>
      </c>
      <c r="J456" s="40" t="n">
        <v>2907.9</v>
      </c>
      <c r="K456" s="40" t="n">
        <v>2.65</v>
      </c>
      <c r="L456" s="40" t="n">
        <v>2042.45</v>
      </c>
      <c r="M456" s="46" t="n">
        <v>-29.76</v>
      </c>
      <c r="N456" s="40" t="n">
        <v>0</v>
      </c>
      <c r="O456" s="46" t="n">
        <v>-100</v>
      </c>
      <c r="P456" s="40" t="n">
        <v>0</v>
      </c>
      <c r="Q456" s="40" t="n">
        <v>0</v>
      </c>
      <c r="R456" s="47" t="n"/>
      <c r="S456" s="47" t="n"/>
      <c r="T456" s="47" t="n"/>
      <c r="U456" s="47" t="n"/>
      <c r="V456" s="47" t="n"/>
      <c r="W456" s="47" t="n"/>
    </row>
    <row r="457" ht="11.25" customHeight="1">
      <c r="A457" s="30" t="inlineStr">
        <is>
          <t>Porto Real</t>
        </is>
      </c>
      <c r="B457" s="30" t="n">
        <v>85498053</v>
      </c>
      <c r="C457" s="30">
        <f>"01341776000219"</f>
        <v/>
      </c>
      <c r="D457" s="30" t="inlineStr">
        <is>
          <t>MERCOSUL LINE NAVEGACAO E LOGISTICA LTDA</t>
        </is>
      </c>
      <c r="E457" s="40" t="n">
        <v>5062.5</v>
      </c>
      <c r="F457" s="40" t="n">
        <v>0</v>
      </c>
      <c r="G457" s="46" t="n">
        <v>-100</v>
      </c>
      <c r="H457" s="40" t="n">
        <v>0</v>
      </c>
      <c r="I457" s="40" t="n">
        <v>0</v>
      </c>
      <c r="J457" s="40" t="n">
        <v>0</v>
      </c>
      <c r="K457" s="40" t="n">
        <v>0</v>
      </c>
      <c r="L457" s="40" t="n">
        <v>0</v>
      </c>
      <c r="M457" s="40" t="n">
        <v>0</v>
      </c>
      <c r="N457" s="40" t="n">
        <v>15524.38</v>
      </c>
      <c r="O457" s="40" t="n">
        <v>100</v>
      </c>
      <c r="P457" s="40" t="n">
        <v>0</v>
      </c>
      <c r="Q457" s="46" t="n">
        <v>-100</v>
      </c>
      <c r="R457" s="47" t="n"/>
      <c r="S457" s="47" t="n"/>
      <c r="T457" s="47" t="n"/>
      <c r="U457" s="47" t="n"/>
      <c r="V457" s="47" t="n"/>
      <c r="W457" s="47" t="n"/>
    </row>
    <row r="458" ht="11.25" customHeight="1">
      <c r="A458" s="30" t="inlineStr">
        <is>
          <t>Porto Real</t>
        </is>
      </c>
      <c r="B458" s="30" t="n">
        <v>85513567</v>
      </c>
      <c r="C458" s="30">
        <f>"00510079000109"</f>
        <v/>
      </c>
      <c r="D458" s="30" t="inlineStr">
        <is>
          <t>NEWTON ALVES CONDE ME</t>
        </is>
      </c>
      <c r="E458" s="40" t="n">
        <v>0</v>
      </c>
      <c r="F458" s="40" t="n">
        <v>0</v>
      </c>
      <c r="G458" s="40" t="n">
        <v>0</v>
      </c>
      <c r="H458" s="40" t="n">
        <v>0</v>
      </c>
      <c r="I458" s="40" t="n">
        <v>0</v>
      </c>
      <c r="J458" s="40" t="n">
        <v>0</v>
      </c>
      <c r="K458" s="40" t="n">
        <v>0</v>
      </c>
      <c r="L458" s="40" t="n">
        <v>0</v>
      </c>
      <c r="M458" s="40" t="n">
        <v>0</v>
      </c>
      <c r="N458" s="40" t="n">
        <v>0</v>
      </c>
      <c r="O458" s="40" t="n">
        <v>0</v>
      </c>
      <c r="P458" s="40" t="n">
        <v>0</v>
      </c>
      <c r="Q458" s="40" t="n">
        <v>0</v>
      </c>
      <c r="R458" s="47" t="n"/>
      <c r="S458" s="47" t="n"/>
      <c r="T458" s="47" t="n"/>
      <c r="U458" s="47" t="n"/>
      <c r="V458" s="47" t="n"/>
      <c r="W458" s="47" t="n"/>
    </row>
    <row r="459" ht="11.25" customHeight="1">
      <c r="A459" s="30" t="inlineStr">
        <is>
          <t>Porto Real</t>
        </is>
      </c>
      <c r="B459" s="30" t="n">
        <v>85528211</v>
      </c>
      <c r="C459" s="30">
        <f>"00185997000100"</f>
        <v/>
      </c>
      <c r="D459" s="30" t="inlineStr">
        <is>
          <t>NOVO HORIZONTE JACAREPAGUA IMPORTA??O E EXPORTA??O S.A</t>
        </is>
      </c>
      <c r="E459" s="40" t="n">
        <v>0</v>
      </c>
      <c r="F459" s="40" t="n">
        <v>0</v>
      </c>
      <c r="G459" s="40" t="n">
        <v>0</v>
      </c>
      <c r="H459" s="40" t="n">
        <v>0</v>
      </c>
      <c r="I459" s="40" t="n">
        <v>0</v>
      </c>
      <c r="J459" s="40" t="n">
        <v>0</v>
      </c>
      <c r="K459" s="40" t="n">
        <v>0</v>
      </c>
      <c r="L459" s="40" t="n">
        <v>0</v>
      </c>
      <c r="M459" s="40" t="n">
        <v>0</v>
      </c>
      <c r="N459" s="40" t="n">
        <v>11388</v>
      </c>
      <c r="O459" s="40" t="n">
        <v>100</v>
      </c>
      <c r="P459" s="40" t="n">
        <v>0</v>
      </c>
      <c r="Q459" s="46" t="n">
        <v>-100</v>
      </c>
      <c r="R459" s="47" t="n"/>
      <c r="S459" s="47" t="n"/>
      <c r="T459" s="47" t="n"/>
      <c r="U459" s="47" t="n"/>
      <c r="V459" s="47" t="n"/>
      <c r="W459" s="47" t="n"/>
    </row>
    <row r="460" ht="11.25" customHeight="1">
      <c r="A460" s="30" t="inlineStr">
        <is>
          <t>Porto Real</t>
        </is>
      </c>
      <c r="B460" s="30" t="n">
        <v>85646052</v>
      </c>
      <c r="C460" s="30">
        <f>"73475303001025"</f>
        <v/>
      </c>
      <c r="D460" s="30" t="inlineStr">
        <is>
          <t>TNT EXPRESS BRASIL LTDA</t>
        </is>
      </c>
      <c r="E460" s="40" t="n">
        <v>4665.38</v>
      </c>
      <c r="F460" s="40" t="n">
        <v>0</v>
      </c>
      <c r="G460" s="46" t="n">
        <v>-100</v>
      </c>
      <c r="H460" s="40" t="n">
        <v>0</v>
      </c>
      <c r="I460" s="40" t="n">
        <v>0</v>
      </c>
      <c r="J460" s="40" t="n">
        <v>0</v>
      </c>
      <c r="K460" s="40" t="n">
        <v>0</v>
      </c>
      <c r="L460" s="40" t="n">
        <v>0</v>
      </c>
      <c r="M460" s="40" t="n">
        <v>0</v>
      </c>
      <c r="N460" s="40" t="n">
        <v>0</v>
      </c>
      <c r="O460" s="40" t="n">
        <v>0</v>
      </c>
      <c r="P460" s="40" t="n">
        <v>0</v>
      </c>
      <c r="Q460" s="40" t="n">
        <v>0</v>
      </c>
      <c r="R460" s="47" t="n"/>
      <c r="S460" s="47" t="n"/>
      <c r="T460" s="47" t="n"/>
      <c r="U460" s="47" t="n"/>
      <c r="V460" s="47" t="n"/>
      <c r="W460" s="47" t="n"/>
    </row>
    <row r="461" ht="11.25" customHeight="1">
      <c r="A461" s="30" t="inlineStr">
        <is>
          <t>Porto Real</t>
        </is>
      </c>
      <c r="B461" s="30" t="n">
        <v>85727028</v>
      </c>
      <c r="C461" s="30">
        <f>"66970229001139"</f>
        <v/>
      </c>
      <c r="D461" s="30" t="inlineStr">
        <is>
          <t>NEXTEL TELECOMUNICACOES LTDA.</t>
        </is>
      </c>
      <c r="E461" s="40" t="n">
        <v>478297.61</v>
      </c>
      <c r="F461" s="40" t="n">
        <v>407149.55</v>
      </c>
      <c r="G461" s="46" t="n">
        <v>-14.88</v>
      </c>
      <c r="H461" s="40" t="n">
        <v>500212.53</v>
      </c>
      <c r="I461" s="40" t="n">
        <v>22.86</v>
      </c>
      <c r="J461" s="40" t="n">
        <v>613845.08</v>
      </c>
      <c r="K461" s="40" t="n">
        <v>22.72</v>
      </c>
      <c r="L461" s="40" t="n">
        <v>510699.85</v>
      </c>
      <c r="M461" s="46" t="n">
        <v>-16.8</v>
      </c>
      <c r="N461" s="40" t="n">
        <v>893247.1899999999</v>
      </c>
      <c r="O461" s="40" t="n">
        <v>74.91</v>
      </c>
      <c r="P461" s="40" t="n">
        <v>849220.37</v>
      </c>
      <c r="Q461" s="46" t="n">
        <v>-4.93</v>
      </c>
      <c r="R461" s="47" t="n"/>
      <c r="S461" s="47" t="n"/>
      <c r="T461" s="47" t="n"/>
      <c r="U461" s="47" t="n"/>
      <c r="V461" s="47" t="n"/>
      <c r="W461" s="47" t="n"/>
    </row>
    <row r="462" ht="11.25" customHeight="1">
      <c r="A462" s="30" t="inlineStr">
        <is>
          <t>Porto Real</t>
        </is>
      </c>
      <c r="B462" s="30" t="n">
        <v>85730169</v>
      </c>
      <c r="C462" s="30">
        <f>"01114430000105"</f>
        <v/>
      </c>
      <c r="D462" s="30" t="inlineStr">
        <is>
          <t>TRANSFUTURO TRANSPORTES LTDA</t>
        </is>
      </c>
      <c r="E462" s="40" t="n">
        <v>1043236.81</v>
      </c>
      <c r="F462" s="40" t="n">
        <v>1279564.34</v>
      </c>
      <c r="G462" s="40" t="n">
        <v>22.65</v>
      </c>
      <c r="H462" s="40" t="n">
        <v>1345627.2</v>
      </c>
      <c r="I462" s="40" t="n">
        <v>5.16</v>
      </c>
      <c r="J462" s="40" t="n">
        <v>1089806.94</v>
      </c>
      <c r="K462" s="46" t="n">
        <v>-19.01</v>
      </c>
      <c r="L462" s="40" t="n">
        <v>805464.36</v>
      </c>
      <c r="M462" s="46" t="n">
        <v>-26.09</v>
      </c>
      <c r="N462" s="40" t="n">
        <v>0</v>
      </c>
      <c r="O462" s="46" t="n">
        <v>-100</v>
      </c>
      <c r="P462" s="40" t="n">
        <v>0</v>
      </c>
      <c r="Q462" s="40" t="n">
        <v>0</v>
      </c>
      <c r="R462" s="47" t="n"/>
      <c r="S462" s="47" t="n"/>
      <c r="T462" s="47" t="n"/>
      <c r="U462" s="47" t="n"/>
      <c r="V462" s="47" t="n"/>
      <c r="W462" s="47" t="n"/>
    </row>
    <row r="463" ht="11.25" customHeight="1">
      <c r="A463" s="30" t="inlineStr">
        <is>
          <t>Porto Real</t>
        </is>
      </c>
      <c r="B463" s="30" t="n">
        <v>85730533</v>
      </c>
      <c r="C463" s="30">
        <f>"01089179000168"</f>
        <v/>
      </c>
      <c r="D463" s="30" t="inlineStr">
        <is>
          <t>TTC LOGISTICA LTDA</t>
        </is>
      </c>
      <c r="E463" s="40" t="n">
        <v>86790</v>
      </c>
      <c r="F463" s="40" t="n">
        <v>125</v>
      </c>
      <c r="G463" s="46" t="n">
        <v>-99.86</v>
      </c>
      <c r="H463" s="40" t="n">
        <v>0</v>
      </c>
      <c r="I463" s="46" t="n">
        <v>-100</v>
      </c>
      <c r="J463" s="40" t="n">
        <v>0</v>
      </c>
      <c r="K463" s="40" t="n">
        <v>0</v>
      </c>
      <c r="L463" s="40" t="n">
        <v>0</v>
      </c>
      <c r="M463" s="40" t="n">
        <v>0</v>
      </c>
      <c r="N463" s="40" t="n">
        <v>0</v>
      </c>
      <c r="O463" s="40" t="n">
        <v>0</v>
      </c>
      <c r="P463" s="40" t="n">
        <v>0</v>
      </c>
      <c r="Q463" s="40" t="n">
        <v>0</v>
      </c>
      <c r="R463" s="47" t="n"/>
      <c r="S463" s="47" t="n"/>
      <c r="T463" s="47" t="n"/>
      <c r="U463" s="47" t="n"/>
      <c r="V463" s="47" t="n"/>
      <c r="W463" s="47" t="n"/>
    </row>
    <row r="464" ht="11.25" customHeight="1">
      <c r="A464" s="30" t="inlineStr">
        <is>
          <t>Porto Real</t>
        </is>
      </c>
      <c r="B464" s="30" t="n">
        <v>85730924</v>
      </c>
      <c r="C464" s="30">
        <f>"25436130000283"</f>
        <v/>
      </c>
      <c r="D464" s="30" t="inlineStr">
        <is>
          <t>AUTOSERVICE LOGISTICA LTDA</t>
        </is>
      </c>
      <c r="E464" s="40" t="n">
        <v>0</v>
      </c>
      <c r="F464" s="40" t="n">
        <v>7807.74</v>
      </c>
      <c r="G464" s="40" t="n">
        <v>100</v>
      </c>
      <c r="H464" s="40" t="n">
        <v>43968.27</v>
      </c>
      <c r="I464" s="40" t="n">
        <v>463.14</v>
      </c>
      <c r="J464" s="40" t="n">
        <v>9071.299999999999</v>
      </c>
      <c r="K464" s="46" t="n">
        <v>-79.37</v>
      </c>
      <c r="L464" s="40" t="n">
        <v>0</v>
      </c>
      <c r="M464" s="46" t="n">
        <v>-100</v>
      </c>
      <c r="N464" s="40" t="n">
        <v>18072.77</v>
      </c>
      <c r="O464" s="40" t="n">
        <v>100</v>
      </c>
      <c r="P464" s="40" t="n">
        <v>3450.29</v>
      </c>
      <c r="Q464" s="46" t="n">
        <v>-80.91</v>
      </c>
      <c r="R464" s="47" t="n"/>
      <c r="S464" s="47" t="n"/>
      <c r="T464" s="47" t="n"/>
      <c r="U464" s="47" t="n"/>
      <c r="V464" s="47" t="n"/>
      <c r="W464" s="47" t="n"/>
    </row>
    <row r="465" ht="11.25" customHeight="1">
      <c r="A465" s="30" t="inlineStr">
        <is>
          <t>Porto Real</t>
        </is>
      </c>
      <c r="B465" s="30" t="n">
        <v>85731270</v>
      </c>
      <c r="C465" s="30">
        <f>"74445099000252"</f>
        <v/>
      </c>
      <c r="D465" s="30" t="inlineStr">
        <is>
          <t>QUIMITRANS TRANSPORTES LTDA</t>
        </is>
      </c>
      <c r="E465" s="40" t="n">
        <v>1541.33</v>
      </c>
      <c r="F465" s="40" t="n">
        <v>0</v>
      </c>
      <c r="G465" s="46" t="n">
        <v>-100</v>
      </c>
      <c r="H465" s="40" t="n">
        <v>0</v>
      </c>
      <c r="I465" s="40" t="n">
        <v>0</v>
      </c>
      <c r="J465" s="40" t="n">
        <v>20501.23</v>
      </c>
      <c r="K465" s="40" t="n">
        <v>100</v>
      </c>
      <c r="L465" s="40" t="n">
        <v>3398.73</v>
      </c>
      <c r="M465" s="46" t="n">
        <v>-83.42</v>
      </c>
      <c r="N465" s="40" t="n">
        <v>0</v>
      </c>
      <c r="O465" s="46" t="n">
        <v>-100</v>
      </c>
      <c r="P465" s="40" t="n">
        <v>0</v>
      </c>
      <c r="Q465" s="40" t="n">
        <v>0</v>
      </c>
      <c r="R465" s="47" t="n"/>
      <c r="S465" s="47" t="n"/>
      <c r="T465" s="47" t="n"/>
      <c r="U465" s="47" t="n"/>
      <c r="V465" s="47" t="n"/>
      <c r="W465" s="47" t="n"/>
    </row>
    <row r="466" ht="11.25" customHeight="1">
      <c r="A466" s="30" t="inlineStr">
        <is>
          <t>Porto Real</t>
        </is>
      </c>
      <c r="B466" s="30" t="n">
        <v>85804774</v>
      </c>
      <c r="C466" s="30">
        <f>"67945071001029"</f>
        <v/>
      </c>
      <c r="D466" s="30" t="inlineStr">
        <is>
          <t>SAPORE S.A</t>
        </is>
      </c>
      <c r="E466" s="40" t="n">
        <v>4365800.05</v>
      </c>
      <c r="F466" s="40" t="n">
        <v>8987830.74</v>
      </c>
      <c r="G466" s="40" t="n">
        <v>105.87</v>
      </c>
      <c r="H466" s="40" t="n">
        <v>4111240.64</v>
      </c>
      <c r="I466" s="46" t="n">
        <v>-54.26</v>
      </c>
      <c r="J466" s="40" t="n">
        <v>2492921.23</v>
      </c>
      <c r="K466" s="46" t="n">
        <v>-39.36</v>
      </c>
      <c r="L466" s="40" t="n">
        <v>2724770.41</v>
      </c>
      <c r="M466" s="40" t="n">
        <v>9.300000000000001</v>
      </c>
      <c r="N466" s="40" t="n">
        <v>0</v>
      </c>
      <c r="O466" s="46" t="n">
        <v>-100</v>
      </c>
      <c r="P466" s="40" t="n">
        <v>973393.5699999999</v>
      </c>
      <c r="Q466" s="40" t="n">
        <v>100</v>
      </c>
      <c r="R466" s="47" t="n"/>
      <c r="S466" s="47" t="n"/>
      <c r="T466" s="47" t="n"/>
      <c r="U466" s="47" t="n"/>
      <c r="V466" s="47" t="n"/>
      <c r="W466" s="47" t="n"/>
    </row>
    <row r="467" ht="11.25" customHeight="1">
      <c r="A467" s="30" t="inlineStr">
        <is>
          <t>Porto Real</t>
        </is>
      </c>
      <c r="B467" s="30" t="n">
        <v>85872974</v>
      </c>
      <c r="C467" s="30">
        <f>"00806930000137"</f>
        <v/>
      </c>
      <c r="D467" s="30" t="inlineStr">
        <is>
          <t>GERSON TAVERNARI - ME</t>
        </is>
      </c>
      <c r="E467" s="40" t="n">
        <v>0</v>
      </c>
      <c r="F467" s="40" t="n">
        <v>0</v>
      </c>
      <c r="G467" s="40" t="n">
        <v>0</v>
      </c>
      <c r="H467" s="40" t="n">
        <v>0</v>
      </c>
      <c r="I467" s="40" t="n">
        <v>0</v>
      </c>
      <c r="J467" s="40" t="n">
        <v>0</v>
      </c>
      <c r="K467" s="40" t="n">
        <v>0</v>
      </c>
      <c r="L467" s="40" t="n">
        <v>0</v>
      </c>
      <c r="M467" s="40" t="n">
        <v>0</v>
      </c>
      <c r="N467" s="40" t="n">
        <v>0</v>
      </c>
      <c r="O467" s="40" t="n">
        <v>0</v>
      </c>
      <c r="P467" s="40" t="n">
        <v>0</v>
      </c>
      <c r="Q467" s="40" t="n">
        <v>0</v>
      </c>
      <c r="R467" s="47" t="n"/>
      <c r="S467" s="47" t="n"/>
      <c r="T467" s="47" t="n"/>
      <c r="U467" s="47" t="n"/>
      <c r="V467" s="47" t="n"/>
      <c r="W467" s="47" t="n"/>
    </row>
    <row r="468" ht="11.25" customHeight="1">
      <c r="A468" s="30" t="inlineStr">
        <is>
          <t>Porto Real</t>
        </is>
      </c>
      <c r="B468" s="30" t="n">
        <v>85873067</v>
      </c>
      <c r="C468" s="30">
        <f>"01807781000193"</f>
        <v/>
      </c>
      <c r="D468" s="30" t="inlineStr">
        <is>
          <t>NOEMIA GRACIANI TAVERNARI ME</t>
        </is>
      </c>
      <c r="E468" s="40" t="n">
        <v>0</v>
      </c>
      <c r="F468" s="40" t="n">
        <v>0</v>
      </c>
      <c r="G468" s="40" t="n">
        <v>0</v>
      </c>
      <c r="H468" s="40" t="n">
        <v>0</v>
      </c>
      <c r="I468" s="40" t="n">
        <v>0</v>
      </c>
      <c r="J468" s="40" t="n">
        <v>0</v>
      </c>
      <c r="K468" s="40" t="n">
        <v>0</v>
      </c>
      <c r="L468" s="40" t="n">
        <v>0</v>
      </c>
      <c r="M468" s="40" t="n">
        <v>0</v>
      </c>
      <c r="N468" s="40" t="n">
        <v>0</v>
      </c>
      <c r="O468" s="40" t="n">
        <v>0</v>
      </c>
      <c r="P468" s="40" t="n">
        <v>0</v>
      </c>
      <c r="Q468" s="40" t="n">
        <v>0</v>
      </c>
      <c r="R468" s="47" t="n"/>
      <c r="S468" s="47" t="n"/>
      <c r="T468" s="47" t="n"/>
      <c r="U468" s="47" t="n"/>
      <c r="V468" s="47" t="n"/>
      <c r="W468" s="47" t="n"/>
    </row>
    <row r="469" ht="11.25" customHeight="1">
      <c r="A469" s="30" t="inlineStr">
        <is>
          <t>Porto Real</t>
        </is>
      </c>
      <c r="B469" s="30" t="n">
        <v>85873091</v>
      </c>
      <c r="C469" s="30">
        <f>"01410577000134"</f>
        <v/>
      </c>
      <c r="D469" s="30" t="inlineStr">
        <is>
          <t>GUARDIAN DO BRASIL VIDROS PLANOS LTDA</t>
        </is>
      </c>
      <c r="E469" s="40" t="n">
        <v>99267845.34</v>
      </c>
      <c r="F469" s="40" t="n">
        <v>182666283.51</v>
      </c>
      <c r="G469" s="40" t="n">
        <v>84.01000000000001</v>
      </c>
      <c r="H469" s="40" t="n">
        <v>120051550.57</v>
      </c>
      <c r="I469" s="46" t="n">
        <v>-34.28</v>
      </c>
      <c r="J469" s="40" t="n">
        <v>148921883.63</v>
      </c>
      <c r="K469" s="40" t="n">
        <v>24.05</v>
      </c>
      <c r="L469" s="40" t="n">
        <v>430301458.92</v>
      </c>
      <c r="M469" s="40" t="n">
        <v>188.94</v>
      </c>
      <c r="N469" s="40" t="n">
        <v>297581455.86</v>
      </c>
      <c r="O469" s="46" t="n">
        <v>-30.84</v>
      </c>
      <c r="P469" s="40" t="n">
        <v>264193333.52</v>
      </c>
      <c r="Q469" s="46" t="n">
        <v>-11.22</v>
      </c>
      <c r="R469" s="47" t="n"/>
      <c r="S469" s="47" t="n"/>
      <c r="T469" s="47" t="n"/>
      <c r="U469" s="47" t="n"/>
      <c r="V469" s="47" t="n"/>
      <c r="W469" s="47" t="n"/>
    </row>
    <row r="470" ht="11.25" customHeight="1">
      <c r="A470" s="30" t="inlineStr">
        <is>
          <t>Porto Real</t>
        </is>
      </c>
      <c r="B470" s="30" t="n">
        <v>85873644</v>
      </c>
      <c r="C470" s="30">
        <f>"02862471000134"</f>
        <v/>
      </c>
      <c r="D470" s="30" t="inlineStr">
        <is>
          <t>ALESSANDRA REGINA DA SILVA</t>
        </is>
      </c>
      <c r="E470" s="40" t="n">
        <v>0</v>
      </c>
      <c r="F470" s="40" t="n">
        <v>0</v>
      </c>
      <c r="G470" s="40" t="n">
        <v>0</v>
      </c>
      <c r="H470" s="40" t="n">
        <v>0</v>
      </c>
      <c r="I470" s="40" t="n">
        <v>0</v>
      </c>
      <c r="J470" s="40" t="n">
        <v>0</v>
      </c>
      <c r="K470" s="40" t="n">
        <v>0</v>
      </c>
      <c r="L470" s="40" t="n">
        <v>0</v>
      </c>
      <c r="M470" s="40" t="n">
        <v>0</v>
      </c>
      <c r="N470" s="40" t="n">
        <v>0</v>
      </c>
      <c r="O470" s="40" t="n">
        <v>0</v>
      </c>
      <c r="P470" s="40" t="n">
        <v>0</v>
      </c>
      <c r="Q470" s="40" t="n">
        <v>0</v>
      </c>
      <c r="R470" s="47" t="n"/>
      <c r="S470" s="47" t="n"/>
      <c r="T470" s="47" t="n"/>
      <c r="U470" s="47" t="n"/>
      <c r="V470" s="47" t="n"/>
      <c r="W470" s="47" t="n"/>
    </row>
    <row r="471" ht="11.25" customHeight="1">
      <c r="A471" s="30" t="inlineStr">
        <is>
          <t>Porto Real</t>
        </is>
      </c>
      <c r="B471" s="30" t="n">
        <v>85873679</v>
      </c>
      <c r="C471" s="30">
        <f>"02950179000173"</f>
        <v/>
      </c>
      <c r="D471" s="30" t="inlineStr">
        <is>
          <t>LETICIA LUCINDA FRANCISCO ROCHA</t>
        </is>
      </c>
      <c r="E471" s="40" t="n">
        <v>0</v>
      </c>
      <c r="F471" s="40" t="n">
        <v>0</v>
      </c>
      <c r="G471" s="40" t="n">
        <v>0</v>
      </c>
      <c r="H471" s="40" t="n">
        <v>0</v>
      </c>
      <c r="I471" s="40" t="n">
        <v>0</v>
      </c>
      <c r="J471" s="40" t="n">
        <v>0</v>
      </c>
      <c r="K471" s="40" t="n">
        <v>0</v>
      </c>
      <c r="L471" s="40" t="n">
        <v>0</v>
      </c>
      <c r="M471" s="40" t="n">
        <v>0</v>
      </c>
      <c r="N471" s="40" t="n">
        <v>0</v>
      </c>
      <c r="O471" s="40" t="n">
        <v>0</v>
      </c>
      <c r="P471" s="40" t="n">
        <v>0</v>
      </c>
      <c r="Q471" s="40" t="n">
        <v>0</v>
      </c>
      <c r="R471" s="47" t="n"/>
      <c r="S471" s="47" t="n"/>
      <c r="T471" s="47" t="n"/>
      <c r="U471" s="47" t="n"/>
      <c r="V471" s="47" t="n"/>
      <c r="W471" s="47" t="n"/>
    </row>
    <row r="472" ht="11.25" customHeight="1">
      <c r="A472" s="30" t="inlineStr">
        <is>
          <t>Porto Real</t>
        </is>
      </c>
      <c r="B472" s="30" t="n">
        <v>85873830</v>
      </c>
      <c r="C472" s="30">
        <f>"03128702000143"</f>
        <v/>
      </c>
      <c r="D472" s="30" t="inlineStr">
        <is>
          <t>CERAMICA ARCO ROMANO LTDA - EPP</t>
        </is>
      </c>
      <c r="E472" s="40" t="n">
        <v>0</v>
      </c>
      <c r="F472" s="40" t="n">
        <v>885008.6899999999</v>
      </c>
      <c r="G472" s="40" t="n">
        <v>100</v>
      </c>
      <c r="H472" s="40" t="n">
        <v>0</v>
      </c>
      <c r="I472" s="46" t="n">
        <v>-100</v>
      </c>
      <c r="J472" s="40" t="n">
        <v>0</v>
      </c>
      <c r="K472" s="40" t="n">
        <v>0</v>
      </c>
      <c r="L472" s="40" t="n">
        <v>0</v>
      </c>
      <c r="M472" s="40" t="n">
        <v>0</v>
      </c>
      <c r="N472" s="40" t="n">
        <v>0</v>
      </c>
      <c r="O472" s="40" t="n">
        <v>0</v>
      </c>
      <c r="P472" s="40" t="n">
        <v>0</v>
      </c>
      <c r="Q472" s="40" t="n">
        <v>0</v>
      </c>
      <c r="R472" s="47" t="n"/>
      <c r="S472" s="47" t="n"/>
      <c r="T472" s="47" t="n"/>
      <c r="U472" s="47" t="n"/>
      <c r="V472" s="47" t="n"/>
      <c r="W472" s="47" t="n"/>
    </row>
    <row r="473" ht="11.25" customHeight="1">
      <c r="A473" s="30" t="inlineStr">
        <is>
          <t>Porto Real</t>
        </is>
      </c>
      <c r="B473" s="30" t="n">
        <v>85874012</v>
      </c>
      <c r="C473" s="30">
        <f>"03463089000110"</f>
        <v/>
      </c>
      <c r="D473" s="30" t="inlineStr">
        <is>
          <t>AGROPECUARIA DULEITE LTDA</t>
        </is>
      </c>
      <c r="E473" s="40" t="n">
        <v>0</v>
      </c>
      <c r="F473" s="40" t="n">
        <v>0</v>
      </c>
      <c r="G473" s="40" t="n">
        <v>0</v>
      </c>
      <c r="H473" s="40" t="n">
        <v>0</v>
      </c>
      <c r="I473" s="40" t="n">
        <v>0</v>
      </c>
      <c r="J473" s="40" t="n">
        <v>0</v>
      </c>
      <c r="K473" s="40" t="n">
        <v>0</v>
      </c>
      <c r="L473" s="40" t="n">
        <v>0</v>
      </c>
      <c r="M473" s="40" t="n">
        <v>0</v>
      </c>
      <c r="N473" s="40" t="n">
        <v>0</v>
      </c>
      <c r="O473" s="40" t="n">
        <v>0</v>
      </c>
      <c r="P473" s="40" t="n">
        <v>0</v>
      </c>
      <c r="Q473" s="40" t="n">
        <v>0</v>
      </c>
      <c r="R473" s="47" t="n"/>
      <c r="S473" s="47" t="n"/>
      <c r="T473" s="47" t="n"/>
      <c r="U473" s="47" t="n"/>
      <c r="V473" s="47" t="n"/>
      <c r="W473" s="47" t="n"/>
    </row>
    <row r="474" ht="11.25" customHeight="1">
      <c r="A474" s="30" t="inlineStr">
        <is>
          <t>Porto Real</t>
        </is>
      </c>
      <c r="B474" s="30" t="n">
        <v>85874020</v>
      </c>
      <c r="C474" s="30">
        <f>"03129227000120"</f>
        <v/>
      </c>
      <c r="D474" s="30" t="inlineStr">
        <is>
          <t>ASSOCIACAO DOS PEQUENOS PRODUTORES RURAIS DE PORTO REAL</t>
        </is>
      </c>
      <c r="E474" s="40" t="n">
        <v>0</v>
      </c>
      <c r="F474" s="40" t="n">
        <v>0</v>
      </c>
      <c r="G474" s="40" t="n">
        <v>0</v>
      </c>
      <c r="H474" s="40" t="n">
        <v>0</v>
      </c>
      <c r="I474" s="40" t="n">
        <v>0</v>
      </c>
      <c r="J474" s="40" t="n">
        <v>0</v>
      </c>
      <c r="K474" s="40" t="n">
        <v>0</v>
      </c>
      <c r="L474" s="40" t="n">
        <v>0</v>
      </c>
      <c r="M474" s="40" t="n">
        <v>0</v>
      </c>
      <c r="N474" s="40" t="n">
        <v>0</v>
      </c>
      <c r="O474" s="40" t="n">
        <v>0</v>
      </c>
      <c r="P474" s="40" t="n">
        <v>0</v>
      </c>
      <c r="Q474" s="40" t="n">
        <v>0</v>
      </c>
      <c r="R474" s="47" t="n"/>
      <c r="S474" s="47" t="n"/>
      <c r="T474" s="47" t="n"/>
      <c r="U474" s="47" t="n"/>
      <c r="V474" s="47" t="n"/>
      <c r="W474" s="47" t="n"/>
    </row>
    <row r="475" ht="11.25" customHeight="1">
      <c r="A475" s="30" t="inlineStr">
        <is>
          <t>Porto Real</t>
        </is>
      </c>
      <c r="B475" s="30" t="n">
        <v>85874047</v>
      </c>
      <c r="C475" s="30">
        <f>"67405936000173"</f>
        <v/>
      </c>
      <c r="D475" s="30" t="inlineStr">
        <is>
          <t>PEUGEOT CITROEN DO BRASIL AUTOMOVEIS LTDA</t>
        </is>
      </c>
      <c r="E475" s="40" t="n">
        <v>2334137761.34</v>
      </c>
      <c r="F475" s="40" t="n">
        <v>2888226548.88</v>
      </c>
      <c r="G475" s="40" t="n">
        <v>23.74</v>
      </c>
      <c r="H475" s="40" t="n">
        <v>2261626698.94</v>
      </c>
      <c r="I475" s="46" t="n">
        <v>-21.69</v>
      </c>
      <c r="J475" s="40" t="n">
        <v>1954368359.55</v>
      </c>
      <c r="K475" s="46" t="n">
        <v>-13.59</v>
      </c>
      <c r="L475" s="40" t="n">
        <v>4486220513.16</v>
      </c>
      <c r="M475" s="40" t="n">
        <v>129.55</v>
      </c>
      <c r="N475" s="40" t="n">
        <v>6137050966.38</v>
      </c>
      <c r="O475" s="40" t="n">
        <v>36.8</v>
      </c>
      <c r="P475" s="40" t="n">
        <v>2740134348.56</v>
      </c>
      <c r="Q475" s="46" t="n">
        <v>-55.35</v>
      </c>
      <c r="R475" s="47" t="n"/>
      <c r="S475" s="47" t="n"/>
      <c r="T475" s="47" t="n"/>
      <c r="U475" s="47" t="n"/>
      <c r="V475" s="47" t="n"/>
      <c r="W475" s="47" t="n"/>
    </row>
    <row r="476" ht="11.25" customHeight="1">
      <c r="A476" s="30" t="inlineStr">
        <is>
          <t>Porto Real</t>
        </is>
      </c>
      <c r="B476" s="30" t="n">
        <v>85874098</v>
      </c>
      <c r="C476" s="30">
        <f>"03585982000119"</f>
        <v/>
      </c>
      <c r="D476" s="30" t="inlineStr">
        <is>
          <t>PORTO REAL TRANSPORTE COLETIVO LTDA</t>
        </is>
      </c>
      <c r="E476" s="40" t="n">
        <v>0</v>
      </c>
      <c r="F476" s="40" t="n">
        <v>0</v>
      </c>
      <c r="G476" s="40" t="n">
        <v>0</v>
      </c>
      <c r="H476" s="40" t="n">
        <v>0</v>
      </c>
      <c r="I476" s="40" t="n">
        <v>0</v>
      </c>
      <c r="J476" s="40" t="n">
        <v>0</v>
      </c>
      <c r="K476" s="40" t="n">
        <v>0</v>
      </c>
      <c r="L476" s="40" t="n">
        <v>0</v>
      </c>
      <c r="M476" s="40" t="n">
        <v>0</v>
      </c>
      <c r="N476" s="40" t="n">
        <v>373372.65</v>
      </c>
      <c r="O476" s="40" t="n">
        <v>100</v>
      </c>
      <c r="P476" s="40" t="n">
        <v>343562.9</v>
      </c>
      <c r="Q476" s="46" t="n">
        <v>-7.98</v>
      </c>
      <c r="R476" s="47" t="n"/>
      <c r="S476" s="47" t="n"/>
      <c r="T476" s="47" t="n"/>
      <c r="U476" s="47" t="n"/>
      <c r="V476" s="47" t="n"/>
      <c r="W476" s="47" t="n"/>
    </row>
    <row r="477" ht="11.25" customHeight="1">
      <c r="A477" s="30" t="inlineStr">
        <is>
          <t>Porto Real</t>
        </is>
      </c>
      <c r="B477" s="30" t="n">
        <v>85874195</v>
      </c>
      <c r="C477" s="30">
        <f>"02295769000533"</f>
        <v/>
      </c>
      <c r="D477" s="30" t="inlineStr">
        <is>
          <t>BENTELER SISTEMAS AUTOMOTIVOS LTDA</t>
        </is>
      </c>
      <c r="E477" s="40" t="n">
        <v>176806298.45</v>
      </c>
      <c r="F477" s="40" t="n">
        <v>157085991.85</v>
      </c>
      <c r="G477" s="46" t="n">
        <v>-11.15</v>
      </c>
      <c r="H477" s="40" t="n">
        <v>9980899.449999999</v>
      </c>
      <c r="I477" s="46" t="n">
        <v>-93.65000000000001</v>
      </c>
      <c r="J477" s="40" t="n">
        <v>5598644.07</v>
      </c>
      <c r="K477" s="46" t="n">
        <v>-43.91</v>
      </c>
      <c r="L477" s="40" t="n">
        <v>10804729.81</v>
      </c>
      <c r="M477" s="40" t="n">
        <v>92.98999999999999</v>
      </c>
      <c r="N477" s="40" t="n">
        <v>73497222.34999999</v>
      </c>
      <c r="O477" s="40" t="n">
        <v>580.23</v>
      </c>
      <c r="P477" s="40" t="n">
        <v>89687458.48999999</v>
      </c>
      <c r="Q477" s="40" t="n">
        <v>22.03</v>
      </c>
      <c r="R477" s="47" t="n"/>
      <c r="S477" s="47" t="n"/>
      <c r="T477" s="47" t="n"/>
      <c r="U477" s="47" t="n"/>
      <c r="V477" s="47" t="n"/>
      <c r="W477" s="47" t="n"/>
    </row>
    <row r="478" ht="11.25" customHeight="1">
      <c r="A478" s="30" t="inlineStr">
        <is>
          <t>Porto Real</t>
        </is>
      </c>
      <c r="B478" s="30" t="n">
        <v>85874241</v>
      </c>
      <c r="C478" s="30">
        <f>"01178298000510"</f>
        <v/>
      </c>
      <c r="D478" s="30" t="inlineStr">
        <is>
          <t>FAURECIA AUTOMOTIVE DO BRASIL LTDA</t>
        </is>
      </c>
      <c r="E478" s="40" t="n">
        <v>48470336.55</v>
      </c>
      <c r="F478" s="40" t="n">
        <v>67659483.45999999</v>
      </c>
      <c r="G478" s="40" t="n">
        <v>39.59</v>
      </c>
      <c r="H478" s="40" t="n">
        <v>40181504.25</v>
      </c>
      <c r="I478" s="46" t="n">
        <v>-40.61</v>
      </c>
      <c r="J478" s="40" t="n">
        <v>34186195.88</v>
      </c>
      <c r="K478" s="46" t="n">
        <v>-14.92</v>
      </c>
      <c r="L478" s="40" t="n">
        <v>50024992.16</v>
      </c>
      <c r="M478" s="40" t="n">
        <v>46.33</v>
      </c>
      <c r="N478" s="40" t="n">
        <v>36126177.17</v>
      </c>
      <c r="O478" s="46" t="n">
        <v>-27.78</v>
      </c>
      <c r="P478" s="40" t="n">
        <v>24830725.02</v>
      </c>
      <c r="Q478" s="46" t="n">
        <v>-31.27</v>
      </c>
      <c r="R478" s="47" t="n"/>
      <c r="S478" s="47" t="n"/>
      <c r="T478" s="47" t="n"/>
      <c r="U478" s="47" t="n"/>
      <c r="V478" s="47" t="n"/>
      <c r="W478" s="47" t="n"/>
    </row>
    <row r="479" ht="11.25" customHeight="1">
      <c r="A479" s="30" t="inlineStr">
        <is>
          <t>Porto Real</t>
        </is>
      </c>
      <c r="B479" s="30" t="n">
        <v>85874306</v>
      </c>
      <c r="C479" s="30">
        <f>"03912886000138"</f>
        <v/>
      </c>
      <c r="D479" s="30" t="inlineStr">
        <is>
          <t>NINO"S RESTAURANTE EIRELI</t>
        </is>
      </c>
      <c r="E479" s="40" t="n">
        <v>0</v>
      </c>
      <c r="F479" s="40" t="n">
        <v>0</v>
      </c>
      <c r="G479" s="40" t="n">
        <v>0</v>
      </c>
      <c r="H479" s="40" t="n">
        <v>0</v>
      </c>
      <c r="I479" s="40" t="n">
        <v>0</v>
      </c>
      <c r="J479" s="40" t="n">
        <v>0</v>
      </c>
      <c r="K479" s="40" t="n">
        <v>0</v>
      </c>
      <c r="L479" s="40" t="n">
        <v>0</v>
      </c>
      <c r="M479" s="40" t="n">
        <v>0</v>
      </c>
      <c r="N479" s="40" t="n">
        <v>0</v>
      </c>
      <c r="O479" s="40" t="n">
        <v>0</v>
      </c>
      <c r="P479" s="40" t="n">
        <v>107899.89</v>
      </c>
      <c r="Q479" s="40" t="n">
        <v>100</v>
      </c>
      <c r="R479" s="47" t="n"/>
      <c r="S479" s="47" t="n"/>
      <c r="T479" s="47" t="n"/>
      <c r="U479" s="47" t="n"/>
      <c r="V479" s="47" t="n"/>
      <c r="W479" s="47" t="n"/>
    </row>
    <row r="480" ht="11.25" customHeight="1">
      <c r="A480" s="30" t="inlineStr">
        <is>
          <t>Porto Real</t>
        </is>
      </c>
      <c r="B480" s="30" t="n">
        <v>85874314</v>
      </c>
      <c r="C480" s="30">
        <f>"03094658000440"</f>
        <v/>
      </c>
      <c r="D480" s="30" t="inlineStr">
        <is>
          <t>GEFCO LOGISTICA DO BRASIL LTDA</t>
        </is>
      </c>
      <c r="E480" s="40" t="n">
        <v>97382192.22</v>
      </c>
      <c r="F480" s="40" t="n">
        <v>92681954.47</v>
      </c>
      <c r="G480" s="46" t="n">
        <v>-4.83</v>
      </c>
      <c r="H480" s="40" t="n">
        <v>89830117.14</v>
      </c>
      <c r="I480" s="46" t="n">
        <v>-3.08</v>
      </c>
      <c r="J480" s="40" t="n">
        <v>56138521</v>
      </c>
      <c r="K480" s="46" t="n">
        <v>-37.51</v>
      </c>
      <c r="L480" s="40" t="n">
        <v>110704603.94</v>
      </c>
      <c r="M480" s="40" t="n">
        <v>97.2</v>
      </c>
      <c r="N480" s="40" t="n">
        <v>199635959.98</v>
      </c>
      <c r="O480" s="40" t="n">
        <v>80.33</v>
      </c>
      <c r="P480" s="40" t="n">
        <v>136235075.94</v>
      </c>
      <c r="Q480" s="46" t="n">
        <v>-31.76</v>
      </c>
      <c r="R480" s="47" t="n"/>
      <c r="S480" s="47" t="n"/>
      <c r="T480" s="47" t="n"/>
      <c r="U480" s="47" t="n"/>
      <c r="V480" s="47" t="n"/>
      <c r="W480" s="47" t="n"/>
    </row>
    <row r="481" ht="11.25" customHeight="1">
      <c r="A481" s="30" t="inlineStr">
        <is>
          <t>Porto Real</t>
        </is>
      </c>
      <c r="B481" s="30" t="n">
        <v>85874322</v>
      </c>
      <c r="C481" s="30">
        <f>"03601681000131"</f>
        <v/>
      </c>
      <c r="D481" s="30" t="inlineStr">
        <is>
          <t>AUTO POSTO REAL BEIRA RIO LTDA</t>
        </is>
      </c>
      <c r="E481" s="40" t="n">
        <v>767414.36</v>
      </c>
      <c r="F481" s="40" t="n">
        <v>1040038.85</v>
      </c>
      <c r="G481" s="40" t="n">
        <v>35.53</v>
      </c>
      <c r="H481" s="40" t="n">
        <v>1261346.76</v>
      </c>
      <c r="I481" s="40" t="n">
        <v>21.28</v>
      </c>
      <c r="J481" s="40" t="n">
        <v>1162391.13</v>
      </c>
      <c r="K481" s="46" t="n">
        <v>-7.85</v>
      </c>
      <c r="L481" s="40" t="n">
        <v>1262590.63</v>
      </c>
      <c r="M481" s="40" t="n">
        <v>8.619999999999999</v>
      </c>
      <c r="N481" s="40" t="n">
        <v>1468316.68</v>
      </c>
      <c r="O481" s="40" t="n">
        <v>16.29</v>
      </c>
      <c r="P481" s="40" t="n">
        <v>3157338.2</v>
      </c>
      <c r="Q481" s="40" t="n">
        <v>115.03</v>
      </c>
      <c r="R481" s="47" t="n"/>
      <c r="S481" s="47" t="n"/>
      <c r="T481" s="47" t="n"/>
      <c r="U481" s="47" t="n"/>
      <c r="V481" s="47" t="n"/>
      <c r="W481" s="47" t="n"/>
    </row>
    <row r="482" ht="11.25" customHeight="1">
      <c r="A482" s="30" t="inlineStr">
        <is>
          <t>Porto Real</t>
        </is>
      </c>
      <c r="B482" s="30" t="n">
        <v>85874438</v>
      </c>
      <c r="C482" s="30">
        <f>"04265390000182"</f>
        <v/>
      </c>
      <c r="D482" s="30" t="inlineStr">
        <is>
          <t>REAL FLEX COMERCIO E SERVICOS EIRELI ME</t>
        </is>
      </c>
      <c r="E482" s="40" t="n">
        <v>0</v>
      </c>
      <c r="F482" s="40" t="n">
        <v>0</v>
      </c>
      <c r="G482" s="40" t="n">
        <v>0</v>
      </c>
      <c r="H482" s="40" t="n">
        <v>0</v>
      </c>
      <c r="I482" s="40" t="n">
        <v>0</v>
      </c>
      <c r="J482" s="40" t="n">
        <v>0</v>
      </c>
      <c r="K482" s="40" t="n">
        <v>0</v>
      </c>
      <c r="L482" s="40" t="n">
        <v>0</v>
      </c>
      <c r="M482" s="40" t="n">
        <v>0</v>
      </c>
      <c r="N482" s="40" t="n">
        <v>0</v>
      </c>
      <c r="O482" s="40" t="n">
        <v>0</v>
      </c>
      <c r="P482" s="40" t="n">
        <v>0</v>
      </c>
      <c r="Q482" s="40" t="n">
        <v>0</v>
      </c>
      <c r="R482" s="47" t="n"/>
      <c r="S482" s="47" t="n"/>
      <c r="T482" s="47" t="n"/>
      <c r="U482" s="47" t="n"/>
      <c r="V482" s="47" t="n"/>
      <c r="W482" s="47" t="n"/>
    </row>
    <row r="483" ht="11.25" customHeight="1">
      <c r="A483" s="30" t="inlineStr">
        <is>
          <t>Porto Real</t>
        </is>
      </c>
      <c r="B483" s="30" t="n">
        <v>85874500</v>
      </c>
      <c r="C483" s="30">
        <f>"60395589000287"</f>
        <v/>
      </c>
      <c r="D483" s="30" t="inlineStr">
        <is>
          <t>BRAZUL TRANSPORTE DE VEICULOS LTDA</t>
        </is>
      </c>
      <c r="E483" s="40" t="n">
        <v>27403939.74</v>
      </c>
      <c r="F483" s="40" t="n">
        <v>27566538.55</v>
      </c>
      <c r="G483" s="40" t="n">
        <v>0.59</v>
      </c>
      <c r="H483" s="40" t="n">
        <v>28954412.59</v>
      </c>
      <c r="I483" s="40" t="n">
        <v>5.03</v>
      </c>
      <c r="J483" s="40" t="n">
        <v>17234837.16</v>
      </c>
      <c r="K483" s="46" t="n">
        <v>-40.48</v>
      </c>
      <c r="L483" s="40" t="n">
        <v>29386205.72</v>
      </c>
      <c r="M483" s="40" t="n">
        <v>70.5</v>
      </c>
      <c r="N483" s="40" t="n">
        <v>53640395.99</v>
      </c>
      <c r="O483" s="40" t="n">
        <v>82.54000000000001</v>
      </c>
      <c r="P483" s="40" t="n">
        <v>36905503.37</v>
      </c>
      <c r="Q483" s="46" t="n">
        <v>-31.2</v>
      </c>
      <c r="R483" s="47" t="n"/>
      <c r="S483" s="47" t="n"/>
      <c r="T483" s="47" t="n"/>
      <c r="U483" s="47" t="n"/>
      <c r="V483" s="47" t="n"/>
      <c r="W483" s="47" t="n"/>
    </row>
    <row r="484" ht="11.25" customHeight="1">
      <c r="A484" s="30" t="inlineStr">
        <is>
          <t>Porto Real</t>
        </is>
      </c>
      <c r="B484" s="30" t="n">
        <v>85994964</v>
      </c>
      <c r="C484" s="30">
        <f>"01417222000509"</f>
        <v/>
      </c>
      <c r="D484" s="30" t="inlineStr">
        <is>
          <t>MRS LOGISTICA S/A</t>
        </is>
      </c>
      <c r="E484" s="40" t="n">
        <v>1965393.71</v>
      </c>
      <c r="F484" s="40" t="n">
        <v>793913.7</v>
      </c>
      <c r="G484" s="46" t="n">
        <v>-59.61</v>
      </c>
      <c r="H484" s="40" t="n">
        <v>1965672.07</v>
      </c>
      <c r="I484" s="40" t="n">
        <v>147.59</v>
      </c>
      <c r="J484" s="40" t="n">
        <v>4013973.18</v>
      </c>
      <c r="K484" s="40" t="n">
        <v>104.2</v>
      </c>
      <c r="L484" s="40" t="n">
        <v>3390016.78</v>
      </c>
      <c r="M484" s="46" t="n">
        <v>-15.54</v>
      </c>
      <c r="N484" s="40" t="n">
        <v>3144169.16</v>
      </c>
      <c r="O484" s="46" t="n">
        <v>-7.25</v>
      </c>
      <c r="P484" s="40" t="n">
        <v>467910.22</v>
      </c>
      <c r="Q484" s="46" t="n">
        <v>-85.12</v>
      </c>
      <c r="R484" s="47" t="n"/>
      <c r="S484" s="47" t="n"/>
      <c r="T484" s="47" t="n"/>
      <c r="U484" s="47" t="n"/>
      <c r="V484" s="47" t="n"/>
      <c r="W484" s="47" t="n"/>
    </row>
    <row r="485" ht="11.25" customHeight="1">
      <c r="A485" s="30" t="inlineStr">
        <is>
          <t>Porto Real</t>
        </is>
      </c>
      <c r="B485" s="30" t="n">
        <v>85995634</v>
      </c>
      <c r="C485" s="30">
        <f>"01486029000198"</f>
        <v/>
      </c>
      <c r="D485" s="30" t="inlineStr">
        <is>
          <t>AVB 2004 TRANSPORTES LTDA</t>
        </is>
      </c>
      <c r="E485" s="40" t="n">
        <v>275615</v>
      </c>
      <c r="F485" s="40" t="n">
        <v>339183.4</v>
      </c>
      <c r="G485" s="40" t="n">
        <v>23.06</v>
      </c>
      <c r="H485" s="40" t="n">
        <v>0</v>
      </c>
      <c r="I485" s="46" t="n">
        <v>-100</v>
      </c>
      <c r="J485" s="40" t="n">
        <v>0</v>
      </c>
      <c r="K485" s="40" t="n">
        <v>0</v>
      </c>
      <c r="L485" s="40" t="n">
        <v>0</v>
      </c>
      <c r="M485" s="40" t="n">
        <v>0</v>
      </c>
      <c r="N485" s="40" t="n">
        <v>0</v>
      </c>
      <c r="O485" s="40" t="n">
        <v>0</v>
      </c>
      <c r="P485" s="40" t="n">
        <v>0</v>
      </c>
      <c r="Q485" s="40" t="n">
        <v>0</v>
      </c>
      <c r="R485" s="47" t="n"/>
      <c r="S485" s="47" t="n"/>
      <c r="T485" s="47" t="n"/>
      <c r="U485" s="47" t="n"/>
      <c r="V485" s="47" t="n"/>
      <c r="W485" s="47" t="n"/>
    </row>
    <row r="486" ht="11.25" customHeight="1">
      <c r="A486" s="30" t="inlineStr">
        <is>
          <t>Porto Real</t>
        </is>
      </c>
      <c r="B486" s="30" t="n">
        <v>86037874</v>
      </c>
      <c r="C486" s="30">
        <f>"01434954000256"</f>
        <v/>
      </c>
      <c r="D486" s="30" t="inlineStr">
        <is>
          <t>T N B TRANSPORTES LTDA</t>
        </is>
      </c>
      <c r="E486" s="40" t="n">
        <v>0</v>
      </c>
      <c r="F486" s="40" t="n">
        <v>0</v>
      </c>
      <c r="G486" s="40" t="n">
        <v>0</v>
      </c>
      <c r="H486" s="40" t="n">
        <v>0</v>
      </c>
      <c r="I486" s="40" t="n">
        <v>0</v>
      </c>
      <c r="J486" s="40" t="n">
        <v>0</v>
      </c>
      <c r="K486" s="40" t="n">
        <v>0</v>
      </c>
      <c r="L486" s="40" t="n">
        <v>0</v>
      </c>
      <c r="M486" s="40" t="n">
        <v>0</v>
      </c>
      <c r="N486" s="40" t="n">
        <v>0</v>
      </c>
      <c r="O486" s="40" t="n">
        <v>0</v>
      </c>
      <c r="P486" s="40" t="n">
        <v>915.5700000000001</v>
      </c>
      <c r="Q486" s="40" t="n">
        <v>100</v>
      </c>
      <c r="R486" s="47" t="n"/>
      <c r="S486" s="47" t="n"/>
      <c r="T486" s="47" t="n"/>
      <c r="U486" s="47" t="n"/>
      <c r="V486" s="47" t="n"/>
      <c r="W486" s="47" t="n"/>
    </row>
    <row r="487" ht="11.25" customHeight="1">
      <c r="A487" s="30" t="inlineStr">
        <is>
          <t>Porto Real</t>
        </is>
      </c>
      <c r="B487" s="30" t="n">
        <v>86039397</v>
      </c>
      <c r="C487" s="30">
        <f>"57012098000467"</f>
        <v/>
      </c>
      <c r="D487" s="30" t="inlineStr">
        <is>
          <t>TRANSLUTE TRANSPORTES RODOVIARIO LTDA</t>
        </is>
      </c>
      <c r="E487" s="40" t="n">
        <v>0</v>
      </c>
      <c r="F487" s="40" t="n">
        <v>0</v>
      </c>
      <c r="G487" s="40" t="n">
        <v>0</v>
      </c>
      <c r="H487" s="40" t="n">
        <v>272.88</v>
      </c>
      <c r="I487" s="40" t="n">
        <v>100</v>
      </c>
      <c r="J487" s="40" t="n">
        <v>0</v>
      </c>
      <c r="K487" s="46" t="n">
        <v>-100</v>
      </c>
      <c r="L487" s="40" t="n">
        <v>1122.97</v>
      </c>
      <c r="M487" s="40" t="n">
        <v>100</v>
      </c>
      <c r="N487" s="40" t="n">
        <v>0</v>
      </c>
      <c r="O487" s="46" t="n">
        <v>-100</v>
      </c>
      <c r="P487" s="40" t="n">
        <v>17403.53</v>
      </c>
      <c r="Q487" s="40" t="n">
        <v>100</v>
      </c>
      <c r="R487" s="47" t="n"/>
      <c r="S487" s="47" t="n"/>
      <c r="T487" s="47" t="n"/>
      <c r="U487" s="47" t="n"/>
      <c r="V487" s="47" t="n"/>
      <c r="W487" s="47" t="n"/>
    </row>
    <row r="488" ht="11.25" customHeight="1">
      <c r="A488" s="30" t="inlineStr">
        <is>
          <t>Porto Real</t>
        </is>
      </c>
      <c r="B488" s="30" t="n">
        <v>86039494</v>
      </c>
      <c r="C488" s="30">
        <f>"01695336000189"</f>
        <v/>
      </c>
      <c r="D488" s="30" t="inlineStr">
        <is>
          <t>25 DE JULHO TRANSPORTES LTDA EPP</t>
        </is>
      </c>
      <c r="E488" s="40" t="n">
        <v>0</v>
      </c>
      <c r="F488" s="40" t="n">
        <v>0</v>
      </c>
      <c r="G488" s="40" t="n">
        <v>0</v>
      </c>
      <c r="H488" s="40" t="n">
        <v>0</v>
      </c>
      <c r="I488" s="40" t="n">
        <v>0</v>
      </c>
      <c r="J488" s="40" t="n">
        <v>0</v>
      </c>
      <c r="K488" s="40" t="n">
        <v>0</v>
      </c>
      <c r="L488" s="40" t="n">
        <v>0</v>
      </c>
      <c r="M488" s="40" t="n">
        <v>0</v>
      </c>
      <c r="N488" s="40" t="n">
        <v>6428.17</v>
      </c>
      <c r="O488" s="40" t="n">
        <v>100</v>
      </c>
      <c r="P488" s="40" t="n">
        <v>1002.12</v>
      </c>
      <c r="Q488" s="46" t="n">
        <v>-84.41</v>
      </c>
      <c r="R488" s="47" t="n"/>
      <c r="S488" s="47" t="n"/>
      <c r="T488" s="47" t="n"/>
      <c r="U488" s="47" t="n"/>
      <c r="V488" s="47" t="n"/>
      <c r="W488" s="47" t="n"/>
    </row>
    <row r="489" ht="11.25" customHeight="1">
      <c r="A489" s="30" t="inlineStr">
        <is>
          <t>Porto Real</t>
        </is>
      </c>
      <c r="B489" s="30" t="n">
        <v>86039842</v>
      </c>
      <c r="C489" s="30">
        <f>"86442720000203"</f>
        <v/>
      </c>
      <c r="D489" s="30" t="inlineStr">
        <is>
          <t>COOPERATIVA RIOBRANQUENSE DE TRANSPORTES LTDA</t>
        </is>
      </c>
      <c r="E489" s="40" t="n">
        <v>0</v>
      </c>
      <c r="F489" s="40" t="n">
        <v>0</v>
      </c>
      <c r="G489" s="40" t="n">
        <v>0</v>
      </c>
      <c r="H489" s="40" t="n">
        <v>0</v>
      </c>
      <c r="I489" s="40" t="n">
        <v>0</v>
      </c>
      <c r="J489" s="40" t="n">
        <v>400</v>
      </c>
      <c r="K489" s="40" t="n">
        <v>100</v>
      </c>
      <c r="L489" s="40" t="n">
        <v>0</v>
      </c>
      <c r="M489" s="46" t="n">
        <v>-100</v>
      </c>
      <c r="N489" s="40" t="n">
        <v>0</v>
      </c>
      <c r="O489" s="40" t="n">
        <v>0</v>
      </c>
      <c r="P489" s="40" t="n">
        <v>0</v>
      </c>
      <c r="Q489" s="40" t="n">
        <v>0</v>
      </c>
      <c r="R489" s="47" t="n"/>
      <c r="S489" s="47" t="n"/>
      <c r="T489" s="47" t="n"/>
      <c r="U489" s="47" t="n"/>
      <c r="V489" s="47" t="n"/>
      <c r="W489" s="47" t="n"/>
    </row>
    <row r="490" ht="11.25" customHeight="1">
      <c r="A490" s="30" t="inlineStr">
        <is>
          <t>Porto Real</t>
        </is>
      </c>
      <c r="B490" s="30" t="n">
        <v>86040646</v>
      </c>
      <c r="C490" s="30">
        <f>"01812566000180"</f>
        <v/>
      </c>
      <c r="D490" s="30" t="inlineStr">
        <is>
          <t>TRANSWAGEN RESENDE ENTREGADORA DE VEÍCULOS EIRELI</t>
        </is>
      </c>
      <c r="E490" s="40" t="n">
        <v>0</v>
      </c>
      <c r="F490" s="40" t="n">
        <v>0</v>
      </c>
      <c r="G490" s="40" t="n">
        <v>0</v>
      </c>
      <c r="H490" s="40" t="n">
        <v>0</v>
      </c>
      <c r="I490" s="40" t="n">
        <v>0</v>
      </c>
      <c r="J490" s="40" t="n">
        <v>0</v>
      </c>
      <c r="K490" s="40" t="n">
        <v>0</v>
      </c>
      <c r="L490" s="40" t="n">
        <v>0</v>
      </c>
      <c r="M490" s="40" t="n">
        <v>0</v>
      </c>
      <c r="N490" s="40" t="n">
        <v>0</v>
      </c>
      <c r="O490" s="40" t="n">
        <v>0</v>
      </c>
      <c r="P490" s="40" t="n">
        <v>0</v>
      </c>
      <c r="Q490" s="40" t="n">
        <v>0</v>
      </c>
      <c r="R490" s="47" t="n"/>
      <c r="S490" s="47" t="n"/>
      <c r="T490" s="47" t="n"/>
      <c r="U490" s="47" t="n"/>
      <c r="V490" s="47" t="n"/>
      <c r="W490" s="47" t="n"/>
    </row>
    <row r="491" ht="11.25" customHeight="1">
      <c r="A491" s="30" t="inlineStr">
        <is>
          <t>Porto Real</t>
        </is>
      </c>
      <c r="B491" s="30" t="n">
        <v>86062895</v>
      </c>
      <c r="C491" s="30">
        <f>"72843212000222"</f>
        <v/>
      </c>
      <c r="D491" s="30" t="inlineStr">
        <is>
          <t>CENTURYLINK COMUNICAÇÕES DO BRASIL LTDA</t>
        </is>
      </c>
      <c r="E491" s="40" t="n">
        <v>51483.42</v>
      </c>
      <c r="F491" s="40" t="n">
        <v>15690.09</v>
      </c>
      <c r="G491" s="46" t="n">
        <v>-69.52</v>
      </c>
      <c r="H491" s="40" t="n">
        <v>15390.61</v>
      </c>
      <c r="I491" s="46" t="n">
        <v>-1.91</v>
      </c>
      <c r="J491" s="40" t="n">
        <v>10177.17</v>
      </c>
      <c r="K491" s="46" t="n">
        <v>-33.87</v>
      </c>
      <c r="L491" s="40" t="n">
        <v>0</v>
      </c>
      <c r="M491" s="46" t="n">
        <v>-100</v>
      </c>
      <c r="N491" s="40" t="n">
        <v>0</v>
      </c>
      <c r="O491" s="40" t="n">
        <v>0</v>
      </c>
      <c r="P491" s="40" t="n">
        <v>0</v>
      </c>
      <c r="Q491" s="40" t="n">
        <v>0</v>
      </c>
      <c r="R491" s="47" t="n"/>
      <c r="S491" s="47" t="n"/>
      <c r="T491" s="47" t="n"/>
      <c r="U491" s="47" t="n"/>
      <c r="V491" s="47" t="n"/>
      <c r="W491" s="47" t="n"/>
    </row>
    <row r="492" ht="11.25" customHeight="1">
      <c r="A492" s="30" t="inlineStr">
        <is>
          <t>Porto Real</t>
        </is>
      </c>
      <c r="B492" s="30" t="n">
        <v>86092085</v>
      </c>
      <c r="C492" s="30">
        <f>"02421421000111"</f>
        <v/>
      </c>
      <c r="D492" s="30" t="inlineStr">
        <is>
          <t>TIM S.A.</t>
        </is>
      </c>
      <c r="E492" s="40" t="n">
        <v>1656196.21</v>
      </c>
      <c r="F492" s="40" t="n">
        <v>3354637.79</v>
      </c>
      <c r="G492" s="40" t="n">
        <v>102.55</v>
      </c>
      <c r="H492" s="40" t="n">
        <v>12915171.04</v>
      </c>
      <c r="I492" s="40" t="n">
        <v>284.99</v>
      </c>
      <c r="J492" s="40" t="n">
        <v>12570425.88</v>
      </c>
      <c r="K492" s="46" t="n">
        <v>-2.67</v>
      </c>
      <c r="L492" s="40" t="n">
        <v>11818961.84</v>
      </c>
      <c r="M492" s="46" t="n">
        <v>-5.98</v>
      </c>
      <c r="N492" s="40" t="n">
        <v>10881487.97</v>
      </c>
      <c r="O492" s="46" t="n">
        <v>-7.93</v>
      </c>
      <c r="P492" s="40" t="n">
        <v>12782247.58</v>
      </c>
      <c r="Q492" s="40" t="n">
        <v>17.47</v>
      </c>
      <c r="R492" s="47" t="n"/>
      <c r="S492" s="47" t="n"/>
      <c r="T492" s="47" t="n"/>
      <c r="U492" s="47" t="n"/>
      <c r="V492" s="47" t="n"/>
      <c r="W492" s="47" t="n"/>
    </row>
    <row r="493" ht="11.25" customHeight="1">
      <c r="A493" s="30" t="inlineStr">
        <is>
          <t>Porto Real</t>
        </is>
      </c>
      <c r="B493" s="30" t="n">
        <v>86115220</v>
      </c>
      <c r="C493" s="30">
        <f>"02231030000134"</f>
        <v/>
      </c>
      <c r="D493" s="30" t="inlineStr">
        <is>
          <t>GLOBALSTAR DO BRASIL LTDA</t>
        </is>
      </c>
      <c r="E493" s="40" t="n">
        <v>1331.64</v>
      </c>
      <c r="F493" s="40" t="n">
        <v>2246</v>
      </c>
      <c r="G493" s="40" t="n">
        <v>68.66</v>
      </c>
      <c r="H493" s="40" t="n">
        <v>2272.16</v>
      </c>
      <c r="I493" s="40" t="n">
        <v>1.16</v>
      </c>
      <c r="J493" s="40" t="n">
        <v>0</v>
      </c>
      <c r="K493" s="46" t="n">
        <v>-100</v>
      </c>
      <c r="L493" s="40" t="n">
        <v>819.3</v>
      </c>
      <c r="M493" s="40" t="n">
        <v>100</v>
      </c>
      <c r="N493" s="40" t="n">
        <v>599.4</v>
      </c>
      <c r="O493" s="46" t="n">
        <v>-26.84</v>
      </c>
      <c r="P493" s="40" t="n">
        <v>0</v>
      </c>
      <c r="Q493" s="46" t="n">
        <v>-100</v>
      </c>
      <c r="R493" s="47" t="n"/>
      <c r="S493" s="47" t="n"/>
      <c r="T493" s="47" t="n"/>
      <c r="U493" s="47" t="n"/>
      <c r="V493" s="47" t="n"/>
      <c r="W493" s="47" t="n"/>
    </row>
    <row r="494" ht="11.25" customHeight="1">
      <c r="A494" s="30" t="inlineStr">
        <is>
          <t>Porto Real</t>
        </is>
      </c>
      <c r="B494" s="30" t="n">
        <v>86159910</v>
      </c>
      <c r="C494" s="30">
        <f>"01878026000108"</f>
        <v/>
      </c>
      <c r="D494" s="30" t="inlineStr">
        <is>
          <t>HAWAI-PORTO REAL TRANSPORTES LTDA</t>
        </is>
      </c>
      <c r="E494" s="40" t="n">
        <v>0</v>
      </c>
      <c r="F494" s="40" t="n">
        <v>2676</v>
      </c>
      <c r="G494" s="40" t="n">
        <v>100</v>
      </c>
      <c r="H494" s="40" t="n">
        <v>20980</v>
      </c>
      <c r="I494" s="40" t="n">
        <v>684.01</v>
      </c>
      <c r="J494" s="40" t="n">
        <v>37335</v>
      </c>
      <c r="K494" s="40" t="n">
        <v>77.95999999999999</v>
      </c>
      <c r="L494" s="40" t="n">
        <v>2101340.97</v>
      </c>
      <c r="M494" s="40" t="n">
        <v>5528.34</v>
      </c>
      <c r="N494" s="40" t="n">
        <v>2101340.97</v>
      </c>
      <c r="O494" s="40" t="n">
        <v>0</v>
      </c>
      <c r="P494" s="40" t="n">
        <v>84713</v>
      </c>
      <c r="Q494" s="46" t="n">
        <v>-95.97</v>
      </c>
      <c r="R494" s="47" t="n"/>
      <c r="S494" s="47" t="n"/>
      <c r="T494" s="47" t="n"/>
      <c r="U494" s="47" t="n"/>
      <c r="V494" s="47" t="n"/>
      <c r="W494" s="47" t="n"/>
    </row>
    <row r="495" ht="11.25" customHeight="1">
      <c r="A495" s="30" t="inlineStr">
        <is>
          <t>Porto Real</t>
        </is>
      </c>
      <c r="B495" s="30" t="n">
        <v>86160919</v>
      </c>
      <c r="C495" s="30">
        <f>"01682917000186"</f>
        <v/>
      </c>
      <c r="D495" s="30" t="inlineStr">
        <is>
          <t>COUTRANS TRANSPORTES E SERVICOS LTDA</t>
        </is>
      </c>
      <c r="E495" s="40" t="n">
        <v>3100</v>
      </c>
      <c r="F495" s="40" t="n">
        <v>2700</v>
      </c>
      <c r="G495" s="46" t="n">
        <v>-12.9</v>
      </c>
      <c r="H495" s="40" t="n">
        <v>78060.82000000001</v>
      </c>
      <c r="I495" s="40" t="n">
        <v>2791.14</v>
      </c>
      <c r="J495" s="40" t="n">
        <v>146664.6</v>
      </c>
      <c r="K495" s="40" t="n">
        <v>87.89</v>
      </c>
      <c r="L495" s="40" t="n">
        <v>102212.66</v>
      </c>
      <c r="M495" s="46" t="n">
        <v>-30.31</v>
      </c>
      <c r="N495" s="40" t="n">
        <v>105558.66</v>
      </c>
      <c r="O495" s="40" t="n">
        <v>3.27</v>
      </c>
      <c r="P495" s="40" t="n">
        <v>119697.98</v>
      </c>
      <c r="Q495" s="40" t="n">
        <v>13.39</v>
      </c>
      <c r="R495" s="47" t="n"/>
      <c r="S495" s="47" t="n"/>
      <c r="T495" s="47" t="n"/>
      <c r="U495" s="47" t="n"/>
      <c r="V495" s="47" t="n"/>
      <c r="W495" s="47" t="n"/>
    </row>
    <row r="496" ht="11.25" customHeight="1">
      <c r="A496" s="30" t="inlineStr">
        <is>
          <t>Porto Real</t>
        </is>
      </c>
      <c r="B496" s="30" t="n">
        <v>86203588</v>
      </c>
      <c r="C496" s="30">
        <f>"02173234000166"</f>
        <v/>
      </c>
      <c r="D496" s="30" t="inlineStr">
        <is>
          <t>AN DE AMORIM MERCEARIA LTDA ME</t>
        </is>
      </c>
      <c r="E496" s="40" t="n">
        <v>0</v>
      </c>
      <c r="F496" s="40" t="n">
        <v>0</v>
      </c>
      <c r="G496" s="40" t="n">
        <v>0</v>
      </c>
      <c r="H496" s="40" t="n">
        <v>0</v>
      </c>
      <c r="I496" s="40" t="n">
        <v>0</v>
      </c>
      <c r="J496" s="40" t="n">
        <v>0</v>
      </c>
      <c r="K496" s="40" t="n">
        <v>0</v>
      </c>
      <c r="L496" s="40" t="n">
        <v>0</v>
      </c>
      <c r="M496" s="40" t="n">
        <v>0</v>
      </c>
      <c r="N496" s="40" t="n">
        <v>0</v>
      </c>
      <c r="O496" s="40" t="n">
        <v>0</v>
      </c>
      <c r="P496" s="40" t="n">
        <v>0</v>
      </c>
      <c r="Q496" s="40" t="n">
        <v>0</v>
      </c>
      <c r="R496" s="47" t="n"/>
      <c r="S496" s="47" t="n"/>
      <c r="T496" s="47" t="n"/>
      <c r="U496" s="47" t="n"/>
      <c r="V496" s="47" t="n"/>
      <c r="W496" s="47" t="n"/>
    </row>
    <row r="497" ht="11.25" customHeight="1">
      <c r="A497" s="30" t="inlineStr">
        <is>
          <t>Porto Real</t>
        </is>
      </c>
      <c r="B497" s="30" t="n">
        <v>86233703</v>
      </c>
      <c r="C497" s="30">
        <f>"02357033000119"</f>
        <v/>
      </c>
      <c r="D497" s="30" t="inlineStr">
        <is>
          <t>QUICKNET TELECOM LTDA EPP</t>
        </is>
      </c>
      <c r="E497" s="40" t="n">
        <v>0</v>
      </c>
      <c r="F497" s="40" t="n">
        <v>0</v>
      </c>
      <c r="G497" s="40" t="n">
        <v>0</v>
      </c>
      <c r="H497" s="40" t="n">
        <v>0</v>
      </c>
      <c r="I497" s="40" t="n">
        <v>0</v>
      </c>
      <c r="J497" s="40" t="n">
        <v>0</v>
      </c>
      <c r="K497" s="40" t="n">
        <v>0</v>
      </c>
      <c r="L497" s="40" t="n">
        <v>0</v>
      </c>
      <c r="M497" s="40" t="n">
        <v>0</v>
      </c>
      <c r="N497" s="40" t="n">
        <v>0</v>
      </c>
      <c r="O497" s="40" t="n">
        <v>0</v>
      </c>
      <c r="P497" s="40" t="n">
        <v>1188804.83</v>
      </c>
      <c r="Q497" s="40" t="n">
        <v>100</v>
      </c>
      <c r="R497" s="47" t="n"/>
      <c r="S497" s="47" t="n"/>
      <c r="T497" s="47" t="n"/>
      <c r="U497" s="47" t="n"/>
      <c r="V497" s="47" t="n"/>
      <c r="W497" s="47" t="n"/>
    </row>
    <row r="498" ht="11.25" customHeight="1">
      <c r="A498" s="30" t="inlineStr">
        <is>
          <t>Porto Real</t>
        </is>
      </c>
      <c r="B498" s="30" t="n">
        <v>86273004</v>
      </c>
      <c r="C498" s="30">
        <f>"03113442000132"</f>
        <v/>
      </c>
      <c r="D498" s="30" t="inlineStr">
        <is>
          <t>AGMSBS TRANSPORTES LTDA</t>
        </is>
      </c>
      <c r="E498" s="40" t="n">
        <v>0</v>
      </c>
      <c r="F498" s="40" t="n">
        <v>0</v>
      </c>
      <c r="G498" s="40" t="n">
        <v>0</v>
      </c>
      <c r="H498" s="40" t="n">
        <v>718.8099999999999</v>
      </c>
      <c r="I498" s="40" t="n">
        <v>100</v>
      </c>
      <c r="J498" s="40" t="n">
        <v>0</v>
      </c>
      <c r="K498" s="46" t="n">
        <v>-100</v>
      </c>
      <c r="L498" s="40" t="n">
        <v>0</v>
      </c>
      <c r="M498" s="40" t="n">
        <v>0</v>
      </c>
      <c r="N498" s="40" t="n">
        <v>0</v>
      </c>
      <c r="O498" s="40" t="n">
        <v>0</v>
      </c>
      <c r="P498" s="40" t="n">
        <v>0</v>
      </c>
      <c r="Q498" s="40" t="n">
        <v>0</v>
      </c>
      <c r="R498" s="47" t="n"/>
      <c r="S498" s="47" t="n"/>
      <c r="T498" s="47" t="n"/>
      <c r="U498" s="47" t="n"/>
      <c r="V498" s="47" t="n"/>
      <c r="W498" s="47" t="n"/>
    </row>
    <row r="499" ht="11.25" customHeight="1">
      <c r="A499" s="30" t="inlineStr">
        <is>
          <t>Porto Real</t>
        </is>
      </c>
      <c r="B499" s="30" t="n">
        <v>86288125</v>
      </c>
      <c r="C499" s="30">
        <f>"02042295000194"</f>
        <v/>
      </c>
      <c r="D499" s="30" t="inlineStr">
        <is>
          <t>TRANS POLLI PORTO REAL TRANSPORTES LTDA</t>
        </is>
      </c>
      <c r="E499" s="40" t="n">
        <v>0</v>
      </c>
      <c r="F499" s="40" t="n">
        <v>5720</v>
      </c>
      <c r="G499" s="40" t="n">
        <v>100</v>
      </c>
      <c r="H499" s="40" t="n">
        <v>8990</v>
      </c>
      <c r="I499" s="40" t="n">
        <v>57.17</v>
      </c>
      <c r="J499" s="40" t="n">
        <v>0</v>
      </c>
      <c r="K499" s="46" t="n">
        <v>-100</v>
      </c>
      <c r="L499" s="40" t="n">
        <v>30</v>
      </c>
      <c r="M499" s="40" t="n">
        <v>100</v>
      </c>
      <c r="N499" s="40" t="n">
        <v>124390.64</v>
      </c>
      <c r="O499" s="40" t="n">
        <v>414535.47</v>
      </c>
      <c r="P499" s="40" t="n">
        <v>841845.46</v>
      </c>
      <c r="Q499" s="40" t="n">
        <v>576.78</v>
      </c>
      <c r="R499" s="47" t="n"/>
      <c r="S499" s="47" t="n"/>
      <c r="T499" s="47" t="n"/>
      <c r="U499" s="47" t="n"/>
      <c r="V499" s="47" t="n"/>
      <c r="W499" s="47" t="n"/>
    </row>
    <row r="500" ht="11.25" customHeight="1">
      <c r="A500" s="30" t="inlineStr">
        <is>
          <t>Porto Real</t>
        </is>
      </c>
      <c r="B500" s="30" t="n">
        <v>86288796</v>
      </c>
      <c r="C500" s="30">
        <f>"01679681000200"</f>
        <v/>
      </c>
      <c r="D500" s="30" t="inlineStr">
        <is>
          <t>HAMBURGO CARGAS LTDA</t>
        </is>
      </c>
      <c r="E500" s="40" t="n">
        <v>71.56</v>
      </c>
      <c r="F500" s="40" t="n">
        <v>0</v>
      </c>
      <c r="G500" s="46" t="n">
        <v>-100</v>
      </c>
      <c r="H500" s="40" t="n">
        <v>0</v>
      </c>
      <c r="I500" s="40" t="n">
        <v>0</v>
      </c>
      <c r="J500" s="40" t="n">
        <v>0</v>
      </c>
      <c r="K500" s="40" t="n">
        <v>0</v>
      </c>
      <c r="L500" s="40" t="n">
        <v>0</v>
      </c>
      <c r="M500" s="40" t="n">
        <v>0</v>
      </c>
      <c r="N500" s="40" t="n">
        <v>366.88</v>
      </c>
      <c r="O500" s="40" t="n">
        <v>100</v>
      </c>
      <c r="P500" s="40" t="n">
        <v>88.39</v>
      </c>
      <c r="Q500" s="46" t="n">
        <v>-75.91</v>
      </c>
      <c r="R500" s="47" t="n"/>
      <c r="S500" s="47" t="n"/>
      <c r="T500" s="47" t="n"/>
      <c r="U500" s="47" t="n"/>
      <c r="V500" s="47" t="n"/>
      <c r="W500" s="47" t="n"/>
    </row>
    <row r="501" ht="11.25" customHeight="1">
      <c r="A501" s="30" t="inlineStr">
        <is>
          <t>Porto Real</t>
        </is>
      </c>
      <c r="B501" s="30" t="n">
        <v>86289784</v>
      </c>
      <c r="C501" s="30">
        <f>"95591723009507"</f>
        <v/>
      </c>
      <c r="D501" s="30" t="inlineStr">
        <is>
          <t>TNT MERCURIO CARGAS E ENCOMENDAS EXPRESSAS LTDA</t>
        </is>
      </c>
      <c r="E501" s="40" t="n">
        <v>15566.56</v>
      </c>
      <c r="F501" s="40" t="n">
        <v>9712.389999999999</v>
      </c>
      <c r="G501" s="46" t="n">
        <v>-37.61</v>
      </c>
      <c r="H501" s="40" t="n">
        <v>11793.75</v>
      </c>
      <c r="I501" s="40" t="n">
        <v>21.43</v>
      </c>
      <c r="J501" s="40" t="n">
        <v>15581.27</v>
      </c>
      <c r="K501" s="40" t="n">
        <v>32.11</v>
      </c>
      <c r="L501" s="40" t="n">
        <v>12249.03</v>
      </c>
      <c r="M501" s="46" t="n">
        <v>-21.39</v>
      </c>
      <c r="N501" s="40" t="n">
        <v>7151.19</v>
      </c>
      <c r="O501" s="46" t="n">
        <v>-41.62</v>
      </c>
      <c r="P501" s="40" t="n">
        <v>87.20999999999999</v>
      </c>
      <c r="Q501" s="46" t="n">
        <v>-98.78</v>
      </c>
      <c r="R501" s="47" t="n"/>
      <c r="S501" s="47" t="n"/>
      <c r="T501" s="47" t="n"/>
      <c r="U501" s="47" t="n"/>
      <c r="V501" s="47" t="n"/>
      <c r="W501" s="47" t="n"/>
    </row>
    <row r="502" ht="11.25" customHeight="1">
      <c r="A502" s="30" t="inlineStr">
        <is>
          <t>Porto Real</t>
        </is>
      </c>
      <c r="B502" s="30" t="n">
        <v>86289989</v>
      </c>
      <c r="C502" s="30">
        <f>"01703312000205"</f>
        <v/>
      </c>
      <c r="D502" s="30" t="inlineStr">
        <is>
          <t>ABC CARGAS LTDA</t>
        </is>
      </c>
      <c r="E502" s="40" t="n">
        <v>2591488.66</v>
      </c>
      <c r="F502" s="40" t="n">
        <v>1787235.79</v>
      </c>
      <c r="G502" s="46" t="n">
        <v>-31.03</v>
      </c>
      <c r="H502" s="40" t="n">
        <v>1613318.24</v>
      </c>
      <c r="I502" s="46" t="n">
        <v>-9.73</v>
      </c>
      <c r="J502" s="40" t="n">
        <v>748721.35</v>
      </c>
      <c r="K502" s="46" t="n">
        <v>-53.59</v>
      </c>
      <c r="L502" s="40" t="n">
        <v>807136.54</v>
      </c>
      <c r="M502" s="40" t="n">
        <v>7.8</v>
      </c>
      <c r="N502" s="40" t="n">
        <v>54786.49</v>
      </c>
      <c r="O502" s="46" t="n">
        <v>-93.20999999999999</v>
      </c>
      <c r="P502" s="40" t="n">
        <v>2000</v>
      </c>
      <c r="Q502" s="46" t="n">
        <v>-96.34999999999999</v>
      </c>
      <c r="R502" s="47" t="n"/>
      <c r="S502" s="47" t="n"/>
      <c r="T502" s="47" t="n"/>
      <c r="U502" s="47" t="n"/>
      <c r="V502" s="47" t="n"/>
      <c r="W502" s="47" t="n"/>
    </row>
    <row r="503" ht="11.25" customHeight="1">
      <c r="A503" s="30" t="inlineStr">
        <is>
          <t>Porto Real</t>
        </is>
      </c>
      <c r="B503" s="30" t="n">
        <v>86316986</v>
      </c>
      <c r="C503" s="30">
        <f>"57512691000987"</f>
        <v/>
      </c>
      <c r="D503" s="30" t="inlineStr">
        <is>
          <t>TURSAN TURISMO SANTO ANDRE LTDA</t>
        </is>
      </c>
      <c r="E503" s="40" t="n">
        <v>0</v>
      </c>
      <c r="F503" s="40" t="n">
        <v>885699.9300000001</v>
      </c>
      <c r="G503" s="40" t="n">
        <v>100</v>
      </c>
      <c r="H503" s="40" t="n">
        <v>1942082.12</v>
      </c>
      <c r="I503" s="40" t="n">
        <v>119.27</v>
      </c>
      <c r="J503" s="40" t="n">
        <v>2027943.46</v>
      </c>
      <c r="K503" s="40" t="n">
        <v>4.42</v>
      </c>
      <c r="L503" s="40" t="n">
        <v>2301304.23</v>
      </c>
      <c r="M503" s="40" t="n">
        <v>13.48</v>
      </c>
      <c r="N503" s="40" t="n">
        <v>2860256.48</v>
      </c>
      <c r="O503" s="40" t="n">
        <v>24.29</v>
      </c>
      <c r="P503" s="40" t="n">
        <v>3092574.36</v>
      </c>
      <c r="Q503" s="40" t="n">
        <v>8.119999999999999</v>
      </c>
      <c r="R503" s="47" t="n"/>
      <c r="S503" s="47" t="n"/>
      <c r="T503" s="47" t="n"/>
      <c r="U503" s="47" t="n"/>
      <c r="V503" s="47" t="n"/>
      <c r="W503" s="47" t="n"/>
    </row>
    <row r="504" ht="11.25" customHeight="1">
      <c r="A504" s="30" t="inlineStr">
        <is>
          <t>Porto Real</t>
        </is>
      </c>
      <c r="B504" s="30" t="n">
        <v>86319500</v>
      </c>
      <c r="C504" s="30">
        <f>"60395589001330"</f>
        <v/>
      </c>
      <c r="D504" s="30" t="inlineStr">
        <is>
          <t>BRAZUL TRANSPORTE DE VEICULOS LTDA</t>
        </is>
      </c>
      <c r="E504" s="40" t="n">
        <v>0</v>
      </c>
      <c r="F504" s="40" t="n">
        <v>0</v>
      </c>
      <c r="G504" s="40" t="n">
        <v>0</v>
      </c>
      <c r="H504" s="40" t="n">
        <v>0</v>
      </c>
      <c r="I504" s="40" t="n">
        <v>0</v>
      </c>
      <c r="J504" s="40" t="n">
        <v>0</v>
      </c>
      <c r="K504" s="40" t="n">
        <v>0</v>
      </c>
      <c r="L504" s="40" t="n">
        <v>0</v>
      </c>
      <c r="M504" s="40" t="n">
        <v>0</v>
      </c>
      <c r="N504" s="40" t="n">
        <v>0</v>
      </c>
      <c r="O504" s="40" t="n">
        <v>0</v>
      </c>
      <c r="P504" s="40" t="n">
        <v>15205.89</v>
      </c>
      <c r="Q504" s="40" t="n">
        <v>100</v>
      </c>
      <c r="R504" s="47" t="n"/>
      <c r="S504" s="47" t="n"/>
      <c r="T504" s="47" t="n"/>
      <c r="U504" s="47" t="n"/>
      <c r="V504" s="47" t="n"/>
      <c r="W504" s="47" t="n"/>
    </row>
    <row r="505" ht="11.25" customHeight="1">
      <c r="A505" s="30" t="inlineStr">
        <is>
          <t>Porto Real</t>
        </is>
      </c>
      <c r="B505" s="30" t="n">
        <v>86320053</v>
      </c>
      <c r="C505" s="30">
        <f>"02445414000583"</f>
        <v/>
      </c>
      <c r="D505" s="30" t="inlineStr">
        <is>
          <t>TRANSVIP TRANSPORTE DE VALORES E VIGILANCIA PATRIMONIAL LTDA</t>
        </is>
      </c>
      <c r="E505" s="40" t="n">
        <v>16724.51</v>
      </c>
      <c r="F505" s="40" t="n">
        <v>19335.58</v>
      </c>
      <c r="G505" s="40" t="n">
        <v>15.61</v>
      </c>
      <c r="H505" s="40" t="n">
        <v>42156.3</v>
      </c>
      <c r="I505" s="40" t="n">
        <v>118.02</v>
      </c>
      <c r="J505" s="40" t="n">
        <v>0</v>
      </c>
      <c r="K505" s="46" t="n">
        <v>-100</v>
      </c>
      <c r="L505" s="40" t="n">
        <v>0</v>
      </c>
      <c r="M505" s="40" t="n">
        <v>0</v>
      </c>
      <c r="N505" s="40" t="n">
        <v>0</v>
      </c>
      <c r="O505" s="40" t="n">
        <v>0</v>
      </c>
      <c r="P505" s="40" t="n">
        <v>0</v>
      </c>
      <c r="Q505" s="40" t="n">
        <v>0</v>
      </c>
      <c r="R505" s="47" t="n"/>
      <c r="S505" s="47" t="n"/>
      <c r="T505" s="47" t="n"/>
      <c r="U505" s="47" t="n"/>
      <c r="V505" s="47" t="n"/>
      <c r="W505" s="47" t="n"/>
    </row>
    <row r="506" ht="11.25" customHeight="1">
      <c r="A506" s="30" t="inlineStr">
        <is>
          <t>Porto Real</t>
        </is>
      </c>
      <c r="B506" s="30" t="n">
        <v>86344335</v>
      </c>
      <c r="C506" s="30">
        <f>"02412371000106"</f>
        <v/>
      </c>
      <c r="D506" s="30" t="inlineStr">
        <is>
          <t>TREVO LOCAR TRANSPORTES LTDA EPP</t>
        </is>
      </c>
      <c r="E506" s="40" t="n">
        <v>0</v>
      </c>
      <c r="F506" s="40" t="n">
        <v>0</v>
      </c>
      <c r="G506" s="40" t="n">
        <v>0</v>
      </c>
      <c r="H506" s="40" t="n">
        <v>0</v>
      </c>
      <c r="I506" s="40" t="n">
        <v>0</v>
      </c>
      <c r="J506" s="40" t="n">
        <v>5812.56</v>
      </c>
      <c r="K506" s="40" t="n">
        <v>100</v>
      </c>
      <c r="L506" s="40" t="n">
        <v>0</v>
      </c>
      <c r="M506" s="46" t="n">
        <v>-100</v>
      </c>
      <c r="N506" s="40" t="n">
        <v>0</v>
      </c>
      <c r="O506" s="40" t="n">
        <v>0</v>
      </c>
      <c r="P506" s="40" t="n">
        <v>0</v>
      </c>
      <c r="Q506" s="40" t="n">
        <v>0</v>
      </c>
      <c r="R506" s="47" t="n"/>
      <c r="S506" s="47" t="n"/>
      <c r="T506" s="47" t="n"/>
      <c r="U506" s="47" t="n"/>
      <c r="V506" s="47" t="n"/>
      <c r="W506" s="47" t="n"/>
    </row>
    <row r="507" ht="11.25" customHeight="1">
      <c r="A507" s="30" t="inlineStr">
        <is>
          <t>Porto Real</t>
        </is>
      </c>
      <c r="B507" s="30" t="n">
        <v>86509938</v>
      </c>
      <c r="C507" s="30">
        <f>"18730955000160"</f>
        <v/>
      </c>
      <c r="D507" s="30" t="inlineStr">
        <is>
          <t>RENATA CONSTRUCOES LTDA ME</t>
        </is>
      </c>
      <c r="E507" s="40" t="n">
        <v>0</v>
      </c>
      <c r="F507" s="40" t="n">
        <v>0</v>
      </c>
      <c r="G507" s="40" t="n">
        <v>0</v>
      </c>
      <c r="H507" s="40" t="n">
        <v>0</v>
      </c>
      <c r="I507" s="40" t="n">
        <v>0</v>
      </c>
      <c r="J507" s="40" t="n">
        <v>0</v>
      </c>
      <c r="K507" s="40" t="n">
        <v>0</v>
      </c>
      <c r="L507" s="40" t="n">
        <v>0</v>
      </c>
      <c r="M507" s="40" t="n">
        <v>0</v>
      </c>
      <c r="N507" s="40" t="n">
        <v>0</v>
      </c>
      <c r="O507" s="40" t="n">
        <v>0</v>
      </c>
      <c r="P507" s="40" t="n">
        <v>0</v>
      </c>
      <c r="Q507" s="40" t="n">
        <v>0</v>
      </c>
      <c r="R507" s="47" t="n"/>
      <c r="S507" s="47" t="n"/>
      <c r="T507" s="47" t="n"/>
      <c r="U507" s="47" t="n"/>
      <c r="V507" s="47" t="n"/>
      <c r="W507" s="47" t="n"/>
    </row>
    <row r="508" ht="11.25" customHeight="1">
      <c r="A508" s="30" t="inlineStr">
        <is>
          <t>Porto Real</t>
        </is>
      </c>
      <c r="B508" s="30" t="n">
        <v>86517051</v>
      </c>
      <c r="C508" s="30">
        <f>"61186888010318"</f>
        <v/>
      </c>
      <c r="D508" s="30" t="inlineStr">
        <is>
          <t>SPAL INDUSTRIA BRASILEIRA DE BEBIDAS S/A</t>
        </is>
      </c>
      <c r="E508" s="40" t="n">
        <v>66793398.92</v>
      </c>
      <c r="F508" s="40" t="n">
        <v>78385640.59999999</v>
      </c>
      <c r="G508" s="40" t="n">
        <v>17.36</v>
      </c>
      <c r="H508" s="40" t="n">
        <v>137315920.93</v>
      </c>
      <c r="I508" s="40" t="n">
        <v>75.18000000000001</v>
      </c>
      <c r="J508" s="40" t="n">
        <v>144871941.51</v>
      </c>
      <c r="K508" s="40" t="n">
        <v>5.5</v>
      </c>
      <c r="L508" s="40" t="n">
        <v>151924693.46</v>
      </c>
      <c r="M508" s="40" t="n">
        <v>4.87</v>
      </c>
      <c r="N508" s="40" t="n">
        <v>144996807.01</v>
      </c>
      <c r="O508" s="46" t="n">
        <v>-4.56</v>
      </c>
      <c r="P508" s="40" t="n">
        <v>183720296.56</v>
      </c>
      <c r="Q508" s="40" t="n">
        <v>26.71</v>
      </c>
      <c r="R508" s="47" t="n"/>
      <c r="S508" s="47" t="n"/>
      <c r="T508" s="47" t="n"/>
      <c r="U508" s="47" t="n"/>
      <c r="V508" s="47" t="n"/>
      <c r="W508" s="47" t="n"/>
    </row>
    <row r="509" ht="11.25" customHeight="1">
      <c r="A509" s="30" t="inlineStr">
        <is>
          <t>Porto Real</t>
        </is>
      </c>
      <c r="B509" s="30" t="n">
        <v>86541777</v>
      </c>
      <c r="C509" s="30">
        <f>"13247991000234"</f>
        <v/>
      </c>
      <c r="D509" s="30" t="inlineStr">
        <is>
          <t>KETLOG TRANSPORTE DE CARGAS LTDA</t>
        </is>
      </c>
      <c r="E509" s="40" t="n">
        <v>0</v>
      </c>
      <c r="F509" s="40" t="n">
        <v>973521.4399999999</v>
      </c>
      <c r="G509" s="40" t="n">
        <v>100</v>
      </c>
      <c r="H509" s="40" t="n">
        <v>1720795.96</v>
      </c>
      <c r="I509" s="40" t="n">
        <v>76.76000000000001</v>
      </c>
      <c r="J509" s="40" t="n">
        <v>354608.05</v>
      </c>
      <c r="K509" s="46" t="n">
        <v>-79.39</v>
      </c>
      <c r="L509" s="40" t="n">
        <v>447620.75</v>
      </c>
      <c r="M509" s="40" t="n">
        <v>26.23</v>
      </c>
      <c r="N509" s="40" t="n">
        <v>0</v>
      </c>
      <c r="O509" s="46" t="n">
        <v>-100</v>
      </c>
      <c r="P509" s="40" t="n">
        <v>153462.96</v>
      </c>
      <c r="Q509" s="40" t="n">
        <v>100</v>
      </c>
      <c r="R509" s="47" t="n"/>
      <c r="S509" s="47" t="n"/>
      <c r="T509" s="47" t="n"/>
      <c r="U509" s="47" t="n"/>
      <c r="V509" s="47" t="n"/>
      <c r="W509" s="47" t="n"/>
    </row>
    <row r="510" ht="11.25" customHeight="1">
      <c r="A510" s="30" t="inlineStr">
        <is>
          <t>Porto Real</t>
        </is>
      </c>
      <c r="B510" s="30" t="n">
        <v>86542072</v>
      </c>
      <c r="C510" s="30">
        <f>"08062253000444"</f>
        <v/>
      </c>
      <c r="D510" s="30" t="inlineStr">
        <is>
          <t>CAMBRIDGE TELECOMUNICACOES LTDA</t>
        </is>
      </c>
      <c r="E510" s="40" t="n">
        <v>4671.67</v>
      </c>
      <c r="F510" s="40" t="n">
        <v>1367.49</v>
      </c>
      <c r="G510" s="46" t="n">
        <v>-70.73</v>
      </c>
      <c r="H510" s="40" t="n">
        <v>162.43</v>
      </c>
      <c r="I510" s="46" t="n">
        <v>-88.12</v>
      </c>
      <c r="J510" s="40" t="n">
        <v>0</v>
      </c>
      <c r="K510" s="46" t="n">
        <v>-100</v>
      </c>
      <c r="L510" s="40" t="n">
        <v>0</v>
      </c>
      <c r="M510" s="40" t="n">
        <v>0</v>
      </c>
      <c r="N510" s="40" t="n">
        <v>0</v>
      </c>
      <c r="O510" s="40" t="n">
        <v>0</v>
      </c>
      <c r="P510" s="40" t="n">
        <v>0</v>
      </c>
      <c r="Q510" s="40" t="n">
        <v>0</v>
      </c>
      <c r="R510" s="47" t="n"/>
      <c r="S510" s="47" t="n"/>
      <c r="T510" s="47" t="n"/>
      <c r="U510" s="47" t="n"/>
      <c r="V510" s="47" t="n"/>
      <c r="W510" s="47" t="n"/>
    </row>
    <row r="511" ht="11.25" customHeight="1">
      <c r="A511" s="30" t="inlineStr">
        <is>
          <t>Porto Real</t>
        </is>
      </c>
      <c r="B511" s="30" t="n">
        <v>86566877</v>
      </c>
      <c r="C511" s="30">
        <f>"19223780000167"</f>
        <v/>
      </c>
      <c r="D511" s="30" t="inlineStr">
        <is>
          <t>LLF MATHIAS VIAS DE TRANSPORTES RODOVI?RIOS EIRELI</t>
        </is>
      </c>
      <c r="E511" s="40" t="n">
        <v>0</v>
      </c>
      <c r="F511" s="40" t="n">
        <v>55.95</v>
      </c>
      <c r="G511" s="40" t="n">
        <v>100</v>
      </c>
      <c r="H511" s="40" t="n">
        <v>0</v>
      </c>
      <c r="I511" s="46" t="n">
        <v>-100</v>
      </c>
      <c r="J511" s="40" t="n">
        <v>0</v>
      </c>
      <c r="K511" s="40" t="n">
        <v>0</v>
      </c>
      <c r="L511" s="40" t="n">
        <v>0</v>
      </c>
      <c r="M511" s="40" t="n">
        <v>0</v>
      </c>
      <c r="N511" s="40" t="n">
        <v>0</v>
      </c>
      <c r="O511" s="40" t="n">
        <v>0</v>
      </c>
      <c r="P511" s="40" t="n">
        <v>0</v>
      </c>
      <c r="Q511" s="40" t="n">
        <v>0</v>
      </c>
      <c r="R511" s="47" t="n"/>
      <c r="S511" s="47" t="n"/>
      <c r="T511" s="47" t="n"/>
      <c r="U511" s="47" t="n"/>
      <c r="V511" s="47" t="n"/>
      <c r="W511" s="47" t="n"/>
    </row>
    <row r="512" ht="11.25" customHeight="1">
      <c r="A512" s="30" t="inlineStr">
        <is>
          <t>Porto Real</t>
        </is>
      </c>
      <c r="B512" s="30" t="n">
        <v>86568020</v>
      </c>
      <c r="C512" s="30">
        <f>"02931515000483"</f>
        <v/>
      </c>
      <c r="D512" s="30" t="inlineStr">
        <is>
          <t>EFTEC BRASIL LTDA</t>
        </is>
      </c>
      <c r="E512" s="40" t="n">
        <v>0</v>
      </c>
      <c r="F512" s="40" t="n">
        <v>0</v>
      </c>
      <c r="G512" s="40" t="n">
        <v>0</v>
      </c>
      <c r="H512" s="40" t="n">
        <v>0</v>
      </c>
      <c r="I512" s="40" t="n">
        <v>0</v>
      </c>
      <c r="J512" s="40" t="n">
        <v>0</v>
      </c>
      <c r="K512" s="40" t="n">
        <v>0</v>
      </c>
      <c r="L512" s="40" t="n">
        <v>0</v>
      </c>
      <c r="M512" s="40" t="n">
        <v>0</v>
      </c>
      <c r="N512" s="40" t="n">
        <v>0</v>
      </c>
      <c r="O512" s="40" t="n">
        <v>0</v>
      </c>
      <c r="P512" s="40" t="n">
        <v>0</v>
      </c>
      <c r="Q512" s="40" t="n">
        <v>0</v>
      </c>
      <c r="R512" s="47" t="n"/>
      <c r="S512" s="47" t="n"/>
      <c r="T512" s="47" t="n"/>
      <c r="U512" s="47" t="n"/>
      <c r="V512" s="47" t="n"/>
      <c r="W512" s="47" t="n"/>
    </row>
    <row r="513" ht="11.25" customHeight="1">
      <c r="A513" s="30" t="inlineStr">
        <is>
          <t>Porto Real</t>
        </is>
      </c>
      <c r="B513" s="30" t="n">
        <v>86570734</v>
      </c>
      <c r="C513" s="30">
        <f>"96178405000860"</f>
        <v/>
      </c>
      <c r="D513" s="30" t="inlineStr">
        <is>
          <t>SANKYU LOGISTICS DESPACHOS ADUANEIROS LTDA</t>
        </is>
      </c>
      <c r="E513" s="40" t="n">
        <v>956.62</v>
      </c>
      <c r="F513" s="40" t="n">
        <v>0</v>
      </c>
      <c r="G513" s="46" t="n">
        <v>-100</v>
      </c>
      <c r="H513" s="40" t="n">
        <v>0</v>
      </c>
      <c r="I513" s="40" t="n">
        <v>0</v>
      </c>
      <c r="J513" s="40" t="n">
        <v>0</v>
      </c>
      <c r="K513" s="40" t="n">
        <v>0</v>
      </c>
      <c r="L513" s="40" t="n">
        <v>0</v>
      </c>
      <c r="M513" s="40" t="n">
        <v>0</v>
      </c>
      <c r="N513" s="40" t="n">
        <v>0</v>
      </c>
      <c r="O513" s="40" t="n">
        <v>0</v>
      </c>
      <c r="P513" s="40" t="n">
        <v>0</v>
      </c>
      <c r="Q513" s="40" t="n">
        <v>0</v>
      </c>
      <c r="R513" s="47" t="n"/>
      <c r="S513" s="47" t="n"/>
      <c r="T513" s="47" t="n"/>
      <c r="U513" s="47" t="n"/>
      <c r="V513" s="47" t="n"/>
      <c r="W513" s="47" t="n"/>
    </row>
    <row r="514" ht="11.25" customHeight="1">
      <c r="A514" s="30" t="inlineStr">
        <is>
          <t>Porto Real</t>
        </is>
      </c>
      <c r="B514" s="30" t="n">
        <v>86583704</v>
      </c>
      <c r="C514" s="30">
        <f>"19224751000110"</f>
        <v/>
      </c>
      <c r="D514" s="30" t="inlineStr">
        <is>
          <t>TNC CONSTRUTORA EIRELI</t>
        </is>
      </c>
      <c r="E514" s="40" t="n">
        <v>0</v>
      </c>
      <c r="F514" s="40" t="n">
        <v>0</v>
      </c>
      <c r="G514" s="40" t="n">
        <v>0</v>
      </c>
      <c r="H514" s="40" t="n">
        <v>0</v>
      </c>
      <c r="I514" s="40" t="n">
        <v>0</v>
      </c>
      <c r="J514" s="40" t="n">
        <v>0</v>
      </c>
      <c r="K514" s="40" t="n">
        <v>0</v>
      </c>
      <c r="L514" s="40" t="n">
        <v>0</v>
      </c>
      <c r="M514" s="40" t="n">
        <v>0</v>
      </c>
      <c r="N514" s="40" t="n">
        <v>0</v>
      </c>
      <c r="O514" s="40" t="n">
        <v>0</v>
      </c>
      <c r="P514" s="40" t="n">
        <v>0</v>
      </c>
      <c r="Q514" s="40" t="n">
        <v>0</v>
      </c>
      <c r="R514" s="47" t="n"/>
      <c r="S514" s="47" t="n"/>
      <c r="T514" s="47" t="n"/>
      <c r="U514" s="47" t="n"/>
      <c r="V514" s="47" t="n"/>
      <c r="W514" s="47" t="n"/>
    </row>
    <row r="515" ht="11.25" customHeight="1">
      <c r="A515" s="30" t="inlineStr">
        <is>
          <t>Porto Real</t>
        </is>
      </c>
      <c r="B515" s="30" t="n">
        <v>86589710</v>
      </c>
      <c r="C515" s="30">
        <f>"12116971000857"</f>
        <v/>
      </c>
      <c r="D515" s="30" t="inlineStr">
        <is>
          <t>TIMBRO COMERCIO EXTERIOR LTDA</t>
        </is>
      </c>
      <c r="E515" s="40" t="n">
        <v>0</v>
      </c>
      <c r="F515" s="40" t="n">
        <v>383798.16</v>
      </c>
      <c r="G515" s="40" t="n">
        <v>100</v>
      </c>
      <c r="H515" s="40" t="n">
        <v>0</v>
      </c>
      <c r="I515" s="46" t="n">
        <v>-100</v>
      </c>
      <c r="J515" s="40" t="n">
        <v>0</v>
      </c>
      <c r="K515" s="40" t="n">
        <v>0</v>
      </c>
      <c r="L515" s="40" t="n">
        <v>0</v>
      </c>
      <c r="M515" s="40" t="n">
        <v>0</v>
      </c>
      <c r="N515" s="40" t="n">
        <v>0</v>
      </c>
      <c r="O515" s="40" t="n">
        <v>0</v>
      </c>
      <c r="P515" s="40" t="n">
        <v>0</v>
      </c>
      <c r="Q515" s="40" t="n">
        <v>0</v>
      </c>
      <c r="R515" s="47" t="n"/>
      <c r="S515" s="47" t="n"/>
      <c r="T515" s="47" t="n"/>
      <c r="U515" s="47" t="n"/>
      <c r="V515" s="47" t="n"/>
      <c r="W515" s="47" t="n"/>
    </row>
    <row r="516" ht="11.25" customHeight="1">
      <c r="A516" s="30" t="inlineStr">
        <is>
          <t>Porto Real</t>
        </is>
      </c>
      <c r="B516" s="30" t="n">
        <v>86604060</v>
      </c>
      <c r="C516" s="30">
        <f>"89086144000973"</f>
        <v/>
      </c>
      <c r="D516" s="30" t="inlineStr">
        <is>
          <t>RANDON S A IMPLEMENTOS E PARTICIPACOES</t>
        </is>
      </c>
      <c r="E516" s="40" t="n">
        <v>0</v>
      </c>
      <c r="F516" s="40" t="n">
        <v>0</v>
      </c>
      <c r="G516" s="40" t="n">
        <v>0</v>
      </c>
      <c r="H516" s="40" t="n">
        <v>0</v>
      </c>
      <c r="I516" s="40" t="n">
        <v>0</v>
      </c>
      <c r="J516" s="40" t="n">
        <v>85676.06</v>
      </c>
      <c r="K516" s="40" t="n">
        <v>100</v>
      </c>
      <c r="L516" s="40" t="n">
        <v>1363381.49</v>
      </c>
      <c r="M516" s="40" t="n">
        <v>1491.32</v>
      </c>
      <c r="N516" s="40" t="n">
        <v>0</v>
      </c>
      <c r="O516" s="46" t="n">
        <v>-100</v>
      </c>
      <c r="P516" s="40" t="n">
        <v>0</v>
      </c>
      <c r="Q516" s="40" t="n">
        <v>0</v>
      </c>
      <c r="R516" s="47" t="n"/>
      <c r="S516" s="47" t="n"/>
      <c r="T516" s="47" t="n"/>
      <c r="U516" s="47" t="n"/>
      <c r="V516" s="47" t="n"/>
      <c r="W516" s="47" t="n"/>
    </row>
    <row r="517" ht="11.25" customHeight="1">
      <c r="A517" s="30" t="inlineStr">
        <is>
          <t>Porto Real</t>
        </is>
      </c>
      <c r="B517" s="30" t="n">
        <v>86614707</v>
      </c>
      <c r="C517" s="30">
        <f>"17814074000407"</f>
        <v/>
      </c>
      <c r="D517" s="30" t="inlineStr">
        <is>
          <t>NORTES TRANSPORTE E COMERCIO E SERVICOS LTDA</t>
        </is>
      </c>
      <c r="E517" s="40" t="n">
        <v>48.74</v>
      </c>
      <c r="F517" s="40" t="n">
        <v>0</v>
      </c>
      <c r="G517" s="46" t="n">
        <v>-100</v>
      </c>
      <c r="H517" s="40" t="n">
        <v>0</v>
      </c>
      <c r="I517" s="40" t="n">
        <v>0</v>
      </c>
      <c r="J517" s="40" t="n">
        <v>0</v>
      </c>
      <c r="K517" s="40" t="n">
        <v>0</v>
      </c>
      <c r="L517" s="40" t="n">
        <v>0</v>
      </c>
      <c r="M517" s="40" t="n">
        <v>0</v>
      </c>
      <c r="N517" s="40" t="n">
        <v>0</v>
      </c>
      <c r="O517" s="40" t="n">
        <v>0</v>
      </c>
      <c r="P517" s="40" t="n">
        <v>0</v>
      </c>
      <c r="Q517" s="40" t="n">
        <v>0</v>
      </c>
      <c r="R517" s="47" t="n"/>
      <c r="S517" s="47" t="n"/>
      <c r="T517" s="47" t="n"/>
      <c r="U517" s="47" t="n"/>
      <c r="V517" s="47" t="n"/>
      <c r="W517" s="47" t="n"/>
    </row>
    <row r="518" ht="11.25" customHeight="1">
      <c r="A518" s="30" t="inlineStr">
        <is>
          <t>Porto Real</t>
        </is>
      </c>
      <c r="B518" s="30" t="n">
        <v>86635577</v>
      </c>
      <c r="C518" s="30">
        <f>"82270711001627"</f>
        <v/>
      </c>
      <c r="D518" s="30" t="inlineStr">
        <is>
          <t>CARGOLIFT LOGISTICA S/A</t>
        </is>
      </c>
      <c r="E518" s="40" t="n">
        <v>1040600.28</v>
      </c>
      <c r="F518" s="40" t="n">
        <v>1707256.53</v>
      </c>
      <c r="G518" s="40" t="n">
        <v>64.06</v>
      </c>
      <c r="H518" s="40" t="n">
        <v>1471270.16</v>
      </c>
      <c r="I518" s="46" t="n">
        <v>-13.82</v>
      </c>
      <c r="J518" s="40" t="n">
        <v>577360.01</v>
      </c>
      <c r="K518" s="46" t="n">
        <v>-60.76</v>
      </c>
      <c r="L518" s="40" t="n">
        <v>0</v>
      </c>
      <c r="M518" s="46" t="n">
        <v>-100</v>
      </c>
      <c r="N518" s="40" t="n">
        <v>0</v>
      </c>
      <c r="O518" s="40" t="n">
        <v>0</v>
      </c>
      <c r="P518" s="40" t="n">
        <v>0</v>
      </c>
      <c r="Q518" s="40" t="n">
        <v>0</v>
      </c>
      <c r="R518" s="47" t="n"/>
      <c r="S518" s="47" t="n"/>
      <c r="T518" s="47" t="n"/>
      <c r="U518" s="47" t="n"/>
      <c r="V518" s="47" t="n"/>
      <c r="W518" s="47" t="n"/>
    </row>
    <row r="519" ht="11.25" customHeight="1">
      <c r="A519" s="30" t="inlineStr">
        <is>
          <t>Porto Real</t>
        </is>
      </c>
      <c r="B519" s="30" t="n">
        <v>86639750</v>
      </c>
      <c r="C519" s="30">
        <f>"19737004000185"</f>
        <v/>
      </c>
      <c r="D519" s="30" t="inlineStr">
        <is>
          <t>NEW CARGO TRANSPORTE E LOGISTICA LTDA ME</t>
        </is>
      </c>
      <c r="E519" s="40" t="n">
        <v>0</v>
      </c>
      <c r="F519" s="40" t="n">
        <v>0</v>
      </c>
      <c r="G519" s="40" t="n">
        <v>0</v>
      </c>
      <c r="H519" s="40" t="n">
        <v>0</v>
      </c>
      <c r="I519" s="40" t="n">
        <v>0</v>
      </c>
      <c r="J519" s="40" t="n">
        <v>0</v>
      </c>
      <c r="K519" s="40" t="n">
        <v>0</v>
      </c>
      <c r="L519" s="40" t="n">
        <v>169493.06</v>
      </c>
      <c r="M519" s="40" t="n">
        <v>100</v>
      </c>
      <c r="N519" s="40" t="n">
        <v>583008.0699999999</v>
      </c>
      <c r="O519" s="40" t="n">
        <v>243.97</v>
      </c>
      <c r="P519" s="40" t="n">
        <v>832585.3199999999</v>
      </c>
      <c r="Q519" s="40" t="n">
        <v>42.81</v>
      </c>
      <c r="R519" s="47" t="n"/>
      <c r="S519" s="47" t="n"/>
      <c r="T519" s="47" t="n"/>
      <c r="U519" s="47" t="n"/>
      <c r="V519" s="47" t="n"/>
      <c r="W519" s="47" t="n"/>
    </row>
    <row r="520" ht="11.25" customHeight="1">
      <c r="A520" s="30" t="inlineStr">
        <is>
          <t>Porto Real</t>
        </is>
      </c>
      <c r="B520" s="30" t="n">
        <v>86659069</v>
      </c>
      <c r="C520" s="30">
        <f>"06235812000607"</f>
        <v/>
      </c>
      <c r="D520" s="30" t="inlineStr">
        <is>
          <t>CESLOG - CESARI LOGISTICA LTDA</t>
        </is>
      </c>
      <c r="E520" s="40" t="n">
        <v>4696.65</v>
      </c>
      <c r="F520" s="40" t="n">
        <v>1578.96</v>
      </c>
      <c r="G520" s="46" t="n">
        <v>-66.38</v>
      </c>
      <c r="H520" s="40" t="n">
        <v>1698.06</v>
      </c>
      <c r="I520" s="40" t="n">
        <v>7.54</v>
      </c>
      <c r="J520" s="40" t="n">
        <v>3917.74</v>
      </c>
      <c r="K520" s="40" t="n">
        <v>130.72</v>
      </c>
      <c r="L520" s="40" t="n">
        <v>2455.63</v>
      </c>
      <c r="M520" s="46" t="n">
        <v>-37.32</v>
      </c>
      <c r="N520" s="40" t="n">
        <v>0</v>
      </c>
      <c r="O520" s="46" t="n">
        <v>-100</v>
      </c>
      <c r="P520" s="40" t="n">
        <v>0</v>
      </c>
      <c r="Q520" s="40" t="n">
        <v>0</v>
      </c>
      <c r="R520" s="47" t="n"/>
      <c r="S520" s="47" t="n"/>
      <c r="T520" s="47" t="n"/>
      <c r="U520" s="47" t="n"/>
      <c r="V520" s="47" t="n"/>
      <c r="W520" s="47" t="n"/>
    </row>
    <row r="521" ht="11.25" customHeight="1">
      <c r="A521" s="30" t="inlineStr">
        <is>
          <t>Porto Real</t>
        </is>
      </c>
      <c r="B521" s="30" t="n">
        <v>86678020</v>
      </c>
      <c r="C521" s="30">
        <f>"02743895000694"</f>
        <v/>
      </c>
      <c r="D521" s="30" t="inlineStr">
        <is>
          <t>WEST AIR CARGO LTDA</t>
        </is>
      </c>
      <c r="E521" s="40" t="n">
        <v>0</v>
      </c>
      <c r="F521" s="40" t="n">
        <v>0</v>
      </c>
      <c r="G521" s="40" t="n">
        <v>0</v>
      </c>
      <c r="H521" s="40" t="n">
        <v>0</v>
      </c>
      <c r="I521" s="40" t="n">
        <v>0</v>
      </c>
      <c r="J521" s="40" t="n">
        <v>0</v>
      </c>
      <c r="K521" s="40" t="n">
        <v>0</v>
      </c>
      <c r="L521" s="40" t="n">
        <v>0</v>
      </c>
      <c r="M521" s="40" t="n">
        <v>0</v>
      </c>
      <c r="N521" s="40" t="n">
        <v>4078.63</v>
      </c>
      <c r="O521" s="40" t="n">
        <v>100</v>
      </c>
      <c r="P521" s="40" t="n">
        <v>0</v>
      </c>
      <c r="Q521" s="46" t="n">
        <v>-100</v>
      </c>
      <c r="R521" s="47" t="n"/>
      <c r="S521" s="47" t="n"/>
      <c r="T521" s="47" t="n"/>
      <c r="U521" s="47" t="n"/>
      <c r="V521" s="47" t="n"/>
      <c r="W521" s="47" t="n"/>
    </row>
    <row r="522" ht="11.25" customHeight="1">
      <c r="A522" s="30" t="inlineStr">
        <is>
          <t>Porto Real</t>
        </is>
      </c>
      <c r="B522" s="30" t="n">
        <v>86681919</v>
      </c>
      <c r="C522" s="30">
        <f>"92327410000321"</f>
        <v/>
      </c>
      <c r="D522" s="30" t="inlineStr">
        <is>
          <t>KLL EQUIPAMENTOS PARA TRANSPORTE S/A</t>
        </is>
      </c>
      <c r="E522" s="40" t="n">
        <v>1566237.29</v>
      </c>
      <c r="F522" s="40" t="n">
        <v>1088535.63</v>
      </c>
      <c r="G522" s="46" t="n">
        <v>-30.5</v>
      </c>
      <c r="H522" s="40" t="n">
        <v>4638653.61</v>
      </c>
      <c r="I522" s="40" t="n">
        <v>326.14</v>
      </c>
      <c r="J522" s="40" t="n">
        <v>1112347.18</v>
      </c>
      <c r="K522" s="46" t="n">
        <v>-76.02</v>
      </c>
      <c r="L522" s="40" t="n">
        <v>1295417.84</v>
      </c>
      <c r="M522" s="40" t="n">
        <v>16.46</v>
      </c>
      <c r="N522" s="40" t="n">
        <v>218229.11</v>
      </c>
      <c r="O522" s="46" t="n">
        <v>-83.15000000000001</v>
      </c>
      <c r="P522" s="40" t="n">
        <v>0</v>
      </c>
      <c r="Q522" s="46" t="n">
        <v>-100</v>
      </c>
      <c r="R522" s="47" t="n"/>
      <c r="S522" s="47" t="n"/>
      <c r="T522" s="47" t="n"/>
      <c r="U522" s="47" t="n"/>
      <c r="V522" s="47" t="n"/>
      <c r="W522" s="47" t="n"/>
    </row>
    <row r="523" ht="11.25" customHeight="1">
      <c r="A523" s="30" t="inlineStr">
        <is>
          <t>Porto Real</t>
        </is>
      </c>
      <c r="B523" s="30" t="n">
        <v>86682060</v>
      </c>
      <c r="C523" s="30">
        <f>"07956015000339"</f>
        <v/>
      </c>
      <c r="D523" s="30" t="inlineStr">
        <is>
          <t>MARLOG BRASIL LOGISTICA E ARMAZENAGEM LTDA</t>
        </is>
      </c>
      <c r="E523" s="40" t="n">
        <v>0</v>
      </c>
      <c r="F523" s="40" t="n">
        <v>0</v>
      </c>
      <c r="G523" s="40" t="n">
        <v>0</v>
      </c>
      <c r="H523" s="40" t="n">
        <v>0</v>
      </c>
      <c r="I523" s="40" t="n">
        <v>0</v>
      </c>
      <c r="J523" s="40" t="n">
        <v>0</v>
      </c>
      <c r="K523" s="40" t="n">
        <v>0</v>
      </c>
      <c r="L523" s="40" t="n">
        <v>8699.33</v>
      </c>
      <c r="M523" s="40" t="n">
        <v>100</v>
      </c>
      <c r="N523" s="40" t="n">
        <v>9937.059999999999</v>
      </c>
      <c r="O523" s="40" t="n">
        <v>14.23</v>
      </c>
      <c r="P523" s="40" t="n">
        <v>0</v>
      </c>
      <c r="Q523" s="46" t="n">
        <v>-100</v>
      </c>
      <c r="R523" s="47" t="n"/>
      <c r="S523" s="47" t="n"/>
      <c r="T523" s="47" t="n"/>
      <c r="U523" s="47" t="n"/>
      <c r="V523" s="47" t="n"/>
      <c r="W523" s="47" t="n"/>
    </row>
    <row r="524" ht="11.25" customHeight="1">
      <c r="A524" s="30" t="inlineStr">
        <is>
          <t>Porto Real</t>
        </is>
      </c>
      <c r="B524" s="30" t="n">
        <v>86682303</v>
      </c>
      <c r="C524" s="30">
        <f>"20094487000126"</f>
        <v/>
      </c>
      <c r="D524" s="30" t="inlineStr">
        <is>
          <t>M APARECIDA OLIVEIRA TRANSPORTES E LOGISTICA ME</t>
        </is>
      </c>
      <c r="E524" s="40" t="n">
        <v>2064768.6</v>
      </c>
      <c r="F524" s="40" t="n">
        <v>3930485.08</v>
      </c>
      <c r="G524" s="40" t="n">
        <v>90.36</v>
      </c>
      <c r="H524" s="40" t="n">
        <v>6616643.19</v>
      </c>
      <c r="I524" s="40" t="n">
        <v>68.34</v>
      </c>
      <c r="J524" s="40" t="n">
        <v>564175.16</v>
      </c>
      <c r="K524" s="46" t="n">
        <v>-91.47</v>
      </c>
      <c r="L524" s="40" t="n">
        <v>0</v>
      </c>
      <c r="M524" s="46" t="n">
        <v>-100</v>
      </c>
      <c r="N524" s="40" t="n">
        <v>0</v>
      </c>
      <c r="O524" s="40" t="n">
        <v>0</v>
      </c>
      <c r="P524" s="40" t="n">
        <v>0</v>
      </c>
      <c r="Q524" s="40" t="n">
        <v>0</v>
      </c>
      <c r="R524" s="47" t="n"/>
      <c r="S524" s="47" t="n"/>
      <c r="T524" s="47" t="n"/>
      <c r="U524" s="47" t="n"/>
      <c r="V524" s="47" t="n"/>
      <c r="W524" s="47" t="n"/>
    </row>
    <row r="525" ht="11.25" customHeight="1">
      <c r="A525" s="30" t="inlineStr">
        <is>
          <t>Porto Real</t>
        </is>
      </c>
      <c r="B525" s="30" t="n">
        <v>86686783</v>
      </c>
      <c r="C525" s="30">
        <f>"19275618000516"</f>
        <v/>
      </c>
      <c r="D525" s="30" t="inlineStr">
        <is>
          <t>INOVA LOGISTICA INTEGRADA LTDA</t>
        </is>
      </c>
      <c r="E525" s="40" t="n">
        <v>0</v>
      </c>
      <c r="F525" s="40" t="n">
        <v>0</v>
      </c>
      <c r="G525" s="40" t="n">
        <v>0</v>
      </c>
      <c r="H525" s="40" t="n">
        <v>0</v>
      </c>
      <c r="I525" s="40" t="n">
        <v>0</v>
      </c>
      <c r="J525" s="40" t="n">
        <v>0</v>
      </c>
      <c r="K525" s="40" t="n">
        <v>0</v>
      </c>
      <c r="L525" s="40" t="n">
        <v>332.12</v>
      </c>
      <c r="M525" s="40" t="n">
        <v>100</v>
      </c>
      <c r="N525" s="40" t="n">
        <v>102.43</v>
      </c>
      <c r="O525" s="46" t="n">
        <v>-69.16</v>
      </c>
      <c r="P525" s="40" t="n">
        <v>0</v>
      </c>
      <c r="Q525" s="46" t="n">
        <v>-100</v>
      </c>
      <c r="R525" s="47" t="n"/>
      <c r="S525" s="47" t="n"/>
      <c r="T525" s="47" t="n"/>
      <c r="U525" s="47" t="n"/>
      <c r="V525" s="47" t="n"/>
      <c r="W525" s="47" t="n"/>
    </row>
    <row r="526" ht="11.25" customHeight="1">
      <c r="A526" s="30" t="inlineStr">
        <is>
          <t>Porto Real</t>
        </is>
      </c>
      <c r="B526" s="30" t="n">
        <v>86755823</v>
      </c>
      <c r="C526" s="30">
        <f>"00193687000803"</f>
        <v/>
      </c>
      <c r="D526" s="30" t="inlineStr">
        <is>
          <t>TROCA TRANSPORTES EIRELI</t>
        </is>
      </c>
      <c r="E526" s="40" t="n">
        <v>0</v>
      </c>
      <c r="F526" s="40" t="n">
        <v>259.19</v>
      </c>
      <c r="G526" s="40" t="n">
        <v>100</v>
      </c>
      <c r="H526" s="40" t="n">
        <v>0</v>
      </c>
      <c r="I526" s="46" t="n">
        <v>-100</v>
      </c>
      <c r="J526" s="40" t="n">
        <v>0</v>
      </c>
      <c r="K526" s="40" t="n">
        <v>0</v>
      </c>
      <c r="L526" s="40" t="n">
        <v>0</v>
      </c>
      <c r="M526" s="40" t="n">
        <v>0</v>
      </c>
      <c r="N526" s="40" t="n">
        <v>89.76000000000001</v>
      </c>
      <c r="O526" s="40" t="n">
        <v>100</v>
      </c>
      <c r="P526" s="40" t="n">
        <v>395</v>
      </c>
      <c r="Q526" s="40" t="n">
        <v>340.06</v>
      </c>
      <c r="R526" s="47" t="n"/>
      <c r="S526" s="47" t="n"/>
      <c r="T526" s="47" t="n"/>
      <c r="U526" s="47" t="n"/>
      <c r="V526" s="47" t="n"/>
      <c r="W526" s="47" t="n"/>
    </row>
    <row r="527" ht="11.25" customHeight="1">
      <c r="A527" s="30" t="inlineStr">
        <is>
          <t>Porto Real</t>
        </is>
      </c>
      <c r="B527" s="30" t="n">
        <v>86762544</v>
      </c>
      <c r="C527" s="30">
        <f>"05612165000219"</f>
        <v/>
      </c>
      <c r="D527" s="30" t="inlineStr">
        <is>
          <t>AUTO PEÇAS NASIGER EIRELI</t>
        </is>
      </c>
      <c r="E527" s="40" t="n">
        <v>3755550.84</v>
      </c>
      <c r="F527" s="40" t="n">
        <v>3292177.11</v>
      </c>
      <c r="G527" s="46" t="n">
        <v>-12.34</v>
      </c>
      <c r="H527" s="40" t="n">
        <v>1089093.71</v>
      </c>
      <c r="I527" s="46" t="n">
        <v>-66.92</v>
      </c>
      <c r="J527" s="40" t="n">
        <v>702069.72</v>
      </c>
      <c r="K527" s="46" t="n">
        <v>-35.54</v>
      </c>
      <c r="L527" s="40" t="n">
        <v>822748.85</v>
      </c>
      <c r="M527" s="40" t="n">
        <v>17.19</v>
      </c>
      <c r="N527" s="40" t="n">
        <v>1172494.76</v>
      </c>
      <c r="O527" s="40" t="n">
        <v>42.51</v>
      </c>
      <c r="P527" s="40" t="n">
        <v>1157132.89</v>
      </c>
      <c r="Q527" s="46" t="n">
        <v>-1.31</v>
      </c>
      <c r="R527" s="47" t="n"/>
      <c r="S527" s="47" t="n"/>
      <c r="T527" s="47" t="n"/>
      <c r="U527" s="47" t="n"/>
      <c r="V527" s="47" t="n"/>
      <c r="W527" s="47" t="n"/>
    </row>
    <row r="528" ht="11.25" customHeight="1">
      <c r="A528" s="30" t="inlineStr">
        <is>
          <t>Porto Real</t>
        </is>
      </c>
      <c r="B528" s="30" t="n">
        <v>86789477</v>
      </c>
      <c r="C528" s="30">
        <f>"04887927001541"</f>
        <v/>
      </c>
      <c r="D528" s="30" t="inlineStr">
        <is>
          <t>ANDREANI LOGISTICA LTDA</t>
        </is>
      </c>
      <c r="E528" s="40" t="n">
        <v>0</v>
      </c>
      <c r="F528" s="40" t="n">
        <v>0</v>
      </c>
      <c r="G528" s="40" t="n">
        <v>0</v>
      </c>
      <c r="H528" s="40" t="n">
        <v>0</v>
      </c>
      <c r="I528" s="40" t="n">
        <v>0</v>
      </c>
      <c r="J528" s="40" t="n">
        <v>152.02</v>
      </c>
      <c r="K528" s="40" t="n">
        <v>100</v>
      </c>
      <c r="L528" s="40" t="n">
        <v>0</v>
      </c>
      <c r="M528" s="46" t="n">
        <v>-100</v>
      </c>
      <c r="N528" s="40" t="n">
        <v>0</v>
      </c>
      <c r="O528" s="40" t="n">
        <v>0</v>
      </c>
      <c r="P528" s="40" t="n">
        <v>0</v>
      </c>
      <c r="Q528" s="40" t="n">
        <v>0</v>
      </c>
      <c r="R528" s="47" t="n"/>
      <c r="S528" s="47" t="n"/>
      <c r="T528" s="47" t="n"/>
      <c r="U528" s="47" t="n"/>
      <c r="V528" s="47" t="n"/>
      <c r="W528" s="47" t="n"/>
    </row>
    <row r="529" ht="11.25" customHeight="1">
      <c r="A529" s="30" t="inlineStr">
        <is>
          <t>Porto Real</t>
        </is>
      </c>
      <c r="B529" s="30" t="n">
        <v>86789736</v>
      </c>
      <c r="C529" s="30">
        <f>"39207915000108"</f>
        <v/>
      </c>
      <c r="D529" s="30" t="inlineStr">
        <is>
          <t>REAL SUL LOCAÇÃO E TRANSPORTES EIRELI</t>
        </is>
      </c>
      <c r="E529" s="40" t="n">
        <v>0</v>
      </c>
      <c r="F529" s="40" t="n">
        <v>0</v>
      </c>
      <c r="G529" s="40" t="n">
        <v>0</v>
      </c>
      <c r="H529" s="40" t="n">
        <v>0</v>
      </c>
      <c r="I529" s="40" t="n">
        <v>0</v>
      </c>
      <c r="J529" s="40" t="n">
        <v>0</v>
      </c>
      <c r="K529" s="40" t="n">
        <v>0</v>
      </c>
      <c r="L529" s="40" t="n">
        <v>0</v>
      </c>
      <c r="M529" s="40" t="n">
        <v>0</v>
      </c>
      <c r="N529" s="40" t="n">
        <v>0</v>
      </c>
      <c r="O529" s="40" t="n">
        <v>0</v>
      </c>
      <c r="P529" s="40" t="n">
        <v>0</v>
      </c>
      <c r="Q529" s="40" t="n">
        <v>0</v>
      </c>
      <c r="R529" s="47" t="n"/>
      <c r="S529" s="47" t="n"/>
      <c r="T529" s="47" t="n"/>
      <c r="U529" s="47" t="n"/>
      <c r="V529" s="47" t="n"/>
      <c r="W529" s="47" t="n"/>
    </row>
    <row r="530" ht="11.25" customHeight="1">
      <c r="A530" s="30" t="inlineStr">
        <is>
          <t>Porto Real</t>
        </is>
      </c>
      <c r="B530" s="30" t="n">
        <v>86791706</v>
      </c>
      <c r="C530" s="30">
        <f>"14049467000300"</f>
        <v/>
      </c>
      <c r="D530" s="30" t="inlineStr">
        <is>
          <t>LACTALIS DO BRASIL COMERCIO IMPORTACAO E EXPORTACAO DE LATICINIOS LTDA</t>
        </is>
      </c>
      <c r="E530" s="40" t="n">
        <v>291117.47</v>
      </c>
      <c r="F530" s="40" t="n">
        <v>473118.1</v>
      </c>
      <c r="G530" s="40" t="n">
        <v>62.52</v>
      </c>
      <c r="H530" s="40" t="n">
        <v>690289.13</v>
      </c>
      <c r="I530" s="40" t="n">
        <v>45.9</v>
      </c>
      <c r="J530" s="40" t="n">
        <v>1033253.16</v>
      </c>
      <c r="K530" s="40" t="n">
        <v>49.68</v>
      </c>
      <c r="L530" s="40" t="n">
        <v>1396058.67</v>
      </c>
      <c r="M530" s="40" t="n">
        <v>35.11</v>
      </c>
      <c r="N530" s="40" t="n">
        <v>1977524.66</v>
      </c>
      <c r="O530" s="40" t="n">
        <v>41.65</v>
      </c>
      <c r="P530" s="40" t="n">
        <v>1936486.33</v>
      </c>
      <c r="Q530" s="46" t="n">
        <v>-2.08</v>
      </c>
      <c r="R530" s="47" t="n"/>
      <c r="S530" s="47" t="n"/>
      <c r="T530" s="47" t="n"/>
      <c r="U530" s="47" t="n"/>
      <c r="V530" s="47" t="n"/>
      <c r="W530" s="47" t="n"/>
    </row>
    <row r="531" ht="11.25" customHeight="1">
      <c r="A531" s="30" t="inlineStr">
        <is>
          <t>Porto Real</t>
        </is>
      </c>
      <c r="B531" s="30" t="n">
        <v>86810999</v>
      </c>
      <c r="C531" s="30">
        <f>"03867580005095"</f>
        <v/>
      </c>
      <c r="D531" s="30" t="inlineStr">
        <is>
          <t>PRONTO EXPRESS LOGISTICA SA</t>
        </is>
      </c>
      <c r="E531" s="40" t="n">
        <v>12.17</v>
      </c>
      <c r="F531" s="40" t="n">
        <v>0</v>
      </c>
      <c r="G531" s="46" t="n">
        <v>-100</v>
      </c>
      <c r="H531" s="40" t="n">
        <v>0</v>
      </c>
      <c r="I531" s="40" t="n">
        <v>0</v>
      </c>
      <c r="J531" s="40" t="n">
        <v>0</v>
      </c>
      <c r="K531" s="40" t="n">
        <v>0</v>
      </c>
      <c r="L531" s="40" t="n">
        <v>0</v>
      </c>
      <c r="M531" s="40" t="n">
        <v>0</v>
      </c>
      <c r="N531" s="40" t="n">
        <v>0</v>
      </c>
      <c r="O531" s="40" t="n">
        <v>0</v>
      </c>
      <c r="P531" s="40" t="n">
        <v>0</v>
      </c>
      <c r="Q531" s="40" t="n">
        <v>0</v>
      </c>
      <c r="R531" s="47" t="n"/>
      <c r="S531" s="47" t="n"/>
      <c r="T531" s="47" t="n"/>
      <c r="U531" s="47" t="n"/>
      <c r="V531" s="47" t="n"/>
      <c r="W531" s="47" t="n"/>
    </row>
    <row r="532" ht="11.25" customHeight="1">
      <c r="A532" s="30" t="inlineStr">
        <is>
          <t>Porto Real</t>
        </is>
      </c>
      <c r="B532" s="30" t="n">
        <v>86824701</v>
      </c>
      <c r="C532" s="30">
        <f>"01359916000529"</f>
        <v/>
      </c>
      <c r="D532" s="30" t="inlineStr">
        <is>
          <t>CHEMETALL DO BRASIL LTDA</t>
        </is>
      </c>
      <c r="E532" s="40" t="n">
        <v>0</v>
      </c>
      <c r="F532" s="40" t="n">
        <v>0</v>
      </c>
      <c r="G532" s="40" t="n">
        <v>0</v>
      </c>
      <c r="H532" s="40" t="n">
        <v>0</v>
      </c>
      <c r="I532" s="40" t="n">
        <v>0</v>
      </c>
      <c r="J532" s="40" t="n">
        <v>0</v>
      </c>
      <c r="K532" s="40" t="n">
        <v>0</v>
      </c>
      <c r="L532" s="40" t="n">
        <v>0</v>
      </c>
      <c r="M532" s="40" t="n">
        <v>0</v>
      </c>
      <c r="N532" s="40" t="n">
        <v>0</v>
      </c>
      <c r="O532" s="40" t="n">
        <v>0</v>
      </c>
      <c r="P532" s="40" t="n">
        <v>0</v>
      </c>
      <c r="Q532" s="40" t="n">
        <v>0</v>
      </c>
      <c r="R532" s="47" t="n"/>
      <c r="S532" s="47" t="n"/>
      <c r="T532" s="47" t="n"/>
      <c r="U532" s="47" t="n"/>
      <c r="V532" s="47" t="n"/>
      <c r="W532" s="47" t="n"/>
    </row>
    <row r="533" ht="11.25" customHeight="1">
      <c r="A533" s="30" t="inlineStr">
        <is>
          <t>Porto Real</t>
        </is>
      </c>
      <c r="B533" s="30" t="n">
        <v>86828383</v>
      </c>
      <c r="C533" s="30">
        <f>"00497373002082"</f>
        <v/>
      </c>
      <c r="D533" s="30" t="inlineStr">
        <is>
          <t>SKY SERVICOS DE BANDA LARGA LTDA.</t>
        </is>
      </c>
      <c r="E533" s="40" t="n">
        <v>0</v>
      </c>
      <c r="F533" s="40" t="n">
        <v>30.95</v>
      </c>
      <c r="G533" s="40" t="n">
        <v>100</v>
      </c>
      <c r="H533" s="40" t="n">
        <v>74.59999999999999</v>
      </c>
      <c r="I533" s="40" t="n">
        <v>141.03</v>
      </c>
      <c r="J533" s="40" t="n">
        <v>0</v>
      </c>
      <c r="K533" s="46" t="n">
        <v>-100</v>
      </c>
      <c r="L533" s="40" t="n">
        <v>1.33</v>
      </c>
      <c r="M533" s="40" t="n">
        <v>100</v>
      </c>
      <c r="N533" s="40" t="n">
        <v>0</v>
      </c>
      <c r="O533" s="46" t="n">
        <v>-100</v>
      </c>
      <c r="P533" s="40" t="n">
        <v>0</v>
      </c>
      <c r="Q533" s="40" t="n">
        <v>0</v>
      </c>
      <c r="R533" s="47" t="n"/>
      <c r="S533" s="47" t="n"/>
      <c r="T533" s="47" t="n"/>
      <c r="U533" s="47" t="n"/>
      <c r="V533" s="47" t="n"/>
      <c r="W533" s="47" t="n"/>
    </row>
    <row r="534" ht="11.25" customHeight="1">
      <c r="A534" s="30" t="inlineStr">
        <is>
          <t>Porto Real</t>
        </is>
      </c>
      <c r="B534" s="30" t="n">
        <v>86831295</v>
      </c>
      <c r="C534" s="30">
        <f>"03509101000180"</f>
        <v/>
      </c>
      <c r="D534" s="30" t="inlineStr">
        <is>
          <t>BRASIPAN SERVIÇOS E LOGÍSTICA EIRELI</t>
        </is>
      </c>
      <c r="E534" s="40" t="n">
        <v>0</v>
      </c>
      <c r="F534" s="40" t="n">
        <v>0</v>
      </c>
      <c r="G534" s="40" t="n">
        <v>0</v>
      </c>
      <c r="H534" s="40" t="n">
        <v>0</v>
      </c>
      <c r="I534" s="40" t="n">
        <v>0</v>
      </c>
      <c r="J534" s="40" t="n">
        <v>0</v>
      </c>
      <c r="K534" s="40" t="n">
        <v>0</v>
      </c>
      <c r="L534" s="40" t="n">
        <v>0</v>
      </c>
      <c r="M534" s="40" t="n">
        <v>0</v>
      </c>
      <c r="N534" s="40" t="n">
        <v>20542.28</v>
      </c>
      <c r="O534" s="40" t="n">
        <v>100</v>
      </c>
      <c r="P534" s="40" t="n">
        <v>0</v>
      </c>
      <c r="Q534" s="46" t="n">
        <v>-100</v>
      </c>
      <c r="R534" s="47" t="n"/>
      <c r="S534" s="47" t="n"/>
      <c r="T534" s="47" t="n"/>
      <c r="U534" s="47" t="n"/>
      <c r="V534" s="47" t="n"/>
      <c r="W534" s="47" t="n"/>
    </row>
    <row r="535" ht="11.25" customHeight="1">
      <c r="A535" s="30" t="inlineStr">
        <is>
          <t>Porto Real</t>
        </is>
      </c>
      <c r="B535" s="30" t="n">
        <v>86832194</v>
      </c>
      <c r="C535" s="30">
        <f>"16884492000599"</f>
        <v/>
      </c>
      <c r="D535" s="30" t="inlineStr">
        <is>
          <t>TDM TRANSPORTES LTDA</t>
        </is>
      </c>
      <c r="E535" s="40" t="n">
        <v>0</v>
      </c>
      <c r="F535" s="40" t="n">
        <v>0</v>
      </c>
      <c r="G535" s="40" t="n">
        <v>0</v>
      </c>
      <c r="H535" s="40" t="n">
        <v>0</v>
      </c>
      <c r="I535" s="40" t="n">
        <v>0</v>
      </c>
      <c r="J535" s="40" t="n">
        <v>296851.25</v>
      </c>
      <c r="K535" s="40" t="n">
        <v>100</v>
      </c>
      <c r="L535" s="40" t="n">
        <v>956099.78</v>
      </c>
      <c r="M535" s="40" t="n">
        <v>222.08</v>
      </c>
      <c r="N535" s="40" t="n">
        <v>1009992.72</v>
      </c>
      <c r="O535" s="40" t="n">
        <v>5.64</v>
      </c>
      <c r="P535" s="40" t="n">
        <v>27221.25</v>
      </c>
      <c r="Q535" s="46" t="n">
        <v>-97.3</v>
      </c>
      <c r="R535" s="47" t="n"/>
      <c r="S535" s="47" t="n"/>
      <c r="T535" s="47" t="n"/>
      <c r="U535" s="47" t="n"/>
      <c r="V535" s="47" t="n"/>
      <c r="W535" s="47" t="n"/>
    </row>
    <row r="536" ht="11.25" customHeight="1">
      <c r="A536" s="30" t="inlineStr">
        <is>
          <t>Porto Real</t>
        </is>
      </c>
      <c r="B536" s="30" t="n">
        <v>86833905</v>
      </c>
      <c r="C536" s="30">
        <f>"04968037000169"</f>
        <v/>
      </c>
      <c r="D536" s="30" t="inlineStr">
        <is>
          <t>DACUNHA NORDESTE TRANSPORTES LTDA</t>
        </is>
      </c>
      <c r="E536" s="40" t="n">
        <v>5005019.33</v>
      </c>
      <c r="F536" s="40" t="n">
        <v>3657360.11</v>
      </c>
      <c r="G536" s="46" t="n">
        <v>-26.93</v>
      </c>
      <c r="H536" s="40" t="n">
        <v>2540939.55</v>
      </c>
      <c r="I536" s="46" t="n">
        <v>-30.53</v>
      </c>
      <c r="J536" s="40" t="n">
        <v>1739487.81</v>
      </c>
      <c r="K536" s="46" t="n">
        <v>-31.54</v>
      </c>
      <c r="L536" s="40" t="n">
        <v>812369.75</v>
      </c>
      <c r="M536" s="46" t="n">
        <v>-53.3</v>
      </c>
      <c r="N536" s="40" t="n">
        <v>676264.02</v>
      </c>
      <c r="O536" s="46" t="n">
        <v>-16.75</v>
      </c>
      <c r="P536" s="40" t="n">
        <v>994664.96</v>
      </c>
      <c r="Q536" s="40" t="n">
        <v>47.08</v>
      </c>
      <c r="R536" s="47" t="n"/>
      <c r="S536" s="47" t="n"/>
      <c r="T536" s="47" t="n"/>
      <c r="U536" s="47" t="n"/>
      <c r="V536" s="47" t="n"/>
      <c r="W536" s="47" t="n"/>
    </row>
    <row r="537" ht="11.25" customHeight="1">
      <c r="A537" s="30" t="inlineStr">
        <is>
          <t>Porto Real</t>
        </is>
      </c>
      <c r="B537" s="30" t="n">
        <v>86850036</v>
      </c>
      <c r="C537" s="30">
        <f>"21616620000120"</f>
        <v/>
      </c>
      <c r="D537" s="30" t="inlineStr">
        <is>
          <t>SANTOS E DUTRA MERCEARIA LTDA ME</t>
        </is>
      </c>
      <c r="E537" s="40" t="n">
        <v>0</v>
      </c>
      <c r="F537" s="40" t="n">
        <v>0</v>
      </c>
      <c r="G537" s="40" t="n">
        <v>0</v>
      </c>
      <c r="H537" s="40" t="n">
        <v>0</v>
      </c>
      <c r="I537" s="40" t="n">
        <v>0</v>
      </c>
      <c r="J537" s="40" t="n">
        <v>0</v>
      </c>
      <c r="K537" s="40" t="n">
        <v>0</v>
      </c>
      <c r="L537" s="40" t="n">
        <v>0</v>
      </c>
      <c r="M537" s="40" t="n">
        <v>0</v>
      </c>
      <c r="N537" s="40" t="n">
        <v>0</v>
      </c>
      <c r="O537" s="40" t="n">
        <v>0</v>
      </c>
      <c r="P537" s="40" t="n">
        <v>0</v>
      </c>
      <c r="Q537" s="40" t="n">
        <v>0</v>
      </c>
      <c r="R537" s="47" t="n"/>
      <c r="S537" s="47" t="n"/>
      <c r="T537" s="47" t="n"/>
      <c r="U537" s="47" t="n"/>
      <c r="V537" s="47" t="n"/>
      <c r="W537" s="47" t="n"/>
    </row>
    <row r="538" ht="11.25" customHeight="1">
      <c r="A538" s="30" t="inlineStr">
        <is>
          <t>Porto Real</t>
        </is>
      </c>
      <c r="B538" s="30" t="n">
        <v>86854406</v>
      </c>
      <c r="C538" s="30">
        <f>"03357962000352"</f>
        <v/>
      </c>
      <c r="D538" s="30" t="inlineStr">
        <is>
          <t>AXON TRANSPORTES S A</t>
        </is>
      </c>
      <c r="E538" s="40" t="n">
        <v>0</v>
      </c>
      <c r="F538" s="40" t="n">
        <v>0</v>
      </c>
      <c r="G538" s="40" t="n">
        <v>0</v>
      </c>
      <c r="H538" s="40" t="n">
        <v>0</v>
      </c>
      <c r="I538" s="40" t="n">
        <v>0</v>
      </c>
      <c r="J538" s="40" t="n">
        <v>0</v>
      </c>
      <c r="K538" s="40" t="n">
        <v>0</v>
      </c>
      <c r="L538" s="40" t="n">
        <v>0</v>
      </c>
      <c r="M538" s="40" t="n">
        <v>0</v>
      </c>
      <c r="N538" s="40" t="n">
        <v>9918.379999999999</v>
      </c>
      <c r="O538" s="40" t="n">
        <v>100</v>
      </c>
      <c r="P538" s="40" t="n">
        <v>0</v>
      </c>
      <c r="Q538" s="46" t="n">
        <v>-100</v>
      </c>
      <c r="R538" s="47" t="n"/>
      <c r="S538" s="47" t="n"/>
      <c r="T538" s="47" t="n"/>
      <c r="U538" s="47" t="n"/>
      <c r="V538" s="47" t="n"/>
      <c r="W538" s="47" t="n"/>
    </row>
    <row r="539" ht="11.25" customHeight="1">
      <c r="A539" s="30" t="inlineStr">
        <is>
          <t>Porto Real</t>
        </is>
      </c>
      <c r="B539" s="30" t="n">
        <v>86858363</v>
      </c>
      <c r="C539" s="30">
        <f>"10418979000257"</f>
        <v/>
      </c>
      <c r="D539" s="30" t="inlineStr">
        <is>
          <t>I-WAP TRANSPORTE LTDA - EPP</t>
        </is>
      </c>
      <c r="E539" s="40" t="n">
        <v>0</v>
      </c>
      <c r="F539" s="40" t="n">
        <v>438.91</v>
      </c>
      <c r="G539" s="40" t="n">
        <v>100</v>
      </c>
      <c r="H539" s="40" t="n">
        <v>0</v>
      </c>
      <c r="I539" s="46" t="n">
        <v>-100</v>
      </c>
      <c r="J539" s="40" t="n">
        <v>0</v>
      </c>
      <c r="K539" s="40" t="n">
        <v>0</v>
      </c>
      <c r="L539" s="40" t="n">
        <v>0</v>
      </c>
      <c r="M539" s="40" t="n">
        <v>0</v>
      </c>
      <c r="N539" s="40" t="n">
        <v>0</v>
      </c>
      <c r="O539" s="40" t="n">
        <v>0</v>
      </c>
      <c r="P539" s="40" t="n">
        <v>0</v>
      </c>
      <c r="Q539" s="40" t="n">
        <v>0</v>
      </c>
      <c r="R539" s="47" t="n"/>
      <c r="S539" s="47" t="n"/>
      <c r="T539" s="47" t="n"/>
      <c r="U539" s="47" t="n"/>
      <c r="V539" s="47" t="n"/>
      <c r="W539" s="47" t="n"/>
    </row>
    <row r="540" ht="11.25" customHeight="1">
      <c r="A540" s="30" t="inlineStr">
        <is>
          <t>Porto Real</t>
        </is>
      </c>
      <c r="B540" s="30" t="n">
        <v>86864541</v>
      </c>
      <c r="C540" s="30">
        <f>"03550974000560"</f>
        <v/>
      </c>
      <c r="D540" s="30" t="inlineStr">
        <is>
          <t>SANTA MARIA COMERCIO E RECICLAGEM DE RESIDUOS INDUSTRIAIS LTDA</t>
        </is>
      </c>
      <c r="E540" s="40" t="n">
        <v>0</v>
      </c>
      <c r="F540" s="40" t="n">
        <v>0</v>
      </c>
      <c r="G540" s="40" t="n">
        <v>0</v>
      </c>
      <c r="H540" s="40" t="n">
        <v>0</v>
      </c>
      <c r="I540" s="40" t="n">
        <v>0</v>
      </c>
      <c r="J540" s="40" t="n">
        <v>0</v>
      </c>
      <c r="K540" s="40" t="n">
        <v>0</v>
      </c>
      <c r="L540" s="40" t="n">
        <v>0</v>
      </c>
      <c r="M540" s="40" t="n">
        <v>0</v>
      </c>
      <c r="N540" s="40" t="n">
        <v>187069.34</v>
      </c>
      <c r="O540" s="40" t="n">
        <v>100</v>
      </c>
      <c r="P540" s="40" t="n">
        <v>0</v>
      </c>
      <c r="Q540" s="46" t="n">
        <v>-100</v>
      </c>
      <c r="R540" s="47" t="n"/>
      <c r="S540" s="47" t="n"/>
      <c r="T540" s="47" t="n"/>
      <c r="U540" s="47" t="n"/>
      <c r="V540" s="47" t="n"/>
      <c r="W540" s="47" t="n"/>
    </row>
    <row r="541" ht="11.25" customHeight="1">
      <c r="A541" s="30" t="inlineStr">
        <is>
          <t>Porto Real</t>
        </is>
      </c>
      <c r="B541" s="30" t="n">
        <v>86869942</v>
      </c>
      <c r="C541" s="30">
        <f>"21781793000101"</f>
        <v/>
      </c>
      <c r="D541" s="30" t="inlineStr">
        <is>
          <t>TANIA MARIA DELFINO RESTAURANTE ME</t>
        </is>
      </c>
      <c r="E541" s="40" t="n">
        <v>0</v>
      </c>
      <c r="F541" s="40" t="n">
        <v>0</v>
      </c>
      <c r="G541" s="40" t="n">
        <v>0</v>
      </c>
      <c r="H541" s="40" t="n">
        <v>0</v>
      </c>
      <c r="I541" s="40" t="n">
        <v>0</v>
      </c>
      <c r="J541" s="40" t="n">
        <v>0</v>
      </c>
      <c r="K541" s="40" t="n">
        <v>0</v>
      </c>
      <c r="L541" s="40" t="n">
        <v>0</v>
      </c>
      <c r="M541" s="40" t="n">
        <v>0</v>
      </c>
      <c r="N541" s="40" t="n">
        <v>0</v>
      </c>
      <c r="O541" s="40" t="n">
        <v>0</v>
      </c>
      <c r="P541" s="40" t="n">
        <v>0</v>
      </c>
      <c r="Q541" s="40" t="n">
        <v>0</v>
      </c>
      <c r="R541" s="47" t="n"/>
      <c r="S541" s="47" t="n"/>
      <c r="T541" s="47" t="n"/>
      <c r="U541" s="47" t="n"/>
      <c r="V541" s="47" t="n"/>
      <c r="W541" s="47" t="n"/>
    </row>
    <row r="542" ht="11.25" customHeight="1">
      <c r="A542" s="30" t="inlineStr">
        <is>
          <t>Porto Real</t>
        </is>
      </c>
      <c r="B542" s="30" t="n">
        <v>86877503</v>
      </c>
      <c r="C542" s="30">
        <f>"11020954000425"</f>
        <v/>
      </c>
      <c r="D542" s="30" t="inlineStr">
        <is>
          <t>BRAVO LOG TRANSPORTES LTDA</t>
        </is>
      </c>
      <c r="E542" s="40" t="n">
        <v>0</v>
      </c>
      <c r="F542" s="40" t="n">
        <v>0</v>
      </c>
      <c r="G542" s="40" t="n">
        <v>0</v>
      </c>
      <c r="H542" s="40" t="n">
        <v>0</v>
      </c>
      <c r="I542" s="40" t="n">
        <v>0</v>
      </c>
      <c r="J542" s="40" t="n">
        <v>0</v>
      </c>
      <c r="K542" s="40" t="n">
        <v>0</v>
      </c>
      <c r="L542" s="40" t="n">
        <v>0</v>
      </c>
      <c r="M542" s="40" t="n">
        <v>0</v>
      </c>
      <c r="N542" s="40" t="n">
        <v>1442.16</v>
      </c>
      <c r="O542" s="40" t="n">
        <v>100</v>
      </c>
      <c r="P542" s="40" t="n">
        <v>2002.6</v>
      </c>
      <c r="Q542" s="40" t="n">
        <v>38.86</v>
      </c>
      <c r="R542" s="47" t="n"/>
      <c r="S542" s="47" t="n"/>
      <c r="T542" s="47" t="n"/>
      <c r="U542" s="47" t="n"/>
      <c r="V542" s="47" t="n"/>
      <c r="W542" s="47" t="n"/>
    </row>
    <row r="543" ht="11.25" customHeight="1">
      <c r="A543" s="30" t="inlineStr">
        <is>
          <t>Porto Real</t>
        </is>
      </c>
      <c r="B543" s="30" t="n">
        <v>86879344</v>
      </c>
      <c r="C543" s="30">
        <f>"05886614003666"</f>
        <v/>
      </c>
      <c r="D543" s="30" t="inlineStr">
        <is>
          <t>DIRECT EXPRESS LOGISTICA INTEGRADA S/A</t>
        </is>
      </c>
      <c r="E543" s="40" t="n">
        <v>114.02</v>
      </c>
      <c r="F543" s="40" t="n">
        <v>0</v>
      </c>
      <c r="G543" s="46" t="n">
        <v>-100</v>
      </c>
      <c r="H543" s="40" t="n">
        <v>0</v>
      </c>
      <c r="I543" s="40" t="n">
        <v>0</v>
      </c>
      <c r="J543" s="40" t="n">
        <v>0</v>
      </c>
      <c r="K543" s="40" t="n">
        <v>0</v>
      </c>
      <c r="L543" s="40" t="n">
        <v>0</v>
      </c>
      <c r="M543" s="40" t="n">
        <v>0</v>
      </c>
      <c r="N543" s="40" t="n">
        <v>0</v>
      </c>
      <c r="O543" s="40" t="n">
        <v>0</v>
      </c>
      <c r="P543" s="40" t="n">
        <v>0</v>
      </c>
      <c r="Q543" s="40" t="n">
        <v>0</v>
      </c>
      <c r="R543" s="47" t="n"/>
      <c r="S543" s="47" t="n"/>
      <c r="T543" s="47" t="n"/>
      <c r="U543" s="47" t="n"/>
      <c r="V543" s="47" t="n"/>
      <c r="W543" s="47" t="n"/>
    </row>
    <row r="544" ht="11.25" customHeight="1">
      <c r="A544" s="30" t="inlineStr">
        <is>
          <t>Porto Real</t>
        </is>
      </c>
      <c r="B544" s="30" t="n">
        <v>86882566</v>
      </c>
      <c r="C544" s="30">
        <f>"08680888001134"</f>
        <v/>
      </c>
      <c r="D544" s="30" t="inlineStr">
        <is>
          <t>MSC MEDITERRANEAN LOGISTICA LTDA</t>
        </is>
      </c>
      <c r="E544" s="40" t="n">
        <v>222479.76</v>
      </c>
      <c r="F544" s="40" t="n">
        <v>513870.97</v>
      </c>
      <c r="G544" s="40" t="n">
        <v>130.97</v>
      </c>
      <c r="H544" s="40" t="n">
        <v>441930.31</v>
      </c>
      <c r="I544" s="46" t="n">
        <v>-14</v>
      </c>
      <c r="J544" s="40" t="n">
        <v>31314</v>
      </c>
      <c r="K544" s="46" t="n">
        <v>-92.91</v>
      </c>
      <c r="L544" s="40" t="n">
        <v>10860</v>
      </c>
      <c r="M544" s="46" t="n">
        <v>-65.31999999999999</v>
      </c>
      <c r="N544" s="40" t="n">
        <v>0</v>
      </c>
      <c r="O544" s="46" t="n">
        <v>-100</v>
      </c>
      <c r="P544" s="40" t="n">
        <v>0</v>
      </c>
      <c r="Q544" s="40" t="n">
        <v>0</v>
      </c>
      <c r="R544" s="47" t="n"/>
      <c r="S544" s="47" t="n"/>
      <c r="T544" s="47" t="n"/>
      <c r="U544" s="47" t="n"/>
      <c r="V544" s="47" t="n"/>
      <c r="W544" s="47" t="n"/>
    </row>
    <row r="545" ht="11.25" customHeight="1">
      <c r="A545" s="30" t="inlineStr">
        <is>
          <t>Porto Real</t>
        </is>
      </c>
      <c r="B545" s="30" t="n">
        <v>86900009</v>
      </c>
      <c r="C545" s="30">
        <f>"13819517000159"</f>
        <v/>
      </c>
      <c r="D545" s="30" t="inlineStr">
        <is>
          <t>BR SERVICOS DE FRETAMENTO LTDA - ME</t>
        </is>
      </c>
      <c r="E545" s="40" t="n">
        <v>0</v>
      </c>
      <c r="F545" s="40" t="n">
        <v>0</v>
      </c>
      <c r="G545" s="40" t="n">
        <v>0</v>
      </c>
      <c r="H545" s="40" t="n">
        <v>0</v>
      </c>
      <c r="I545" s="40" t="n">
        <v>0</v>
      </c>
      <c r="J545" s="40" t="n">
        <v>0</v>
      </c>
      <c r="K545" s="40" t="n">
        <v>0</v>
      </c>
      <c r="L545" s="40" t="n">
        <v>0</v>
      </c>
      <c r="M545" s="40" t="n">
        <v>0</v>
      </c>
      <c r="N545" s="40" t="n">
        <v>0</v>
      </c>
      <c r="O545" s="40" t="n">
        <v>0</v>
      </c>
      <c r="P545" s="40" t="n">
        <v>0</v>
      </c>
      <c r="Q545" s="40" t="n">
        <v>0</v>
      </c>
      <c r="R545" s="47" t="n"/>
      <c r="S545" s="47" t="n"/>
      <c r="T545" s="47" t="n"/>
      <c r="U545" s="47" t="n"/>
      <c r="V545" s="47" t="n"/>
      <c r="W545" s="47" t="n"/>
    </row>
    <row r="546" ht="11.25" customHeight="1">
      <c r="A546" s="30" t="inlineStr">
        <is>
          <t>Porto Real</t>
        </is>
      </c>
      <c r="B546" s="30" t="n">
        <v>86906562</v>
      </c>
      <c r="C546" s="30">
        <f>"22108301000176"</f>
        <v/>
      </c>
      <c r="D546" s="30" t="inlineStr">
        <is>
          <t>GUINDASTÃO LOGÍSTICA LTDA.</t>
        </is>
      </c>
      <c r="E546" s="40" t="n">
        <v>0</v>
      </c>
      <c r="F546" s="40" t="n">
        <v>0</v>
      </c>
      <c r="G546" s="40" t="n">
        <v>0</v>
      </c>
      <c r="H546" s="40" t="n">
        <v>0</v>
      </c>
      <c r="I546" s="40" t="n">
        <v>0</v>
      </c>
      <c r="J546" s="40" t="n">
        <v>0</v>
      </c>
      <c r="K546" s="40" t="n">
        <v>0</v>
      </c>
      <c r="L546" s="40" t="n">
        <v>0</v>
      </c>
      <c r="M546" s="40" t="n">
        <v>0</v>
      </c>
      <c r="N546" s="40" t="n">
        <v>0</v>
      </c>
      <c r="O546" s="40" t="n">
        <v>0</v>
      </c>
      <c r="P546" s="40" t="n">
        <v>80496.37</v>
      </c>
      <c r="Q546" s="40" t="n">
        <v>100</v>
      </c>
      <c r="R546" s="47" t="n"/>
      <c r="S546" s="47" t="n"/>
      <c r="T546" s="47" t="n"/>
      <c r="U546" s="47" t="n"/>
      <c r="V546" s="47" t="n"/>
      <c r="W546" s="47" t="n"/>
    </row>
    <row r="547" ht="11.25" customHeight="1">
      <c r="A547" s="30" t="inlineStr">
        <is>
          <t>Porto Real</t>
        </is>
      </c>
      <c r="B547" s="30" t="n">
        <v>86913410</v>
      </c>
      <c r="C547" s="30">
        <f>"49025695001470"</f>
        <v/>
      </c>
      <c r="D547" s="30" t="inlineStr">
        <is>
          <t>JD COCENZO &amp; CIA LTDA</t>
        </is>
      </c>
      <c r="E547" s="40" t="n">
        <v>0</v>
      </c>
      <c r="F547" s="40" t="n">
        <v>139004.24</v>
      </c>
      <c r="G547" s="40" t="n">
        <v>100</v>
      </c>
      <c r="H547" s="40" t="n">
        <v>45645.06</v>
      </c>
      <c r="I547" s="46" t="n">
        <v>-67.16</v>
      </c>
      <c r="J547" s="40" t="n">
        <v>0</v>
      </c>
      <c r="K547" s="46" t="n">
        <v>-100</v>
      </c>
      <c r="L547" s="40" t="n">
        <v>29941.93</v>
      </c>
      <c r="M547" s="40" t="n">
        <v>100</v>
      </c>
      <c r="N547" s="40" t="n">
        <v>0</v>
      </c>
      <c r="O547" s="46" t="n">
        <v>-100</v>
      </c>
      <c r="P547" s="40" t="n">
        <v>0</v>
      </c>
      <c r="Q547" s="40" t="n">
        <v>0</v>
      </c>
      <c r="R547" s="47" t="n"/>
      <c r="S547" s="47" t="n"/>
      <c r="T547" s="47" t="n"/>
      <c r="U547" s="47" t="n"/>
      <c r="V547" s="47" t="n"/>
      <c r="W547" s="47" t="n"/>
    </row>
    <row r="548" ht="11.25" customHeight="1">
      <c r="A548" s="30" t="inlineStr">
        <is>
          <t>Porto Real</t>
        </is>
      </c>
      <c r="B548" s="30" t="n">
        <v>86915162</v>
      </c>
      <c r="C548" s="30">
        <f>"02465242000348"</f>
        <v/>
      </c>
      <c r="D548" s="30" t="inlineStr">
        <is>
          <t>N S A BM TRANSPORTE E LOGISTICA LTDA EPP</t>
        </is>
      </c>
      <c r="E548" s="40" t="n">
        <v>7311.3</v>
      </c>
      <c r="F548" s="40" t="n">
        <v>85175.47</v>
      </c>
      <c r="G548" s="40" t="n">
        <v>1064.98</v>
      </c>
      <c r="H548" s="40" t="n">
        <v>37772.84</v>
      </c>
      <c r="I548" s="46" t="n">
        <v>-55.65</v>
      </c>
      <c r="J548" s="40" t="n">
        <v>1.14</v>
      </c>
      <c r="K548" s="46" t="n">
        <v>-100</v>
      </c>
      <c r="L548" s="40" t="n">
        <v>0</v>
      </c>
      <c r="M548" s="46" t="n">
        <v>-100</v>
      </c>
      <c r="N548" s="40" t="n">
        <v>0</v>
      </c>
      <c r="O548" s="40" t="n">
        <v>0</v>
      </c>
      <c r="P548" s="40" t="n">
        <v>0</v>
      </c>
      <c r="Q548" s="40" t="n">
        <v>0</v>
      </c>
      <c r="R548" s="47" t="n"/>
      <c r="S548" s="47" t="n"/>
      <c r="T548" s="47" t="n"/>
      <c r="U548" s="47" t="n"/>
      <c r="V548" s="47" t="n"/>
      <c r="W548" s="47" t="n"/>
    </row>
    <row r="549" ht="11.25" customHeight="1">
      <c r="A549" s="30" t="inlineStr">
        <is>
          <t>Porto Real</t>
        </is>
      </c>
      <c r="B549" s="30" t="n">
        <v>86939479</v>
      </c>
      <c r="C549" s="30">
        <f>"46515946000515"</f>
        <v/>
      </c>
      <c r="D549" s="30" t="inlineStr">
        <is>
          <t>NOVORUMO TRANSPORTES LTDA</t>
        </is>
      </c>
      <c r="E549" s="40" t="n">
        <v>26433.2</v>
      </c>
      <c r="F549" s="40" t="n">
        <v>0</v>
      </c>
      <c r="G549" s="46" t="n">
        <v>-100</v>
      </c>
      <c r="H549" s="40" t="n">
        <v>6467.69</v>
      </c>
      <c r="I549" s="40" t="n">
        <v>100</v>
      </c>
      <c r="J549" s="40" t="n">
        <v>185.45</v>
      </c>
      <c r="K549" s="46" t="n">
        <v>-97.13</v>
      </c>
      <c r="L549" s="40" t="n">
        <v>13756.59</v>
      </c>
      <c r="M549" s="40" t="n">
        <v>7317.95</v>
      </c>
      <c r="N549" s="40" t="n">
        <v>996.09</v>
      </c>
      <c r="O549" s="46" t="n">
        <v>-92.76000000000001</v>
      </c>
      <c r="P549" s="40" t="n">
        <v>0</v>
      </c>
      <c r="Q549" s="46" t="n">
        <v>-100</v>
      </c>
      <c r="R549" s="47" t="n"/>
      <c r="S549" s="47" t="n"/>
      <c r="T549" s="47" t="n"/>
      <c r="U549" s="47" t="n"/>
      <c r="V549" s="47" t="n"/>
      <c r="W549" s="47" t="n"/>
    </row>
    <row r="550" ht="11.25" customHeight="1">
      <c r="A550" s="30" t="inlineStr">
        <is>
          <t>Porto Real</t>
        </is>
      </c>
      <c r="B550" s="30" t="n">
        <v>86939541</v>
      </c>
      <c r="C550" s="30">
        <f>"61036141000582"</f>
        <v/>
      </c>
      <c r="D550" s="30" t="inlineStr">
        <is>
          <t>ISRINGHAUSEN INDUSTRIAL LTDA</t>
        </is>
      </c>
      <c r="E550" s="40" t="n">
        <v>0</v>
      </c>
      <c r="F550" s="40" t="n">
        <v>0</v>
      </c>
      <c r="G550" s="40" t="n">
        <v>0</v>
      </c>
      <c r="H550" s="40" t="n">
        <v>0</v>
      </c>
      <c r="I550" s="40" t="n">
        <v>0</v>
      </c>
      <c r="J550" s="40" t="n">
        <v>0</v>
      </c>
      <c r="K550" s="40" t="n">
        <v>0</v>
      </c>
      <c r="L550" s="40" t="n">
        <v>0</v>
      </c>
      <c r="M550" s="40" t="n">
        <v>0</v>
      </c>
      <c r="N550" s="40" t="n">
        <v>0</v>
      </c>
      <c r="O550" s="40" t="n">
        <v>0</v>
      </c>
      <c r="P550" s="40" t="n">
        <v>0</v>
      </c>
      <c r="Q550" s="40" t="n">
        <v>0</v>
      </c>
      <c r="R550" s="47" t="n"/>
      <c r="S550" s="47" t="n"/>
      <c r="T550" s="47" t="n"/>
      <c r="U550" s="47" t="n"/>
      <c r="V550" s="47" t="n"/>
      <c r="W550" s="47" t="n"/>
    </row>
    <row r="551" ht="11.25" customHeight="1">
      <c r="A551" s="30" t="inlineStr">
        <is>
          <t>Porto Real</t>
        </is>
      </c>
      <c r="B551" s="30" t="n">
        <v>86949423</v>
      </c>
      <c r="C551" s="30">
        <f>"02964147001956"</f>
        <v/>
      </c>
      <c r="D551" s="30" t="inlineStr">
        <is>
          <t>PACIFICO LOG LOGISTICA E TRANSPORTES EIRELI</t>
        </is>
      </c>
      <c r="E551" s="40" t="n">
        <v>0</v>
      </c>
      <c r="F551" s="40" t="n">
        <v>243.39</v>
      </c>
      <c r="G551" s="40" t="n">
        <v>100</v>
      </c>
      <c r="H551" s="40" t="n">
        <v>0</v>
      </c>
      <c r="I551" s="46" t="n">
        <v>-100</v>
      </c>
      <c r="J551" s="40" t="n">
        <v>0</v>
      </c>
      <c r="K551" s="40" t="n">
        <v>0</v>
      </c>
      <c r="L551" s="40" t="n">
        <v>0</v>
      </c>
      <c r="M551" s="40" t="n">
        <v>0</v>
      </c>
      <c r="N551" s="40" t="n">
        <v>0</v>
      </c>
      <c r="O551" s="40" t="n">
        <v>0</v>
      </c>
      <c r="P551" s="40" t="n">
        <v>0</v>
      </c>
      <c r="Q551" s="40" t="n">
        <v>0</v>
      </c>
      <c r="R551" s="47" t="n"/>
      <c r="S551" s="47" t="n"/>
      <c r="T551" s="47" t="n"/>
      <c r="U551" s="47" t="n"/>
      <c r="V551" s="47" t="n"/>
      <c r="W551" s="47" t="n"/>
    </row>
    <row r="552" ht="11.25" customHeight="1">
      <c r="A552" s="30" t="inlineStr">
        <is>
          <t>Porto Real</t>
        </is>
      </c>
      <c r="B552" s="30" t="n">
        <v>86965623</v>
      </c>
      <c r="C552" s="30">
        <f>"01464557000227"</f>
        <v/>
      </c>
      <c r="D552" s="30" t="inlineStr">
        <is>
          <t>LIKA &amp; FILHOS TRANSPORTES LTDA - EPP</t>
        </is>
      </c>
      <c r="E552" s="40" t="n">
        <v>0</v>
      </c>
      <c r="F552" s="40" t="n">
        <v>0</v>
      </c>
      <c r="G552" s="40" t="n">
        <v>0</v>
      </c>
      <c r="H552" s="40" t="n">
        <v>0</v>
      </c>
      <c r="I552" s="40" t="n">
        <v>0</v>
      </c>
      <c r="J552" s="40" t="n">
        <v>0</v>
      </c>
      <c r="K552" s="40" t="n">
        <v>0</v>
      </c>
      <c r="L552" s="40" t="n">
        <v>0</v>
      </c>
      <c r="M552" s="40" t="n">
        <v>0</v>
      </c>
      <c r="N552" s="40" t="n">
        <v>0</v>
      </c>
      <c r="O552" s="40" t="n">
        <v>0</v>
      </c>
      <c r="P552" s="40" t="n">
        <v>0</v>
      </c>
      <c r="Q552" s="40" t="n">
        <v>0</v>
      </c>
      <c r="R552" s="47" t="n"/>
      <c r="S552" s="47" t="n"/>
      <c r="T552" s="47" t="n"/>
      <c r="U552" s="47" t="n"/>
      <c r="V552" s="47" t="n"/>
      <c r="W552" s="47" t="n"/>
    </row>
    <row r="553" ht="11.25" customHeight="1">
      <c r="A553" s="30" t="inlineStr">
        <is>
          <t>Porto Real</t>
        </is>
      </c>
      <c r="B553" s="30" t="n">
        <v>86969963</v>
      </c>
      <c r="C553" s="30">
        <f>"22864378000176"</f>
        <v/>
      </c>
      <c r="D553" s="30" t="inlineStr">
        <is>
          <t>J F A DE PORTO REAL MATERIAL DE CONSTRUCAO LTDA ME</t>
        </is>
      </c>
      <c r="E553" s="40" t="n">
        <v>0</v>
      </c>
      <c r="F553" s="40" t="n">
        <v>0</v>
      </c>
      <c r="G553" s="40" t="n">
        <v>0</v>
      </c>
      <c r="H553" s="40" t="n">
        <v>0</v>
      </c>
      <c r="I553" s="40" t="n">
        <v>0</v>
      </c>
      <c r="J553" s="40" t="n">
        <v>0</v>
      </c>
      <c r="K553" s="40" t="n">
        <v>0</v>
      </c>
      <c r="L553" s="40" t="n">
        <v>0</v>
      </c>
      <c r="M553" s="40" t="n">
        <v>0</v>
      </c>
      <c r="N553" s="40" t="n">
        <v>0</v>
      </c>
      <c r="O553" s="40" t="n">
        <v>0</v>
      </c>
      <c r="P553" s="40" t="n">
        <v>0</v>
      </c>
      <c r="Q553" s="40" t="n">
        <v>0</v>
      </c>
      <c r="R553" s="47" t="n"/>
      <c r="S553" s="47" t="n"/>
      <c r="T553" s="47" t="n"/>
      <c r="U553" s="47" t="n"/>
      <c r="V553" s="47" t="n"/>
      <c r="W553" s="47" t="n"/>
    </row>
    <row r="554" ht="11.25" customHeight="1">
      <c r="A554" s="30" t="inlineStr">
        <is>
          <t>Porto Real</t>
        </is>
      </c>
      <c r="B554" s="30" t="n">
        <v>86990415</v>
      </c>
      <c r="C554" s="30">
        <f>"67405936001730"</f>
        <v/>
      </c>
      <c r="D554" s="30" t="inlineStr">
        <is>
          <t>PEUGEOT CITROEN DO BRASIL AUTOMOVEIS LTDA</t>
        </is>
      </c>
      <c r="E554" s="40" t="n">
        <v>0</v>
      </c>
      <c r="F554" s="40" t="n">
        <v>0</v>
      </c>
      <c r="G554" s="40" t="n">
        <v>0</v>
      </c>
      <c r="H554" s="40" t="n">
        <v>0</v>
      </c>
      <c r="I554" s="40" t="n">
        <v>0</v>
      </c>
      <c r="J554" s="40" t="n">
        <v>0</v>
      </c>
      <c r="K554" s="40" t="n">
        <v>0</v>
      </c>
      <c r="L554" s="40" t="n">
        <v>0</v>
      </c>
      <c r="M554" s="40" t="n">
        <v>0</v>
      </c>
      <c r="N554" s="40" t="n">
        <v>0</v>
      </c>
      <c r="O554" s="40" t="n">
        <v>0</v>
      </c>
      <c r="P554" s="40" t="n">
        <v>0</v>
      </c>
      <c r="Q554" s="40" t="n">
        <v>0</v>
      </c>
      <c r="R554" s="47" t="n"/>
      <c r="S554" s="47" t="n"/>
      <c r="T554" s="47" t="n"/>
      <c r="U554" s="47" t="n"/>
      <c r="V554" s="47" t="n"/>
      <c r="W554" s="47" t="n"/>
    </row>
    <row r="555" ht="11.25" customHeight="1">
      <c r="A555" s="30" t="inlineStr">
        <is>
          <t>Porto Real</t>
        </is>
      </c>
      <c r="B555" s="30" t="n">
        <v>86994178</v>
      </c>
      <c r="C555" s="30">
        <f>"53237962003140"</f>
        <v/>
      </c>
      <c r="D555" s="30" t="inlineStr">
        <is>
          <t>EMPRESA DE TRANSPORTES PAJUCARA LTDA</t>
        </is>
      </c>
      <c r="E555" s="40" t="n">
        <v>1008.42</v>
      </c>
      <c r="F555" s="40" t="n">
        <v>760598.97</v>
      </c>
      <c r="G555" s="40" t="n">
        <v>75324.82000000001</v>
      </c>
      <c r="H555" s="40" t="n">
        <v>1129498.6</v>
      </c>
      <c r="I555" s="40" t="n">
        <v>48.5</v>
      </c>
      <c r="J555" s="40" t="n">
        <v>825290.71</v>
      </c>
      <c r="K555" s="46" t="n">
        <v>-26.93</v>
      </c>
      <c r="L555" s="40" t="n">
        <v>1896516.27</v>
      </c>
      <c r="M555" s="40" t="n">
        <v>129.8</v>
      </c>
      <c r="N555" s="40" t="n">
        <v>1013149.85</v>
      </c>
      <c r="O555" s="46" t="n">
        <v>-46.58</v>
      </c>
      <c r="P555" s="40" t="n">
        <v>2572169.46</v>
      </c>
      <c r="Q555" s="40" t="n">
        <v>153.88</v>
      </c>
      <c r="R555" s="47" t="n"/>
      <c r="S555" s="47" t="n"/>
      <c r="T555" s="47" t="n"/>
      <c r="U555" s="47" t="n"/>
      <c r="V555" s="47" t="n"/>
      <c r="W555" s="47" t="n"/>
    </row>
    <row r="556" ht="11.25" customHeight="1">
      <c r="A556" s="30" t="inlineStr">
        <is>
          <t>Porto Real</t>
        </is>
      </c>
      <c r="B556" s="30" t="n">
        <v>86997177</v>
      </c>
      <c r="C556" s="30">
        <f>"23126330000123"</f>
        <v/>
      </c>
      <c r="D556" s="30" t="inlineStr">
        <is>
          <t>TRANSFUTURO LOGISTICA LTDA</t>
        </is>
      </c>
      <c r="E556" s="40" t="n">
        <v>0</v>
      </c>
      <c r="F556" s="40" t="n">
        <v>0</v>
      </c>
      <c r="G556" s="40" t="n">
        <v>0</v>
      </c>
      <c r="H556" s="40" t="n">
        <v>0</v>
      </c>
      <c r="I556" s="40" t="n">
        <v>0</v>
      </c>
      <c r="J556" s="40" t="n">
        <v>0</v>
      </c>
      <c r="K556" s="40" t="n">
        <v>0</v>
      </c>
      <c r="L556" s="40" t="n">
        <v>229224.92</v>
      </c>
      <c r="M556" s="40" t="n">
        <v>100</v>
      </c>
      <c r="N556" s="40" t="n">
        <v>1105663.49</v>
      </c>
      <c r="O556" s="40" t="n">
        <v>382.35</v>
      </c>
      <c r="P556" s="40" t="n">
        <v>0</v>
      </c>
      <c r="Q556" s="46" t="n">
        <v>-100</v>
      </c>
      <c r="R556" s="47" t="n"/>
      <c r="S556" s="47" t="n"/>
      <c r="T556" s="47" t="n"/>
      <c r="U556" s="47" t="n"/>
      <c r="V556" s="47" t="n"/>
      <c r="W556" s="47" t="n"/>
    </row>
    <row r="557" ht="11.25" customHeight="1">
      <c r="A557" s="30" t="inlineStr">
        <is>
          <t>Porto Real</t>
        </is>
      </c>
      <c r="B557" s="30" t="n">
        <v>86999412</v>
      </c>
      <c r="C557" s="30">
        <f>"01487509000254"</f>
        <v/>
      </c>
      <c r="D557" s="30" t="inlineStr">
        <is>
          <t>TRANSPORTES MUNHOZ &amp; MUNHOZ LTDA - EPP</t>
        </is>
      </c>
      <c r="E557" s="40" t="n">
        <v>0</v>
      </c>
      <c r="F557" s="40" t="n">
        <v>0</v>
      </c>
      <c r="G557" s="40" t="n">
        <v>0</v>
      </c>
      <c r="H557" s="40" t="n">
        <v>0</v>
      </c>
      <c r="I557" s="40" t="n">
        <v>0</v>
      </c>
      <c r="J557" s="40" t="n">
        <v>0</v>
      </c>
      <c r="K557" s="40" t="n">
        <v>0</v>
      </c>
      <c r="L557" s="40" t="n">
        <v>0</v>
      </c>
      <c r="M557" s="40" t="n">
        <v>0</v>
      </c>
      <c r="N557" s="40" t="n">
        <v>0</v>
      </c>
      <c r="O557" s="40" t="n">
        <v>0</v>
      </c>
      <c r="P557" s="40" t="n">
        <v>0</v>
      </c>
      <c r="Q557" s="40" t="n">
        <v>0</v>
      </c>
      <c r="R557" s="47" t="n"/>
      <c r="S557" s="47" t="n"/>
      <c r="T557" s="47" t="n"/>
      <c r="U557" s="47" t="n"/>
      <c r="V557" s="47" t="n"/>
      <c r="W557" s="47" t="n"/>
    </row>
    <row r="558" ht="11.25" customHeight="1">
      <c r="A558" s="30" t="inlineStr">
        <is>
          <t>Porto Real</t>
        </is>
      </c>
      <c r="B558" s="30" t="n">
        <v>86999447</v>
      </c>
      <c r="C558" s="30">
        <f>"22499482000109"</f>
        <v/>
      </c>
      <c r="D558" s="30" t="inlineStr">
        <is>
          <t>DOUGLAS SANTOS SILVA TRANSPORTES EIRELI - ME</t>
        </is>
      </c>
      <c r="E558" s="40" t="n">
        <v>0</v>
      </c>
      <c r="F558" s="40" t="n">
        <v>0</v>
      </c>
      <c r="G558" s="40" t="n">
        <v>0</v>
      </c>
      <c r="H558" s="40" t="n">
        <v>0</v>
      </c>
      <c r="I558" s="40" t="n">
        <v>0</v>
      </c>
      <c r="J558" s="40" t="n">
        <v>0</v>
      </c>
      <c r="K558" s="40" t="n">
        <v>0</v>
      </c>
      <c r="L558" s="40" t="n">
        <v>0</v>
      </c>
      <c r="M558" s="40" t="n">
        <v>0</v>
      </c>
      <c r="N558" s="40" t="n">
        <v>0</v>
      </c>
      <c r="O558" s="40" t="n">
        <v>0</v>
      </c>
      <c r="P558" s="40" t="n">
        <v>0</v>
      </c>
      <c r="Q558" s="40" t="n">
        <v>0</v>
      </c>
      <c r="R558" s="47" t="n"/>
      <c r="S558" s="47" t="n"/>
      <c r="T558" s="47" t="n"/>
      <c r="U558" s="47" t="n"/>
      <c r="V558" s="47" t="n"/>
      <c r="W558" s="47" t="n"/>
    </row>
    <row r="559" ht="11.25" customHeight="1">
      <c r="A559" s="30" t="inlineStr">
        <is>
          <t>Porto Real</t>
        </is>
      </c>
      <c r="B559" s="30" t="n">
        <v>86999455</v>
      </c>
      <c r="C559" s="30">
        <f>"07827837000239"</f>
        <v/>
      </c>
      <c r="D559" s="30" t="inlineStr">
        <is>
          <t>DUCOR DEI TRANSPORTES RODOVIARIO LTDA - ME</t>
        </is>
      </c>
      <c r="E559" s="40" t="n">
        <v>0</v>
      </c>
      <c r="F559" s="40" t="n">
        <v>0</v>
      </c>
      <c r="G559" s="40" t="n">
        <v>0</v>
      </c>
      <c r="H559" s="40" t="n">
        <v>0</v>
      </c>
      <c r="I559" s="40" t="n">
        <v>0</v>
      </c>
      <c r="J559" s="40" t="n">
        <v>0</v>
      </c>
      <c r="K559" s="40" t="n">
        <v>0</v>
      </c>
      <c r="L559" s="40" t="n">
        <v>0</v>
      </c>
      <c r="M559" s="40" t="n">
        <v>0</v>
      </c>
      <c r="N559" s="40" t="n">
        <v>0</v>
      </c>
      <c r="O559" s="40" t="n">
        <v>0</v>
      </c>
      <c r="P559" s="40" t="n">
        <v>0</v>
      </c>
      <c r="Q559" s="40" t="n">
        <v>0</v>
      </c>
      <c r="R559" s="47" t="n"/>
      <c r="S559" s="47" t="n"/>
      <c r="T559" s="47" t="n"/>
      <c r="U559" s="47" t="n"/>
      <c r="V559" s="47" t="n"/>
      <c r="W559" s="47" t="n"/>
    </row>
    <row r="560" ht="11.25" customHeight="1">
      <c r="A560" s="30" t="inlineStr">
        <is>
          <t>Porto Real</t>
        </is>
      </c>
      <c r="B560" s="30" t="n">
        <v>86999463</v>
      </c>
      <c r="C560" s="30">
        <f>"02730875000255"</f>
        <v/>
      </c>
      <c r="D560" s="30" t="inlineStr">
        <is>
          <t>TRANSGUIMA LTDA - EPP</t>
        </is>
      </c>
      <c r="E560" s="40" t="n">
        <v>0</v>
      </c>
      <c r="F560" s="40" t="n">
        <v>0</v>
      </c>
      <c r="G560" s="40" t="n">
        <v>0</v>
      </c>
      <c r="H560" s="40" t="n">
        <v>0</v>
      </c>
      <c r="I560" s="40" t="n">
        <v>0</v>
      </c>
      <c r="J560" s="40" t="n">
        <v>0</v>
      </c>
      <c r="K560" s="40" t="n">
        <v>0</v>
      </c>
      <c r="L560" s="40" t="n">
        <v>0</v>
      </c>
      <c r="M560" s="40" t="n">
        <v>0</v>
      </c>
      <c r="N560" s="40" t="n">
        <v>0</v>
      </c>
      <c r="O560" s="40" t="n">
        <v>0</v>
      </c>
      <c r="P560" s="40" t="n">
        <v>0</v>
      </c>
      <c r="Q560" s="40" t="n">
        <v>0</v>
      </c>
      <c r="R560" s="47" t="n"/>
      <c r="S560" s="47" t="n"/>
      <c r="T560" s="47" t="n"/>
      <c r="U560" s="47" t="n"/>
      <c r="V560" s="47" t="n"/>
      <c r="W560" s="47" t="n"/>
    </row>
    <row r="561" ht="11.25" customHeight="1">
      <c r="A561" s="30" t="inlineStr">
        <is>
          <t>Porto Real</t>
        </is>
      </c>
      <c r="B561" s="30" t="n">
        <v>86999552</v>
      </c>
      <c r="C561" s="30">
        <f>"01424847000247"</f>
        <v/>
      </c>
      <c r="D561" s="30" t="inlineStr">
        <is>
          <t>ROTIVOIAC TRANSPORTES LTDA - EPP</t>
        </is>
      </c>
      <c r="E561" s="40" t="n">
        <v>0</v>
      </c>
      <c r="F561" s="40" t="n">
        <v>0</v>
      </c>
      <c r="G561" s="40" t="n">
        <v>0</v>
      </c>
      <c r="H561" s="40" t="n">
        <v>0</v>
      </c>
      <c r="I561" s="40" t="n">
        <v>0</v>
      </c>
      <c r="J561" s="40" t="n">
        <v>0</v>
      </c>
      <c r="K561" s="40" t="n">
        <v>0</v>
      </c>
      <c r="L561" s="40" t="n">
        <v>0</v>
      </c>
      <c r="M561" s="40" t="n">
        <v>0</v>
      </c>
      <c r="N561" s="40" t="n">
        <v>0</v>
      </c>
      <c r="O561" s="40" t="n">
        <v>0</v>
      </c>
      <c r="P561" s="40" t="n">
        <v>0</v>
      </c>
      <c r="Q561" s="40" t="n">
        <v>0</v>
      </c>
      <c r="R561" s="47" t="n"/>
      <c r="S561" s="47" t="n"/>
      <c r="T561" s="47" t="n"/>
      <c r="U561" s="47" t="n"/>
      <c r="V561" s="47" t="n"/>
      <c r="W561" s="47" t="n"/>
    </row>
    <row r="562" ht="11.25" customHeight="1">
      <c r="A562" s="30" t="inlineStr">
        <is>
          <t>Porto Real</t>
        </is>
      </c>
      <c r="B562" s="30" t="n">
        <v>86999617</v>
      </c>
      <c r="C562" s="30">
        <f>"21418273000201"</f>
        <v/>
      </c>
      <c r="D562" s="30" t="inlineStr">
        <is>
          <t>NOSSA SENHORA DO CARMO TRANSPORTES EIRELI</t>
        </is>
      </c>
      <c r="E562" s="40" t="n">
        <v>0</v>
      </c>
      <c r="F562" s="40" t="n">
        <v>0</v>
      </c>
      <c r="G562" s="40" t="n">
        <v>0</v>
      </c>
      <c r="H562" s="40" t="n">
        <v>0</v>
      </c>
      <c r="I562" s="40" t="n">
        <v>0</v>
      </c>
      <c r="J562" s="40" t="n">
        <v>0</v>
      </c>
      <c r="K562" s="40" t="n">
        <v>0</v>
      </c>
      <c r="L562" s="40" t="n">
        <v>0</v>
      </c>
      <c r="M562" s="40" t="n">
        <v>0</v>
      </c>
      <c r="N562" s="40" t="n">
        <v>0</v>
      </c>
      <c r="O562" s="40" t="n">
        <v>0</v>
      </c>
      <c r="P562" s="40" t="n">
        <v>0</v>
      </c>
      <c r="Q562" s="40" t="n">
        <v>0</v>
      </c>
      <c r="R562" s="47" t="n"/>
      <c r="S562" s="47" t="n"/>
      <c r="T562" s="47" t="n"/>
      <c r="U562" s="47" t="n"/>
      <c r="V562" s="47" t="n"/>
      <c r="W562" s="47" t="n"/>
    </row>
    <row r="563" ht="11.25" customHeight="1">
      <c r="A563" s="30" t="inlineStr">
        <is>
          <t>Porto Real</t>
        </is>
      </c>
      <c r="B563" s="30" t="n">
        <v>87001687</v>
      </c>
      <c r="C563" s="30">
        <f>"05114551000280"</f>
        <v/>
      </c>
      <c r="D563" s="30" t="inlineStr">
        <is>
          <t>LUIZ TAKAO YAMASAKI TRANSPORTES - EPP</t>
        </is>
      </c>
      <c r="E563" s="40" t="n">
        <v>0</v>
      </c>
      <c r="F563" s="40" t="n">
        <v>0</v>
      </c>
      <c r="G563" s="40" t="n">
        <v>0</v>
      </c>
      <c r="H563" s="40" t="n">
        <v>0</v>
      </c>
      <c r="I563" s="40" t="n">
        <v>0</v>
      </c>
      <c r="J563" s="40" t="n">
        <v>0</v>
      </c>
      <c r="K563" s="40" t="n">
        <v>0</v>
      </c>
      <c r="L563" s="40" t="n">
        <v>0</v>
      </c>
      <c r="M563" s="40" t="n">
        <v>0</v>
      </c>
      <c r="N563" s="40" t="n">
        <v>0</v>
      </c>
      <c r="O563" s="40" t="n">
        <v>0</v>
      </c>
      <c r="P563" s="40" t="n">
        <v>0</v>
      </c>
      <c r="Q563" s="40" t="n">
        <v>0</v>
      </c>
      <c r="R563" s="47" t="n"/>
      <c r="S563" s="47" t="n"/>
      <c r="T563" s="47" t="n"/>
      <c r="U563" s="47" t="n"/>
      <c r="V563" s="47" t="n"/>
      <c r="W563" s="47" t="n"/>
    </row>
    <row r="564" ht="11.25" customHeight="1">
      <c r="A564" s="30" t="inlineStr">
        <is>
          <t>Porto Real</t>
        </is>
      </c>
      <c r="B564" s="30" t="n">
        <v>87001695</v>
      </c>
      <c r="C564" s="30">
        <f>"02261648000228"</f>
        <v/>
      </c>
      <c r="D564" s="30" t="inlineStr">
        <is>
          <t>ADILSON ROBERTO BENTO TRANSPORTES - EPP</t>
        </is>
      </c>
      <c r="E564" s="40" t="n">
        <v>0</v>
      </c>
      <c r="F564" s="40" t="n">
        <v>0</v>
      </c>
      <c r="G564" s="40" t="n">
        <v>0</v>
      </c>
      <c r="H564" s="40" t="n">
        <v>0</v>
      </c>
      <c r="I564" s="40" t="n">
        <v>0</v>
      </c>
      <c r="J564" s="40" t="n">
        <v>0</v>
      </c>
      <c r="K564" s="40" t="n">
        <v>0</v>
      </c>
      <c r="L564" s="40" t="n">
        <v>0</v>
      </c>
      <c r="M564" s="40" t="n">
        <v>0</v>
      </c>
      <c r="N564" s="40" t="n">
        <v>0</v>
      </c>
      <c r="O564" s="40" t="n">
        <v>0</v>
      </c>
      <c r="P564" s="40" t="n">
        <v>0</v>
      </c>
      <c r="Q564" s="40" t="n">
        <v>0</v>
      </c>
      <c r="R564" s="47" t="n"/>
      <c r="S564" s="47" t="n"/>
      <c r="T564" s="47" t="n"/>
      <c r="U564" s="47" t="n"/>
      <c r="V564" s="47" t="n"/>
      <c r="W564" s="47" t="n"/>
    </row>
    <row r="565" ht="11.25" customHeight="1">
      <c r="A565" s="30" t="inlineStr">
        <is>
          <t>Porto Real</t>
        </is>
      </c>
      <c r="B565" s="30" t="n">
        <v>87001709</v>
      </c>
      <c r="C565" s="30">
        <f>"03043192000292"</f>
        <v/>
      </c>
      <c r="D565" s="30" t="inlineStr">
        <is>
          <t>TRANS CREPALDI TRANSPORTES RODOVIARIO LTDA - ME</t>
        </is>
      </c>
      <c r="E565" s="40" t="n">
        <v>0</v>
      </c>
      <c r="F565" s="40" t="n">
        <v>0</v>
      </c>
      <c r="G565" s="40" t="n">
        <v>0</v>
      </c>
      <c r="H565" s="40" t="n">
        <v>0</v>
      </c>
      <c r="I565" s="40" t="n">
        <v>0</v>
      </c>
      <c r="J565" s="40" t="n">
        <v>0</v>
      </c>
      <c r="K565" s="40" t="n">
        <v>0</v>
      </c>
      <c r="L565" s="40" t="n">
        <v>0</v>
      </c>
      <c r="M565" s="40" t="n">
        <v>0</v>
      </c>
      <c r="N565" s="40" t="n">
        <v>0</v>
      </c>
      <c r="O565" s="40" t="n">
        <v>0</v>
      </c>
      <c r="P565" s="40" t="n">
        <v>0</v>
      </c>
      <c r="Q565" s="40" t="n">
        <v>0</v>
      </c>
      <c r="R565" s="47" t="n"/>
      <c r="S565" s="47" t="n"/>
      <c r="T565" s="47" t="n"/>
      <c r="U565" s="47" t="n"/>
      <c r="V565" s="47" t="n"/>
      <c r="W565" s="47" t="n"/>
    </row>
    <row r="566" ht="11.25" customHeight="1">
      <c r="A566" s="30" t="inlineStr">
        <is>
          <t>Porto Real</t>
        </is>
      </c>
      <c r="B566" s="30" t="n">
        <v>87012409</v>
      </c>
      <c r="C566" s="30">
        <f>"09913147001038"</f>
        <v/>
      </c>
      <c r="D566" s="30" t="inlineStr">
        <is>
          <t>FL LOGISTICA BRASIL LTDA</t>
        </is>
      </c>
      <c r="E566" s="40" t="n">
        <v>15073.15</v>
      </c>
      <c r="F566" s="40" t="n">
        <v>481833.38</v>
      </c>
      <c r="G566" s="40" t="n">
        <v>3096.63</v>
      </c>
      <c r="H566" s="40" t="n">
        <v>1273127.13</v>
      </c>
      <c r="I566" s="40" t="n">
        <v>164.23</v>
      </c>
      <c r="J566" s="40" t="n">
        <v>0</v>
      </c>
      <c r="K566" s="46" t="n">
        <v>-100</v>
      </c>
      <c r="L566" s="40" t="n">
        <v>0</v>
      </c>
      <c r="M566" s="40" t="n">
        <v>0</v>
      </c>
      <c r="N566" s="40" t="n">
        <v>0</v>
      </c>
      <c r="O566" s="40" t="n">
        <v>0</v>
      </c>
      <c r="P566" s="40" t="n">
        <v>0</v>
      </c>
      <c r="Q566" s="40" t="n">
        <v>0</v>
      </c>
      <c r="R566" s="47" t="n"/>
      <c r="S566" s="47" t="n"/>
      <c r="T566" s="47" t="n"/>
      <c r="U566" s="47" t="n"/>
      <c r="V566" s="47" t="n"/>
      <c r="W566" s="47" t="n"/>
    </row>
    <row r="567" ht="11.25" customHeight="1">
      <c r="A567" s="30" t="inlineStr">
        <is>
          <t>Porto Real</t>
        </is>
      </c>
      <c r="B567" s="30" t="n">
        <v>87012930</v>
      </c>
      <c r="C567" s="30">
        <f>"00608044000280"</f>
        <v/>
      </c>
      <c r="D567" s="30" t="inlineStr">
        <is>
          <t>TREIS TRANSPORTES RODOVIARIOS LTDA - EPP</t>
        </is>
      </c>
      <c r="E567" s="40" t="n">
        <v>0</v>
      </c>
      <c r="F567" s="40" t="n">
        <v>0</v>
      </c>
      <c r="G567" s="40" t="n">
        <v>0</v>
      </c>
      <c r="H567" s="40" t="n">
        <v>0</v>
      </c>
      <c r="I567" s="40" t="n">
        <v>0</v>
      </c>
      <c r="J567" s="40" t="n">
        <v>0</v>
      </c>
      <c r="K567" s="40" t="n">
        <v>0</v>
      </c>
      <c r="L567" s="40" t="n">
        <v>0</v>
      </c>
      <c r="M567" s="40" t="n">
        <v>0</v>
      </c>
      <c r="N567" s="40" t="n">
        <v>0</v>
      </c>
      <c r="O567" s="40" t="n">
        <v>0</v>
      </c>
      <c r="P567" s="40" t="n">
        <v>0</v>
      </c>
      <c r="Q567" s="40" t="n">
        <v>0</v>
      </c>
      <c r="R567" s="47" t="n"/>
      <c r="S567" s="47" t="n"/>
      <c r="T567" s="47" t="n"/>
      <c r="U567" s="47" t="n"/>
      <c r="V567" s="47" t="n"/>
      <c r="W567" s="47" t="n"/>
    </row>
    <row r="568" ht="11.25" customHeight="1">
      <c r="A568" s="30" t="inlineStr">
        <is>
          <t>Porto Real</t>
        </is>
      </c>
      <c r="B568" s="30" t="n">
        <v>87013812</v>
      </c>
      <c r="C568" s="30">
        <f>"14205893000388"</f>
        <v/>
      </c>
      <c r="D568" s="30" t="inlineStr">
        <is>
          <t>TRANSBEP LOGISTICA LTDA</t>
        </is>
      </c>
      <c r="E568" s="40" t="n">
        <v>0</v>
      </c>
      <c r="F568" s="40" t="n">
        <v>0</v>
      </c>
      <c r="G568" s="40" t="n">
        <v>0</v>
      </c>
      <c r="H568" s="40" t="n">
        <v>0</v>
      </c>
      <c r="I568" s="40" t="n">
        <v>0</v>
      </c>
      <c r="J568" s="40" t="n">
        <v>0</v>
      </c>
      <c r="K568" s="40" t="n">
        <v>0</v>
      </c>
      <c r="L568" s="40" t="n">
        <v>0</v>
      </c>
      <c r="M568" s="40" t="n">
        <v>0</v>
      </c>
      <c r="N568" s="40" t="n">
        <v>0</v>
      </c>
      <c r="O568" s="40" t="n">
        <v>0</v>
      </c>
      <c r="P568" s="40" t="n">
        <v>0</v>
      </c>
      <c r="Q568" s="40" t="n">
        <v>0</v>
      </c>
      <c r="R568" s="47" t="n"/>
      <c r="S568" s="47" t="n"/>
      <c r="T568" s="47" t="n"/>
      <c r="U568" s="47" t="n"/>
      <c r="V568" s="47" t="n"/>
      <c r="W568" s="47" t="n"/>
    </row>
    <row r="569" ht="11.25" customHeight="1">
      <c r="A569" s="30" t="inlineStr">
        <is>
          <t>Porto Real</t>
        </is>
      </c>
      <c r="B569" s="30" t="n">
        <v>87013952</v>
      </c>
      <c r="C569" s="30">
        <f>"05886614003585"</f>
        <v/>
      </c>
      <c r="D569" s="30" t="inlineStr">
        <is>
          <t>DIRECT EXPRESS LOGISTICA INTEGRADA S/A</t>
        </is>
      </c>
      <c r="E569" s="40" t="n">
        <v>2000.28</v>
      </c>
      <c r="F569" s="40" t="n">
        <v>0</v>
      </c>
      <c r="G569" s="46" t="n">
        <v>-100</v>
      </c>
      <c r="H569" s="40" t="n">
        <v>0</v>
      </c>
      <c r="I569" s="40" t="n">
        <v>0</v>
      </c>
      <c r="J569" s="40" t="n">
        <v>0</v>
      </c>
      <c r="K569" s="40" t="n">
        <v>0</v>
      </c>
      <c r="L569" s="40" t="n">
        <v>0</v>
      </c>
      <c r="M569" s="40" t="n">
        <v>0</v>
      </c>
      <c r="N569" s="40" t="n">
        <v>0</v>
      </c>
      <c r="O569" s="40" t="n">
        <v>0</v>
      </c>
      <c r="P569" s="40" t="n">
        <v>0</v>
      </c>
      <c r="Q569" s="40" t="n">
        <v>0</v>
      </c>
      <c r="R569" s="47" t="n"/>
      <c r="S569" s="47" t="n"/>
      <c r="T569" s="47" t="n"/>
      <c r="U569" s="47" t="n"/>
      <c r="V569" s="47" t="n"/>
      <c r="W569" s="47" t="n"/>
    </row>
    <row r="570" ht="11.25" customHeight="1">
      <c r="A570" s="30" t="inlineStr">
        <is>
          <t>Porto Real</t>
        </is>
      </c>
      <c r="B570" s="30" t="n">
        <v>87014169</v>
      </c>
      <c r="C570" s="30">
        <f>"01743404000804"</f>
        <v/>
      </c>
      <c r="D570" s="30" t="inlineStr">
        <is>
          <t>FAVORITA TRANSPORTES LTDA</t>
        </is>
      </c>
      <c r="E570" s="40" t="n">
        <v>0</v>
      </c>
      <c r="F570" s="40" t="n">
        <v>555056.98</v>
      </c>
      <c r="G570" s="40" t="n">
        <v>100</v>
      </c>
      <c r="H570" s="40" t="n">
        <v>594729.6</v>
      </c>
      <c r="I570" s="40" t="n">
        <v>7.15</v>
      </c>
      <c r="J570" s="40" t="n">
        <v>304074.79</v>
      </c>
      <c r="K570" s="46" t="n">
        <v>-48.87</v>
      </c>
      <c r="L570" s="40" t="n">
        <v>298544.27</v>
      </c>
      <c r="M570" s="46" t="n">
        <v>-1.82</v>
      </c>
      <c r="N570" s="40" t="n">
        <v>520700.63</v>
      </c>
      <c r="O570" s="40" t="n">
        <v>74.41</v>
      </c>
      <c r="P570" s="40" t="n">
        <v>809879.36</v>
      </c>
      <c r="Q570" s="40" t="n">
        <v>55.54</v>
      </c>
      <c r="R570" s="47" t="n"/>
      <c r="S570" s="47" t="n"/>
      <c r="T570" s="47" t="n"/>
      <c r="U570" s="47" t="n"/>
      <c r="V570" s="47" t="n"/>
      <c r="W570" s="47" t="n"/>
    </row>
    <row r="571" ht="11.25" customHeight="1">
      <c r="A571" s="30" t="inlineStr">
        <is>
          <t>Porto Real</t>
        </is>
      </c>
      <c r="B571" s="30" t="n">
        <v>87023460</v>
      </c>
      <c r="C571" s="30">
        <f>"03469066000385"</f>
        <v/>
      </c>
      <c r="D571" s="30" t="inlineStr">
        <is>
          <t>TELECARGO ENCOMENDAS EXPRESSAS LTDA</t>
        </is>
      </c>
      <c r="E571" s="40" t="n">
        <v>0</v>
      </c>
      <c r="F571" s="40" t="n">
        <v>0</v>
      </c>
      <c r="G571" s="40" t="n">
        <v>0</v>
      </c>
      <c r="H571" s="40" t="n">
        <v>495983.57</v>
      </c>
      <c r="I571" s="40" t="n">
        <v>100</v>
      </c>
      <c r="J571" s="40" t="n">
        <v>1126315.6</v>
      </c>
      <c r="K571" s="40" t="n">
        <v>127.09</v>
      </c>
      <c r="L571" s="40" t="n">
        <v>292424.22</v>
      </c>
      <c r="M571" s="46" t="n">
        <v>-74.04000000000001</v>
      </c>
      <c r="N571" s="40" t="n">
        <v>0</v>
      </c>
      <c r="O571" s="46" t="n">
        <v>-100</v>
      </c>
      <c r="P571" s="40" t="n">
        <v>0</v>
      </c>
      <c r="Q571" s="40" t="n">
        <v>0</v>
      </c>
      <c r="R571" s="47" t="n"/>
      <c r="S571" s="47" t="n"/>
      <c r="T571" s="47" t="n"/>
      <c r="U571" s="47" t="n"/>
      <c r="V571" s="47" t="n"/>
      <c r="W571" s="47" t="n"/>
    </row>
    <row r="572" ht="11.25" customHeight="1">
      <c r="A572" s="30" t="inlineStr">
        <is>
          <t>Porto Real</t>
        </is>
      </c>
      <c r="B572" s="30" t="n">
        <v>87030946</v>
      </c>
      <c r="C572" s="30">
        <f>"91830836004085"</f>
        <v/>
      </c>
      <c r="D572" s="30" t="inlineStr">
        <is>
          <t>OLFAR S/A - ALIMENTO E ENERGIA</t>
        </is>
      </c>
      <c r="E572" s="40" t="n">
        <v>0</v>
      </c>
      <c r="F572" s="40" t="n">
        <v>17717194.82</v>
      </c>
      <c r="G572" s="40" t="n">
        <v>100</v>
      </c>
      <c r="H572" s="40" t="n">
        <v>9820714.17</v>
      </c>
      <c r="I572" s="46" t="n">
        <v>-44.57</v>
      </c>
      <c r="J572" s="40" t="n">
        <v>37012042.5</v>
      </c>
      <c r="K572" s="40" t="n">
        <v>276.88</v>
      </c>
      <c r="L572" s="40" t="n">
        <v>0</v>
      </c>
      <c r="M572" s="46" t="n">
        <v>-100</v>
      </c>
      <c r="N572" s="40" t="n">
        <v>0</v>
      </c>
      <c r="O572" s="40" t="n">
        <v>0</v>
      </c>
      <c r="P572" s="40" t="n">
        <v>104876551.41</v>
      </c>
      <c r="Q572" s="40" t="n">
        <v>100</v>
      </c>
      <c r="R572" s="47" t="n"/>
      <c r="S572" s="47" t="n"/>
      <c r="T572" s="47" t="n"/>
      <c r="U572" s="47" t="n"/>
      <c r="V572" s="47" t="n"/>
      <c r="W572" s="47" t="n"/>
    </row>
    <row r="573" ht="11.25" customHeight="1">
      <c r="A573" s="30" t="inlineStr">
        <is>
          <t>Porto Real</t>
        </is>
      </c>
      <c r="B573" s="30" t="n">
        <v>87042308</v>
      </c>
      <c r="C573" s="30">
        <f>"23547963000105"</f>
        <v/>
      </c>
      <c r="D573" s="30" t="inlineStr">
        <is>
          <t>PORT CONSTRUTORA LTDA</t>
        </is>
      </c>
      <c r="E573" s="40" t="n">
        <v>0</v>
      </c>
      <c r="F573" s="40" t="n">
        <v>0</v>
      </c>
      <c r="G573" s="40" t="n">
        <v>0</v>
      </c>
      <c r="H573" s="40" t="n">
        <v>0</v>
      </c>
      <c r="I573" s="40" t="n">
        <v>0</v>
      </c>
      <c r="J573" s="40" t="n">
        <v>0</v>
      </c>
      <c r="K573" s="40" t="n">
        <v>0</v>
      </c>
      <c r="L573" s="40" t="n">
        <v>0</v>
      </c>
      <c r="M573" s="40" t="n">
        <v>0</v>
      </c>
      <c r="N573" s="40" t="n">
        <v>0</v>
      </c>
      <c r="O573" s="40" t="n">
        <v>0</v>
      </c>
      <c r="P573" s="40" t="n">
        <v>0</v>
      </c>
      <c r="Q573" s="40" t="n">
        <v>0</v>
      </c>
      <c r="R573" s="47" t="n"/>
      <c r="S573" s="47" t="n"/>
      <c r="T573" s="47" t="n"/>
      <c r="U573" s="47" t="n"/>
      <c r="V573" s="47" t="n"/>
      <c r="W573" s="47" t="n"/>
    </row>
    <row r="574" ht="11.25" customHeight="1">
      <c r="A574" s="30" t="inlineStr">
        <is>
          <t>Porto Real</t>
        </is>
      </c>
      <c r="B574" s="30" t="n">
        <v>87059910</v>
      </c>
      <c r="C574" s="30">
        <f>"23749250000124"</f>
        <v/>
      </c>
      <c r="D574" s="30" t="inlineStr">
        <is>
          <t>SUELLEN CARRIJO DE ALMEIDA COMERCIO DE GLP</t>
        </is>
      </c>
      <c r="E574" s="40" t="n">
        <v>142717.74</v>
      </c>
      <c r="F574" s="40" t="n">
        <v>168020.12</v>
      </c>
      <c r="G574" s="40" t="n">
        <v>17.73</v>
      </c>
      <c r="H574" s="40" t="n">
        <v>0</v>
      </c>
      <c r="I574" s="46" t="n">
        <v>-100</v>
      </c>
      <c r="J574" s="40" t="n">
        <v>0</v>
      </c>
      <c r="K574" s="40" t="n">
        <v>0</v>
      </c>
      <c r="L574" s="40" t="n">
        <v>0</v>
      </c>
      <c r="M574" s="40" t="n">
        <v>0</v>
      </c>
      <c r="N574" s="40" t="n">
        <v>0</v>
      </c>
      <c r="O574" s="40" t="n">
        <v>0</v>
      </c>
      <c r="P574" s="40" t="n">
        <v>0</v>
      </c>
      <c r="Q574" s="40" t="n">
        <v>0</v>
      </c>
      <c r="R574" s="47" t="n"/>
      <c r="S574" s="47" t="n"/>
      <c r="T574" s="47" t="n"/>
      <c r="U574" s="47" t="n"/>
      <c r="V574" s="47" t="n"/>
      <c r="W574" s="47" t="n"/>
    </row>
    <row r="575" ht="11.25" customHeight="1">
      <c r="A575" s="30" t="inlineStr">
        <is>
          <t>Porto Real</t>
        </is>
      </c>
      <c r="B575" s="30" t="n">
        <v>87063771</v>
      </c>
      <c r="C575" s="30">
        <f>"01489122000580"</f>
        <v/>
      </c>
      <c r="D575" s="30" t="inlineStr">
        <is>
          <t>TJ4 TRANSPORTES LTDA</t>
        </is>
      </c>
      <c r="E575" s="40" t="n">
        <v>0</v>
      </c>
      <c r="F575" s="40" t="n">
        <v>0</v>
      </c>
      <c r="G575" s="40" t="n">
        <v>0</v>
      </c>
      <c r="H575" s="40" t="n">
        <v>0</v>
      </c>
      <c r="I575" s="40" t="n">
        <v>0</v>
      </c>
      <c r="J575" s="40" t="n">
        <v>0</v>
      </c>
      <c r="K575" s="40" t="n">
        <v>0</v>
      </c>
      <c r="L575" s="40" t="n">
        <v>0</v>
      </c>
      <c r="M575" s="40" t="n">
        <v>0</v>
      </c>
      <c r="N575" s="40" t="n">
        <v>0</v>
      </c>
      <c r="O575" s="40" t="n">
        <v>0</v>
      </c>
      <c r="P575" s="40" t="n">
        <v>463.48</v>
      </c>
      <c r="Q575" s="40" t="n">
        <v>100</v>
      </c>
      <c r="R575" s="47" t="n"/>
      <c r="S575" s="47" t="n"/>
      <c r="T575" s="47" t="n"/>
      <c r="U575" s="47" t="n"/>
      <c r="V575" s="47" t="n"/>
      <c r="W575" s="47" t="n"/>
    </row>
    <row r="576" ht="11.25" customHeight="1">
      <c r="A576" s="30" t="inlineStr">
        <is>
          <t>Porto Real</t>
        </is>
      </c>
      <c r="B576" s="30" t="n">
        <v>87067378</v>
      </c>
      <c r="C576" s="30">
        <f>"00789764000299"</f>
        <v/>
      </c>
      <c r="D576" s="30" t="inlineStr">
        <is>
          <t>PASQUALINI TRANSPORTES LTDA - EPP</t>
        </is>
      </c>
      <c r="E576" s="40" t="n">
        <v>0</v>
      </c>
      <c r="F576" s="40" t="n">
        <v>0</v>
      </c>
      <c r="G576" s="40" t="n">
        <v>0</v>
      </c>
      <c r="H576" s="40" t="n">
        <v>0</v>
      </c>
      <c r="I576" s="40" t="n">
        <v>0</v>
      </c>
      <c r="J576" s="40" t="n">
        <v>0</v>
      </c>
      <c r="K576" s="40" t="n">
        <v>0</v>
      </c>
      <c r="L576" s="40" t="n">
        <v>0</v>
      </c>
      <c r="M576" s="40" t="n">
        <v>0</v>
      </c>
      <c r="N576" s="40" t="n">
        <v>0</v>
      </c>
      <c r="O576" s="40" t="n">
        <v>0</v>
      </c>
      <c r="P576" s="40" t="n">
        <v>0</v>
      </c>
      <c r="Q576" s="40" t="n">
        <v>0</v>
      </c>
      <c r="R576" s="47" t="n"/>
      <c r="S576" s="47" t="n"/>
      <c r="T576" s="47" t="n"/>
      <c r="U576" s="47" t="n"/>
      <c r="V576" s="47" t="n"/>
      <c r="W576" s="47" t="n"/>
    </row>
    <row r="577" ht="11.25" customHeight="1">
      <c r="A577" s="30" t="inlineStr">
        <is>
          <t>Porto Real</t>
        </is>
      </c>
      <c r="B577" s="30" t="n">
        <v>87069567</v>
      </c>
      <c r="C577" s="30">
        <f>"00687130000225"</f>
        <v/>
      </c>
      <c r="D577" s="30" t="inlineStr">
        <is>
          <t>TRANSCARMO TRANSPORTES LTDA - EPP</t>
        </is>
      </c>
      <c r="E577" s="40" t="n">
        <v>0</v>
      </c>
      <c r="F577" s="40" t="n">
        <v>0</v>
      </c>
      <c r="G577" s="40" t="n">
        <v>0</v>
      </c>
      <c r="H577" s="40" t="n">
        <v>0</v>
      </c>
      <c r="I577" s="40" t="n">
        <v>0</v>
      </c>
      <c r="J577" s="40" t="n">
        <v>0</v>
      </c>
      <c r="K577" s="40" t="n">
        <v>0</v>
      </c>
      <c r="L577" s="40" t="n">
        <v>0</v>
      </c>
      <c r="M577" s="40" t="n">
        <v>0</v>
      </c>
      <c r="N577" s="40" t="n">
        <v>0</v>
      </c>
      <c r="O577" s="40" t="n">
        <v>0</v>
      </c>
      <c r="P577" s="40" t="n">
        <v>0</v>
      </c>
      <c r="Q577" s="40" t="n">
        <v>0</v>
      </c>
      <c r="R577" s="47" t="n"/>
      <c r="S577" s="47" t="n"/>
      <c r="T577" s="47" t="n"/>
      <c r="U577" s="47" t="n"/>
      <c r="V577" s="47" t="n"/>
      <c r="W577" s="47" t="n"/>
    </row>
    <row r="578" ht="11.25" customHeight="1">
      <c r="A578" s="30" t="inlineStr">
        <is>
          <t>Porto Real</t>
        </is>
      </c>
      <c r="B578" s="30" t="n">
        <v>87069583</v>
      </c>
      <c r="C578" s="30">
        <f>"56287527000284"</f>
        <v/>
      </c>
      <c r="D578" s="30" t="inlineStr">
        <is>
          <t>TRANSQUINCAS TRANSPORTES RODOVIARIO LTDA - EPP</t>
        </is>
      </c>
      <c r="E578" s="40" t="n">
        <v>0</v>
      </c>
      <c r="F578" s="40" t="n">
        <v>0</v>
      </c>
      <c r="G578" s="40" t="n">
        <v>0</v>
      </c>
      <c r="H578" s="40" t="n">
        <v>0</v>
      </c>
      <c r="I578" s="40" t="n">
        <v>0</v>
      </c>
      <c r="J578" s="40" t="n">
        <v>0</v>
      </c>
      <c r="K578" s="40" t="n">
        <v>0</v>
      </c>
      <c r="L578" s="40" t="n">
        <v>0</v>
      </c>
      <c r="M578" s="40" t="n">
        <v>0</v>
      </c>
      <c r="N578" s="40" t="n">
        <v>0</v>
      </c>
      <c r="O578" s="40" t="n">
        <v>0</v>
      </c>
      <c r="P578" s="40" t="n">
        <v>0</v>
      </c>
      <c r="Q578" s="40" t="n">
        <v>0</v>
      </c>
      <c r="R578" s="47" t="n"/>
      <c r="S578" s="47" t="n"/>
      <c r="T578" s="47" t="n"/>
      <c r="U578" s="47" t="n"/>
      <c r="V578" s="47" t="n"/>
      <c r="W578" s="47" t="n"/>
    </row>
    <row r="579" ht="11.25" customHeight="1">
      <c r="A579" s="30" t="inlineStr">
        <is>
          <t>Porto Real</t>
        </is>
      </c>
      <c r="B579" s="30" t="n">
        <v>87077187</v>
      </c>
      <c r="C579" s="30">
        <f>"01599101002056"</f>
        <v/>
      </c>
      <c r="D579" s="30" t="inlineStr">
        <is>
          <t>SEQUOIA LOGISTICA E TRANSPORTES S.A.</t>
        </is>
      </c>
      <c r="E579" s="40" t="n">
        <v>0</v>
      </c>
      <c r="F579" s="40" t="n">
        <v>0</v>
      </c>
      <c r="G579" s="40" t="n">
        <v>0</v>
      </c>
      <c r="H579" s="40" t="n">
        <v>0</v>
      </c>
      <c r="I579" s="40" t="n">
        <v>0</v>
      </c>
      <c r="J579" s="40" t="n">
        <v>0</v>
      </c>
      <c r="K579" s="40" t="n">
        <v>0</v>
      </c>
      <c r="L579" s="40" t="n">
        <v>0</v>
      </c>
      <c r="M579" s="40" t="n">
        <v>0</v>
      </c>
      <c r="N579" s="40" t="n">
        <v>1692.2</v>
      </c>
      <c r="O579" s="40" t="n">
        <v>100</v>
      </c>
      <c r="P579" s="40" t="n">
        <v>970.59</v>
      </c>
      <c r="Q579" s="46" t="n">
        <v>-42.64</v>
      </c>
      <c r="R579" s="47" t="n"/>
      <c r="S579" s="47" t="n"/>
      <c r="T579" s="47" t="n"/>
      <c r="U579" s="47" t="n"/>
      <c r="V579" s="47" t="n"/>
      <c r="W579" s="47" t="n"/>
    </row>
    <row r="580" ht="11.25" customHeight="1">
      <c r="A580" s="30" t="inlineStr">
        <is>
          <t>Porto Real</t>
        </is>
      </c>
      <c r="B580" s="30" t="n">
        <v>87094570</v>
      </c>
      <c r="C580" s="30">
        <f>"92023043000615"</f>
        <v/>
      </c>
      <c r="D580" s="30" t="inlineStr">
        <is>
          <t>EXPRESSO VALE REAL LTDA</t>
        </is>
      </c>
      <c r="E580" s="40" t="n">
        <v>509.09</v>
      </c>
      <c r="F580" s="40" t="n">
        <v>0</v>
      </c>
      <c r="G580" s="46" t="n">
        <v>-100</v>
      </c>
      <c r="H580" s="40" t="n">
        <v>0</v>
      </c>
      <c r="I580" s="40" t="n">
        <v>0</v>
      </c>
      <c r="J580" s="40" t="n">
        <v>0</v>
      </c>
      <c r="K580" s="40" t="n">
        <v>0</v>
      </c>
      <c r="L580" s="40" t="n">
        <v>7111.93</v>
      </c>
      <c r="M580" s="40" t="n">
        <v>100</v>
      </c>
      <c r="N580" s="40" t="n">
        <v>0</v>
      </c>
      <c r="O580" s="46" t="n">
        <v>-100</v>
      </c>
      <c r="P580" s="40" t="n">
        <v>0</v>
      </c>
      <c r="Q580" s="40" t="n">
        <v>0</v>
      </c>
      <c r="R580" s="47" t="n"/>
      <c r="S580" s="47" t="n"/>
      <c r="T580" s="47" t="n"/>
      <c r="U580" s="47" t="n"/>
      <c r="V580" s="47" t="n"/>
      <c r="W580" s="47" t="n"/>
    </row>
    <row r="581" ht="11.25" customHeight="1">
      <c r="A581" s="30" t="inlineStr">
        <is>
          <t>Porto Real</t>
        </is>
      </c>
      <c r="B581" s="30" t="n">
        <v>87102998</v>
      </c>
      <c r="C581" s="30">
        <f>"24191016000197"</f>
        <v/>
      </c>
      <c r="D581" s="30" t="inlineStr">
        <is>
          <t>TW LOGISTICA E TRANSPORTES LTDA ME</t>
        </is>
      </c>
      <c r="E581" s="40" t="n">
        <v>0</v>
      </c>
      <c r="F581" s="40" t="n">
        <v>0</v>
      </c>
      <c r="G581" s="40" t="n">
        <v>0</v>
      </c>
      <c r="H581" s="40" t="n">
        <v>0</v>
      </c>
      <c r="I581" s="40" t="n">
        <v>0</v>
      </c>
      <c r="J581" s="40" t="n">
        <v>6615387.44</v>
      </c>
      <c r="K581" s="40" t="n">
        <v>100</v>
      </c>
      <c r="L581" s="40" t="n">
        <v>9438351.689999999</v>
      </c>
      <c r="M581" s="40" t="n">
        <v>42.67</v>
      </c>
      <c r="N581" s="40" t="n">
        <v>7048584.45</v>
      </c>
      <c r="O581" s="46" t="n">
        <v>-25.32</v>
      </c>
      <c r="P581" s="40" t="n">
        <v>0</v>
      </c>
      <c r="Q581" s="46" t="n">
        <v>-100</v>
      </c>
      <c r="R581" s="47" t="n"/>
      <c r="S581" s="47" t="n"/>
      <c r="T581" s="47" t="n"/>
      <c r="U581" s="47" t="n"/>
      <c r="V581" s="47" t="n"/>
      <c r="W581" s="47" t="n"/>
    </row>
    <row r="582" ht="11.25" customHeight="1">
      <c r="A582" s="30" t="inlineStr">
        <is>
          <t>Porto Real</t>
        </is>
      </c>
      <c r="B582" s="30" t="n">
        <v>87105938</v>
      </c>
      <c r="C582" s="30">
        <f>"17619009000773"</f>
        <v/>
      </c>
      <c r="D582" s="30" t="inlineStr">
        <is>
          <t>VENKON EXPRESS TRANSPORTES EIRELI EPP</t>
        </is>
      </c>
      <c r="E582" s="40" t="n">
        <v>0</v>
      </c>
      <c r="F582" s="40" t="n">
        <v>0</v>
      </c>
      <c r="G582" s="40" t="n">
        <v>0</v>
      </c>
      <c r="H582" s="40" t="n">
        <v>0</v>
      </c>
      <c r="I582" s="40" t="n">
        <v>0</v>
      </c>
      <c r="J582" s="40" t="n">
        <v>3972.03</v>
      </c>
      <c r="K582" s="40" t="n">
        <v>100</v>
      </c>
      <c r="L582" s="40" t="n">
        <v>4840.69</v>
      </c>
      <c r="M582" s="40" t="n">
        <v>21.87</v>
      </c>
      <c r="N582" s="40" t="n">
        <v>0</v>
      </c>
      <c r="O582" s="46" t="n">
        <v>-100</v>
      </c>
      <c r="P582" s="40" t="n">
        <v>0</v>
      </c>
      <c r="Q582" s="40" t="n">
        <v>0</v>
      </c>
      <c r="R582" s="47" t="n"/>
      <c r="S582" s="47" t="n"/>
      <c r="T582" s="47" t="n"/>
      <c r="U582" s="47" t="n"/>
      <c r="V582" s="47" t="n"/>
      <c r="W582" s="47" t="n"/>
    </row>
    <row r="583" ht="11.25" customHeight="1">
      <c r="A583" s="30" t="inlineStr">
        <is>
          <t>Porto Real</t>
        </is>
      </c>
      <c r="B583" s="30" t="n">
        <v>87116760</v>
      </c>
      <c r="C583" s="30">
        <f>"01125797002089"</f>
        <v/>
      </c>
      <c r="D583" s="30" t="inlineStr">
        <is>
          <t>ATIVA DISTRIBUICAO E LOGISTICA LTDA</t>
        </is>
      </c>
      <c r="E583" s="40" t="n">
        <v>0</v>
      </c>
      <c r="F583" s="40" t="n">
        <v>0</v>
      </c>
      <c r="G583" s="40" t="n">
        <v>0</v>
      </c>
      <c r="H583" s="40" t="n">
        <v>1074.92</v>
      </c>
      <c r="I583" s="40" t="n">
        <v>100</v>
      </c>
      <c r="J583" s="40" t="n">
        <v>398.5</v>
      </c>
      <c r="K583" s="46" t="n">
        <v>-62.93</v>
      </c>
      <c r="L583" s="40" t="n">
        <v>307.55</v>
      </c>
      <c r="M583" s="46" t="n">
        <v>-22.82</v>
      </c>
      <c r="N583" s="40" t="n">
        <v>605.72</v>
      </c>
      <c r="O583" s="40" t="n">
        <v>96.95</v>
      </c>
      <c r="P583" s="40" t="n">
        <v>1290.4</v>
      </c>
      <c r="Q583" s="40" t="n">
        <v>113.04</v>
      </c>
      <c r="R583" s="47" t="n"/>
      <c r="S583" s="47" t="n"/>
      <c r="T583" s="47" t="n"/>
      <c r="U583" s="47" t="n"/>
      <c r="V583" s="47" t="n"/>
      <c r="W583" s="47" t="n"/>
    </row>
    <row r="584" ht="11.25" customHeight="1">
      <c r="A584" s="30" t="inlineStr">
        <is>
          <t>Porto Real</t>
        </is>
      </c>
      <c r="B584" s="30" t="n">
        <v>87132919</v>
      </c>
      <c r="C584" s="30">
        <f>"11132060000184"</f>
        <v/>
      </c>
      <c r="D584" s="30" t="inlineStr">
        <is>
          <t>JJAPA TRANSPORTES E LOGISTICA EIRELI</t>
        </is>
      </c>
      <c r="E584" s="40" t="n">
        <v>0</v>
      </c>
      <c r="F584" s="40" t="n">
        <v>0</v>
      </c>
      <c r="G584" s="40" t="n">
        <v>0</v>
      </c>
      <c r="H584" s="40" t="n">
        <v>0</v>
      </c>
      <c r="I584" s="40" t="n">
        <v>0</v>
      </c>
      <c r="J584" s="40" t="n">
        <v>0</v>
      </c>
      <c r="K584" s="40" t="n">
        <v>0</v>
      </c>
      <c r="L584" s="40" t="n">
        <v>1441.55</v>
      </c>
      <c r="M584" s="40" t="n">
        <v>100</v>
      </c>
      <c r="N584" s="40" t="n">
        <v>0</v>
      </c>
      <c r="O584" s="46" t="n">
        <v>-100</v>
      </c>
      <c r="P584" s="40" t="n">
        <v>0</v>
      </c>
      <c r="Q584" s="40" t="n">
        <v>0</v>
      </c>
      <c r="R584" s="47" t="n"/>
      <c r="S584" s="47" t="n"/>
      <c r="T584" s="47" t="n"/>
      <c r="U584" s="47" t="n"/>
      <c r="V584" s="47" t="n"/>
      <c r="W584" s="47" t="n"/>
    </row>
    <row r="585" ht="11.25" customHeight="1">
      <c r="A585" s="30" t="inlineStr">
        <is>
          <t>Porto Real</t>
        </is>
      </c>
      <c r="B585" s="30" t="n">
        <v>87134369</v>
      </c>
      <c r="C585" s="30">
        <f>"07381852001359"</f>
        <v/>
      </c>
      <c r="D585" s="30" t="inlineStr">
        <is>
          <t>JPS FARMA LIMITADA</t>
        </is>
      </c>
      <c r="E585" s="40" t="n">
        <v>986224.03</v>
      </c>
      <c r="F585" s="40" t="n">
        <v>938379.29</v>
      </c>
      <c r="G585" s="46" t="n">
        <v>-4.85</v>
      </c>
      <c r="H585" s="40" t="n">
        <v>1063786.81</v>
      </c>
      <c r="I585" s="40" t="n">
        <v>13.36</v>
      </c>
      <c r="J585" s="40" t="n">
        <v>1147443.81</v>
      </c>
      <c r="K585" s="40" t="n">
        <v>7.86</v>
      </c>
      <c r="L585" s="40" t="n">
        <v>885401.74</v>
      </c>
      <c r="M585" s="46" t="n">
        <v>-22.84</v>
      </c>
      <c r="N585" s="40" t="n">
        <v>916031.84</v>
      </c>
      <c r="O585" s="40" t="n">
        <v>3.46</v>
      </c>
      <c r="P585" s="40" t="n">
        <v>1198730.27</v>
      </c>
      <c r="Q585" s="40" t="n">
        <v>30.86</v>
      </c>
      <c r="R585" s="47" t="n"/>
      <c r="S585" s="47" t="n"/>
      <c r="T585" s="47" t="n"/>
      <c r="U585" s="47" t="n"/>
      <c r="V585" s="47" t="n"/>
      <c r="W585" s="47" t="n"/>
    </row>
    <row r="586" ht="11.25" customHeight="1">
      <c r="A586" s="30" t="inlineStr">
        <is>
          <t>Porto Real</t>
        </is>
      </c>
      <c r="B586" s="30" t="n">
        <v>87135357</v>
      </c>
      <c r="C586" s="30">
        <f>"60319985000225"</f>
        <v/>
      </c>
      <c r="D586" s="30" t="inlineStr">
        <is>
          <t>JOMED TRANSPORTE E LOGISTICA EIRELI</t>
        </is>
      </c>
      <c r="E586" s="40" t="n">
        <v>0</v>
      </c>
      <c r="F586" s="40" t="n">
        <v>0</v>
      </c>
      <c r="G586" s="40" t="n">
        <v>0</v>
      </c>
      <c r="H586" s="40" t="n">
        <v>1</v>
      </c>
      <c r="I586" s="40" t="n">
        <v>100</v>
      </c>
      <c r="J586" s="40" t="n">
        <v>50664.75</v>
      </c>
      <c r="K586" s="40" t="n">
        <v>5066375</v>
      </c>
      <c r="L586" s="40" t="n">
        <v>0</v>
      </c>
      <c r="M586" s="46" t="n">
        <v>-100</v>
      </c>
      <c r="N586" s="40" t="n">
        <v>0</v>
      </c>
      <c r="O586" s="40" t="n">
        <v>0</v>
      </c>
      <c r="P586" s="40" t="n">
        <v>0</v>
      </c>
      <c r="Q586" s="40" t="n">
        <v>0</v>
      </c>
      <c r="R586" s="47" t="n"/>
      <c r="S586" s="47" t="n"/>
      <c r="T586" s="47" t="n"/>
      <c r="U586" s="47" t="n"/>
      <c r="V586" s="47" t="n"/>
      <c r="W586" s="47" t="n"/>
    </row>
    <row r="587" ht="11.25" customHeight="1">
      <c r="A587" s="30" t="inlineStr">
        <is>
          <t>Porto Real</t>
        </is>
      </c>
      <c r="B587" s="30" t="n">
        <v>87141691</v>
      </c>
      <c r="C587" s="30">
        <f>"00367894001558"</f>
        <v/>
      </c>
      <c r="D587" s="30" t="inlineStr">
        <is>
          <t>TRANSPORTADORA REAL 94 LTDA EPP</t>
        </is>
      </c>
      <c r="E587" s="40" t="n">
        <v>795.6799999999999</v>
      </c>
      <c r="F587" s="40" t="n">
        <v>0</v>
      </c>
      <c r="G587" s="46" t="n">
        <v>-100</v>
      </c>
      <c r="H587" s="40" t="n">
        <v>0</v>
      </c>
      <c r="I587" s="40" t="n">
        <v>0</v>
      </c>
      <c r="J587" s="40" t="n">
        <v>0</v>
      </c>
      <c r="K587" s="40" t="n">
        <v>0</v>
      </c>
      <c r="L587" s="40" t="n">
        <v>0</v>
      </c>
      <c r="M587" s="40" t="n">
        <v>0</v>
      </c>
      <c r="N587" s="40" t="n">
        <v>0</v>
      </c>
      <c r="O587" s="40" t="n">
        <v>0</v>
      </c>
      <c r="P587" s="40" t="n">
        <v>0</v>
      </c>
      <c r="Q587" s="40" t="n">
        <v>0</v>
      </c>
      <c r="R587" s="47" t="n"/>
      <c r="S587" s="47" t="n"/>
      <c r="T587" s="47" t="n"/>
      <c r="U587" s="47" t="n"/>
      <c r="V587" s="47" t="n"/>
      <c r="W587" s="47" t="n"/>
    </row>
    <row r="588" ht="11.25" customHeight="1">
      <c r="A588" s="30" t="inlineStr">
        <is>
          <t>Porto Real</t>
        </is>
      </c>
      <c r="B588" s="30" t="n">
        <v>87156109</v>
      </c>
      <c r="C588" s="30">
        <f>"03204114000222"</f>
        <v/>
      </c>
      <c r="D588" s="30" t="inlineStr">
        <is>
          <t>TRANS-TAVARES TRANSPORTES RODOVIARIO LTDA - EPP</t>
        </is>
      </c>
      <c r="E588" s="40" t="n">
        <v>0</v>
      </c>
      <c r="F588" s="40" t="n">
        <v>0</v>
      </c>
      <c r="G588" s="40" t="n">
        <v>0</v>
      </c>
      <c r="H588" s="40" t="n">
        <v>0</v>
      </c>
      <c r="I588" s="40" t="n">
        <v>0</v>
      </c>
      <c r="J588" s="40" t="n">
        <v>0</v>
      </c>
      <c r="K588" s="40" t="n">
        <v>0</v>
      </c>
      <c r="L588" s="40" t="n">
        <v>0</v>
      </c>
      <c r="M588" s="40" t="n">
        <v>0</v>
      </c>
      <c r="N588" s="40" t="n">
        <v>0</v>
      </c>
      <c r="O588" s="40" t="n">
        <v>0</v>
      </c>
      <c r="P588" s="40" t="n">
        <v>0</v>
      </c>
      <c r="Q588" s="40" t="n">
        <v>0</v>
      </c>
      <c r="R588" s="47" t="n"/>
      <c r="S588" s="47" t="n"/>
      <c r="T588" s="47" t="n"/>
      <c r="U588" s="47" t="n"/>
      <c r="V588" s="47" t="n"/>
      <c r="W588" s="47" t="n"/>
    </row>
    <row r="589" ht="11.25" customHeight="1">
      <c r="A589" s="30" t="inlineStr">
        <is>
          <t>Porto Real</t>
        </is>
      </c>
      <c r="B589" s="30" t="n">
        <v>87158543</v>
      </c>
      <c r="C589" s="30">
        <f>"24966233000101"</f>
        <v/>
      </c>
      <c r="D589" s="30" t="inlineStr">
        <is>
          <t>TARGETS TRANSPORTES EIRELI</t>
        </is>
      </c>
      <c r="E589" s="40" t="n">
        <v>0</v>
      </c>
      <c r="F589" s="40" t="n">
        <v>0</v>
      </c>
      <c r="G589" s="40" t="n">
        <v>0</v>
      </c>
      <c r="H589" s="40" t="n">
        <v>0</v>
      </c>
      <c r="I589" s="40" t="n">
        <v>0</v>
      </c>
      <c r="J589" s="40" t="n">
        <v>0</v>
      </c>
      <c r="K589" s="40" t="n">
        <v>0</v>
      </c>
      <c r="L589" s="40" t="n">
        <v>183539.33</v>
      </c>
      <c r="M589" s="40" t="n">
        <v>100</v>
      </c>
      <c r="N589" s="40" t="n">
        <v>753338.9399999999</v>
      </c>
      <c r="O589" s="40" t="n">
        <v>310.45</v>
      </c>
      <c r="P589" s="40" t="n">
        <v>664491.96</v>
      </c>
      <c r="Q589" s="46" t="n">
        <v>-11.79</v>
      </c>
      <c r="R589" s="47" t="n"/>
      <c r="S589" s="47" t="n"/>
      <c r="T589" s="47" t="n"/>
      <c r="U589" s="47" t="n"/>
      <c r="V589" s="47" t="n"/>
      <c r="W589" s="47" t="n"/>
    </row>
    <row r="590" ht="11.25" customHeight="1">
      <c r="A590" s="30" t="inlineStr">
        <is>
          <t>Porto Real</t>
        </is>
      </c>
      <c r="B590" s="30" t="n">
        <v>87160084</v>
      </c>
      <c r="C590" s="30">
        <f>"24980727000140"</f>
        <v/>
      </c>
      <c r="D590" s="30" t="inlineStr">
        <is>
          <t>GRACA AUXILIADORA BARBOSA GONCALVES</t>
        </is>
      </c>
      <c r="E590" s="40" t="n">
        <v>0</v>
      </c>
      <c r="F590" s="40" t="n">
        <v>0</v>
      </c>
      <c r="G590" s="40" t="n">
        <v>0</v>
      </c>
      <c r="H590" s="40" t="n">
        <v>0</v>
      </c>
      <c r="I590" s="40" t="n">
        <v>0</v>
      </c>
      <c r="J590" s="40" t="n">
        <v>0</v>
      </c>
      <c r="K590" s="40" t="n">
        <v>0</v>
      </c>
      <c r="L590" s="40" t="n">
        <v>0</v>
      </c>
      <c r="M590" s="40" t="n">
        <v>0</v>
      </c>
      <c r="N590" s="40" t="n">
        <v>0</v>
      </c>
      <c r="O590" s="40" t="n">
        <v>0</v>
      </c>
      <c r="P590" s="40" t="n">
        <v>0</v>
      </c>
      <c r="Q590" s="40" t="n">
        <v>0</v>
      </c>
      <c r="R590" s="47" t="n"/>
      <c r="S590" s="47" t="n"/>
      <c r="T590" s="47" t="n"/>
      <c r="U590" s="47" t="n"/>
      <c r="V590" s="47" t="n"/>
      <c r="W590" s="47" t="n"/>
    </row>
    <row r="591" ht="11.25" customHeight="1">
      <c r="A591" s="30" t="inlineStr">
        <is>
          <t>Porto Real</t>
        </is>
      </c>
      <c r="B591" s="30" t="n">
        <v>87164306</v>
      </c>
      <c r="C591" s="30">
        <f>"24153233000516"</f>
        <v/>
      </c>
      <c r="D591" s="30" t="inlineStr">
        <is>
          <t>PLASTIC OMNIUM AUTOMOTIVE DO BRASIL INDUSTRIA E COMERCIO DE PECA</t>
        </is>
      </c>
      <c r="E591" s="40" t="n">
        <v>0</v>
      </c>
      <c r="F591" s="40" t="n">
        <v>0</v>
      </c>
      <c r="G591" s="40" t="n">
        <v>0</v>
      </c>
      <c r="H591" s="40" t="n">
        <v>0</v>
      </c>
      <c r="I591" s="40" t="n">
        <v>0</v>
      </c>
      <c r="J591" s="40" t="n">
        <v>0</v>
      </c>
      <c r="K591" s="40" t="n">
        <v>0</v>
      </c>
      <c r="L591" s="40" t="n">
        <v>0</v>
      </c>
      <c r="M591" s="40" t="n">
        <v>0</v>
      </c>
      <c r="N591" s="40" t="n">
        <v>0</v>
      </c>
      <c r="O591" s="40" t="n">
        <v>0</v>
      </c>
      <c r="P591" s="40" t="n">
        <v>0</v>
      </c>
      <c r="Q591" s="40" t="n">
        <v>0</v>
      </c>
      <c r="R591" s="47" t="n"/>
      <c r="S591" s="47" t="n"/>
      <c r="T591" s="47" t="n"/>
      <c r="U591" s="47" t="n"/>
      <c r="V591" s="47" t="n"/>
      <c r="W591" s="47" t="n"/>
    </row>
    <row r="592" ht="11.25" customHeight="1">
      <c r="A592" s="30" t="inlineStr">
        <is>
          <t>Porto Real</t>
        </is>
      </c>
      <c r="B592" s="30" t="n">
        <v>87172856</v>
      </c>
      <c r="C592" s="30">
        <f>"02709439000628"</f>
        <v/>
      </c>
      <c r="D592" s="30" t="inlineStr">
        <is>
          <t>BNLOG TRANSPORTES E LOGISTICA LTDA</t>
        </is>
      </c>
      <c r="E592" s="40" t="n">
        <v>0</v>
      </c>
      <c r="F592" s="40" t="n">
        <v>3963192.31</v>
      </c>
      <c r="G592" s="40" t="n">
        <v>100</v>
      </c>
      <c r="H592" s="40" t="n">
        <v>4086885.8</v>
      </c>
      <c r="I592" s="40" t="n">
        <v>3.12</v>
      </c>
      <c r="J592" s="40" t="n">
        <v>1074064</v>
      </c>
      <c r="K592" s="46" t="n">
        <v>-73.72</v>
      </c>
      <c r="L592" s="40" t="n">
        <v>0</v>
      </c>
      <c r="M592" s="46" t="n">
        <v>-100</v>
      </c>
      <c r="N592" s="40" t="n">
        <v>0</v>
      </c>
      <c r="O592" s="40" t="n">
        <v>0</v>
      </c>
      <c r="P592" s="40" t="n">
        <v>0</v>
      </c>
      <c r="Q592" s="40" t="n">
        <v>0</v>
      </c>
      <c r="R592" s="47" t="n"/>
      <c r="S592" s="47" t="n"/>
      <c r="T592" s="47" t="n"/>
      <c r="U592" s="47" t="n"/>
      <c r="V592" s="47" t="n"/>
      <c r="W592" s="47" t="n"/>
    </row>
    <row r="593" ht="11.25" customHeight="1">
      <c r="A593" s="30" t="inlineStr">
        <is>
          <t>Porto Real</t>
        </is>
      </c>
      <c r="B593" s="30" t="n">
        <v>87173631</v>
      </c>
      <c r="C593" s="30">
        <f>"02099296000256"</f>
        <v/>
      </c>
      <c r="D593" s="30" t="inlineStr">
        <is>
          <t>MECSTEEL - INDUSTRIA MECANICA LTA - EPP</t>
        </is>
      </c>
      <c r="E593" s="40" t="n">
        <v>0</v>
      </c>
      <c r="F593" s="40" t="n">
        <v>0</v>
      </c>
      <c r="G593" s="40" t="n">
        <v>0</v>
      </c>
      <c r="H593" s="40" t="n">
        <v>0</v>
      </c>
      <c r="I593" s="40" t="n">
        <v>0</v>
      </c>
      <c r="J593" s="40" t="n">
        <v>105363</v>
      </c>
      <c r="K593" s="40" t="n">
        <v>100</v>
      </c>
      <c r="L593" s="40" t="n">
        <v>859054.24</v>
      </c>
      <c r="M593" s="40" t="n">
        <v>715.33</v>
      </c>
      <c r="N593" s="40" t="n">
        <v>3563402.29</v>
      </c>
      <c r="O593" s="40" t="n">
        <v>314.81</v>
      </c>
      <c r="P593" s="40" t="n">
        <v>2813539.77</v>
      </c>
      <c r="Q593" s="46" t="n">
        <v>-21.04</v>
      </c>
      <c r="R593" s="47" t="n"/>
      <c r="S593" s="47" t="n"/>
      <c r="T593" s="47" t="n"/>
      <c r="U593" s="47" t="n"/>
      <c r="V593" s="47" t="n"/>
      <c r="W593" s="47" t="n"/>
    </row>
    <row r="594" ht="11.25" customHeight="1">
      <c r="A594" s="30" t="inlineStr">
        <is>
          <t>Porto Real</t>
        </is>
      </c>
      <c r="B594" s="30" t="n">
        <v>87198120</v>
      </c>
      <c r="C594" s="30">
        <f>"23349580000475"</f>
        <v/>
      </c>
      <c r="D594" s="30" t="inlineStr">
        <is>
          <t>LOTUS LOGISTICA INTEGRADA LTDA</t>
        </is>
      </c>
      <c r="E594" s="40" t="n">
        <v>93.29000000000001</v>
      </c>
      <c r="F594" s="40" t="n">
        <v>295.88</v>
      </c>
      <c r="G594" s="40" t="n">
        <v>217.16</v>
      </c>
      <c r="H594" s="40" t="n">
        <v>0</v>
      </c>
      <c r="I594" s="46" t="n">
        <v>-100</v>
      </c>
      <c r="J594" s="40" t="n">
        <v>0</v>
      </c>
      <c r="K594" s="40" t="n">
        <v>0</v>
      </c>
      <c r="L594" s="40" t="n">
        <v>0</v>
      </c>
      <c r="M594" s="40" t="n">
        <v>0</v>
      </c>
      <c r="N594" s="40" t="n">
        <v>0</v>
      </c>
      <c r="O594" s="40" t="n">
        <v>0</v>
      </c>
      <c r="P594" s="40" t="n">
        <v>0</v>
      </c>
      <c r="Q594" s="40" t="n">
        <v>0</v>
      </c>
      <c r="R594" s="47" t="n"/>
      <c r="S594" s="47" t="n"/>
      <c r="T594" s="47" t="n"/>
      <c r="U594" s="47" t="n"/>
      <c r="V594" s="47" t="n"/>
      <c r="W594" s="47" t="n"/>
    </row>
    <row r="595" ht="11.25" customHeight="1">
      <c r="A595" s="30" t="inlineStr">
        <is>
          <t>Porto Real</t>
        </is>
      </c>
      <c r="B595" s="30" t="n">
        <v>87213641</v>
      </c>
      <c r="C595" s="30">
        <f>"74443623000418"</f>
        <v/>
      </c>
      <c r="D595" s="30" t="inlineStr">
        <is>
          <t>OSAKA TRANSPORTES LTDA</t>
        </is>
      </c>
      <c r="E595" s="40" t="n">
        <v>0</v>
      </c>
      <c r="F595" s="40" t="n">
        <v>0</v>
      </c>
      <c r="G595" s="40" t="n">
        <v>0</v>
      </c>
      <c r="H595" s="40" t="n">
        <v>0</v>
      </c>
      <c r="I595" s="40" t="n">
        <v>0</v>
      </c>
      <c r="J595" s="40" t="n">
        <v>0</v>
      </c>
      <c r="K595" s="40" t="n">
        <v>0</v>
      </c>
      <c r="L595" s="40" t="n">
        <v>0</v>
      </c>
      <c r="M595" s="40" t="n">
        <v>0</v>
      </c>
      <c r="N595" s="40" t="n">
        <v>1000</v>
      </c>
      <c r="O595" s="40" t="n">
        <v>100</v>
      </c>
      <c r="P595" s="40" t="n">
        <v>300</v>
      </c>
      <c r="Q595" s="46" t="n">
        <v>-70</v>
      </c>
      <c r="R595" s="47" t="n"/>
      <c r="S595" s="47" t="n"/>
      <c r="T595" s="47" t="n"/>
      <c r="U595" s="47" t="n"/>
      <c r="V595" s="47" t="n"/>
      <c r="W595" s="47" t="n"/>
    </row>
    <row r="596" ht="11.25" customHeight="1">
      <c r="A596" s="30" t="inlineStr">
        <is>
          <t>Porto Real</t>
        </is>
      </c>
      <c r="B596" s="30" t="n">
        <v>87220761</v>
      </c>
      <c r="C596" s="30">
        <f>"08762025000304"</f>
        <v/>
      </c>
      <c r="D596" s="30" t="inlineStr">
        <is>
          <t>NEXTEER INDUSTRIA E COMERCIO DE SISTEMAS AUTOMOTIVOS LTDA</t>
        </is>
      </c>
      <c r="E596" s="40" t="n">
        <v>74783033.75</v>
      </c>
      <c r="F596" s="40" t="n">
        <v>72458798.3</v>
      </c>
      <c r="G596" s="46" t="n">
        <v>-3.11</v>
      </c>
      <c r="H596" s="40" t="n">
        <v>55572553.23</v>
      </c>
      <c r="I596" s="46" t="n">
        <v>-23.3</v>
      </c>
      <c r="J596" s="40" t="n">
        <v>61358007.74</v>
      </c>
      <c r="K596" s="40" t="n">
        <v>10.41</v>
      </c>
      <c r="L596" s="40" t="n">
        <v>108377676.85</v>
      </c>
      <c r="M596" s="40" t="n">
        <v>76.63</v>
      </c>
      <c r="N596" s="40" t="n">
        <v>134349843.84</v>
      </c>
      <c r="O596" s="40" t="n">
        <v>23.96</v>
      </c>
      <c r="P596" s="40" t="n">
        <v>133935576.25</v>
      </c>
      <c r="Q596" s="46" t="n">
        <v>-0.31</v>
      </c>
      <c r="R596" s="47" t="n"/>
      <c r="S596" s="47" t="n"/>
      <c r="T596" s="47" t="n"/>
      <c r="U596" s="47" t="n"/>
      <c r="V596" s="47" t="n"/>
      <c r="W596" s="47" t="n"/>
    </row>
    <row r="597" ht="11.25" customHeight="1">
      <c r="A597" s="30" t="inlineStr">
        <is>
          <t>Porto Real</t>
        </is>
      </c>
      <c r="B597" s="30" t="n">
        <v>87231607</v>
      </c>
      <c r="C597" s="30">
        <f>"23429671000763"</f>
        <v/>
      </c>
      <c r="D597" s="30" t="inlineStr">
        <is>
          <t>3PL BRASIL LOGISTICA S A</t>
        </is>
      </c>
      <c r="E597" s="40" t="n">
        <v>0</v>
      </c>
      <c r="F597" s="40" t="n">
        <v>5122.33</v>
      </c>
      <c r="G597" s="40" t="n">
        <v>100</v>
      </c>
      <c r="H597" s="40" t="n">
        <v>0</v>
      </c>
      <c r="I597" s="46" t="n">
        <v>-100</v>
      </c>
      <c r="J597" s="40" t="n">
        <v>0</v>
      </c>
      <c r="K597" s="40" t="n">
        <v>0</v>
      </c>
      <c r="L597" s="40" t="n">
        <v>0</v>
      </c>
      <c r="M597" s="40" t="n">
        <v>0</v>
      </c>
      <c r="N597" s="40" t="n">
        <v>0</v>
      </c>
      <c r="O597" s="40" t="n">
        <v>0</v>
      </c>
      <c r="P597" s="40" t="n">
        <v>0</v>
      </c>
      <c r="Q597" s="40" t="n">
        <v>0</v>
      </c>
      <c r="R597" s="47" t="n"/>
      <c r="S597" s="47" t="n"/>
      <c r="T597" s="47" t="n"/>
      <c r="U597" s="47" t="n"/>
      <c r="V597" s="47" t="n"/>
      <c r="W597" s="47" t="n"/>
    </row>
    <row r="598" ht="11.25" customHeight="1">
      <c r="A598" s="30" t="inlineStr">
        <is>
          <t>Porto Real</t>
        </is>
      </c>
      <c r="B598" s="30" t="n">
        <v>87242323</v>
      </c>
      <c r="C598" s="30">
        <f>"09487999001000"</f>
        <v/>
      </c>
      <c r="D598" s="30" t="inlineStr">
        <is>
          <t>CAED LOGISTICA E TRANSPORTES LTDA</t>
        </is>
      </c>
      <c r="E598" s="40" t="n">
        <v>0</v>
      </c>
      <c r="F598" s="40" t="n">
        <v>0</v>
      </c>
      <c r="G598" s="40" t="n">
        <v>0</v>
      </c>
      <c r="H598" s="40" t="n">
        <v>0</v>
      </c>
      <c r="I598" s="40" t="n">
        <v>0</v>
      </c>
      <c r="J598" s="40" t="n">
        <v>0</v>
      </c>
      <c r="K598" s="40" t="n">
        <v>0</v>
      </c>
      <c r="L598" s="40" t="n">
        <v>0</v>
      </c>
      <c r="M598" s="40" t="n">
        <v>0</v>
      </c>
      <c r="N598" s="40" t="n">
        <v>0</v>
      </c>
      <c r="O598" s="40" t="n">
        <v>0</v>
      </c>
      <c r="P598" s="40" t="n">
        <v>8906.25</v>
      </c>
      <c r="Q598" s="40" t="n">
        <v>100</v>
      </c>
      <c r="R598" s="47" t="n"/>
      <c r="S598" s="47" t="n"/>
      <c r="T598" s="47" t="n"/>
      <c r="U598" s="47" t="n"/>
      <c r="V598" s="47" t="n"/>
      <c r="W598" s="47" t="n"/>
    </row>
    <row r="599" ht="11.25" customHeight="1">
      <c r="A599" s="30" t="inlineStr">
        <is>
          <t>Porto Real</t>
        </is>
      </c>
      <c r="B599" s="30" t="n">
        <v>87248992</v>
      </c>
      <c r="C599" s="30">
        <f>"11423942000280"</f>
        <v/>
      </c>
      <c r="D599" s="30" t="inlineStr">
        <is>
          <t>TTJB TRANSPORTES E LOGISTICA EIRELI</t>
        </is>
      </c>
      <c r="E599" s="40" t="n">
        <v>310239.53</v>
      </c>
      <c r="F599" s="40" t="n">
        <v>568702.96</v>
      </c>
      <c r="G599" s="40" t="n">
        <v>83.31</v>
      </c>
      <c r="H599" s="40" t="n">
        <v>746394.41</v>
      </c>
      <c r="I599" s="40" t="n">
        <v>31.25</v>
      </c>
      <c r="J599" s="40" t="n">
        <v>373779.85</v>
      </c>
      <c r="K599" s="46" t="n">
        <v>-49.92</v>
      </c>
      <c r="L599" s="40" t="n">
        <v>0</v>
      </c>
      <c r="M599" s="46" t="n">
        <v>-100</v>
      </c>
      <c r="N599" s="40" t="n">
        <v>0</v>
      </c>
      <c r="O599" s="40" t="n">
        <v>0</v>
      </c>
      <c r="P599" s="40" t="n">
        <v>487.88</v>
      </c>
      <c r="Q599" s="40" t="n">
        <v>100</v>
      </c>
      <c r="R599" s="47" t="n"/>
      <c r="S599" s="47" t="n"/>
      <c r="T599" s="47" t="n"/>
      <c r="U599" s="47" t="n"/>
      <c r="V599" s="47" t="n"/>
      <c r="W599" s="47" t="n"/>
    </row>
    <row r="600" ht="11.25" customHeight="1">
      <c r="A600" s="30" t="inlineStr">
        <is>
          <t>Porto Real</t>
        </is>
      </c>
      <c r="B600" s="30" t="n">
        <v>87249417</v>
      </c>
      <c r="C600" s="30">
        <f>"94001641000961"</f>
        <v/>
      </c>
      <c r="D600" s="30" t="inlineStr">
        <is>
          <t>BRINGER DO BRASIL AGENCIAMENTO DE CARGAS NACIONAIS E INTERNACIONAIS LTDA EPP</t>
        </is>
      </c>
      <c r="E600" s="40" t="n">
        <v>1300.37</v>
      </c>
      <c r="F600" s="40" t="n">
        <v>0</v>
      </c>
      <c r="G600" s="46" t="n">
        <v>-100</v>
      </c>
      <c r="H600" s="40" t="n">
        <v>4160.14</v>
      </c>
      <c r="I600" s="40" t="n">
        <v>100</v>
      </c>
      <c r="J600" s="40" t="n">
        <v>965.38</v>
      </c>
      <c r="K600" s="46" t="n">
        <v>-76.79000000000001</v>
      </c>
      <c r="L600" s="40" t="n">
        <v>1051.72</v>
      </c>
      <c r="M600" s="40" t="n">
        <v>8.94</v>
      </c>
      <c r="N600" s="40" t="n">
        <v>0</v>
      </c>
      <c r="O600" s="46" t="n">
        <v>-100</v>
      </c>
      <c r="P600" s="40" t="n">
        <v>0</v>
      </c>
      <c r="Q600" s="40" t="n">
        <v>0</v>
      </c>
      <c r="R600" s="47" t="n"/>
      <c r="S600" s="47" t="n"/>
      <c r="T600" s="47" t="n"/>
      <c r="U600" s="47" t="n"/>
      <c r="V600" s="47" t="n"/>
      <c r="W600" s="47" t="n"/>
    </row>
    <row r="601" ht="11.25" customHeight="1">
      <c r="A601" s="30" t="inlineStr">
        <is>
          <t>Porto Real</t>
        </is>
      </c>
      <c r="B601" s="30" t="n">
        <v>87254348</v>
      </c>
      <c r="C601" s="30">
        <f>"26529504000197"</f>
        <v/>
      </c>
      <c r="D601" s="30" t="inlineStr">
        <is>
          <t>H7 TOOLS FERRAMENTAS E ACESSORIOS LTDA</t>
        </is>
      </c>
      <c r="E601" s="40" t="n">
        <v>0</v>
      </c>
      <c r="F601" s="40" t="n">
        <v>0</v>
      </c>
      <c r="G601" s="40" t="n">
        <v>0</v>
      </c>
      <c r="H601" s="40" t="n">
        <v>0</v>
      </c>
      <c r="I601" s="40" t="n">
        <v>0</v>
      </c>
      <c r="J601" s="40" t="n">
        <v>0</v>
      </c>
      <c r="K601" s="40" t="n">
        <v>0</v>
      </c>
      <c r="L601" s="40" t="n">
        <v>0</v>
      </c>
      <c r="M601" s="40" t="n">
        <v>0</v>
      </c>
      <c r="N601" s="40" t="n">
        <v>1444212.76</v>
      </c>
      <c r="O601" s="40" t="n">
        <v>100</v>
      </c>
      <c r="P601" s="40" t="n">
        <v>298727.87</v>
      </c>
      <c r="Q601" s="46" t="n">
        <v>-79.31999999999999</v>
      </c>
      <c r="R601" s="47" t="n"/>
      <c r="S601" s="47" t="n"/>
      <c r="T601" s="47" t="n"/>
      <c r="U601" s="47" t="n"/>
      <c r="V601" s="47" t="n"/>
      <c r="W601" s="47" t="n"/>
    </row>
    <row r="602" ht="11.25" customHeight="1">
      <c r="A602" s="30" t="inlineStr">
        <is>
          <t>Porto Real</t>
        </is>
      </c>
      <c r="B602" s="30" t="n">
        <v>87270580</v>
      </c>
      <c r="C602" s="30">
        <f>"09504931000282"</f>
        <v/>
      </c>
      <c r="D602" s="30" t="inlineStr">
        <is>
          <t>QUIMEX LOGISTICA E TRANSPORTE LTDA EPP</t>
        </is>
      </c>
      <c r="E602" s="40" t="n">
        <v>0</v>
      </c>
      <c r="F602" s="40" t="n">
        <v>0</v>
      </c>
      <c r="G602" s="40" t="n">
        <v>0</v>
      </c>
      <c r="H602" s="40" t="n">
        <v>0</v>
      </c>
      <c r="I602" s="40" t="n">
        <v>0</v>
      </c>
      <c r="J602" s="40" t="n">
        <v>0</v>
      </c>
      <c r="K602" s="40" t="n">
        <v>0</v>
      </c>
      <c r="L602" s="40" t="n">
        <v>0</v>
      </c>
      <c r="M602" s="40" t="n">
        <v>0</v>
      </c>
      <c r="N602" s="40" t="n">
        <v>0</v>
      </c>
      <c r="O602" s="40" t="n">
        <v>0</v>
      </c>
      <c r="P602" s="40" t="n">
        <v>0</v>
      </c>
      <c r="Q602" s="40" t="n">
        <v>0</v>
      </c>
      <c r="R602" s="47" t="n"/>
      <c r="S602" s="47" t="n"/>
      <c r="T602" s="47" t="n"/>
      <c r="U602" s="47" t="n"/>
      <c r="V602" s="47" t="n"/>
      <c r="W602" s="47" t="n"/>
    </row>
    <row r="603" ht="11.25" customHeight="1">
      <c r="A603" s="30" t="inlineStr">
        <is>
          <t>Porto Real</t>
        </is>
      </c>
      <c r="B603" s="30" t="n">
        <v>87302504</v>
      </c>
      <c r="C603" s="30">
        <f>"26894228000166"</f>
        <v/>
      </c>
      <c r="D603" s="30" t="inlineStr">
        <is>
          <t>BBN TRANSPORTES RODOVIARIOS LTDA</t>
        </is>
      </c>
      <c r="E603" s="40" t="n">
        <v>0</v>
      </c>
      <c r="F603" s="40" t="n">
        <v>0</v>
      </c>
      <c r="G603" s="40" t="n">
        <v>0</v>
      </c>
      <c r="H603" s="40" t="n">
        <v>7400</v>
      </c>
      <c r="I603" s="40" t="n">
        <v>100</v>
      </c>
      <c r="J603" s="40" t="n">
        <v>0</v>
      </c>
      <c r="K603" s="46" t="n">
        <v>-100</v>
      </c>
      <c r="L603" s="40" t="n">
        <v>2250</v>
      </c>
      <c r="M603" s="40" t="n">
        <v>100</v>
      </c>
      <c r="N603" s="40" t="n">
        <v>2200</v>
      </c>
      <c r="O603" s="46" t="n">
        <v>-2.22</v>
      </c>
      <c r="P603" s="40" t="n">
        <v>3287.3</v>
      </c>
      <c r="Q603" s="40" t="n">
        <v>49.42</v>
      </c>
      <c r="R603" s="47" t="n"/>
      <c r="S603" s="47" t="n"/>
      <c r="T603" s="47" t="n"/>
      <c r="U603" s="47" t="n"/>
      <c r="V603" s="47" t="n"/>
      <c r="W603" s="47" t="n"/>
    </row>
    <row r="604" ht="11.25" customHeight="1">
      <c r="A604" s="30" t="inlineStr">
        <is>
          <t>Porto Real</t>
        </is>
      </c>
      <c r="B604" s="30" t="n">
        <v>87303411</v>
      </c>
      <c r="C604" s="30">
        <f>"26982666000186"</f>
        <v/>
      </c>
      <c r="D604" s="30" t="inlineStr">
        <is>
          <t>REALL FLEX LONGEVIDADE E SAUDE LTDA</t>
        </is>
      </c>
      <c r="E604" s="40" t="n">
        <v>0</v>
      </c>
      <c r="F604" s="40" t="n">
        <v>0</v>
      </c>
      <c r="G604" s="40" t="n">
        <v>0</v>
      </c>
      <c r="H604" s="40" t="n">
        <v>0</v>
      </c>
      <c r="I604" s="40" t="n">
        <v>0</v>
      </c>
      <c r="J604" s="40" t="n">
        <v>0</v>
      </c>
      <c r="K604" s="40" t="n">
        <v>0</v>
      </c>
      <c r="L604" s="40" t="n">
        <v>0</v>
      </c>
      <c r="M604" s="40" t="n">
        <v>0</v>
      </c>
      <c r="N604" s="40" t="n">
        <v>0</v>
      </c>
      <c r="O604" s="40" t="n">
        <v>0</v>
      </c>
      <c r="P604" s="40" t="n">
        <v>0</v>
      </c>
      <c r="Q604" s="40" t="n">
        <v>0</v>
      </c>
      <c r="R604" s="47" t="n"/>
      <c r="S604" s="47" t="n"/>
      <c r="T604" s="47" t="n"/>
      <c r="U604" s="47" t="n"/>
      <c r="V604" s="47" t="n"/>
      <c r="W604" s="47" t="n"/>
    </row>
    <row r="605" ht="11.25" customHeight="1">
      <c r="A605" s="30" t="inlineStr">
        <is>
          <t>Porto Real</t>
        </is>
      </c>
      <c r="B605" s="30" t="n">
        <v>87321878</v>
      </c>
      <c r="C605" s="30">
        <f>"12898982001727"</f>
        <v/>
      </c>
      <c r="D605" s="30" t="inlineStr">
        <is>
          <t>RITMO LOGISTICA S.A.</t>
        </is>
      </c>
      <c r="E605" s="40" t="n">
        <v>875275.35</v>
      </c>
      <c r="F605" s="40" t="n">
        <v>341414.72</v>
      </c>
      <c r="G605" s="46" t="n">
        <v>-60.99</v>
      </c>
      <c r="H605" s="40" t="n">
        <v>816050.59</v>
      </c>
      <c r="I605" s="40" t="n">
        <v>139.02</v>
      </c>
      <c r="J605" s="40" t="n">
        <v>1118597.02</v>
      </c>
      <c r="K605" s="40" t="n">
        <v>37.07</v>
      </c>
      <c r="L605" s="40" t="n">
        <v>1161709.78</v>
      </c>
      <c r="M605" s="40" t="n">
        <v>3.85</v>
      </c>
      <c r="N605" s="40" t="n">
        <v>2368242.37</v>
      </c>
      <c r="O605" s="40" t="n">
        <v>103.86</v>
      </c>
      <c r="P605" s="40" t="n">
        <v>2088377.29</v>
      </c>
      <c r="Q605" s="46" t="n">
        <v>-11.82</v>
      </c>
      <c r="R605" s="47" t="n"/>
      <c r="S605" s="47" t="n"/>
      <c r="T605" s="47" t="n"/>
      <c r="U605" s="47" t="n"/>
      <c r="V605" s="47" t="n"/>
      <c r="W605" s="47" t="n"/>
    </row>
    <row r="606" ht="11.25" customHeight="1">
      <c r="A606" s="30" t="inlineStr">
        <is>
          <t>Porto Real</t>
        </is>
      </c>
      <c r="B606" s="30" t="n">
        <v>87325415</v>
      </c>
      <c r="C606" s="30">
        <f>"27276756000114"</f>
        <v/>
      </c>
      <c r="D606" s="30" t="inlineStr">
        <is>
          <t>QUALITRANS LOGISTICA LTDA EPP</t>
        </is>
      </c>
      <c r="E606" s="40" t="n">
        <v>0</v>
      </c>
      <c r="F606" s="40" t="n">
        <v>0</v>
      </c>
      <c r="G606" s="40" t="n">
        <v>0</v>
      </c>
      <c r="H606" s="40" t="n">
        <v>0</v>
      </c>
      <c r="I606" s="40" t="n">
        <v>0</v>
      </c>
      <c r="J606" s="40" t="n">
        <v>0</v>
      </c>
      <c r="K606" s="40" t="n">
        <v>0</v>
      </c>
      <c r="L606" s="40" t="n">
        <v>6093</v>
      </c>
      <c r="M606" s="40" t="n">
        <v>100</v>
      </c>
      <c r="N606" s="40" t="n">
        <v>0</v>
      </c>
      <c r="O606" s="46" t="n">
        <v>-100</v>
      </c>
      <c r="P606" s="40" t="n">
        <v>0</v>
      </c>
      <c r="Q606" s="40" t="n">
        <v>0</v>
      </c>
      <c r="R606" s="47" t="n"/>
      <c r="S606" s="47" t="n"/>
      <c r="T606" s="47" t="n"/>
      <c r="U606" s="47" t="n"/>
      <c r="V606" s="47" t="n"/>
      <c r="W606" s="47" t="n"/>
    </row>
    <row r="607" ht="11.25" customHeight="1">
      <c r="A607" s="30" t="inlineStr">
        <is>
          <t>Porto Real</t>
        </is>
      </c>
      <c r="B607" s="30" t="n">
        <v>87326543</v>
      </c>
      <c r="C607" s="30">
        <f>"13214075000117"</f>
        <v/>
      </c>
      <c r="D607" s="30" t="inlineStr">
        <is>
          <t>PROLOG TRANSPORTES E LOGISTICA LTDA ME</t>
        </is>
      </c>
      <c r="E607" s="40" t="n">
        <v>0</v>
      </c>
      <c r="F607" s="40" t="n">
        <v>0</v>
      </c>
      <c r="G607" s="40" t="n">
        <v>0</v>
      </c>
      <c r="H607" s="40" t="n">
        <v>0</v>
      </c>
      <c r="I607" s="40" t="n">
        <v>0</v>
      </c>
      <c r="J607" s="40" t="n">
        <v>0</v>
      </c>
      <c r="K607" s="40" t="n">
        <v>0</v>
      </c>
      <c r="L607" s="40" t="n">
        <v>0</v>
      </c>
      <c r="M607" s="40" t="n">
        <v>0</v>
      </c>
      <c r="N607" s="40" t="n">
        <v>0</v>
      </c>
      <c r="O607" s="40" t="n">
        <v>0</v>
      </c>
      <c r="P607" s="40" t="n">
        <v>75</v>
      </c>
      <c r="Q607" s="40" t="n">
        <v>100</v>
      </c>
      <c r="R607" s="47" t="n"/>
      <c r="S607" s="47" t="n"/>
      <c r="T607" s="47" t="n"/>
      <c r="U607" s="47" t="n"/>
      <c r="V607" s="47" t="n"/>
      <c r="W607" s="47" t="n"/>
    </row>
    <row r="608" ht="11.25" customHeight="1">
      <c r="A608" s="30" t="inlineStr">
        <is>
          <t>Porto Real</t>
        </is>
      </c>
      <c r="B608" s="30" t="n">
        <v>87335950</v>
      </c>
      <c r="C608" s="30">
        <f>"08686200000151"</f>
        <v/>
      </c>
      <c r="D608" s="30" t="inlineStr">
        <is>
          <t>ASTM TRANSPORTES E LOCACAO DE VEICULOS LTDA</t>
        </is>
      </c>
      <c r="E608" s="40" t="n">
        <v>0</v>
      </c>
      <c r="F608" s="40" t="n">
        <v>0</v>
      </c>
      <c r="G608" s="40" t="n">
        <v>0</v>
      </c>
      <c r="H608" s="40" t="n">
        <v>0</v>
      </c>
      <c r="I608" s="40" t="n">
        <v>0</v>
      </c>
      <c r="J608" s="40" t="n">
        <v>0</v>
      </c>
      <c r="K608" s="40" t="n">
        <v>0</v>
      </c>
      <c r="L608" s="40" t="n">
        <v>0</v>
      </c>
      <c r="M608" s="40" t="n">
        <v>0</v>
      </c>
      <c r="N608" s="40" t="n">
        <v>0.13</v>
      </c>
      <c r="O608" s="40" t="n">
        <v>100</v>
      </c>
      <c r="P608" s="40" t="n">
        <v>0</v>
      </c>
      <c r="Q608" s="46" t="n">
        <v>-100</v>
      </c>
      <c r="R608" s="47" t="n"/>
      <c r="S608" s="47" t="n"/>
      <c r="T608" s="47" t="n"/>
      <c r="U608" s="47" t="n"/>
      <c r="V608" s="47" t="n"/>
      <c r="W608" s="47" t="n"/>
    </row>
    <row r="609" ht="11.25" customHeight="1">
      <c r="A609" s="30" t="inlineStr">
        <is>
          <t>Porto Real</t>
        </is>
      </c>
      <c r="B609" s="30" t="n">
        <v>87342310</v>
      </c>
      <c r="C609" s="30">
        <f>"27499456000102"</f>
        <v/>
      </c>
      <c r="D609" s="30" t="inlineStr">
        <is>
          <t>LLF TRANSPORTE E LOGISTICA EIRELI</t>
        </is>
      </c>
      <c r="E609" s="40" t="n">
        <v>0</v>
      </c>
      <c r="F609" s="40" t="n">
        <v>0</v>
      </c>
      <c r="G609" s="40" t="n">
        <v>0</v>
      </c>
      <c r="H609" s="40" t="n">
        <v>0</v>
      </c>
      <c r="I609" s="40" t="n">
        <v>0</v>
      </c>
      <c r="J609" s="40" t="n">
        <v>0</v>
      </c>
      <c r="K609" s="40" t="n">
        <v>0</v>
      </c>
      <c r="L609" s="40" t="n">
        <v>0</v>
      </c>
      <c r="M609" s="40" t="n">
        <v>0</v>
      </c>
      <c r="N609" s="40" t="n">
        <v>0</v>
      </c>
      <c r="O609" s="40" t="n">
        <v>0</v>
      </c>
      <c r="P609" s="40" t="n">
        <v>5504.82</v>
      </c>
      <c r="Q609" s="40" t="n">
        <v>100</v>
      </c>
      <c r="R609" s="47" t="n"/>
      <c r="S609" s="47" t="n"/>
      <c r="T609" s="47" t="n"/>
      <c r="U609" s="47" t="n"/>
      <c r="V609" s="47" t="n"/>
      <c r="W609" s="47" t="n"/>
    </row>
    <row r="610" ht="11.25" customHeight="1">
      <c r="A610" s="30" t="inlineStr">
        <is>
          <t>Porto Real</t>
        </is>
      </c>
      <c r="B610" s="30" t="n">
        <v>87346862</v>
      </c>
      <c r="C610" s="30">
        <f>"27389429000179"</f>
        <v/>
      </c>
      <c r="D610" s="30" t="inlineStr">
        <is>
          <t>MERCEARIA ANJO GABRIEL LTDA ME</t>
        </is>
      </c>
      <c r="E610" s="40" t="n">
        <v>0</v>
      </c>
      <c r="F610" s="40" t="n">
        <v>0</v>
      </c>
      <c r="G610" s="40" t="n">
        <v>0</v>
      </c>
      <c r="H610" s="40" t="n">
        <v>0</v>
      </c>
      <c r="I610" s="40" t="n">
        <v>0</v>
      </c>
      <c r="J610" s="40" t="n">
        <v>0</v>
      </c>
      <c r="K610" s="40" t="n">
        <v>0</v>
      </c>
      <c r="L610" s="40" t="n">
        <v>734179.51</v>
      </c>
      <c r="M610" s="40" t="n">
        <v>100</v>
      </c>
      <c r="N610" s="40" t="n">
        <v>2020983.91</v>
      </c>
      <c r="O610" s="40" t="n">
        <v>175.27</v>
      </c>
      <c r="P610" s="40" t="n">
        <v>2524494.51</v>
      </c>
      <c r="Q610" s="40" t="n">
        <v>24.91</v>
      </c>
      <c r="R610" s="47" t="n"/>
      <c r="S610" s="47" t="n"/>
      <c r="T610" s="47" t="n"/>
      <c r="U610" s="47" t="n"/>
      <c r="V610" s="47" t="n"/>
      <c r="W610" s="47" t="n"/>
    </row>
    <row r="611" ht="11.25" customHeight="1">
      <c r="A611" s="30" t="inlineStr">
        <is>
          <t>Porto Real</t>
        </is>
      </c>
      <c r="B611" s="30" t="n">
        <v>87347583</v>
      </c>
      <c r="C611" s="30">
        <f>"00532022000283"</f>
        <v/>
      </c>
      <c r="D611" s="30" t="inlineStr">
        <is>
          <t>KRAFTPACK EMBALAGENS LTDA</t>
        </is>
      </c>
      <c r="E611" s="40" t="n">
        <v>0</v>
      </c>
      <c r="F611" s="40" t="n">
        <v>0</v>
      </c>
      <c r="G611" s="40" t="n">
        <v>0</v>
      </c>
      <c r="H611" s="40" t="n">
        <v>0</v>
      </c>
      <c r="I611" s="40" t="n">
        <v>0</v>
      </c>
      <c r="J611" s="40" t="n">
        <v>0</v>
      </c>
      <c r="K611" s="40" t="n">
        <v>0</v>
      </c>
      <c r="L611" s="40" t="n">
        <v>0</v>
      </c>
      <c r="M611" s="40" t="n">
        <v>0</v>
      </c>
      <c r="N611" s="40" t="n">
        <v>0</v>
      </c>
      <c r="O611" s="40" t="n">
        <v>0</v>
      </c>
      <c r="P611" s="40" t="n">
        <v>0</v>
      </c>
      <c r="Q611" s="40" t="n">
        <v>0</v>
      </c>
      <c r="R611" s="47" t="n"/>
      <c r="S611" s="47" t="n"/>
      <c r="T611" s="47" t="n"/>
      <c r="U611" s="47" t="n"/>
      <c r="V611" s="47" t="n"/>
      <c r="W611" s="47" t="n"/>
    </row>
    <row r="612" ht="11.25" customHeight="1">
      <c r="A612" s="30" t="inlineStr">
        <is>
          <t>Porto Real</t>
        </is>
      </c>
      <c r="B612" s="30" t="n">
        <v>87351688</v>
      </c>
      <c r="C612" s="30">
        <f>"27621139000109"</f>
        <v/>
      </c>
      <c r="D612" s="30" t="inlineStr">
        <is>
          <t>KAERU INDUSTRIA E COMERCIO DE PECAS USINADAS LTDA</t>
        </is>
      </c>
      <c r="E612" s="40" t="n">
        <v>8966842.51</v>
      </c>
      <c r="F612" s="40" t="n">
        <v>9729316.17</v>
      </c>
      <c r="G612" s="40" t="n">
        <v>8.5</v>
      </c>
      <c r="H612" s="40" t="n">
        <v>7269628.96</v>
      </c>
      <c r="I612" s="46" t="n">
        <v>-25.28</v>
      </c>
      <c r="J612" s="40" t="n">
        <v>5613838.85</v>
      </c>
      <c r="K612" s="46" t="n">
        <v>-22.78</v>
      </c>
      <c r="L612" s="40" t="n">
        <v>9268573.699999999</v>
      </c>
      <c r="M612" s="40" t="n">
        <v>65.09999999999999</v>
      </c>
      <c r="N612" s="40" t="n">
        <v>7516153.61</v>
      </c>
      <c r="O612" s="46" t="n">
        <v>-18.91</v>
      </c>
      <c r="P612" s="40" t="n">
        <v>0</v>
      </c>
      <c r="Q612" s="46" t="n">
        <v>-100</v>
      </c>
      <c r="R612" s="47" t="n"/>
      <c r="S612" s="47" t="n"/>
      <c r="T612" s="47" t="n"/>
      <c r="U612" s="47" t="n"/>
      <c r="V612" s="47" t="n"/>
      <c r="W612" s="47" t="n"/>
    </row>
    <row r="613" ht="11.25" customHeight="1">
      <c r="A613" s="30" t="inlineStr">
        <is>
          <t>Porto Real</t>
        </is>
      </c>
      <c r="B613" s="30" t="n">
        <v>87354628</v>
      </c>
      <c r="C613" s="30">
        <f>"05529929000479"</f>
        <v/>
      </c>
      <c r="D613" s="30" t="inlineStr">
        <is>
          <t>AEROFLEX CARGO E LOGISTICA EIRELI - ME</t>
        </is>
      </c>
      <c r="E613" s="40" t="n">
        <v>0</v>
      </c>
      <c r="F613" s="40" t="n">
        <v>0</v>
      </c>
      <c r="G613" s="40" t="n">
        <v>0</v>
      </c>
      <c r="H613" s="40" t="n">
        <v>0</v>
      </c>
      <c r="I613" s="40" t="n">
        <v>0</v>
      </c>
      <c r="J613" s="40" t="n">
        <v>1671.76</v>
      </c>
      <c r="K613" s="40" t="n">
        <v>100</v>
      </c>
      <c r="L613" s="40" t="n">
        <v>0</v>
      </c>
      <c r="M613" s="46" t="n">
        <v>-100</v>
      </c>
      <c r="N613" s="40" t="n">
        <v>0</v>
      </c>
      <c r="O613" s="40" t="n">
        <v>0</v>
      </c>
      <c r="P613" s="40" t="n">
        <v>0</v>
      </c>
      <c r="Q613" s="40" t="n">
        <v>0</v>
      </c>
      <c r="R613" s="47" t="n"/>
      <c r="S613" s="47" t="n"/>
      <c r="T613" s="47" t="n"/>
      <c r="U613" s="47" t="n"/>
      <c r="V613" s="47" t="n"/>
      <c r="W613" s="47" t="n"/>
    </row>
    <row r="614" ht="11.25" customHeight="1">
      <c r="A614" s="30" t="inlineStr">
        <is>
          <t>Porto Real</t>
        </is>
      </c>
      <c r="B614" s="30" t="n">
        <v>87354741</v>
      </c>
      <c r="C614" s="30">
        <f>"89823918003755"</f>
        <v/>
      </c>
      <c r="D614" s="30" t="inlineStr">
        <is>
          <t>TRANSPORTES TRANSLOVATO LTDA</t>
        </is>
      </c>
      <c r="E614" s="40" t="n">
        <v>0</v>
      </c>
      <c r="F614" s="40" t="n">
        <v>0</v>
      </c>
      <c r="G614" s="40" t="n">
        <v>0</v>
      </c>
      <c r="H614" s="40" t="n">
        <v>0</v>
      </c>
      <c r="I614" s="40" t="n">
        <v>0</v>
      </c>
      <c r="J614" s="40" t="n">
        <v>69.34</v>
      </c>
      <c r="K614" s="40" t="n">
        <v>100</v>
      </c>
      <c r="L614" s="40" t="n">
        <v>0</v>
      </c>
      <c r="M614" s="46" t="n">
        <v>-100</v>
      </c>
      <c r="N614" s="40" t="n">
        <v>668.42</v>
      </c>
      <c r="O614" s="40" t="n">
        <v>100</v>
      </c>
      <c r="P614" s="40" t="n">
        <v>362.72</v>
      </c>
      <c r="Q614" s="46" t="n">
        <v>-45.73</v>
      </c>
      <c r="R614" s="47" t="n"/>
      <c r="S614" s="47" t="n"/>
      <c r="T614" s="47" t="n"/>
      <c r="U614" s="47" t="n"/>
      <c r="V614" s="47" t="n"/>
      <c r="W614" s="47" t="n"/>
    </row>
    <row r="615" ht="11.25" customHeight="1">
      <c r="A615" s="30" t="inlineStr">
        <is>
          <t>Porto Real</t>
        </is>
      </c>
      <c r="B615" s="30" t="n">
        <v>87363660</v>
      </c>
      <c r="C615" s="30">
        <f>"27717731000109"</f>
        <v/>
      </c>
      <c r="D615" s="30" t="inlineStr">
        <is>
          <t>GOMES E SOUZA COMERCIO E PRESTACAO DE SERVICOS LTDA ME</t>
        </is>
      </c>
      <c r="E615" s="40" t="n">
        <v>0</v>
      </c>
      <c r="F615" s="40" t="n">
        <v>0</v>
      </c>
      <c r="G615" s="40" t="n">
        <v>0</v>
      </c>
      <c r="H615" s="40" t="n">
        <v>0</v>
      </c>
      <c r="I615" s="40" t="n">
        <v>0</v>
      </c>
      <c r="J615" s="40" t="n">
        <v>0</v>
      </c>
      <c r="K615" s="40" t="n">
        <v>0</v>
      </c>
      <c r="L615" s="40" t="n">
        <v>0</v>
      </c>
      <c r="M615" s="40" t="n">
        <v>0</v>
      </c>
      <c r="N615" s="40" t="n">
        <v>0</v>
      </c>
      <c r="O615" s="40" t="n">
        <v>0</v>
      </c>
      <c r="P615" s="40" t="n">
        <v>0</v>
      </c>
      <c r="Q615" s="40" t="n">
        <v>0</v>
      </c>
      <c r="R615" s="47" t="n"/>
      <c r="S615" s="47" t="n"/>
      <c r="T615" s="47" t="n"/>
      <c r="U615" s="47" t="n"/>
      <c r="V615" s="47" t="n"/>
      <c r="W615" s="47" t="n"/>
    </row>
    <row r="616" ht="11.25" customHeight="1">
      <c r="A616" s="30" t="inlineStr">
        <is>
          <t>Porto Real</t>
        </is>
      </c>
      <c r="B616" s="30" t="n">
        <v>87366774</v>
      </c>
      <c r="C616" s="30">
        <f>"18233211001373"</f>
        <v/>
      </c>
      <c r="D616" s="30" t="inlineStr">
        <is>
          <t>FL BRASIL HOLDING LOGISTICA E TRANSPORTE LTDA</t>
        </is>
      </c>
      <c r="E616" s="40" t="n">
        <v>0</v>
      </c>
      <c r="F616" s="40" t="n">
        <v>3321.96</v>
      </c>
      <c r="G616" s="40" t="n">
        <v>100</v>
      </c>
      <c r="H616" s="40" t="n">
        <v>1697.28</v>
      </c>
      <c r="I616" s="46" t="n">
        <v>-48.91</v>
      </c>
      <c r="J616" s="40" t="n">
        <v>5553.85</v>
      </c>
      <c r="K616" s="40" t="n">
        <v>227.22</v>
      </c>
      <c r="L616" s="40" t="n">
        <v>7397.64</v>
      </c>
      <c r="M616" s="40" t="n">
        <v>33.2</v>
      </c>
      <c r="N616" s="40" t="n">
        <v>13231.25</v>
      </c>
      <c r="O616" s="40" t="n">
        <v>78.86</v>
      </c>
      <c r="P616" s="40" t="n">
        <v>6293.45</v>
      </c>
      <c r="Q616" s="46" t="n">
        <v>-52.43</v>
      </c>
      <c r="R616" s="47" t="n"/>
      <c r="S616" s="47" t="n"/>
      <c r="T616" s="47" t="n"/>
      <c r="U616" s="47" t="n"/>
      <c r="V616" s="47" t="n"/>
      <c r="W616" s="47" t="n"/>
    </row>
    <row r="617" ht="11.25" customHeight="1">
      <c r="A617" s="30" t="inlineStr">
        <is>
          <t>Porto Real</t>
        </is>
      </c>
      <c r="B617" s="30" t="n">
        <v>87371530</v>
      </c>
      <c r="C617" s="30">
        <f>"23506129000414"</f>
        <v/>
      </c>
      <c r="D617" s="30" t="inlineStr">
        <is>
          <t>MODULO TRANSPORTE E LOGISTICA LTDA ME</t>
        </is>
      </c>
      <c r="E617" s="40" t="n">
        <v>0</v>
      </c>
      <c r="F617" s="40" t="n">
        <v>0</v>
      </c>
      <c r="G617" s="40" t="n">
        <v>0</v>
      </c>
      <c r="H617" s="40" t="n">
        <v>0</v>
      </c>
      <c r="I617" s="40" t="n">
        <v>0</v>
      </c>
      <c r="J617" s="40" t="n">
        <v>245.03</v>
      </c>
      <c r="K617" s="40" t="n">
        <v>100</v>
      </c>
      <c r="L617" s="40" t="n">
        <v>0</v>
      </c>
      <c r="M617" s="46" t="n">
        <v>-100</v>
      </c>
      <c r="N617" s="40" t="n">
        <v>0</v>
      </c>
      <c r="O617" s="40" t="n">
        <v>0</v>
      </c>
      <c r="P617" s="40" t="n">
        <v>0</v>
      </c>
      <c r="Q617" s="40" t="n">
        <v>0</v>
      </c>
      <c r="R617" s="47" t="n"/>
      <c r="S617" s="47" t="n"/>
      <c r="T617" s="47" t="n"/>
      <c r="U617" s="47" t="n"/>
      <c r="V617" s="47" t="n"/>
      <c r="W617" s="47" t="n"/>
    </row>
    <row r="618" ht="11.25" customHeight="1">
      <c r="A618" s="30" t="inlineStr">
        <is>
          <t>Porto Real</t>
        </is>
      </c>
      <c r="B618" s="30" t="n">
        <v>87378586</v>
      </c>
      <c r="C618" s="30">
        <f>"05460736000247"</f>
        <v/>
      </c>
      <c r="D618" s="30" t="inlineStr">
        <is>
          <t>NET FACIL SISTEMAS ELETRONICOS LTDA - ME</t>
        </is>
      </c>
      <c r="E618" s="40" t="n">
        <v>0</v>
      </c>
      <c r="F618" s="40" t="n">
        <v>0</v>
      </c>
      <c r="G618" s="40" t="n">
        <v>0</v>
      </c>
      <c r="H618" s="40" t="n">
        <v>0</v>
      </c>
      <c r="I618" s="40" t="n">
        <v>0</v>
      </c>
      <c r="J618" s="40" t="n">
        <v>0</v>
      </c>
      <c r="K618" s="40" t="n">
        <v>0</v>
      </c>
      <c r="L618" s="40" t="n">
        <v>0</v>
      </c>
      <c r="M618" s="40" t="n">
        <v>0</v>
      </c>
      <c r="N618" s="40" t="n">
        <v>0</v>
      </c>
      <c r="O618" s="40" t="n">
        <v>0</v>
      </c>
      <c r="P618" s="40" t="n">
        <v>0</v>
      </c>
      <c r="Q618" s="40" t="n">
        <v>0</v>
      </c>
      <c r="R618" s="47" t="n"/>
      <c r="S618" s="47" t="n"/>
      <c r="T618" s="47" t="n"/>
      <c r="U618" s="47" t="n"/>
      <c r="V618" s="47" t="n"/>
      <c r="W618" s="47" t="n"/>
    </row>
    <row r="619" ht="11.25" customHeight="1">
      <c r="A619" s="30" t="inlineStr">
        <is>
          <t>Porto Real</t>
        </is>
      </c>
      <c r="B619" s="30" t="n">
        <v>87387143</v>
      </c>
      <c r="C619" s="30">
        <f>"05342379000646"</f>
        <v/>
      </c>
      <c r="D619" s="30" t="inlineStr">
        <is>
          <t>KM CARGO MULTIMODAL E LOGISTICA LTDA</t>
        </is>
      </c>
      <c r="E619" s="40" t="n">
        <v>0</v>
      </c>
      <c r="F619" s="40" t="n">
        <v>0</v>
      </c>
      <c r="G619" s="40" t="n">
        <v>0</v>
      </c>
      <c r="H619" s="40" t="n">
        <v>0</v>
      </c>
      <c r="I619" s="40" t="n">
        <v>0</v>
      </c>
      <c r="J619" s="40" t="n">
        <v>0</v>
      </c>
      <c r="K619" s="40" t="n">
        <v>0</v>
      </c>
      <c r="L619" s="40" t="n">
        <v>0</v>
      </c>
      <c r="M619" s="40" t="n">
        <v>0</v>
      </c>
      <c r="N619" s="40" t="n">
        <v>735.53</v>
      </c>
      <c r="O619" s="40" t="n">
        <v>100</v>
      </c>
      <c r="P619" s="40" t="n">
        <v>4337.49</v>
      </c>
      <c r="Q619" s="40" t="n">
        <v>489.71</v>
      </c>
      <c r="R619" s="47" t="n"/>
      <c r="S619" s="47" t="n"/>
      <c r="T619" s="47" t="n"/>
      <c r="U619" s="47" t="n"/>
      <c r="V619" s="47" t="n"/>
      <c r="W619" s="47" t="n"/>
    </row>
    <row r="620" ht="11.25" customHeight="1">
      <c r="A620" s="30" t="inlineStr">
        <is>
          <t>Porto Real</t>
        </is>
      </c>
      <c r="B620" s="30" t="n">
        <v>87391469</v>
      </c>
      <c r="C620" s="30">
        <f>"28081130000115"</f>
        <v/>
      </c>
      <c r="D620" s="30" t="inlineStr">
        <is>
          <t>FELISA METAIS EIRELI</t>
        </is>
      </c>
      <c r="E620" s="40" t="n">
        <v>0</v>
      </c>
      <c r="F620" s="40" t="n">
        <v>2580706.45</v>
      </c>
      <c r="G620" s="40" t="n">
        <v>100</v>
      </c>
      <c r="H620" s="40" t="n">
        <v>0</v>
      </c>
      <c r="I620" s="46" t="n">
        <v>-100</v>
      </c>
      <c r="J620" s="40" t="n">
        <v>1086649.52</v>
      </c>
      <c r="K620" s="40" t="n">
        <v>100</v>
      </c>
      <c r="L620" s="40" t="n">
        <v>2049340.43</v>
      </c>
      <c r="M620" s="40" t="n">
        <v>88.59</v>
      </c>
      <c r="N620" s="40" t="n">
        <v>0</v>
      </c>
      <c r="O620" s="46" t="n">
        <v>-100</v>
      </c>
      <c r="P620" s="40" t="n">
        <v>0</v>
      </c>
      <c r="Q620" s="40" t="n">
        <v>0</v>
      </c>
      <c r="R620" s="47" t="n"/>
      <c r="S620" s="47" t="n"/>
      <c r="T620" s="47" t="n"/>
      <c r="U620" s="47" t="n"/>
      <c r="V620" s="47" t="n"/>
      <c r="W620" s="47" t="n"/>
    </row>
    <row r="621" ht="11.25" customHeight="1">
      <c r="A621" s="30" t="inlineStr">
        <is>
          <t>Porto Real</t>
        </is>
      </c>
      <c r="B621" s="30" t="n">
        <v>87393038</v>
      </c>
      <c r="C621" s="30">
        <f>"28072149000103"</f>
        <v/>
      </c>
      <c r="D621" s="30" t="inlineStr">
        <is>
          <t>TOP FLEX COMERCIO E SERVICOS EIRELI EPP</t>
        </is>
      </c>
      <c r="E621" s="40" t="n">
        <v>0</v>
      </c>
      <c r="F621" s="40" t="n">
        <v>0</v>
      </c>
      <c r="G621" s="40" t="n">
        <v>0</v>
      </c>
      <c r="H621" s="40" t="n">
        <v>0</v>
      </c>
      <c r="I621" s="40" t="n">
        <v>0</v>
      </c>
      <c r="J621" s="40" t="n">
        <v>0</v>
      </c>
      <c r="K621" s="40" t="n">
        <v>0</v>
      </c>
      <c r="L621" s="40" t="n">
        <v>0</v>
      </c>
      <c r="M621" s="40" t="n">
        <v>0</v>
      </c>
      <c r="N621" s="40" t="n">
        <v>1535184.1</v>
      </c>
      <c r="O621" s="40" t="n">
        <v>100</v>
      </c>
      <c r="P621" s="40" t="n">
        <v>0</v>
      </c>
      <c r="Q621" s="46" t="n">
        <v>-100</v>
      </c>
      <c r="R621" s="47" t="n"/>
      <c r="S621" s="47" t="n"/>
      <c r="T621" s="47" t="n"/>
      <c r="U621" s="47" t="n"/>
      <c r="V621" s="47" t="n"/>
      <c r="W621" s="47" t="n"/>
    </row>
    <row r="622" ht="11.25" customHeight="1">
      <c r="A622" s="30" t="inlineStr">
        <is>
          <t>Porto Real</t>
        </is>
      </c>
      <c r="B622" s="30" t="n">
        <v>87403246</v>
      </c>
      <c r="C622" s="30">
        <f>"32492373003996"</f>
        <v/>
      </c>
      <c r="D622" s="30" t="inlineStr">
        <is>
          <t>TRANSPORTE EXCELSIOR LTDA</t>
        </is>
      </c>
      <c r="E622" s="40" t="n">
        <v>9355926.18</v>
      </c>
      <c r="F622" s="40" t="n">
        <v>33509680.74</v>
      </c>
      <c r="G622" s="40" t="n">
        <v>258.17</v>
      </c>
      <c r="H622" s="40" t="n">
        <v>33219954.98</v>
      </c>
      <c r="I622" s="46" t="n">
        <v>-0.86</v>
      </c>
      <c r="J622" s="40" t="n">
        <v>17870721.04</v>
      </c>
      <c r="K622" s="46" t="n">
        <v>-46.2</v>
      </c>
      <c r="L622" s="40" t="n">
        <v>16823268.97</v>
      </c>
      <c r="M622" s="46" t="n">
        <v>-5.86</v>
      </c>
      <c r="N622" s="40" t="n">
        <v>12279255.45</v>
      </c>
      <c r="O622" s="46" t="n">
        <v>-27.01</v>
      </c>
      <c r="P622" s="40" t="n">
        <v>17388844.67</v>
      </c>
      <c r="Q622" s="40" t="n">
        <v>41.61</v>
      </c>
      <c r="R622" s="47" t="n"/>
      <c r="S622" s="47" t="n"/>
      <c r="T622" s="47" t="n"/>
      <c r="U622" s="47" t="n"/>
      <c r="V622" s="47" t="n"/>
      <c r="W622" s="47" t="n"/>
    </row>
    <row r="623" ht="11.25" customHeight="1">
      <c r="A623" s="30" t="inlineStr">
        <is>
          <t>Porto Real</t>
        </is>
      </c>
      <c r="B623" s="30" t="n">
        <v>87426912</v>
      </c>
      <c r="C623" s="30">
        <f>"07381852002240"</f>
        <v/>
      </c>
      <c r="D623" s="30" t="inlineStr">
        <is>
          <t>JPS FARMA LIMITADA</t>
        </is>
      </c>
      <c r="E623" s="40" t="n">
        <v>0</v>
      </c>
      <c r="F623" s="40" t="n">
        <v>925498.12</v>
      </c>
      <c r="G623" s="40" t="n">
        <v>100</v>
      </c>
      <c r="H623" s="40" t="n">
        <v>1073476.57</v>
      </c>
      <c r="I623" s="40" t="n">
        <v>15.99</v>
      </c>
      <c r="J623" s="40" t="n">
        <v>1010868.79</v>
      </c>
      <c r="K623" s="46" t="n">
        <v>-5.83</v>
      </c>
      <c r="L623" s="40" t="n">
        <v>701325.8199999999</v>
      </c>
      <c r="M623" s="46" t="n">
        <v>-30.62</v>
      </c>
      <c r="N623" s="40" t="n">
        <v>889448.1</v>
      </c>
      <c r="O623" s="40" t="n">
        <v>26.82</v>
      </c>
      <c r="P623" s="40" t="n">
        <v>1045389.54</v>
      </c>
      <c r="Q623" s="40" t="n">
        <v>17.53</v>
      </c>
      <c r="R623" s="47" t="n"/>
      <c r="S623" s="47" t="n"/>
      <c r="T623" s="47" t="n"/>
      <c r="U623" s="47" t="n"/>
      <c r="V623" s="47" t="n"/>
      <c r="W623" s="47" t="n"/>
    </row>
    <row r="624" ht="11.25" customHeight="1">
      <c r="A624" s="30" t="inlineStr">
        <is>
          <t>Porto Real</t>
        </is>
      </c>
      <c r="B624" s="30" t="n">
        <v>87444490</v>
      </c>
      <c r="C624" s="30">
        <f>"28772948000184"</f>
        <v/>
      </c>
      <c r="D624" s="30" t="inlineStr">
        <is>
          <t>FERNANDO F DE VASCONCELLOS COMÉRCIO ATACADISTA DE PRODUTOS DE HIGIENE E LIMPEZA</t>
        </is>
      </c>
      <c r="E624" s="40" t="n">
        <v>0</v>
      </c>
      <c r="F624" s="40" t="n">
        <v>0</v>
      </c>
      <c r="G624" s="40" t="n">
        <v>0</v>
      </c>
      <c r="H624" s="40" t="n">
        <v>0</v>
      </c>
      <c r="I624" s="40" t="n">
        <v>0</v>
      </c>
      <c r="J624" s="40" t="n">
        <v>0</v>
      </c>
      <c r="K624" s="40" t="n">
        <v>0</v>
      </c>
      <c r="L624" s="40" t="n">
        <v>0</v>
      </c>
      <c r="M624" s="40" t="n">
        <v>0</v>
      </c>
      <c r="N624" s="40" t="n">
        <v>0</v>
      </c>
      <c r="O624" s="40" t="n">
        <v>0</v>
      </c>
      <c r="P624" s="40" t="n">
        <v>0</v>
      </c>
      <c r="Q624" s="40" t="n">
        <v>0</v>
      </c>
      <c r="R624" s="47" t="n"/>
      <c r="S624" s="47" t="n"/>
      <c r="T624" s="47" t="n"/>
      <c r="U624" s="47" t="n"/>
      <c r="V624" s="47" t="n"/>
      <c r="W624" s="47" t="n"/>
    </row>
    <row r="625" ht="11.25" customHeight="1">
      <c r="A625" s="30" t="inlineStr">
        <is>
          <t>Porto Real</t>
        </is>
      </c>
      <c r="B625" s="30" t="n">
        <v>87456218</v>
      </c>
      <c r="C625" s="30">
        <f>"01178298002211"</f>
        <v/>
      </c>
      <c r="D625" s="30" t="inlineStr">
        <is>
          <t>FAURECIA AUTOMOTIVE DO BRASIL LTDA</t>
        </is>
      </c>
      <c r="E625" s="40" t="n">
        <v>0</v>
      </c>
      <c r="F625" s="40" t="n">
        <v>17675418.5</v>
      </c>
      <c r="G625" s="40" t="n">
        <v>100</v>
      </c>
      <c r="H625" s="40" t="n">
        <v>9167758.59</v>
      </c>
      <c r="I625" s="46" t="n">
        <v>-48.13</v>
      </c>
      <c r="J625" s="40" t="n">
        <v>4649947.72</v>
      </c>
      <c r="K625" s="46" t="n">
        <v>-49.28</v>
      </c>
      <c r="L625" s="40" t="n">
        <v>5500116.82</v>
      </c>
      <c r="M625" s="40" t="n">
        <v>18.28</v>
      </c>
      <c r="N625" s="40" t="n">
        <v>11228289.53</v>
      </c>
      <c r="O625" s="40" t="n">
        <v>104.15</v>
      </c>
      <c r="P625" s="40" t="n">
        <v>12090190.5</v>
      </c>
      <c r="Q625" s="40" t="n">
        <v>7.68</v>
      </c>
      <c r="R625" s="47" t="n"/>
      <c r="S625" s="47" t="n"/>
      <c r="T625" s="47" t="n"/>
      <c r="U625" s="47" t="n"/>
      <c r="V625" s="47" t="n"/>
      <c r="W625" s="47" t="n"/>
    </row>
    <row r="626" ht="11.25" customHeight="1">
      <c r="A626" s="30" t="inlineStr">
        <is>
          <t>Porto Real</t>
        </is>
      </c>
      <c r="B626" s="30" t="n">
        <v>87463737</v>
      </c>
      <c r="C626" s="30">
        <f>"07973198000481"</f>
        <v/>
      </c>
      <c r="D626" s="30" t="inlineStr">
        <is>
          <t>EUROLAF VEICULOS ESPECIAIS LTDA</t>
        </is>
      </c>
      <c r="E626" s="40" t="n">
        <v>0</v>
      </c>
      <c r="F626" s="40" t="n">
        <v>3281230.67</v>
      </c>
      <c r="G626" s="40" t="n">
        <v>100</v>
      </c>
      <c r="H626" s="40" t="n">
        <v>8193885.93</v>
      </c>
      <c r="I626" s="40" t="n">
        <v>149.72</v>
      </c>
      <c r="J626" s="40" t="n">
        <v>0</v>
      </c>
      <c r="K626" s="46" t="n">
        <v>-100</v>
      </c>
      <c r="L626" s="40" t="n">
        <v>0</v>
      </c>
      <c r="M626" s="40" t="n">
        <v>0</v>
      </c>
      <c r="N626" s="40" t="n">
        <v>0</v>
      </c>
      <c r="O626" s="40" t="n">
        <v>0</v>
      </c>
      <c r="P626" s="40" t="n">
        <v>0</v>
      </c>
      <c r="Q626" s="40" t="n">
        <v>0</v>
      </c>
      <c r="R626" s="47" t="n"/>
      <c r="S626" s="47" t="n"/>
      <c r="T626" s="47" t="n"/>
      <c r="U626" s="47" t="n"/>
      <c r="V626" s="47" t="n"/>
      <c r="W626" s="47" t="n"/>
    </row>
    <row r="627" ht="11.25" customHeight="1">
      <c r="A627" s="30" t="inlineStr">
        <is>
          <t>Porto Real</t>
        </is>
      </c>
      <c r="B627" s="30" t="n">
        <v>87467708</v>
      </c>
      <c r="C627" s="30">
        <f>"13786475000288"</f>
        <v/>
      </c>
      <c r="D627" s="30" t="inlineStr">
        <is>
          <t>TRANS ARISTEU TRANSPORTES RODOVIARIOS LTDA - EPP</t>
        </is>
      </c>
      <c r="E627" s="40" t="n">
        <v>0</v>
      </c>
      <c r="F627" s="40" t="n">
        <v>0</v>
      </c>
      <c r="G627" s="40" t="n">
        <v>0</v>
      </c>
      <c r="H627" s="40" t="n">
        <v>0</v>
      </c>
      <c r="I627" s="40" t="n">
        <v>0</v>
      </c>
      <c r="J627" s="40" t="n">
        <v>0</v>
      </c>
      <c r="K627" s="40" t="n">
        <v>0</v>
      </c>
      <c r="L627" s="40" t="n">
        <v>0</v>
      </c>
      <c r="M627" s="40" t="n">
        <v>0</v>
      </c>
      <c r="N627" s="40" t="n">
        <v>0</v>
      </c>
      <c r="O627" s="40" t="n">
        <v>0</v>
      </c>
      <c r="P627" s="40" t="n">
        <v>0</v>
      </c>
      <c r="Q627" s="40" t="n">
        <v>0</v>
      </c>
      <c r="R627" s="47" t="n"/>
      <c r="S627" s="47" t="n"/>
      <c r="T627" s="47" t="n"/>
      <c r="U627" s="47" t="n"/>
      <c r="V627" s="47" t="n"/>
      <c r="W627" s="47" t="n"/>
    </row>
    <row r="628" ht="11.25" customHeight="1">
      <c r="A628" s="30" t="inlineStr">
        <is>
          <t>Porto Real</t>
        </is>
      </c>
      <c r="B628" s="30" t="n">
        <v>87469662</v>
      </c>
      <c r="C628" s="30">
        <f>"28660569000100"</f>
        <v/>
      </c>
      <c r="D628" s="30" t="inlineStr">
        <is>
          <t>T2W LOGISTICA E TRANSPORTES LTDA ME</t>
        </is>
      </c>
      <c r="E628" s="40" t="n">
        <v>0</v>
      </c>
      <c r="F628" s="40" t="n">
        <v>0</v>
      </c>
      <c r="G628" s="40" t="n">
        <v>0</v>
      </c>
      <c r="H628" s="40" t="n">
        <v>4291608.51</v>
      </c>
      <c r="I628" s="40" t="n">
        <v>100</v>
      </c>
      <c r="J628" s="40" t="n">
        <v>18469.5</v>
      </c>
      <c r="K628" s="46" t="n">
        <v>-99.56999999999999</v>
      </c>
      <c r="L628" s="40" t="n">
        <v>0</v>
      </c>
      <c r="M628" s="46" t="n">
        <v>-100</v>
      </c>
      <c r="N628" s="40" t="n">
        <v>0</v>
      </c>
      <c r="O628" s="40" t="n">
        <v>0</v>
      </c>
      <c r="P628" s="40" t="n">
        <v>0</v>
      </c>
      <c r="Q628" s="40" t="n">
        <v>0</v>
      </c>
      <c r="R628" s="47" t="n"/>
      <c r="S628" s="47" t="n"/>
      <c r="T628" s="47" t="n"/>
      <c r="U628" s="47" t="n"/>
      <c r="V628" s="47" t="n"/>
      <c r="W628" s="47" t="n"/>
    </row>
    <row r="629" ht="11.25" customHeight="1">
      <c r="A629" s="30" t="inlineStr">
        <is>
          <t>Porto Real</t>
        </is>
      </c>
      <c r="B629" s="30" t="n">
        <v>92002420</v>
      </c>
      <c r="C629" s="30">
        <f>"00497373000110"</f>
        <v/>
      </c>
      <c r="D629" s="30" t="inlineStr">
        <is>
          <t>SKY SERVICOS DE BANDA LARGA LTDA.</t>
        </is>
      </c>
      <c r="E629" s="40" t="n">
        <v>519499.55</v>
      </c>
      <c r="F629" s="40" t="n">
        <v>626450.6800000001</v>
      </c>
      <c r="G629" s="40" t="n">
        <v>20.59</v>
      </c>
      <c r="H629" s="40" t="n">
        <v>571982.33</v>
      </c>
      <c r="I629" s="46" t="n">
        <v>-8.69</v>
      </c>
      <c r="J629" s="40" t="n">
        <v>514792.55</v>
      </c>
      <c r="K629" s="46" t="n">
        <v>-10</v>
      </c>
      <c r="L629" s="40" t="n">
        <v>447808.89</v>
      </c>
      <c r="M629" s="46" t="n">
        <v>-13.01</v>
      </c>
      <c r="N629" s="40" t="n">
        <v>394337.27</v>
      </c>
      <c r="O629" s="46" t="n">
        <v>-11.94</v>
      </c>
      <c r="P629" s="40" t="n">
        <v>340356.17</v>
      </c>
      <c r="Q629" s="46" t="n">
        <v>-13.69</v>
      </c>
      <c r="R629" s="47" t="n"/>
      <c r="S629" s="47" t="n"/>
      <c r="T629" s="47" t="n"/>
      <c r="U629" s="47" t="n"/>
      <c r="V629" s="47" t="n"/>
      <c r="W629" s="47" t="n"/>
    </row>
    <row r="630" ht="11.25" customHeight="1">
      <c r="A630" s="30" t="inlineStr">
        <is>
          <t>Porto Real</t>
        </is>
      </c>
      <c r="B630" s="30" t="n">
        <v>92006654</v>
      </c>
      <c r="C630" s="30">
        <f>"72820822000120"</f>
        <v/>
      </c>
      <c r="D630" s="30" t="inlineStr">
        <is>
          <t>SKY BRASIL SERVICOS LTDA</t>
        </is>
      </c>
      <c r="E630" s="40" t="n">
        <v>45020.03</v>
      </c>
      <c r="F630" s="40" t="n">
        <v>0</v>
      </c>
      <c r="G630" s="46" t="n">
        <v>-100</v>
      </c>
      <c r="H630" s="40" t="n">
        <v>0</v>
      </c>
      <c r="I630" s="40" t="n">
        <v>0</v>
      </c>
      <c r="J630" s="40" t="n">
        <v>0</v>
      </c>
      <c r="K630" s="40" t="n">
        <v>0</v>
      </c>
      <c r="L630" s="40" t="n">
        <v>0</v>
      </c>
      <c r="M630" s="40" t="n">
        <v>0</v>
      </c>
      <c r="N630" s="40" t="n">
        <v>0</v>
      </c>
      <c r="O630" s="40" t="n">
        <v>0</v>
      </c>
      <c r="P630" s="40" t="n">
        <v>0</v>
      </c>
      <c r="Q630" s="40" t="n">
        <v>0</v>
      </c>
      <c r="R630" s="47" t="n"/>
      <c r="S630" s="47" t="n"/>
      <c r="T630" s="47" t="n"/>
      <c r="U630" s="47" t="n"/>
      <c r="V630" s="47" t="n"/>
      <c r="W630" s="47" t="n"/>
    </row>
    <row r="631" ht="11.25" customHeight="1">
      <c r="A631" s="30" t="inlineStr">
        <is>
          <t>Porto Real</t>
        </is>
      </c>
      <c r="B631" s="30" t="n">
        <v>92035956</v>
      </c>
      <c r="C631" s="30">
        <f>"05206385000404"</f>
        <v/>
      </c>
      <c r="D631" s="30" t="inlineStr">
        <is>
          <t>HUGHES TELECOMUNICACOES DO BRASIL LTDA.</t>
        </is>
      </c>
      <c r="E631" s="40" t="n">
        <v>11613.22</v>
      </c>
      <c r="F631" s="40" t="n">
        <v>12700.17</v>
      </c>
      <c r="G631" s="40" t="n">
        <v>9.359999999999999</v>
      </c>
      <c r="H631" s="40" t="n">
        <v>12810.26</v>
      </c>
      <c r="I631" s="40" t="n">
        <v>0.87</v>
      </c>
      <c r="J631" s="40" t="n">
        <v>9230.879999999999</v>
      </c>
      <c r="K631" s="46" t="n">
        <v>-27.94</v>
      </c>
      <c r="L631" s="40" t="n">
        <v>0</v>
      </c>
      <c r="M631" s="46" t="n">
        <v>-100</v>
      </c>
      <c r="N631" s="40" t="n">
        <v>0</v>
      </c>
      <c r="O631" s="40" t="n">
        <v>0</v>
      </c>
      <c r="P631" s="40" t="n">
        <v>0</v>
      </c>
      <c r="Q631" s="40" t="n">
        <v>0</v>
      </c>
      <c r="R631" s="47" t="n"/>
      <c r="S631" s="47" t="n"/>
      <c r="T631" s="47" t="n"/>
      <c r="U631" s="47" t="n"/>
      <c r="V631" s="47" t="n"/>
      <c r="W631" s="47" t="n"/>
    </row>
    <row r="632" ht="11.25" customHeight="1">
      <c r="A632" s="30" t="inlineStr">
        <is>
          <t>Porto Real</t>
        </is>
      </c>
      <c r="B632" s="30" t="n">
        <v>99199997</v>
      </c>
      <c r="C632" s="30">
        <f>"42498675000152"</f>
        <v/>
      </c>
      <c r="D632" s="30" t="inlineStr">
        <is>
          <t>RF 9999 SUPERINTENDENCIA ESTADUAL CADASTRO E INF ECON FISCAIS</t>
        </is>
      </c>
      <c r="E632" s="40" t="n">
        <v>623699.59</v>
      </c>
      <c r="F632" s="40" t="n">
        <v>2046919.76</v>
      </c>
      <c r="G632" s="40" t="n">
        <v>228.19</v>
      </c>
      <c r="H632" s="40" t="n">
        <v>2119690.81</v>
      </c>
      <c r="I632" s="40" t="n">
        <v>3.56</v>
      </c>
      <c r="J632" s="40" t="n">
        <v>2527277.84</v>
      </c>
      <c r="K632" s="40" t="n">
        <v>19.23</v>
      </c>
      <c r="L632" s="40" t="n">
        <v>2631273.07</v>
      </c>
      <c r="M632" s="40" t="n">
        <v>4.11</v>
      </c>
      <c r="N632" s="40" t="n">
        <v>3889569.06</v>
      </c>
      <c r="O632" s="40" t="n">
        <v>47.82</v>
      </c>
      <c r="P632" s="40" t="n">
        <v>4473459.3</v>
      </c>
      <c r="Q632" s="40" t="n">
        <v>15.01</v>
      </c>
      <c r="R632" s="47" t="n"/>
      <c r="S632" s="47" t="n"/>
      <c r="T632" s="47" t="n"/>
      <c r="U632" s="47" t="n"/>
      <c r="V632" s="47" t="n"/>
      <c r="W632" s="47" t="n"/>
    </row>
    <row r="633" ht="12" customHeight="1">
      <c r="C633" s="8">
        <f>SUBTOTAL(103,TB_Var_POR[CPF_CNPJ])</f>
        <v/>
      </c>
      <c r="E633" s="41">
        <f>SUBTOTAL(109,TB_Var_POR[2017 R$])</f>
        <v/>
      </c>
      <c r="F633" s="41">
        <f>SUBTOTAL(109,TB_Var_POR[2018 R$])</f>
        <v/>
      </c>
      <c r="H633" s="41">
        <f>SUBTOTAL(109,TB_Var_POR[2019 R$])</f>
        <v/>
      </c>
      <c r="J633" s="41">
        <f>SUBTOTAL(109,TB_Var_POR[2020 R$])</f>
        <v/>
      </c>
      <c r="L633" s="41">
        <f>SUBTOTAL(109,TB_Var_POR[2021 R$])</f>
        <v/>
      </c>
      <c r="N633" s="41">
        <f>SUBTOTAL(109,TB_Var_POR[2022 R$])</f>
        <v/>
      </c>
      <c r="P633" s="41">
        <f>SUBTOTAL(109,TB_Var_POR[2023 R$])</f>
        <v/>
      </c>
    </row>
  </sheetData>
  <pageMargins left="0.3937007874015748" right="0" top="0.3937007874015748" bottom="0.3937007874015748" header="0.1968503937007874" footer="0"/>
  <pageSetup orientation="landscape" paperSize="9" scale="56"/>
  <headerFooter>
    <oddHeader>&amp;C&amp;"Arial,Normal"&amp;8 &amp;P / &amp;N</oddHeader>
    <oddFooter/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35"/>
  <sheetViews>
    <sheetView workbookViewId="0">
      <selection activeCell="A1" sqref="A1"/>
    </sheetView>
  </sheetViews>
  <sheetFormatPr baseColWidth="8" defaultRowHeight="15"/>
  <cols>
    <col width="51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50" t="inlineStr">
        <is>
          <t>ESTUDO DA EVOLUÇÃO - VALOR ADICIONADO</t>
        </is>
      </c>
    </row>
    <row r="2">
      <c r="A2" s="51" t="inlineStr">
        <is>
          <t>Município - Areal</t>
        </is>
      </c>
    </row>
    <row r="3">
      <c r="A3" s="52" t="inlineStr">
        <is>
          <t>Relatório Calculado em: 19/11/2024</t>
        </is>
      </c>
    </row>
    <row r="4">
      <c r="A4" s="53" t="n"/>
    </row>
    <row r="5">
      <c r="A5" s="53" t="n"/>
    </row>
    <row r="6">
      <c r="A6" s="53" t="n"/>
    </row>
    <row r="7">
      <c r="A7" s="52" t="inlineStr">
        <is>
          <t>VALOR TOTAL AGREGADO POR ANO</t>
        </is>
      </c>
    </row>
    <row r="8">
      <c r="A8" s="52" t="inlineStr">
        <is>
          <t>2017</t>
        </is>
      </c>
      <c r="B8" s="54" t="n">
        <v>253990330.33</v>
      </c>
    </row>
    <row r="9">
      <c r="A9" s="52" t="inlineStr">
        <is>
          <t>2018</t>
        </is>
      </c>
      <c r="B9" s="54" t="n">
        <v>222041227.31</v>
      </c>
    </row>
    <row r="10">
      <c r="A10" s="52" t="inlineStr">
        <is>
          <t>2019</t>
        </is>
      </c>
      <c r="B10" s="54" t="n">
        <v>243440672.98</v>
      </c>
    </row>
    <row r="11">
      <c r="A11" s="52" t="inlineStr">
        <is>
          <t>2020</t>
        </is>
      </c>
      <c r="B11" s="54" t="n">
        <v>336402328.24</v>
      </c>
    </row>
    <row r="12">
      <c r="A12" s="52" t="inlineStr">
        <is>
          <t>2021</t>
        </is>
      </c>
      <c r="B12" s="54" t="n">
        <v>436505143.0199999</v>
      </c>
    </row>
    <row r="13">
      <c r="A13" s="52" t="inlineStr">
        <is>
          <t>2022</t>
        </is>
      </c>
      <c r="B13" s="54" t="n">
        <v>525167460</v>
      </c>
    </row>
    <row r="14">
      <c r="A14" s="52" t="inlineStr">
        <is>
          <t>2023</t>
        </is>
      </c>
      <c r="B14" s="54" t="n">
        <v>595066625.1</v>
      </c>
    </row>
    <row r="15">
      <c r="A15" s="53" t="n"/>
    </row>
    <row r="16">
      <c r="A16" s="53" t="n"/>
    </row>
    <row r="17">
      <c r="A17" s="52" t="inlineStr">
        <is>
          <t>TOTAL DE CONTRIBUINTES</t>
        </is>
      </c>
      <c r="B17" s="55" t="n">
        <v>362</v>
      </c>
    </row>
    <row r="18">
      <c r="A18" s="53" t="n"/>
    </row>
    <row r="19">
      <c r="A19" s="53" t="n"/>
    </row>
    <row r="20">
      <c r="A20" s="52" t="inlineStr">
        <is>
          <t>CONTAGEM DE TENDÊNCIAS</t>
        </is>
      </c>
    </row>
    <row r="21">
      <c r="A21" s="52" t="inlineStr">
        <is>
          <t>CRESCIMENTO</t>
        </is>
      </c>
      <c r="B21" s="15" t="n">
        <v>13</v>
      </c>
    </row>
    <row r="22">
      <c r="A22" s="52" t="inlineStr">
        <is>
          <t>ESTÁVEL</t>
        </is>
      </c>
      <c r="B22" s="15" t="n">
        <v>0</v>
      </c>
    </row>
    <row r="23">
      <c r="A23" s="52" t="inlineStr">
        <is>
          <t>DECLÍNIO</t>
        </is>
      </c>
      <c r="B23" s="15" t="n">
        <v>6</v>
      </c>
    </row>
    <row r="24">
      <c r="A24" s="53" t="n"/>
    </row>
    <row r="25">
      <c r="A25" s="53" t="n"/>
    </row>
    <row r="26">
      <c r="A26" s="52" t="inlineStr">
        <is>
          <t>DESVIO PADRÃO 2017 - 2023</t>
        </is>
      </c>
    </row>
    <row r="27">
      <c r="A27" s="52" t="inlineStr">
        <is>
          <t>RAZSOC</t>
        </is>
      </c>
      <c r="B27" s="56" t="inlineStr">
        <is>
          <t>INSCEST</t>
        </is>
      </c>
      <c r="C27" s="56" t="inlineStr">
        <is>
          <t>VALOR DP</t>
        </is>
      </c>
      <c r="D27" s="56" t="inlineStr">
        <is>
          <t>MÉDIA</t>
        </is>
      </c>
      <c r="E27" s="56" t="inlineStr">
        <is>
          <t>MEDIANA</t>
        </is>
      </c>
    </row>
    <row r="28">
      <c r="A28" s="57" t="inlineStr">
        <is>
          <t>LABORATORIOS PIERRE FABRE DO BRASIL LTDA</t>
        </is>
      </c>
      <c r="B28" s="54" t="inlineStr">
        <is>
          <t>80824335.0</t>
        </is>
      </c>
      <c r="C28" s="54" t="n">
        <v>131741744.0565417</v>
      </c>
      <c r="D28" s="54" t="n">
        <v>228828421.2028572</v>
      </c>
      <c r="E28" s="54" t="n">
        <v>169925024.06</v>
      </c>
    </row>
    <row r="29">
      <c r="A29" s="57" t="inlineStr">
        <is>
          <t>QUANTA GERACAO S/A</t>
        </is>
      </c>
      <c r="B29" s="54" t="inlineStr">
        <is>
          <t>78148640.0</t>
        </is>
      </c>
      <c r="C29" s="54" t="n">
        <v>33229748.46207271</v>
      </c>
      <c r="D29" s="54" t="n">
        <v>43705186.51857143</v>
      </c>
      <c r="E29" s="54" t="n">
        <v>55164379.35</v>
      </c>
    </row>
    <row r="30">
      <c r="A30" s="57" t="inlineStr">
        <is>
          <t>QUANTA GERACAO S/A</t>
        </is>
      </c>
      <c r="B30" s="54" t="inlineStr">
        <is>
          <t>78318554.0</t>
        </is>
      </c>
      <c r="C30" s="54" t="n">
        <v>4871487.276111007</v>
      </c>
      <c r="D30" s="54" t="n">
        <v>8500078.109999999</v>
      </c>
      <c r="E30" s="54" t="n">
        <v>10019442.08</v>
      </c>
    </row>
    <row r="31">
      <c r="A31" s="57" t="inlineStr">
        <is>
          <t>AMPLA ENERGIA E SERVICOS S.A.</t>
        </is>
      </c>
      <c r="B31" s="54" t="inlineStr">
        <is>
          <t>80046561.0</t>
        </is>
      </c>
      <c r="C31" s="54" t="n">
        <v>3508353.64818295</v>
      </c>
      <c r="D31" s="54" t="n">
        <v>19449551.48142857</v>
      </c>
      <c r="E31" s="54" t="n">
        <v>18304939.41</v>
      </c>
    </row>
    <row r="32">
      <c r="A32" s="57" t="inlineStr">
        <is>
          <t>NOVA A3 INDUSTRIA E COMERCIO LTDA</t>
        </is>
      </c>
      <c r="B32" s="54" t="inlineStr">
        <is>
          <t>77327070.0</t>
        </is>
      </c>
      <c r="C32" s="54" t="n">
        <v>3081670.551816774</v>
      </c>
      <c r="D32" s="54" t="n">
        <v>20492620.76285714</v>
      </c>
      <c r="E32" s="54" t="n">
        <v>19647521.73</v>
      </c>
    </row>
    <row r="33">
      <c r="A33" s="57" t="inlineStr">
        <is>
          <t>ADVANCED NUTRITION IND COM DE ALIMENTOS E COSMETICOS LTDA</t>
        </is>
      </c>
      <c r="B33" s="54" t="inlineStr">
        <is>
          <t>78847980.0</t>
        </is>
      </c>
      <c r="C33" s="54" t="n">
        <v>1903078.635119499</v>
      </c>
      <c r="D33" s="54" t="n">
        <v>5976863.551428572</v>
      </c>
      <c r="E33" s="54" t="n">
        <v>5541242.76</v>
      </c>
    </row>
    <row r="34">
      <c r="A34" s="57" t="inlineStr">
        <is>
          <t>CEREAIS BRAMIL LTDA</t>
        </is>
      </c>
      <c r="B34" s="54" t="inlineStr">
        <is>
          <t>80820151.0</t>
        </is>
      </c>
      <c r="C34" s="54" t="n">
        <v>1657753.220427507</v>
      </c>
      <c r="D34" s="54" t="n">
        <v>8626536.248571429</v>
      </c>
      <c r="E34" s="54" t="n">
        <v>8560462.220000001</v>
      </c>
    </row>
    <row r="35">
      <c r="A35" s="57" t="inlineStr">
        <is>
          <t>TIM S.A.</t>
        </is>
      </c>
      <c r="B35" s="54" t="inlineStr">
        <is>
          <t>86092085.0</t>
        </is>
      </c>
      <c r="C35" s="54" t="n">
        <v>1322118.259807626</v>
      </c>
      <c r="D35" s="54" t="n">
        <v>2526338.661428571</v>
      </c>
      <c r="E35" s="54" t="n">
        <v>3052291.59</v>
      </c>
    </row>
    <row r="36">
      <c r="A36" s="57" t="inlineStr">
        <is>
          <t>ANDREANI LOGISTICA LTDA</t>
        </is>
      </c>
      <c r="B36" s="54" t="inlineStr">
        <is>
          <t>86789477.0</t>
        </is>
      </c>
      <c r="C36" s="54" t="n">
        <v>1097502.479822483</v>
      </c>
      <c r="D36" s="54" t="n">
        <v>1032847.77</v>
      </c>
      <c r="E36" s="54" t="n">
        <v>275572.38</v>
      </c>
    </row>
    <row r="37">
      <c r="A37" s="57" t="inlineStr">
        <is>
          <t>CLARO S/A</t>
        </is>
      </c>
      <c r="B37" s="54" t="inlineStr">
        <is>
          <t>78002840.0</t>
        </is>
      </c>
      <c r="C37" s="54" t="n">
        <v>926540.2206612304</v>
      </c>
      <c r="D37" s="54" t="n">
        <v>3102817.025714286</v>
      </c>
      <c r="E37" s="54" t="n">
        <v>3542250.55</v>
      </c>
    </row>
    <row r="38">
      <c r="A38" s="57" t="inlineStr">
        <is>
          <t>RF 9999 SUPERINTENDENCIA ESTADUAL CADASTRO E INF ECON FISCAIS</t>
        </is>
      </c>
      <c r="B38" s="54" t="inlineStr">
        <is>
          <t>99199997.0</t>
        </is>
      </c>
      <c r="C38" s="54" t="n">
        <v>874186.7817144489</v>
      </c>
      <c r="D38" s="54" t="n">
        <v>2185926.157142857</v>
      </c>
      <c r="E38" s="54" t="n">
        <v>2566015.19</v>
      </c>
    </row>
    <row r="39">
      <c r="A39" s="57" t="inlineStr">
        <is>
          <t>NEXTEL TELECOMUNICACOES LTDA.</t>
        </is>
      </c>
      <c r="B39" s="54" t="inlineStr">
        <is>
          <t>85727028.0</t>
        </is>
      </c>
      <c r="C39" s="54" t="n">
        <v>668705.2103690844</v>
      </c>
      <c r="D39" s="54" t="n">
        <v>585430.3485714284</v>
      </c>
      <c r="E39" s="54" t="n">
        <v>87590.56</v>
      </c>
    </row>
    <row r="40">
      <c r="A40" s="57" t="inlineStr">
        <is>
          <t>TELEFONICA BRASIL S.A.</t>
        </is>
      </c>
      <c r="B40" s="54" t="inlineStr">
        <is>
          <t>77452443.0</t>
        </is>
      </c>
      <c r="C40" s="54" t="n">
        <v>397666.0070812468</v>
      </c>
      <c r="D40" s="54" t="n">
        <v>1152410.981428572</v>
      </c>
      <c r="E40" s="54" t="n">
        <v>1032235.75</v>
      </c>
    </row>
    <row r="41">
      <c r="A41" s="57" t="inlineStr">
        <is>
          <t>VIACAO PROGRESSO E TURISMO S/A</t>
        </is>
      </c>
      <c r="B41" s="54" t="inlineStr">
        <is>
          <t>80829795.0</t>
        </is>
      </c>
      <c r="C41" s="54" t="n">
        <v>396856.1499183028</v>
      </c>
      <c r="D41" s="54" t="n">
        <v>660696.9157142857</v>
      </c>
      <c r="E41" s="54" t="n">
        <v>600652.66</v>
      </c>
    </row>
    <row r="42">
      <c r="A42" s="57" t="inlineStr">
        <is>
          <t>TNT MERCURIO CARGAS E ENCOMENDAS EXPRESSAS LTDA</t>
        </is>
      </c>
      <c r="B42" s="54" t="inlineStr">
        <is>
          <t>81909032.0</t>
        </is>
      </c>
      <c r="C42" s="54" t="n">
        <v>355001.892278661</v>
      </c>
      <c r="D42" s="54" t="n">
        <v>336935.7842857143</v>
      </c>
      <c r="E42" s="54" t="n">
        <v>223827.73</v>
      </c>
    </row>
    <row r="43">
      <c r="A43" s="57" t="inlineStr">
        <is>
          <t>AREAL MATERIAL DE CONSTRUCAO LTDA</t>
        </is>
      </c>
      <c r="B43" s="54" t="inlineStr">
        <is>
          <t>80825323.0</t>
        </is>
      </c>
      <c r="C43" s="54" t="n">
        <v>238840.0822644055</v>
      </c>
      <c r="D43" s="54" t="n">
        <v>1116484.874285714</v>
      </c>
      <c r="E43" s="54" t="n">
        <v>1068716.47</v>
      </c>
    </row>
    <row r="44">
      <c r="A44" s="57" t="inlineStr">
        <is>
          <t>GASAL- COMERCIO VAREJISTA DE GAS AREAL LTDA</t>
        </is>
      </c>
      <c r="B44" s="54" t="inlineStr">
        <is>
          <t>78655038.0</t>
        </is>
      </c>
      <c r="C44" s="54" t="n">
        <v>145987.0018207647</v>
      </c>
      <c r="D44" s="54" t="n">
        <v>126020.8257142857</v>
      </c>
      <c r="E44" s="54" t="n">
        <v>62405.79</v>
      </c>
    </row>
    <row r="45">
      <c r="A45" s="57" t="inlineStr">
        <is>
          <t>VM OPENLINK COMUNICAÇÃO MULTIMIDIA S.A.</t>
        </is>
      </c>
      <c r="B45" s="54" t="inlineStr">
        <is>
          <t>78030844.0</t>
        </is>
      </c>
      <c r="C45" s="54" t="n">
        <v>89699.07202648341</v>
      </c>
      <c r="D45" s="54" t="n">
        <v>45512.82714285715</v>
      </c>
      <c r="E45" s="54" t="n">
        <v>3161.08</v>
      </c>
    </row>
    <row r="46">
      <c r="A46" s="57" t="inlineStr">
        <is>
          <t>SKY SERVICOS DE BANDA LARGA LTDA.</t>
        </is>
      </c>
      <c r="B46" s="54" t="inlineStr">
        <is>
          <t>92002420.0</t>
        </is>
      </c>
      <c r="C46" s="54" t="n">
        <v>73079.04019378022</v>
      </c>
      <c r="D46" s="54" t="n">
        <v>459169.7485714286</v>
      </c>
      <c r="E46" s="54" t="n">
        <v>460113.87</v>
      </c>
    </row>
    <row r="47">
      <c r="A47" s="57" t="inlineStr">
        <is>
          <t>EMBRATEL TVSAT TELECOMUNICACOES S A</t>
        </is>
      </c>
      <c r="B47" s="54" t="inlineStr">
        <is>
          <t>78387548.0</t>
        </is>
      </c>
      <c r="C47" s="54" t="n">
        <v>67332.17297986893</v>
      </c>
      <c r="D47" s="54" t="n">
        <v>144138.5671428572</v>
      </c>
      <c r="E47" s="54" t="n">
        <v>129621.37</v>
      </c>
    </row>
    <row r="48">
      <c r="A48" s="57" t="inlineStr">
        <is>
          <t>PICORELLI S/A TRANSPORTES</t>
        </is>
      </c>
      <c r="B48" s="54" t="inlineStr">
        <is>
          <t>78489995.0</t>
        </is>
      </c>
      <c r="C48" s="54" t="n">
        <v>61699.77698933005</v>
      </c>
      <c r="D48" s="54" t="n">
        <v>99722.92428571428</v>
      </c>
      <c r="E48" s="54" t="n">
        <v>108817.09</v>
      </c>
    </row>
    <row r="49">
      <c r="A49" s="53" t="n"/>
    </row>
    <row r="50">
      <c r="A50" s="52" t="inlineStr">
        <is>
          <t>Nota Explicativa: O desvio padrão indica a variabilidade das contribuições ao longo do período analisado.</t>
        </is>
      </c>
    </row>
    <row r="51">
      <c r="A51" s="53" t="n"/>
    </row>
    <row r="52">
      <c r="A52" s="52" t="inlineStr">
        <is>
          <t>TENDÊNCIA 2022 / 2023</t>
        </is>
      </c>
    </row>
    <row r="53">
      <c r="A53" s="52" t="inlineStr">
        <is>
          <t>CRESCIMENTO</t>
        </is>
      </c>
    </row>
    <row r="54">
      <c r="A54" s="52" t="inlineStr">
        <is>
          <t>NOME / RAZÃO SOCIAL</t>
        </is>
      </c>
      <c r="B54" s="56" t="inlineStr">
        <is>
          <t>INSCEST</t>
        </is>
      </c>
      <c r="C54" s="56" t="inlineStr">
        <is>
          <t>VALOR 2022</t>
        </is>
      </c>
      <c r="D54" s="56" t="inlineStr">
        <is>
          <t>VALOR 2023</t>
        </is>
      </c>
      <c r="E54" s="56" t="inlineStr">
        <is>
          <t>VARIAÇÃO %</t>
        </is>
      </c>
      <c r="F54" s="56" t="inlineStr">
        <is>
          <t>VARIAÇÃO R$</t>
        </is>
      </c>
    </row>
    <row r="55">
      <c r="A55" s="58" t="inlineStr">
        <is>
          <t>VIACAO PROGRESSO E TURISMO S/A</t>
        </is>
      </c>
      <c r="B55" s="15" t="inlineStr">
        <is>
          <t>80829795.0</t>
        </is>
      </c>
      <c r="C55" s="54" t="n">
        <v>319251.82</v>
      </c>
      <c r="D55" s="54" t="n">
        <v>1408176.45</v>
      </c>
      <c r="E55" s="59" t="n">
        <v>3.410864282621787</v>
      </c>
      <c r="F55" s="54" t="n">
        <v>1088924.63</v>
      </c>
    </row>
    <row r="56">
      <c r="A56" s="58" t="inlineStr">
        <is>
          <t>VALE DAS BATATAS ALIMENTOS LTDA</t>
        </is>
      </c>
      <c r="B56" s="15" t="inlineStr">
        <is>
          <t>85152785.0</t>
        </is>
      </c>
      <c r="C56" s="54" t="n">
        <v>252338.49</v>
      </c>
      <c r="D56" s="54" t="n">
        <v>586417.5600000001</v>
      </c>
      <c r="E56" s="59" t="n">
        <v>1.323932270499043</v>
      </c>
      <c r="F56" s="54" t="n">
        <v>334079.0700000001</v>
      </c>
    </row>
    <row r="57">
      <c r="A57" s="58" t="inlineStr">
        <is>
          <t>MULTI - TEXTIL IND?STRIA E COM?RCIO LTDA</t>
        </is>
      </c>
      <c r="B57" s="15" t="inlineStr">
        <is>
          <t>12758014.0</t>
        </is>
      </c>
      <c r="C57" s="54" t="n">
        <v>0</v>
      </c>
      <c r="D57" s="54" t="n">
        <v>744478.67</v>
      </c>
      <c r="E57" s="59" t="n">
        <v>1</v>
      </c>
      <c r="F57" s="54" t="n">
        <v>744478.67</v>
      </c>
    </row>
    <row r="58">
      <c r="A58" s="58" t="inlineStr">
        <is>
          <t>AUTO POSTO AREAL LTDA</t>
        </is>
      </c>
      <c r="B58" s="15" t="inlineStr">
        <is>
          <t>77543309.0</t>
        </is>
      </c>
      <c r="C58" s="54" t="n">
        <v>0</v>
      </c>
      <c r="D58" s="54" t="n">
        <v>2686386.79</v>
      </c>
      <c r="E58" s="59" t="n">
        <v>1</v>
      </c>
      <c r="F58" s="54" t="n">
        <v>2686386.79</v>
      </c>
    </row>
    <row r="59">
      <c r="A59" s="58" t="inlineStr">
        <is>
          <t>DISPLAY DISTRIBUIDORA DE PRODUTOS ALIMENTICIOS LTDA ME</t>
        </is>
      </c>
      <c r="B59" s="15" t="inlineStr">
        <is>
          <t>77876987.0</t>
        </is>
      </c>
      <c r="C59" s="54" t="n">
        <v>0</v>
      </c>
      <c r="D59" s="54" t="n">
        <v>1100281.66</v>
      </c>
      <c r="E59" s="59" t="n">
        <v>1</v>
      </c>
      <c r="F59" s="54" t="n">
        <v>1100281.66</v>
      </c>
    </row>
    <row r="60">
      <c r="A60" s="58" t="inlineStr">
        <is>
          <t>NEWSTEC - SERVICO TECNICO EM MONTAGEM, MANUTENCAO DE CALDEIRAS E CONSTRUCOES EIRELI</t>
        </is>
      </c>
      <c r="B60" s="15" t="inlineStr">
        <is>
          <t>79789461.0</t>
        </is>
      </c>
      <c r="C60" s="54" t="n">
        <v>0</v>
      </c>
      <c r="D60" s="54" t="n">
        <v>1053476.25</v>
      </c>
      <c r="E60" s="59" t="n">
        <v>1</v>
      </c>
      <c r="F60" s="54" t="n">
        <v>1053476.25</v>
      </c>
    </row>
    <row r="61">
      <c r="A61" s="58" t="inlineStr">
        <is>
          <t>GR SERVICOS E ALIMENTACAO LTDA</t>
        </is>
      </c>
      <c r="B61" s="15" t="inlineStr">
        <is>
          <t>81330174.0</t>
        </is>
      </c>
      <c r="C61" s="54" t="n">
        <v>0</v>
      </c>
      <c r="D61" s="54" t="n">
        <v>904397.74</v>
      </c>
      <c r="E61" s="59" t="n">
        <v>1</v>
      </c>
      <c r="F61" s="54" t="n">
        <v>904397.74</v>
      </c>
    </row>
    <row r="62">
      <c r="A62" s="58" t="inlineStr">
        <is>
          <t>CANTO COMERCIO ATACADISTA DE HORTIFRUTI EIRELI EPP</t>
        </is>
      </c>
      <c r="B62" s="15" t="inlineStr">
        <is>
          <t>86747383.0</t>
        </is>
      </c>
      <c r="C62" s="54" t="n">
        <v>0</v>
      </c>
      <c r="D62" s="54" t="n">
        <v>530709.84</v>
      </c>
      <c r="E62" s="59" t="n">
        <v>1</v>
      </c>
      <c r="F62" s="54" t="n">
        <v>530709.84</v>
      </c>
    </row>
    <row r="63">
      <c r="A63" s="58" t="inlineStr">
        <is>
          <t>FAZENDA E HARAS STUD BRASIL AGROPECUARIA LTDA</t>
        </is>
      </c>
      <c r="B63" s="15" t="inlineStr">
        <is>
          <t>87074587.0</t>
        </is>
      </c>
      <c r="C63" s="54" t="n">
        <v>0</v>
      </c>
      <c r="D63" s="54" t="n">
        <v>539661.79</v>
      </c>
      <c r="E63" s="59" t="n">
        <v>1</v>
      </c>
      <c r="F63" s="54" t="n">
        <v>539661.79</v>
      </c>
    </row>
    <row r="64">
      <c r="A64" s="58" t="inlineStr">
        <is>
          <t>SIGMA AREAL INDÚSTRIA E COMÉRCIO DE COSMÉTICOS E SANEANTES EIRELI</t>
        </is>
      </c>
      <c r="B64" s="15" t="inlineStr">
        <is>
          <t>87097013.0</t>
        </is>
      </c>
      <c r="C64" s="54" t="n">
        <v>0</v>
      </c>
      <c r="D64" s="54" t="n">
        <v>345186.44</v>
      </c>
      <c r="E64" s="59" t="n">
        <v>1</v>
      </c>
      <c r="F64" s="54" t="n">
        <v>345186.44</v>
      </c>
    </row>
    <row r="65">
      <c r="A65" s="58" t="inlineStr">
        <is>
          <t>ADVANCED NUTRITION IND COM DE ALIMENTOS E COSMETICOS LTDA</t>
        </is>
      </c>
      <c r="B65" s="15" t="inlineStr">
        <is>
          <t>78847980.0</t>
        </is>
      </c>
      <c r="C65" s="54" t="n">
        <v>3279920.91</v>
      </c>
      <c r="D65" s="54" t="n">
        <v>4864768.93</v>
      </c>
      <c r="E65" s="59" t="n">
        <v>0.4831970231867571</v>
      </c>
      <c r="F65" s="54" t="n">
        <v>1584848.02</v>
      </c>
    </row>
    <row r="66">
      <c r="A66" s="58" t="inlineStr">
        <is>
          <t>TELEFONICA BRASIL S.A.</t>
        </is>
      </c>
      <c r="B66" s="15" t="inlineStr">
        <is>
          <t>77452443.0</t>
        </is>
      </c>
      <c r="C66" s="54" t="n">
        <v>1304143.21</v>
      </c>
      <c r="D66" s="54" t="n">
        <v>1908121.28</v>
      </c>
      <c r="E66" s="59" t="n">
        <v>0.4631225047746099</v>
      </c>
      <c r="F66" s="54" t="n">
        <v>603978.0700000001</v>
      </c>
    </row>
    <row r="67">
      <c r="A67" s="58" t="inlineStr">
        <is>
          <t>CEREAIS BRAMIL LTDA</t>
        </is>
      </c>
      <c r="B67" s="15" t="inlineStr">
        <is>
          <t>80820151.0</t>
        </is>
      </c>
      <c r="C67" s="54" t="n">
        <v>8560462.220000001</v>
      </c>
      <c r="D67" s="54" t="n">
        <v>11826029.99</v>
      </c>
      <c r="E67" s="59" t="n">
        <v>0.3814709633751528</v>
      </c>
      <c r="F67" s="54" t="n">
        <v>3265567.77</v>
      </c>
    </row>
    <row r="68">
      <c r="A68" s="58" t="inlineStr">
        <is>
          <t>TIM S.A.</t>
        </is>
      </c>
      <c r="B68" s="15" t="inlineStr">
        <is>
          <t>86092085.0</t>
        </is>
      </c>
      <c r="C68" s="54" t="n">
        <v>3052291.59</v>
      </c>
      <c r="D68" s="54" t="n">
        <v>3849479.97</v>
      </c>
      <c r="E68" s="59" t="n">
        <v>0.2611770063554119</v>
      </c>
      <c r="F68" s="54" t="n">
        <v>797188.3800000004</v>
      </c>
    </row>
    <row r="69">
      <c r="A69" s="58" t="inlineStr">
        <is>
          <t>LABORATORIOS PIERRE FABRE DO BRASIL LTDA</t>
        </is>
      </c>
      <c r="B69" s="15" t="inlineStr">
        <is>
          <t>80824335.0</t>
        </is>
      </c>
      <c r="C69" s="54" t="n">
        <v>362379432.97</v>
      </c>
      <c r="D69" s="54" t="n">
        <v>446037285.42</v>
      </c>
      <c r="E69" s="59" t="n">
        <v>0.2308570653813173</v>
      </c>
      <c r="F69" s="54" t="n">
        <v>83657852.44999999</v>
      </c>
    </row>
    <row r="70">
      <c r="A70" s="53" t="n"/>
    </row>
    <row r="71">
      <c r="A71" s="53" t="n"/>
    </row>
    <row r="72">
      <c r="A72" s="52" t="inlineStr">
        <is>
          <t>ESTÁVEL</t>
        </is>
      </c>
    </row>
    <row r="73">
      <c r="A73" s="58" t="inlineStr">
        <is>
          <t>*** NENHUMA EMPRESA ATENDEU ESTE QUESITO ***</t>
        </is>
      </c>
    </row>
    <row r="74">
      <c r="A74" s="53" t="n"/>
    </row>
    <row r="75">
      <c r="A75" s="53" t="n"/>
    </row>
    <row r="76">
      <c r="A76" s="52" t="inlineStr">
        <is>
          <t>DECLÍNIO</t>
        </is>
      </c>
    </row>
    <row r="77">
      <c r="A77" s="52" t="inlineStr">
        <is>
          <t>NOME / RAZÃO SOCIAL</t>
        </is>
      </c>
      <c r="B77" s="56" t="inlineStr">
        <is>
          <t>INSCEST</t>
        </is>
      </c>
      <c r="C77" s="56" t="inlineStr">
        <is>
          <t>VALOR 2022</t>
        </is>
      </c>
      <c r="D77" s="56" t="inlineStr">
        <is>
          <t>VALOR 2023</t>
        </is>
      </c>
      <c r="E77" s="56" t="inlineStr">
        <is>
          <t>VARIAÇÃO %</t>
        </is>
      </c>
      <c r="F77" s="56" t="inlineStr">
        <is>
          <t>VARIAÇÃO R$</t>
        </is>
      </c>
    </row>
    <row r="78">
      <c r="A78" s="58" t="inlineStr">
        <is>
          <t>TRANSPORTADORA EXPRESSO ELOIM EIRELI ME</t>
        </is>
      </c>
      <c r="B78" s="15" t="inlineStr">
        <is>
          <t>86728915.0</t>
        </is>
      </c>
      <c r="C78" s="54" t="n">
        <v>499121.25</v>
      </c>
      <c r="D78" s="54" t="n">
        <v>490272.15</v>
      </c>
      <c r="E78" s="59" t="n">
        <v>-0.01772935934905592</v>
      </c>
      <c r="F78" s="54" t="n">
        <v>-8849.099999999977</v>
      </c>
    </row>
    <row r="79">
      <c r="A79" s="58" t="inlineStr">
        <is>
          <t>NEXTEL TELECOMUNICACOES LTDA.</t>
        </is>
      </c>
      <c r="B79" s="15" t="inlineStr">
        <is>
          <t>85727028.0</t>
        </is>
      </c>
      <c r="C79" s="54" t="n">
        <v>1505997.81</v>
      </c>
      <c r="D79" s="54" t="n">
        <v>1431769.43</v>
      </c>
      <c r="E79" s="59" t="n">
        <v>-0.04928850460944569</v>
      </c>
      <c r="F79" s="54" t="n">
        <v>-74228.38000000012</v>
      </c>
    </row>
    <row r="80">
      <c r="A80" s="58" t="inlineStr">
        <is>
          <t>SKY SERVICOS DE BANDA LARGA LTDA.</t>
        </is>
      </c>
      <c r="B80" s="15" t="inlineStr">
        <is>
          <t>92002420.0</t>
        </is>
      </c>
      <c r="C80" s="54" t="n">
        <v>450767.64</v>
      </c>
      <c r="D80" s="54" t="n">
        <v>408679.14</v>
      </c>
      <c r="E80" s="59" t="n">
        <v>-0.09337072199770152</v>
      </c>
      <c r="F80" s="54" t="n">
        <v>-42088.5</v>
      </c>
    </row>
    <row r="81">
      <c r="A81" s="58" t="inlineStr">
        <is>
          <t>QUANTA GERACAO S/A</t>
        </is>
      </c>
      <c r="B81" s="15" t="inlineStr">
        <is>
          <t>78148640.0</t>
        </is>
      </c>
      <c r="C81" s="54" t="n">
        <v>68169566.65000001</v>
      </c>
      <c r="D81" s="54" t="n">
        <v>55164379.35</v>
      </c>
      <c r="E81" s="59" t="n">
        <v>-0.1907770276254206</v>
      </c>
      <c r="F81" s="54" t="n">
        <v>-13005187.3</v>
      </c>
    </row>
    <row r="82">
      <c r="A82" s="58" t="inlineStr">
        <is>
          <t>NOVA A3 INDUSTRIA E COMERCIO LTDA</t>
        </is>
      </c>
      <c r="B82" s="15" t="inlineStr">
        <is>
          <t>77327070.0</t>
        </is>
      </c>
      <c r="C82" s="54" t="n">
        <v>24493696.55</v>
      </c>
      <c r="D82" s="54" t="n">
        <v>19647521.73</v>
      </c>
      <c r="E82" s="59" t="n">
        <v>-0.1978539584707968</v>
      </c>
      <c r="F82" s="54" t="n">
        <v>-4846174.82</v>
      </c>
    </row>
    <row r="83">
      <c r="A83" s="58" t="inlineStr">
        <is>
          <t>VALTEC INDUSTRIA E COMERCIO DE PLASTICOS LTDA ME</t>
        </is>
      </c>
      <c r="B83" s="15" t="inlineStr">
        <is>
          <t>78672820.0</t>
        </is>
      </c>
      <c r="C83" s="54" t="n">
        <v>8034280.7</v>
      </c>
      <c r="D83" s="54" t="n">
        <v>869907.58</v>
      </c>
      <c r="E83" s="59" t="n">
        <v>-0.891725518128835</v>
      </c>
      <c r="F83" s="54" t="n">
        <v>-7164373.12</v>
      </c>
    </row>
    <row r="84">
      <c r="A84" s="53" t="n"/>
    </row>
    <row r="85">
      <c r="A85" s="53" t="n"/>
    </row>
    <row r="86">
      <c r="A86" s="53" t="n"/>
    </row>
    <row r="87">
      <c r="A87" s="53" t="n"/>
    </row>
    <row r="88">
      <c r="A88" s="52" t="inlineStr">
        <is>
          <t>TENDÊNCIA 2017 / 2023</t>
        </is>
      </c>
    </row>
    <row r="89">
      <c r="A89" s="52" t="inlineStr">
        <is>
          <t>CRESCIMENTO</t>
        </is>
      </c>
    </row>
    <row r="90">
      <c r="A90" s="52" t="inlineStr">
        <is>
          <t>NOME / RAZÃO SOCIAL</t>
        </is>
      </c>
      <c r="B90" s="56" t="inlineStr">
        <is>
          <t>INSCEST</t>
        </is>
      </c>
      <c r="C90" s="56" t="inlineStr">
        <is>
          <t>VALOR 2017</t>
        </is>
      </c>
      <c r="D90" s="56" t="inlineStr">
        <is>
          <t>VALOR 2023</t>
        </is>
      </c>
      <c r="E90" s="56" t="inlineStr">
        <is>
          <t>VARIAÇÃO %</t>
        </is>
      </c>
      <c r="F90" s="56" t="inlineStr">
        <is>
          <t>VARIAÇÃO R$</t>
        </is>
      </c>
    </row>
    <row r="91">
      <c r="A91" s="58" t="inlineStr">
        <is>
          <t>AUTO POSTO AREAL LTDA</t>
        </is>
      </c>
      <c r="B91" s="15" t="inlineStr">
        <is>
          <t>77543309.0</t>
        </is>
      </c>
      <c r="C91" s="54" t="n">
        <v>51947.1</v>
      </c>
      <c r="D91" s="54" t="n">
        <v>2686386.79</v>
      </c>
      <c r="E91" s="59" t="n">
        <v>50.7138933645959</v>
      </c>
      <c r="F91" s="54" t="n">
        <v>2634439.69</v>
      </c>
    </row>
    <row r="92">
      <c r="A92" s="58" t="inlineStr">
        <is>
          <t>NEXTEL TELECOMUNICACOES LTDA.</t>
        </is>
      </c>
      <c r="B92" s="15" t="inlineStr">
        <is>
          <t>85727028.0</t>
        </is>
      </c>
      <c r="C92" s="54" t="n">
        <v>67743.03</v>
      </c>
      <c r="D92" s="54" t="n">
        <v>1431769.43</v>
      </c>
      <c r="E92" s="59" t="n">
        <v>20.13530248056516</v>
      </c>
      <c r="F92" s="54" t="n">
        <v>1364026.4</v>
      </c>
    </row>
    <row r="93">
      <c r="A93" s="58" t="inlineStr">
        <is>
          <t>TIM S.A.</t>
        </is>
      </c>
      <c r="B93" s="15" t="inlineStr">
        <is>
          <t>86092085.0</t>
        </is>
      </c>
      <c r="C93" s="54" t="n">
        <v>424434.14</v>
      </c>
      <c r="D93" s="54" t="n">
        <v>3849479.97</v>
      </c>
      <c r="E93" s="59" t="n">
        <v>8.069675615632615</v>
      </c>
      <c r="F93" s="54" t="n">
        <v>3425045.83</v>
      </c>
    </row>
    <row r="94">
      <c r="A94" s="58" t="inlineStr">
        <is>
          <t>RF 9999 SUPERINTENDENCIA ESTADUAL CADASTRO E INF ECON FISCAIS</t>
        </is>
      </c>
      <c r="B94" s="15" t="inlineStr">
        <is>
          <t>99199997.0</t>
        </is>
      </c>
      <c r="C94" s="54" t="n">
        <v>366546.2</v>
      </c>
      <c r="D94" s="54" t="n">
        <v>2877669.86</v>
      </c>
      <c r="E94" s="59" t="n">
        <v>6.850769862025577</v>
      </c>
      <c r="F94" s="54" t="n">
        <v>2511123.66</v>
      </c>
    </row>
    <row r="95">
      <c r="A95" s="58" t="inlineStr">
        <is>
          <t>QUANTA GERACAO S/A</t>
        </is>
      </c>
      <c r="B95" s="15" t="inlineStr">
        <is>
          <t>78148640.0</t>
        </is>
      </c>
      <c r="C95" s="54" t="n">
        <v>11486769.93</v>
      </c>
      <c r="D95" s="54" t="n">
        <v>55164379.35</v>
      </c>
      <c r="E95" s="59" t="n">
        <v>3.802427460998168</v>
      </c>
      <c r="F95" s="54" t="n">
        <v>43677609.42</v>
      </c>
    </row>
    <row r="96">
      <c r="A96" s="58" t="inlineStr">
        <is>
          <t>LABORATORIOS PIERRE FABRE DO BRASIL LTDA</t>
        </is>
      </c>
      <c r="B96" s="15" t="inlineStr">
        <is>
          <t>80824335.0</t>
        </is>
      </c>
      <c r="C96" s="54" t="n">
        <v>98145244.69</v>
      </c>
      <c r="D96" s="54" t="n">
        <v>446037285.42</v>
      </c>
      <c r="E96" s="59" t="n">
        <v>3.544665274704304</v>
      </c>
      <c r="F96" s="54" t="n">
        <v>347892040.73</v>
      </c>
    </row>
    <row r="97">
      <c r="A97" s="58" t="inlineStr">
        <is>
          <t>VIACAO PROGRESSO E TURISMO S/A</t>
        </is>
      </c>
      <c r="B97" s="15" t="inlineStr">
        <is>
          <t>80829795.0</t>
        </is>
      </c>
      <c r="C97" s="54" t="n">
        <v>600652.66</v>
      </c>
      <c r="D97" s="54" t="n">
        <v>1408176.45</v>
      </c>
      <c r="E97" s="59" t="n">
        <v>1.344410578319923</v>
      </c>
      <c r="F97" s="54" t="n">
        <v>807523.7899999999</v>
      </c>
    </row>
    <row r="98">
      <c r="A98" s="58" t="inlineStr">
        <is>
          <t>AUTO POSTO DFR LTDA</t>
        </is>
      </c>
      <c r="B98" s="15" t="inlineStr">
        <is>
          <t>11270557.0</t>
        </is>
      </c>
      <c r="C98" s="54" t="n">
        <v>0</v>
      </c>
      <c r="D98" s="54" t="n">
        <v>1392752</v>
      </c>
      <c r="E98" s="59" t="n">
        <v>1</v>
      </c>
      <c r="F98" s="54" t="n">
        <v>1392752</v>
      </c>
    </row>
    <row r="99">
      <c r="A99" s="58" t="inlineStr">
        <is>
          <t>MULTI - TEXTIL IND?STRIA E COM?RCIO LTDA</t>
        </is>
      </c>
      <c r="B99" s="15" t="inlineStr">
        <is>
          <t>12758014.0</t>
        </is>
      </c>
      <c r="C99" s="54" t="n">
        <v>0</v>
      </c>
      <c r="D99" s="54" t="n">
        <v>744478.67</v>
      </c>
      <c r="E99" s="59" t="n">
        <v>1</v>
      </c>
      <c r="F99" s="54" t="n">
        <v>744478.67</v>
      </c>
    </row>
    <row r="100">
      <c r="A100" s="58" t="inlineStr">
        <is>
          <t>OI SA - EM RECUPERACAO JUDICIAL</t>
        </is>
      </c>
      <c r="B100" s="15" t="inlineStr">
        <is>
          <t>77685022.0</t>
        </is>
      </c>
      <c r="C100" s="54" t="n">
        <v>0</v>
      </c>
      <c r="D100" s="54" t="n">
        <v>899402.88</v>
      </c>
      <c r="E100" s="59" t="n">
        <v>1</v>
      </c>
      <c r="F100" s="54" t="n">
        <v>899402.88</v>
      </c>
    </row>
    <row r="101">
      <c r="A101" s="58" t="inlineStr">
        <is>
          <t>DISPLAY DISTRIBUIDORA DE PRODUTOS ALIMENTICIOS LTDA ME</t>
        </is>
      </c>
      <c r="B101" s="15" t="inlineStr">
        <is>
          <t>77876987.0</t>
        </is>
      </c>
      <c r="C101" s="54" t="n">
        <v>0</v>
      </c>
      <c r="D101" s="54" t="n">
        <v>1100281.66</v>
      </c>
      <c r="E101" s="59" t="n">
        <v>1</v>
      </c>
      <c r="F101" s="54" t="n">
        <v>1100281.66</v>
      </c>
    </row>
    <row r="102">
      <c r="A102" s="58" t="inlineStr">
        <is>
          <t>VALTEC INDUSTRIA E COMERCIO DE PLASTICOS LTDA ME</t>
        </is>
      </c>
      <c r="B102" s="15" t="inlineStr">
        <is>
          <t>78672820.0</t>
        </is>
      </c>
      <c r="C102" s="54" t="n">
        <v>0</v>
      </c>
      <c r="D102" s="54" t="n">
        <v>869907.58</v>
      </c>
      <c r="E102" s="59" t="n">
        <v>1</v>
      </c>
      <c r="F102" s="54" t="n">
        <v>869907.58</v>
      </c>
    </row>
    <row r="103">
      <c r="A103" s="58" t="inlineStr">
        <is>
          <t>NEWSTEC - SERVICO TECNICO EM MONTAGEM, MANUTENCAO DE CALDEIRAS E CONSTRUCOES EIRELI</t>
        </is>
      </c>
      <c r="B103" s="15" t="inlineStr">
        <is>
          <t>79789461.0</t>
        </is>
      </c>
      <c r="C103" s="54" t="n">
        <v>0</v>
      </c>
      <c r="D103" s="54" t="n">
        <v>1053476.25</v>
      </c>
      <c r="E103" s="59" t="n">
        <v>1</v>
      </c>
      <c r="F103" s="54" t="n">
        <v>1053476.25</v>
      </c>
    </row>
    <row r="104">
      <c r="A104" s="58" t="inlineStr">
        <is>
          <t>GR SERVICOS E ALIMENTACAO LTDA</t>
        </is>
      </c>
      <c r="B104" s="15" t="inlineStr">
        <is>
          <t>81330174.0</t>
        </is>
      </c>
      <c r="C104" s="54" t="n">
        <v>0</v>
      </c>
      <c r="D104" s="54" t="n">
        <v>904397.74</v>
      </c>
      <c r="E104" s="59" t="n">
        <v>1</v>
      </c>
      <c r="F104" s="54" t="n">
        <v>904397.74</v>
      </c>
    </row>
    <row r="105">
      <c r="A105" s="58" t="inlineStr">
        <is>
          <t>VALE DAS BATATAS ALIMENTOS LTDA</t>
        </is>
      </c>
      <c r="B105" s="15" t="inlineStr">
        <is>
          <t>85152785.0</t>
        </is>
      </c>
      <c r="C105" s="54" t="n">
        <v>0</v>
      </c>
      <c r="D105" s="54" t="n">
        <v>586417.5600000001</v>
      </c>
      <c r="E105" s="59" t="n">
        <v>1</v>
      </c>
      <c r="F105" s="54" t="n">
        <v>586417.5600000001</v>
      </c>
    </row>
    <row r="106">
      <c r="A106" s="53" t="n"/>
    </row>
    <row r="107">
      <c r="A107" s="53" t="n"/>
    </row>
    <row r="108">
      <c r="A108" s="52" t="inlineStr">
        <is>
          <t>ESTÁVEL</t>
        </is>
      </c>
    </row>
    <row r="109">
      <c r="A109" s="58" t="inlineStr">
        <is>
          <t>*** NENHUMA EMPRESA ATENDEU ESTE QUESITO ***</t>
        </is>
      </c>
    </row>
    <row r="110">
      <c r="A110" s="53" t="n"/>
    </row>
    <row r="111">
      <c r="A111" s="53" t="n"/>
    </row>
    <row r="112">
      <c r="A112" s="52" t="inlineStr">
        <is>
          <t>DECLÍNIO</t>
        </is>
      </c>
    </row>
    <row r="113">
      <c r="A113" s="52" t="inlineStr">
        <is>
          <t>NOME / RAZÃO SOCIAL</t>
        </is>
      </c>
      <c r="B113" s="56" t="inlineStr">
        <is>
          <t>INSCEST</t>
        </is>
      </c>
      <c r="C113" s="56" t="inlineStr">
        <is>
          <t>VALOR 2017</t>
        </is>
      </c>
      <c r="D113" s="56" t="inlineStr">
        <is>
          <t>VALOR 2023</t>
        </is>
      </c>
      <c r="E113" s="56" t="inlineStr">
        <is>
          <t>VARIAÇÃO %</t>
        </is>
      </c>
      <c r="F113" s="56" t="inlineStr">
        <is>
          <t>VARIAÇÃO R$</t>
        </is>
      </c>
    </row>
    <row r="114">
      <c r="A114" s="58" t="inlineStr">
        <is>
          <t>ANDREANI LOGISTICA LTDA</t>
        </is>
      </c>
      <c r="B114" s="15" t="inlineStr">
        <is>
          <t>86789477.0</t>
        </is>
      </c>
      <c r="C114" s="54" t="n">
        <v>2656214.46</v>
      </c>
      <c r="D114" s="54" t="n">
        <v>2077162.87</v>
      </c>
      <c r="E114" s="59" t="n">
        <v>-0.2179988094786593</v>
      </c>
      <c r="F114" s="54" t="n">
        <v>-579051.5899999999</v>
      </c>
    </row>
    <row r="115">
      <c r="A115" s="58" t="inlineStr">
        <is>
          <t>ADVANCED NUTRITION IND COM DE ALIMENTOS E COSMETICOS LTDA</t>
        </is>
      </c>
      <c r="B115" s="15" t="inlineStr">
        <is>
          <t>78847980.0</t>
        </is>
      </c>
      <c r="C115" s="54" t="n">
        <v>8919226.300000001</v>
      </c>
      <c r="D115" s="54" t="n">
        <v>4864768.93</v>
      </c>
      <c r="E115" s="59" t="n">
        <v>-0.4545750083726434</v>
      </c>
      <c r="F115" s="54" t="n">
        <v>-4054457.370000001</v>
      </c>
    </row>
    <row r="116">
      <c r="A116" s="58" t="inlineStr">
        <is>
          <t>CLARO S/A</t>
        </is>
      </c>
      <c r="B116" s="15" t="inlineStr">
        <is>
          <t>78002840.0</t>
        </is>
      </c>
      <c r="C116" s="54" t="n">
        <v>4172708.04</v>
      </c>
      <c r="D116" s="54" t="n">
        <v>1862344.61</v>
      </c>
      <c r="E116" s="59" t="n">
        <v>-0.5536844197707156</v>
      </c>
      <c r="F116" s="54" t="n">
        <v>-2310363.43</v>
      </c>
    </row>
    <row r="117">
      <c r="A117" s="58" t="inlineStr">
        <is>
          <t>CANTO COMERCIO ATACADISTA DE HORTIFRUTI EIRELI EPP</t>
        </is>
      </c>
      <c r="B117" s="15" t="inlineStr">
        <is>
          <t>86747383.0</t>
        </is>
      </c>
      <c r="C117" s="54" t="n">
        <v>3526914.93</v>
      </c>
      <c r="D117" s="54" t="n">
        <v>530709.84</v>
      </c>
      <c r="E117" s="59" t="n">
        <v>-0.8495257610310437</v>
      </c>
      <c r="F117" s="54" t="n">
        <v>-2996205.09</v>
      </c>
    </row>
    <row r="118">
      <c r="A118" s="53" t="n"/>
    </row>
    <row r="119">
      <c r="A119" s="53" t="n"/>
    </row>
    <row r="120">
      <c r="A120" s="53" t="n"/>
    </row>
    <row r="121">
      <c r="A121" s="53" t="n"/>
    </row>
    <row r="122">
      <c r="A122" s="52" t="inlineStr">
        <is>
          <t>PRINCIPAIS CONTRIBUINTES</t>
        </is>
      </c>
    </row>
    <row r="123">
      <c r="A123" s="52" t="inlineStr">
        <is>
          <t>NOME / RAZÃO SOCIAL</t>
        </is>
      </c>
      <c r="B123" s="56" t="inlineStr">
        <is>
          <t>INSCEST</t>
        </is>
      </c>
      <c r="C123" s="56" t="inlineStr">
        <is>
          <t>CONTRIBUIÇÃO</t>
        </is>
      </c>
    </row>
    <row r="124">
      <c r="A124" s="58" t="inlineStr">
        <is>
          <t>LABORATORIOS PIERRE FABRE DO BRASIL LTDA</t>
        </is>
      </c>
      <c r="B124" s="15" t="inlineStr">
        <is>
          <t>80824335.0</t>
        </is>
      </c>
      <c r="C124" s="54" t="n">
        <v>446037285.42</v>
      </c>
    </row>
    <row r="125">
      <c r="A125" s="58" t="inlineStr">
        <is>
          <t>QUANTA GERACAO S/A</t>
        </is>
      </c>
      <c r="B125" s="15" t="inlineStr">
        <is>
          <t>78148640.0</t>
        </is>
      </c>
      <c r="C125" s="54" t="n">
        <v>55164379.35</v>
      </c>
    </row>
    <row r="126">
      <c r="A126" s="58" t="inlineStr">
        <is>
          <t>AMPLA ENERGIA E SERVICOS S.A.</t>
        </is>
      </c>
      <c r="B126" s="15" t="inlineStr">
        <is>
          <t>80046561.0</t>
        </is>
      </c>
      <c r="C126" s="54" t="n">
        <v>24647183.54</v>
      </c>
    </row>
    <row r="127">
      <c r="A127" s="58" t="inlineStr">
        <is>
          <t>NOVA A3 INDUSTRIA E COMERCIO LTDA</t>
        </is>
      </c>
      <c r="B127" s="15" t="inlineStr">
        <is>
          <t>77327070.0</t>
        </is>
      </c>
      <c r="C127" s="54" t="n">
        <v>19647521.73</v>
      </c>
    </row>
    <row r="128">
      <c r="A128" s="58" t="inlineStr">
        <is>
          <t>CEREAIS BRAMIL LTDA</t>
        </is>
      </c>
      <c r="B128" s="15" t="inlineStr">
        <is>
          <t>80820151.0</t>
        </is>
      </c>
      <c r="C128" s="54" t="n">
        <v>11826029.99</v>
      </c>
    </row>
    <row r="129">
      <c r="A129" s="58" t="inlineStr">
        <is>
          <t>ADVANCED NUTRITION IND COM DE ALIMENTOS E COSMETICOS LTDA</t>
        </is>
      </c>
      <c r="B129" s="15" t="inlineStr">
        <is>
          <t>78847980.0</t>
        </is>
      </c>
      <c r="C129" s="54" t="n">
        <v>4864768.93</v>
      </c>
    </row>
    <row r="130">
      <c r="A130" s="58" t="inlineStr">
        <is>
          <t>TIM S.A.</t>
        </is>
      </c>
      <c r="B130" s="15" t="inlineStr">
        <is>
          <t>86092085.0</t>
        </is>
      </c>
      <c r="C130" s="54" t="n">
        <v>3849479.97</v>
      </c>
    </row>
    <row r="131">
      <c r="A131" s="58" t="inlineStr">
        <is>
          <t>RF 9999 SUPERINTENDENCIA ESTADUAL CADASTRO E INF ECON FISCAIS</t>
        </is>
      </c>
      <c r="B131" s="15" t="inlineStr">
        <is>
          <t>99199997.0</t>
        </is>
      </c>
      <c r="C131" s="54" t="n">
        <v>2877669.86</v>
      </c>
    </row>
    <row r="132">
      <c r="A132" s="58" t="inlineStr">
        <is>
          <t>AUTO POSTO AREAL LTDA</t>
        </is>
      </c>
      <c r="B132" s="15" t="inlineStr">
        <is>
          <t>77543309.0</t>
        </is>
      </c>
      <c r="C132" s="54" t="n">
        <v>2686386.79</v>
      </c>
    </row>
    <row r="133">
      <c r="A133" s="58" t="inlineStr">
        <is>
          <t>ANDREANI LOGISTICA LTDA</t>
        </is>
      </c>
      <c r="B133" s="15" t="inlineStr">
        <is>
          <t>86789477.0</t>
        </is>
      </c>
      <c r="C133" s="54" t="n">
        <v>2077162.87</v>
      </c>
    </row>
    <row r="134">
      <c r="A134" s="58" t="inlineStr">
        <is>
          <t>TELEFONICA BRASIL S.A.</t>
        </is>
      </c>
      <c r="B134" s="15" t="inlineStr">
        <is>
          <t>77452443.0</t>
        </is>
      </c>
      <c r="C134" s="54" t="n">
        <v>1908121.28</v>
      </c>
    </row>
    <row r="135">
      <c r="A135" s="58" t="inlineStr">
        <is>
          <t>CLARO S/A</t>
        </is>
      </c>
      <c r="B135" s="15" t="inlineStr">
        <is>
          <t>78002840.0</t>
        </is>
      </c>
      <c r="C135" s="54" t="n">
        <v>1862344.61</v>
      </c>
    </row>
    <row r="136">
      <c r="A136" s="58" t="inlineStr">
        <is>
          <t>NEXTEL TELECOMUNICACOES LTDA.</t>
        </is>
      </c>
      <c r="B136" s="15" t="inlineStr">
        <is>
          <t>85727028.0</t>
        </is>
      </c>
      <c r="C136" s="54" t="n">
        <v>1431769.43</v>
      </c>
    </row>
    <row r="137">
      <c r="A137" s="58" t="inlineStr">
        <is>
          <t>VIACAO PROGRESSO E TURISMO S/A</t>
        </is>
      </c>
      <c r="B137" s="15" t="inlineStr">
        <is>
          <t>80829795.0</t>
        </is>
      </c>
      <c r="C137" s="54" t="n">
        <v>1408176.45</v>
      </c>
    </row>
    <row r="138">
      <c r="A138" s="58" t="inlineStr">
        <is>
          <t>AUTO POSTO DFR LTDA</t>
        </is>
      </c>
      <c r="B138" s="15" t="inlineStr">
        <is>
          <t>11270557.0</t>
        </is>
      </c>
      <c r="C138" s="54" t="n">
        <v>1392752</v>
      </c>
    </row>
    <row r="139">
      <c r="A139" s="58" t="inlineStr">
        <is>
          <t>AREAL MATERIAL DE CONSTRUCAO LTDA</t>
        </is>
      </c>
      <c r="B139" s="15" t="inlineStr">
        <is>
          <t>80825323.0</t>
        </is>
      </c>
      <c r="C139" s="54" t="n">
        <v>1388749.01</v>
      </c>
    </row>
    <row r="140">
      <c r="A140" s="58" t="inlineStr">
        <is>
          <t>DISPLAY DISTRIBUIDORA DE PRODUTOS ALIMENTICIOS LTDA ME</t>
        </is>
      </c>
      <c r="B140" s="15" t="inlineStr">
        <is>
          <t>77876987.0</t>
        </is>
      </c>
      <c r="C140" s="54" t="n">
        <v>1100281.66</v>
      </c>
    </row>
    <row r="141">
      <c r="A141" s="58" t="inlineStr">
        <is>
          <t>NEWSTEC - SERVICO TECNICO EM MONTAGEM, MANUTENCAO DE CALDEIRAS E CONSTRUCOES EIRELI</t>
        </is>
      </c>
      <c r="B141" s="15" t="inlineStr">
        <is>
          <t>79789461.0</t>
        </is>
      </c>
      <c r="C141" s="54" t="n">
        <v>1053476.25</v>
      </c>
    </row>
    <row r="142">
      <c r="A142" s="58" t="inlineStr">
        <is>
          <t>GR SERVICOS E ALIMENTACAO LTDA</t>
        </is>
      </c>
      <c r="B142" s="15" t="inlineStr">
        <is>
          <t>81330174.0</t>
        </is>
      </c>
      <c r="C142" s="54" t="n">
        <v>904397.74</v>
      </c>
    </row>
    <row r="143">
      <c r="A143" s="58" t="inlineStr">
        <is>
          <t>OI SA - EM RECUPERACAO JUDICIAL</t>
        </is>
      </c>
      <c r="B143" s="15" t="inlineStr">
        <is>
          <t>77685022.0</t>
        </is>
      </c>
      <c r="C143" s="54" t="n">
        <v>899402.88</v>
      </c>
    </row>
    <row r="144">
      <c r="A144" s="58" t="inlineStr">
        <is>
          <t>VALTEC INDUSTRIA E COMERCIO DE PLASTICOS LTDA ME</t>
        </is>
      </c>
      <c r="B144" s="15" t="inlineStr">
        <is>
          <t>78672820.0</t>
        </is>
      </c>
      <c r="C144" s="54" t="n">
        <v>869907.58</v>
      </c>
    </row>
    <row r="145">
      <c r="A145" s="58" t="inlineStr">
        <is>
          <t>MULTI - TEXTIL IND?STRIA E COM?RCIO LTDA</t>
        </is>
      </c>
      <c r="B145" s="15" t="inlineStr">
        <is>
          <t>12758014.0</t>
        </is>
      </c>
      <c r="C145" s="54" t="n">
        <v>744478.67</v>
      </c>
    </row>
    <row r="146">
      <c r="A146" s="58" t="inlineStr">
        <is>
          <t>VALE DAS BATATAS ALIMENTOS LTDA</t>
        </is>
      </c>
      <c r="B146" s="15" t="inlineStr">
        <is>
          <t>85152785.0</t>
        </is>
      </c>
      <c r="C146" s="54" t="n">
        <v>586417.5600000001</v>
      </c>
    </row>
    <row r="147">
      <c r="A147" s="58" t="inlineStr">
        <is>
          <t>FAZENDA E HARAS STUD BRASIL AGROPECUARIA LTDA</t>
        </is>
      </c>
      <c r="B147" s="15" t="inlineStr">
        <is>
          <t>87074587.0</t>
        </is>
      </c>
      <c r="C147" s="54" t="n">
        <v>539661.79</v>
      </c>
    </row>
    <row r="148">
      <c r="A148" s="58" t="inlineStr">
        <is>
          <t>CANTO COMERCIO ATACADISTA DE HORTIFRUTI EIRELI EPP</t>
        </is>
      </c>
      <c r="B148" s="15" t="inlineStr">
        <is>
          <t>86747383.0</t>
        </is>
      </c>
      <c r="C148" s="54" t="n">
        <v>530709.84</v>
      </c>
    </row>
    <row r="149">
      <c r="A149" s="58" t="inlineStr">
        <is>
          <t>TRANSPORTADORA EXPRESSO ELOIM EIRELI ME</t>
        </is>
      </c>
      <c r="B149" s="15" t="inlineStr">
        <is>
          <t>86728915.0</t>
        </is>
      </c>
      <c r="C149" s="54" t="n">
        <v>490272.15</v>
      </c>
    </row>
    <row r="150">
      <c r="A150" s="58" t="inlineStr">
        <is>
          <t>SKY SERVICOS DE BANDA LARGA LTDA.</t>
        </is>
      </c>
      <c r="B150" s="15" t="inlineStr">
        <is>
          <t>92002420.0</t>
        </is>
      </c>
      <c r="C150" s="54" t="n">
        <v>408679.14</v>
      </c>
    </row>
    <row r="151">
      <c r="A151" s="58" t="inlineStr">
        <is>
          <t>SIGMA AREAL INDÚSTRIA E COMÉRCIO DE COSMÉTICOS E SANEANTES EIRELI</t>
        </is>
      </c>
      <c r="B151" s="15" t="inlineStr">
        <is>
          <t>87097013.0</t>
        </is>
      </c>
      <c r="C151" s="54" t="n">
        <v>345186.44</v>
      </c>
    </row>
    <row r="152">
      <c r="A152" s="58" t="inlineStr">
        <is>
          <t>STN COMERCIO DE MATERIAL ELETRICO LTDA</t>
        </is>
      </c>
      <c r="B152" s="15" t="inlineStr">
        <is>
          <t>11814077.0</t>
        </is>
      </c>
      <c r="C152" s="54" t="n">
        <v>292630.17</v>
      </c>
    </row>
    <row r="153">
      <c r="A153" s="58" t="inlineStr">
        <is>
          <t>BRASPRESS TRANSPORTES URGENTES LTDA</t>
        </is>
      </c>
      <c r="B153" s="15" t="inlineStr">
        <is>
          <t>77730729.0</t>
        </is>
      </c>
      <c r="C153" s="54" t="n">
        <v>281141.96</v>
      </c>
    </row>
    <row r="154">
      <c r="A154" s="53" t="n"/>
    </row>
    <row r="155">
      <c r="A155" s="53" t="n"/>
    </row>
    <row r="156">
      <c r="A156" s="52" t="inlineStr">
        <is>
          <t>CONTRIBUINTES SEM MOVIMENTAÇÃO DE 2017 À 2023</t>
        </is>
      </c>
    </row>
    <row r="157">
      <c r="A157" s="52" t="inlineStr">
        <is>
          <t>NOME / RAZÃO SOCIAL</t>
        </is>
      </c>
      <c r="B157" s="56" t="inlineStr">
        <is>
          <t>INSCEST</t>
        </is>
      </c>
    </row>
    <row r="158">
      <c r="A158" s="58" t="inlineStr">
        <is>
          <t>MAURICIO CARDOSO AROUCA</t>
        </is>
      </c>
      <c r="B158" s="15" t="inlineStr">
        <is>
          <t>11211615.0</t>
        </is>
      </c>
    </row>
    <row r="159">
      <c r="A159" s="58" t="inlineStr">
        <is>
          <t>R.S.COMÉRCIO DE GAS LTDA</t>
        </is>
      </c>
      <c r="B159" s="15" t="inlineStr">
        <is>
          <t>11226043.0</t>
        </is>
      </c>
    </row>
    <row r="160">
      <c r="A160" s="58" t="inlineStr">
        <is>
          <t>MAX SALLES</t>
        </is>
      </c>
      <c r="B160" s="15" t="inlineStr">
        <is>
          <t>11256589.0</t>
        </is>
      </c>
    </row>
    <row r="161">
      <c r="A161" s="58" t="inlineStr">
        <is>
          <t>LUIZ RONALDO ESTEVES DE ABREU</t>
        </is>
      </c>
      <c r="B161" s="15" t="inlineStr">
        <is>
          <t>11302165.0</t>
        </is>
      </c>
    </row>
    <row r="162">
      <c r="A162" s="58" t="inlineStr">
        <is>
          <t>SIM ADMINISTRA??O E SERVI?OS DE GEST?O DE DOCUMENTOS LTDA</t>
        </is>
      </c>
      <c r="B162" s="15" t="inlineStr">
        <is>
          <t>11317030.0</t>
        </is>
      </c>
    </row>
    <row r="163">
      <c r="A163" s="58" t="inlineStr">
        <is>
          <t>MAVEN COMÉRCIO ATACADISTA EM GERAL, CONSTRUTORA, SERVIÇOS E SOLUÇÕES ADMINISTRATIVAS EIRELI</t>
        </is>
      </c>
      <c r="B163" s="15" t="inlineStr">
        <is>
          <t>11549276.0</t>
        </is>
      </c>
    </row>
    <row r="164">
      <c r="A164" s="58" t="inlineStr">
        <is>
          <t>STEFANELLY MODAS LTDA ME</t>
        </is>
      </c>
      <c r="B164" s="15" t="inlineStr">
        <is>
          <t>11632610.0</t>
        </is>
      </c>
    </row>
    <row r="165">
      <c r="A165" s="58" t="inlineStr">
        <is>
          <t>AMPLA ENERGIA E SERVICOS S.A.</t>
        </is>
      </c>
      <c r="B165" s="15" t="inlineStr">
        <is>
          <t>11669689.0</t>
        </is>
      </c>
    </row>
    <row r="166">
      <c r="A166" s="58" t="inlineStr">
        <is>
          <t>PAULO JOSE ALVES DA COSTA</t>
        </is>
      </c>
      <c r="B166" s="15" t="inlineStr">
        <is>
          <t>11682510.0</t>
        </is>
      </c>
    </row>
    <row r="167">
      <c r="A167" s="58" t="inlineStr">
        <is>
          <t>EKO PLASTO RECICLAGEM LTDA</t>
        </is>
      </c>
      <c r="B167" s="15" t="inlineStr">
        <is>
          <t>11774997.0</t>
        </is>
      </c>
    </row>
    <row r="168">
      <c r="A168" s="58" t="inlineStr">
        <is>
          <t>AUTO TRUCK PNEUS, PECAS, ACESSORIOS E SERVICOS LTDA</t>
        </is>
      </c>
      <c r="B168" s="15" t="inlineStr">
        <is>
          <t>11894909.0</t>
        </is>
      </c>
    </row>
    <row r="169">
      <c r="A169" s="58" t="inlineStr">
        <is>
          <t>EMPREITEIRA MARCIO JUNIOR LTDA</t>
        </is>
      </c>
      <c r="B169" s="15" t="inlineStr">
        <is>
          <t>11985432.0</t>
        </is>
      </c>
    </row>
    <row r="170">
      <c r="A170" s="58" t="inlineStr">
        <is>
          <t>CARLOS HENRIQUE GOMES COELHO</t>
        </is>
      </c>
      <c r="B170" s="15" t="inlineStr">
        <is>
          <t>12143559.0</t>
        </is>
      </c>
    </row>
    <row r="171">
      <c r="A171" s="58" t="inlineStr">
        <is>
          <t>KATYA BARBOSA DE SOUZA  E ALMEIDA</t>
        </is>
      </c>
      <c r="B171" s="15" t="inlineStr">
        <is>
          <t>12181639.0</t>
        </is>
      </c>
    </row>
    <row r="172">
      <c r="A172" s="58" t="inlineStr">
        <is>
          <t>BR ING COM EXP E IMP LTDA</t>
        </is>
      </c>
      <c r="B172" s="15" t="inlineStr">
        <is>
          <t>12197454.0</t>
        </is>
      </c>
    </row>
    <row r="173">
      <c r="A173" s="58" t="inlineStr">
        <is>
          <t>UILIAN DO ESPIRITO SANTO SILVA</t>
        </is>
      </c>
      <c r="B173" s="15" t="inlineStr">
        <is>
          <t>12202482.0</t>
        </is>
      </c>
    </row>
    <row r="174">
      <c r="A174" s="58" t="inlineStr">
        <is>
          <t>RECOMBACK ENGENHARIA LTDA</t>
        </is>
      </c>
      <c r="B174" s="15" t="inlineStr">
        <is>
          <t>12275595.0</t>
        </is>
      </c>
    </row>
    <row r="175">
      <c r="A175" s="58" t="inlineStr">
        <is>
          <t>AZUL 8 AREAL EMPREENDIMENTOS E CONSTRU??ES LTDA</t>
        </is>
      </c>
      <c r="B175" s="15" t="inlineStr">
        <is>
          <t>12469942.0</t>
        </is>
      </c>
    </row>
    <row r="176">
      <c r="A176" s="58" t="inlineStr">
        <is>
          <t>LM SOARES SERVICOS E EMPREENDIMENTOS IMOBILI?RIOS LTDA</t>
        </is>
      </c>
      <c r="B176" s="15" t="inlineStr">
        <is>
          <t>12570511.0</t>
        </is>
      </c>
    </row>
    <row r="177">
      <c r="A177" s="58" t="inlineStr">
        <is>
          <t>AC FIT2 LTDA</t>
        </is>
      </c>
      <c r="B177" s="15" t="inlineStr">
        <is>
          <t>14311637.0</t>
        </is>
      </c>
    </row>
    <row r="178">
      <c r="A178" s="58" t="inlineStr">
        <is>
          <t>PAULO ROBERTO SARMENTO NICOLAU</t>
        </is>
      </c>
      <c r="B178" s="15" t="inlineStr">
        <is>
          <t>71155625.0</t>
        </is>
      </c>
    </row>
    <row r="179">
      <c r="A179" s="58" t="inlineStr">
        <is>
          <t>MAURICIO SIQUEIRA BRANDI</t>
        </is>
      </c>
      <c r="B179" s="15" t="inlineStr">
        <is>
          <t>71445690.0</t>
        </is>
      </c>
    </row>
    <row r="180">
      <c r="A180" s="58" t="inlineStr">
        <is>
          <t>WILMA FORLEO GATZENMEIER</t>
        </is>
      </c>
      <c r="B180" s="15" t="inlineStr">
        <is>
          <t>71702944.0</t>
        </is>
      </c>
    </row>
    <row r="181">
      <c r="A181" s="58" t="inlineStr">
        <is>
          <t>ANTONIO JOSE DE BRITO</t>
        </is>
      </c>
      <c r="B181" s="15" t="inlineStr">
        <is>
          <t>71703266.0</t>
        </is>
      </c>
    </row>
    <row r="182">
      <c r="A182" s="58" t="inlineStr">
        <is>
          <t>CARLOS EMILIO DE MOURA</t>
        </is>
      </c>
      <c r="B182" s="15" t="inlineStr">
        <is>
          <t>71703355.0</t>
        </is>
      </c>
    </row>
    <row r="183">
      <c r="A183" s="58" t="inlineStr">
        <is>
          <t>JOSE MAURO PEREIRA</t>
        </is>
      </c>
      <c r="B183" s="15" t="inlineStr">
        <is>
          <t>71703444.0</t>
        </is>
      </c>
    </row>
    <row r="184">
      <c r="A184" s="58" t="inlineStr">
        <is>
          <t>JOSE AUGUSTO DE ARAUJO MARTINS</t>
        </is>
      </c>
      <c r="B184" s="15" t="inlineStr">
        <is>
          <t>71703541.0</t>
        </is>
      </c>
    </row>
    <row r="185">
      <c r="A185" s="58" t="inlineStr">
        <is>
          <t>MANOEL FIALHO LONDRES</t>
        </is>
      </c>
      <c r="B185" s="15" t="inlineStr">
        <is>
          <t>71703630.0</t>
        </is>
      </c>
    </row>
    <row r="186">
      <c r="A186" s="58" t="inlineStr">
        <is>
          <t>HELENA FIALHO LONDRES</t>
        </is>
      </c>
      <c r="B186" s="15" t="inlineStr">
        <is>
          <t>71703835.0</t>
        </is>
      </c>
    </row>
    <row r="187">
      <c r="A187" s="58" t="inlineStr">
        <is>
          <t>ODETTE DE LIMA SOARES</t>
        </is>
      </c>
      <c r="B187" s="15" t="inlineStr">
        <is>
          <t>71802574.0</t>
        </is>
      </c>
    </row>
    <row r="188">
      <c r="A188" s="58" t="inlineStr">
        <is>
          <t>REGIS DE CASTILHO BARBOSA</t>
        </is>
      </c>
      <c r="B188" s="15" t="inlineStr">
        <is>
          <t>71802620.0</t>
        </is>
      </c>
    </row>
    <row r="189">
      <c r="A189" s="58" t="inlineStr">
        <is>
          <t>MARIO SERGIO LOMBA GALVAO</t>
        </is>
      </c>
      <c r="B189" s="15" t="inlineStr">
        <is>
          <t>72046072.0</t>
        </is>
      </c>
    </row>
    <row r="190">
      <c r="A190" s="58" t="inlineStr">
        <is>
          <t>SILVIA MAGRANI VIEIRA</t>
        </is>
      </c>
      <c r="B190" s="15" t="inlineStr">
        <is>
          <t>72058593.0</t>
        </is>
      </c>
    </row>
    <row r="191">
      <c r="A191" s="58" t="inlineStr">
        <is>
          <t>JOSE LUIZ DE SA CAVALCANTI</t>
        </is>
      </c>
      <c r="B191" s="15" t="inlineStr">
        <is>
          <t>72078519.0</t>
        </is>
      </c>
    </row>
    <row r="192">
      <c r="A192" s="58" t="inlineStr">
        <is>
          <t>SANDRO ROGERIO SANTOS MACHADO</t>
        </is>
      </c>
      <c r="B192" s="15" t="inlineStr">
        <is>
          <t>72150694.0</t>
        </is>
      </c>
    </row>
    <row r="193">
      <c r="A193" s="58" t="inlineStr">
        <is>
          <t>PAULO CESAR CARVALHO DA SILVA AFONSO</t>
        </is>
      </c>
      <c r="B193" s="15" t="inlineStr">
        <is>
          <t>72204824.0</t>
        </is>
      </c>
    </row>
    <row r="194">
      <c r="A194" s="58" t="inlineStr">
        <is>
          <t>GILBERTO SAYAO DA SILVA</t>
        </is>
      </c>
      <c r="B194" s="15" t="inlineStr">
        <is>
          <t>72316517.0</t>
        </is>
      </c>
    </row>
    <row r="195">
      <c r="A195" s="58" t="inlineStr">
        <is>
          <t>ANTONIO ROBERTO DE DEUS VIEIRA</t>
        </is>
      </c>
      <c r="B195" s="15" t="inlineStr">
        <is>
          <t>72351398.0</t>
        </is>
      </c>
    </row>
    <row r="196">
      <c r="A196" s="58" t="inlineStr">
        <is>
          <t>MAURO VEIGA SOARES DE CARVALHO</t>
        </is>
      </c>
      <c r="B196" s="15" t="inlineStr">
        <is>
          <t>72364139.0</t>
        </is>
      </c>
    </row>
    <row r="197">
      <c r="A197" s="58" t="inlineStr">
        <is>
          <t>JOSE MAURO DOS SANTOS</t>
        </is>
      </c>
      <c r="B197" s="15" t="inlineStr">
        <is>
          <t>72429532.0</t>
        </is>
      </c>
    </row>
    <row r="198">
      <c r="A198" s="58" t="inlineStr">
        <is>
          <t>GABRIEL MARTINS VILLELA DE AFFONSECA</t>
        </is>
      </c>
      <c r="B198" s="15" t="inlineStr">
        <is>
          <t>72441532.0</t>
        </is>
      </c>
    </row>
    <row r="199">
      <c r="A199" s="58" t="inlineStr">
        <is>
          <t>MARCELO ALVES MONFORT DE MELLO</t>
        </is>
      </c>
      <c r="B199" s="15" t="inlineStr">
        <is>
          <t>72457714.0</t>
        </is>
      </c>
    </row>
    <row r="200">
      <c r="A200" s="58" t="inlineStr">
        <is>
          <t>SEBASTIANA REGINA DA SILVA</t>
        </is>
      </c>
      <c r="B200" s="15" t="inlineStr">
        <is>
          <t>72460669.0</t>
        </is>
      </c>
    </row>
    <row r="201">
      <c r="A201" s="58" t="inlineStr">
        <is>
          <t>REBRAMED COMERCIAL LTDA ME</t>
        </is>
      </c>
      <c r="B201" s="15" t="inlineStr">
        <is>
          <t>77394869.0</t>
        </is>
      </c>
    </row>
    <row r="202">
      <c r="A202" s="58" t="inlineStr">
        <is>
          <t>BAR E RESTAURANTE QUARENTAO LTDA</t>
        </is>
      </c>
      <c r="B202" s="15" t="inlineStr">
        <is>
          <t>78015144.0</t>
        </is>
      </c>
    </row>
    <row r="203">
      <c r="A203" s="58" t="inlineStr">
        <is>
          <t>YOUX COMERCIO INTERNACIONAL LTDA ME</t>
        </is>
      </c>
      <c r="B203" s="15" t="inlineStr">
        <is>
          <t>78027703.0</t>
        </is>
      </c>
    </row>
    <row r="204">
      <c r="A204" s="58" t="inlineStr">
        <is>
          <t>BIRD GOLDEN COMERCIO DE AVES LTDA</t>
        </is>
      </c>
      <c r="B204" s="15" t="inlineStr">
        <is>
          <t>78069325.0</t>
        </is>
      </c>
    </row>
    <row r="205">
      <c r="A205" s="58" t="inlineStr">
        <is>
          <t>PASTELARIA E LANCHES DE AREAL LTDA ME</t>
        </is>
      </c>
      <c r="B205" s="15" t="inlineStr">
        <is>
          <t>78252596.0</t>
        </is>
      </c>
    </row>
    <row r="206">
      <c r="A206" s="58" t="inlineStr">
        <is>
          <t>MARCIO M PEREIRA SERVICOS DE ELETROMECANICA ME VEICULOS AUTOMOTO</t>
        </is>
      </c>
      <c r="B206" s="15" t="inlineStr">
        <is>
          <t>78448920.0</t>
        </is>
      </c>
    </row>
    <row r="207">
      <c r="A207" s="58" t="inlineStr">
        <is>
          <t>BEM CHIC STORE CALCADOS E ACESSORIOS LTDA</t>
        </is>
      </c>
      <c r="B207" s="15" t="inlineStr">
        <is>
          <t>78624094.0</t>
        </is>
      </c>
    </row>
    <row r="208">
      <c r="A208" s="58" t="inlineStr">
        <is>
          <t>A S VIEIRA MOVEIS ME</t>
        </is>
      </c>
      <c r="B208" s="15" t="inlineStr">
        <is>
          <t>78808217.0</t>
        </is>
      </c>
    </row>
    <row r="209">
      <c r="A209" s="58" t="inlineStr">
        <is>
          <t>LOCADORA VAI BEM DE VEICULOS LTDA</t>
        </is>
      </c>
      <c r="B209" s="15" t="inlineStr">
        <is>
          <t>78932953.0</t>
        </is>
      </c>
    </row>
    <row r="210">
      <c r="A210" s="58" t="inlineStr">
        <is>
          <t>R MASTER SERVICOS EM CONSTRUCAO EIRELI ME</t>
        </is>
      </c>
      <c r="B210" s="15" t="inlineStr">
        <is>
          <t>78933844.0</t>
        </is>
      </c>
    </row>
    <row r="211">
      <c r="A211" s="58" t="inlineStr">
        <is>
          <t>NOBELLA INDUSTRIA DE MOVEIS E EQUIPAMENTOS LTDA</t>
        </is>
      </c>
      <c r="B211" s="15" t="inlineStr">
        <is>
          <t>79084875.0</t>
        </is>
      </c>
    </row>
    <row r="212">
      <c r="A212" s="58" t="inlineStr">
        <is>
          <t>HEAVYMAC SERVI?OS LTDA</t>
        </is>
      </c>
      <c r="B212" s="15" t="inlineStr">
        <is>
          <t>79273236.0</t>
        </is>
      </c>
    </row>
    <row r="213">
      <c r="A213" s="58" t="inlineStr">
        <is>
          <t>REIS SERVI?OS IMOBILI?RIOS EIRELI</t>
        </is>
      </c>
      <c r="B213" s="15" t="inlineStr">
        <is>
          <t>79342254.0</t>
        </is>
      </c>
    </row>
    <row r="214">
      <c r="A214" s="58" t="inlineStr">
        <is>
          <t>CORSINO MOVEIS E MADEIRAS LTDA ME</t>
        </is>
      </c>
      <c r="B214" s="15" t="inlineStr">
        <is>
          <t>79574783.0</t>
        </is>
      </c>
    </row>
    <row r="215">
      <c r="A215" s="58" t="inlineStr">
        <is>
          <t>ELISANDRO DE MELO P SERV ELET E COM DE PEC EM VEIC AUT ME</t>
        </is>
      </c>
      <c r="B215" s="15" t="inlineStr">
        <is>
          <t>79653918.0</t>
        </is>
      </c>
    </row>
    <row r="216">
      <c r="A216" s="58" t="inlineStr">
        <is>
          <t>P P M DE FREITAS REAL BAMBU</t>
        </is>
      </c>
      <c r="B216" s="15" t="inlineStr">
        <is>
          <t>79747432.0</t>
        </is>
      </c>
    </row>
    <row r="217">
      <c r="A217" s="58" t="inlineStr">
        <is>
          <t>VAREJAO SALDANHA LTDA EPP</t>
        </is>
      </c>
      <c r="B217" s="15" t="inlineStr">
        <is>
          <t>79757934.0</t>
        </is>
      </c>
    </row>
    <row r="218">
      <c r="A218" s="58" t="inlineStr">
        <is>
          <t>ARIEL DIAS CURVELLO CRIACAO DE CAVALOS</t>
        </is>
      </c>
      <c r="B218" s="15" t="inlineStr">
        <is>
          <t>79790869.0</t>
        </is>
      </c>
    </row>
    <row r="219">
      <c r="A219" s="58" t="inlineStr">
        <is>
          <t>H TEIXEIRA NETO PRODUTOS DE LIMPEZA</t>
        </is>
      </c>
      <c r="B219" s="15" t="inlineStr">
        <is>
          <t>79933635.0</t>
        </is>
      </c>
    </row>
    <row r="220">
      <c r="A220" s="58" t="inlineStr">
        <is>
          <t>IRMAG - INDUSTRIA E COMERCIO DE PLASTICOS LTDA - ME</t>
        </is>
      </c>
      <c r="B220" s="15" t="inlineStr">
        <is>
          <t>80710933.0</t>
        </is>
      </c>
    </row>
    <row r="221">
      <c r="A221" s="58" t="inlineStr">
        <is>
          <t>FARMACIA CENTRO AREALENSE LTDA</t>
        </is>
      </c>
      <c r="B221" s="15" t="inlineStr">
        <is>
          <t>80826834.0</t>
        </is>
      </c>
    </row>
    <row r="222">
      <c r="A222" s="58" t="inlineStr">
        <is>
          <t>JARDINARTE PAISAGISMO LTDA</t>
        </is>
      </c>
      <c r="B222" s="15" t="inlineStr">
        <is>
          <t>80832982.0</t>
        </is>
      </c>
    </row>
    <row r="223">
      <c r="A223" s="58" t="inlineStr">
        <is>
          <t>SATEC TERRAPLENAGEM E CONSTRUCAO LTDA</t>
        </is>
      </c>
      <c r="B223" s="15" t="inlineStr">
        <is>
          <t>84422681.0</t>
        </is>
      </c>
    </row>
    <row r="224">
      <c r="A224" s="58" t="inlineStr">
        <is>
          <t>C W I POUSADA LTDA</t>
        </is>
      </c>
      <c r="B224" s="15" t="inlineStr">
        <is>
          <t>85071424.0</t>
        </is>
      </c>
    </row>
    <row r="225">
      <c r="A225" s="58" t="inlineStr">
        <is>
          <t>AREAL - SAT ELETROMOVEIS LTDA ME</t>
        </is>
      </c>
      <c r="B225" s="15" t="inlineStr">
        <is>
          <t>85072188.0</t>
        </is>
      </c>
    </row>
    <row r="226">
      <c r="A226" s="58" t="inlineStr">
        <is>
          <t>CONCRETAO MATERIIAS DE CONSTRUCAO LTDA ME</t>
        </is>
      </c>
      <c r="B226" s="15" t="inlineStr">
        <is>
          <t>85153668.0</t>
        </is>
      </c>
    </row>
    <row r="227">
      <c r="A227" s="58" t="inlineStr">
        <is>
          <t>MIMOS DA SERRA INDUSTRIA E COMERCIO DE BEBIDAS E ALIMENTOS LTDA</t>
        </is>
      </c>
      <c r="B227" s="15" t="inlineStr">
        <is>
          <t>86848970.0</t>
        </is>
      </c>
    </row>
    <row r="228">
      <c r="A228" s="58" t="inlineStr">
        <is>
          <t>TECNO - VAPOR SERV TECNICO EM MONTAGEM E MANUT DE CALDEIRAS LTDA</t>
        </is>
      </c>
      <c r="B228" s="15" t="inlineStr">
        <is>
          <t>86917106.0</t>
        </is>
      </c>
    </row>
    <row r="229">
      <c r="A229" s="58" t="inlineStr">
        <is>
          <t>HARAS HARI CRIACAO E TREINAMENTO S A</t>
        </is>
      </c>
      <c r="B229" s="15" t="inlineStr">
        <is>
          <t>86940701.0</t>
        </is>
      </c>
    </row>
    <row r="230">
      <c r="A230" s="58" t="inlineStr">
        <is>
          <t>D FARAJ RESTAURANTE E PIZZARIA LTDA</t>
        </is>
      </c>
      <c r="B230" s="15" t="inlineStr">
        <is>
          <t>87074609.0</t>
        </is>
      </c>
    </row>
    <row r="231">
      <c r="A231" s="58" t="inlineStr">
        <is>
          <t>ARE-AUTOS COMERCIO E LOCACAO DE VEICULOS - EIRELI -ME</t>
        </is>
      </c>
      <c r="B231" s="15" t="inlineStr">
        <is>
          <t>87081192.0</t>
        </is>
      </c>
    </row>
    <row r="232">
      <c r="A232" s="58" t="inlineStr">
        <is>
          <t>CA SS AÇOUGUE EIRELI</t>
        </is>
      </c>
      <c r="B232" s="15" t="inlineStr">
        <is>
          <t>87111903.0</t>
        </is>
      </c>
    </row>
    <row r="233">
      <c r="A233" s="58" t="inlineStr">
        <is>
          <t>CONATUS  CONSULTORIA E TREINAMENTO EMPRESARIAL EIRELI</t>
        </is>
      </c>
      <c r="B233" s="15" t="inlineStr">
        <is>
          <t>87181855.0</t>
        </is>
      </c>
    </row>
    <row r="234">
      <c r="A234" s="58" t="inlineStr">
        <is>
          <t>TRUCK CAR TRANSPORTES DE VEICULOS E EQUIP EM GERAL LTDA-ME</t>
        </is>
      </c>
      <c r="B234" s="15" t="inlineStr">
        <is>
          <t>87300439.0</t>
        </is>
      </c>
    </row>
    <row r="235">
      <c r="A235" s="58" t="inlineStr">
        <is>
          <t>DREAM FARM AGRONEGOCIOS LTDA</t>
        </is>
      </c>
      <c r="B235" s="15" t="inlineStr">
        <is>
          <t>87363210.0</t>
        </is>
      </c>
    </row>
  </sheetData>
  <mergeCells count="1">
    <mergeCell ref="A50:E50"/>
  </mergeCells>
  <pageMargins left="0.3" right="0" top="0.3" bottom="0" header="0.1" footer="0"/>
  <pageSetup orientation="landscape"/>
  <headerFooter>
    <oddHeader>&amp;C&amp;"Arial"&amp;8 &amp;P / &amp;N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81"/>
  <sheetViews>
    <sheetView workbookViewId="0">
      <selection activeCell="A1" sqref="A1"/>
    </sheetView>
  </sheetViews>
  <sheetFormatPr baseColWidth="8" defaultRowHeight="15"/>
  <cols>
    <col width="51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50" t="inlineStr">
        <is>
          <t>ESTUDO DA EVOLUÇÃO - VALOR ADICIONADO</t>
        </is>
      </c>
    </row>
    <row r="2">
      <c r="A2" s="51" t="inlineStr">
        <is>
          <t>Município - Itaguai</t>
        </is>
      </c>
    </row>
    <row r="3">
      <c r="A3" s="52" t="inlineStr">
        <is>
          <t>Relatório Calculado em: 19/11/2024</t>
        </is>
      </c>
    </row>
    <row r="4">
      <c r="A4" s="53" t="n"/>
    </row>
    <row r="5">
      <c r="A5" s="53" t="n"/>
    </row>
    <row r="6">
      <c r="A6" s="53" t="n"/>
    </row>
    <row r="7">
      <c r="A7" s="52" t="inlineStr">
        <is>
          <t>VALOR TOTAL AGREGADO POR ANO</t>
        </is>
      </c>
    </row>
    <row r="8">
      <c r="A8" s="52" t="inlineStr">
        <is>
          <t>2017</t>
        </is>
      </c>
      <c r="B8" s="54" t="n">
        <v>1336002506.23</v>
      </c>
    </row>
    <row r="9">
      <c r="A9" s="52" t="inlineStr">
        <is>
          <t>2018</t>
        </is>
      </c>
      <c r="B9" s="54" t="n">
        <v>1567092921.3</v>
      </c>
    </row>
    <row r="10">
      <c r="A10" s="52" t="inlineStr">
        <is>
          <t>2019</t>
        </is>
      </c>
      <c r="B10" s="54" t="n">
        <v>3080447201.86</v>
      </c>
    </row>
    <row r="11">
      <c r="A11" s="52" t="inlineStr">
        <is>
          <t>2020</t>
        </is>
      </c>
      <c r="B11" s="54" t="n">
        <v>4645288032.940001</v>
      </c>
    </row>
    <row r="12">
      <c r="A12" s="52" t="inlineStr">
        <is>
          <t>2021</t>
        </is>
      </c>
      <c r="B12" s="54" t="n">
        <v>3607021224.06</v>
      </c>
    </row>
    <row r="13">
      <c r="A13" s="52" t="inlineStr">
        <is>
          <t>2022</t>
        </is>
      </c>
      <c r="B13" s="54" t="n">
        <v>4630249356.5</v>
      </c>
    </row>
    <row r="14">
      <c r="A14" s="52" t="inlineStr">
        <is>
          <t>2023</t>
        </is>
      </c>
      <c r="B14" s="54" t="n">
        <v>6265704423.84</v>
      </c>
    </row>
    <row r="15">
      <c r="A15" s="53" t="n"/>
    </row>
    <row r="16">
      <c r="A16" s="53" t="n"/>
    </row>
    <row r="17">
      <c r="A17" s="52" t="inlineStr">
        <is>
          <t>TOTAL DE CONTRIBUINTES</t>
        </is>
      </c>
      <c r="B17" s="55" t="n">
        <v>1387</v>
      </c>
    </row>
    <row r="18">
      <c r="A18" s="53" t="n"/>
    </row>
    <row r="19">
      <c r="A19" s="53" t="n"/>
    </row>
    <row r="20">
      <c r="A20" s="52" t="inlineStr">
        <is>
          <t>CONTAGEM DE TENDÊNCIAS</t>
        </is>
      </c>
    </row>
    <row r="21">
      <c r="A21" s="52" t="inlineStr">
        <is>
          <t>CRESCIMENTO</t>
        </is>
      </c>
      <c r="B21" s="15" t="n">
        <v>24</v>
      </c>
    </row>
    <row r="22">
      <c r="A22" s="52" t="inlineStr">
        <is>
          <t>ESTÁVEL</t>
        </is>
      </c>
      <c r="B22" s="15" t="n">
        <v>0</v>
      </c>
    </row>
    <row r="23">
      <c r="A23" s="52" t="inlineStr">
        <is>
          <t>DECLÍNIO</t>
        </is>
      </c>
      <c r="B23" s="15" t="n">
        <v>19</v>
      </c>
    </row>
    <row r="24">
      <c r="A24" s="53" t="n"/>
    </row>
    <row r="25">
      <c r="A25" s="53" t="n"/>
    </row>
    <row r="26">
      <c r="A26" s="52" t="inlineStr">
        <is>
          <t>DESVIO PADRÃO 2017 - 2023</t>
        </is>
      </c>
    </row>
    <row r="27">
      <c r="A27" s="52" t="inlineStr">
        <is>
          <t>RAZSOC</t>
        </is>
      </c>
      <c r="B27" s="56" t="inlineStr">
        <is>
          <t>INSCEST</t>
        </is>
      </c>
      <c r="C27" s="56" t="inlineStr">
        <is>
          <t>VALOR DP</t>
        </is>
      </c>
      <c r="D27" s="56" t="inlineStr">
        <is>
          <t>MÉDIA</t>
        </is>
      </c>
      <c r="E27" s="56" t="inlineStr">
        <is>
          <t>MEDIANA</t>
        </is>
      </c>
    </row>
    <row r="28">
      <c r="A28" s="57" t="inlineStr">
        <is>
          <t>CSN MINERACAO S A</t>
        </is>
      </c>
      <c r="B28" s="54" t="inlineStr">
        <is>
          <t>78903449.0</t>
        </is>
      </c>
      <c r="C28" s="54" t="n">
        <v>1016322603.657718</v>
      </c>
      <c r="D28" s="54" t="n">
        <v>1531763639.301428</v>
      </c>
      <c r="E28" s="54" t="n">
        <v>1734474077.92</v>
      </c>
    </row>
    <row r="29">
      <c r="A29" s="57" t="inlineStr">
        <is>
          <t>MARKO SISTEMAS METALICOS DE CONSTRUCAO LTDA</t>
        </is>
      </c>
      <c r="B29" s="54" t="inlineStr">
        <is>
          <t>78401923.0</t>
        </is>
      </c>
      <c r="C29" s="54" t="n">
        <v>41752836.5619445</v>
      </c>
      <c r="D29" s="54" t="n">
        <v>50228987.34428572</v>
      </c>
      <c r="E29" s="54" t="n">
        <v>36736172.79</v>
      </c>
    </row>
    <row r="30">
      <c r="A30" s="57" t="inlineStr">
        <is>
          <t>MRS LOGISTICA S/A</t>
        </is>
      </c>
      <c r="B30" s="54" t="inlineStr">
        <is>
          <t>85994964.0</t>
        </is>
      </c>
      <c r="C30" s="54" t="n">
        <v>35999564.26192369</v>
      </c>
      <c r="D30" s="54" t="n">
        <v>150725225.9257143</v>
      </c>
      <c r="E30" s="54" t="n">
        <v>154969650.23</v>
      </c>
    </row>
    <row r="31">
      <c r="A31" s="57" t="inlineStr">
        <is>
          <t>LIGHT SERVICOS DE ELETRICIDADE S A</t>
        </is>
      </c>
      <c r="B31" s="54" t="inlineStr">
        <is>
          <t>81380023.0</t>
        </is>
      </c>
      <c r="C31" s="54" t="n">
        <v>35704975.18805207</v>
      </c>
      <c r="D31" s="54" t="n">
        <v>217408022.87</v>
      </c>
      <c r="E31" s="54" t="n">
        <v>217425131.02</v>
      </c>
    </row>
    <row r="32">
      <c r="A32" s="57" t="inlineStr">
        <is>
          <t>ALIANCA NAVEGACAO E LOGISTICA LTDA</t>
        </is>
      </c>
      <c r="B32" s="54" t="inlineStr">
        <is>
          <t>77689630.0</t>
        </is>
      </c>
      <c r="C32" s="54" t="n">
        <v>31935344.68628535</v>
      </c>
      <c r="D32" s="54" t="n">
        <v>91116742.35857143</v>
      </c>
      <c r="E32" s="54" t="n">
        <v>87153837.06999999</v>
      </c>
    </row>
    <row r="33">
      <c r="A33" s="57" t="inlineStr">
        <is>
          <t>MINERACAO SANTA LUZIA DE ITAGUAI LTDA</t>
        </is>
      </c>
      <c r="B33" s="54" t="inlineStr">
        <is>
          <t>77280707.0</t>
        </is>
      </c>
      <c r="C33" s="54" t="n">
        <v>18364347.59336548</v>
      </c>
      <c r="D33" s="54" t="n">
        <v>25804914.76857143</v>
      </c>
      <c r="E33" s="54" t="n">
        <v>17139486.2</v>
      </c>
    </row>
    <row r="34">
      <c r="A34" s="57" t="inlineStr">
        <is>
          <t>MACCOMEVAP INDUSTRIA COMERCIO DE TECNOLOGIA EM ILUMINACAO E SERVICOS ELETROMECANICOS LTDA</t>
        </is>
      </c>
      <c r="B34" s="54" t="inlineStr">
        <is>
          <t>76208972.0</t>
        </is>
      </c>
      <c r="C34" s="54" t="n">
        <v>12606508.5921505</v>
      </c>
      <c r="D34" s="54" t="n">
        <v>17773217.97142857</v>
      </c>
      <c r="E34" s="54" t="n">
        <v>17435833.4</v>
      </c>
    </row>
    <row r="35">
      <c r="A35" s="57" t="inlineStr">
        <is>
          <t>CLARO S/A</t>
        </is>
      </c>
      <c r="B35" s="54" t="inlineStr">
        <is>
          <t>78002840.0</t>
        </is>
      </c>
      <c r="C35" s="54" t="n">
        <v>11682201.61381367</v>
      </c>
      <c r="D35" s="54" t="n">
        <v>39121598.06571428</v>
      </c>
      <c r="E35" s="54" t="n">
        <v>44662157.32</v>
      </c>
    </row>
    <row r="36">
      <c r="A36" s="57" t="inlineStr">
        <is>
          <t>JOSAPAR JOAQUIM OLIVEIRA S A PARTICIPACOES</t>
        </is>
      </c>
      <c r="B36" s="54" t="inlineStr">
        <is>
          <t>78911905.0</t>
        </is>
      </c>
      <c r="C36" s="54" t="n">
        <v>10747923.4227301</v>
      </c>
      <c r="D36" s="54" t="n">
        <v>40426915.12714285</v>
      </c>
      <c r="E36" s="54" t="n">
        <v>35526920.86</v>
      </c>
    </row>
    <row r="37">
      <c r="A37" s="57" t="inlineStr">
        <is>
          <t>CSN ENERGIA S/A</t>
        </is>
      </c>
      <c r="B37" s="54" t="inlineStr">
        <is>
          <t>76159122.0</t>
        </is>
      </c>
      <c r="C37" s="54" t="n">
        <v>9188714.958114566</v>
      </c>
      <c r="D37" s="54" t="n">
        <v>9280501.734285714</v>
      </c>
      <c r="E37" s="54" t="n">
        <v>8144818.32</v>
      </c>
    </row>
    <row r="38">
      <c r="A38" s="57" t="inlineStr">
        <is>
          <t>KETLOG TRANSPORTE DE CARGAS LTDA</t>
        </is>
      </c>
      <c r="B38" s="54" t="inlineStr">
        <is>
          <t>86541777.0</t>
        </is>
      </c>
      <c r="C38" s="54" t="n">
        <v>4952648.47963376</v>
      </c>
      <c r="D38" s="54" t="n">
        <v>4524548.777142857</v>
      </c>
      <c r="E38" s="54" t="n">
        <v>2597175.52</v>
      </c>
    </row>
    <row r="39">
      <c r="A39" s="57" t="inlineStr">
        <is>
          <t>MERCADO SAO FERNANDO 10 LTDA ME</t>
        </is>
      </c>
      <c r="B39" s="54" t="inlineStr">
        <is>
          <t>78964332.0</t>
        </is>
      </c>
      <c r="C39" s="54" t="n">
        <v>4512868.769647352</v>
      </c>
      <c r="D39" s="54" t="n">
        <v>6067063.168571428</v>
      </c>
      <c r="E39" s="54" t="n">
        <v>7299490.19</v>
      </c>
    </row>
    <row r="40">
      <c r="A40" s="57" t="inlineStr">
        <is>
          <t>NEXTEL TELECOMUNICACOES LTDA.</t>
        </is>
      </c>
      <c r="B40" s="54" t="inlineStr">
        <is>
          <t>85727028.0</t>
        </is>
      </c>
      <c r="C40" s="54" t="n">
        <v>4232687.833770772</v>
      </c>
      <c r="D40" s="54" t="n">
        <v>12594453.29</v>
      </c>
      <c r="E40" s="54" t="n">
        <v>11067709.16</v>
      </c>
    </row>
    <row r="41">
      <c r="A41" s="57" t="inlineStr">
        <is>
          <t>TIM S.A.</t>
        </is>
      </c>
      <c r="B41" s="54" t="inlineStr">
        <is>
          <t>86092085.0</t>
        </is>
      </c>
      <c r="C41" s="54" t="n">
        <v>4212990.083346589</v>
      </c>
      <c r="D41" s="54" t="n">
        <v>6922570.515714286</v>
      </c>
      <c r="E41" s="54" t="n">
        <v>7275001.41</v>
      </c>
    </row>
    <row r="42">
      <c r="A42" s="57" t="inlineStr">
        <is>
          <t>LOG IN LOGISTICA INTERMODAL S/A</t>
        </is>
      </c>
      <c r="B42" s="54" t="inlineStr">
        <is>
          <t>79508284.0</t>
        </is>
      </c>
      <c r="C42" s="54" t="n">
        <v>4115131.344500258</v>
      </c>
      <c r="D42" s="54" t="n">
        <v>8002747.248571428</v>
      </c>
      <c r="E42" s="54" t="n">
        <v>8597708.779999999</v>
      </c>
    </row>
    <row r="43">
      <c r="A43" s="57" t="inlineStr">
        <is>
          <t>RF 9999 SUPERINTENDENCIA ESTADUAL CADASTRO E INF ECON FISCAIS</t>
        </is>
      </c>
      <c r="B43" s="54" t="inlineStr">
        <is>
          <t>99199997.0</t>
        </is>
      </c>
      <c r="C43" s="54" t="n">
        <v>3887865.862636313</v>
      </c>
      <c r="D43" s="54" t="n">
        <v>10135143.53142857</v>
      </c>
      <c r="E43" s="54" t="n">
        <v>9327973.16</v>
      </c>
    </row>
    <row r="44">
      <c r="A44" s="57" t="inlineStr">
        <is>
          <t>GUIOMAR TRANSPORTES LTDA ME</t>
        </is>
      </c>
      <c r="B44" s="54" t="inlineStr">
        <is>
          <t>79180297.0</t>
        </is>
      </c>
      <c r="C44" s="54" t="n">
        <v>3751192.02619785</v>
      </c>
      <c r="D44" s="54" t="n">
        <v>5915767.601428571</v>
      </c>
      <c r="E44" s="54" t="n">
        <v>7771826.28</v>
      </c>
    </row>
    <row r="45">
      <c r="A45" s="57" t="inlineStr">
        <is>
          <t>TFT PREPARACAO E COMERCIO DE DERIVADOS DE CARNES E TRANSPORTES LTDA</t>
        </is>
      </c>
      <c r="B45" s="54" t="inlineStr">
        <is>
          <t>75824610.0</t>
        </is>
      </c>
      <c r="C45" s="54" t="n">
        <v>3740311.965102909</v>
      </c>
      <c r="D45" s="54" t="n">
        <v>9729239.295714287</v>
      </c>
      <c r="E45" s="54" t="n">
        <v>8650390.310000001</v>
      </c>
    </row>
    <row r="46">
      <c r="A46" s="57" t="inlineStr">
        <is>
          <t>EXPRESSO REAL RIO LTDA</t>
        </is>
      </c>
      <c r="B46" s="54" t="inlineStr">
        <is>
          <t>83623470.0</t>
        </is>
      </c>
      <c r="C46" s="54" t="n">
        <v>3406717.049197634</v>
      </c>
      <c r="D46" s="54" t="n">
        <v>14705646.98571428</v>
      </c>
      <c r="E46" s="54" t="n">
        <v>14693088.35</v>
      </c>
    </row>
    <row r="47">
      <c r="A47" s="57" t="inlineStr">
        <is>
          <t>FRIGOMIX INDUSTRIA E COMERCIO DE CARNES LTDA</t>
        </is>
      </c>
      <c r="B47" s="54" t="inlineStr">
        <is>
          <t>78581620.0</t>
        </is>
      </c>
      <c r="C47" s="54" t="n">
        <v>3078055.409203383</v>
      </c>
      <c r="D47" s="54" t="n">
        <v>18772220.34714286</v>
      </c>
      <c r="E47" s="54" t="n">
        <v>18664080.62</v>
      </c>
    </row>
    <row r="48">
      <c r="A48" s="57" t="inlineStr">
        <is>
          <t>TRANSPORTE E TURISMO REAL BRASIL LTDA</t>
        </is>
      </c>
      <c r="B48" s="54" t="inlineStr">
        <is>
          <t>84325767.0</t>
        </is>
      </c>
      <c r="C48" s="54" t="n">
        <v>3036285.378406029</v>
      </c>
      <c r="D48" s="54" t="n">
        <v>1815337.364285714</v>
      </c>
      <c r="E48" s="54" t="n">
        <v>139950</v>
      </c>
    </row>
    <row r="49">
      <c r="A49" s="53" t="n"/>
    </row>
    <row r="50">
      <c r="A50" s="52" t="inlineStr">
        <is>
          <t>Nota Explicativa: O desvio padrão indica a variabilidade das contribuições ao longo do período analisado.</t>
        </is>
      </c>
    </row>
    <row r="51">
      <c r="A51" s="53" t="n"/>
    </row>
    <row r="52">
      <c r="A52" s="52" t="inlineStr">
        <is>
          <t>TENDÊNCIA 2022 / 2023</t>
        </is>
      </c>
    </row>
    <row r="53">
      <c r="A53" s="52" t="inlineStr">
        <is>
          <t>CRESCIMENTO</t>
        </is>
      </c>
    </row>
    <row r="54">
      <c r="A54" s="52" t="inlineStr">
        <is>
          <t>NOME / RAZÃO SOCIAL</t>
        </is>
      </c>
      <c r="B54" s="56" t="inlineStr">
        <is>
          <t>INSCEST</t>
        </is>
      </c>
      <c r="C54" s="56" t="inlineStr">
        <is>
          <t>VALOR 2022</t>
        </is>
      </c>
      <c r="D54" s="56" t="inlineStr">
        <is>
          <t>VALOR 2023</t>
        </is>
      </c>
      <c r="E54" s="56" t="inlineStr">
        <is>
          <t>VARIAÇÃO %</t>
        </is>
      </c>
      <c r="F54" s="56" t="inlineStr">
        <is>
          <t>VARIAÇÃO R$</t>
        </is>
      </c>
    </row>
    <row r="55">
      <c r="A55" s="58" t="inlineStr">
        <is>
          <t>DROGARIAS PACHECO S/A</t>
        </is>
      </c>
      <c r="B55" s="15" t="inlineStr">
        <is>
          <t>12594658.0</t>
        </is>
      </c>
      <c r="C55" s="54" t="n">
        <v>0.04</v>
      </c>
      <c r="D55" s="54" t="n">
        <v>3335367.17</v>
      </c>
      <c r="E55" s="59" t="n">
        <v>83384178.25</v>
      </c>
      <c r="F55" s="54" t="n">
        <v>3335367.13</v>
      </c>
    </row>
    <row r="56">
      <c r="A56" s="58" t="inlineStr">
        <is>
          <t>ENERGY CLEAN REPRESENTA??O COMERCIAL LTDA</t>
        </is>
      </c>
      <c r="B56" s="15" t="inlineStr">
        <is>
          <t>12182910.0</t>
        </is>
      </c>
      <c r="C56" s="54" t="n">
        <v>630033.23</v>
      </c>
      <c r="D56" s="54" t="n">
        <v>6359314.15</v>
      </c>
      <c r="E56" s="59" t="n">
        <v>9.093617046199293</v>
      </c>
      <c r="F56" s="54" t="n">
        <v>5729280.92</v>
      </c>
    </row>
    <row r="57">
      <c r="A57" s="58" t="inlineStr">
        <is>
          <t>KARPOWERSHIP BRASIL ENERGIA LTDA.</t>
        </is>
      </c>
      <c r="B57" s="15" t="inlineStr">
        <is>
          <t>12295057.0</t>
        </is>
      </c>
      <c r="C57" s="54" t="n">
        <v>270391764.07</v>
      </c>
      <c r="D57" s="54" t="n">
        <v>2448011131.6</v>
      </c>
      <c r="E57" s="59" t="n">
        <v>8.053571361612367</v>
      </c>
      <c r="F57" s="54" t="n">
        <v>2177619367.53</v>
      </c>
    </row>
    <row r="58">
      <c r="A58" s="58" t="inlineStr">
        <is>
          <t>ENZO ITAGUAI II LTDA</t>
        </is>
      </c>
      <c r="B58" s="15" t="inlineStr">
        <is>
          <t>87377474.0</t>
        </is>
      </c>
      <c r="C58" s="54" t="n">
        <v>2044053.27</v>
      </c>
      <c r="D58" s="54" t="n">
        <v>9964422.720000001</v>
      </c>
      <c r="E58" s="59" t="n">
        <v>3.874835145563501</v>
      </c>
      <c r="F58" s="54" t="n">
        <v>7920369.450000001</v>
      </c>
    </row>
    <row r="59">
      <c r="A59" s="58" t="inlineStr">
        <is>
          <t>ITAGUAI AUTO CENTER LTDA</t>
        </is>
      </c>
      <c r="B59" s="15" t="inlineStr">
        <is>
          <t>11336353.0</t>
        </is>
      </c>
      <c r="C59" s="54" t="n">
        <v>1156539.72</v>
      </c>
      <c r="D59" s="54" t="n">
        <v>3706059.52</v>
      </c>
      <c r="E59" s="59" t="n">
        <v>2.20443773431318</v>
      </c>
      <c r="F59" s="54" t="n">
        <v>2549519.8</v>
      </c>
    </row>
    <row r="60">
      <c r="A60" s="58" t="inlineStr">
        <is>
          <t>POSTO DE GASOLINA CIDADE DO PORTO LTDA</t>
        </is>
      </c>
      <c r="B60" s="15" t="inlineStr">
        <is>
          <t>78833327.0</t>
        </is>
      </c>
      <c r="C60" s="54" t="n">
        <v>2136406.72</v>
      </c>
      <c r="D60" s="54" t="n">
        <v>5861667.56</v>
      </c>
      <c r="E60" s="59" t="n">
        <v>1.743703951652052</v>
      </c>
      <c r="F60" s="54" t="n">
        <v>3725260.839999999</v>
      </c>
    </row>
    <row r="61">
      <c r="A61" s="58" t="inlineStr">
        <is>
          <t>COMPANHIA SIDERURGICA NACIONAL</t>
        </is>
      </c>
      <c r="B61" s="15" t="inlineStr">
        <is>
          <t>77272666.0</t>
        </is>
      </c>
      <c r="C61" s="54" t="n">
        <v>26423952.54</v>
      </c>
      <c r="D61" s="54" t="n">
        <v>66063439.72</v>
      </c>
      <c r="E61" s="59" t="n">
        <v>1.500134664562185</v>
      </c>
      <c r="F61" s="54" t="n">
        <v>39639487.18</v>
      </c>
    </row>
    <row r="62">
      <c r="A62" s="58" t="inlineStr">
        <is>
          <t>RESTAURANTE NOVA RODOVIA 2007 LTDA EPP</t>
        </is>
      </c>
      <c r="B62" s="15" t="inlineStr">
        <is>
          <t>78367989.0</t>
        </is>
      </c>
      <c r="C62" s="54" t="n">
        <v>18715535.68</v>
      </c>
      <c r="D62" s="54" t="n">
        <v>41306754.86</v>
      </c>
      <c r="E62" s="59" t="n">
        <v>1.207083760051906</v>
      </c>
      <c r="F62" s="54" t="n">
        <v>22591219.18</v>
      </c>
    </row>
    <row r="63">
      <c r="A63" s="58" t="inlineStr">
        <is>
          <t>MULTI ITAGUA? MERCADO LTDA</t>
        </is>
      </c>
      <c r="B63" s="15" t="inlineStr">
        <is>
          <t>12428910.0</t>
        </is>
      </c>
      <c r="C63" s="54" t="n">
        <v>3503054.7</v>
      </c>
      <c r="D63" s="54" t="n">
        <v>7167439.98</v>
      </c>
      <c r="E63" s="59" t="n">
        <v>1.046054256589256</v>
      </c>
      <c r="F63" s="54" t="n">
        <v>3664385.28</v>
      </c>
    </row>
    <row r="64">
      <c r="A64" s="58" t="inlineStr">
        <is>
          <t>?VORA FARM?CIA DE MANIPULA??O LTDA</t>
        </is>
      </c>
      <c r="B64" s="15" t="inlineStr">
        <is>
          <t>12028199.0</t>
        </is>
      </c>
      <c r="C64" s="54" t="n">
        <v>0</v>
      </c>
      <c r="D64" s="54" t="n">
        <v>3306653.15</v>
      </c>
      <c r="E64" s="59" t="n">
        <v>1</v>
      </c>
      <c r="F64" s="54" t="n">
        <v>3306653.15</v>
      </c>
    </row>
    <row r="65">
      <c r="A65" s="58" t="inlineStr">
        <is>
          <t>ABA SERVICOS E LOGISTICA LTDA</t>
        </is>
      </c>
      <c r="B65" s="15" t="inlineStr">
        <is>
          <t>12250843.0</t>
        </is>
      </c>
      <c r="C65" s="54" t="n">
        <v>0</v>
      </c>
      <c r="D65" s="54" t="n">
        <v>5865697.13</v>
      </c>
      <c r="E65" s="59" t="n">
        <v>1</v>
      </c>
      <c r="F65" s="54" t="n">
        <v>5865697.13</v>
      </c>
    </row>
    <row r="66">
      <c r="A66" s="58" t="inlineStr">
        <is>
          <t>REAL VEICULOS COMERCIO E SERVICOS LTDA</t>
        </is>
      </c>
      <c r="B66" s="15" t="inlineStr">
        <is>
          <t>78236647.0</t>
        </is>
      </c>
      <c r="C66" s="54" t="n">
        <v>0</v>
      </c>
      <c r="D66" s="54" t="n">
        <v>5459249.86</v>
      </c>
      <c r="E66" s="59" t="n">
        <v>1</v>
      </c>
      <c r="F66" s="54" t="n">
        <v>5459249.86</v>
      </c>
    </row>
    <row r="67">
      <c r="A67" s="58" t="inlineStr">
        <is>
          <t>F J R COMERCIO DE CEREAIS LTDA ME</t>
        </is>
      </c>
      <c r="B67" s="15" t="inlineStr">
        <is>
          <t>85765051.0</t>
        </is>
      </c>
      <c r="C67" s="54" t="n">
        <v>1608554.46</v>
      </c>
      <c r="D67" s="54" t="n">
        <v>3136524.7</v>
      </c>
      <c r="E67" s="59" t="n">
        <v>0.9499027095420818</v>
      </c>
      <c r="F67" s="54" t="n">
        <v>1527970.24</v>
      </c>
    </row>
    <row r="68">
      <c r="A68" s="58" t="inlineStr">
        <is>
          <t>PECITA PECAS ITAGUAI LTDA</t>
        </is>
      </c>
      <c r="B68" s="15" t="inlineStr">
        <is>
          <t>87407322.0</t>
        </is>
      </c>
      <c r="C68" s="54" t="n">
        <v>2564989.56</v>
      </c>
      <c r="D68" s="54" t="n">
        <v>4509041.96</v>
      </c>
      <c r="E68" s="59" t="n">
        <v>0.7579182505522556</v>
      </c>
      <c r="F68" s="54" t="n">
        <v>1944052.4</v>
      </c>
    </row>
    <row r="69">
      <c r="A69" s="58" t="inlineStr">
        <is>
          <t>TRANSPORTE E TURISMO REAL BRASIL LTDA</t>
        </is>
      </c>
      <c r="B69" s="15" t="inlineStr">
        <is>
          <t>84325767.0</t>
        </is>
      </c>
      <c r="C69" s="54" t="n">
        <v>4586626.54</v>
      </c>
      <c r="D69" s="54" t="n">
        <v>7563935.01</v>
      </c>
      <c r="E69" s="59" t="n">
        <v>0.649128165119805</v>
      </c>
      <c r="F69" s="54" t="n">
        <v>2977308.47</v>
      </c>
    </row>
    <row r="70">
      <c r="A70" s="53" t="n"/>
    </row>
    <row r="71">
      <c r="A71" s="53" t="n"/>
    </row>
    <row r="72">
      <c r="A72" s="52" t="inlineStr">
        <is>
          <t>ESTÁVEL</t>
        </is>
      </c>
    </row>
    <row r="73">
      <c r="A73" s="58" t="inlineStr">
        <is>
          <t>*** NENHUMA EMPRESA ATENDEU ESTE QUESITO ***</t>
        </is>
      </c>
    </row>
    <row r="74">
      <c r="A74" s="53" t="n"/>
    </row>
    <row r="75">
      <c r="A75" s="53" t="n"/>
    </row>
    <row r="76">
      <c r="A76" s="52" t="inlineStr">
        <is>
          <t>DECLÍNIO</t>
        </is>
      </c>
    </row>
    <row r="77">
      <c r="A77" s="52" t="inlineStr">
        <is>
          <t>NOME / RAZÃO SOCIAL</t>
        </is>
      </c>
      <c r="B77" s="56" t="inlineStr">
        <is>
          <t>INSCEST</t>
        </is>
      </c>
      <c r="C77" s="56" t="inlineStr">
        <is>
          <t>VALOR 2022</t>
        </is>
      </c>
      <c r="D77" s="56" t="inlineStr">
        <is>
          <t>VALOR 2023</t>
        </is>
      </c>
      <c r="E77" s="56" t="inlineStr">
        <is>
          <t>VARIAÇÃO %</t>
        </is>
      </c>
      <c r="F77" s="56" t="inlineStr">
        <is>
          <t>VARIAÇÃO R$</t>
        </is>
      </c>
    </row>
    <row r="78">
      <c r="A78" s="58" t="inlineStr">
        <is>
          <t>LIGHT SERVICOS DE ELETRICIDADE S A</t>
        </is>
      </c>
      <c r="B78" s="15" t="inlineStr">
        <is>
          <t>81380023.0</t>
        </is>
      </c>
      <c r="C78" s="54" t="n">
        <v>252406486.05</v>
      </c>
      <c r="D78" s="54" t="n">
        <v>249495459.85</v>
      </c>
      <c r="E78" s="59" t="n">
        <v>-0.01153308793904513</v>
      </c>
      <c r="F78" s="54" t="n">
        <v>-2911026.200000018</v>
      </c>
    </row>
    <row r="79">
      <c r="A79" s="58" t="inlineStr">
        <is>
          <t>EXPRESSO REAL RIO LTDA</t>
        </is>
      </c>
      <c r="B79" s="15" t="inlineStr">
        <is>
          <t>83623470.0</t>
        </is>
      </c>
      <c r="C79" s="54" t="n">
        <v>14693088.35</v>
      </c>
      <c r="D79" s="54" t="n">
        <v>14244370.6</v>
      </c>
      <c r="E79" s="59" t="n">
        <v>-0.03053937601892934</v>
      </c>
      <c r="F79" s="54" t="n">
        <v>-448717.75</v>
      </c>
    </row>
    <row r="80">
      <c r="A80" s="58" t="inlineStr">
        <is>
          <t>F P COMERCIO VAREJISTA DE AUTO PECAS E ACESSORIOS LTDA</t>
        </is>
      </c>
      <c r="B80" s="15" t="inlineStr">
        <is>
          <t>87102580.0</t>
        </is>
      </c>
      <c r="C80" s="54" t="n">
        <v>5237211.22</v>
      </c>
      <c r="D80" s="54" t="n">
        <v>5074793.38</v>
      </c>
      <c r="E80" s="59" t="n">
        <v>-0.03101227603342679</v>
      </c>
      <c r="F80" s="54" t="n">
        <v>-162417.8399999999</v>
      </c>
    </row>
    <row r="81">
      <c r="A81" s="58" t="inlineStr">
        <is>
          <t>LENARGE TRANSPORTES E SERVICOS LTDA</t>
        </is>
      </c>
      <c r="B81" s="15" t="inlineStr">
        <is>
          <t>76187681.0</t>
        </is>
      </c>
      <c r="C81" s="54" t="n">
        <v>44873294.96</v>
      </c>
      <c r="D81" s="54" t="n">
        <v>43350213.63</v>
      </c>
      <c r="E81" s="59" t="n">
        <v>-0.03394182066098937</v>
      </c>
      <c r="F81" s="54" t="n">
        <v>-1523081.329999998</v>
      </c>
    </row>
    <row r="82">
      <c r="A82" s="58" t="inlineStr">
        <is>
          <t>NEXTEL TELECOMUNICACOES LTDA.</t>
        </is>
      </c>
      <c r="B82" s="15" t="inlineStr">
        <is>
          <t>85727028.0</t>
        </is>
      </c>
      <c r="C82" s="54" t="n">
        <v>18988242.14</v>
      </c>
      <c r="D82" s="54" t="n">
        <v>18052340.03</v>
      </c>
      <c r="E82" s="59" t="n">
        <v>-0.04928850722987459</v>
      </c>
      <c r="F82" s="54" t="n">
        <v>-935902.1099999994</v>
      </c>
    </row>
    <row r="83">
      <c r="A83" s="58" t="inlineStr">
        <is>
          <t>TELEFONICA BRASIL S.A.</t>
        </is>
      </c>
      <c r="B83" s="15" t="inlineStr">
        <is>
          <t>77452443.0</t>
        </is>
      </c>
      <c r="C83" s="54" t="n">
        <v>12401948.73</v>
      </c>
      <c r="D83" s="54" t="n">
        <v>11762705.46</v>
      </c>
      <c r="E83" s="59" t="n">
        <v>-0.05154377621749768</v>
      </c>
      <c r="F83" s="54" t="n">
        <v>-639243.2699999996</v>
      </c>
    </row>
    <row r="84">
      <c r="A84" s="58" t="inlineStr">
        <is>
          <t>GUIOMAR TRANSPORTES LTDA ME</t>
        </is>
      </c>
      <c r="B84" s="15" t="inlineStr">
        <is>
          <t>79180297.0</t>
        </is>
      </c>
      <c r="C84" s="54" t="n">
        <v>8614543.68</v>
      </c>
      <c r="D84" s="54" t="n">
        <v>7771826.28</v>
      </c>
      <c r="E84" s="59" t="n">
        <v>-0.09782496105469854</v>
      </c>
      <c r="F84" s="54" t="n">
        <v>-842717.3999999994</v>
      </c>
    </row>
    <row r="85">
      <c r="A85" s="58" t="inlineStr">
        <is>
          <t>SKY SERVICOS DE BANDA LARGA LTDA.</t>
        </is>
      </c>
      <c r="B85" s="15" t="inlineStr">
        <is>
          <t>92002420.0</t>
        </is>
      </c>
      <c r="C85" s="54" t="n">
        <v>5177390.31</v>
      </c>
      <c r="D85" s="54" t="n">
        <v>4446072.3</v>
      </c>
      <c r="E85" s="59" t="n">
        <v>-0.141252246056759</v>
      </c>
      <c r="F85" s="54" t="n">
        <v>-731318.0099999998</v>
      </c>
    </row>
    <row r="86">
      <c r="A86" s="58" t="inlineStr">
        <is>
          <t>FRIGOMIX INDUSTRIA E COMERCIO DE CARNES LTDA</t>
        </is>
      </c>
      <c r="B86" s="15" t="inlineStr">
        <is>
          <t>78581620.0</t>
        </is>
      </c>
      <c r="C86" s="54" t="n">
        <v>16780833.69</v>
      </c>
      <c r="D86" s="54" t="n">
        <v>14347364.08</v>
      </c>
      <c r="E86" s="59" t="n">
        <v>-0.1450148219662143</v>
      </c>
      <c r="F86" s="54" t="n">
        <v>-2433469.610000001</v>
      </c>
    </row>
    <row r="87">
      <c r="A87" s="58" t="inlineStr">
        <is>
          <t>MERCADO RTJ SOARES EIRELI</t>
        </is>
      </c>
      <c r="B87" s="15" t="inlineStr">
        <is>
          <t>87324788.0</t>
        </is>
      </c>
      <c r="C87" s="54" t="n">
        <v>5588821.43</v>
      </c>
      <c r="D87" s="54" t="n">
        <v>4776998.6</v>
      </c>
      <c r="E87" s="59" t="n">
        <v>-0.1452583232740718</v>
      </c>
      <c r="F87" s="54" t="n">
        <v>-811822.8300000001</v>
      </c>
    </row>
    <row r="88">
      <c r="A88" s="58" t="inlineStr">
        <is>
          <t>DROGARIA SANTO AGOSTINHO LTDA</t>
        </is>
      </c>
      <c r="B88" s="15" t="inlineStr">
        <is>
          <t>79065668.0</t>
        </is>
      </c>
      <c r="C88" s="54" t="n">
        <v>4123002.79</v>
      </c>
      <c r="D88" s="54" t="n">
        <v>3500380.39</v>
      </c>
      <c r="E88" s="59" t="n">
        <v>-0.1510118793783304</v>
      </c>
      <c r="F88" s="54" t="n">
        <v>-622622.3999999999</v>
      </c>
    </row>
    <row r="89">
      <c r="A89" s="58" t="inlineStr">
        <is>
          <t>ACO RUBER COMERCIAL LTDA EPP</t>
        </is>
      </c>
      <c r="B89" s="15" t="inlineStr">
        <is>
          <t>78436379.0</t>
        </is>
      </c>
      <c r="C89" s="54" t="n">
        <v>5762933.06</v>
      </c>
      <c r="D89" s="54" t="n">
        <v>4709209.46</v>
      </c>
      <c r="E89" s="59" t="n">
        <v>-0.1828450181581668</v>
      </c>
      <c r="F89" s="54" t="n">
        <v>-1053723.6</v>
      </c>
    </row>
    <row r="90">
      <c r="A90" s="58" t="inlineStr">
        <is>
          <t>COTRESC COOPERATIVA DE TRANSPORTE DE CARGAS DO ESTADO DE SC LTDA</t>
        </is>
      </c>
      <c r="B90" s="15" t="inlineStr">
        <is>
          <t>85454684.0</t>
        </is>
      </c>
      <c r="C90" s="54" t="n">
        <v>8283115.04</v>
      </c>
      <c r="D90" s="54" t="n">
        <v>6180902.89</v>
      </c>
      <c r="E90" s="59" t="n">
        <v>-0.2537948754602834</v>
      </c>
      <c r="F90" s="54" t="n">
        <v>-2102212.15</v>
      </c>
    </row>
    <row r="91">
      <c r="A91" s="58" t="inlineStr">
        <is>
          <t>COMERCIO DE DERIVADOS DE PETROLEO VANILDA LTDA</t>
        </is>
      </c>
      <c r="B91" s="15" t="inlineStr">
        <is>
          <t>80404565.0</t>
        </is>
      </c>
      <c r="C91" s="54" t="n">
        <v>7333982.59</v>
      </c>
      <c r="D91" s="54" t="n">
        <v>5444754.18</v>
      </c>
      <c r="E91" s="59" t="n">
        <v>-0.2575992493595489</v>
      </c>
      <c r="F91" s="54" t="n">
        <v>-1889228.41</v>
      </c>
    </row>
    <row r="92">
      <c r="A92" s="58" t="inlineStr">
        <is>
          <t>MARKO SISTEMAS METALICOS DE CONSTRUCAO LTDA</t>
        </is>
      </c>
      <c r="B92" s="15" t="inlineStr">
        <is>
          <t>78401923.0</t>
        </is>
      </c>
      <c r="C92" s="54" t="n">
        <v>99765888.38</v>
      </c>
      <c r="D92" s="54" t="n">
        <v>71209039.67</v>
      </c>
      <c r="E92" s="59" t="n">
        <v>-0.2862386049350789</v>
      </c>
      <c r="F92" s="54" t="n">
        <v>-28556848.70999999</v>
      </c>
    </row>
    <row r="93">
      <c r="A93" s="53" t="n"/>
    </row>
    <row r="94">
      <c r="A94" s="53" t="n"/>
    </row>
    <row r="95">
      <c r="A95" s="53" t="n"/>
    </row>
    <row r="96">
      <c r="A96" s="53" t="n"/>
    </row>
    <row r="97">
      <c r="A97" s="52" t="inlineStr">
        <is>
          <t>TENDÊNCIA 2017 / 2023</t>
        </is>
      </c>
    </row>
    <row r="98">
      <c r="A98" s="52" t="inlineStr">
        <is>
          <t>CRESCIMENTO</t>
        </is>
      </c>
    </row>
    <row r="99">
      <c r="A99" s="52" t="inlineStr">
        <is>
          <t>NOME / RAZÃO SOCIAL</t>
        </is>
      </c>
      <c r="B99" s="56" t="inlineStr">
        <is>
          <t>INSCEST</t>
        </is>
      </c>
      <c r="C99" s="56" t="inlineStr">
        <is>
          <t>VALOR 2017</t>
        </is>
      </c>
      <c r="D99" s="56" t="inlineStr">
        <is>
          <t>VALOR 2023</t>
        </is>
      </c>
      <c r="E99" s="56" t="inlineStr">
        <is>
          <t>VARIAÇÃO %</t>
        </is>
      </c>
      <c r="F99" s="56" t="inlineStr">
        <is>
          <t>VARIAÇÃO R$</t>
        </is>
      </c>
    </row>
    <row r="100">
      <c r="A100" s="58" t="inlineStr">
        <is>
          <t>TRANSPORTE E TURISMO REAL BRASIL LTDA</t>
        </is>
      </c>
      <c r="B100" s="15" t="inlineStr">
        <is>
          <t>84325767.0</t>
        </is>
      </c>
      <c r="C100" s="54" t="n">
        <v>24700</v>
      </c>
      <c r="D100" s="54" t="n">
        <v>7563935.01</v>
      </c>
      <c r="E100" s="59" t="n">
        <v>305.2321866396761</v>
      </c>
      <c r="F100" s="54" t="n">
        <v>7539235.01</v>
      </c>
    </row>
    <row r="101">
      <c r="A101" s="58" t="inlineStr">
        <is>
          <t>CSN MINERACAO S A</t>
        </is>
      </c>
      <c r="B101" s="15" t="inlineStr">
        <is>
          <t>78903449.0</t>
        </is>
      </c>
      <c r="C101" s="54" t="n">
        <v>128077337.66</v>
      </c>
      <c r="D101" s="54" t="n">
        <v>2054621169.65</v>
      </c>
      <c r="E101" s="59" t="n">
        <v>15.04203528265314</v>
      </c>
      <c r="F101" s="54" t="n">
        <v>1926543831.99</v>
      </c>
    </row>
    <row r="102">
      <c r="A102" s="58" t="inlineStr">
        <is>
          <t>TIM S.A.</t>
        </is>
      </c>
      <c r="B102" s="15" t="inlineStr">
        <is>
          <t>86092085.0</t>
        </is>
      </c>
      <c r="C102" s="54" t="n">
        <v>1004193.12</v>
      </c>
      <c r="D102" s="54" t="n">
        <v>13160615.27</v>
      </c>
      <c r="E102" s="59" t="n">
        <v>12.10566165798866</v>
      </c>
      <c r="F102" s="54" t="n">
        <v>12156422.15</v>
      </c>
    </row>
    <row r="103">
      <c r="A103" s="58" t="inlineStr">
        <is>
          <t>PECITA PECAS ITAGUAI LTDA</t>
        </is>
      </c>
      <c r="B103" s="15" t="inlineStr">
        <is>
          <t>87407322.0</t>
        </is>
      </c>
      <c r="C103" s="54" t="n">
        <v>423389.66</v>
      </c>
      <c r="D103" s="54" t="n">
        <v>4509041.96</v>
      </c>
      <c r="E103" s="59" t="n">
        <v>9.649863201666285</v>
      </c>
      <c r="F103" s="54" t="n">
        <v>4085652.3</v>
      </c>
    </row>
    <row r="104">
      <c r="A104" s="58" t="inlineStr">
        <is>
          <t>MACCOMEVAP INDUSTRIA COMERCIO DE TECNOLOGIA EM ILUMINACAO E SERVICOS ELETROMECANICOS LTDA</t>
        </is>
      </c>
      <c r="B104" s="15" t="inlineStr">
        <is>
          <t>76208972.0</t>
        </is>
      </c>
      <c r="C104" s="54" t="n">
        <v>4226680.92</v>
      </c>
      <c r="D104" s="54" t="n">
        <v>39452869.03</v>
      </c>
      <c r="E104" s="59" t="n">
        <v>8.334243529790747</v>
      </c>
      <c r="F104" s="54" t="n">
        <v>35226188.11</v>
      </c>
    </row>
    <row r="105">
      <c r="A105" s="58" t="inlineStr">
        <is>
          <t>MARKO SISTEMAS METALICOS DE CONSTRUCAO LTDA</t>
        </is>
      </c>
      <c r="B105" s="15" t="inlineStr">
        <is>
          <t>78401923.0</t>
        </is>
      </c>
      <c r="C105" s="54" t="n">
        <v>8489938.48</v>
      </c>
      <c r="D105" s="54" t="n">
        <v>71209039.67</v>
      </c>
      <c r="E105" s="59" t="n">
        <v>7.387462387124388</v>
      </c>
      <c r="F105" s="54" t="n">
        <v>62719101.19</v>
      </c>
    </row>
    <row r="106">
      <c r="A106" s="58" t="inlineStr">
        <is>
          <t>MERCADO SAO FERNANDO 10 LTDA ME</t>
        </is>
      </c>
      <c r="B106" s="15" t="inlineStr">
        <is>
          <t>78964332.0</t>
        </is>
      </c>
      <c r="C106" s="54" t="n">
        <v>1470258.32</v>
      </c>
      <c r="D106" s="54" t="n">
        <v>11031010.1</v>
      </c>
      <c r="E106" s="59" t="n">
        <v>6.502770057441333</v>
      </c>
      <c r="F106" s="54" t="n">
        <v>9560751.779999999</v>
      </c>
    </row>
    <row r="107">
      <c r="A107" s="58" t="inlineStr">
        <is>
          <t>RECREIO RIO MOTOS COMERCIO E REPRESENTACOES LTDA</t>
        </is>
      </c>
      <c r="B107" s="15" t="inlineStr">
        <is>
          <t>78520302.0</t>
        </is>
      </c>
      <c r="C107" s="54" t="n">
        <v>1453539.66</v>
      </c>
      <c r="D107" s="54" t="n">
        <v>8927485.800000001</v>
      </c>
      <c r="E107" s="59" t="n">
        <v>5.141893507054359</v>
      </c>
      <c r="F107" s="54" t="n">
        <v>7473946.140000001</v>
      </c>
    </row>
    <row r="108">
      <c r="A108" s="58" t="inlineStr">
        <is>
          <t>MINERACAO SANTA LUZIA DE ITAGUAI LTDA</t>
        </is>
      </c>
      <c r="B108" s="15" t="inlineStr">
        <is>
          <t>77280707.0</t>
        </is>
      </c>
      <c r="C108" s="54" t="n">
        <v>10409415.57</v>
      </c>
      <c r="D108" s="54" t="n">
        <v>53354119.67</v>
      </c>
      <c r="E108" s="59" t="n">
        <v>4.125563420079692</v>
      </c>
      <c r="F108" s="54" t="n">
        <v>42944704.1</v>
      </c>
    </row>
    <row r="109">
      <c r="A109" s="58" t="inlineStr">
        <is>
          <t>POSTO DE GASOLINA CIDADE DO PORTO LTDA</t>
        </is>
      </c>
      <c r="B109" s="15" t="inlineStr">
        <is>
          <t>78833327.0</t>
        </is>
      </c>
      <c r="C109" s="54" t="n">
        <v>1206364.07</v>
      </c>
      <c r="D109" s="54" t="n">
        <v>5861667.56</v>
      </c>
      <c r="E109" s="59" t="n">
        <v>3.858954030353373</v>
      </c>
      <c r="F109" s="54" t="n">
        <v>4655303.489999999</v>
      </c>
    </row>
    <row r="110">
      <c r="A110" s="58" t="inlineStr">
        <is>
          <t>RF 9999 SUPERINTENDENCIA ESTADUAL CADASTRO E INF ECON FISCAIS</t>
        </is>
      </c>
      <c r="B110" s="15" t="inlineStr">
        <is>
          <t>99199997.0</t>
        </is>
      </c>
      <c r="C110" s="54" t="n">
        <v>3309953.04</v>
      </c>
      <c r="D110" s="54" t="n">
        <v>14737323.54</v>
      </c>
      <c r="E110" s="59" t="n">
        <v>3.452426775214914</v>
      </c>
      <c r="F110" s="54" t="n">
        <v>11427370.5</v>
      </c>
    </row>
    <row r="111">
      <c r="A111" s="58" t="inlineStr">
        <is>
          <t>L C M ROMANO PERFUMARIA - EIRELI - EPP</t>
        </is>
      </c>
      <c r="B111" s="15" t="inlineStr">
        <is>
          <t>79807486.0</t>
        </is>
      </c>
      <c r="C111" s="54" t="n">
        <v>963380.24</v>
      </c>
      <c r="D111" s="54" t="n">
        <v>3698050.54</v>
      </c>
      <c r="E111" s="59" t="n">
        <v>2.838619878688813</v>
      </c>
      <c r="F111" s="54" t="n">
        <v>2734670.3</v>
      </c>
    </row>
    <row r="112">
      <c r="A112" s="58" t="inlineStr">
        <is>
          <t>PECITA PECAS ITAGUAI LTDA</t>
        </is>
      </c>
      <c r="B112" s="15" t="inlineStr">
        <is>
          <t>83622946.0</t>
        </is>
      </c>
      <c r="C112" s="54" t="n">
        <v>1713538.17</v>
      </c>
      <c r="D112" s="54" t="n">
        <v>4979294.74</v>
      </c>
      <c r="E112" s="59" t="n">
        <v>1.905855747584543</v>
      </c>
      <c r="F112" s="54" t="n">
        <v>3265756.57</v>
      </c>
    </row>
    <row r="113">
      <c r="A113" s="58" t="inlineStr">
        <is>
          <t>ALIANCA NAVEGACAO E LOGISTICA LTDA</t>
        </is>
      </c>
      <c r="B113" s="15" t="inlineStr">
        <is>
          <t>77689630.0</t>
        </is>
      </c>
      <c r="C113" s="54" t="n">
        <v>33662226.25</v>
      </c>
      <c r="D113" s="54" t="n">
        <v>87153837.06999999</v>
      </c>
      <c r="E113" s="59" t="n">
        <v>1.589069315342742</v>
      </c>
      <c r="F113" s="54" t="n">
        <v>53491610.81999999</v>
      </c>
    </row>
    <row r="114">
      <c r="A114" s="58" t="inlineStr">
        <is>
          <t>MERCADO SAO FERNANDO 10 LTDA ME</t>
        </is>
      </c>
      <c r="B114" s="15" t="inlineStr">
        <is>
          <t>86532522.0</t>
        </is>
      </c>
      <c r="C114" s="54" t="n">
        <v>3974550.01</v>
      </c>
      <c r="D114" s="54" t="n">
        <v>8808096.57</v>
      </c>
      <c r="E114" s="59" t="n">
        <v>1.216124227356244</v>
      </c>
      <c r="F114" s="54" t="n">
        <v>4833546.560000001</v>
      </c>
    </row>
    <row r="115">
      <c r="A115" s="53" t="n"/>
    </row>
    <row r="116">
      <c r="A116" s="53" t="n"/>
    </row>
    <row r="117">
      <c r="A117" s="52" t="inlineStr">
        <is>
          <t>ESTÁVEL</t>
        </is>
      </c>
    </row>
    <row r="118">
      <c r="A118" s="58" t="inlineStr">
        <is>
          <t>*** NENHUMA EMPRESA ATENDEU ESTE QUESITO ***</t>
        </is>
      </c>
    </row>
    <row r="119">
      <c r="A119" s="53" t="n"/>
    </row>
    <row r="120">
      <c r="A120" s="53" t="n"/>
    </row>
    <row r="121">
      <c r="A121" s="52" t="inlineStr">
        <is>
          <t>DECLÍNIO</t>
        </is>
      </c>
    </row>
    <row r="122">
      <c r="A122" s="52" t="inlineStr">
        <is>
          <t>NOME / RAZÃO SOCIAL</t>
        </is>
      </c>
      <c r="B122" s="56" t="inlineStr">
        <is>
          <t>INSCEST</t>
        </is>
      </c>
      <c r="C122" s="56" t="inlineStr">
        <is>
          <t>VALOR 2017</t>
        </is>
      </c>
      <c r="D122" s="56" t="inlineStr">
        <is>
          <t>VALOR 2023</t>
        </is>
      </c>
      <c r="E122" s="56" t="inlineStr">
        <is>
          <t>VARIAÇÃO %</t>
        </is>
      </c>
      <c r="F122" s="56" t="inlineStr">
        <is>
          <t>VARIAÇÃO R$</t>
        </is>
      </c>
    </row>
    <row r="123">
      <c r="A123" s="58" t="inlineStr">
        <is>
          <t>FRIGOMIX INDUSTRIA E COMERCIO DE CARNES LTDA</t>
        </is>
      </c>
      <c r="B123" s="15" t="inlineStr">
        <is>
          <t>78581620.0</t>
        </is>
      </c>
      <c r="C123" s="54" t="n">
        <v>16566199.09</v>
      </c>
      <c r="D123" s="54" t="n">
        <v>14347364.08</v>
      </c>
      <c r="E123" s="59" t="n">
        <v>-0.1339374830608775</v>
      </c>
      <c r="F123" s="54" t="n">
        <v>-2218835.01</v>
      </c>
    </row>
    <row r="124">
      <c r="A124" s="58" t="inlineStr">
        <is>
          <t>TELEFONICA BRASIL S.A.</t>
        </is>
      </c>
      <c r="B124" s="15" t="inlineStr">
        <is>
          <t>77452443.0</t>
        </is>
      </c>
      <c r="C124" s="54" t="n">
        <v>13628755.25</v>
      </c>
      <c r="D124" s="54" t="n">
        <v>11762705.46</v>
      </c>
      <c r="E124" s="59" t="n">
        <v>-0.1369200455778967</v>
      </c>
      <c r="F124" s="54" t="n">
        <v>-1866049.789999999</v>
      </c>
    </row>
    <row r="125">
      <c r="A125" s="58" t="inlineStr">
        <is>
          <t>EXPRESSO REAL RIO LTDA</t>
        </is>
      </c>
      <c r="B125" s="15" t="inlineStr">
        <is>
          <t>83623470.0</t>
        </is>
      </c>
      <c r="C125" s="54" t="n">
        <v>17868526.6</v>
      </c>
      <c r="D125" s="54" t="n">
        <v>14244370.6</v>
      </c>
      <c r="E125" s="59" t="n">
        <v>-0.202823438167532</v>
      </c>
      <c r="F125" s="54" t="n">
        <v>-3624156.000000002</v>
      </c>
    </row>
    <row r="126">
      <c r="A126" s="58" t="inlineStr">
        <is>
          <t>REAL VEICULOS COMERCIO E SERVICOS LTDA</t>
        </is>
      </c>
      <c r="B126" s="15" t="inlineStr">
        <is>
          <t>78236647.0</t>
        </is>
      </c>
      <c r="C126" s="54" t="n">
        <v>7266714.38</v>
      </c>
      <c r="D126" s="54" t="n">
        <v>5459249.86</v>
      </c>
      <c r="E126" s="59" t="n">
        <v>-0.2487320163531733</v>
      </c>
      <c r="F126" s="54" t="n">
        <v>-1807464.52</v>
      </c>
    </row>
    <row r="127">
      <c r="A127" s="58" t="inlineStr">
        <is>
          <t>LOJAS CEM S A</t>
        </is>
      </c>
      <c r="B127" s="15" t="inlineStr">
        <is>
          <t>76208751.0</t>
        </is>
      </c>
      <c r="C127" s="54" t="n">
        <v>8770594.34</v>
      </c>
      <c r="D127" s="54" t="n">
        <v>5057014.87</v>
      </c>
      <c r="E127" s="59" t="n">
        <v>-0.4234125221210493</v>
      </c>
      <c r="F127" s="54" t="n">
        <v>-3713579.47</v>
      </c>
    </row>
    <row r="128">
      <c r="A128" s="58" t="inlineStr">
        <is>
          <t>SKY SERVICOS DE BANDA LARGA LTDA.</t>
        </is>
      </c>
      <c r="B128" s="15" t="inlineStr">
        <is>
          <t>92002420.0</t>
        </is>
      </c>
      <c r="C128" s="54" t="n">
        <v>8646924.060000001</v>
      </c>
      <c r="D128" s="54" t="n">
        <v>4446072.3</v>
      </c>
      <c r="E128" s="59" t="n">
        <v>-0.4858203600321662</v>
      </c>
      <c r="F128" s="54" t="n">
        <v>-4200851.760000001</v>
      </c>
    </row>
    <row r="129">
      <c r="A129" s="58" t="inlineStr">
        <is>
          <t>CLARO S/A</t>
        </is>
      </c>
      <c r="B129" s="15" t="inlineStr">
        <is>
          <t>78002840.0</t>
        </is>
      </c>
      <c r="C129" s="54" t="n">
        <v>52611225.71</v>
      </c>
      <c r="D129" s="54" t="n">
        <v>23481209.74</v>
      </c>
      <c r="E129" s="59" t="n">
        <v>-0.5536844195679547</v>
      </c>
      <c r="F129" s="54" t="n">
        <v>-29130015.97</v>
      </c>
    </row>
    <row r="130">
      <c r="A130" s="58" t="inlineStr">
        <is>
          <t>TFT PREPARACAO E COMERCIO DE DERIVADOS DE CARNES E TRANSPORTES LTDA</t>
        </is>
      </c>
      <c r="B130" s="15" t="inlineStr">
        <is>
          <t>75824610.0</t>
        </is>
      </c>
      <c r="C130" s="54" t="n">
        <v>8345740.58</v>
      </c>
      <c r="D130" s="54" t="n">
        <v>3530613.26</v>
      </c>
      <c r="E130" s="59" t="n">
        <v>-0.5769562657553873</v>
      </c>
      <c r="F130" s="54" t="n">
        <v>-4815127.32</v>
      </c>
    </row>
    <row r="131">
      <c r="A131" s="58" t="inlineStr">
        <is>
          <t>COMPANHIA SIDERURGICA NACIONAL</t>
        </is>
      </c>
      <c r="B131" s="15" t="inlineStr">
        <is>
          <t>77272666.0</t>
        </is>
      </c>
      <c r="C131" s="54" t="n">
        <v>244771686.66</v>
      </c>
      <c r="D131" s="54" t="n">
        <v>66063439.72</v>
      </c>
      <c r="E131" s="59" t="n">
        <v>-0.7301017915043198</v>
      </c>
      <c r="F131" s="54" t="n">
        <v>-178708246.94</v>
      </c>
    </row>
    <row r="132">
      <c r="A132" s="53" t="n"/>
    </row>
    <row r="133">
      <c r="A133" s="53" t="n"/>
    </row>
    <row r="134">
      <c r="A134" s="53" t="n"/>
    </row>
    <row r="135">
      <c r="A135" s="53" t="n"/>
    </row>
    <row r="136">
      <c r="A136" s="52" t="inlineStr">
        <is>
          <t>PRINCIPAIS CONTRIBUINTES</t>
        </is>
      </c>
    </row>
    <row r="137">
      <c r="A137" s="52" t="inlineStr">
        <is>
          <t>NOME / RAZÃO SOCIAL</t>
        </is>
      </c>
      <c r="B137" s="56" t="inlineStr">
        <is>
          <t>INSCEST</t>
        </is>
      </c>
      <c r="C137" s="56" t="inlineStr">
        <is>
          <t>CONTRIBUIÇÃO</t>
        </is>
      </c>
    </row>
    <row r="138">
      <c r="A138" s="58" t="inlineStr">
        <is>
          <t>KARPOWERSHIP BRASIL ENERGIA LTDA.</t>
        </is>
      </c>
      <c r="B138" s="15" t="inlineStr">
        <is>
          <t>12295057.0</t>
        </is>
      </c>
      <c r="C138" s="54" t="n">
        <v>2448011131.6</v>
      </c>
    </row>
    <row r="139">
      <c r="A139" s="58" t="inlineStr">
        <is>
          <t>CSN MINERACAO S A</t>
        </is>
      </c>
      <c r="B139" s="15" t="inlineStr">
        <is>
          <t>78903449.0</t>
        </is>
      </c>
      <c r="C139" s="54" t="n">
        <v>2054621169.65</v>
      </c>
    </row>
    <row r="140">
      <c r="A140" s="58" t="inlineStr">
        <is>
          <t>LIGHT SERVICOS DE ELETRICIDADE S A</t>
        </is>
      </c>
      <c r="B140" s="15" t="inlineStr">
        <is>
          <t>81380023.0</t>
        </is>
      </c>
      <c r="C140" s="54" t="n">
        <v>249495459.85</v>
      </c>
    </row>
    <row r="141">
      <c r="A141" s="58" t="inlineStr">
        <is>
          <t>PORTO SUDESTE EXPORTAÇÃO E COMÉRCIO S.A.</t>
        </is>
      </c>
      <c r="B141" s="15" t="inlineStr">
        <is>
          <t>86873079.0</t>
        </is>
      </c>
      <c r="C141" s="54" t="n">
        <v>247872528.41</v>
      </c>
    </row>
    <row r="142">
      <c r="A142" s="58" t="inlineStr">
        <is>
          <t>MRS LOGISTICA S/A</t>
        </is>
      </c>
      <c r="B142" s="15" t="inlineStr">
        <is>
          <t>85994964.0</t>
        </is>
      </c>
      <c r="C142" s="54" t="n">
        <v>194306423.54</v>
      </c>
    </row>
    <row r="143">
      <c r="A143" s="58" t="inlineStr">
        <is>
          <t>ALIANCA NAVEGACAO E LOGISTICA LTDA</t>
        </is>
      </c>
      <c r="B143" s="15" t="inlineStr">
        <is>
          <t>77689630.0</t>
        </is>
      </c>
      <c r="C143" s="54" t="n">
        <v>87153837.06999999</v>
      </c>
    </row>
    <row r="144">
      <c r="A144" s="58" t="inlineStr">
        <is>
          <t>MARKO SISTEMAS METALICOS DE CONSTRUCAO LTDA</t>
        </is>
      </c>
      <c r="B144" s="15" t="inlineStr">
        <is>
          <t>78401923.0</t>
        </is>
      </c>
      <c r="C144" s="54" t="n">
        <v>71209039.67</v>
      </c>
    </row>
    <row r="145">
      <c r="A145" s="58" t="inlineStr">
        <is>
          <t>COMPANHIA SIDERURGICA NACIONAL</t>
        </is>
      </c>
      <c r="B145" s="15" t="inlineStr">
        <is>
          <t>77272666.0</t>
        </is>
      </c>
      <c r="C145" s="54" t="n">
        <v>66063439.72</v>
      </c>
    </row>
    <row r="146">
      <c r="A146" s="58" t="inlineStr">
        <is>
          <t>JOSAPAR JOAQUIM OLIVEIRA S A PARTICIPACOES</t>
        </is>
      </c>
      <c r="B146" s="15" t="inlineStr">
        <is>
          <t>78911905.0</t>
        </is>
      </c>
      <c r="C146" s="54" t="n">
        <v>59722075.69</v>
      </c>
    </row>
    <row r="147">
      <c r="A147" s="58" t="inlineStr">
        <is>
          <t>MINERACAO SANTA LUZIA DE ITAGUAI LTDA</t>
        </is>
      </c>
      <c r="B147" s="15" t="inlineStr">
        <is>
          <t>77280707.0</t>
        </is>
      </c>
      <c r="C147" s="54" t="n">
        <v>53354119.67</v>
      </c>
    </row>
    <row r="148">
      <c r="A148" s="58" t="inlineStr">
        <is>
          <t>CASAS GUANABARA COMESTIVEIS LTDA</t>
        </is>
      </c>
      <c r="B148" s="15" t="inlineStr">
        <is>
          <t>81432279.0</t>
        </is>
      </c>
      <c r="C148" s="54" t="n">
        <v>50825737.34</v>
      </c>
    </row>
    <row r="149">
      <c r="A149" s="58" t="inlineStr">
        <is>
          <t>LENARGE TRANSPORTES E SERVICOS LTDA</t>
        </is>
      </c>
      <c r="B149" s="15" t="inlineStr">
        <is>
          <t>76187681.0</t>
        </is>
      </c>
      <c r="C149" s="54" t="n">
        <v>43350213.63</v>
      </c>
    </row>
    <row r="150">
      <c r="A150" s="58" t="inlineStr">
        <is>
          <t>RESTAURANTE NOVA RODOVIA 2007 LTDA EPP</t>
        </is>
      </c>
      <c r="B150" s="15" t="inlineStr">
        <is>
          <t>78367989.0</t>
        </is>
      </c>
      <c r="C150" s="54" t="n">
        <v>41306754.86</v>
      </c>
    </row>
    <row r="151">
      <c r="A151" s="58" t="inlineStr">
        <is>
          <t>MACCOMEVAP INDUSTRIA COMERCIO DE TECNOLOGIA EM ILUMINACAO E SERVICOS ELETROMECANICOS LTDA</t>
        </is>
      </c>
      <c r="B151" s="15" t="inlineStr">
        <is>
          <t>76208972.0</t>
        </is>
      </c>
      <c r="C151" s="54" t="n">
        <v>39452869.03</v>
      </c>
    </row>
    <row r="152">
      <c r="A152" s="58" t="inlineStr">
        <is>
          <t>CLARO S/A</t>
        </is>
      </c>
      <c r="B152" s="15" t="inlineStr">
        <is>
          <t>78002840.0</t>
        </is>
      </c>
      <c r="C152" s="54" t="n">
        <v>23481209.74</v>
      </c>
    </row>
    <row r="153">
      <c r="A153" s="58" t="inlineStr">
        <is>
          <t>NEXTEL TELECOMUNICACOES LTDA.</t>
        </is>
      </c>
      <c r="B153" s="15" t="inlineStr">
        <is>
          <t>85727028.0</t>
        </is>
      </c>
      <c r="C153" s="54" t="n">
        <v>18052340.03</v>
      </c>
    </row>
    <row r="154">
      <c r="A154" s="58" t="inlineStr">
        <is>
          <t>RF 9999 SUPERINTENDENCIA ESTADUAL CADASTRO E INF ECON FISCAIS</t>
        </is>
      </c>
      <c r="B154" s="15" t="inlineStr">
        <is>
          <t>99199997.0</t>
        </is>
      </c>
      <c r="C154" s="54" t="n">
        <v>14737323.54</v>
      </c>
    </row>
    <row r="155">
      <c r="A155" s="58" t="inlineStr">
        <is>
          <t>FRIGOMIX INDUSTRIA E COMERCIO DE CARNES LTDA</t>
        </is>
      </c>
      <c r="B155" s="15" t="inlineStr">
        <is>
          <t>78581620.0</t>
        </is>
      </c>
      <c r="C155" s="54" t="n">
        <v>14347364.08</v>
      </c>
    </row>
    <row r="156">
      <c r="A156" s="58" t="inlineStr">
        <is>
          <t>EXPRESSO REAL RIO LTDA</t>
        </is>
      </c>
      <c r="B156" s="15" t="inlineStr">
        <is>
          <t>83623470.0</t>
        </is>
      </c>
      <c r="C156" s="54" t="n">
        <v>14244370.6</v>
      </c>
    </row>
    <row r="157">
      <c r="A157" s="58" t="inlineStr">
        <is>
          <t>TIM S.A.</t>
        </is>
      </c>
      <c r="B157" s="15" t="inlineStr">
        <is>
          <t>86092085.0</t>
        </is>
      </c>
      <c r="C157" s="54" t="n">
        <v>13160615.27</v>
      </c>
    </row>
    <row r="158">
      <c r="A158" s="58" t="inlineStr">
        <is>
          <t>TELEFONICA BRASIL S.A.</t>
        </is>
      </c>
      <c r="B158" s="15" t="inlineStr">
        <is>
          <t>77452443.0</t>
        </is>
      </c>
      <c r="C158" s="54" t="n">
        <v>11762705.46</v>
      </c>
    </row>
    <row r="159">
      <c r="A159" s="58" t="inlineStr">
        <is>
          <t>MERCADO SAO FERNANDO 10 LTDA ME</t>
        </is>
      </c>
      <c r="B159" s="15" t="inlineStr">
        <is>
          <t>78964332.0</t>
        </is>
      </c>
      <c r="C159" s="54" t="n">
        <v>11031010.1</v>
      </c>
    </row>
    <row r="160">
      <c r="A160" s="58" t="inlineStr">
        <is>
          <t>AUTO POSTO DO TRABALHO ITAGUAI III LTDA</t>
        </is>
      </c>
      <c r="B160" s="15" t="inlineStr">
        <is>
          <t>85670476.0</t>
        </is>
      </c>
      <c r="C160" s="54" t="n">
        <v>10567238.83</v>
      </c>
    </row>
    <row r="161">
      <c r="A161" s="58" t="inlineStr">
        <is>
          <t>ENZO ITAGUAI II LTDA</t>
        </is>
      </c>
      <c r="B161" s="15" t="inlineStr">
        <is>
          <t>87377474.0</t>
        </is>
      </c>
      <c r="C161" s="54" t="n">
        <v>9964422.720000001</v>
      </c>
    </row>
    <row r="162">
      <c r="A162" s="58" t="inlineStr">
        <is>
          <t>JULIANO MADEIRAS E TELHAS COMERCIO LTDA EPP</t>
        </is>
      </c>
      <c r="B162" s="15" t="inlineStr">
        <is>
          <t>79874000.0</t>
        </is>
      </c>
      <c r="C162" s="54" t="n">
        <v>9788701.68</v>
      </c>
    </row>
    <row r="163">
      <c r="A163" s="58" t="inlineStr">
        <is>
          <t>SAKURA PRESENTES EIRELI</t>
        </is>
      </c>
      <c r="B163" s="15" t="inlineStr">
        <is>
          <t>80404646.0</t>
        </is>
      </c>
      <c r="C163" s="54" t="n">
        <v>9653029.130000001</v>
      </c>
    </row>
    <row r="164">
      <c r="A164" s="58" t="inlineStr">
        <is>
          <t>AUTO VIACAO REGINAS LTDA</t>
        </is>
      </c>
      <c r="B164" s="15" t="inlineStr">
        <is>
          <t>80219431.0</t>
        </is>
      </c>
      <c r="C164" s="54" t="n">
        <v>9071563.699999999</v>
      </c>
    </row>
    <row r="165">
      <c r="A165" s="58" t="inlineStr">
        <is>
          <t>RECREIO RIO MOTOS COMERCIO E REPRESENTACOES LTDA</t>
        </is>
      </c>
      <c r="B165" s="15" t="inlineStr">
        <is>
          <t>78520302.0</t>
        </is>
      </c>
      <c r="C165" s="54" t="n">
        <v>8927485.800000001</v>
      </c>
    </row>
    <row r="166">
      <c r="A166" s="58" t="inlineStr">
        <is>
          <t>MERCADO SAO FERNANDO 10 LTDA ME</t>
        </is>
      </c>
      <c r="B166" s="15" t="inlineStr">
        <is>
          <t>86532522.0</t>
        </is>
      </c>
      <c r="C166" s="54" t="n">
        <v>8808096.57</v>
      </c>
    </row>
    <row r="167">
      <c r="A167" s="58" t="inlineStr">
        <is>
          <t>BAZAR O AMIGAO DE ITAGUAI LTDA EPP</t>
        </is>
      </c>
      <c r="B167" s="15" t="inlineStr">
        <is>
          <t>79421707.0</t>
        </is>
      </c>
      <c r="C167" s="54" t="n">
        <v>7886171.65</v>
      </c>
    </row>
    <row r="168">
      <c r="A168" s="53" t="n"/>
    </row>
    <row r="169">
      <c r="A169" s="53" t="n"/>
    </row>
    <row r="170">
      <c r="A170" s="52" t="inlineStr">
        <is>
          <t>CONTRIBUINTES SEM MOVIMENTAÇÃO DE 2017 À 2023</t>
        </is>
      </c>
    </row>
    <row r="171">
      <c r="A171" s="52" t="inlineStr">
        <is>
          <t>NOME / RAZÃO SOCIAL</t>
        </is>
      </c>
      <c r="B171" s="56" t="inlineStr">
        <is>
          <t>INSCEST</t>
        </is>
      </c>
    </row>
    <row r="172">
      <c r="A172" s="58" t="inlineStr">
        <is>
          <t>SAO FERNANDO EMPREENDIMENTOS IMOBILIARIOS SPE LTDA</t>
        </is>
      </c>
      <c r="B172" s="15" t="inlineStr">
        <is>
          <t>11008160.0</t>
        </is>
      </c>
    </row>
    <row r="173">
      <c r="A173" s="58" t="inlineStr">
        <is>
          <t>M. P. DE GASPERI RESTAURANTE EIRELI</t>
        </is>
      </c>
      <c r="B173" s="15" t="inlineStr">
        <is>
          <t>11024602.0</t>
        </is>
      </c>
    </row>
    <row r="174">
      <c r="A174" s="58" t="inlineStr">
        <is>
          <t>ENGLOC ENGENHARIA E LOCA??O EIRELI</t>
        </is>
      </c>
      <c r="B174" s="15" t="inlineStr">
        <is>
          <t>11032265.0</t>
        </is>
      </c>
    </row>
    <row r="175">
      <c r="A175" s="58" t="inlineStr">
        <is>
          <t>DROGARIA PARQUE PRIMAVERA LTDA ME</t>
        </is>
      </c>
      <c r="B175" s="15" t="inlineStr">
        <is>
          <t>11037194.0</t>
        </is>
      </c>
    </row>
    <row r="176">
      <c r="A176" s="58" t="inlineStr">
        <is>
          <t>MERCADO O FAMILIÃO DE ITAGUAI EIRELI ME</t>
        </is>
      </c>
      <c r="B176" s="15" t="inlineStr">
        <is>
          <t>11039723.0</t>
        </is>
      </c>
    </row>
    <row r="177">
      <c r="A177" s="58" t="inlineStr">
        <is>
          <t>ITXGAS REVENDEDORA DE GAS E AGUA LTDA ME</t>
        </is>
      </c>
      <c r="B177" s="15" t="inlineStr">
        <is>
          <t>11061702.0</t>
        </is>
      </c>
    </row>
    <row r="178">
      <c r="A178" s="58" t="inlineStr">
        <is>
          <t>F C DE PAIVA JUNIOR COMERCIO E SERVIÇOS AUTOMOTIVOS</t>
        </is>
      </c>
      <c r="B178" s="15" t="inlineStr">
        <is>
          <t>11071740.0</t>
        </is>
      </c>
    </row>
    <row r="179">
      <c r="A179" s="58" t="inlineStr">
        <is>
          <t>JORGE PAPADOPOULOS DE SOUZA</t>
        </is>
      </c>
      <c r="B179" s="15" t="inlineStr">
        <is>
          <t>11077781.0</t>
        </is>
      </c>
    </row>
    <row r="180">
      <c r="A180" s="58" t="inlineStr">
        <is>
          <t>PINTURAS YPIRANGA LTDA</t>
        </is>
      </c>
      <c r="B180" s="15" t="inlineStr">
        <is>
          <t>11083986.0</t>
        </is>
      </c>
    </row>
    <row r="181">
      <c r="A181" s="58" t="inlineStr">
        <is>
          <t>VITARE NAUTICA FIBRAS EIRELI</t>
        </is>
      </c>
      <c r="B181" s="15" t="inlineStr">
        <is>
          <t>11103022.0</t>
        </is>
      </c>
    </row>
    <row r="182">
      <c r="A182" s="58" t="inlineStr">
        <is>
          <t>IRMAOS SANTOS CAVALCANTI SERVICOS E COMERCIO LTDA</t>
        </is>
      </c>
      <c r="B182" s="15" t="inlineStr">
        <is>
          <t>11137270.0</t>
        </is>
      </c>
    </row>
    <row r="183">
      <c r="A183" s="58" t="inlineStr">
        <is>
          <t>C C R DOMINGOS RESTAURANTE</t>
        </is>
      </c>
      <c r="B183" s="15" t="inlineStr">
        <is>
          <t>11137512.0</t>
        </is>
      </c>
    </row>
    <row r="184">
      <c r="A184" s="58" t="inlineStr">
        <is>
          <t>POTENCIAL ALIMENTOS DISTRIBUIDORA DE ALIMENTOS EM GERAL EIRELI</t>
        </is>
      </c>
      <c r="B184" s="15" t="inlineStr">
        <is>
          <t>11140050.0</t>
        </is>
      </c>
    </row>
    <row r="185">
      <c r="A185" s="58" t="inlineStr">
        <is>
          <t>S D C MARTINS COMERCIO E SERVIÇOS EIRELI</t>
        </is>
      </c>
      <c r="B185" s="15" t="inlineStr">
        <is>
          <t>11146422.0</t>
        </is>
      </c>
    </row>
    <row r="186">
      <c r="A186" s="58" t="inlineStr">
        <is>
          <t>M E P ENGENHARIA E SERVICOS  ADM EIRELI</t>
        </is>
      </c>
      <c r="B186" s="15" t="inlineStr">
        <is>
          <t>11156045.0</t>
        </is>
      </c>
    </row>
    <row r="187">
      <c r="A187" s="58" t="inlineStr">
        <is>
          <t>J H M SANTOS LANCHONETE</t>
        </is>
      </c>
      <c r="B187" s="15" t="inlineStr">
        <is>
          <t>11164250.0</t>
        </is>
      </c>
    </row>
    <row r="188">
      <c r="A188" s="58" t="inlineStr">
        <is>
          <t>BB AGROPECUÁRIA EIRELI</t>
        </is>
      </c>
      <c r="B188" s="15" t="inlineStr">
        <is>
          <t>11178480.0</t>
        </is>
      </c>
    </row>
    <row r="189">
      <c r="A189" s="58" t="inlineStr">
        <is>
          <t>BEM CONSTRUTORA E INCORPORADORA EIRELI</t>
        </is>
      </c>
      <c r="B189" s="15" t="inlineStr">
        <is>
          <t>11210775.0</t>
        </is>
      </c>
    </row>
    <row r="190">
      <c r="A190" s="58" t="inlineStr">
        <is>
          <t>QLUZ MATERIAL ELÉTRICO, HIDRÁULICO E BAZAR LTDA</t>
        </is>
      </c>
      <c r="B190" s="15" t="inlineStr">
        <is>
          <t>11216870.0</t>
        </is>
      </c>
    </row>
    <row r="191">
      <c r="A191" s="58" t="inlineStr">
        <is>
          <t>TRANSTURISMO TRANSPORTADORA ORIENTAL LTDA</t>
        </is>
      </c>
      <c r="B191" s="15" t="inlineStr">
        <is>
          <t>11220550.0</t>
        </is>
      </c>
    </row>
    <row r="192">
      <c r="A192" s="58" t="inlineStr">
        <is>
          <t>SEROPEC AGROPECU?RIA EIRELI</t>
        </is>
      </c>
      <c r="B192" s="15" t="inlineStr">
        <is>
          <t>11224830.0</t>
        </is>
      </c>
    </row>
    <row r="193">
      <c r="A193" s="58" t="inlineStr">
        <is>
          <t>H2 POWER ENERGIA EIRELI</t>
        </is>
      </c>
      <c r="B193" s="15" t="inlineStr">
        <is>
          <t>11258921.0</t>
        </is>
      </c>
    </row>
    <row r="194">
      <c r="A194" s="58" t="inlineStr">
        <is>
          <t>S. R. INCORPORAÇÕES LTDA</t>
        </is>
      </c>
      <c r="B194" s="15" t="inlineStr">
        <is>
          <t>11275672.0</t>
        </is>
      </c>
    </row>
    <row r="195">
      <c r="A195" s="58" t="inlineStr">
        <is>
          <t>OFF RIO MOTORS VEICULOS LTDA</t>
        </is>
      </c>
      <c r="B195" s="15" t="inlineStr">
        <is>
          <t>11288570.0</t>
        </is>
      </c>
    </row>
    <row r="196">
      <c r="A196" s="58" t="inlineStr">
        <is>
          <t>TRAXTERRA SERVICOS E EQUIPAMENTOS LTDA</t>
        </is>
      </c>
      <c r="B196" s="15" t="inlineStr">
        <is>
          <t>11305377.0</t>
        </is>
      </c>
    </row>
    <row r="197">
      <c r="A197" s="58" t="inlineStr">
        <is>
          <t>RG LOCAÇÕES E SERVIÇOS EIRELI</t>
        </is>
      </c>
      <c r="B197" s="15" t="inlineStr">
        <is>
          <t>11309615.0</t>
        </is>
      </c>
    </row>
    <row r="198">
      <c r="A198" s="58" t="inlineStr">
        <is>
          <t>T&amp;T LOCACAO DE MAQUINAS E EQUIPAMENTOS E TRANSPORTE DE CARGAS E CONTAINERES LTDA</t>
        </is>
      </c>
      <c r="B198" s="15" t="inlineStr">
        <is>
          <t>11327133.0</t>
        </is>
      </c>
    </row>
    <row r="199">
      <c r="A199" s="58" t="inlineStr">
        <is>
          <t>MES - GENSOLARIS ARRENDAMENTO DE SISTEMAS FOTOVOLTAICOS LTDA</t>
        </is>
      </c>
      <c r="B199" s="15" t="inlineStr">
        <is>
          <t>11327559.0</t>
        </is>
      </c>
    </row>
    <row r="200">
      <c r="A200" s="58" t="inlineStr">
        <is>
          <t>N A DA SILVA DROGARIAS LTDA EPP</t>
        </is>
      </c>
      <c r="B200" s="15" t="inlineStr">
        <is>
          <t>11335209.0</t>
        </is>
      </c>
    </row>
    <row r="201">
      <c r="A201" s="58" t="inlineStr">
        <is>
          <t>TRANSMAR LOGISTICA E TRANSPORTES LTDA EPP</t>
        </is>
      </c>
      <c r="B201" s="15" t="inlineStr">
        <is>
          <t>11369138.0</t>
        </is>
      </c>
    </row>
    <row r="202">
      <c r="A202" s="58" t="inlineStr">
        <is>
          <t>COOPERATIVA DE TRABALHO DE RECICLAGEM ITAGUAI COSTA VERDE - CTRIC</t>
        </is>
      </c>
      <c r="B202" s="15" t="inlineStr">
        <is>
          <t>11369723.0</t>
        </is>
      </c>
    </row>
    <row r="203">
      <c r="A203" s="58" t="inlineStr">
        <is>
          <t>AREAL SOL NASCENTE LTDA EPP</t>
        </is>
      </c>
      <c r="B203" s="15" t="inlineStr">
        <is>
          <t>11379435.0</t>
        </is>
      </c>
    </row>
    <row r="204">
      <c r="A204" s="58" t="inlineStr">
        <is>
          <t>NILCEA CORDEIRO DE ARAUJO LISTO</t>
        </is>
      </c>
      <c r="B204" s="15" t="inlineStr">
        <is>
          <t>11391770.0</t>
        </is>
      </c>
    </row>
    <row r="205">
      <c r="A205" s="58" t="inlineStr">
        <is>
          <t>TRACOMAL TERRAPLENAGEM E CONSTRUCOES MACHADO LTDA</t>
        </is>
      </c>
      <c r="B205" s="15" t="inlineStr">
        <is>
          <t>11417698.0</t>
        </is>
      </c>
    </row>
    <row r="206">
      <c r="A206" s="58" t="inlineStr">
        <is>
          <t>ADENILSON RABELO DE OLIVEIRA</t>
        </is>
      </c>
      <c r="B206" s="15" t="inlineStr">
        <is>
          <t>11453422.0</t>
        </is>
      </c>
    </row>
    <row r="207">
      <c r="A207" s="58" t="inlineStr">
        <is>
          <t>ZIRANLOG LOGISTICA EIRELI</t>
        </is>
      </c>
      <c r="B207" s="15" t="inlineStr">
        <is>
          <t>11492576.0</t>
        </is>
      </c>
    </row>
    <row r="208">
      <c r="A208" s="58" t="inlineStr">
        <is>
          <t>SOLAZER TRANSPORTES E TURISMO LTDA</t>
        </is>
      </c>
      <c r="B208" s="15" t="inlineStr">
        <is>
          <t>11499449.0</t>
        </is>
      </c>
    </row>
    <row r="209">
      <c r="A209" s="58" t="inlineStr">
        <is>
          <t>MERCADO BOAS COMPRAS DE CHAPERO EIRELI</t>
        </is>
      </c>
      <c r="B209" s="15" t="inlineStr">
        <is>
          <t>11510353.0</t>
        </is>
      </c>
    </row>
    <row r="210">
      <c r="A210" s="58" t="inlineStr">
        <is>
          <t>CLEDSON D BARBOZA MATERIAL ELETRICO E HIDRAULICO ME</t>
        </is>
      </c>
      <c r="B210" s="15" t="inlineStr">
        <is>
          <t>11516106.0</t>
        </is>
      </c>
    </row>
    <row r="211">
      <c r="A211" s="58" t="inlineStr">
        <is>
          <t>ÓTICA MAGNO EIRELI</t>
        </is>
      </c>
      <c r="B211" s="15" t="inlineStr">
        <is>
          <t>11548440.0</t>
        </is>
      </c>
    </row>
    <row r="212">
      <c r="A212" s="58" t="inlineStr">
        <is>
          <t>NALDOS DE CHAPERO DROGARIA EIRELI</t>
        </is>
      </c>
      <c r="B212" s="15" t="inlineStr">
        <is>
          <t>11553532.0</t>
        </is>
      </c>
    </row>
    <row r="213">
      <c r="A213" s="58" t="inlineStr">
        <is>
          <t>LINOS EXPRESS TRANSPORTES LTDA ME</t>
        </is>
      </c>
      <c r="B213" s="15" t="inlineStr">
        <is>
          <t>11620256.0</t>
        </is>
      </c>
    </row>
    <row r="214">
      <c r="A214" s="58" t="inlineStr">
        <is>
          <t>QUINTAL GUARDERIA RECREAÇÃO E LAZER INFANTIL LTDA</t>
        </is>
      </c>
      <c r="B214" s="15" t="inlineStr">
        <is>
          <t>11622496.0</t>
        </is>
      </c>
    </row>
    <row r="215">
      <c r="A215" s="58" t="inlineStr">
        <is>
          <t>IRMAOS OLIVEIRA MANUTENCAO INDUSTRIAL E TREINAMENTOS LTDA</t>
        </is>
      </c>
      <c r="B215" s="15" t="inlineStr">
        <is>
          <t>11623972.0</t>
        </is>
      </c>
    </row>
    <row r="216">
      <c r="A216" s="58" t="inlineStr">
        <is>
          <t>TRANSCOUTO LOGISTICA E TRANSPORTES LTDA</t>
        </is>
      </c>
      <c r="B216" s="15" t="inlineStr">
        <is>
          <t>11645410.0</t>
        </is>
      </c>
    </row>
    <row r="217">
      <c r="A217" s="58" t="inlineStr">
        <is>
          <t>MERCADO DOS ANJOS LTDA</t>
        </is>
      </c>
      <c r="B217" s="15" t="inlineStr">
        <is>
          <t>11678254.0</t>
        </is>
      </c>
    </row>
    <row r="218">
      <c r="A218" s="58" t="inlineStr">
        <is>
          <t>BERSANI SOLU??ES LTDA</t>
        </is>
      </c>
      <c r="B218" s="15" t="inlineStr">
        <is>
          <t>11685129.0</t>
        </is>
      </c>
    </row>
    <row r="219">
      <c r="A219" s="58" t="inlineStr">
        <is>
          <t>ATLANTIC OCEAN COMERCIAL EXPORTADORA E IMPORTADORA, SERVI?OS E C</t>
        </is>
      </c>
      <c r="B219" s="15" t="inlineStr">
        <is>
          <t>11699359.0</t>
        </is>
      </c>
    </row>
    <row r="220">
      <c r="A220" s="58" t="inlineStr">
        <is>
          <t>SERR?O FRIGOR?FICO LTDA</t>
        </is>
      </c>
      <c r="B220" s="15" t="inlineStr">
        <is>
          <t>11726097.0</t>
        </is>
      </c>
    </row>
    <row r="221">
      <c r="A221" s="58" t="inlineStr">
        <is>
          <t>ENERGEA ITAGUA? III LTDA</t>
        </is>
      </c>
      <c r="B221" s="15" t="inlineStr">
        <is>
          <t>11758959.0</t>
        </is>
      </c>
    </row>
    <row r="222">
      <c r="A222" s="58" t="inlineStr">
        <is>
          <t>HOTWORK BRASIL ENGENHARIA TERMICA LTDA</t>
        </is>
      </c>
      <c r="B222" s="15" t="inlineStr">
        <is>
          <t>11764037.0</t>
        </is>
      </c>
    </row>
    <row r="223">
      <c r="A223" s="58" t="inlineStr">
        <is>
          <t>HBS AUTOM?VEIS LTDA</t>
        </is>
      </c>
      <c r="B223" s="15" t="inlineStr">
        <is>
          <t>11778682.0</t>
        </is>
      </c>
    </row>
    <row r="224">
      <c r="A224" s="58" t="inlineStr">
        <is>
          <t>ESTRELA DE ITAGUAI EIRELI</t>
        </is>
      </c>
      <c r="B224" s="15" t="inlineStr">
        <is>
          <t>11780407.0</t>
        </is>
      </c>
    </row>
    <row r="225">
      <c r="A225" s="58" t="inlineStr">
        <is>
          <t>ITA REVENDEDORA DE G?S E AGUA LTDA</t>
        </is>
      </c>
      <c r="B225" s="15" t="inlineStr">
        <is>
          <t>11803482.0</t>
        </is>
      </c>
    </row>
    <row r="226">
      <c r="A226" s="58" t="inlineStr">
        <is>
          <t>REMAR COMERCIO E SERVI?OS EIRELI</t>
        </is>
      </c>
      <c r="B226" s="15" t="inlineStr">
        <is>
          <t>11815006.0</t>
        </is>
      </c>
    </row>
    <row r="227">
      <c r="A227" s="58" t="inlineStr">
        <is>
          <t>F D S DE ITAGUAI - TURISMO E FRETAMENTO - EIRELI</t>
        </is>
      </c>
      <c r="B227" s="15" t="inlineStr">
        <is>
          <t>11836330.0</t>
        </is>
      </c>
    </row>
    <row r="228">
      <c r="A228" s="58" t="inlineStr">
        <is>
          <t>GLOBEX SERVICOS DE APOIO EMPRESARIAL LTDA</t>
        </is>
      </c>
      <c r="B228" s="15" t="inlineStr">
        <is>
          <t>11841210.0</t>
        </is>
      </c>
    </row>
    <row r="229">
      <c r="A229" s="58" t="inlineStr">
        <is>
          <t>EQUIMAC S.A.</t>
        </is>
      </c>
      <c r="B229" s="15" t="inlineStr">
        <is>
          <t>11849180.0</t>
        </is>
      </c>
    </row>
    <row r="230">
      <c r="A230" s="58" t="inlineStr">
        <is>
          <t>CASA &amp; V?DEO BRASIL S.A</t>
        </is>
      </c>
      <c r="B230" s="15" t="inlineStr">
        <is>
          <t>11866174.0</t>
        </is>
      </c>
    </row>
    <row r="231">
      <c r="A231" s="58" t="inlineStr">
        <is>
          <t>ENERGEA ITAGUA? II LTDA</t>
        </is>
      </c>
      <c r="B231" s="15" t="inlineStr">
        <is>
          <t>11873871.0</t>
        </is>
      </c>
    </row>
    <row r="232">
      <c r="A232" s="58" t="inlineStr">
        <is>
          <t>ANTONIA FINELON DO NASCIMENTO</t>
        </is>
      </c>
      <c r="B232" s="15" t="inlineStr">
        <is>
          <t>11881149.0</t>
        </is>
      </c>
    </row>
    <row r="233">
      <c r="A233" s="58" t="inlineStr">
        <is>
          <t>MD COMERCIO E DISTRIBUIDORA DE ALIMENTOS EIRELI</t>
        </is>
      </c>
      <c r="B233" s="15" t="inlineStr">
        <is>
          <t>11883192.0</t>
        </is>
      </c>
    </row>
    <row r="234">
      <c r="A234" s="58" t="inlineStr">
        <is>
          <t>L&amp;A BRASIL LOCA??ES DE M?QUINAS LTDA</t>
        </is>
      </c>
      <c r="B234" s="15" t="inlineStr">
        <is>
          <t>11905390.0</t>
        </is>
      </c>
    </row>
    <row r="235">
      <c r="A235" s="58" t="inlineStr">
        <is>
          <t>SCS ARMAZENS GERAIS LTDA</t>
        </is>
      </c>
      <c r="B235" s="15" t="inlineStr">
        <is>
          <t>11912974.0</t>
        </is>
      </c>
    </row>
    <row r="236">
      <c r="A236" s="58" t="inlineStr">
        <is>
          <t>RTJ SOARES LTDA</t>
        </is>
      </c>
      <c r="B236" s="15" t="inlineStr">
        <is>
          <t>11936717.0</t>
        </is>
      </c>
    </row>
    <row r="237">
      <c r="A237" s="58" t="inlineStr">
        <is>
          <t>PROGRESSO SERVI?OS PORTU?RIOS E TRANSPORTE LTDA</t>
        </is>
      </c>
      <c r="B237" s="15" t="inlineStr">
        <is>
          <t>12039140.0</t>
        </is>
      </c>
    </row>
    <row r="238">
      <c r="A238" s="58" t="inlineStr">
        <is>
          <t>PROGRESSO TRANSPORTES LOG?STICOS E ARMAZ?NS LTDA</t>
        </is>
      </c>
      <c r="B238" s="15" t="inlineStr">
        <is>
          <t>12041454.0</t>
        </is>
      </c>
    </row>
    <row r="239">
      <c r="A239" s="58" t="inlineStr">
        <is>
          <t>TH VE?CULOS DA COSTA VERDE LTDA</t>
        </is>
      </c>
      <c r="B239" s="15" t="inlineStr">
        <is>
          <t>12051417.0</t>
        </is>
      </c>
    </row>
    <row r="240">
      <c r="A240" s="58" t="inlineStr">
        <is>
          <t>PADARIA, CONFEITARIA E LANCHONETE PAL?CIO DOS P?ES LTDA</t>
        </is>
      </c>
      <c r="B240" s="15" t="inlineStr">
        <is>
          <t>12139110.0</t>
        </is>
      </c>
    </row>
    <row r="241">
      <c r="A241" s="58" t="inlineStr">
        <is>
          <t>TRANSGUARD DO BRASIL REMOCAO E ACAUTELAMENTO DE VEICULOS E EMPRE</t>
        </is>
      </c>
      <c r="B241" s="15" t="inlineStr">
        <is>
          <t>12148186.0</t>
        </is>
      </c>
    </row>
    <row r="242">
      <c r="A242" s="58" t="inlineStr">
        <is>
          <t>INFINITE DISTRIPET ATACADISTA LTDA</t>
        </is>
      </c>
      <c r="B242" s="15" t="inlineStr">
        <is>
          <t>12176600.0</t>
        </is>
      </c>
    </row>
    <row r="243">
      <c r="A243" s="58" t="inlineStr">
        <is>
          <t>PEIXARIA EMP?RIO COSTA VERDE LTDA</t>
        </is>
      </c>
      <c r="B243" s="15" t="inlineStr">
        <is>
          <t>12185286.0</t>
        </is>
      </c>
    </row>
    <row r="244">
      <c r="A244" s="58" t="inlineStr">
        <is>
          <t>TRANSGUARD DO BRASIL REMOCAO E ACAUTELAMENTO DE VEICULOS E EMPRE</t>
        </is>
      </c>
      <c r="B244" s="15" t="inlineStr">
        <is>
          <t>12187238.0</t>
        </is>
      </c>
    </row>
    <row r="245">
      <c r="A245" s="58" t="inlineStr">
        <is>
          <t>CONSTRUTORA APICE LTDA</t>
        </is>
      </c>
      <c r="B245" s="15" t="inlineStr">
        <is>
          <t>12188633.0</t>
        </is>
      </c>
    </row>
    <row r="246">
      <c r="A246" s="58" t="inlineStr">
        <is>
          <t>ANDR?IA PROEN?A QUINTANILHA SAL?O DE BELEZA E COM?RCIO DE COSM?S</t>
        </is>
      </c>
      <c r="B246" s="15" t="inlineStr">
        <is>
          <t>12206020.0</t>
        </is>
      </c>
    </row>
    <row r="247">
      <c r="A247" s="58" t="inlineStr">
        <is>
          <t>CBSI COMPANHIA BRASILEIRA DE SERVICOS DE INFRAESTRUTURA</t>
        </is>
      </c>
      <c r="B247" s="15" t="inlineStr">
        <is>
          <t>12225091.0</t>
        </is>
      </c>
    </row>
    <row r="248">
      <c r="A248" s="58" t="inlineStr">
        <is>
          <t>BRATEC MAQUINAS E SERVICOS LTDA</t>
        </is>
      </c>
      <c r="B248" s="15" t="inlineStr">
        <is>
          <t>12296533.0</t>
        </is>
      </c>
    </row>
    <row r="249">
      <c r="A249" s="58" t="inlineStr">
        <is>
          <t>MTECH LOCA??ES E SERVI?OS LTDA</t>
        </is>
      </c>
      <c r="B249" s="15" t="inlineStr">
        <is>
          <t>12298528.0</t>
        </is>
      </c>
    </row>
    <row r="250">
      <c r="A250" s="58" t="inlineStr">
        <is>
          <t>AGROPECUARIA SANTA LUZIA LTDA</t>
        </is>
      </c>
      <c r="B250" s="15" t="inlineStr">
        <is>
          <t>12310730.0</t>
        </is>
      </c>
    </row>
    <row r="251">
      <c r="A251" s="58" t="inlineStr">
        <is>
          <t>COLNORTE COLETA DE RESIDUOS LTDA</t>
        </is>
      </c>
      <c r="B251" s="15" t="inlineStr">
        <is>
          <t>12314248.0</t>
        </is>
      </c>
    </row>
    <row r="252">
      <c r="A252" s="58" t="inlineStr">
        <is>
          <t>LEMAR LOGISTICA E TRANSPORTES LTDA</t>
        </is>
      </c>
      <c r="B252" s="15" t="inlineStr">
        <is>
          <t>12320442.0</t>
        </is>
      </c>
    </row>
    <row r="253">
      <c r="A253" s="58" t="inlineStr">
        <is>
          <t>ENECON SELECT COMERCIO DE RESINAS DE ALTA PERFORMANCE E SERVICOS</t>
        </is>
      </c>
      <c r="B253" s="15" t="inlineStr">
        <is>
          <t>12324898.0</t>
        </is>
      </c>
    </row>
    <row r="254">
      <c r="A254" s="58" t="inlineStr">
        <is>
          <t>MABA 3 MANIPULA??O FARMAC?UTICA LIMITADA</t>
        </is>
      </c>
      <c r="B254" s="15" t="inlineStr">
        <is>
          <t>12329970.0</t>
        </is>
      </c>
    </row>
    <row r="255">
      <c r="A255" s="58" t="inlineStr">
        <is>
          <t>MAGALU LOG SERVICOS LOGISTICOS LTDA</t>
        </is>
      </c>
      <c r="B255" s="15" t="inlineStr">
        <is>
          <t>12343140.0</t>
        </is>
      </c>
    </row>
    <row r="256">
      <c r="A256" s="58" t="inlineStr">
        <is>
          <t>SIBELLY TRANSPORTES LTDA</t>
        </is>
      </c>
      <c r="B256" s="15" t="inlineStr">
        <is>
          <t>12350627.0</t>
        </is>
      </c>
    </row>
    <row r="257">
      <c r="A257" s="58" t="inlineStr">
        <is>
          <t>WILLIAM SHIOSE ALVES MOREIRA</t>
        </is>
      </c>
      <c r="B257" s="15" t="inlineStr">
        <is>
          <t>12367660.0</t>
        </is>
      </c>
    </row>
    <row r="258">
      <c r="A258" s="58" t="inlineStr">
        <is>
          <t>SISTEMA ELITE DE ENSINO S A</t>
        </is>
      </c>
      <c r="B258" s="15" t="inlineStr">
        <is>
          <t>12377290.0</t>
        </is>
      </c>
    </row>
    <row r="259">
      <c r="A259" s="58" t="inlineStr">
        <is>
          <t>SHARP TRANSPORTE E SERVICO LTDA</t>
        </is>
      </c>
      <c r="B259" s="15" t="inlineStr">
        <is>
          <t>12405260.0</t>
        </is>
      </c>
    </row>
    <row r="260">
      <c r="A260" s="58" t="inlineStr">
        <is>
          <t>S?TIOS AGROFLORESTAIS EM ITAGUA? LTDA</t>
        </is>
      </c>
      <c r="B260" s="15" t="inlineStr">
        <is>
          <t>12419023.0</t>
        </is>
      </c>
    </row>
    <row r="261">
      <c r="A261" s="58" t="inlineStr">
        <is>
          <t>R F FARMACIA DO CAMPO LTDA</t>
        </is>
      </c>
      <c r="B261" s="15" t="inlineStr">
        <is>
          <t>12436912.0</t>
        </is>
      </c>
    </row>
    <row r="262">
      <c r="A262" s="58" t="inlineStr">
        <is>
          <t>F.C.A IND?STRIA E COM?RCIO DE FERRO E A?O LTDA</t>
        </is>
      </c>
      <c r="B262" s="15" t="inlineStr">
        <is>
          <t>12480113.0</t>
        </is>
      </c>
    </row>
    <row r="263">
      <c r="A263" s="58" t="inlineStr">
        <is>
          <t>KARPOWERSHIP BRASIL ENERGIA LTDA.</t>
        </is>
      </c>
      <c r="B263" s="15" t="inlineStr">
        <is>
          <t>12489790.0</t>
        </is>
      </c>
    </row>
    <row r="264">
      <c r="A264" s="58" t="inlineStr">
        <is>
          <t>AGROPECUARIA SANTA LUZIA LTDA</t>
        </is>
      </c>
      <c r="B264" s="15" t="inlineStr">
        <is>
          <t>12499515.0</t>
        </is>
      </c>
    </row>
    <row r="265">
      <c r="A265" s="58" t="inlineStr">
        <is>
          <t>DIAS COMPRA E VENDA DE VEICULOS LTDA</t>
        </is>
      </c>
      <c r="B265" s="15" t="inlineStr">
        <is>
          <t>12501498.0</t>
        </is>
      </c>
    </row>
    <row r="266">
      <c r="A266" s="58" t="inlineStr">
        <is>
          <t>XATE GEN ARRENDAMENTO DE SISTEMAS FOTOVOLTAICOS LTDA</t>
        </is>
      </c>
      <c r="B266" s="15" t="inlineStr">
        <is>
          <t>12520530.0</t>
        </is>
      </c>
    </row>
    <row r="267">
      <c r="A267" s="58" t="inlineStr">
        <is>
          <t>JEOVA JIREH GESTAO DE ESTOQUE EM LOGISTICA BR LTDA</t>
        </is>
      </c>
      <c r="B267" s="15" t="inlineStr">
        <is>
          <t>12528159.0</t>
        </is>
      </c>
    </row>
    <row r="268">
      <c r="A268" s="58" t="inlineStr">
        <is>
          <t>FOX GERA??O ITAGUA? LTDA</t>
        </is>
      </c>
      <c r="B268" s="15" t="inlineStr">
        <is>
          <t>12591705.0</t>
        </is>
      </c>
    </row>
    <row r="269">
      <c r="A269" s="58" t="inlineStr">
        <is>
          <t>CONSTRUFORT SERVI?OS E MATERIAL DE CONSTRU?AO LTDA</t>
        </is>
      </c>
      <c r="B269" s="15" t="inlineStr">
        <is>
          <t>12592620.0</t>
        </is>
      </c>
    </row>
    <row r="270">
      <c r="A270" s="58" t="inlineStr">
        <is>
          <t>ITAGUAI RJ 749 GERA??O DE ENERGIA 605 LTDA</t>
        </is>
      </c>
      <c r="B270" s="15" t="inlineStr">
        <is>
          <t>12624611.0</t>
        </is>
      </c>
    </row>
    <row r="271">
      <c r="A271" s="58" t="inlineStr">
        <is>
          <t>CAIO EMANUEL FIGUEIRA MOURA</t>
        </is>
      </c>
      <c r="B271" s="15" t="inlineStr">
        <is>
          <t>12658427.0</t>
        </is>
      </c>
    </row>
    <row r="272">
      <c r="A272" s="58" t="inlineStr">
        <is>
          <t>RTT SOLUCOES INDUSTRIAIS LTDA</t>
        </is>
      </c>
      <c r="B272" s="15" t="inlineStr">
        <is>
          <t>12714670.0</t>
        </is>
      </c>
    </row>
    <row r="273">
      <c r="A273" s="58" t="inlineStr">
        <is>
          <t>MARANATA INDUSTRIA E COMERCIO DE SAL LTDA</t>
        </is>
      </c>
      <c r="B273" s="15" t="inlineStr">
        <is>
          <t>12754515.0</t>
        </is>
      </c>
    </row>
    <row r="274">
      <c r="A274" s="58" t="inlineStr">
        <is>
          <t>ITAGUAI RJ 753 GERACAO DE ENERGIA 490 LTDA</t>
        </is>
      </c>
      <c r="B274" s="15" t="inlineStr">
        <is>
          <t>12802749.0</t>
        </is>
      </c>
    </row>
    <row r="275">
      <c r="A275" s="58" t="inlineStr">
        <is>
          <t>AFFONSO DE MORAES LIMA NETO</t>
        </is>
      </c>
      <c r="B275" s="15" t="inlineStr">
        <is>
          <t>12810083.0</t>
        </is>
      </c>
    </row>
    <row r="276">
      <c r="A276" s="58" t="inlineStr">
        <is>
          <t>AUTOZONE BRASIL COMERCIO DE AUTOPECAS LTDA.</t>
        </is>
      </c>
      <c r="B276" s="15" t="inlineStr">
        <is>
          <t>12817878.0</t>
        </is>
      </c>
    </row>
    <row r="277">
      <c r="A277" s="58" t="inlineStr">
        <is>
          <t>MULTI PARATY MERCADO LTDA</t>
        </is>
      </c>
      <c r="B277" s="15" t="inlineStr">
        <is>
          <t>12836368.0</t>
        </is>
      </c>
    </row>
    <row r="278">
      <c r="A278" s="58" t="inlineStr">
        <is>
          <t>B-PROJECTS ARMAZEM GERAL LTDA.</t>
        </is>
      </c>
      <c r="B278" s="15" t="inlineStr">
        <is>
          <t>12849826.0</t>
        </is>
      </c>
    </row>
    <row r="279">
      <c r="A279" s="58" t="inlineStr">
        <is>
          <t>SUPER PET COM?RCIO DE RACOES LTDA</t>
        </is>
      </c>
      <c r="B279" s="15" t="inlineStr">
        <is>
          <t>12859104.0</t>
        </is>
      </c>
    </row>
    <row r="280">
      <c r="A280" s="58" t="inlineStr">
        <is>
          <t>MJR COMERCIO E LOCACOES DE VEICULOS LTDA</t>
        </is>
      </c>
      <c r="B280" s="15" t="inlineStr">
        <is>
          <t>12861699.0</t>
        </is>
      </c>
    </row>
    <row r="281">
      <c r="A281" s="58" t="inlineStr">
        <is>
          <t>AUTO POSTO CANCELA LTDA</t>
        </is>
      </c>
      <c r="B281" s="15" t="inlineStr">
        <is>
          <t>12921853.0</t>
        </is>
      </c>
    </row>
    <row r="282">
      <c r="A282" s="58" t="inlineStr">
        <is>
          <t>OKJ SERVICOS DE ENGENHARIA LTDA</t>
        </is>
      </c>
      <c r="B282" s="15" t="inlineStr">
        <is>
          <t>12928653.0</t>
        </is>
      </c>
    </row>
    <row r="283">
      <c r="A283" s="58" t="inlineStr">
        <is>
          <t>T S V LOGISTICA E COMERCIAL LTDA</t>
        </is>
      </c>
      <c r="B283" s="15" t="inlineStr">
        <is>
          <t>12944896.0</t>
        </is>
      </c>
    </row>
    <row r="284">
      <c r="A284" s="58" t="inlineStr">
        <is>
          <t>MAXPESA CONSTRUCOES TRANSPORTES LOCACOES E MONTAGENS LTDA</t>
        </is>
      </c>
      <c r="B284" s="15" t="inlineStr">
        <is>
          <t>12992904.0</t>
        </is>
      </c>
    </row>
    <row r="285">
      <c r="A285" s="58" t="inlineStr">
        <is>
          <t>ITA AMIGO GAS LTDA</t>
        </is>
      </c>
      <c r="B285" s="15" t="inlineStr">
        <is>
          <t>13170029.0</t>
        </is>
      </c>
    </row>
    <row r="286">
      <c r="A286" s="58" t="inlineStr">
        <is>
          <t>SOLAR HOJE ENERGIA LTDA</t>
        </is>
      </c>
      <c r="B286" s="15" t="inlineStr">
        <is>
          <t>13422133.0</t>
        </is>
      </c>
    </row>
    <row r="287">
      <c r="A287" s="58" t="inlineStr">
        <is>
          <t>RAIA DROGASIL S/A</t>
        </is>
      </c>
      <c r="B287" s="15" t="inlineStr">
        <is>
          <t>13977402.0</t>
        </is>
      </c>
    </row>
    <row r="288">
      <c r="A288" s="58" t="inlineStr">
        <is>
          <t>FOX JB ENERGIAS RENOVAVEIS LTDA</t>
        </is>
      </c>
      <c r="B288" s="15" t="inlineStr">
        <is>
          <t>14106693.0</t>
        </is>
      </c>
    </row>
    <row r="289">
      <c r="A289" s="58" t="inlineStr">
        <is>
          <t>CUSTODIO AFONSO TORRES DE ALMEIDA</t>
        </is>
      </c>
      <c r="B289" s="15" t="inlineStr">
        <is>
          <t>70861887.0</t>
        </is>
      </c>
    </row>
    <row r="290">
      <c r="A290" s="58" t="inlineStr">
        <is>
          <t>MANOEL DOS SANTOS SIMOES</t>
        </is>
      </c>
      <c r="B290" s="15" t="inlineStr">
        <is>
          <t>71387364.0</t>
        </is>
      </c>
    </row>
    <row r="291">
      <c r="A291" s="58" t="inlineStr">
        <is>
          <t>CARLOS SATORU MATSUNAGA</t>
        </is>
      </c>
      <c r="B291" s="15" t="inlineStr">
        <is>
          <t>71390365.0</t>
        </is>
      </c>
    </row>
    <row r="292">
      <c r="A292" s="58" t="inlineStr">
        <is>
          <t>ALTAIR JOSE CERQUEIRA</t>
        </is>
      </c>
      <c r="B292" s="15" t="inlineStr">
        <is>
          <t>71391132.0</t>
        </is>
      </c>
    </row>
    <row r="293">
      <c r="A293" s="58" t="inlineStr">
        <is>
          <t>ALTAMIRO GOMES DA SILVA</t>
        </is>
      </c>
      <c r="B293" s="15" t="inlineStr">
        <is>
          <t>71392007.0</t>
        </is>
      </c>
    </row>
    <row r="294">
      <c r="A294" s="58" t="inlineStr">
        <is>
          <t>CHARLES ROSA AFFONSO</t>
        </is>
      </c>
      <c r="B294" s="15" t="inlineStr">
        <is>
          <t>71392210.0</t>
        </is>
      </c>
    </row>
    <row r="295">
      <c r="A295" s="58" t="inlineStr">
        <is>
          <t>WANTOYR DE AZEVEDO FRANCO</t>
        </is>
      </c>
      <c r="B295" s="15" t="inlineStr">
        <is>
          <t>71392350.0</t>
        </is>
      </c>
    </row>
    <row r="296">
      <c r="A296" s="58" t="inlineStr">
        <is>
          <t>YOSHIO YAHAGI</t>
        </is>
      </c>
      <c r="B296" s="15" t="inlineStr">
        <is>
          <t>71686132.0</t>
        </is>
      </c>
    </row>
    <row r="297">
      <c r="A297" s="58" t="inlineStr">
        <is>
          <t>LACIR SENDRA PITA</t>
        </is>
      </c>
      <c r="B297" s="15" t="inlineStr">
        <is>
          <t>71686272.0</t>
        </is>
      </c>
    </row>
    <row r="298">
      <c r="A298" s="58" t="inlineStr">
        <is>
          <t>SIRLEO RIBEIRO MAIA</t>
        </is>
      </c>
      <c r="B298" s="15" t="inlineStr">
        <is>
          <t>71687163.0</t>
        </is>
      </c>
    </row>
    <row r="299">
      <c r="A299" s="58" t="inlineStr">
        <is>
          <t>MARCO AURELIO DA COSTA ABADE</t>
        </is>
      </c>
      <c r="B299" s="15" t="inlineStr">
        <is>
          <t>72294521.0</t>
        </is>
      </c>
    </row>
    <row r="300">
      <c r="A300" s="58" t="inlineStr">
        <is>
          <t>ROSEMBERG DA SILVA MOURA</t>
        </is>
      </c>
      <c r="B300" s="15" t="inlineStr">
        <is>
          <t>72325737.0</t>
        </is>
      </c>
    </row>
    <row r="301">
      <c r="A301" s="58" t="inlineStr">
        <is>
          <t>MARCOS HENRIQUE PEREIRA ALVES</t>
        </is>
      </c>
      <c r="B301" s="15" t="inlineStr">
        <is>
          <t>72375343.0</t>
        </is>
      </c>
    </row>
    <row r="302">
      <c r="A302" s="58" t="inlineStr">
        <is>
          <t>ISAMU JORGE YAMASHITA</t>
        </is>
      </c>
      <c r="B302" s="15" t="inlineStr">
        <is>
          <t>72399307.0</t>
        </is>
      </c>
    </row>
    <row r="303">
      <c r="A303" s="58" t="inlineStr">
        <is>
          <t>MARIA DE JESUS FERREIRA</t>
        </is>
      </c>
      <c r="B303" s="15" t="inlineStr">
        <is>
          <t>72408594.0</t>
        </is>
      </c>
    </row>
    <row r="304">
      <c r="A304" s="58" t="inlineStr">
        <is>
          <t>JOSE CARLOS NAIPE DOS SANTOS</t>
        </is>
      </c>
      <c r="B304" s="15" t="inlineStr">
        <is>
          <t>72430867.0</t>
        </is>
      </c>
    </row>
    <row r="305">
      <c r="A305" s="58" t="inlineStr">
        <is>
          <t>MICHELE VERLY DA C AVELINO CANITES</t>
        </is>
      </c>
      <c r="B305" s="15" t="inlineStr">
        <is>
          <t>72451414.0</t>
        </is>
      </c>
    </row>
    <row r="306">
      <c r="A306" s="58" t="inlineStr">
        <is>
          <t>AGOSTINHO RODRIGUES ALVES</t>
        </is>
      </c>
      <c r="B306" s="15" t="inlineStr">
        <is>
          <t>72471920.0</t>
        </is>
      </c>
    </row>
    <row r="307">
      <c r="A307" s="58" t="inlineStr">
        <is>
          <t>AGENOR DE OLIVEIRA TEIXEIRA</t>
        </is>
      </c>
      <c r="B307" s="15" t="inlineStr">
        <is>
          <t>72527836.0</t>
        </is>
      </c>
    </row>
    <row r="308">
      <c r="A308" s="58" t="inlineStr">
        <is>
          <t>YUCCA AGROINDUSTRIAL LTDA</t>
        </is>
      </c>
      <c r="B308" s="15" t="inlineStr">
        <is>
          <t>75038615.0</t>
        </is>
      </c>
    </row>
    <row r="309">
      <c r="A309" s="58" t="inlineStr">
        <is>
          <t>FUNERARIA ULTIMA SAUDADE LTDA ME</t>
        </is>
      </c>
      <c r="B309" s="15" t="inlineStr">
        <is>
          <t>75733003.0</t>
        </is>
      </c>
    </row>
    <row r="310">
      <c r="A310" s="58" t="inlineStr">
        <is>
          <t>ITAGUAUTO AUTO CENTER E PECAS LTDA ME</t>
        </is>
      </c>
      <c r="B310" s="15" t="inlineStr">
        <is>
          <t>75733569.0</t>
        </is>
      </c>
    </row>
    <row r="311">
      <c r="A311" s="58" t="inlineStr">
        <is>
          <t>COMPANHIA PORTUARIA BAIA DE SEPETIBA</t>
        </is>
      </c>
      <c r="B311" s="15" t="inlineStr">
        <is>
          <t>75733879.0</t>
        </is>
      </c>
    </row>
    <row r="312">
      <c r="A312" s="58" t="inlineStr">
        <is>
          <t>AUTO CENTER AUGENI LTDA ME</t>
        </is>
      </c>
      <c r="B312" s="15" t="inlineStr">
        <is>
          <t>75751516.0</t>
        </is>
      </c>
    </row>
    <row r="313">
      <c r="A313" s="58" t="inlineStr">
        <is>
          <t>E R PEIXOTO GAIO BAZAR</t>
        </is>
      </c>
      <c r="B313" s="15" t="inlineStr">
        <is>
          <t>75823339.0</t>
        </is>
      </c>
    </row>
    <row r="314">
      <c r="A314" s="58" t="inlineStr">
        <is>
          <t>JLPF TRANSPORTES E PRE MOLDADOS LTDA</t>
        </is>
      </c>
      <c r="B314" s="15" t="inlineStr">
        <is>
          <t>75824149.0</t>
        </is>
      </c>
    </row>
    <row r="315">
      <c r="A315" s="58" t="inlineStr">
        <is>
          <t>J B LOGISTICA LTDA</t>
        </is>
      </c>
      <c r="B315" s="15" t="inlineStr">
        <is>
          <t>75824157.0</t>
        </is>
      </c>
    </row>
    <row r="316">
      <c r="A316" s="58" t="inlineStr">
        <is>
          <t>SILVA E SOUZA SERVICOS FUNERARIOS LTDA ME</t>
        </is>
      </c>
      <c r="B316" s="15" t="inlineStr">
        <is>
          <t>75824521.0</t>
        </is>
      </c>
    </row>
    <row r="317">
      <c r="A317" s="58" t="inlineStr">
        <is>
          <t>KVA SEQUIP LOCACAO DE GERADORES LTDA</t>
        </is>
      </c>
      <c r="B317" s="15" t="inlineStr">
        <is>
          <t>76038996.0</t>
        </is>
      </c>
    </row>
    <row r="318">
      <c r="A318" s="58" t="inlineStr">
        <is>
          <t>MULTIMARCAS SOCIEDADE DE TECNICA GM</t>
        </is>
      </c>
      <c r="B318" s="15" t="inlineStr">
        <is>
          <t>76209200.0</t>
        </is>
      </c>
    </row>
    <row r="319">
      <c r="A319" s="58" t="inlineStr">
        <is>
          <t>ANDRATI COMERCIO E SERVIÇOS EIRELI</t>
        </is>
      </c>
      <c r="B319" s="15" t="inlineStr">
        <is>
          <t>77235477.0</t>
        </is>
      </c>
    </row>
    <row r="320">
      <c r="A320" s="58" t="inlineStr">
        <is>
          <t>SUL CONTINENTAL TRANSPORTES LTDA</t>
        </is>
      </c>
      <c r="B320" s="15" t="inlineStr">
        <is>
          <t>77346015.0</t>
        </is>
      </c>
    </row>
    <row r="321">
      <c r="A321" s="58" t="inlineStr">
        <is>
          <t>JARAGUA EQUIPAMENTOS INDUSTRIAIS LTDA - EM RECUPERA??O JUDICIAL</t>
        </is>
      </c>
      <c r="B321" s="15" t="inlineStr">
        <is>
          <t>77346090.0</t>
        </is>
      </c>
    </row>
    <row r="322">
      <c r="A322" s="58" t="inlineStr">
        <is>
          <t>MALUPA COMERCIO DE ROUPAS LTDA ME</t>
        </is>
      </c>
      <c r="B322" s="15" t="inlineStr">
        <is>
          <t>77372741.0</t>
        </is>
      </c>
    </row>
    <row r="323">
      <c r="A323" s="58" t="inlineStr">
        <is>
          <t>GEFCO LOGISTICA DO BRASIL LTDA</t>
        </is>
      </c>
      <c r="B323" s="15" t="inlineStr">
        <is>
          <t>77481087.0</t>
        </is>
      </c>
    </row>
    <row r="324">
      <c r="A324" s="58" t="inlineStr">
        <is>
          <t>OBORN EXPEDITION VESTUARIO EIRELI EPP</t>
        </is>
      </c>
      <c r="B324" s="15" t="inlineStr">
        <is>
          <t>77483594.0</t>
        </is>
      </c>
    </row>
    <row r="325">
      <c r="A325" s="58" t="inlineStr">
        <is>
          <t>FABRIND FABRICACOES INDUSTRIAIS LTDA ME</t>
        </is>
      </c>
      <c r="B325" s="15" t="inlineStr">
        <is>
          <t>77527168.0</t>
        </is>
      </c>
    </row>
    <row r="326">
      <c r="A326" s="58" t="inlineStr">
        <is>
          <t>EMPREENDIMENTOS RODEIRO S/A</t>
        </is>
      </c>
      <c r="B326" s="15" t="inlineStr">
        <is>
          <t>77575839.0</t>
        </is>
      </c>
    </row>
    <row r="327">
      <c r="A327" s="58" t="inlineStr">
        <is>
          <t>MARVIN MATERIAL DE CONSTRUCOES LTDA ME</t>
        </is>
      </c>
      <c r="B327" s="15" t="inlineStr">
        <is>
          <t>77622080.0</t>
        </is>
      </c>
    </row>
    <row r="328">
      <c r="A328" s="58" t="inlineStr">
        <is>
          <t>Q S MODA VIVA CONFECCOES E BAZAR DE ITAGUAI LTDA ME</t>
        </is>
      </c>
      <c r="B328" s="15" t="inlineStr">
        <is>
          <t>77639330.0</t>
        </is>
      </c>
    </row>
    <row r="329">
      <c r="A329" s="58" t="inlineStr">
        <is>
          <t>AGITO PARADISE EVENTOS LTDA</t>
        </is>
      </c>
      <c r="B329" s="15" t="inlineStr">
        <is>
          <t>77678638.0</t>
        </is>
      </c>
    </row>
    <row r="330">
      <c r="A330" s="58" t="inlineStr">
        <is>
          <t>GRANVISA MARMORARIA E MATERIAL DE CONSTRUCAO LTDA EPP</t>
        </is>
      </c>
      <c r="B330" s="15" t="inlineStr">
        <is>
          <t>77694439.0</t>
        </is>
      </c>
    </row>
    <row r="331">
      <c r="A331" s="58" t="inlineStr">
        <is>
          <t>AMOR AOS FIOS DISTRIBUIDORA DE COSMETICOS LTDA ME</t>
        </is>
      </c>
      <c r="B331" s="15" t="inlineStr">
        <is>
          <t>77716866.0</t>
        </is>
      </c>
    </row>
    <row r="332">
      <c r="A332" s="58" t="inlineStr">
        <is>
          <t>SHEKINA PESCADOS LTDA</t>
        </is>
      </c>
      <c r="B332" s="15" t="inlineStr">
        <is>
          <t>77719385.0</t>
        </is>
      </c>
    </row>
    <row r="333">
      <c r="A333" s="58" t="inlineStr">
        <is>
          <t>ROSANGELA APARECIDA ANDRADE ROCHA</t>
        </is>
      </c>
      <c r="B333" s="15" t="inlineStr">
        <is>
          <t>77791167.0</t>
        </is>
      </c>
    </row>
    <row r="334">
      <c r="A334" s="58" t="inlineStr">
        <is>
          <t>LU BABY COMERCIO DE ROUPA INFANTIL LTDA</t>
        </is>
      </c>
      <c r="B334" s="15" t="inlineStr">
        <is>
          <t>77796070.0</t>
        </is>
      </c>
    </row>
    <row r="335">
      <c r="A335" s="58" t="inlineStr">
        <is>
          <t>H. MORAES PEREIRA LOCACÕES &amp; TRANSPORTES EIRELI</t>
        </is>
      </c>
      <c r="B335" s="15" t="inlineStr">
        <is>
          <t>77838635.0</t>
        </is>
      </c>
    </row>
    <row r="336">
      <c r="A336" s="58" t="inlineStr">
        <is>
          <t>DELCI DE FREITAS RIBEIRO SERRALHERIA</t>
        </is>
      </c>
      <c r="B336" s="15" t="inlineStr">
        <is>
          <t>77842187.0</t>
        </is>
      </c>
    </row>
    <row r="337">
      <c r="A337" s="58" t="inlineStr">
        <is>
          <t>POLIBETUME SERVICOS DE PAVIMENTACAO LTDA</t>
        </is>
      </c>
      <c r="B337" s="15" t="inlineStr">
        <is>
          <t>77883517.0</t>
        </is>
      </c>
    </row>
    <row r="338">
      <c r="A338" s="58" t="inlineStr">
        <is>
          <t>WWW ROSA BAZAR LTDA ME</t>
        </is>
      </c>
      <c r="B338" s="15" t="inlineStr">
        <is>
          <t>77892001.0</t>
        </is>
      </c>
    </row>
    <row r="339">
      <c r="A339" s="58" t="inlineStr">
        <is>
          <t>R R DA SILVA MERCEARIA ME</t>
        </is>
      </c>
      <c r="B339" s="15" t="inlineStr">
        <is>
          <t>77907912.0</t>
        </is>
      </c>
    </row>
    <row r="340">
      <c r="A340" s="58" t="inlineStr">
        <is>
          <t>SILVA RANGEL COMERCIO E SERVI?OS LTDA</t>
        </is>
      </c>
      <c r="B340" s="15" t="inlineStr">
        <is>
          <t>77926658.0</t>
        </is>
      </c>
    </row>
    <row r="341">
      <c r="A341" s="58" t="inlineStr">
        <is>
          <t>PREFEITURA MUNICIPAL DE ITAGUAI</t>
        </is>
      </c>
      <c r="B341" s="15" t="inlineStr">
        <is>
          <t>77953299.0</t>
        </is>
      </c>
    </row>
    <row r="342">
      <c r="A342" s="58" t="inlineStr">
        <is>
          <t>MAGUI LUAN UTILIDADES LTDA</t>
        </is>
      </c>
      <c r="B342" s="15" t="inlineStr">
        <is>
          <t>77954198.0</t>
        </is>
      </c>
    </row>
    <row r="343">
      <c r="A343" s="58" t="inlineStr">
        <is>
          <t>ECO RJ GESTAO AMBIENTAL LTDA ¿ ME</t>
        </is>
      </c>
      <c r="B343" s="15" t="inlineStr">
        <is>
          <t>77983139.0</t>
        </is>
      </c>
    </row>
    <row r="344">
      <c r="A344" s="58" t="inlineStr">
        <is>
          <t>RESTAURANTE LECASA DE ITAGUAI LTDA</t>
        </is>
      </c>
      <c r="B344" s="15" t="inlineStr">
        <is>
          <t>77985450.0</t>
        </is>
      </c>
    </row>
    <row r="345">
      <c r="A345" s="58" t="inlineStr">
        <is>
          <t>ARKITEC BRASIL SERVICOS DE MANUTENCAO PREDIAL - EIRELI</t>
        </is>
      </c>
      <c r="B345" s="15" t="inlineStr">
        <is>
          <t>78004320.0</t>
        </is>
      </c>
    </row>
    <row r="346">
      <c r="A346" s="58" t="inlineStr">
        <is>
          <t>CONSTRUTORA LYTORANEA S A</t>
        </is>
      </c>
      <c r="B346" s="15" t="inlineStr">
        <is>
          <t>78048654.0</t>
        </is>
      </c>
    </row>
    <row r="347">
      <c r="A347" s="58" t="inlineStr">
        <is>
          <t>ESTALEIRO BRASFELS LTDA</t>
        </is>
      </c>
      <c r="B347" s="15" t="inlineStr">
        <is>
          <t>78106352.0</t>
        </is>
      </c>
    </row>
    <row r="348">
      <c r="A348" s="58" t="inlineStr">
        <is>
          <t>J F DE AZEVEDO ?TICA - EIRELI</t>
        </is>
      </c>
      <c r="B348" s="15" t="inlineStr">
        <is>
          <t>78115254.0</t>
        </is>
      </c>
    </row>
    <row r="349">
      <c r="A349" s="58" t="inlineStr">
        <is>
          <t>PLANETA GRILL ITAGUAI RESTAURANTE LTDA</t>
        </is>
      </c>
      <c r="B349" s="15" t="inlineStr">
        <is>
          <t>78116013.0</t>
        </is>
      </c>
    </row>
    <row r="350">
      <c r="A350" s="58" t="inlineStr">
        <is>
          <t>MATRIX GLOBAL LOGISTICA EIRELI</t>
        </is>
      </c>
      <c r="B350" s="15" t="inlineStr">
        <is>
          <t>78156287.0</t>
        </is>
      </c>
    </row>
    <row r="351">
      <c r="A351" s="58" t="inlineStr">
        <is>
          <t>C M MARTINS DE OLIVEIRA PADARIA E MERCEARIA</t>
        </is>
      </c>
      <c r="B351" s="15" t="inlineStr">
        <is>
          <t>78188324.0</t>
        </is>
      </c>
    </row>
    <row r="352">
      <c r="A352" s="58" t="inlineStr">
        <is>
          <t>SILPER DIESEL LTDA</t>
        </is>
      </c>
      <c r="B352" s="15" t="inlineStr">
        <is>
          <t>78207370.0</t>
        </is>
      </c>
    </row>
    <row r="353">
      <c r="A353" s="58" t="inlineStr">
        <is>
          <t>SCS SERVICOS LTDA</t>
        </is>
      </c>
      <c r="B353" s="15" t="inlineStr">
        <is>
          <t>78219165.0</t>
        </is>
      </c>
    </row>
    <row r="354">
      <c r="A354" s="58" t="inlineStr">
        <is>
          <t>INFO COLUMBIA COMERCIO E SERVICOS LTDA ME</t>
        </is>
      </c>
      <c r="B354" s="15" t="inlineStr">
        <is>
          <t>78246596.0</t>
        </is>
      </c>
    </row>
    <row r="355">
      <c r="A355" s="58" t="inlineStr">
        <is>
          <t>S S FERNANDES COMERCIO DE PERFIS E ACESSORIOS DE ALUMINIO</t>
        </is>
      </c>
      <c r="B355" s="15" t="inlineStr">
        <is>
          <t>78271906.0</t>
        </is>
      </c>
    </row>
    <row r="356">
      <c r="A356" s="58" t="inlineStr">
        <is>
          <t>LUCKY MONEY X INFORMATICA COMERCIO E SERVICOS LTDA ME</t>
        </is>
      </c>
      <c r="B356" s="15" t="inlineStr">
        <is>
          <t>78280115.0</t>
        </is>
      </c>
    </row>
    <row r="357">
      <c r="A357" s="58" t="inlineStr">
        <is>
          <t>JW BRASIL LOCACAO DE MAQUINAS E EQUIPAMENTOS LTDA ME</t>
        </is>
      </c>
      <c r="B357" s="15" t="inlineStr">
        <is>
          <t>78285974.0</t>
        </is>
      </c>
    </row>
    <row r="358">
      <c r="A358" s="58" t="inlineStr">
        <is>
          <t>PLANETA KIDS DE ITAGUAI ROUPAS LTDA</t>
        </is>
      </c>
      <c r="B358" s="15" t="inlineStr">
        <is>
          <t>78314079.0</t>
        </is>
      </c>
    </row>
    <row r="359">
      <c r="A359" s="58" t="inlineStr">
        <is>
          <t>STEULER DO BRASIL LTDA</t>
        </is>
      </c>
      <c r="B359" s="15" t="inlineStr">
        <is>
          <t>78325038.0</t>
        </is>
      </c>
    </row>
    <row r="360">
      <c r="A360" s="58" t="inlineStr">
        <is>
          <t>J. E. MARQUES CURRAL DE APREENSÃO LTDA</t>
        </is>
      </c>
      <c r="B360" s="15" t="inlineStr">
        <is>
          <t>78347783.0</t>
        </is>
      </c>
    </row>
    <row r="361">
      <c r="A361" s="58" t="inlineStr">
        <is>
          <t>THATHYLIA COMERCIO DE ARTIGOS DO VESTUARIO EM GERAL LTDA</t>
        </is>
      </c>
      <c r="B361" s="15" t="inlineStr">
        <is>
          <t>78377070.0</t>
        </is>
      </c>
    </row>
    <row r="362">
      <c r="A362" s="58" t="inlineStr">
        <is>
          <t>GLOBAL OPERACOES PORTUARIAS S A</t>
        </is>
      </c>
      <c r="B362" s="15" t="inlineStr">
        <is>
          <t>78401524.0</t>
        </is>
      </c>
    </row>
    <row r="363">
      <c r="A363" s="58" t="inlineStr">
        <is>
          <t>START ONE TRANSPORTES DE RESIDUOS E LOCACOES EIRELI EPP</t>
        </is>
      </c>
      <c r="B363" s="15" t="inlineStr">
        <is>
          <t>78416742.0</t>
        </is>
      </c>
    </row>
    <row r="364">
      <c r="A364" s="58" t="inlineStr">
        <is>
          <t>AUTO POSTO ITACOM LTDA</t>
        </is>
      </c>
      <c r="B364" s="15" t="inlineStr">
        <is>
          <t>78427221.0</t>
        </is>
      </c>
    </row>
    <row r="365">
      <c r="A365" s="58" t="inlineStr">
        <is>
          <t>TUTTA L"ORA PAVUNA COM?RCIO DE ALIMENTOS LTDA</t>
        </is>
      </c>
      <c r="B365" s="15" t="inlineStr">
        <is>
          <t>78432926.0</t>
        </is>
      </c>
    </row>
    <row r="366">
      <c r="A366" s="58" t="inlineStr">
        <is>
          <t>RAPHAEL R SANTOS ME</t>
        </is>
      </c>
      <c r="B366" s="15" t="inlineStr">
        <is>
          <t>78466219.0</t>
        </is>
      </c>
    </row>
    <row r="367">
      <c r="A367" s="58" t="inlineStr">
        <is>
          <t>CLEBER SOUZA DOS SANTOS</t>
        </is>
      </c>
      <c r="B367" s="15" t="inlineStr">
        <is>
          <t>78513080.0</t>
        </is>
      </c>
    </row>
    <row r="368">
      <c r="A368" s="58" t="inlineStr">
        <is>
          <t>CASAPLAN EMPREENDIMENTOS IMOBILIARIOS LTDA</t>
        </is>
      </c>
      <c r="B368" s="15" t="inlineStr">
        <is>
          <t>78524251.0</t>
        </is>
      </c>
    </row>
    <row r="369">
      <c r="A369" s="58" t="inlineStr">
        <is>
          <t>AMP SIMETRIA MODAS LTDA</t>
        </is>
      </c>
      <c r="B369" s="15" t="inlineStr">
        <is>
          <t>78545224.0</t>
        </is>
      </c>
    </row>
    <row r="370">
      <c r="A370" s="58" t="inlineStr">
        <is>
          <t>DIMENSIONAL CENTELHA SOLUÇÕES LTDA</t>
        </is>
      </c>
      <c r="B370" s="15" t="inlineStr">
        <is>
          <t>78552786.0</t>
        </is>
      </c>
    </row>
    <row r="371">
      <c r="A371" s="58" t="inlineStr">
        <is>
          <t>MX SAMA ALIMENTOS LTDA EPP</t>
        </is>
      </c>
      <c r="B371" s="15" t="inlineStr">
        <is>
          <t>78579358.0</t>
        </is>
      </c>
    </row>
    <row r="372">
      <c r="A372" s="58" t="inlineStr">
        <is>
          <t>MP SIMETRIA CALCADOS LTDA</t>
        </is>
      </c>
      <c r="B372" s="15" t="inlineStr">
        <is>
          <t>78587555.0</t>
        </is>
      </c>
    </row>
    <row r="373">
      <c r="A373" s="58" t="inlineStr">
        <is>
          <t>TATY LACERDA MODAS LTDA ME</t>
        </is>
      </c>
      <c r="B373" s="15" t="inlineStr">
        <is>
          <t>78613432.0</t>
        </is>
      </c>
    </row>
    <row r="374">
      <c r="A374" s="58" t="inlineStr">
        <is>
          <t>E LOURENCO EQUIPAMENTOS DE INFORMATICA LTDA ME</t>
        </is>
      </c>
      <c r="B374" s="15" t="inlineStr">
        <is>
          <t>78614200.0</t>
        </is>
      </c>
    </row>
    <row r="375">
      <c r="A375" s="58" t="inlineStr">
        <is>
          <t>M A G TERRAPLANAGEM TRANSPORTE E LOGISTICA LTDA</t>
        </is>
      </c>
      <c r="B375" s="15" t="inlineStr">
        <is>
          <t>78616326.0</t>
        </is>
      </c>
    </row>
    <row r="376">
      <c r="A376" s="58" t="inlineStr">
        <is>
          <t>TRANSPORTE RODOVIARIO CATUESA LTDA ME</t>
        </is>
      </c>
      <c r="B376" s="15" t="inlineStr">
        <is>
          <t>78632097.0</t>
        </is>
      </c>
    </row>
    <row r="377">
      <c r="A377" s="58" t="inlineStr">
        <is>
          <t>IGUANA ENROLAMENTO DE MOTORES LTDA</t>
        </is>
      </c>
      <c r="B377" s="15" t="inlineStr">
        <is>
          <t>78682566.0</t>
        </is>
      </c>
    </row>
    <row r="378">
      <c r="A378" s="58" t="inlineStr">
        <is>
          <t>LAFARGEHOLCIM (BRASIL) S A</t>
        </is>
      </c>
      <c r="B378" s="15" t="inlineStr">
        <is>
          <t>78754117.0</t>
        </is>
      </c>
    </row>
    <row r="379">
      <c r="A379" s="58" t="inlineStr">
        <is>
          <t>PORTO SUDESTE DO BRASIL S A</t>
        </is>
      </c>
      <c r="B379" s="15" t="inlineStr">
        <is>
          <t>78760230.0</t>
        </is>
      </c>
    </row>
    <row r="380">
      <c r="A380" s="58" t="inlineStr">
        <is>
          <t>FIGUEIRA &amp; CIA REPRESENTACAO COMERCIAL E SERVICOS TECNICOS LTDA</t>
        </is>
      </c>
      <c r="B380" s="15" t="inlineStr">
        <is>
          <t>78775211.0</t>
        </is>
      </c>
    </row>
    <row r="381">
      <c r="A381" s="58" t="inlineStr">
        <is>
          <t>POUSADA E LAZER CANTINHO DA ROÇA LTDA</t>
        </is>
      </c>
      <c r="B381" s="15" t="inlineStr">
        <is>
          <t>78779691.0</t>
        </is>
      </c>
    </row>
    <row r="382">
      <c r="A382" s="58" t="inlineStr">
        <is>
          <t>RIVETTI COM?RCIO E SERVI?OS T?CNICOS LTDA</t>
        </is>
      </c>
      <c r="B382" s="15" t="inlineStr">
        <is>
          <t>78782544.0</t>
        </is>
      </c>
    </row>
    <row r="383">
      <c r="A383" s="58" t="inlineStr">
        <is>
          <t>TERRAPLAN RJ LOCAÇÕES LTDA</t>
        </is>
      </c>
      <c r="B383" s="15" t="inlineStr">
        <is>
          <t>78782986.0</t>
        </is>
      </c>
    </row>
    <row r="384">
      <c r="A384" s="58" t="inlineStr">
        <is>
          <t>CHACARA SANTA BARBARA DE ITAGUAI LTDA</t>
        </is>
      </c>
      <c r="B384" s="15" t="inlineStr">
        <is>
          <t>78788496.0</t>
        </is>
      </c>
    </row>
    <row r="385">
      <c r="A385" s="58" t="inlineStr">
        <is>
          <t>PORTO SUDESTE DO BRASIL S A</t>
        </is>
      </c>
      <c r="B385" s="15" t="inlineStr">
        <is>
          <t>78797509.0</t>
        </is>
      </c>
    </row>
    <row r="386">
      <c r="A386" s="58" t="inlineStr">
        <is>
          <t>PORTO SUDESTE DO BRASIL S A</t>
        </is>
      </c>
      <c r="B386" s="15" t="inlineStr">
        <is>
          <t>78797517.0</t>
        </is>
      </c>
    </row>
    <row r="387">
      <c r="A387" s="58" t="inlineStr">
        <is>
          <t>EUCLIDES JOSE DE CERQUEIRA FILHO</t>
        </is>
      </c>
      <c r="B387" s="15" t="inlineStr">
        <is>
          <t>78813997.0</t>
        </is>
      </c>
    </row>
    <row r="388">
      <c r="A388" s="58" t="inlineStr">
        <is>
          <t>G N P PREPARACAO E COMERCIO DE DERIVADOS DE CARNES LTDA</t>
        </is>
      </c>
      <c r="B388" s="15" t="inlineStr">
        <is>
          <t>78828358.0</t>
        </is>
      </c>
    </row>
    <row r="389">
      <c r="A389" s="58" t="inlineStr">
        <is>
          <t>DISTAC DISTRIBUIDORA DE AUTOMOVEIS E COMERCIO LTDA</t>
        </is>
      </c>
      <c r="B389" s="15" t="inlineStr">
        <is>
          <t>78832410.0</t>
        </is>
      </c>
    </row>
    <row r="390">
      <c r="A390" s="58" t="inlineStr">
        <is>
          <t>GREEN COAST COMERCIAL E REPRESENTACAO DE GEN ALIMENTICIOS LTDA</t>
        </is>
      </c>
      <c r="B390" s="15" t="inlineStr">
        <is>
          <t>78833319.0</t>
        </is>
      </c>
    </row>
    <row r="391">
      <c r="A391" s="58" t="inlineStr">
        <is>
          <t>E R F RIOS SERRALHERIA ME</t>
        </is>
      </c>
      <c r="B391" s="15" t="inlineStr">
        <is>
          <t>78835630.0</t>
        </is>
      </c>
    </row>
    <row r="392">
      <c r="A392" s="58" t="inlineStr">
        <is>
          <t>M.A. DE FARIAS CONSTRU??ES E REFORMAS LTDA</t>
        </is>
      </c>
      <c r="B392" s="15" t="inlineStr">
        <is>
          <t>78854979.0</t>
        </is>
      </c>
    </row>
    <row r="393">
      <c r="A393" s="58" t="inlineStr">
        <is>
          <t>J S AUTO ELETRICA COMERCIO DE PECAS E SERVICOS LTDA ME</t>
        </is>
      </c>
      <c r="B393" s="15" t="inlineStr">
        <is>
          <t>78855525.0</t>
        </is>
      </c>
    </row>
    <row r="394">
      <c r="A394" s="58" t="inlineStr">
        <is>
          <t>BERIT CAM EMPREENDIMENTOS SERVICOS LTDA ME</t>
        </is>
      </c>
      <c r="B394" s="15" t="inlineStr">
        <is>
          <t>78889659.0</t>
        </is>
      </c>
    </row>
    <row r="395">
      <c r="A395" s="58" t="inlineStr">
        <is>
          <t>IPIRANGA PRODUTOS DE PETROLEO S A</t>
        </is>
      </c>
      <c r="B395" s="15" t="inlineStr">
        <is>
          <t>78891220.0</t>
        </is>
      </c>
    </row>
    <row r="396">
      <c r="A396" s="58" t="inlineStr">
        <is>
          <t>VITORIA DE ITAGUAI CONFECCOES EIRELI- ME</t>
        </is>
      </c>
      <c r="B396" s="15" t="inlineStr">
        <is>
          <t>78892188.0</t>
        </is>
      </c>
    </row>
    <row r="397">
      <c r="A397" s="58" t="inlineStr">
        <is>
          <t>ITVA RIO MOTOS LTDA</t>
        </is>
      </c>
      <c r="B397" s="15" t="inlineStr">
        <is>
          <t>78961104.0</t>
        </is>
      </c>
    </row>
    <row r="398">
      <c r="A398" s="58" t="inlineStr">
        <is>
          <t>PORTO VEICULOS DE ITAGUAI - EIRELI</t>
        </is>
      </c>
      <c r="B398" s="15" t="inlineStr">
        <is>
          <t>78968362.0</t>
        </is>
      </c>
    </row>
    <row r="399">
      <c r="A399" s="58" t="inlineStr">
        <is>
          <t>M L J TRIGO 117 COMERCIO DE ALIMENTOS LTDA ME</t>
        </is>
      </c>
      <c r="B399" s="15" t="inlineStr">
        <is>
          <t>78976217.0</t>
        </is>
      </c>
    </row>
    <row r="400">
      <c r="A400" s="58" t="inlineStr">
        <is>
          <t>J I DISTRIBUIDORA DE BEBIDAS E DESCARTAVEIS LTDA ME</t>
        </is>
      </c>
      <c r="B400" s="15" t="inlineStr">
        <is>
          <t>78982926.0</t>
        </is>
      </c>
    </row>
    <row r="401">
      <c r="A401" s="58" t="inlineStr">
        <is>
          <t>MP TRANSPORTES, MONTAGENS INDUSTRIAIS, REFORMA E MANUTENÇÃO EIRELI</t>
        </is>
      </c>
      <c r="B401" s="15" t="inlineStr">
        <is>
          <t>79010570.0</t>
        </is>
      </c>
    </row>
    <row r="402">
      <c r="A402" s="58" t="inlineStr">
        <is>
          <t>BRENDA COMERCIO E SERVICOS LTDA ME</t>
        </is>
      </c>
      <c r="B402" s="15" t="inlineStr">
        <is>
          <t>79010685.0</t>
        </is>
      </c>
    </row>
    <row r="403">
      <c r="A403" s="58" t="inlineStr">
        <is>
          <t>C S F J M IDIOMAS LTDA ME</t>
        </is>
      </c>
      <c r="B403" s="15" t="inlineStr">
        <is>
          <t>79010731.0</t>
        </is>
      </c>
    </row>
    <row r="404">
      <c r="A404" s="58" t="inlineStr">
        <is>
          <t>AREAL DO FUTURO EXTRACAO DE AREIA LTDA EPP</t>
        </is>
      </c>
      <c r="B404" s="15" t="inlineStr">
        <is>
          <t>79017329.0</t>
        </is>
      </c>
    </row>
    <row r="405">
      <c r="A405" s="58" t="inlineStr">
        <is>
          <t>MTECH LOCAÇÕES E SERVIÇOS LTDA</t>
        </is>
      </c>
      <c r="B405" s="15" t="inlineStr">
        <is>
          <t>79024554.0</t>
        </is>
      </c>
    </row>
    <row r="406">
      <c r="A406" s="58" t="inlineStr">
        <is>
          <t>TORA LOGISTICA ARMAZENS E TERMINAIS MULTIMODAIS S/A</t>
        </is>
      </c>
      <c r="B406" s="15" t="inlineStr">
        <is>
          <t>79027782.0</t>
        </is>
      </c>
    </row>
    <row r="407">
      <c r="A407" s="58" t="inlineStr">
        <is>
          <t>MENOS E MAIS INDUSTRIA E COMERCIO DE ROUPAS LTDA ME</t>
        </is>
      </c>
      <c r="B407" s="15" t="inlineStr">
        <is>
          <t>79029076.0</t>
        </is>
      </c>
    </row>
    <row r="408">
      <c r="A408" s="58" t="inlineStr">
        <is>
          <t>RODRIGUES E CORREDOR COMERCIO E CONFECCAO DE ROUPAS LTDA ME</t>
        </is>
      </c>
      <c r="B408" s="15" t="inlineStr">
        <is>
          <t>79038849.0</t>
        </is>
      </c>
    </row>
    <row r="409">
      <c r="A409" s="58" t="inlineStr">
        <is>
          <t>A R G LTDA</t>
        </is>
      </c>
      <c r="B409" s="15" t="inlineStr">
        <is>
          <t>79095346.0</t>
        </is>
      </c>
    </row>
    <row r="410">
      <c r="A410" s="58" t="inlineStr">
        <is>
          <t>PB2 RESTAURANTE E PIZZARIA EIRELI</t>
        </is>
      </c>
      <c r="B410" s="15" t="inlineStr">
        <is>
          <t>79113166.0</t>
        </is>
      </c>
    </row>
    <row r="411">
      <c r="A411" s="58" t="inlineStr">
        <is>
          <t>REINO VEGETAL PLANTAS E JARDINS LTDA ME</t>
        </is>
      </c>
      <c r="B411" s="15" t="inlineStr">
        <is>
          <t>79123927.0</t>
        </is>
      </c>
    </row>
    <row r="412">
      <c r="A412" s="58" t="inlineStr">
        <is>
          <t>CONSORCIO ARG-CIVILPORT-PORTO SUDESTE</t>
        </is>
      </c>
      <c r="B412" s="15" t="inlineStr">
        <is>
          <t>79159310.0</t>
        </is>
      </c>
    </row>
    <row r="413">
      <c r="A413" s="58" t="inlineStr">
        <is>
          <t>MINERACAO USIMINAS S A</t>
        </is>
      </c>
      <c r="B413" s="15" t="inlineStr">
        <is>
          <t>79180351.0</t>
        </is>
      </c>
    </row>
    <row r="414">
      <c r="A414" s="58" t="inlineStr">
        <is>
          <t>MENOS E MAIS INDUSTRIA E COMERCIO DE ROUPAS LTDA ME</t>
        </is>
      </c>
      <c r="B414" s="15" t="inlineStr">
        <is>
          <t>79185280.0</t>
        </is>
      </c>
    </row>
    <row r="415">
      <c r="A415" s="58" t="inlineStr">
        <is>
          <t>R A DE OLIVEIRA COMERCIO DE RECICLAGEM LTDA ME</t>
        </is>
      </c>
      <c r="B415" s="15" t="inlineStr">
        <is>
          <t>79192309.0</t>
        </is>
      </c>
    </row>
    <row r="416">
      <c r="A416" s="58" t="inlineStr">
        <is>
          <t>GRUPO NESTOR CAMPOS PAIVA COMERCIO E SERVICOS GRAFICOS LTDA ME</t>
        </is>
      </c>
      <c r="B416" s="15" t="inlineStr">
        <is>
          <t>79192317.0</t>
        </is>
      </c>
    </row>
    <row r="417">
      <c r="A417" s="58" t="inlineStr">
        <is>
          <t>CONCRETO SANTA LUZIA LTDA</t>
        </is>
      </c>
      <c r="B417" s="15" t="inlineStr">
        <is>
          <t>79193941.0</t>
        </is>
      </c>
    </row>
    <row r="418">
      <c r="A418" s="58" t="inlineStr">
        <is>
          <t>TRANSPORTES E LOGISTICA SANTA LUZIA LTDA</t>
        </is>
      </c>
      <c r="B418" s="15" t="inlineStr">
        <is>
          <t>79193976.0</t>
        </is>
      </c>
    </row>
    <row r="419">
      <c r="A419" s="58" t="inlineStr">
        <is>
          <t>JOANA DARC DO NASCIMENTO VALOIS ME</t>
        </is>
      </c>
      <c r="B419" s="15" t="inlineStr">
        <is>
          <t>79198382.0</t>
        </is>
      </c>
    </row>
    <row r="420">
      <c r="A420" s="58" t="inlineStr">
        <is>
          <t>MERCADO LIBERDADE JOAO XXIII LTDA ME</t>
        </is>
      </c>
      <c r="B420" s="15" t="inlineStr">
        <is>
          <t>79205877.0</t>
        </is>
      </c>
    </row>
    <row r="421">
      <c r="A421" s="58" t="inlineStr">
        <is>
          <t>VALLE SUL TERRAPLENAGEM LTDA</t>
        </is>
      </c>
      <c r="B421" s="15" t="inlineStr">
        <is>
          <t>79238651.0</t>
        </is>
      </c>
    </row>
    <row r="422">
      <c r="A422" s="58" t="inlineStr">
        <is>
          <t>IC TRANSPORTES LTDA</t>
        </is>
      </c>
      <c r="B422" s="15" t="inlineStr">
        <is>
          <t>79273945.0</t>
        </is>
      </c>
    </row>
    <row r="423">
      <c r="A423" s="58" t="inlineStr">
        <is>
          <t>RECICLE RECICLAGEM E COLETA LTDA</t>
        </is>
      </c>
      <c r="B423" s="15" t="inlineStr">
        <is>
          <t>79280313.0</t>
        </is>
      </c>
    </row>
    <row r="424">
      <c r="A424" s="58" t="inlineStr">
        <is>
          <t>PADARIA E CONFEITARIA NOVA BRISA MAR LTDA ME</t>
        </is>
      </c>
      <c r="B424" s="15" t="inlineStr">
        <is>
          <t>79280410.0</t>
        </is>
      </c>
    </row>
    <row r="425">
      <c r="A425" s="58" t="inlineStr">
        <is>
          <t>EMPORIO DO DOM LTDA ME</t>
        </is>
      </c>
      <c r="B425" s="15" t="inlineStr">
        <is>
          <t>79310166.0</t>
        </is>
      </c>
    </row>
    <row r="426">
      <c r="A426" s="58" t="inlineStr">
        <is>
          <t>ASSOCIACAO MISTA DE PRODUTORES RURAIS DA AGRICULTURA FAMILIAR</t>
        </is>
      </c>
      <c r="B426" s="15" t="inlineStr">
        <is>
          <t>79317870.0</t>
        </is>
      </c>
    </row>
    <row r="427">
      <c r="A427" s="58" t="inlineStr">
        <is>
          <t>EMPRESA BRASILEIRA DE ENGENHARIA S/A</t>
        </is>
      </c>
      <c r="B427" s="15" t="inlineStr">
        <is>
          <t>79340839.0</t>
        </is>
      </c>
    </row>
    <row r="428">
      <c r="A428" s="58" t="inlineStr">
        <is>
          <t>SUPER GELO SISTEMAS LTDA</t>
        </is>
      </c>
      <c r="B428" s="15" t="inlineStr">
        <is>
          <t>79376019.0</t>
        </is>
      </c>
    </row>
    <row r="429">
      <c r="A429" s="58" t="inlineStr">
        <is>
          <t>FLAVIA DA SILVA ZAMBONI CABELEIREIRA</t>
        </is>
      </c>
      <c r="B429" s="15" t="inlineStr">
        <is>
          <t>79384232.0</t>
        </is>
      </c>
    </row>
    <row r="430">
      <c r="A430" s="58" t="inlineStr">
        <is>
          <t>RN COMERCIO VAREJISTA S/A</t>
        </is>
      </c>
      <c r="B430" s="15" t="inlineStr">
        <is>
          <t>79425532.0</t>
        </is>
      </c>
    </row>
    <row r="431">
      <c r="A431" s="58" t="inlineStr">
        <is>
          <t>FORTE - GLASS SERRALHERIA E VIDRAÇARIA EIRELI</t>
        </is>
      </c>
      <c r="B431" s="15" t="inlineStr">
        <is>
          <t>79433802.0</t>
        </is>
      </c>
    </row>
    <row r="432">
      <c r="A432" s="58" t="inlineStr">
        <is>
          <t>ROBERTO DOS SANTOS BAR E RESTAURANTE ME</t>
        </is>
      </c>
      <c r="B432" s="15" t="inlineStr">
        <is>
          <t>79495808.0</t>
        </is>
      </c>
    </row>
    <row r="433">
      <c r="A433" s="58" t="inlineStr">
        <is>
          <t>J M EUROFLEX COMERCIO E SERVICOS DE ARTIGOS INDUSTRIAIS LTDA</t>
        </is>
      </c>
      <c r="B433" s="15" t="inlineStr">
        <is>
          <t>79495930.0</t>
        </is>
      </c>
    </row>
    <row r="434">
      <c r="A434" s="58" t="inlineStr">
        <is>
          <t>EBSE ENGENHARIA DE SOLU??ES S.A</t>
        </is>
      </c>
      <c r="B434" s="15" t="inlineStr">
        <is>
          <t>79500208.0</t>
        </is>
      </c>
    </row>
    <row r="435">
      <c r="A435" s="58" t="inlineStr">
        <is>
          <t>BAR DO ANDRE COMERCIO DE BEBIDAS LTDA ME</t>
        </is>
      </c>
      <c r="B435" s="15" t="inlineStr">
        <is>
          <t>79514420.0</t>
        </is>
      </c>
    </row>
    <row r="436">
      <c r="A436" s="58" t="inlineStr">
        <is>
          <t>PREMIUM RIO VEICULOS LTDA</t>
        </is>
      </c>
      <c r="B436" s="15" t="inlineStr">
        <is>
          <t>79543411.0</t>
        </is>
      </c>
    </row>
    <row r="437">
      <c r="A437" s="58" t="inlineStr">
        <is>
          <t>ZIRANLOG ARMAZENS GERAIS E TRANSPORTES EIRELI</t>
        </is>
      </c>
      <c r="B437" s="15" t="inlineStr">
        <is>
          <t>79545660.0</t>
        </is>
      </c>
    </row>
    <row r="438">
      <c r="A438" s="58" t="inlineStr">
        <is>
          <t>FRANCISCO C FREITAS RESTAURANTE E BAR ME</t>
        </is>
      </c>
      <c r="B438" s="15" t="inlineStr">
        <is>
          <t>79558630.0</t>
        </is>
      </c>
    </row>
    <row r="439">
      <c r="A439" s="58" t="inlineStr">
        <is>
          <t>PREDES BAZAR LTDA ME</t>
        </is>
      </c>
      <c r="B439" s="15" t="inlineStr">
        <is>
          <t>79571806.0</t>
        </is>
      </c>
    </row>
    <row r="440">
      <c r="A440" s="58" t="inlineStr">
        <is>
          <t>CONCORDIA LOGISTICA S A</t>
        </is>
      </c>
      <c r="B440" s="15" t="inlineStr">
        <is>
          <t>79594571.0</t>
        </is>
      </c>
    </row>
    <row r="441">
      <c r="A441" s="58" t="inlineStr">
        <is>
          <t>J A CRUZ BAR E LANCHONETE - ME</t>
        </is>
      </c>
      <c r="B441" s="15" t="inlineStr">
        <is>
          <t>79609323.0</t>
        </is>
      </c>
    </row>
    <row r="442">
      <c r="A442" s="58" t="inlineStr">
        <is>
          <t>CLADTEK DO BRASIL INDUSTRIA E COMERCIO DE TUBOS E REVESTIMENTOS LTDA</t>
        </is>
      </c>
      <c r="B442" s="15" t="inlineStr">
        <is>
          <t>79611395.0</t>
        </is>
      </c>
    </row>
    <row r="443">
      <c r="A443" s="58" t="inlineStr">
        <is>
          <t>FIBERGIL FABRICACAO COMERCIO E REPAROS DE CARROCERIAS LTDA ME</t>
        </is>
      </c>
      <c r="B443" s="15" t="inlineStr">
        <is>
          <t>79612391.0</t>
        </is>
      </c>
    </row>
    <row r="444">
      <c r="A444" s="58" t="inlineStr">
        <is>
          <t>ITVA RIO MOTOS LTDA</t>
        </is>
      </c>
      <c r="B444" s="15" t="inlineStr">
        <is>
          <t>79619159.0</t>
        </is>
      </c>
    </row>
    <row r="445">
      <c r="A445" s="58" t="inlineStr">
        <is>
          <t>FM LOCACAO, COMERCIO E ENTRETENIMENTO EIRELI ME</t>
        </is>
      </c>
      <c r="B445" s="15" t="inlineStr">
        <is>
          <t>79670847.0</t>
        </is>
      </c>
    </row>
    <row r="446">
      <c r="A446" s="58" t="inlineStr">
        <is>
          <t>TOP FLA ARTIGOS DO VESTUARIO E ACESSORIOS ESPORTIVOS EIRELI EPP</t>
        </is>
      </c>
      <c r="B446" s="15" t="inlineStr">
        <is>
          <t>79681059.0</t>
        </is>
      </c>
    </row>
    <row r="447">
      <c r="A447" s="58" t="inlineStr">
        <is>
          <t>O S ARAGÃO CALÇADOS LTDA</t>
        </is>
      </c>
      <c r="B447" s="15" t="inlineStr">
        <is>
          <t>79691011.0</t>
        </is>
      </c>
    </row>
    <row r="448">
      <c r="A448" s="58" t="inlineStr">
        <is>
          <t>ZANATA DISTRIBUIDORA EIRELI EPP</t>
        </is>
      </c>
      <c r="B448" s="15" t="inlineStr">
        <is>
          <t>79691631.0</t>
        </is>
      </c>
    </row>
    <row r="449">
      <c r="A449" s="58" t="inlineStr">
        <is>
          <t>LEONCIO E CELIA COMERCIO E SERVICOS LTDA ME</t>
        </is>
      </c>
      <c r="B449" s="15" t="inlineStr">
        <is>
          <t>79698253.0</t>
        </is>
      </c>
    </row>
    <row r="450">
      <c r="A450" s="58" t="inlineStr">
        <is>
          <t>RESTAURANTE ALEVAN LTDA ME</t>
        </is>
      </c>
      <c r="B450" s="15" t="inlineStr">
        <is>
          <t>79708798.0</t>
        </is>
      </c>
    </row>
    <row r="451">
      <c r="A451" s="58" t="inlineStr">
        <is>
          <t>TRANSPORTADORA HERMINIO DE CARGAS E PRODUTOS PERIGOSOS LTDA - ME</t>
        </is>
      </c>
      <c r="B451" s="15" t="inlineStr">
        <is>
          <t>79710555.0</t>
        </is>
      </c>
    </row>
    <row r="452">
      <c r="A452" s="58" t="inlineStr">
        <is>
          <t>MC SERVICOS AUTOMOTIVOS LTDA ME</t>
        </is>
      </c>
      <c r="B452" s="15" t="inlineStr">
        <is>
          <t>79714429.0</t>
        </is>
      </c>
    </row>
    <row r="453">
      <c r="A453" s="58" t="inlineStr">
        <is>
          <t>AGS LOCACAO DE MAQUINAS E EQUIPAMENTOS EIRELI</t>
        </is>
      </c>
      <c r="B453" s="15" t="inlineStr">
        <is>
          <t>79734438.0</t>
        </is>
      </c>
    </row>
    <row r="454">
      <c r="A454" s="58" t="inlineStr">
        <is>
          <t>IDEAL SOLUCOES E SERVICOS EIRELI ME</t>
        </is>
      </c>
      <c r="B454" s="15" t="inlineStr">
        <is>
          <t>79738050.0</t>
        </is>
      </c>
    </row>
    <row r="455">
      <c r="A455" s="58" t="inlineStr">
        <is>
          <t>ITAGUAI CONSTRUCOES NAVAIS S/A</t>
        </is>
      </c>
      <c r="B455" s="15" t="inlineStr">
        <is>
          <t>79743828.0</t>
        </is>
      </c>
    </row>
    <row r="456">
      <c r="A456" s="58" t="inlineStr">
        <is>
          <t>AC NA ROCHA VEICULOS EIRELI</t>
        </is>
      </c>
      <c r="B456" s="15" t="inlineStr">
        <is>
          <t>79769029.0</t>
        </is>
      </c>
    </row>
    <row r="457">
      <c r="A457" s="58" t="inlineStr">
        <is>
          <t>M C DOS SANTOS MAQUINA E TERRAPLANAGEM EIRELI</t>
        </is>
      </c>
      <c r="B457" s="15" t="inlineStr">
        <is>
          <t>79774820.0</t>
        </is>
      </c>
    </row>
    <row r="458">
      <c r="A458" s="58" t="inlineStr">
        <is>
          <t>TRANSCOMB TRANSPORTADORA LTDA</t>
        </is>
      </c>
      <c r="B458" s="15" t="inlineStr">
        <is>
          <t>79781754.0</t>
        </is>
      </c>
    </row>
    <row r="459">
      <c r="A459" s="58" t="inlineStr">
        <is>
          <t>A ALPHA MANUTENCAO E MONTAGEM LTDA ME</t>
        </is>
      </c>
      <c r="B459" s="15" t="inlineStr">
        <is>
          <t>79789240.0</t>
        </is>
      </c>
    </row>
    <row r="460">
      <c r="A460" s="58" t="inlineStr">
        <is>
          <t>INTALOG LOGISTICA TRANSPORTES LTDA</t>
        </is>
      </c>
      <c r="B460" s="15" t="inlineStr">
        <is>
          <t>79789410.0</t>
        </is>
      </c>
    </row>
    <row r="461">
      <c r="A461" s="58" t="inlineStr">
        <is>
          <t>D R BARBOSA SUPLEMENTOS ME</t>
        </is>
      </c>
      <c r="B461" s="15" t="inlineStr">
        <is>
          <t>79798177.0</t>
        </is>
      </c>
    </row>
    <row r="462">
      <c r="A462" s="58" t="inlineStr">
        <is>
          <t>LX INSTALAÇÕES E MONTAGEM EIRELI</t>
        </is>
      </c>
      <c r="B462" s="15" t="inlineStr">
        <is>
          <t>79813630.0</t>
        </is>
      </c>
    </row>
    <row r="463">
      <c r="A463" s="58" t="inlineStr">
        <is>
          <t>G R V RESTAURANTES</t>
        </is>
      </c>
      <c r="B463" s="15" t="inlineStr">
        <is>
          <t>79813826.0</t>
        </is>
      </c>
    </row>
    <row r="464">
      <c r="A464" s="58" t="inlineStr">
        <is>
          <t>FLAVIA DA SILVA ZAMBONI CABELEIREIRA</t>
        </is>
      </c>
      <c r="B464" s="15" t="inlineStr">
        <is>
          <t>79814024.0</t>
        </is>
      </c>
    </row>
    <row r="465">
      <c r="A465" s="58" t="inlineStr">
        <is>
          <t>BRASIL DIGITAL SAT COMERCIO E SERVICOS LTDA ME</t>
        </is>
      </c>
      <c r="B465" s="15" t="inlineStr">
        <is>
          <t>79825026.0</t>
        </is>
      </c>
    </row>
    <row r="466">
      <c r="A466" s="58" t="inlineStr">
        <is>
          <t>FRANCISCO DE ASSIS FIDELIS OLIVEIRA ME</t>
        </is>
      </c>
      <c r="B466" s="15" t="inlineStr">
        <is>
          <t>79835668.0</t>
        </is>
      </c>
    </row>
    <row r="467">
      <c r="A467" s="58" t="inlineStr">
        <is>
          <t>PROMAR NAUTICA FIBRAS LTDA ME</t>
        </is>
      </c>
      <c r="B467" s="15" t="inlineStr">
        <is>
          <t>79855049.0</t>
        </is>
      </c>
    </row>
    <row r="468">
      <c r="A468" s="58" t="inlineStr">
        <is>
          <t>DUARTE - COMERCIO DE PISCINAS LTDA</t>
        </is>
      </c>
      <c r="B468" s="15" t="inlineStr">
        <is>
          <t>79858161.0</t>
        </is>
      </c>
    </row>
    <row r="469">
      <c r="A469" s="58" t="inlineStr">
        <is>
          <t>CLOCK SHOW BRASIL LTDA ME</t>
        </is>
      </c>
      <c r="B469" s="15" t="inlineStr">
        <is>
          <t>79869295.0</t>
        </is>
      </c>
    </row>
    <row r="470">
      <c r="A470" s="58" t="inlineStr">
        <is>
          <t>MOV CARGO LOCACAO DE EQUIPAMENTOS  LTDA</t>
        </is>
      </c>
      <c r="B470" s="15" t="inlineStr">
        <is>
          <t>79900168.0</t>
        </is>
      </c>
    </row>
    <row r="471">
      <c r="A471" s="58" t="inlineStr">
        <is>
          <t>LOCTECH LOCACAO DE MAQUINAS E EQUIPAMENTOS LTDA - EPP</t>
        </is>
      </c>
      <c r="B471" s="15" t="inlineStr">
        <is>
          <t>79900575.0</t>
        </is>
      </c>
    </row>
    <row r="472">
      <c r="A472" s="58" t="inlineStr">
        <is>
          <t>ALDA CRISTINE DE ARAUJO DROGARIA EIRELI ME</t>
        </is>
      </c>
      <c r="B472" s="15" t="inlineStr">
        <is>
          <t>79914231.0</t>
        </is>
      </c>
    </row>
    <row r="473">
      <c r="A473" s="58" t="inlineStr">
        <is>
          <t>TECNOMONT MONTAGENS INDUSTRIAIS LTDA</t>
        </is>
      </c>
      <c r="B473" s="15" t="inlineStr">
        <is>
          <t>79916447.0</t>
        </is>
      </c>
    </row>
    <row r="474">
      <c r="A474" s="58" t="inlineStr">
        <is>
          <t>CONSTRUTORA LYTORANEA S A</t>
        </is>
      </c>
      <c r="B474" s="15" t="inlineStr">
        <is>
          <t>79926477.0</t>
        </is>
      </c>
    </row>
    <row r="475">
      <c r="A475" s="58" t="inlineStr">
        <is>
          <t>DEPP MODA ITAGUAI LTDA EPP</t>
        </is>
      </c>
      <c r="B475" s="15" t="inlineStr">
        <is>
          <t>79935964.0</t>
        </is>
      </c>
    </row>
    <row r="476">
      <c r="A476" s="58" t="inlineStr">
        <is>
          <t>SS FIGUEIREDO ALIMENTOS EIRELI</t>
        </is>
      </c>
      <c r="B476" s="15" t="inlineStr">
        <is>
          <t>79940020.0</t>
        </is>
      </c>
    </row>
    <row r="477">
      <c r="A477" s="58" t="inlineStr">
        <is>
          <t>ST SANTOS LOCACOES E EQUIPAMENTOS EIRELI</t>
        </is>
      </c>
      <c r="B477" s="15" t="inlineStr">
        <is>
          <t>79942642.0</t>
        </is>
      </c>
    </row>
    <row r="478">
      <c r="A478" s="58" t="inlineStr">
        <is>
          <t>M &amp; C CONSTRU??ES IMOBILI?RIAS LTDA</t>
        </is>
      </c>
      <c r="B478" s="15" t="inlineStr">
        <is>
          <t>79952737.0</t>
        </is>
      </c>
    </row>
    <row r="479">
      <c r="A479" s="58" t="inlineStr">
        <is>
          <t>N L C CORREA</t>
        </is>
      </c>
      <c r="B479" s="15" t="inlineStr">
        <is>
          <t>79967688.0</t>
        </is>
      </c>
    </row>
    <row r="480">
      <c r="A480" s="58" t="inlineStr">
        <is>
          <t>MULTIMARCAS PECAS DIESEL LTDA</t>
        </is>
      </c>
      <c r="B480" s="15" t="inlineStr">
        <is>
          <t>79980447.0</t>
        </is>
      </c>
    </row>
    <row r="481">
      <c r="A481" s="58" t="inlineStr">
        <is>
          <t>LANCHONETE EXPRESSO ITAGUAI LTDA ME</t>
        </is>
      </c>
      <c r="B481" s="15" t="inlineStr">
        <is>
          <t>79985279.0</t>
        </is>
      </c>
    </row>
    <row r="482">
      <c r="A482" s="58" t="inlineStr">
        <is>
          <t>RHAVIJU FIXAÇÃO SERVIÇOS DE COSTURA E FACÇÃO LTDA</t>
        </is>
      </c>
      <c r="B482" s="15" t="inlineStr">
        <is>
          <t>79987921.0</t>
        </is>
      </c>
    </row>
    <row r="483">
      <c r="A483" s="58" t="inlineStr">
        <is>
          <t>OLIVEIRAS SSDR MATERIAL DE CONSTRUCAO LTDA - ME</t>
        </is>
      </c>
      <c r="B483" s="15" t="inlineStr">
        <is>
          <t>79990159.0</t>
        </is>
      </c>
    </row>
    <row r="484">
      <c r="A484" s="58" t="inlineStr">
        <is>
          <t>GUINDASTEC GUINDASTES E SERVICOS TECNICOS LTDA</t>
        </is>
      </c>
      <c r="B484" s="15" t="inlineStr">
        <is>
          <t>79994650.0</t>
        </is>
      </c>
    </row>
    <row r="485">
      <c r="A485" s="58" t="inlineStr">
        <is>
          <t>CANNES MOTEL LTDA ME</t>
        </is>
      </c>
      <c r="B485" s="15" t="inlineStr">
        <is>
          <t>80394780.0</t>
        </is>
      </c>
    </row>
    <row r="486">
      <c r="A486" s="58" t="inlineStr">
        <is>
          <t>MATERIAIS DE CONSTRUCAO SANTA LUZIA LTDA</t>
        </is>
      </c>
      <c r="B486" s="15" t="inlineStr">
        <is>
          <t>81754403.0</t>
        </is>
      </c>
    </row>
    <row r="487">
      <c r="A487" s="58" t="inlineStr">
        <is>
          <t>MEGA CONCRETO PREMOLDADO LTDA ME</t>
        </is>
      </c>
      <c r="B487" s="15" t="inlineStr">
        <is>
          <t>82346864.0</t>
        </is>
      </c>
    </row>
    <row r="488">
      <c r="A488" s="58" t="inlineStr">
        <is>
          <t>G L J HOTEIS LTDA ME</t>
        </is>
      </c>
      <c r="B488" s="15" t="inlineStr">
        <is>
          <t>82850120.0</t>
        </is>
      </c>
    </row>
    <row r="489">
      <c r="A489" s="58" t="inlineStr">
        <is>
          <t>L P DOS SANTOS LANCHONETE</t>
        </is>
      </c>
      <c r="B489" s="15" t="inlineStr">
        <is>
          <t>82854924.0</t>
        </is>
      </c>
    </row>
    <row r="490">
      <c r="A490" s="58" t="inlineStr">
        <is>
          <t>ITAGEL INDUSTRIA E COMERCIO DE PRODUTOS ALIMENTICIOS LTDA</t>
        </is>
      </c>
      <c r="B490" s="15" t="inlineStr">
        <is>
          <t>83388285.0</t>
        </is>
      </c>
    </row>
    <row r="491">
      <c r="A491" s="58" t="inlineStr">
        <is>
          <t>P G P ENGENHARIA LTDA</t>
        </is>
      </c>
      <c r="B491" s="15" t="inlineStr">
        <is>
          <t>83573376.0</t>
        </is>
      </c>
    </row>
    <row r="492">
      <c r="A492" s="58" t="inlineStr">
        <is>
          <t>JB GAZZONI RESTAURANTE INDUSTRIAL LTDA -EPP</t>
        </is>
      </c>
      <c r="B492" s="15" t="inlineStr">
        <is>
          <t>83620412.0</t>
        </is>
      </c>
    </row>
    <row r="493">
      <c r="A493" s="58" t="inlineStr">
        <is>
          <t>AREAL SANTA HELENA DE Itaguai EIRELI</t>
        </is>
      </c>
      <c r="B493" s="15" t="inlineStr">
        <is>
          <t>83622547.0</t>
        </is>
      </c>
    </row>
    <row r="494">
      <c r="A494" s="58" t="inlineStr">
        <is>
          <t>PRISMA DE ITAGUAI COMERCIO E INDUSTRIA EIRELI ME</t>
        </is>
      </c>
      <c r="B494" s="15" t="inlineStr">
        <is>
          <t>83953276.0</t>
        </is>
      </c>
    </row>
    <row r="495">
      <c r="A495" s="58" t="inlineStr">
        <is>
          <t>RETIFICA DE MOTORES BRISAMAR LTDA</t>
        </is>
      </c>
      <c r="B495" s="15" t="inlineStr">
        <is>
          <t>83953314.0</t>
        </is>
      </c>
    </row>
    <row r="496">
      <c r="A496" s="58" t="inlineStr">
        <is>
          <t>VALMIR S GOMES BAZAR ME</t>
        </is>
      </c>
      <c r="B496" s="15" t="inlineStr">
        <is>
          <t>83953993.0</t>
        </is>
      </c>
    </row>
    <row r="497">
      <c r="A497" s="58" t="inlineStr">
        <is>
          <t>OTICA EL SHADAY LTDA</t>
        </is>
      </c>
      <c r="B497" s="15" t="inlineStr">
        <is>
          <t>84321982.0</t>
        </is>
      </c>
    </row>
    <row r="498">
      <c r="A498" s="58" t="inlineStr">
        <is>
          <t>EXPRESSO REAL RIO LTDA</t>
        </is>
      </c>
      <c r="B498" s="15" t="inlineStr">
        <is>
          <t>84327603.0</t>
        </is>
      </c>
    </row>
    <row r="499">
      <c r="A499" s="58" t="inlineStr">
        <is>
          <t>R MARTINS DA SILVA RESTAURANTE - ME</t>
        </is>
      </c>
      <c r="B499" s="15" t="inlineStr">
        <is>
          <t>84635685.0</t>
        </is>
      </c>
    </row>
    <row r="500">
      <c r="A500" s="58" t="inlineStr">
        <is>
          <t>COMPANHIA SIDERURGICA NACIONAL</t>
        </is>
      </c>
      <c r="B500" s="15" t="inlineStr">
        <is>
          <t>84637114.0</t>
        </is>
      </c>
    </row>
    <row r="501">
      <c r="A501" s="58" t="inlineStr">
        <is>
          <t>C &amp; F DE ITAGUAI LOCACOES LTDA EPP</t>
        </is>
      </c>
      <c r="B501" s="15" t="inlineStr">
        <is>
          <t>85317873.0</t>
        </is>
      </c>
    </row>
    <row r="502">
      <c r="A502" s="58" t="inlineStr">
        <is>
          <t>CLE O CAR TUR TRANSPORTES LTDA</t>
        </is>
      </c>
      <c r="B502" s="15" t="inlineStr">
        <is>
          <t>85645722.0</t>
        </is>
      </c>
    </row>
    <row r="503">
      <c r="A503" s="58" t="inlineStr">
        <is>
          <t>ACOUGUE SOMAR DE ITAGUAI LTDA ME</t>
        </is>
      </c>
      <c r="B503" s="15" t="inlineStr">
        <is>
          <t>85670239.0</t>
        </is>
      </c>
    </row>
    <row r="504">
      <c r="A504" s="58" t="inlineStr">
        <is>
          <t>PROMO 3 IMPORTACAO E EXPORTACAO LTDA</t>
        </is>
      </c>
      <c r="B504" s="15" t="inlineStr">
        <is>
          <t>85763482.0</t>
        </is>
      </c>
    </row>
    <row r="505">
      <c r="A505" s="58" t="inlineStr">
        <is>
          <t>AUTOCOL ITAGUAI AUTOMOVEIS COMERCIO LTDA</t>
        </is>
      </c>
      <c r="B505" s="15" t="inlineStr">
        <is>
          <t>85763776.0</t>
        </is>
      </c>
    </row>
    <row r="506">
      <c r="A506" s="58" t="inlineStr">
        <is>
          <t>J MATSUNAGA INSTALA??O E MANUTEN??O EL?TRICA</t>
        </is>
      </c>
      <c r="B506" s="15" t="inlineStr">
        <is>
          <t>85764721.0</t>
        </is>
      </c>
    </row>
    <row r="507">
      <c r="A507" s="58" t="inlineStr">
        <is>
          <t>L F SILVA INEZ SERVIÇOS DE LOGÍSTICA E EQUIPAMENTO EIRELI ME</t>
        </is>
      </c>
      <c r="B507" s="15" t="inlineStr">
        <is>
          <t>85787500.0</t>
        </is>
      </c>
    </row>
    <row r="508">
      <c r="A508" s="58" t="inlineStr">
        <is>
          <t>T H V TRANSPORTES LTDA</t>
        </is>
      </c>
      <c r="B508" s="15" t="inlineStr">
        <is>
          <t>85995146.0</t>
        </is>
      </c>
    </row>
    <row r="509">
      <c r="A509" s="58" t="inlineStr">
        <is>
          <t>TRES M COMERCIO &amp; SERVICOS LTDA</t>
        </is>
      </c>
      <c r="B509" s="15" t="inlineStr">
        <is>
          <t>86035057.0</t>
        </is>
      </c>
    </row>
    <row r="510">
      <c r="A510" s="58" t="inlineStr">
        <is>
          <t>EVAM TRANSPORTES SERVICOS E REPRESENTACOES LTDA</t>
        </is>
      </c>
      <c r="B510" s="15" t="inlineStr">
        <is>
          <t>86144018.0</t>
        </is>
      </c>
    </row>
    <row r="511">
      <c r="A511" s="58" t="inlineStr">
        <is>
          <t>RAPIDO TRIUNFO TRANSPORTES &amp; TURISMO LTDA</t>
        </is>
      </c>
      <c r="B511" s="15" t="inlineStr">
        <is>
          <t>86144891.0</t>
        </is>
      </c>
    </row>
    <row r="512">
      <c r="A512" s="58" t="inlineStr">
        <is>
          <t>SANTA LUZIA ENGENHARIA E CONSTRUCOES LTDA</t>
        </is>
      </c>
      <c r="B512" s="15" t="inlineStr">
        <is>
          <t>86168677.0</t>
        </is>
      </c>
    </row>
    <row r="513">
      <c r="A513" s="58" t="inlineStr">
        <is>
          <t>BELLA ROMA SECURITY DIGITAL LTDA ME</t>
        </is>
      </c>
      <c r="B513" s="15" t="inlineStr">
        <is>
          <t>86356953.0</t>
        </is>
      </c>
    </row>
    <row r="514">
      <c r="A514" s="58" t="inlineStr">
        <is>
          <t>SVF COMERCIO DE BEBIDAS E DESCARTAVEIS EIRELI</t>
        </is>
      </c>
      <c r="B514" s="15" t="inlineStr">
        <is>
          <t>86515636.0</t>
        </is>
      </c>
    </row>
    <row r="515">
      <c r="A515" s="58" t="inlineStr">
        <is>
          <t>PH MAR CONSULTORIA AMBIENTAL LTDA</t>
        </is>
      </c>
      <c r="B515" s="15" t="inlineStr">
        <is>
          <t>86518627.0</t>
        </is>
      </c>
    </row>
    <row r="516">
      <c r="A516" s="58" t="inlineStr">
        <is>
          <t>MG - MINAS GERAIS LOCAÇOES  E SERVIÇOS LTDA</t>
        </is>
      </c>
      <c r="B516" s="15" t="inlineStr">
        <is>
          <t>86535122.0</t>
        </is>
      </c>
    </row>
    <row r="517">
      <c r="A517" s="58" t="inlineStr">
        <is>
          <t>JAVA APOIO ADMINISTRATIVO EIRELI</t>
        </is>
      </c>
      <c r="B517" s="15" t="inlineStr">
        <is>
          <t>86535351.0</t>
        </is>
      </c>
    </row>
    <row r="518">
      <c r="A518" s="58" t="inlineStr">
        <is>
          <t>DRI CAR COMERCIO DE AUTOMOVEIS EIRELI</t>
        </is>
      </c>
      <c r="B518" s="15" t="inlineStr">
        <is>
          <t>86572761.0</t>
        </is>
      </c>
    </row>
    <row r="519">
      <c r="A519" s="58" t="inlineStr">
        <is>
          <t>BETUN CONSTRUÇÕES E MANUTENÇÃO INDUSTRIAL LTDA</t>
        </is>
      </c>
      <c r="B519" s="15" t="inlineStr">
        <is>
          <t>86595125.0</t>
        </is>
      </c>
    </row>
    <row r="520">
      <c r="A520" s="58" t="inlineStr">
        <is>
          <t>J L INSTITUTO DE LINGUAS LTDA - ME</t>
        </is>
      </c>
      <c r="B520" s="15" t="inlineStr">
        <is>
          <t>86624206.0</t>
        </is>
      </c>
    </row>
    <row r="521">
      <c r="A521" s="58" t="inlineStr">
        <is>
          <t>MB ROVERE TRANSPORTES, COMERCIO E SERVIÇOS LTDA</t>
        </is>
      </c>
      <c r="B521" s="15" t="inlineStr">
        <is>
          <t>86625520.0</t>
        </is>
      </c>
    </row>
    <row r="522">
      <c r="A522" s="58" t="inlineStr">
        <is>
          <t>BRASIL - TRANSPORTADORA E SERVICOS DE CONSTRUCAO LTDA ME</t>
        </is>
      </c>
      <c r="B522" s="15" t="inlineStr">
        <is>
          <t>86628422.0</t>
        </is>
      </c>
    </row>
    <row r="523">
      <c r="A523" s="58" t="inlineStr">
        <is>
          <t>VIANA FIRE INSTALACOES COMERCIO E SERVICOS EIRELI</t>
        </is>
      </c>
      <c r="B523" s="15" t="inlineStr">
        <is>
          <t>86641488.0</t>
        </is>
      </c>
    </row>
    <row r="524">
      <c r="A524" s="58" t="inlineStr">
        <is>
          <t>L C ANTONIO COMERCIO DE PNEUS E PECAS</t>
        </is>
      </c>
      <c r="B524" s="15" t="inlineStr">
        <is>
          <t>86721031.0</t>
        </is>
      </c>
    </row>
    <row r="525">
      <c r="A525" s="58" t="inlineStr">
        <is>
          <t>MS SERVICOS DE APOIO MARITIMO E TURISMO EIRELI EPP</t>
        </is>
      </c>
      <c r="B525" s="15" t="inlineStr">
        <is>
          <t>86721112.0</t>
        </is>
      </c>
    </row>
    <row r="526">
      <c r="A526" s="58" t="inlineStr">
        <is>
          <t>REMIL - RETIFICA DE MOTORES ITAGUAI LTDA</t>
        </is>
      </c>
      <c r="B526" s="15" t="inlineStr">
        <is>
          <t>86722887.0</t>
        </is>
      </c>
    </row>
    <row r="527">
      <c r="A527" s="58" t="inlineStr">
        <is>
          <t>ITAGUAI DESMONTE DE ROCHA LTDA</t>
        </is>
      </c>
      <c r="B527" s="15" t="inlineStr">
        <is>
          <t>86725223.0</t>
        </is>
      </c>
    </row>
    <row r="528">
      <c r="A528" s="58" t="inlineStr">
        <is>
          <t>FREE ENERGY SERVICOS EIRELI</t>
        </is>
      </c>
      <c r="B528" s="15" t="inlineStr">
        <is>
          <t>86753375.0</t>
        </is>
      </c>
    </row>
    <row r="529">
      <c r="A529" s="58" t="inlineStr">
        <is>
          <t>ALLI LOGISTICA INTEGRADA LTDA</t>
        </is>
      </c>
      <c r="B529" s="15" t="inlineStr">
        <is>
          <t>86777401.0</t>
        </is>
      </c>
    </row>
    <row r="530">
      <c r="A530" s="58" t="inlineStr">
        <is>
          <t>A C R ALVES JUNIOR ARMARINHO E BAZAR-ME</t>
        </is>
      </c>
      <c r="B530" s="15" t="inlineStr">
        <is>
          <t>86779625.0</t>
        </is>
      </c>
    </row>
    <row r="531">
      <c r="A531" s="58" t="inlineStr">
        <is>
          <t>C S VIDAL - REFEICOES COLETIVAS - EIRELI ME</t>
        </is>
      </c>
      <c r="B531" s="15" t="inlineStr">
        <is>
          <t>86781930.0</t>
        </is>
      </c>
    </row>
    <row r="532">
      <c r="A532" s="58" t="inlineStr">
        <is>
          <t>FUTURA TRANSPORTES LTDA</t>
        </is>
      </c>
      <c r="B532" s="15" t="inlineStr">
        <is>
          <t>86783398.0</t>
        </is>
      </c>
    </row>
    <row r="533">
      <c r="A533" s="58" t="inlineStr">
        <is>
          <t>EDSON A DOS SANTOS PEIXARIA ME</t>
        </is>
      </c>
      <c r="B533" s="15" t="inlineStr">
        <is>
          <t>86803810.0</t>
        </is>
      </c>
    </row>
    <row r="534">
      <c r="A534" s="58" t="inlineStr">
        <is>
          <t>EDURIC COMERCIO E INDUSTRIA DE ARTEFATOS DE CIMENTOS LTDA</t>
        </is>
      </c>
      <c r="B534" s="15" t="inlineStr">
        <is>
          <t>86806070.0</t>
        </is>
      </c>
    </row>
    <row r="535">
      <c r="A535" s="58" t="inlineStr">
        <is>
          <t>BRILHANTE DO ACO COMERCIO VAREJISTA LTDA</t>
        </is>
      </c>
      <c r="B535" s="15" t="inlineStr">
        <is>
          <t>86834480.0</t>
        </is>
      </c>
    </row>
    <row r="536">
      <c r="A536" s="58" t="inlineStr">
        <is>
          <t>M S TOLEDO COMERCIO E REPRESENTACOES EIRELI ME</t>
        </is>
      </c>
      <c r="B536" s="15" t="inlineStr">
        <is>
          <t>86837552.0</t>
        </is>
      </c>
    </row>
    <row r="537">
      <c r="A537" s="58" t="inlineStr">
        <is>
          <t>DTL EXPRESSO E LOGISTICA EIRELI</t>
        </is>
      </c>
      <c r="B537" s="15" t="inlineStr">
        <is>
          <t>86866803.0</t>
        </is>
      </c>
    </row>
    <row r="538">
      <c r="A538" s="58" t="inlineStr">
        <is>
          <t>LOPES E SILVA COMERCIO DE VEICULOS LTDA ME</t>
        </is>
      </c>
      <c r="B538" s="15" t="inlineStr">
        <is>
          <t>86877732.0</t>
        </is>
      </c>
    </row>
    <row r="539">
      <c r="A539" s="58" t="inlineStr">
        <is>
          <t>C O RIBEIRO ROMANELI RESTAURANTE</t>
        </is>
      </c>
      <c r="B539" s="15" t="inlineStr">
        <is>
          <t>86877759.0</t>
        </is>
      </c>
    </row>
    <row r="540">
      <c r="A540" s="58" t="inlineStr">
        <is>
          <t>EMPRESA DE ONIBUS ROSA LTDA</t>
        </is>
      </c>
      <c r="B540" s="15" t="inlineStr">
        <is>
          <t>86907917.0</t>
        </is>
      </c>
    </row>
    <row r="541">
      <c r="A541" s="58" t="inlineStr">
        <is>
          <t>PAUL WURTH DO BRASIL MONTAGENS E MANUTENCAO INDUSTRIAL LTDA</t>
        </is>
      </c>
      <c r="B541" s="15" t="inlineStr">
        <is>
          <t>86932172.0</t>
        </is>
      </c>
    </row>
    <row r="542">
      <c r="A542" s="58" t="inlineStr">
        <is>
          <t>MERCADO CENTRAL DE ITACURUCA LTDA</t>
        </is>
      </c>
      <c r="B542" s="15" t="inlineStr">
        <is>
          <t>86947870.0</t>
        </is>
      </c>
    </row>
    <row r="543">
      <c r="A543" s="58" t="inlineStr">
        <is>
          <t>SANDRO LIDER AGUA E GELO EIRELI</t>
        </is>
      </c>
      <c r="B543" s="15" t="inlineStr">
        <is>
          <t>86948524.0</t>
        </is>
      </c>
    </row>
    <row r="544">
      <c r="A544" s="58" t="inlineStr">
        <is>
          <t>M SHIOSE MANUTENCAO DE MAQUINAS E EQUIPAMENTOS</t>
        </is>
      </c>
      <c r="B544" s="15" t="inlineStr">
        <is>
          <t>86952718.0</t>
        </is>
      </c>
    </row>
    <row r="545">
      <c r="A545" s="58" t="inlineStr">
        <is>
          <t>TEC 2016 COMERCIO E REPRESENTACOES EIRELI ME</t>
        </is>
      </c>
      <c r="B545" s="15" t="inlineStr">
        <is>
          <t>86961768.0</t>
        </is>
      </c>
    </row>
    <row r="546">
      <c r="A546" s="58" t="inlineStr">
        <is>
          <t>EXPRESSO RECREIO TRANSPORTE DE PASSAGEIROS LTDA</t>
        </is>
      </c>
      <c r="B546" s="15" t="inlineStr">
        <is>
          <t>86982420.0</t>
        </is>
      </c>
    </row>
    <row r="547">
      <c r="A547" s="58" t="inlineStr">
        <is>
          <t>ARS BRISAMAR MADEIRAS EIRELI</t>
        </is>
      </c>
      <c r="B547" s="15" t="inlineStr">
        <is>
          <t>86982641.0</t>
        </is>
      </c>
    </row>
    <row r="548">
      <c r="A548" s="58" t="inlineStr">
        <is>
          <t>VALCOMEX EQUIPAMENTOS TECNICOS E MATERIAIS LTDA</t>
        </is>
      </c>
      <c r="B548" s="15" t="inlineStr">
        <is>
          <t>86998734.0</t>
        </is>
      </c>
    </row>
    <row r="549">
      <c r="A549" s="58" t="inlineStr">
        <is>
          <t>HALTER TECH ACADEMIA LTDA ME</t>
        </is>
      </c>
      <c r="B549" s="15" t="inlineStr">
        <is>
          <t>87056805.0</t>
        </is>
      </c>
    </row>
    <row r="550">
      <c r="A550" s="58" t="inlineStr">
        <is>
          <t>REVOLUTION SOM ILUMINACAO E IMAGEM EIRELI ME</t>
        </is>
      </c>
      <c r="B550" s="15" t="inlineStr">
        <is>
          <t>87062554.0</t>
        </is>
      </c>
    </row>
    <row r="551">
      <c r="A551" s="58" t="inlineStr">
        <is>
          <t>D F DOS SANTOS JARDINAGEM ME</t>
        </is>
      </c>
      <c r="B551" s="15" t="inlineStr">
        <is>
          <t>87107957.0</t>
        </is>
      </c>
    </row>
    <row r="552">
      <c r="A552" s="58" t="inlineStr">
        <is>
          <t>CONSTRUTORA E MATERIAL DE CONSTRUCAO CRISTINA EIRELI EPP</t>
        </is>
      </c>
      <c r="B552" s="15" t="inlineStr">
        <is>
          <t>87132536.0</t>
        </is>
      </c>
    </row>
    <row r="553">
      <c r="A553" s="58" t="inlineStr">
        <is>
          <t>CASAL LOCACOES DE MAQUINAS E EQUIPAMENTOS LTDA</t>
        </is>
      </c>
      <c r="B553" s="15" t="inlineStr">
        <is>
          <t>87132862.0</t>
        </is>
      </c>
    </row>
    <row r="554">
      <c r="A554" s="58" t="inlineStr">
        <is>
          <t>COOPERATIVA DOS MOTORISTAS AUTONOMOS DA COSTA VERDE</t>
        </is>
      </c>
      <c r="B554" s="15" t="inlineStr">
        <is>
          <t>87139670.0</t>
        </is>
      </c>
    </row>
    <row r="555">
      <c r="A555" s="58" t="inlineStr">
        <is>
          <t>A F COMERCIO E REPRESENTA?AO DE BEBIDASE TECIDOS LTDA</t>
        </is>
      </c>
      <c r="B555" s="15" t="inlineStr">
        <is>
          <t>87158071.0</t>
        </is>
      </c>
    </row>
    <row r="556">
      <c r="A556" s="58" t="inlineStr">
        <is>
          <t>SHOPMUSIC INSTRUMENTOS MUSICAIS LTDA</t>
        </is>
      </c>
      <c r="B556" s="15" t="inlineStr">
        <is>
          <t>87159337.0</t>
        </is>
      </c>
    </row>
    <row r="557">
      <c r="A557" s="58" t="inlineStr">
        <is>
          <t>MPC COMERCIO DE DOCES LTDA</t>
        </is>
      </c>
      <c r="B557" s="15" t="inlineStr">
        <is>
          <t>87169430.0</t>
        </is>
      </c>
    </row>
    <row r="558">
      <c r="A558" s="58" t="inlineStr">
        <is>
          <t>J L DE MANGARATIBA INSTITUTO DE LINGUAS LTDA - ME</t>
        </is>
      </c>
      <c r="B558" s="15" t="inlineStr">
        <is>
          <t>87174999.0</t>
        </is>
      </c>
    </row>
    <row r="559">
      <c r="A559" s="58" t="inlineStr">
        <is>
          <t>DROGARIA CHAPERO EIRELI-ME</t>
        </is>
      </c>
      <c r="B559" s="15" t="inlineStr">
        <is>
          <t>87207510.0</t>
        </is>
      </c>
    </row>
    <row r="560">
      <c r="A560" s="58" t="inlineStr">
        <is>
          <t>ZION BRASIL TRADING COMPANY LTDA</t>
        </is>
      </c>
      <c r="B560" s="15" t="inlineStr">
        <is>
          <t>87214036.0</t>
        </is>
      </c>
    </row>
    <row r="561">
      <c r="A561" s="58" t="inlineStr">
        <is>
          <t>VICTORIA MODA JOVEM E CONFECCOES LTDA ME</t>
        </is>
      </c>
      <c r="B561" s="15" t="inlineStr">
        <is>
          <t>87248364.0</t>
        </is>
      </c>
    </row>
    <row r="562">
      <c r="A562" s="58" t="inlineStr">
        <is>
          <t>RIVER SUB SERVICOS SUBAQUATICOS E MANUTENCOES EM GERAL LTDA ME</t>
        </is>
      </c>
      <c r="B562" s="15" t="inlineStr">
        <is>
          <t>87274373.0</t>
        </is>
      </c>
    </row>
    <row r="563">
      <c r="A563" s="58" t="inlineStr">
        <is>
          <t>R A MARQUES DIAS ROUPAS E ACESSORIOS</t>
        </is>
      </c>
      <c r="B563" s="15" t="inlineStr">
        <is>
          <t>87286738.0</t>
        </is>
      </c>
    </row>
    <row r="564">
      <c r="A564" s="58" t="inlineStr">
        <is>
          <t>DANIEL G JUSTINO COMERCIO E SERVICO DE REFRIGERACAO</t>
        </is>
      </c>
      <c r="B564" s="15" t="inlineStr">
        <is>
          <t>87305422.0</t>
        </is>
      </c>
    </row>
    <row r="565">
      <c r="A565" s="58" t="inlineStr">
        <is>
          <t>HDG MOTO PECAS LTDA - ME</t>
        </is>
      </c>
      <c r="B565" s="15" t="inlineStr">
        <is>
          <t>87306771.0</t>
        </is>
      </c>
    </row>
    <row r="566">
      <c r="A566" s="58" t="inlineStr">
        <is>
          <t>TRANSPORTES DIAMANTE LTDA</t>
        </is>
      </c>
      <c r="B566" s="15" t="inlineStr">
        <is>
          <t>87316440.0</t>
        </is>
      </c>
    </row>
    <row r="567">
      <c r="A567" s="58" t="inlineStr">
        <is>
          <t>DUGEL MATERIAIS DE CONSTRUCAO EIRELI ME</t>
        </is>
      </c>
      <c r="B567" s="15" t="inlineStr">
        <is>
          <t>87317170.0</t>
        </is>
      </c>
    </row>
    <row r="568">
      <c r="A568" s="58" t="inlineStr">
        <is>
          <t>JAM PIERRE DIAS ROSA M E</t>
        </is>
      </c>
      <c r="B568" s="15" t="inlineStr">
        <is>
          <t>87327396.0</t>
        </is>
      </c>
    </row>
    <row r="569">
      <c r="A569" s="58" t="inlineStr">
        <is>
          <t>TOP MASTER TELECOM LTDA ME</t>
        </is>
      </c>
      <c r="B569" s="15" t="inlineStr">
        <is>
          <t>87327418.0</t>
        </is>
      </c>
    </row>
    <row r="570">
      <c r="A570" s="58" t="inlineStr">
        <is>
          <t>SANTOS SERVICOS DE INTERNET LTDA ME</t>
        </is>
      </c>
      <c r="B570" s="15" t="inlineStr">
        <is>
          <t>87338568.0</t>
        </is>
      </c>
    </row>
    <row r="571">
      <c r="A571" s="58" t="inlineStr">
        <is>
          <t>HIPER GOURMET LTDA ME</t>
        </is>
      </c>
      <c r="B571" s="15" t="inlineStr">
        <is>
          <t>87352323.0</t>
        </is>
      </c>
    </row>
    <row r="572">
      <c r="A572" s="58" t="inlineStr">
        <is>
          <t>WORLD TECH SOLUÇÕES EM TECNOLOGIA EIRELI</t>
        </is>
      </c>
      <c r="B572" s="15" t="inlineStr">
        <is>
          <t>87372332.0</t>
        </is>
      </c>
    </row>
    <row r="573">
      <c r="A573" s="58" t="inlineStr">
        <is>
          <t>J B CARVALHO JUNIOR SERVICOS ADMINISTRATIVOS EIRELI ME</t>
        </is>
      </c>
      <c r="B573" s="15" t="inlineStr">
        <is>
          <t>87372650.0</t>
        </is>
      </c>
    </row>
    <row r="574">
      <c r="A574" s="58" t="inlineStr">
        <is>
          <t>SAO BENTO ENGENHARIA - CONSTRUCOES,PROJETOS E REFORMAS EIRELI ME</t>
        </is>
      </c>
      <c r="B574" s="15" t="inlineStr">
        <is>
          <t>87376559.0</t>
        </is>
      </c>
    </row>
    <row r="575">
      <c r="A575" s="58" t="inlineStr">
        <is>
          <t>KIOSKE DO DOCE COMERCIO DE BISCOITO LTDA ME</t>
        </is>
      </c>
      <c r="B575" s="15" t="inlineStr">
        <is>
          <t>87379337.0</t>
        </is>
      </c>
    </row>
    <row r="576">
      <c r="A576" s="58" t="inlineStr">
        <is>
          <t>THYSSENKRUPP INDUSTRIAL SOLUTIONS LTDA</t>
        </is>
      </c>
      <c r="B576" s="15" t="inlineStr">
        <is>
          <t>87406881.0</t>
        </is>
      </c>
    </row>
    <row r="577">
      <c r="A577" s="58" t="inlineStr">
        <is>
          <t>R F MERCADO DO CAMPO ALIMENTOS LTDA.</t>
        </is>
      </c>
      <c r="B577" s="15" t="inlineStr">
        <is>
          <t>87428257.0</t>
        </is>
      </c>
    </row>
    <row r="578">
      <c r="A578" s="58" t="inlineStr">
        <is>
          <t>J DA SILVA CANDIDO HORTIFRUTI EIRELI</t>
        </is>
      </c>
      <c r="B578" s="15" t="inlineStr">
        <is>
          <t>87430200.0</t>
        </is>
      </c>
    </row>
    <row r="579">
      <c r="A579" s="58" t="inlineStr">
        <is>
          <t>INSTITUTO MAZOMBA DE ARTE E CULTURA</t>
        </is>
      </c>
      <c r="B579" s="15" t="inlineStr">
        <is>
          <t>87455726.0</t>
        </is>
      </c>
    </row>
    <row r="580">
      <c r="A580" s="58" t="inlineStr">
        <is>
          <t>VERLY HORTIFRUTI EIRELI ME</t>
        </is>
      </c>
      <c r="B580" s="15" t="inlineStr">
        <is>
          <t>87458482.0</t>
        </is>
      </c>
    </row>
    <row r="581">
      <c r="A581" s="58" t="inlineStr">
        <is>
          <t>PH CLIMA COMERCIO E SERVICOS DE REFRIGERACAO LTDA ME</t>
        </is>
      </c>
      <c r="B581" s="15" t="inlineStr">
        <is>
          <t>87470750.0</t>
        </is>
      </c>
    </row>
  </sheetData>
  <mergeCells count="1">
    <mergeCell ref="A50:E50"/>
  </mergeCells>
  <pageMargins left="0.3" right="0" top="0.3" bottom="0" header="0.1" footer="0"/>
  <pageSetup orientation="landscape"/>
  <headerFooter>
    <oddHeader>&amp;C&amp;"Arial"&amp;8 &amp;P / &amp;N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07"/>
  <sheetViews>
    <sheetView workbookViewId="0">
      <selection activeCell="A1" sqref="A1"/>
    </sheetView>
  </sheetViews>
  <sheetFormatPr baseColWidth="8" defaultRowHeight="15"/>
  <cols>
    <col width="51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50" t="inlineStr">
        <is>
          <t>ESTUDO DA EVOLUÇÃO - VALOR ADICIONADO</t>
        </is>
      </c>
    </row>
    <row r="2">
      <c r="A2" s="51" t="inlineStr">
        <is>
          <t>Município - Porto Real</t>
        </is>
      </c>
    </row>
    <row r="3">
      <c r="A3" s="52" t="inlineStr">
        <is>
          <t>Relatório Calculado em: 19/11/2024</t>
        </is>
      </c>
    </row>
    <row r="4">
      <c r="A4" s="53" t="n"/>
    </row>
    <row r="5">
      <c r="A5" s="53" t="n"/>
    </row>
    <row r="6">
      <c r="A6" s="53" t="n"/>
    </row>
    <row r="7">
      <c r="A7" s="52" t="inlineStr">
        <is>
          <t>VALOR TOTAL AGREGADO POR ANO</t>
        </is>
      </c>
    </row>
    <row r="8">
      <c r="A8" s="52" t="inlineStr">
        <is>
          <t>2017</t>
        </is>
      </c>
      <c r="B8" s="54" t="n">
        <v>3894452293.320001</v>
      </c>
    </row>
    <row r="9">
      <c r="A9" s="52" t="inlineStr">
        <is>
          <t>2018</t>
        </is>
      </c>
      <c r="B9" s="54" t="n">
        <v>4547581746.5</v>
      </c>
    </row>
    <row r="10">
      <c r="A10" s="52" t="inlineStr">
        <is>
          <t>2019</t>
        </is>
      </c>
      <c r="B10" s="54" t="n">
        <v>3511173324.050001</v>
      </c>
    </row>
    <row r="11">
      <c r="A11" s="52" t="inlineStr">
        <is>
          <t>2020</t>
        </is>
      </c>
      <c r="B11" s="54" t="n">
        <v>3102727381.85</v>
      </c>
    </row>
    <row r="12">
      <c r="A12" s="52" t="inlineStr">
        <is>
          <t>2021</t>
        </is>
      </c>
      <c r="B12" s="54" t="n">
        <v>6631193915.100001</v>
      </c>
    </row>
    <row r="13">
      <c r="A13" s="52" t="inlineStr">
        <is>
          <t>2022</t>
        </is>
      </c>
      <c r="B13" s="54" t="n">
        <v>8067629298.91</v>
      </c>
    </row>
    <row r="14">
      <c r="A14" s="52" t="inlineStr">
        <is>
          <t>2023</t>
        </is>
      </c>
      <c r="B14" s="54" t="n">
        <v>4674130991.01</v>
      </c>
    </row>
    <row r="15">
      <c r="A15" s="53" t="n"/>
    </row>
    <row r="16">
      <c r="A16" s="53" t="n"/>
    </row>
    <row r="17">
      <c r="A17" s="52" t="inlineStr">
        <is>
          <t>TOTAL DE CONTRIBUINTES</t>
        </is>
      </c>
      <c r="B17" s="55" t="n">
        <v>626</v>
      </c>
    </row>
    <row r="18">
      <c r="A18" s="53" t="n"/>
    </row>
    <row r="19">
      <c r="A19" s="53" t="n"/>
    </row>
    <row r="20">
      <c r="A20" s="52" t="inlineStr">
        <is>
          <t>CONTAGEM DE TENDÊNCIAS</t>
        </is>
      </c>
    </row>
    <row r="21">
      <c r="A21" s="52" t="inlineStr">
        <is>
          <t>CRESCIMENTO</t>
        </is>
      </c>
      <c r="B21" s="15" t="n">
        <v>11</v>
      </c>
    </row>
    <row r="22">
      <c r="A22" s="52" t="inlineStr">
        <is>
          <t>ESTÁVEL</t>
        </is>
      </c>
      <c r="B22" s="15" t="n">
        <v>0</v>
      </c>
    </row>
    <row r="23">
      <c r="A23" s="52" t="inlineStr">
        <is>
          <t>DECLÍNIO</t>
        </is>
      </c>
      <c r="B23" s="15" t="n">
        <v>21</v>
      </c>
    </row>
    <row r="24">
      <c r="A24" s="53" t="n"/>
    </row>
    <row r="25">
      <c r="A25" s="53" t="n"/>
    </row>
    <row r="26">
      <c r="A26" s="52" t="inlineStr">
        <is>
          <t>DESVIO PADRÃO 2017 - 2023</t>
        </is>
      </c>
    </row>
    <row r="27">
      <c r="A27" s="52" t="inlineStr">
        <is>
          <t>RAZSOC</t>
        </is>
      </c>
      <c r="B27" s="56" t="inlineStr">
        <is>
          <t>INSCEST</t>
        </is>
      </c>
      <c r="C27" s="56" t="inlineStr">
        <is>
          <t>VALOR DP</t>
        </is>
      </c>
      <c r="D27" s="56" t="inlineStr">
        <is>
          <t>MÉDIA</t>
        </is>
      </c>
      <c r="E27" s="56" t="inlineStr">
        <is>
          <t>MEDIANA</t>
        </is>
      </c>
    </row>
    <row r="28">
      <c r="A28" s="57" t="inlineStr">
        <is>
          <t>PEUGEOT CITROEN DO BRASIL AUTOMOVEIS LTDA</t>
        </is>
      </c>
      <c r="B28" s="54" t="inlineStr">
        <is>
          <t>85874047.0</t>
        </is>
      </c>
      <c r="C28" s="54" t="n">
        <v>1513721210.416445</v>
      </c>
      <c r="D28" s="54" t="n">
        <v>3257395028.115715</v>
      </c>
      <c r="E28" s="54" t="n">
        <v>2740134348.56</v>
      </c>
    </row>
    <row r="29">
      <c r="A29" s="57" t="inlineStr">
        <is>
          <t>COMPANHIA SIDERURGICA NACIONAL</t>
        </is>
      </c>
      <c r="B29" s="54" t="inlineStr">
        <is>
          <t>75566417.0</t>
        </is>
      </c>
      <c r="C29" s="54" t="n">
        <v>164814348.9879155</v>
      </c>
      <c r="D29" s="54" t="n">
        <v>123947473.7542857</v>
      </c>
      <c r="E29" s="54" t="n">
        <v>77304720.93000001</v>
      </c>
    </row>
    <row r="30">
      <c r="A30" s="57" t="inlineStr">
        <is>
          <t>GUARDIAN DO BRASIL VIDROS PLANOS LTDA</t>
        </is>
      </c>
      <c r="B30" s="54" t="inlineStr">
        <is>
          <t>85873091.0</t>
        </is>
      </c>
      <c r="C30" s="54" t="n">
        <v>117763332.9288585</v>
      </c>
      <c r="D30" s="54" t="n">
        <v>220426258.7642857</v>
      </c>
      <c r="E30" s="54" t="n">
        <v>182666283.51</v>
      </c>
    </row>
    <row r="31">
      <c r="A31" s="57" t="inlineStr">
        <is>
          <t>BENTELER SISTEMAS AUTOMOTIVOS LTDA</t>
        </is>
      </c>
      <c r="B31" s="54" t="inlineStr">
        <is>
          <t>85874195.0</t>
        </is>
      </c>
      <c r="C31" s="54" t="n">
        <v>71280360.01477519</v>
      </c>
      <c r="D31" s="54" t="n">
        <v>74780177.78142856</v>
      </c>
      <c r="E31" s="54" t="n">
        <v>73497222.34999999</v>
      </c>
    </row>
    <row r="32">
      <c r="A32" s="57" t="inlineStr">
        <is>
          <t>GEFCO LOGISTICA DO BRASIL LTDA</t>
        </is>
      </c>
      <c r="B32" s="54" t="inlineStr">
        <is>
          <t>85874314.0</t>
        </is>
      </c>
      <c r="C32" s="54" t="n">
        <v>45584495.76995888</v>
      </c>
      <c r="D32" s="54" t="n">
        <v>111801203.5271429</v>
      </c>
      <c r="E32" s="54" t="n">
        <v>97382192.22</v>
      </c>
    </row>
    <row r="33">
      <c r="A33" s="57" t="inlineStr">
        <is>
          <t>SPAL INDUSTRIA BRASILEIRA DE BEBIDAS S/A</t>
        </is>
      </c>
      <c r="B33" s="54" t="inlineStr">
        <is>
          <t>86517051.0</t>
        </is>
      </c>
      <c r="C33" s="54" t="n">
        <v>41882203.9722992</v>
      </c>
      <c r="D33" s="54" t="n">
        <v>129715528.4271429</v>
      </c>
      <c r="E33" s="54" t="n">
        <v>144871941.51</v>
      </c>
    </row>
    <row r="34">
      <c r="A34" s="57" t="inlineStr">
        <is>
          <t>CEG RIO S/A</t>
        </is>
      </c>
      <c r="B34" s="54" t="inlineStr">
        <is>
          <t>84781193.0</t>
        </is>
      </c>
      <c r="C34" s="54" t="n">
        <v>37189597.78066066</v>
      </c>
      <c r="D34" s="54" t="n">
        <v>109690217.5042857</v>
      </c>
      <c r="E34" s="54" t="n">
        <v>104605213.59</v>
      </c>
    </row>
    <row r="35">
      <c r="A35" s="57" t="inlineStr">
        <is>
          <t>NEXTEER INDUSTRIA E COMERCIO DE SISTEMAS AUTOMOTIVOS LTDA</t>
        </is>
      </c>
      <c r="B35" s="54" t="inlineStr">
        <is>
          <t>87220761.0</t>
        </is>
      </c>
      <c r="C35" s="54" t="n">
        <v>33573483.08104294</v>
      </c>
      <c r="D35" s="54" t="n">
        <v>91547927.13714287</v>
      </c>
      <c r="E35" s="54" t="n">
        <v>74783033.75</v>
      </c>
    </row>
    <row r="36">
      <c r="A36" s="57" t="inlineStr">
        <is>
          <t>MA AUTOMOTIVE BRASIL LTDA</t>
        </is>
      </c>
      <c r="B36" s="54" t="inlineStr">
        <is>
          <t>77015523.0</t>
        </is>
      </c>
      <c r="C36" s="54" t="n">
        <v>28355776.29140967</v>
      </c>
      <c r="D36" s="54" t="n">
        <v>142655242.5642857</v>
      </c>
      <c r="E36" s="54" t="n">
        <v>134598704.53</v>
      </c>
    </row>
    <row r="37">
      <c r="A37" s="57" t="inlineStr">
        <is>
          <t>FAURECIA AUTOMOTIVE DO BRASIL LTDA</t>
        </is>
      </c>
      <c r="B37" s="54" t="inlineStr">
        <is>
          <t>79762172.0</t>
        </is>
      </c>
      <c r="C37" s="54" t="n">
        <v>22923827.09783039</v>
      </c>
      <c r="D37" s="54" t="n">
        <v>34835257.57714286</v>
      </c>
      <c r="E37" s="54" t="n">
        <v>34438663.01</v>
      </c>
    </row>
    <row r="38">
      <c r="A38" s="57" t="inlineStr">
        <is>
          <t>AUTOPORT TRANSPORTES E LOGISTICA LTDA</t>
        </is>
      </c>
      <c r="B38" s="54" t="inlineStr">
        <is>
          <t>79259730.0</t>
        </is>
      </c>
      <c r="C38" s="54" t="n">
        <v>19301274.14285721</v>
      </c>
      <c r="D38" s="54" t="n">
        <v>30039406.29428571</v>
      </c>
      <c r="E38" s="54" t="n">
        <v>19768857.26</v>
      </c>
    </row>
    <row r="39">
      <c r="A39" s="57" t="inlineStr">
        <is>
          <t>TRANSMORENO TRANSPORTE E LOGISTICA LTDA</t>
        </is>
      </c>
      <c r="B39" s="54" t="inlineStr">
        <is>
          <t>79858226.0</t>
        </is>
      </c>
      <c r="C39" s="54" t="n">
        <v>14888307.87062932</v>
      </c>
      <c r="D39" s="54" t="n">
        <v>6177292.937142857</v>
      </c>
      <c r="E39" s="54" t="n">
        <v>9831.16</v>
      </c>
    </row>
    <row r="40">
      <c r="A40" s="57" t="inlineStr">
        <is>
          <t>FAURECIA AUTOMOTIVE DO BRASIL LTDA</t>
        </is>
      </c>
      <c r="B40" s="54" t="inlineStr">
        <is>
          <t>85874241.0</t>
        </is>
      </c>
      <c r="C40" s="54" t="n">
        <v>13846368.00904691</v>
      </c>
      <c r="D40" s="54" t="n">
        <v>43068487.78428571</v>
      </c>
      <c r="E40" s="54" t="n">
        <v>40181504.25</v>
      </c>
    </row>
    <row r="41">
      <c r="A41" s="57" t="inlineStr">
        <is>
          <t>RECIBRAS PORTO REAL RESIDUOS LTDA</t>
        </is>
      </c>
      <c r="B41" s="54" t="inlineStr">
        <is>
          <t>77617515.0</t>
        </is>
      </c>
      <c r="C41" s="54" t="n">
        <v>12507506.46326352</v>
      </c>
      <c r="D41" s="54" t="n">
        <v>21121933.60857143</v>
      </c>
      <c r="E41" s="54" t="n">
        <v>15486769.17</v>
      </c>
    </row>
    <row r="42">
      <c r="A42" s="57" t="inlineStr">
        <is>
          <t>PLASTIC OMNIUM DO BRASIL LTDA</t>
        </is>
      </c>
      <c r="B42" s="54" t="inlineStr">
        <is>
          <t>78024623.0</t>
        </is>
      </c>
      <c r="C42" s="54" t="n">
        <v>12082459.22025462</v>
      </c>
      <c r="D42" s="54" t="n">
        <v>37815947.40285714</v>
      </c>
      <c r="E42" s="54" t="n">
        <v>36205125.47</v>
      </c>
    </row>
    <row r="43">
      <c r="A43" s="57" t="inlineStr">
        <is>
          <t>TRANSAUTO TRANSPORTES ESPECIALIZADOS DE AUTOMOVEIS S A</t>
        </is>
      </c>
      <c r="B43" s="54" t="inlineStr">
        <is>
          <t>79676365.0</t>
        </is>
      </c>
      <c r="C43" s="54" t="n">
        <v>12038819.41015555</v>
      </c>
      <c r="D43" s="54" t="n">
        <v>4570342.861428572</v>
      </c>
      <c r="E43" s="54" t="n">
        <v>17580</v>
      </c>
    </row>
    <row r="44">
      <c r="A44" s="57" t="inlineStr">
        <is>
          <t>AMPLA ENERGIA E SERVICOS S.A.</t>
        </is>
      </c>
      <c r="B44" s="54" t="inlineStr">
        <is>
          <t>80046561.0</t>
        </is>
      </c>
      <c r="C44" s="54" t="n">
        <v>11982321.82589341</v>
      </c>
      <c r="D44" s="54" t="n">
        <v>56461997.95571428</v>
      </c>
      <c r="E44" s="54" t="n">
        <v>56721497.69</v>
      </c>
    </row>
    <row r="45">
      <c r="A45" s="57" t="inlineStr">
        <is>
          <t>BRAZUL TRANSPORTE DE VEICULOS LTDA</t>
        </is>
      </c>
      <c r="B45" s="54" t="inlineStr">
        <is>
          <t>85874500.0</t>
        </is>
      </c>
      <c r="C45" s="54" t="n">
        <v>11299405.62019357</v>
      </c>
      <c r="D45" s="54" t="n">
        <v>31584547.58857143</v>
      </c>
      <c r="E45" s="54" t="n">
        <v>28954412.59</v>
      </c>
    </row>
    <row r="46">
      <c r="A46" s="57" t="inlineStr">
        <is>
          <t>TRANSPORTE EXCELSIOR LTDA</t>
        </is>
      </c>
      <c r="B46" s="54" t="inlineStr">
        <is>
          <t>87403246.0</t>
        </is>
      </c>
      <c r="C46" s="54" t="n">
        <v>9588185.793539805</v>
      </c>
      <c r="D46" s="54" t="n">
        <v>20063950.29</v>
      </c>
      <c r="E46" s="54" t="n">
        <v>17388844.67</v>
      </c>
    </row>
    <row r="47">
      <c r="A47" s="57" t="inlineStr">
        <is>
          <t>TRANSPORTES GABARDO LTDA</t>
        </is>
      </c>
      <c r="B47" s="54" t="inlineStr">
        <is>
          <t>77885030.0</t>
        </is>
      </c>
      <c r="C47" s="54" t="n">
        <v>8885953.339659194</v>
      </c>
      <c r="D47" s="54" t="n">
        <v>5897311.14857143</v>
      </c>
      <c r="E47" s="54" t="n">
        <v>959789.5699999999</v>
      </c>
    </row>
    <row r="48">
      <c r="A48" s="57" t="inlineStr">
        <is>
          <t>QUIMREAL - REAL INDUSTRIA QUIMICA LTDA</t>
        </is>
      </c>
      <c r="B48" s="54" t="inlineStr">
        <is>
          <t>77557741.0</t>
        </is>
      </c>
      <c r="C48" s="54" t="n">
        <v>8057372.072061895</v>
      </c>
      <c r="D48" s="54" t="n">
        <v>13130150.09142857</v>
      </c>
      <c r="E48" s="54" t="n">
        <v>9301334.82</v>
      </c>
    </row>
    <row r="49">
      <c r="A49" s="53" t="n"/>
    </row>
    <row r="50">
      <c r="A50" s="52" t="inlineStr">
        <is>
          <t>Nota Explicativa: O desvio padrão indica a variabilidade das contribuições ao longo do período analisado.</t>
        </is>
      </c>
    </row>
    <row r="51">
      <c r="A51" s="53" t="n"/>
    </row>
    <row r="52">
      <c r="A52" s="52" t="inlineStr">
        <is>
          <t>TENDÊNCIA 2022 / 2023</t>
        </is>
      </c>
    </row>
    <row r="53">
      <c r="A53" s="52" t="inlineStr">
        <is>
          <t>CRESCIMENTO</t>
        </is>
      </c>
    </row>
    <row r="54">
      <c r="A54" s="52" t="inlineStr">
        <is>
          <t>NOME / RAZÃO SOCIAL</t>
        </is>
      </c>
      <c r="B54" s="56" t="inlineStr">
        <is>
          <t>INSCEST</t>
        </is>
      </c>
      <c r="C54" s="56" t="inlineStr">
        <is>
          <t>VALOR 2022</t>
        </is>
      </c>
      <c r="D54" s="56" t="inlineStr">
        <is>
          <t>VALOR 2023</t>
        </is>
      </c>
      <c r="E54" s="56" t="inlineStr">
        <is>
          <t>VARIAÇÃO %</t>
        </is>
      </c>
      <c r="F54" s="56" t="inlineStr">
        <is>
          <t>VARIAÇÃO R$</t>
        </is>
      </c>
    </row>
    <row r="55">
      <c r="A55" s="58" t="inlineStr">
        <is>
          <t>LOJAS CEM S/A</t>
        </is>
      </c>
      <c r="B55" s="15" t="inlineStr">
        <is>
          <t>12495048.0</t>
        </is>
      </c>
      <c r="C55" s="54" t="n">
        <v>1054702.2</v>
      </c>
      <c r="D55" s="54" t="n">
        <v>2759739.2</v>
      </c>
      <c r="E55" s="59" t="n">
        <v>1.616605142190848</v>
      </c>
      <c r="F55" s="54" t="n">
        <v>1705037</v>
      </c>
    </row>
    <row r="56">
      <c r="A56" s="58" t="inlineStr">
        <is>
          <t>EMPRESA DE TRANSPORTES PAJUCARA LTDA</t>
        </is>
      </c>
      <c r="B56" s="15" t="inlineStr">
        <is>
          <t>86994178.0</t>
        </is>
      </c>
      <c r="C56" s="54" t="n">
        <v>1013149.85</v>
      </c>
      <c r="D56" s="54" t="n">
        <v>2572169.46</v>
      </c>
      <c r="E56" s="59" t="n">
        <v>1.538784820429081</v>
      </c>
      <c r="F56" s="54" t="n">
        <v>1559019.61</v>
      </c>
    </row>
    <row r="57">
      <c r="A57" s="58" t="inlineStr">
        <is>
          <t>AUTO POSTO REAL BEIRA RIO LTDA</t>
        </is>
      </c>
      <c r="B57" s="15" t="inlineStr">
        <is>
          <t>85874322.0</t>
        </is>
      </c>
      <c r="C57" s="54" t="n">
        <v>1468316.68</v>
      </c>
      <c r="D57" s="54" t="n">
        <v>3157338.2</v>
      </c>
      <c r="E57" s="59" t="n">
        <v>1.15031147095598</v>
      </c>
      <c r="F57" s="54" t="n">
        <v>1689021.52</v>
      </c>
    </row>
    <row r="58">
      <c r="A58" s="58" t="inlineStr">
        <is>
          <t>SOMA LOGISTICA E LOCACOES LTDA</t>
        </is>
      </c>
      <c r="B58" s="15" t="inlineStr">
        <is>
          <t>11309739.0</t>
        </is>
      </c>
      <c r="C58" s="54" t="n">
        <v>0</v>
      </c>
      <c r="D58" s="54" t="n">
        <v>7208147.8</v>
      </c>
      <c r="E58" s="59" t="n">
        <v>1</v>
      </c>
      <c r="F58" s="54" t="n">
        <v>7208147.8</v>
      </c>
    </row>
    <row r="59">
      <c r="A59" s="58" t="inlineStr">
        <is>
          <t>PEUGEOT CITROEN DO BRASIL AUTOMOVEIS LTDA</t>
        </is>
      </c>
      <c r="B59" s="15" t="inlineStr">
        <is>
          <t>75964129.0</t>
        </is>
      </c>
      <c r="C59" s="54" t="n">
        <v>0</v>
      </c>
      <c r="D59" s="54" t="n">
        <v>155984448.71</v>
      </c>
      <c r="E59" s="59" t="n">
        <v>1</v>
      </c>
      <c r="F59" s="54" t="n">
        <v>155984448.71</v>
      </c>
    </row>
    <row r="60">
      <c r="A60" s="58" t="inlineStr">
        <is>
          <t>OLFAR S/A - ALIMENTO E ENERGIA</t>
        </is>
      </c>
      <c r="B60" s="15" t="inlineStr">
        <is>
          <t>87030946.0</t>
        </is>
      </c>
      <c r="C60" s="54" t="n">
        <v>0</v>
      </c>
      <c r="D60" s="54" t="n">
        <v>104876551.41</v>
      </c>
      <c r="E60" s="59" t="n">
        <v>1</v>
      </c>
      <c r="F60" s="54" t="n">
        <v>104876551.41</v>
      </c>
    </row>
    <row r="61">
      <c r="A61" s="58" t="inlineStr">
        <is>
          <t>G &amp; T COZINHA INDUSTRIAL LTDA</t>
        </is>
      </c>
      <c r="B61" s="15" t="inlineStr">
        <is>
          <t>12204361.0</t>
        </is>
      </c>
      <c r="C61" s="54" t="n">
        <v>2327394.61</v>
      </c>
      <c r="D61" s="54" t="n">
        <v>4151938.29</v>
      </c>
      <c r="E61" s="59" t="n">
        <v>0.7839425562646638</v>
      </c>
      <c r="F61" s="54" t="n">
        <v>1824543.68</v>
      </c>
    </row>
    <row r="62">
      <c r="A62" s="58" t="inlineStr">
        <is>
          <t>TRANSPORTE EXCELSIOR LTDA</t>
        </is>
      </c>
      <c r="B62" s="15" t="inlineStr">
        <is>
          <t>87403246.0</t>
        </is>
      </c>
      <c r="C62" s="54" t="n">
        <v>12279255.45</v>
      </c>
      <c r="D62" s="54" t="n">
        <v>17388844.67</v>
      </c>
      <c r="E62" s="59" t="n">
        <v>0.4161155569086237</v>
      </c>
      <c r="F62" s="54" t="n">
        <v>5109589.220000003</v>
      </c>
    </row>
    <row r="63">
      <c r="A63" s="58" t="inlineStr">
        <is>
          <t>TORA TRANSPORTES INDUSTRIAIS LTDA</t>
        </is>
      </c>
      <c r="B63" s="15" t="inlineStr">
        <is>
          <t>79757055.0</t>
        </is>
      </c>
      <c r="C63" s="54" t="n">
        <v>15373049.91</v>
      </c>
      <c r="D63" s="54" t="n">
        <v>21543099.4</v>
      </c>
      <c r="E63" s="59" t="n">
        <v>0.4013549377723967</v>
      </c>
      <c r="F63" s="54" t="n">
        <v>6170049.489999998</v>
      </c>
    </row>
    <row r="64">
      <c r="A64" s="58" t="inlineStr">
        <is>
          <t>MILLER INDUSTRIA MECANICA LTDA ME</t>
        </is>
      </c>
      <c r="B64" s="15" t="inlineStr">
        <is>
          <t>79312851.0</t>
        </is>
      </c>
      <c r="C64" s="54" t="n">
        <v>4051494.95</v>
      </c>
      <c r="D64" s="54" t="n">
        <v>5661591.81</v>
      </c>
      <c r="E64" s="59" t="n">
        <v>0.3974080875998622</v>
      </c>
      <c r="F64" s="54" t="n">
        <v>1610096.859999999</v>
      </c>
    </row>
    <row r="65">
      <c r="A65" s="58" t="inlineStr">
        <is>
          <t>L A MARASSI MERCEARIA LTDA</t>
        </is>
      </c>
      <c r="B65" s="15" t="inlineStr">
        <is>
          <t>79145149.0</t>
        </is>
      </c>
      <c r="C65" s="54" t="n">
        <v>4177276.58</v>
      </c>
      <c r="D65" s="54" t="n">
        <v>5752072.65</v>
      </c>
      <c r="E65" s="59" t="n">
        <v>0.3769910945183333</v>
      </c>
      <c r="F65" s="54" t="n">
        <v>1574796.07</v>
      </c>
    </row>
    <row r="66">
      <c r="A66" s="58" t="inlineStr">
        <is>
          <t>SPAL INDUSTRIA BRASILEIRA DE BEBIDAS S/A</t>
        </is>
      </c>
      <c r="B66" s="15" t="inlineStr">
        <is>
          <t>86517051.0</t>
        </is>
      </c>
      <c r="C66" s="54" t="n">
        <v>144996807.01</v>
      </c>
      <c r="D66" s="54" t="n">
        <v>183720296.56</v>
      </c>
      <c r="E66" s="59" t="n">
        <v>0.2670644295451925</v>
      </c>
      <c r="F66" s="54" t="n">
        <v>38723489.55000001</v>
      </c>
    </row>
    <row r="67">
      <c r="A67" s="58" t="inlineStr">
        <is>
          <t>MERCEARIA ANJO GABRIEL LTDA ME</t>
        </is>
      </c>
      <c r="B67" s="15" t="inlineStr">
        <is>
          <t>87346862.0</t>
        </is>
      </c>
      <c r="C67" s="54" t="n">
        <v>2020983.91</v>
      </c>
      <c r="D67" s="54" t="n">
        <v>2524494.51</v>
      </c>
      <c r="E67" s="59" t="n">
        <v>0.2491413204769156</v>
      </c>
      <c r="F67" s="54" t="n">
        <v>503510.5999999999</v>
      </c>
    </row>
    <row r="68">
      <c r="A68" s="58" t="inlineStr">
        <is>
          <t>GR SERVICOS E ALIMENTACAO LTDA</t>
        </is>
      </c>
      <c r="B68" s="15" t="inlineStr">
        <is>
          <t>81330174.0</t>
        </is>
      </c>
      <c r="C68" s="54" t="n">
        <v>6519802.63</v>
      </c>
      <c r="D68" s="54" t="n">
        <v>7995933.99</v>
      </c>
      <c r="E68" s="59" t="n">
        <v>0.2264073690218442</v>
      </c>
      <c r="F68" s="54" t="n">
        <v>1476131.36</v>
      </c>
    </row>
    <row r="69">
      <c r="A69" s="58" t="inlineStr">
        <is>
          <t>BENTELER SISTEMAS AUTOMOTIVOS LTDA</t>
        </is>
      </c>
      <c r="B69" s="15" t="inlineStr">
        <is>
          <t>85874195.0</t>
        </is>
      </c>
      <c r="C69" s="54" t="n">
        <v>73497222.34999999</v>
      </c>
      <c r="D69" s="54" t="n">
        <v>89687458.48999999</v>
      </c>
      <c r="E69" s="59" t="n">
        <v>0.2202836464064006</v>
      </c>
      <c r="F69" s="54" t="n">
        <v>16190236.14</v>
      </c>
    </row>
    <row r="70">
      <c r="A70" s="53" t="n"/>
    </row>
    <row r="71">
      <c r="A71" s="53" t="n"/>
    </row>
    <row r="72">
      <c r="A72" s="52" t="inlineStr">
        <is>
          <t>ESTÁVEL</t>
        </is>
      </c>
    </row>
    <row r="73">
      <c r="A73" s="58" t="inlineStr">
        <is>
          <t>*** NENHUMA EMPRESA ATENDEU ESTE QUESITO ***</t>
        </is>
      </c>
    </row>
    <row r="74">
      <c r="A74" s="53" t="n"/>
    </row>
    <row r="75">
      <c r="A75" s="53" t="n"/>
    </row>
    <row r="76">
      <c r="A76" s="52" t="inlineStr">
        <is>
          <t>DECLÍNIO</t>
        </is>
      </c>
    </row>
    <row r="77">
      <c r="A77" s="52" t="inlineStr">
        <is>
          <t>NOME / RAZÃO SOCIAL</t>
        </is>
      </c>
      <c r="B77" s="56" t="inlineStr">
        <is>
          <t>INSCEST</t>
        </is>
      </c>
      <c r="C77" s="56" t="inlineStr">
        <is>
          <t>VALOR 2022</t>
        </is>
      </c>
      <c r="D77" s="56" t="inlineStr">
        <is>
          <t>VALOR 2023</t>
        </is>
      </c>
      <c r="E77" s="56" t="inlineStr">
        <is>
          <t>VARIAÇÃO %</t>
        </is>
      </c>
      <c r="F77" s="56" t="inlineStr">
        <is>
          <t>VARIAÇÃO R$</t>
        </is>
      </c>
    </row>
    <row r="78">
      <c r="A78" s="58" t="inlineStr">
        <is>
          <t>NEXTEER INDUSTRIA E COMERCIO DE SISTEMAS AUTOMOTIVOS LTDA</t>
        </is>
      </c>
      <c r="B78" s="15" t="inlineStr">
        <is>
          <t>87220761.0</t>
        </is>
      </c>
      <c r="C78" s="54" t="n">
        <v>134349843.84</v>
      </c>
      <c r="D78" s="54" t="n">
        <v>133935576.25</v>
      </c>
      <c r="E78" s="59" t="n">
        <v>-0.003083498857604653</v>
      </c>
      <c r="F78" s="54" t="n">
        <v>-414267.5900000036</v>
      </c>
    </row>
    <row r="79">
      <c r="A79" s="58" t="inlineStr">
        <is>
          <t>TELEFONICA BRASIL S.A.</t>
        </is>
      </c>
      <c r="B79" s="15" t="inlineStr">
        <is>
          <t>77452443.0</t>
        </is>
      </c>
      <c r="C79" s="54" t="n">
        <v>4229168.45</v>
      </c>
      <c r="D79" s="54" t="n">
        <v>3889534.14</v>
      </c>
      <c r="E79" s="59" t="n">
        <v>-0.08030758623483064</v>
      </c>
      <c r="F79" s="54" t="n">
        <v>-339634.3100000001</v>
      </c>
    </row>
    <row r="80">
      <c r="A80" s="58" t="inlineStr">
        <is>
          <t>BMB MODE CENTER - INDUSTRIA COMERCIO E SERVICOS LTDA</t>
        </is>
      </c>
      <c r="B80" s="15" t="inlineStr">
        <is>
          <t>76171769.0</t>
        </is>
      </c>
      <c r="C80" s="54" t="n">
        <v>32176470.73</v>
      </c>
      <c r="D80" s="54" t="n">
        <v>28581527.54</v>
      </c>
      <c r="E80" s="59" t="n">
        <v>-0.1117258390507144</v>
      </c>
      <c r="F80" s="54" t="n">
        <v>-3594943.190000001</v>
      </c>
    </row>
    <row r="81">
      <c r="A81" s="58" t="inlineStr">
        <is>
          <t>GUARDIAN DO BRASIL VIDROS PLANOS LTDA</t>
        </is>
      </c>
      <c r="B81" s="15" t="inlineStr">
        <is>
          <t>85873091.0</t>
        </is>
      </c>
      <c r="C81" s="54" t="n">
        <v>297581455.86</v>
      </c>
      <c r="D81" s="54" t="n">
        <v>264193333.52</v>
      </c>
      <c r="E81" s="59" t="n">
        <v>-0.1121982626353833</v>
      </c>
      <c r="F81" s="54" t="n">
        <v>-33388122.34</v>
      </c>
    </row>
    <row r="82">
      <c r="A82" s="58" t="inlineStr">
        <is>
          <t>TEGMA GESTAO LOGISTICA S/A</t>
        </is>
      </c>
      <c r="B82" s="15" t="inlineStr">
        <is>
          <t>79835862.0</t>
        </is>
      </c>
      <c r="C82" s="54" t="n">
        <v>3356972.05</v>
      </c>
      <c r="D82" s="54" t="n">
        <v>2974007.4</v>
      </c>
      <c r="E82" s="59" t="n">
        <v>-0.1140803808598883</v>
      </c>
      <c r="F82" s="54" t="n">
        <v>-382964.6499999999</v>
      </c>
    </row>
    <row r="83">
      <c r="A83" s="58" t="inlineStr">
        <is>
          <t>CEG RIO S/A</t>
        </is>
      </c>
      <c r="B83" s="15" t="inlineStr">
        <is>
          <t>84781193.0</t>
        </is>
      </c>
      <c r="C83" s="54" t="n">
        <v>169488410.17</v>
      </c>
      <c r="D83" s="54" t="n">
        <v>144545642.11</v>
      </c>
      <c r="E83" s="59" t="n">
        <v>-0.1471650364469282</v>
      </c>
      <c r="F83" s="54" t="n">
        <v>-24942768.05999997</v>
      </c>
    </row>
    <row r="84">
      <c r="A84" s="58" t="inlineStr">
        <is>
          <t>PLASTIC OMNIUM DO BRASIL LTDA</t>
        </is>
      </c>
      <c r="B84" s="15" t="inlineStr">
        <is>
          <t>78024623.0</t>
        </is>
      </c>
      <c r="C84" s="54" t="n">
        <v>37819935.79</v>
      </c>
      <c r="D84" s="54" t="n">
        <v>31128707.31</v>
      </c>
      <c r="E84" s="59" t="n">
        <v>-0.1769233167701261</v>
      </c>
      <c r="F84" s="54" t="n">
        <v>-6691228.48</v>
      </c>
    </row>
    <row r="85">
      <c r="A85" s="58" t="inlineStr">
        <is>
          <t>MECSTEEL - INDUSTRIA MECANICA LTA - EPP</t>
        </is>
      </c>
      <c r="B85" s="15" t="inlineStr">
        <is>
          <t>87173631.0</t>
        </is>
      </c>
      <c r="C85" s="54" t="n">
        <v>3563402.29</v>
      </c>
      <c r="D85" s="54" t="n">
        <v>2813539.77</v>
      </c>
      <c r="E85" s="59" t="n">
        <v>-0.2104344272619301</v>
      </c>
      <c r="F85" s="54" t="n">
        <v>-749862.52</v>
      </c>
    </row>
    <row r="86">
      <c r="A86" s="58" t="inlineStr">
        <is>
          <t>AMPLA ENERGIA E SERVICOS S.A.</t>
        </is>
      </c>
      <c r="B86" s="15" t="inlineStr">
        <is>
          <t>80046561.0</t>
        </is>
      </c>
      <c r="C86" s="54" t="n">
        <v>77301146.84999999</v>
      </c>
      <c r="D86" s="54" t="n">
        <v>58261402.26</v>
      </c>
      <c r="E86" s="59" t="n">
        <v>-0.2463061075529178</v>
      </c>
      <c r="F86" s="54" t="n">
        <v>-19039744.59</v>
      </c>
    </row>
    <row r="87">
      <c r="A87" s="58" t="inlineStr">
        <is>
          <t>TRANSCD TRANSPORTES PORTO REAL LTDA</t>
        </is>
      </c>
      <c r="B87" s="15" t="inlineStr">
        <is>
          <t>11664199.0</t>
        </is>
      </c>
      <c r="C87" s="54" t="n">
        <v>5389354.34</v>
      </c>
      <c r="D87" s="54" t="n">
        <v>3977464.96</v>
      </c>
      <c r="E87" s="59" t="n">
        <v>-0.2619774635193128</v>
      </c>
      <c r="F87" s="54" t="n">
        <v>-1411889.38</v>
      </c>
    </row>
    <row r="88">
      <c r="A88" s="58" t="inlineStr">
        <is>
          <t>BRAZUL TRANSPORTE DE VEICULOS LTDA</t>
        </is>
      </c>
      <c r="B88" s="15" t="inlineStr">
        <is>
          <t>85874500.0</t>
        </is>
      </c>
      <c r="C88" s="54" t="n">
        <v>53640395.99</v>
      </c>
      <c r="D88" s="54" t="n">
        <v>36905503.37</v>
      </c>
      <c r="E88" s="59" t="n">
        <v>-0.3119830178569121</v>
      </c>
      <c r="F88" s="54" t="n">
        <v>-16734892.62</v>
      </c>
    </row>
    <row r="89">
      <c r="A89" s="58" t="inlineStr">
        <is>
          <t>FAURECIA AUTOMOTIVE DO BRASIL LTDA</t>
        </is>
      </c>
      <c r="B89" s="15" t="inlineStr">
        <is>
          <t>85874241.0</t>
        </is>
      </c>
      <c r="C89" s="54" t="n">
        <v>36126177.17</v>
      </c>
      <c r="D89" s="54" t="n">
        <v>24830725.02</v>
      </c>
      <c r="E89" s="59" t="n">
        <v>-0.3126666875613953</v>
      </c>
      <c r="F89" s="54" t="n">
        <v>-11295452.15</v>
      </c>
    </row>
    <row r="90">
      <c r="A90" s="58" t="inlineStr">
        <is>
          <t>GEFCO LOGISTICA DO BRASIL LTDA</t>
        </is>
      </c>
      <c r="B90" s="15" t="inlineStr">
        <is>
          <t>85874314.0</t>
        </is>
      </c>
      <c r="C90" s="54" t="n">
        <v>199635959.98</v>
      </c>
      <c r="D90" s="54" t="n">
        <v>136235075.94</v>
      </c>
      <c r="E90" s="59" t="n">
        <v>-0.3175824838688964</v>
      </c>
      <c r="F90" s="54" t="n">
        <v>-63400884.03999999</v>
      </c>
    </row>
    <row r="91">
      <c r="A91" s="58" t="inlineStr">
        <is>
          <t>SADA TRANSPORTES E ARMAZENAGENS S/A</t>
        </is>
      </c>
      <c r="B91" s="15" t="inlineStr">
        <is>
          <t>77380450.0</t>
        </is>
      </c>
      <c r="C91" s="54" t="n">
        <v>22515771.49</v>
      </c>
      <c r="D91" s="54" t="n">
        <v>15150360.38</v>
      </c>
      <c r="E91" s="59" t="n">
        <v>-0.3271223068359537</v>
      </c>
      <c r="F91" s="54" t="n">
        <v>-7365411.109999998</v>
      </c>
    </row>
    <row r="92">
      <c r="A92" s="58" t="inlineStr">
        <is>
          <t>AUTOPORT TRANSPORTES E LOGISTICA LTDA</t>
        </is>
      </c>
      <c r="B92" s="15" t="inlineStr">
        <is>
          <t>79259730.0</t>
        </is>
      </c>
      <c r="C92" s="54" t="n">
        <v>66861640.17</v>
      </c>
      <c r="D92" s="54" t="n">
        <v>43800954.77</v>
      </c>
      <c r="E92" s="59" t="n">
        <v>-0.3449015809568346</v>
      </c>
      <c r="F92" s="54" t="n">
        <v>-23060685.4</v>
      </c>
    </row>
    <row r="93">
      <c r="A93" s="53" t="n"/>
    </row>
    <row r="94">
      <c r="A94" s="53" t="n"/>
    </row>
    <row r="95">
      <c r="A95" s="53" t="n"/>
    </row>
    <row r="96">
      <c r="A96" s="53" t="n"/>
    </row>
    <row r="97">
      <c r="A97" s="52" t="inlineStr">
        <is>
          <t>TENDÊNCIA 2017 / 2023</t>
        </is>
      </c>
    </row>
    <row r="98">
      <c r="A98" s="52" t="inlineStr">
        <is>
          <t>CRESCIMENTO</t>
        </is>
      </c>
    </row>
    <row r="99">
      <c r="A99" s="52" t="inlineStr">
        <is>
          <t>NOME / RAZÃO SOCIAL</t>
        </is>
      </c>
      <c r="B99" s="56" t="inlineStr">
        <is>
          <t>INSCEST</t>
        </is>
      </c>
      <c r="C99" s="56" t="inlineStr">
        <is>
          <t>VALOR 2017</t>
        </is>
      </c>
      <c r="D99" s="56" t="inlineStr">
        <is>
          <t>VALOR 2023</t>
        </is>
      </c>
      <c r="E99" s="56" t="inlineStr">
        <is>
          <t>VARIAÇÃO %</t>
        </is>
      </c>
      <c r="F99" s="56" t="inlineStr">
        <is>
          <t>VARIAÇÃO R$</t>
        </is>
      </c>
    </row>
    <row r="100">
      <c r="A100" s="58" t="inlineStr">
        <is>
          <t>EMPRESA DE TRANSPORTES PAJUCARA LTDA</t>
        </is>
      </c>
      <c r="B100" s="15" t="inlineStr">
        <is>
          <t>86994178.0</t>
        </is>
      </c>
      <c r="C100" s="54" t="n">
        <v>1008.42</v>
      </c>
      <c r="D100" s="54" t="n">
        <v>2572169.46</v>
      </c>
      <c r="E100" s="59" t="n">
        <v>2549.692628071637</v>
      </c>
      <c r="F100" s="54" t="n">
        <v>2571161.04</v>
      </c>
    </row>
    <row r="101">
      <c r="A101" s="58" t="inlineStr">
        <is>
          <t>PARADISO GIOVANELLA TRANSPORTES LTDA</t>
        </is>
      </c>
      <c r="B101" s="15" t="inlineStr">
        <is>
          <t>78981180.0</t>
        </is>
      </c>
      <c r="C101" s="54" t="n">
        <v>16214.4</v>
      </c>
      <c r="D101" s="54" t="n">
        <v>13469484.08</v>
      </c>
      <c r="E101" s="59" t="n">
        <v>829.7112245904875</v>
      </c>
      <c r="F101" s="54" t="n">
        <v>13453269.68</v>
      </c>
    </row>
    <row r="102">
      <c r="A102" s="58" t="inlineStr">
        <is>
          <t>TRANSPAX TRANSPORTADORA LTDA</t>
        </is>
      </c>
      <c r="B102" s="15" t="inlineStr">
        <is>
          <t>79832049.0</t>
        </is>
      </c>
      <c r="C102" s="54" t="n">
        <v>137098.16</v>
      </c>
      <c r="D102" s="54" t="n">
        <v>5752530.27</v>
      </c>
      <c r="E102" s="59" t="n">
        <v>40.95920842409555</v>
      </c>
      <c r="F102" s="54" t="n">
        <v>5615432.109999999</v>
      </c>
    </row>
    <row r="103">
      <c r="A103" s="58" t="inlineStr">
        <is>
          <t>TIM S.A.</t>
        </is>
      </c>
      <c r="B103" s="15" t="inlineStr">
        <is>
          <t>86092085.0</t>
        </is>
      </c>
      <c r="C103" s="54" t="n">
        <v>1656196.21</v>
      </c>
      <c r="D103" s="54" t="n">
        <v>12782247.58</v>
      </c>
      <c r="E103" s="59" t="n">
        <v>6.717834096480635</v>
      </c>
      <c r="F103" s="54" t="n">
        <v>11126051.37</v>
      </c>
    </row>
    <row r="104">
      <c r="A104" s="58" t="inlineStr">
        <is>
          <t>TEGMA GESTAO LOGISTICA S/A</t>
        </is>
      </c>
      <c r="B104" s="15" t="inlineStr">
        <is>
          <t>79835862.0</t>
        </is>
      </c>
      <c r="C104" s="54" t="n">
        <v>391784.99</v>
      </c>
      <c r="D104" s="54" t="n">
        <v>2974007.4</v>
      </c>
      <c r="E104" s="59" t="n">
        <v>6.590917150756593</v>
      </c>
      <c r="F104" s="54" t="n">
        <v>2582222.41</v>
      </c>
    </row>
    <row r="105">
      <c r="A105" s="58" t="inlineStr">
        <is>
          <t>RF 9999 SUPERINTENDENCIA ESTADUAL CADASTRO E INF ECON FISCAIS</t>
        </is>
      </c>
      <c r="B105" s="15" t="inlineStr">
        <is>
          <t>99199997.0</t>
        </is>
      </c>
      <c r="C105" s="54" t="n">
        <v>623699.59</v>
      </c>
      <c r="D105" s="54" t="n">
        <v>4473459.3</v>
      </c>
      <c r="E105" s="59" t="n">
        <v>6.172458298393302</v>
      </c>
      <c r="F105" s="54" t="n">
        <v>3849759.71</v>
      </c>
    </row>
    <row r="106">
      <c r="A106" s="58" t="inlineStr">
        <is>
          <t>MILLER INDUSTRIA MECANICA LTDA ME</t>
        </is>
      </c>
      <c r="B106" s="15" t="inlineStr">
        <is>
          <t>79312851.0</t>
        </is>
      </c>
      <c r="C106" s="54" t="n">
        <v>798278.02</v>
      </c>
      <c r="D106" s="54" t="n">
        <v>5661591.81</v>
      </c>
      <c r="E106" s="59" t="n">
        <v>6.092255665513625</v>
      </c>
      <c r="F106" s="54" t="n">
        <v>4863313.789999999</v>
      </c>
    </row>
    <row r="107">
      <c r="A107" s="58" t="inlineStr">
        <is>
          <t>AUTO POSTO REAL BEIRA RIO LTDA</t>
        </is>
      </c>
      <c r="B107" s="15" t="inlineStr">
        <is>
          <t>85874322.0</t>
        </is>
      </c>
      <c r="C107" s="54" t="n">
        <v>767414.36</v>
      </c>
      <c r="D107" s="54" t="n">
        <v>3157338.2</v>
      </c>
      <c r="E107" s="59" t="n">
        <v>3.114254781471642</v>
      </c>
      <c r="F107" s="54" t="n">
        <v>2389923.84</v>
      </c>
    </row>
    <row r="108">
      <c r="A108" s="58" t="inlineStr">
        <is>
          <t>RECIBRAS PORTO REAL RESIDUOS LTDA</t>
        </is>
      </c>
      <c r="B108" s="15" t="inlineStr">
        <is>
          <t>77617515.0</t>
        </is>
      </c>
      <c r="C108" s="54" t="n">
        <v>10267196.54</v>
      </c>
      <c r="D108" s="54" t="n">
        <v>38143546.87</v>
      </c>
      <c r="E108" s="59" t="n">
        <v>2.71508879969293</v>
      </c>
      <c r="F108" s="54" t="n">
        <v>27876350.33</v>
      </c>
    </row>
    <row r="109">
      <c r="A109" s="58" t="inlineStr">
        <is>
          <t>QUIMREAL - REAL INDUSTRIA QUIMICA LTDA</t>
        </is>
      </c>
      <c r="B109" s="15" t="inlineStr">
        <is>
          <t>77557741.0</t>
        </is>
      </c>
      <c r="C109" s="54" t="n">
        <v>7668854.47</v>
      </c>
      <c r="D109" s="54" t="n">
        <v>25596670.1</v>
      </c>
      <c r="E109" s="59" t="n">
        <v>2.337743622614344</v>
      </c>
      <c r="F109" s="54" t="n">
        <v>17927815.63</v>
      </c>
    </row>
    <row r="110">
      <c r="A110" s="58" t="inlineStr">
        <is>
          <t>SPAL INDUSTRIA BRASILEIRA DE BEBIDAS S/A</t>
        </is>
      </c>
      <c r="B110" s="15" t="inlineStr">
        <is>
          <t>86517051.0</t>
        </is>
      </c>
      <c r="C110" s="54" t="n">
        <v>66793398.92</v>
      </c>
      <c r="D110" s="54" t="n">
        <v>183720296.56</v>
      </c>
      <c r="E110" s="59" t="n">
        <v>1.750575648651239</v>
      </c>
      <c r="F110" s="54" t="n">
        <v>116926897.64</v>
      </c>
    </row>
    <row r="111">
      <c r="A111" s="58" t="inlineStr">
        <is>
          <t>GUARDIAN DO BRASIL VIDROS PLANOS LTDA</t>
        </is>
      </c>
      <c r="B111" s="15" t="inlineStr">
        <is>
          <t>85873091.0</t>
        </is>
      </c>
      <c r="C111" s="54" t="n">
        <v>99267845.34</v>
      </c>
      <c r="D111" s="54" t="n">
        <v>264193333.52</v>
      </c>
      <c r="E111" s="59" t="n">
        <v>1.661419038714072</v>
      </c>
      <c r="F111" s="54" t="n">
        <v>164925488.18</v>
      </c>
    </row>
    <row r="112">
      <c r="A112" s="58" t="inlineStr">
        <is>
          <t>CEG RIO S/A</t>
        </is>
      </c>
      <c r="B112" s="15" t="inlineStr">
        <is>
          <t>84781193.0</t>
        </is>
      </c>
      <c r="C112" s="54" t="n">
        <v>60940306.43</v>
      </c>
      <c r="D112" s="54" t="n">
        <v>144545642.11</v>
      </c>
      <c r="E112" s="59" t="n">
        <v>1.371921812963552</v>
      </c>
      <c r="F112" s="54" t="n">
        <v>83605335.68000001</v>
      </c>
    </row>
    <row r="113">
      <c r="A113" s="58" t="inlineStr">
        <is>
          <t>L A MARASSI MERCEARIA LTDA</t>
        </is>
      </c>
      <c r="B113" s="15" t="inlineStr">
        <is>
          <t>79145149.0</t>
        </is>
      </c>
      <c r="C113" s="54" t="n">
        <v>2512806</v>
      </c>
      <c r="D113" s="54" t="n">
        <v>5752072.65</v>
      </c>
      <c r="E113" s="59" t="n">
        <v>1.289103356964286</v>
      </c>
      <c r="F113" s="54" t="n">
        <v>3239266.65</v>
      </c>
    </row>
    <row r="114">
      <c r="A114" s="58" t="inlineStr">
        <is>
          <t>AUTOPORT TRANSPORTES E LOGISTICA LTDA</t>
        </is>
      </c>
      <c r="B114" s="15" t="inlineStr">
        <is>
          <t>79259730.0</t>
        </is>
      </c>
      <c r="C114" s="54" t="n">
        <v>19768857.26</v>
      </c>
      <c r="D114" s="54" t="n">
        <v>43800954.77</v>
      </c>
      <c r="E114" s="59" t="n">
        <v>1.215654359477124</v>
      </c>
      <c r="F114" s="54" t="n">
        <v>24032097.51</v>
      </c>
    </row>
    <row r="115">
      <c r="A115" s="53" t="n"/>
    </row>
    <row r="116">
      <c r="A116" s="53" t="n"/>
    </row>
    <row r="117">
      <c r="A117" s="52" t="inlineStr">
        <is>
          <t>ESTÁVEL</t>
        </is>
      </c>
    </row>
    <row r="118">
      <c r="A118" s="58" t="inlineStr">
        <is>
          <t>*** NENHUMA EMPRESA ATENDEU ESTE QUESITO ***</t>
        </is>
      </c>
    </row>
    <row r="119">
      <c r="A119" s="53" t="n"/>
    </row>
    <row r="120">
      <c r="A120" s="53" t="n"/>
    </row>
    <row r="121">
      <c r="A121" s="52" t="inlineStr">
        <is>
          <t>DECLÍNIO</t>
        </is>
      </c>
    </row>
    <row r="122">
      <c r="A122" s="52" t="inlineStr">
        <is>
          <t>NOME / RAZÃO SOCIAL</t>
        </is>
      </c>
      <c r="B122" s="56" t="inlineStr">
        <is>
          <t>INSCEST</t>
        </is>
      </c>
      <c r="C122" s="56" t="inlineStr">
        <is>
          <t>VALOR 2017</t>
        </is>
      </c>
      <c r="D122" s="56" t="inlineStr">
        <is>
          <t>VALOR 2023</t>
        </is>
      </c>
      <c r="E122" s="56" t="inlineStr">
        <is>
          <t>VARIAÇÃO %</t>
        </is>
      </c>
      <c r="F122" s="56" t="inlineStr">
        <is>
          <t>VARIAÇÃO R$</t>
        </is>
      </c>
    </row>
    <row r="123">
      <c r="A123" s="58" t="inlineStr">
        <is>
          <t>MA AUTOMOTIVE BRASIL LTDA</t>
        </is>
      </c>
      <c r="B123" s="15" t="inlineStr">
        <is>
          <t>77015523.0</t>
        </is>
      </c>
      <c r="C123" s="54" t="n">
        <v>162245886.2</v>
      </c>
      <c r="D123" s="54" t="n">
        <v>132548045.03</v>
      </c>
      <c r="E123" s="59" t="n">
        <v>-0.1830421828593642</v>
      </c>
      <c r="F123" s="54" t="n">
        <v>-29697841.16999999</v>
      </c>
    </row>
    <row r="124">
      <c r="A124" s="58" t="inlineStr">
        <is>
          <t>MAQUINAS AGRICOLAS JACTO S A</t>
        </is>
      </c>
      <c r="B124" s="15" t="inlineStr">
        <is>
          <t>78658177.0</t>
        </is>
      </c>
      <c r="C124" s="54" t="n">
        <v>7024163.02</v>
      </c>
      <c r="D124" s="54" t="n">
        <v>4220275.5</v>
      </c>
      <c r="E124" s="59" t="n">
        <v>-0.3991774553091166</v>
      </c>
      <c r="F124" s="54" t="n">
        <v>-2803887.52</v>
      </c>
    </row>
    <row r="125">
      <c r="A125" s="58" t="inlineStr">
        <is>
          <t>PLASTIC OMNIUM DO BRASIL LTDA</t>
        </is>
      </c>
      <c r="B125" s="15" t="inlineStr">
        <is>
          <t>78024623.0</t>
        </is>
      </c>
      <c r="C125" s="54" t="n">
        <v>57577656.01</v>
      </c>
      <c r="D125" s="54" t="n">
        <v>31128707.31</v>
      </c>
      <c r="E125" s="59" t="n">
        <v>-0.4593613309893405</v>
      </c>
      <c r="F125" s="54" t="n">
        <v>-26448948.7</v>
      </c>
    </row>
    <row r="126">
      <c r="A126" s="58" t="inlineStr">
        <is>
          <t>FAURECIA AUTOMOTIVE DO BRASIL LTDA</t>
        </is>
      </c>
      <c r="B126" s="15" t="inlineStr">
        <is>
          <t>85874241.0</t>
        </is>
      </c>
      <c r="C126" s="54" t="n">
        <v>48470336.55</v>
      </c>
      <c r="D126" s="54" t="n">
        <v>24830725.02</v>
      </c>
      <c r="E126" s="59" t="n">
        <v>-0.4877129645182957</v>
      </c>
      <c r="F126" s="54" t="n">
        <v>-23639611.53</v>
      </c>
    </row>
    <row r="127">
      <c r="A127" s="58" t="inlineStr">
        <is>
          <t>BENTELER SISTEMAS AUTOMOTIVOS LTDA</t>
        </is>
      </c>
      <c r="B127" s="15" t="inlineStr">
        <is>
          <t>85874195.0</t>
        </is>
      </c>
      <c r="C127" s="54" t="n">
        <v>176806298.45</v>
      </c>
      <c r="D127" s="54" t="n">
        <v>89687458.48999999</v>
      </c>
      <c r="E127" s="59" t="n">
        <v>-0.4927360661002515</v>
      </c>
      <c r="F127" s="54" t="n">
        <v>-87118839.95999999</v>
      </c>
    </row>
    <row r="128">
      <c r="A128" s="58" t="inlineStr">
        <is>
          <t>FAURECIA AUTOMOTIVE DO BRASIL LTDA</t>
        </is>
      </c>
      <c r="B128" s="15" t="inlineStr">
        <is>
          <t>79762172.0</t>
        </is>
      </c>
      <c r="C128" s="54" t="n">
        <v>47249525.92</v>
      </c>
      <c r="D128" s="54" t="n">
        <v>8143333.34</v>
      </c>
      <c r="E128" s="59" t="n">
        <v>-0.8276525916093255</v>
      </c>
      <c r="F128" s="54" t="n">
        <v>-39106192.58</v>
      </c>
    </row>
    <row r="129">
      <c r="A129" s="58" t="inlineStr">
        <is>
          <t>COMPANHIA SIDERURGICA NACIONAL</t>
        </is>
      </c>
      <c r="B129" s="15" t="inlineStr">
        <is>
          <t>75566417.0</t>
        </is>
      </c>
      <c r="C129" s="54" t="n">
        <v>86392804.54000001</v>
      </c>
      <c r="D129" s="54" t="n">
        <v>4214076.06</v>
      </c>
      <c r="E129" s="59" t="n">
        <v>-0.9512219092499899</v>
      </c>
      <c r="F129" s="54" t="n">
        <v>-82178728.48</v>
      </c>
    </row>
    <row r="130">
      <c r="A130" s="53" t="n"/>
    </row>
    <row r="131">
      <c r="A131" s="53" t="n"/>
    </row>
    <row r="132">
      <c r="A132" s="53" t="n"/>
    </row>
    <row r="133">
      <c r="A133" s="53" t="n"/>
    </row>
    <row r="134">
      <c r="A134" s="52" t="inlineStr">
        <is>
          <t>PRINCIPAIS CONTRIBUINTES</t>
        </is>
      </c>
    </row>
    <row r="135">
      <c r="A135" s="52" t="inlineStr">
        <is>
          <t>NOME / RAZÃO SOCIAL</t>
        </is>
      </c>
      <c r="B135" s="56" t="inlineStr">
        <is>
          <t>INSCEST</t>
        </is>
      </c>
      <c r="C135" s="56" t="inlineStr">
        <is>
          <t>CONTRIBUIÇÃO</t>
        </is>
      </c>
    </row>
    <row r="136">
      <c r="A136" s="58" t="inlineStr">
        <is>
          <t>PEUGEOT CITROEN DO BRASIL AUTOMOVEIS LTDA</t>
        </is>
      </c>
      <c r="B136" s="15" t="inlineStr">
        <is>
          <t>85874047.0</t>
        </is>
      </c>
      <c r="C136" s="54" t="n">
        <v>2740134348.56</v>
      </c>
    </row>
    <row r="137">
      <c r="A137" s="58" t="inlineStr">
        <is>
          <t>GUARDIAN DO BRASIL VIDROS PLANOS LTDA</t>
        </is>
      </c>
      <c r="B137" s="15" t="inlineStr">
        <is>
          <t>85873091.0</t>
        </is>
      </c>
      <c r="C137" s="54" t="n">
        <v>264193333.52</v>
      </c>
    </row>
    <row r="138">
      <c r="A138" s="58" t="inlineStr">
        <is>
          <t>SPAL INDUSTRIA BRASILEIRA DE BEBIDAS S/A</t>
        </is>
      </c>
      <c r="B138" s="15" t="inlineStr">
        <is>
          <t>86517051.0</t>
        </is>
      </c>
      <c r="C138" s="54" t="n">
        <v>183720296.56</v>
      </c>
    </row>
    <row r="139">
      <c r="A139" s="58" t="inlineStr">
        <is>
          <t>PEUGEOT CITROEN DO BRASIL AUTOMOVEIS LTDA</t>
        </is>
      </c>
      <c r="B139" s="15" t="inlineStr">
        <is>
          <t>75964129.0</t>
        </is>
      </c>
      <c r="C139" s="54" t="n">
        <v>155984448.71</v>
      </c>
    </row>
    <row r="140">
      <c r="A140" s="58" t="inlineStr">
        <is>
          <t>CEG RIO S/A</t>
        </is>
      </c>
      <c r="B140" s="15" t="inlineStr">
        <is>
          <t>84781193.0</t>
        </is>
      </c>
      <c r="C140" s="54" t="n">
        <v>144545642.11</v>
      </c>
    </row>
    <row r="141">
      <c r="A141" s="58" t="inlineStr">
        <is>
          <t>GEFCO LOGISTICA DO BRASIL LTDA</t>
        </is>
      </c>
      <c r="B141" s="15" t="inlineStr">
        <is>
          <t>85874314.0</t>
        </is>
      </c>
      <c r="C141" s="54" t="n">
        <v>136235075.94</v>
      </c>
    </row>
    <row r="142">
      <c r="A142" s="58" t="inlineStr">
        <is>
          <t>NEXTEER INDUSTRIA E COMERCIO DE SISTEMAS AUTOMOTIVOS LTDA</t>
        </is>
      </c>
      <c r="B142" s="15" t="inlineStr">
        <is>
          <t>87220761.0</t>
        </is>
      </c>
      <c r="C142" s="54" t="n">
        <v>133935576.25</v>
      </c>
    </row>
    <row r="143">
      <c r="A143" s="58" t="inlineStr">
        <is>
          <t>MA AUTOMOTIVE BRASIL LTDA</t>
        </is>
      </c>
      <c r="B143" s="15" t="inlineStr">
        <is>
          <t>77015523.0</t>
        </is>
      </c>
      <c r="C143" s="54" t="n">
        <v>132548045.03</v>
      </c>
    </row>
    <row r="144">
      <c r="A144" s="58" t="inlineStr">
        <is>
          <t>OLFAR S/A - ALIMENTO E ENERGIA</t>
        </is>
      </c>
      <c r="B144" s="15" t="inlineStr">
        <is>
          <t>87030946.0</t>
        </is>
      </c>
      <c r="C144" s="54" t="n">
        <v>104876551.41</v>
      </c>
    </row>
    <row r="145">
      <c r="A145" s="58" t="inlineStr">
        <is>
          <t>BENTELER SISTEMAS AUTOMOTIVOS LTDA</t>
        </is>
      </c>
      <c r="B145" s="15" t="inlineStr">
        <is>
          <t>85874195.0</t>
        </is>
      </c>
      <c r="C145" s="54" t="n">
        <v>89687458.48999999</v>
      </c>
    </row>
    <row r="146">
      <c r="A146" s="58" t="inlineStr">
        <is>
          <t>AMPLA ENERGIA E SERVICOS S.A.</t>
        </is>
      </c>
      <c r="B146" s="15" t="inlineStr">
        <is>
          <t>80046561.0</t>
        </is>
      </c>
      <c r="C146" s="54" t="n">
        <v>58261402.26</v>
      </c>
    </row>
    <row r="147">
      <c r="A147" s="58" t="inlineStr">
        <is>
          <t>AUTOPORT TRANSPORTES E LOGISTICA LTDA</t>
        </is>
      </c>
      <c r="B147" s="15" t="inlineStr">
        <is>
          <t>79259730.0</t>
        </is>
      </c>
      <c r="C147" s="54" t="n">
        <v>43800954.77</v>
      </c>
    </row>
    <row r="148">
      <c r="A148" s="58" t="inlineStr">
        <is>
          <t>RECIBRAS PORTO REAL RESIDUOS LTDA</t>
        </is>
      </c>
      <c r="B148" s="15" t="inlineStr">
        <is>
          <t>77617515.0</t>
        </is>
      </c>
      <c r="C148" s="54" t="n">
        <v>38143546.87</v>
      </c>
    </row>
    <row r="149">
      <c r="A149" s="58" t="inlineStr">
        <is>
          <t>BRAZUL TRANSPORTE DE VEICULOS LTDA</t>
        </is>
      </c>
      <c r="B149" s="15" t="inlineStr">
        <is>
          <t>85874500.0</t>
        </is>
      </c>
      <c r="C149" s="54" t="n">
        <v>36905503.37</v>
      </c>
    </row>
    <row r="150">
      <c r="A150" s="58" t="inlineStr">
        <is>
          <t>QUIMINVEST INDUSTRIA E COMERCIO LTDA</t>
        </is>
      </c>
      <c r="B150" s="15" t="inlineStr">
        <is>
          <t>82669949.0</t>
        </is>
      </c>
      <c r="C150" s="54" t="n">
        <v>36816033.9</v>
      </c>
    </row>
    <row r="151">
      <c r="A151" s="58" t="inlineStr">
        <is>
          <t>PLASTIC OMNIUM DO BRASIL LTDA</t>
        </is>
      </c>
      <c r="B151" s="15" t="inlineStr">
        <is>
          <t>78024623.0</t>
        </is>
      </c>
      <c r="C151" s="54" t="n">
        <v>31128707.31</v>
      </c>
    </row>
    <row r="152">
      <c r="A152" s="58" t="inlineStr">
        <is>
          <t>BMB MODE CENTER - INDUSTRIA COMERCIO E SERVICOS LTDA</t>
        </is>
      </c>
      <c r="B152" s="15" t="inlineStr">
        <is>
          <t>76171769.0</t>
        </is>
      </c>
      <c r="C152" s="54" t="n">
        <v>28581527.54</v>
      </c>
    </row>
    <row r="153">
      <c r="A153" s="58" t="inlineStr">
        <is>
          <t>QUIMREAL - REAL INDUSTRIA QUIMICA LTDA</t>
        </is>
      </c>
      <c r="B153" s="15" t="inlineStr">
        <is>
          <t>77557741.0</t>
        </is>
      </c>
      <c r="C153" s="54" t="n">
        <v>25596670.1</v>
      </c>
    </row>
    <row r="154">
      <c r="A154" s="58" t="inlineStr">
        <is>
          <t>FAURECIA AUTOMOTIVE DO BRASIL LTDA</t>
        </is>
      </c>
      <c r="B154" s="15" t="inlineStr">
        <is>
          <t>85874241.0</t>
        </is>
      </c>
      <c r="C154" s="54" t="n">
        <v>24830725.02</v>
      </c>
    </row>
    <row r="155">
      <c r="A155" s="58" t="inlineStr">
        <is>
          <t>TORA TRANSPORTES INDUSTRIAIS LTDA</t>
        </is>
      </c>
      <c r="B155" s="15" t="inlineStr">
        <is>
          <t>79757055.0</t>
        </is>
      </c>
      <c r="C155" s="54" t="n">
        <v>21543099.4</v>
      </c>
    </row>
    <row r="156">
      <c r="A156" s="58" t="inlineStr">
        <is>
          <t>TRANSPORTE EXCELSIOR LTDA</t>
        </is>
      </c>
      <c r="B156" s="15" t="inlineStr">
        <is>
          <t>87403246.0</t>
        </is>
      </c>
      <c r="C156" s="54" t="n">
        <v>17388844.67</v>
      </c>
    </row>
    <row r="157">
      <c r="A157" s="58" t="inlineStr">
        <is>
          <t>SADA TRANSPORTES E ARMAZENAGENS S/A</t>
        </is>
      </c>
      <c r="B157" s="15" t="inlineStr">
        <is>
          <t>77380450.0</t>
        </is>
      </c>
      <c r="C157" s="54" t="n">
        <v>15150360.38</v>
      </c>
    </row>
    <row r="158">
      <c r="A158" s="58" t="inlineStr">
        <is>
          <t>BASF SA</t>
        </is>
      </c>
      <c r="B158" s="15" t="inlineStr">
        <is>
          <t>78558652.0</t>
        </is>
      </c>
      <c r="C158" s="54" t="n">
        <v>15117910.94</v>
      </c>
    </row>
    <row r="159">
      <c r="A159" s="58" t="inlineStr">
        <is>
          <t>PARADISO GIOVANELLA TRANSPORTES LTDA</t>
        </is>
      </c>
      <c r="B159" s="15" t="inlineStr">
        <is>
          <t>78981180.0</t>
        </is>
      </c>
      <c r="C159" s="54" t="n">
        <v>13469484.08</v>
      </c>
    </row>
    <row r="160">
      <c r="A160" s="58" t="inlineStr">
        <is>
          <t>TIM S.A.</t>
        </is>
      </c>
      <c r="B160" s="15" t="inlineStr">
        <is>
          <t>86092085.0</t>
        </is>
      </c>
      <c r="C160" s="54" t="n">
        <v>12782247.58</v>
      </c>
    </row>
    <row r="161">
      <c r="A161" s="58" t="inlineStr">
        <is>
          <t>FAURECIA AUTOMOTIVE DO BRASIL LTDA</t>
        </is>
      </c>
      <c r="B161" s="15" t="inlineStr">
        <is>
          <t>87456218.0</t>
        </is>
      </c>
      <c r="C161" s="54" t="n">
        <v>12090190.5</v>
      </c>
    </row>
    <row r="162">
      <c r="A162" s="58" t="inlineStr">
        <is>
          <t>FAURECIA AUTOMOTIVE DO BRASIL LTDA</t>
        </is>
      </c>
      <c r="B162" s="15" t="inlineStr">
        <is>
          <t>79762172.0</t>
        </is>
      </c>
      <c r="C162" s="54" t="n">
        <v>8143333.34</v>
      </c>
    </row>
    <row r="163">
      <c r="A163" s="58" t="inlineStr">
        <is>
          <t>GR SERVICOS E ALIMENTACAO LTDA</t>
        </is>
      </c>
      <c r="B163" s="15" t="inlineStr">
        <is>
          <t>81330174.0</t>
        </is>
      </c>
      <c r="C163" s="54" t="n">
        <v>7995933.99</v>
      </c>
    </row>
    <row r="164">
      <c r="A164" s="58" t="inlineStr">
        <is>
          <t>PEARSON SAUDE ANIMAL S.A.</t>
        </is>
      </c>
      <c r="B164" s="15" t="inlineStr">
        <is>
          <t>12000600.0</t>
        </is>
      </c>
      <c r="C164" s="54" t="n">
        <v>7953648.81</v>
      </c>
    </row>
    <row r="165">
      <c r="A165" s="58" t="inlineStr">
        <is>
          <t>SOMA LOGISTICA E LOCACOES LTDA</t>
        </is>
      </c>
      <c r="B165" s="15" t="inlineStr">
        <is>
          <t>11309739.0</t>
        </is>
      </c>
      <c r="C165" s="54" t="n">
        <v>7208147.8</v>
      </c>
    </row>
    <row r="166">
      <c r="A166" s="53" t="n"/>
    </row>
    <row r="167">
      <c r="A167" s="53" t="n"/>
    </row>
    <row r="168">
      <c r="A168" s="52" t="inlineStr">
        <is>
          <t>CONTRIBUINTES SEM MOVIMENTAÇÃO DE 2017 À 2023</t>
        </is>
      </c>
    </row>
    <row r="169">
      <c r="A169" s="52" t="inlineStr">
        <is>
          <t>NOME / RAZÃO SOCIAL</t>
        </is>
      </c>
      <c r="B169" s="56" t="inlineStr">
        <is>
          <t>INSCEST</t>
        </is>
      </c>
    </row>
    <row r="170">
      <c r="A170" s="58" t="inlineStr">
        <is>
          <t>LOCAMAQ - LOCAÇÃO DE MAQUINAS E EQUIPAMENTOS EIRELI ME</t>
        </is>
      </c>
      <c r="B170" s="15" t="inlineStr">
        <is>
          <t>11000630.0</t>
        </is>
      </c>
    </row>
    <row r="171">
      <c r="A171" s="58" t="inlineStr">
        <is>
          <t>ONCA LOCACAO E TURISMO LTDA EPP</t>
        </is>
      </c>
      <c r="B171" s="15" t="inlineStr">
        <is>
          <t>11015166.0</t>
        </is>
      </c>
    </row>
    <row r="172">
      <c r="A172" s="58" t="inlineStr">
        <is>
          <t>QUICKNET TELECOM LTDA EPP</t>
        </is>
      </c>
      <c r="B172" s="15" t="inlineStr">
        <is>
          <t>11028446.0</t>
        </is>
      </c>
    </row>
    <row r="173">
      <c r="A173" s="58" t="inlineStr">
        <is>
          <t>R C DE OLIVEIRA - SERVIÇOS DE ENGENHARIA ME</t>
        </is>
      </c>
      <c r="B173" s="15" t="inlineStr">
        <is>
          <t>11031064.0</t>
        </is>
      </c>
    </row>
    <row r="174">
      <c r="A174" s="58" t="inlineStr">
        <is>
          <t>TRANSBSM TRANSPORTE DO BRASIL LTDA</t>
        </is>
      </c>
      <c r="B174" s="15" t="inlineStr">
        <is>
          <t>11173900.0</t>
        </is>
      </c>
    </row>
    <row r="175">
      <c r="A175" s="58" t="inlineStr">
        <is>
          <t>GEFCO INDUSTRIA DO BRASIL LTDA</t>
        </is>
      </c>
      <c r="B175" s="15" t="inlineStr">
        <is>
          <t>11176380.0</t>
        </is>
      </c>
    </row>
    <row r="176">
      <c r="A176" s="58" t="inlineStr">
        <is>
          <t>EMPRESA JORNALISTICA A VOZ DO INTERIOR LTDA EPP</t>
        </is>
      </c>
      <c r="B176" s="15" t="inlineStr">
        <is>
          <t>11185550.0</t>
        </is>
      </c>
    </row>
    <row r="177">
      <c r="A177" s="58" t="inlineStr">
        <is>
          <t>COMERCIAL ALIMENTÍCIA PORTO REAL EIRELI</t>
        </is>
      </c>
      <c r="B177" s="15" t="inlineStr">
        <is>
          <t>11323936.0</t>
        </is>
      </c>
    </row>
    <row r="178">
      <c r="A178" s="58" t="inlineStr">
        <is>
          <t>EUROLAF VEICULOS ESPECIAIS LTDA</t>
        </is>
      </c>
      <c r="B178" s="15" t="inlineStr">
        <is>
          <t>11335233.0</t>
        </is>
      </c>
    </row>
    <row r="179">
      <c r="A179" s="58" t="inlineStr">
        <is>
          <t>JOSUE DE OLIVEIRA E CIA LTDA</t>
        </is>
      </c>
      <c r="B179" s="15" t="inlineStr">
        <is>
          <t>11370322.0</t>
        </is>
      </c>
    </row>
    <row r="180">
      <c r="A180" s="58" t="inlineStr">
        <is>
          <t>DROGARIA ULTRAPOPULAR MANEJO LTDA ME</t>
        </is>
      </c>
      <c r="B180" s="15" t="inlineStr">
        <is>
          <t>11486150.0</t>
        </is>
      </c>
    </row>
    <row r="181">
      <c r="A181" s="58" t="inlineStr">
        <is>
          <t>DACUNHA NORDESTE TRANSPORTES LTDA</t>
        </is>
      </c>
      <c r="B181" s="15" t="inlineStr">
        <is>
          <t>11500528.0</t>
        </is>
      </c>
    </row>
    <row r="182">
      <c r="A182" s="58" t="inlineStr">
        <is>
          <t>E.M.S. TRANSPORTES RODOVIARIO LTDA</t>
        </is>
      </c>
      <c r="B182" s="15" t="inlineStr">
        <is>
          <t>11505732.0</t>
        </is>
      </c>
    </row>
    <row r="183">
      <c r="A183" s="58" t="inlineStr">
        <is>
          <t>QUATER DISTRIBUIDORA MATERIA PRIMA EIRELI</t>
        </is>
      </c>
      <c r="B183" s="15" t="inlineStr">
        <is>
          <t>11539483.0</t>
        </is>
      </c>
    </row>
    <row r="184">
      <c r="A184" s="58" t="inlineStr">
        <is>
          <t>CONSTRUTORA ELITE II SPE LTDA</t>
        </is>
      </c>
      <c r="B184" s="15" t="inlineStr">
        <is>
          <t>11627781.0</t>
        </is>
      </c>
    </row>
    <row r="185">
      <c r="A185" s="58" t="inlineStr">
        <is>
          <t>C.A.A CONSTRUTORA E INCORPORADORA SPE LTDA</t>
        </is>
      </c>
      <c r="B185" s="15" t="inlineStr">
        <is>
          <t>11650830.0</t>
        </is>
      </c>
    </row>
    <row r="186">
      <c r="A186" s="58" t="inlineStr">
        <is>
          <t>ASK DISTRIBUIDORA EIRELI</t>
        </is>
      </c>
      <c r="B186" s="15" t="inlineStr">
        <is>
          <t>11684335.0</t>
        </is>
      </c>
    </row>
    <row r="187">
      <c r="A187" s="58" t="inlineStr">
        <is>
          <t>HOSANNA PROVEDOR DE SERVICOS DE INTERNET LTDA</t>
        </is>
      </c>
      <c r="B187" s="15" t="inlineStr">
        <is>
          <t>11702384.0</t>
        </is>
      </c>
    </row>
    <row r="188">
      <c r="A188" s="58" t="inlineStr">
        <is>
          <t>DMP COMERCIAL ALIMENTICIA LTDA</t>
        </is>
      </c>
      <c r="B188" s="15" t="inlineStr">
        <is>
          <t>11862489.0</t>
        </is>
      </c>
    </row>
    <row r="189">
      <c r="A189" s="58" t="inlineStr">
        <is>
          <t>CONSTRUTORA ELITE"S SPE LTDA</t>
        </is>
      </c>
      <c r="B189" s="15" t="inlineStr">
        <is>
          <t>11886620.0</t>
        </is>
      </c>
    </row>
    <row r="190">
      <c r="A190" s="58" t="inlineStr">
        <is>
          <t>ALBERTO PEDERASSI NETO</t>
        </is>
      </c>
      <c r="B190" s="15" t="inlineStr">
        <is>
          <t>11935117.0</t>
        </is>
      </c>
    </row>
    <row r="191">
      <c r="A191" s="58" t="inlineStr">
        <is>
          <t>RODOFROTA TRANSPORTES RODOVIARIOS E LOGISTICA LTDA</t>
        </is>
      </c>
      <c r="B191" s="15" t="inlineStr">
        <is>
          <t>11951643.0</t>
        </is>
      </c>
    </row>
    <row r="192">
      <c r="A192" s="58" t="inlineStr">
        <is>
          <t>ALMED DISTRIBUIDORA E TRANSPORTES LTDA</t>
        </is>
      </c>
      <c r="B192" s="15" t="inlineStr">
        <is>
          <t>12009070.0</t>
        </is>
      </c>
    </row>
    <row r="193">
      <c r="A193" s="58" t="inlineStr">
        <is>
          <t>BASTTON COMERCIAL EIRELI</t>
        </is>
      </c>
      <c r="B193" s="15" t="inlineStr">
        <is>
          <t>12031645.0</t>
        </is>
      </c>
    </row>
    <row r="194">
      <c r="A194" s="58" t="inlineStr">
        <is>
          <t>ORION REFEI??ES EMPRESARIAIS LTDA</t>
        </is>
      </c>
      <c r="B194" s="15" t="inlineStr">
        <is>
          <t>12084773.0</t>
        </is>
      </c>
    </row>
    <row r="195">
      <c r="A195" s="58" t="inlineStr">
        <is>
          <t>FCA FIAT CHRYSLER AUTOMOVEIS BRASIL LTDA</t>
        </is>
      </c>
      <c r="B195" s="15" t="inlineStr">
        <is>
          <t>12089279.0</t>
        </is>
      </c>
    </row>
    <row r="196">
      <c r="A196" s="58" t="inlineStr">
        <is>
          <t>COMERCIAL VILLAGE COM?RCIO, REPRESENTA??ES E SERVI?OS LTDA</t>
        </is>
      </c>
      <c r="B196" s="15" t="inlineStr">
        <is>
          <t>12130511.0</t>
        </is>
      </c>
    </row>
    <row r="197">
      <c r="A197" s="58" t="inlineStr">
        <is>
          <t>ELOISIO VIEIRA FRAGA</t>
        </is>
      </c>
      <c r="B197" s="15" t="inlineStr">
        <is>
          <t>12233574.0</t>
        </is>
      </c>
    </row>
    <row r="198">
      <c r="A198" s="58" t="inlineStr">
        <is>
          <t>MILETO TECH MOTORS INDUSTRIA DE VEICULOS AUTOMOTORES LTDA</t>
        </is>
      </c>
      <c r="B198" s="15" t="inlineStr">
        <is>
          <t>12431015.0</t>
        </is>
      </c>
    </row>
    <row r="199">
      <c r="A199" s="58" t="inlineStr">
        <is>
          <t>GRAO DE OURO COMERCIO E EXPORTACAO DE COMMODITIES AGRICOLAS LTDA</t>
        </is>
      </c>
      <c r="B199" s="15" t="inlineStr">
        <is>
          <t>12558996.0</t>
        </is>
      </c>
    </row>
    <row r="200">
      <c r="A200" s="58" t="inlineStr">
        <is>
          <t>JADIMO TRANSPORTES RODOVIARIOS DE CARGAS LTDA</t>
        </is>
      </c>
      <c r="B200" s="15" t="inlineStr">
        <is>
          <t>12716338.0</t>
        </is>
      </c>
    </row>
    <row r="201">
      <c r="A201" s="58" t="inlineStr">
        <is>
          <t>PENIEL COMERCIO DE GAS LTDA</t>
        </is>
      </c>
      <c r="B201" s="15" t="inlineStr">
        <is>
          <t>12717792.0</t>
        </is>
      </c>
    </row>
    <row r="202">
      <c r="A202" s="58" t="inlineStr">
        <is>
          <t>TRANSMORENO TRANSPORTES E SERVI?OS LTDA</t>
        </is>
      </c>
      <c r="B202" s="15" t="inlineStr">
        <is>
          <t>13104026.0</t>
        </is>
      </c>
    </row>
    <row r="203">
      <c r="A203" s="58" t="inlineStr">
        <is>
          <t>FCA FIAT CHRYSLER AUTOMOVEIS BRASIL LTDA</t>
        </is>
      </c>
      <c r="B203" s="15" t="inlineStr">
        <is>
          <t>13741735.0</t>
        </is>
      </c>
    </row>
    <row r="204">
      <c r="A204" s="58" t="inlineStr">
        <is>
          <t>MARLENE MARIA DE OLIVEIRA COSTA</t>
        </is>
      </c>
      <c r="B204" s="15" t="inlineStr">
        <is>
          <t>71288315.0</t>
        </is>
      </c>
    </row>
    <row r="205">
      <c r="A205" s="58" t="inlineStr">
        <is>
          <t>PAULO HENRIQUE PEREIRA</t>
        </is>
      </c>
      <c r="B205" s="15" t="inlineStr">
        <is>
          <t>71695301.0</t>
        </is>
      </c>
    </row>
    <row r="206">
      <c r="A206" s="58" t="inlineStr">
        <is>
          <t>VALDIR OLIVO DALLA VECCHIA</t>
        </is>
      </c>
      <c r="B206" s="15" t="inlineStr">
        <is>
          <t>71764451.0</t>
        </is>
      </c>
    </row>
    <row r="207">
      <c r="A207" s="58" t="inlineStr">
        <is>
          <t>MAURILIO ETTORE</t>
        </is>
      </c>
      <c r="B207" s="15" t="inlineStr">
        <is>
          <t>71782026.0</t>
        </is>
      </c>
    </row>
    <row r="208">
      <c r="A208" s="58" t="inlineStr">
        <is>
          <t>CARLOS ROBERTO DE CARVALHO</t>
        </is>
      </c>
      <c r="B208" s="15" t="inlineStr">
        <is>
          <t>72073428.0</t>
        </is>
      </c>
    </row>
    <row r="209">
      <c r="A209" s="58" t="inlineStr">
        <is>
          <t>ANTONIO MARCIO RIBEIRO XAVIER</t>
        </is>
      </c>
      <c r="B209" s="15" t="inlineStr">
        <is>
          <t>72079736.0</t>
        </is>
      </c>
    </row>
    <row r="210">
      <c r="A210" s="58" t="inlineStr">
        <is>
          <t>ALAIDE FERNANDES</t>
        </is>
      </c>
      <c r="B210" s="15" t="inlineStr">
        <is>
          <t>72116461.0</t>
        </is>
      </c>
    </row>
    <row r="211">
      <c r="A211" s="58" t="inlineStr">
        <is>
          <t>GERALDO OZORIO RODRIGUES GONCALVES</t>
        </is>
      </c>
      <c r="B211" s="15" t="inlineStr">
        <is>
          <t>72191854.0</t>
        </is>
      </c>
    </row>
    <row r="212">
      <c r="A212" s="58" t="inlineStr">
        <is>
          <t>JORGE RIBEIRO MARTINS</t>
        </is>
      </c>
      <c r="B212" s="15" t="inlineStr">
        <is>
          <t>72344510.0</t>
        </is>
      </c>
    </row>
    <row r="213">
      <c r="A213" s="58" t="inlineStr">
        <is>
          <t>ROSIANA DOS SANTOS MARASSI</t>
        </is>
      </c>
      <c r="B213" s="15" t="inlineStr">
        <is>
          <t>72361296.0</t>
        </is>
      </c>
    </row>
    <row r="214">
      <c r="A214" s="58" t="inlineStr">
        <is>
          <t>ANTONIO FONTES ROCHA SILVA</t>
        </is>
      </c>
      <c r="B214" s="15" t="inlineStr">
        <is>
          <t>72405250.0</t>
        </is>
      </c>
    </row>
    <row r="215">
      <c r="A215" s="58" t="inlineStr">
        <is>
          <t>LUCAS ORIOLI DE SOUZA</t>
        </is>
      </c>
      <c r="B215" s="15" t="inlineStr">
        <is>
          <t>72412761.0</t>
        </is>
      </c>
    </row>
    <row r="216">
      <c r="A216" s="58" t="inlineStr">
        <is>
          <t>LEANDRO LUIS TROCOLI</t>
        </is>
      </c>
      <c r="B216" s="15" t="inlineStr">
        <is>
          <t>72448391.0</t>
        </is>
      </c>
    </row>
    <row r="217">
      <c r="A217" s="58" t="inlineStr">
        <is>
          <t>RODRIGO JOSE DE ALVARENGA</t>
        </is>
      </c>
      <c r="B217" s="15" t="inlineStr">
        <is>
          <t>72464915.0</t>
        </is>
      </c>
    </row>
    <row r="218">
      <c r="A218" s="58" t="inlineStr">
        <is>
          <t>ISAC SOARES DA COSTA</t>
        </is>
      </c>
      <c r="B218" s="15" t="inlineStr">
        <is>
          <t>72494873.0</t>
        </is>
      </c>
    </row>
    <row r="219">
      <c r="A219" s="58" t="inlineStr">
        <is>
          <t>IZABELLE CRISTINA RODRIGUES DE AQUINO</t>
        </is>
      </c>
      <c r="B219" s="15" t="inlineStr">
        <is>
          <t>72527356.0</t>
        </is>
      </c>
    </row>
    <row r="220">
      <c r="A220" s="58" t="inlineStr">
        <is>
          <t>PCI DO BRASIL INSTALACOES INDUSTRIAIS LTDA</t>
        </is>
      </c>
      <c r="B220" s="15" t="inlineStr">
        <is>
          <t>75819595.0</t>
        </is>
      </c>
    </row>
    <row r="221">
      <c r="A221" s="58" t="inlineStr">
        <is>
          <t>MERCEARIA 37 DE PORTO REAL LTDA</t>
        </is>
      </c>
      <c r="B221" s="15" t="inlineStr">
        <is>
          <t>77234055.0</t>
        </is>
      </c>
    </row>
    <row r="222">
      <c r="A222" s="58" t="inlineStr">
        <is>
          <t>VIX LOGISTICA S/A</t>
        </is>
      </c>
      <c r="B222" s="15" t="inlineStr">
        <is>
          <t>77257594.0</t>
        </is>
      </c>
    </row>
    <row r="223">
      <c r="A223" s="58" t="inlineStr">
        <is>
          <t>MG ENGENHARIA E CONSULTORIA EIRELI</t>
        </is>
      </c>
      <c r="B223" s="15" t="inlineStr">
        <is>
          <t>77356584.0</t>
        </is>
      </c>
    </row>
    <row r="224">
      <c r="A224" s="58" t="inlineStr">
        <is>
          <t>MESSER GASES LTDA.</t>
        </is>
      </c>
      <c r="B224" s="15" t="inlineStr">
        <is>
          <t>77368280.0</t>
        </is>
      </c>
    </row>
    <row r="225">
      <c r="A225" s="58" t="inlineStr">
        <is>
          <t>ARARIB? ENGENHARIA COM?RCIO E MEIO AMBIENTE LTDA ME</t>
        </is>
      </c>
      <c r="B225" s="15" t="inlineStr">
        <is>
          <t>77608060.0</t>
        </is>
      </c>
    </row>
    <row r="226">
      <c r="A226" s="58" t="inlineStr">
        <is>
          <t>TRANSNITRO LOGISTICA E TRANSPORTES DE VEICULOS LTDA</t>
        </is>
      </c>
      <c r="B226" s="15" t="inlineStr">
        <is>
          <t>77742638.0</t>
        </is>
      </c>
    </row>
    <row r="227">
      <c r="A227" s="58" t="inlineStr">
        <is>
          <t>SANTA HELENA DE PORTO REAL INCORPORACAO IMOB E CONSTRUTORA LTDA</t>
        </is>
      </c>
      <c r="B227" s="15" t="inlineStr">
        <is>
          <t>77843655.0</t>
        </is>
      </c>
    </row>
    <row r="228">
      <c r="A228" s="58" t="inlineStr">
        <is>
          <t>S MARASSI NETO AGROPECUARIA ME</t>
        </is>
      </c>
      <c r="B228" s="15" t="inlineStr">
        <is>
          <t>77888020.0</t>
        </is>
      </c>
    </row>
    <row r="229">
      <c r="A229" s="58" t="inlineStr">
        <is>
          <t>BIOTA CONSTRUCOES SERVICOS E TRANSPORTES LTDA EPP</t>
        </is>
      </c>
      <c r="B229" s="15" t="inlineStr">
        <is>
          <t>77924817.0</t>
        </is>
      </c>
    </row>
    <row r="230">
      <c r="A230" s="58" t="inlineStr">
        <is>
          <t>RESTAURANTE TREM AZUL DE PENEDO LTDA ME</t>
        </is>
      </c>
      <c r="B230" s="15" t="inlineStr">
        <is>
          <t>78118814.0</t>
        </is>
      </c>
    </row>
    <row r="231">
      <c r="A231" s="58" t="inlineStr">
        <is>
          <t>ITOGRASS AGRICOLA LTDA</t>
        </is>
      </c>
      <c r="B231" s="15" t="inlineStr">
        <is>
          <t>78180277.0</t>
        </is>
      </c>
    </row>
    <row r="232">
      <c r="A232" s="58" t="inlineStr">
        <is>
          <t>PROJECT 2008 PROJETOS E CONSULTORIA LTDA</t>
        </is>
      </c>
      <c r="B232" s="15" t="inlineStr">
        <is>
          <t>78528460.0</t>
        </is>
      </c>
    </row>
    <row r="233">
      <c r="A233" s="58" t="inlineStr">
        <is>
          <t>COZINHA INDUSTRIAL FAZBEM LTDA ME</t>
        </is>
      </c>
      <c r="B233" s="15" t="inlineStr">
        <is>
          <t>78569751.0</t>
        </is>
      </c>
    </row>
    <row r="234">
      <c r="A234" s="58" t="inlineStr">
        <is>
          <t>GRIFFE ANALISE TECNICA E MANUTENCAO AUTOMOTIVA LTDA ME</t>
        </is>
      </c>
      <c r="B234" s="15" t="inlineStr">
        <is>
          <t>78728051.0</t>
        </is>
      </c>
    </row>
    <row r="235">
      <c r="A235" s="58" t="inlineStr">
        <is>
          <t>RESTAURANTE CELEIRO DE PORTO REAL LTDA</t>
        </is>
      </c>
      <c r="B235" s="15" t="inlineStr">
        <is>
          <t>78760702.0</t>
        </is>
      </c>
    </row>
    <row r="236">
      <c r="A236" s="58" t="inlineStr">
        <is>
          <t>TRANSPORTO TRANSPORTES LTDA</t>
        </is>
      </c>
      <c r="B236" s="15" t="inlineStr">
        <is>
          <t>78839910.0</t>
        </is>
      </c>
    </row>
    <row r="237">
      <c r="A237" s="58" t="inlineStr">
        <is>
          <t>RONIFARIA COMERCIO VAREJISTA DE GAS LIQUEFEITO DE PETROLEO GLP LTDA ME</t>
        </is>
      </c>
      <c r="B237" s="15" t="inlineStr">
        <is>
          <t>78891777.0</t>
        </is>
      </c>
    </row>
    <row r="238">
      <c r="A238" s="58" t="inlineStr">
        <is>
          <t>HJ MERCADINHO &amp; PEIXARIA LTDA ME</t>
        </is>
      </c>
      <c r="B238" s="15" t="inlineStr">
        <is>
          <t>79078271.0</t>
        </is>
      </c>
    </row>
    <row r="239">
      <c r="A239" s="58" t="inlineStr">
        <is>
          <t>AUGURI DE PORTO REAL RESTAURANTE LTDA</t>
        </is>
      </c>
      <c r="B239" s="15" t="inlineStr">
        <is>
          <t>79208159.0</t>
        </is>
      </c>
    </row>
    <row r="240">
      <c r="A240" s="58" t="inlineStr">
        <is>
          <t>ANDRISSULL TRANSPORTES LTDA</t>
        </is>
      </c>
      <c r="B240" s="15" t="inlineStr">
        <is>
          <t>79285668.0</t>
        </is>
      </c>
    </row>
    <row r="241">
      <c r="A241" s="58" t="inlineStr">
        <is>
          <t>AMS EMPREENDIMENTOS E INCORPORACOES EIRELI EPP</t>
        </is>
      </c>
      <c r="B241" s="15" t="inlineStr">
        <is>
          <t>79317250.0</t>
        </is>
      </c>
    </row>
    <row r="242">
      <c r="A242" s="58" t="inlineStr">
        <is>
          <t>RESTAURANTE CARVALHO&amp;PINESCHI LTDA ME</t>
        </is>
      </c>
      <c r="B242" s="15" t="inlineStr">
        <is>
          <t>79374792.0</t>
        </is>
      </c>
    </row>
    <row r="243">
      <c r="A243" s="58" t="inlineStr">
        <is>
          <t>MINI-MERCADO GCNE LTDA</t>
        </is>
      </c>
      <c r="B243" s="15" t="inlineStr">
        <is>
          <t>79438073.0</t>
        </is>
      </c>
    </row>
    <row r="244">
      <c r="A244" s="58" t="inlineStr">
        <is>
          <t>COMERCIO DE CEREAIS E PRODUTOS ALIMENTICIOS DOIS AMIGOS LTDA EPP</t>
        </is>
      </c>
      <c r="B244" s="15" t="inlineStr">
        <is>
          <t>79442127.0</t>
        </is>
      </c>
    </row>
    <row r="245">
      <c r="A245" s="58" t="inlineStr">
        <is>
          <t>MW COMERCIO E SERVICOS DE CONSTRUCOES LTDA-EPP</t>
        </is>
      </c>
      <c r="B245" s="15" t="inlineStr">
        <is>
          <t>79451789.0</t>
        </is>
      </c>
    </row>
    <row r="246">
      <c r="A246" s="58" t="inlineStr">
        <is>
          <t>FAURECIA AUTOMOTIVE DO BRASIL LTDA</t>
        </is>
      </c>
      <c r="B246" s="15" t="inlineStr">
        <is>
          <t>79517518.0</t>
        </is>
      </c>
    </row>
    <row r="247">
      <c r="A247" s="58" t="inlineStr">
        <is>
          <t>LIXOLIMPO SUL FLUMINENSE LTDA</t>
        </is>
      </c>
      <c r="B247" s="15" t="inlineStr">
        <is>
          <t>79611638.0</t>
        </is>
      </c>
    </row>
    <row r="248">
      <c r="A248" s="58" t="inlineStr">
        <is>
          <t>FONSECA E ALMEIDA COMERCIO E SERVICOS LTDA ME</t>
        </is>
      </c>
      <c r="B248" s="15" t="inlineStr">
        <is>
          <t>79619523.0</t>
        </is>
      </c>
    </row>
    <row r="249">
      <c r="A249" s="58" t="inlineStr">
        <is>
          <t>RAIMUNDO OLIVEIRA BARNABE ME</t>
        </is>
      </c>
      <c r="B249" s="15" t="inlineStr">
        <is>
          <t>79661775.0</t>
        </is>
      </c>
    </row>
    <row r="250">
      <c r="A250" s="58" t="inlineStr">
        <is>
          <t>AMBI RIO BENEFICIAMENTO DE RESIDUOS E COMERCIO DE INSUMOS INDU</t>
        </is>
      </c>
      <c r="B250" s="15" t="inlineStr">
        <is>
          <t>79669954.0</t>
        </is>
      </c>
    </row>
    <row r="251">
      <c r="A251" s="58" t="inlineStr">
        <is>
          <t>OLIVEIRA E GRACIANI PADARIA LTDA ME - ME</t>
        </is>
      </c>
      <c r="B251" s="15" t="inlineStr">
        <is>
          <t>79746428.0</t>
        </is>
      </c>
    </row>
    <row r="252">
      <c r="A252" s="58" t="inlineStr">
        <is>
          <t>PADARIA TEIXEIRA MENDONCA LTDA ME</t>
        </is>
      </c>
      <c r="B252" s="15" t="inlineStr">
        <is>
          <t>79777242.0</t>
        </is>
      </c>
    </row>
    <row r="253">
      <c r="A253" s="58" t="inlineStr">
        <is>
          <t>M H S MACHADO COUTINHO ME</t>
        </is>
      </c>
      <c r="B253" s="15" t="inlineStr">
        <is>
          <t>79788759.0</t>
        </is>
      </c>
    </row>
    <row r="254">
      <c r="A254" s="58" t="inlineStr">
        <is>
          <t>LAFE DISTRIBUIDORA DE DOCES LTDA - ME</t>
        </is>
      </c>
      <c r="B254" s="15" t="inlineStr">
        <is>
          <t>79920746.0</t>
        </is>
      </c>
    </row>
    <row r="255">
      <c r="A255" s="58" t="inlineStr">
        <is>
          <t>LMT EMPREENDIMENTOS IMOBILIARIOS E PARTICIPACOES LTDA</t>
        </is>
      </c>
      <c r="B255" s="15" t="inlineStr">
        <is>
          <t>79958743.0</t>
        </is>
      </c>
    </row>
    <row r="256">
      <c r="A256" s="58" t="inlineStr">
        <is>
          <t>GR SERVICOS E ALIMENTACAO LTDA</t>
        </is>
      </c>
      <c r="B256" s="15" t="inlineStr">
        <is>
          <t>79969265.0</t>
        </is>
      </c>
    </row>
    <row r="257">
      <c r="A257" s="58" t="inlineStr">
        <is>
          <t>SOCIEDADE AGRICOLA E INDUSTRIAL FONTANEZZI LTDA</t>
        </is>
      </c>
      <c r="B257" s="15" t="inlineStr">
        <is>
          <t>80593449.0</t>
        </is>
      </c>
    </row>
    <row r="258">
      <c r="A258" s="58" t="inlineStr">
        <is>
          <t>RADIO DIFUSORA PORTO REAL LTDA</t>
        </is>
      </c>
      <c r="B258" s="15" t="inlineStr">
        <is>
          <t>84118036.0</t>
        </is>
      </c>
    </row>
    <row r="259">
      <c r="A259" s="58" t="inlineStr">
        <is>
          <t>KATIA PINESCHI FERREIRA</t>
        </is>
      </c>
      <c r="B259" s="15" t="inlineStr">
        <is>
          <t>84372021.0</t>
        </is>
      </c>
    </row>
    <row r="260">
      <c r="A260" s="58" t="inlineStr">
        <is>
          <t>ALEXANDRE DOS SANTOS CAMPOS</t>
        </is>
      </c>
      <c r="B260" s="15" t="inlineStr">
        <is>
          <t>85366386.0</t>
        </is>
      </c>
    </row>
    <row r="261">
      <c r="A261" s="58" t="inlineStr">
        <is>
          <t>NEWTON ALVES CONDE ME</t>
        </is>
      </c>
      <c r="B261" s="15" t="inlineStr">
        <is>
          <t>85513567.0</t>
        </is>
      </c>
    </row>
    <row r="262">
      <c r="A262" s="58" t="inlineStr">
        <is>
          <t>GERSON TAVERNARI - ME</t>
        </is>
      </c>
      <c r="B262" s="15" t="inlineStr">
        <is>
          <t>85872974.0</t>
        </is>
      </c>
    </row>
    <row r="263">
      <c r="A263" s="58" t="inlineStr">
        <is>
          <t>NOEMIA GRACIANI TAVERNARI ME</t>
        </is>
      </c>
      <c r="B263" s="15" t="inlineStr">
        <is>
          <t>85873067.0</t>
        </is>
      </c>
    </row>
    <row r="264">
      <c r="A264" s="58" t="inlineStr">
        <is>
          <t>ALESSANDRA REGINA DA SILVA</t>
        </is>
      </c>
      <c r="B264" s="15" t="inlineStr">
        <is>
          <t>85873644.0</t>
        </is>
      </c>
    </row>
    <row r="265">
      <c r="A265" s="58" t="inlineStr">
        <is>
          <t>LETICIA LUCINDA FRANCISCO ROCHA</t>
        </is>
      </c>
      <c r="B265" s="15" t="inlineStr">
        <is>
          <t>85873679.0</t>
        </is>
      </c>
    </row>
    <row r="266">
      <c r="A266" s="58" t="inlineStr">
        <is>
          <t>AGROPECUARIA DULEITE LTDA</t>
        </is>
      </c>
      <c r="B266" s="15" t="inlineStr">
        <is>
          <t>85874012.0</t>
        </is>
      </c>
    </row>
    <row r="267">
      <c r="A267" s="58" t="inlineStr">
        <is>
          <t>ASSOCIACAO DOS PEQUENOS PRODUTORES RURAIS DE PORTO REAL</t>
        </is>
      </c>
      <c r="B267" s="15" t="inlineStr">
        <is>
          <t>85874020.0</t>
        </is>
      </c>
    </row>
    <row r="268">
      <c r="A268" s="58" t="inlineStr">
        <is>
          <t>REAL FLEX COMERCIO E SERVICOS EIRELI ME</t>
        </is>
      </c>
      <c r="B268" s="15" t="inlineStr">
        <is>
          <t>85874438.0</t>
        </is>
      </c>
    </row>
    <row r="269">
      <c r="A269" s="58" t="inlineStr">
        <is>
          <t>TRANSWAGEN RESENDE ENTREGADORA DE VEÍCULOS EIRELI</t>
        </is>
      </c>
      <c r="B269" s="15" t="inlineStr">
        <is>
          <t>86040646.0</t>
        </is>
      </c>
    </row>
    <row r="270">
      <c r="A270" s="58" t="inlineStr">
        <is>
          <t>AN DE AMORIM MERCEARIA LTDA ME</t>
        </is>
      </c>
      <c r="B270" s="15" t="inlineStr">
        <is>
          <t>86203588.0</t>
        </is>
      </c>
    </row>
    <row r="271">
      <c r="A271" s="58" t="inlineStr">
        <is>
          <t>RENATA CONSTRUCOES LTDA ME</t>
        </is>
      </c>
      <c r="B271" s="15" t="inlineStr">
        <is>
          <t>86509938.0</t>
        </is>
      </c>
    </row>
    <row r="272">
      <c r="A272" s="58" t="inlineStr">
        <is>
          <t>EFTEC BRASIL LTDA</t>
        </is>
      </c>
      <c r="B272" s="15" t="inlineStr">
        <is>
          <t>86568020.0</t>
        </is>
      </c>
    </row>
    <row r="273">
      <c r="A273" s="58" t="inlineStr">
        <is>
          <t>TNC CONSTRUTORA EIRELI</t>
        </is>
      </c>
      <c r="B273" s="15" t="inlineStr">
        <is>
          <t>86583704.0</t>
        </is>
      </c>
    </row>
    <row r="274">
      <c r="A274" s="58" t="inlineStr">
        <is>
          <t>REAL SUL LOCAÇÃO E TRANSPORTES EIRELI</t>
        </is>
      </c>
      <c r="B274" s="15" t="inlineStr">
        <is>
          <t>86789736.0</t>
        </is>
      </c>
    </row>
    <row r="275">
      <c r="A275" s="58" t="inlineStr">
        <is>
          <t>CHEMETALL DO BRASIL LTDA</t>
        </is>
      </c>
      <c r="B275" s="15" t="inlineStr">
        <is>
          <t>86824701.0</t>
        </is>
      </c>
    </row>
    <row r="276">
      <c r="A276" s="58" t="inlineStr">
        <is>
          <t>SANTOS E DUTRA MERCEARIA LTDA ME</t>
        </is>
      </c>
      <c r="B276" s="15" t="inlineStr">
        <is>
          <t>86850036.0</t>
        </is>
      </c>
    </row>
    <row r="277">
      <c r="A277" s="58" t="inlineStr">
        <is>
          <t>TANIA MARIA DELFINO RESTAURANTE ME</t>
        </is>
      </c>
      <c r="B277" s="15" t="inlineStr">
        <is>
          <t>86869942.0</t>
        </is>
      </c>
    </row>
    <row r="278">
      <c r="A278" s="58" t="inlineStr">
        <is>
          <t>BR SERVICOS DE FRETAMENTO LTDA - ME</t>
        </is>
      </c>
      <c r="B278" s="15" t="inlineStr">
        <is>
          <t>86900009.0</t>
        </is>
      </c>
    </row>
    <row r="279">
      <c r="A279" s="58" t="inlineStr">
        <is>
          <t>ISRINGHAUSEN INDUSTRIAL LTDA</t>
        </is>
      </c>
      <c r="B279" s="15" t="inlineStr">
        <is>
          <t>86939541.0</t>
        </is>
      </c>
    </row>
    <row r="280">
      <c r="A280" s="58" t="inlineStr">
        <is>
          <t>LIKA &amp; FILHOS TRANSPORTES LTDA - EPP</t>
        </is>
      </c>
      <c r="B280" s="15" t="inlineStr">
        <is>
          <t>86965623.0</t>
        </is>
      </c>
    </row>
    <row r="281">
      <c r="A281" s="58" t="inlineStr">
        <is>
          <t>J F A DE PORTO REAL MATERIAL DE CONSTRUCAO LTDA ME</t>
        </is>
      </c>
      <c r="B281" s="15" t="inlineStr">
        <is>
          <t>86969963.0</t>
        </is>
      </c>
    </row>
    <row r="282">
      <c r="A282" s="58" t="inlineStr">
        <is>
          <t>PEUGEOT CITROEN DO BRASIL AUTOMOVEIS LTDA</t>
        </is>
      </c>
      <c r="B282" s="15" t="inlineStr">
        <is>
          <t>86990415.0</t>
        </is>
      </c>
    </row>
    <row r="283">
      <c r="A283" s="58" t="inlineStr">
        <is>
          <t>TRANSPORTES MUNHOZ &amp; MUNHOZ LTDA - EPP</t>
        </is>
      </c>
      <c r="B283" s="15" t="inlineStr">
        <is>
          <t>86999412.0</t>
        </is>
      </c>
    </row>
    <row r="284">
      <c r="A284" s="58" t="inlineStr">
        <is>
          <t>DOUGLAS SANTOS SILVA TRANSPORTES EIRELI - ME</t>
        </is>
      </c>
      <c r="B284" s="15" t="inlineStr">
        <is>
          <t>86999447.0</t>
        </is>
      </c>
    </row>
    <row r="285">
      <c r="A285" s="58" t="inlineStr">
        <is>
          <t>DUCOR DEI TRANSPORTES RODOVIARIO LTDA - ME</t>
        </is>
      </c>
      <c r="B285" s="15" t="inlineStr">
        <is>
          <t>86999455.0</t>
        </is>
      </c>
    </row>
    <row r="286">
      <c r="A286" s="58" t="inlineStr">
        <is>
          <t>TRANSGUIMA LTDA - EPP</t>
        </is>
      </c>
      <c r="B286" s="15" t="inlineStr">
        <is>
          <t>86999463.0</t>
        </is>
      </c>
    </row>
    <row r="287">
      <c r="A287" s="58" t="inlineStr">
        <is>
          <t>ROTIVOIAC TRANSPORTES LTDA - EPP</t>
        </is>
      </c>
      <c r="B287" s="15" t="inlineStr">
        <is>
          <t>86999552.0</t>
        </is>
      </c>
    </row>
    <row r="288">
      <c r="A288" s="58" t="inlineStr">
        <is>
          <t>NOSSA SENHORA DO CARMO TRANSPORTES EIRELI</t>
        </is>
      </c>
      <c r="B288" s="15" t="inlineStr">
        <is>
          <t>86999617.0</t>
        </is>
      </c>
    </row>
    <row r="289">
      <c r="A289" s="58" t="inlineStr">
        <is>
          <t>LUIZ TAKAO YAMASAKI TRANSPORTES - EPP</t>
        </is>
      </c>
      <c r="B289" s="15" t="inlineStr">
        <is>
          <t>87001687.0</t>
        </is>
      </c>
    </row>
    <row r="290">
      <c r="A290" s="58" t="inlineStr">
        <is>
          <t>ADILSON ROBERTO BENTO TRANSPORTES - EPP</t>
        </is>
      </c>
      <c r="B290" s="15" t="inlineStr">
        <is>
          <t>87001695.0</t>
        </is>
      </c>
    </row>
    <row r="291">
      <c r="A291" s="58" t="inlineStr">
        <is>
          <t>TRANS CREPALDI TRANSPORTES RODOVIARIO LTDA - ME</t>
        </is>
      </c>
      <c r="B291" s="15" t="inlineStr">
        <is>
          <t>87001709.0</t>
        </is>
      </c>
    </row>
    <row r="292">
      <c r="A292" s="58" t="inlineStr">
        <is>
          <t>TREIS TRANSPORTES RODOVIARIOS LTDA - EPP</t>
        </is>
      </c>
      <c r="B292" s="15" t="inlineStr">
        <is>
          <t>87012930.0</t>
        </is>
      </c>
    </row>
    <row r="293">
      <c r="A293" s="58" t="inlineStr">
        <is>
          <t>TRANSBEP LOGISTICA LTDA</t>
        </is>
      </c>
      <c r="B293" s="15" t="inlineStr">
        <is>
          <t>87013812.0</t>
        </is>
      </c>
    </row>
    <row r="294">
      <c r="A294" s="58" t="inlineStr">
        <is>
          <t>PORT CONSTRUTORA LTDA</t>
        </is>
      </c>
      <c r="B294" s="15" t="inlineStr">
        <is>
          <t>87042308.0</t>
        </is>
      </c>
    </row>
    <row r="295">
      <c r="A295" s="58" t="inlineStr">
        <is>
          <t>PASQUALINI TRANSPORTES LTDA - EPP</t>
        </is>
      </c>
      <c r="B295" s="15" t="inlineStr">
        <is>
          <t>87067378.0</t>
        </is>
      </c>
    </row>
    <row r="296">
      <c r="A296" s="58" t="inlineStr">
        <is>
          <t>TRANSCARMO TRANSPORTES LTDA - EPP</t>
        </is>
      </c>
      <c r="B296" s="15" t="inlineStr">
        <is>
          <t>87069567.0</t>
        </is>
      </c>
    </row>
    <row r="297">
      <c r="A297" s="58" t="inlineStr">
        <is>
          <t>TRANSQUINCAS TRANSPORTES RODOVIARIO LTDA - EPP</t>
        </is>
      </c>
      <c r="B297" s="15" t="inlineStr">
        <is>
          <t>87069583.0</t>
        </is>
      </c>
    </row>
    <row r="298">
      <c r="A298" s="58" t="inlineStr">
        <is>
          <t>TRANS-TAVARES TRANSPORTES RODOVIARIO LTDA - EPP</t>
        </is>
      </c>
      <c r="B298" s="15" t="inlineStr">
        <is>
          <t>87156109.0</t>
        </is>
      </c>
    </row>
    <row r="299">
      <c r="A299" s="58" t="inlineStr">
        <is>
          <t>GRACA AUXILIADORA BARBOSA GONCALVES</t>
        </is>
      </c>
      <c r="B299" s="15" t="inlineStr">
        <is>
          <t>87160084.0</t>
        </is>
      </c>
    </row>
    <row r="300">
      <c r="A300" s="58" t="inlineStr">
        <is>
          <t>PLASTIC OMNIUM AUTOMOTIVE DO BRASIL INDUSTRIA E COMERCIO DE PECA</t>
        </is>
      </c>
      <c r="B300" s="15" t="inlineStr">
        <is>
          <t>87164306.0</t>
        </is>
      </c>
    </row>
    <row r="301">
      <c r="A301" s="58" t="inlineStr">
        <is>
          <t>QUIMEX LOGISTICA E TRANSPORTE LTDA EPP</t>
        </is>
      </c>
      <c r="B301" s="15" t="inlineStr">
        <is>
          <t>87270580.0</t>
        </is>
      </c>
    </row>
    <row r="302">
      <c r="A302" s="58" t="inlineStr">
        <is>
          <t>REALL FLEX LONGEVIDADE E SAUDE LTDA</t>
        </is>
      </c>
      <c r="B302" s="15" t="inlineStr">
        <is>
          <t>87303411.0</t>
        </is>
      </c>
    </row>
    <row r="303">
      <c r="A303" s="58" t="inlineStr">
        <is>
          <t>KRAFTPACK EMBALAGENS LTDA</t>
        </is>
      </c>
      <c r="B303" s="15" t="inlineStr">
        <is>
          <t>87347583.0</t>
        </is>
      </c>
    </row>
    <row r="304">
      <c r="A304" s="58" t="inlineStr">
        <is>
          <t>GOMES E SOUZA COMERCIO E PRESTACAO DE SERVICOS LTDA ME</t>
        </is>
      </c>
      <c r="B304" s="15" t="inlineStr">
        <is>
          <t>87363660.0</t>
        </is>
      </c>
    </row>
    <row r="305">
      <c r="A305" s="58" t="inlineStr">
        <is>
          <t>NET FACIL SISTEMAS ELETRONICOS LTDA - ME</t>
        </is>
      </c>
      <c r="B305" s="15" t="inlineStr">
        <is>
          <t>87378586.0</t>
        </is>
      </c>
    </row>
    <row r="306">
      <c r="A306" s="58" t="inlineStr">
        <is>
          <t>FERNANDO F DE VASCONCELLOS COMÉRCIO ATACADISTA DE PRODUTOS DE HIGIENE E LIMPEZA</t>
        </is>
      </c>
      <c r="B306" s="15" t="inlineStr">
        <is>
          <t>87444490.0</t>
        </is>
      </c>
    </row>
    <row r="307">
      <c r="A307" s="58" t="inlineStr">
        <is>
          <t>TRANS ARISTEU TRANSPORTES RODOVIARIOS LTDA - EPP</t>
        </is>
      </c>
      <c r="B307" s="15" t="inlineStr">
        <is>
          <t>87467708.0</t>
        </is>
      </c>
    </row>
  </sheetData>
  <mergeCells count="1">
    <mergeCell ref="A50:E50"/>
  </mergeCells>
  <pageMargins left="0.3" right="0" top="0.3" bottom="0" header="0.1" footer="0"/>
  <pageSetup orientation="landscape"/>
  <headerFooter>
    <oddHeader>&amp;C&amp;"Arial"&amp;8 &amp;P / 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2024-10-30T18:53:22Z</dcterms:created>
  <dcterms:modified xsi:type="dcterms:W3CDTF">2024-11-19T14:03:12Z</dcterms:modified>
  <cp:lastModifiedBy>CDZ-Master GrupoCONDUZO</cp:lastModifiedBy>
  <cp:lastPrinted>2024-11-16T14:19:35Z</cp:lastPrinted>
</cp:coreProperties>
</file>